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tamar\Downloads\"/>
    </mc:Choice>
  </mc:AlternateContent>
  <xr:revisionPtr revIDLastSave="0" documentId="13_ncr:1_{AE854D08-F78F-425A-9F99-A39716D14A6D}" xr6:coauthVersionLast="47" xr6:coauthVersionMax="47" xr10:uidLastSave="{00000000-0000-0000-0000-000000000000}"/>
  <bookViews>
    <workbookView xWindow="-120" yWindow="-120" windowWidth="29040" windowHeight="15720" activeTab="3" xr2:uid="{9B7C7701-980D-433B-BF55-82FAC2CDFF5A}"/>
  </bookViews>
  <sheets>
    <sheet name="2020 - 2022" sheetId="1" r:id="rId1"/>
    <sheet name="2023" sheetId="3" r:id="rId2"/>
    <sheet name="2024" sheetId="2" r:id="rId3"/>
    <sheet name="2025" sheetId="4" r:id="rId4"/>
  </sheets>
  <definedNames>
    <definedName name="_xlnm._FilterDatabase" localSheetId="0" hidden="1">'2020 - 2022'!$A$1:$D$1</definedName>
    <definedName name="_xlnm._FilterDatabase" localSheetId="1" hidden="1">'2023'!$A$1:$D$1</definedName>
    <definedName name="_xlnm._FilterDatabase" localSheetId="2" hidden="1">'2024'!$A$1:$D$1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C2" i="1"/>
  <c r="D2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10004" i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A9808" i="1" l="1"/>
  <c r="A9807" i="1"/>
  <c r="A9806" i="1"/>
  <c r="A9795" i="1"/>
  <c r="A9794" i="1"/>
  <c r="A9793" i="1"/>
  <c r="A9792" i="1"/>
  <c r="A9791" i="1"/>
  <c r="A9781" i="1"/>
  <c r="A9780" i="1"/>
  <c r="A10761" i="1"/>
  <c r="A10760" i="1"/>
  <c r="A10759" i="1"/>
  <c r="A10764" i="1"/>
  <c r="A10754" i="1"/>
  <c r="A10753" i="1"/>
  <c r="A10763" i="1"/>
  <c r="A10762" i="1"/>
  <c r="A10758" i="1"/>
  <c r="A10757" i="1"/>
  <c r="A10756" i="1"/>
  <c r="A10752" i="1"/>
  <c r="A10751" i="1"/>
  <c r="A10750" i="1"/>
  <c r="A10733" i="1"/>
  <c r="A10732" i="1"/>
  <c r="A10731" i="1"/>
  <c r="A10721" i="1"/>
  <c r="A10720" i="1"/>
  <c r="A10586" i="1"/>
  <c r="A10585" i="1"/>
  <c r="A10701" i="1"/>
  <c r="A10700" i="1"/>
  <c r="A10671" i="1"/>
  <c r="A10670" i="1"/>
  <c r="A10669" i="1"/>
  <c r="A10624" i="1"/>
  <c r="A10623" i="1"/>
  <c r="A10622" i="1"/>
  <c r="A10679" i="1"/>
  <c r="A10678" i="1"/>
  <c r="A10654" i="1"/>
  <c r="A10653" i="1"/>
  <c r="A10604" i="1"/>
  <c r="A10603" i="1"/>
  <c r="A10584" i="1"/>
  <c r="A10583" i="1"/>
  <c r="A10719" i="1"/>
  <c r="A10718" i="1"/>
  <c r="A10710" i="1"/>
  <c r="A10709" i="1"/>
  <c r="A10708" i="1"/>
  <c r="A10706" i="1"/>
  <c r="A10705" i="1"/>
  <c r="A10704" i="1"/>
  <c r="A10405" i="1"/>
  <c r="A10545" i="1"/>
  <c r="A10544" i="1"/>
  <c r="A10543" i="1"/>
  <c r="A10542" i="1"/>
  <c r="A10501" i="1"/>
  <c r="A10500" i="1"/>
  <c r="A10499" i="1"/>
  <c r="A10528" i="1"/>
  <c r="A10527" i="1"/>
  <c r="A10498" i="1"/>
  <c r="A10497" i="1"/>
  <c r="A10481" i="1"/>
  <c r="A10463" i="1"/>
  <c r="A10462" i="1"/>
  <c r="A10461" i="1"/>
  <c r="A10460" i="1"/>
  <c r="A10459" i="1"/>
  <c r="A10432" i="1"/>
  <c r="A10431" i="1"/>
  <c r="A10430" i="1"/>
  <c r="A10429" i="1"/>
  <c r="A10420" i="1"/>
  <c r="A10419" i="1"/>
  <c r="A10418" i="1"/>
  <c r="A10388" i="1"/>
  <c r="A10387" i="1"/>
  <c r="A10365" i="1"/>
  <c r="A10364" i="1"/>
  <c r="A10363" i="1"/>
  <c r="A10345" i="1"/>
  <c r="A10344" i="1"/>
  <c r="A10343" i="1"/>
  <c r="A10342" i="1"/>
  <c r="A10325" i="1"/>
  <c r="A10302" i="1"/>
  <c r="A10301" i="1"/>
  <c r="A10300" i="1"/>
  <c r="A10299" i="1"/>
  <c r="A10298" i="1"/>
  <c r="A10297" i="1"/>
  <c r="A10280" i="1"/>
  <c r="A10279" i="1"/>
  <c r="A10296" i="1"/>
  <c r="A10201" i="1"/>
  <c r="A10526" i="1"/>
  <c r="A10525" i="1"/>
  <c r="A10496" i="1"/>
  <c r="A10495" i="1"/>
  <c r="A10480" i="1"/>
  <c r="A10479" i="1"/>
  <c r="A10428" i="1"/>
  <c r="A10295" i="1"/>
  <c r="A10294" i="1"/>
  <c r="A10341" i="1"/>
  <c r="A10362" i="1"/>
  <c r="A10340" i="1"/>
  <c r="A10361" i="1"/>
  <c r="A10360" i="1"/>
  <c r="A10278" i="1"/>
  <c r="A10277" i="1"/>
  <c r="A10258" i="1"/>
  <c r="A10293" i="1"/>
  <c r="A10292" i="1"/>
  <c r="A10276" i="1"/>
  <c r="A10275" i="1"/>
  <c r="A10274" i="1"/>
  <c r="A10257" i="1"/>
  <c r="A10256" i="1"/>
  <c r="A10245" i="1"/>
  <c r="A10244" i="1"/>
  <c r="A10224" i="1"/>
  <c r="A10223" i="1"/>
  <c r="A10200" i="1"/>
  <c r="A10199" i="1"/>
  <c r="A10189" i="1"/>
  <c r="A10188" i="1"/>
  <c r="A10243" i="1"/>
  <c r="A10242" i="1"/>
  <c r="A10222" i="1"/>
  <c r="A10198" i="1"/>
  <c r="A10143" i="1"/>
  <c r="A10142" i="1"/>
  <c r="A10130" i="1"/>
  <c r="A10129" i="1"/>
  <c r="A10108" i="1"/>
  <c r="A10066" i="1"/>
  <c r="A10065" i="1"/>
  <c r="A10096" i="1"/>
  <c r="A10157" i="1"/>
  <c r="A10156" i="1"/>
  <c r="A10107" i="1"/>
  <c r="A10106" i="1"/>
  <c r="A10064" i="1"/>
  <c r="A10063" i="1"/>
  <c r="A10039" i="1"/>
  <c r="A10038" i="1"/>
  <c r="A10037" i="1"/>
  <c r="A10012" i="1"/>
  <c r="A10011" i="1"/>
  <c r="A9983" i="1"/>
  <c r="A9982" i="1"/>
  <c r="A9981" i="1"/>
  <c r="A9974" i="1"/>
  <c r="A9973" i="1"/>
  <c r="A9972" i="1"/>
  <c r="A9958" i="1"/>
  <c r="A9921" i="1"/>
  <c r="A9920" i="1"/>
  <c r="A9901" i="1"/>
  <c r="A9900" i="1"/>
  <c r="A10128" i="1"/>
  <c r="A10095" i="1"/>
  <c r="A10127" i="1"/>
  <c r="A10036" i="1"/>
  <c r="A10003" i="1"/>
  <c r="A10002" i="1"/>
  <c r="A9980" i="1"/>
  <c r="A9979" i="1"/>
  <c r="A9971" i="1"/>
  <c r="A9957" i="1"/>
  <c r="A9956" i="1"/>
  <c r="A9899" i="1"/>
  <c r="A9671" i="1"/>
  <c r="A9862" i="1"/>
  <c r="A9861" i="1"/>
  <c r="A9847" i="1"/>
  <c r="A9820" i="1"/>
  <c r="A9819" i="1"/>
  <c r="A9779" i="1"/>
  <c r="A9735" i="1"/>
  <c r="A9754" i="1"/>
  <c r="A9753" i="1"/>
  <c r="A9687" i="1"/>
  <c r="A9686" i="1"/>
  <c r="A9631" i="1"/>
  <c r="A9617" i="1"/>
  <c r="A9616" i="1"/>
  <c r="A9941" i="1"/>
  <c r="A9818" i="1"/>
  <c r="A9591" i="1"/>
  <c r="A9590" i="1"/>
  <c r="A9832" i="1"/>
  <c r="A9817" i="1"/>
  <c r="A9734" i="1"/>
  <c r="A9860" i="1"/>
  <c r="A9859" i="1"/>
  <c r="A9858" i="1"/>
  <c r="A9846" i="1"/>
  <c r="A9816" i="1"/>
  <c r="A9790" i="1"/>
  <c r="A9789" i="1"/>
  <c r="A9733" i="1"/>
  <c r="A9732" i="1"/>
  <c r="A9731" i="1"/>
  <c r="A9685" i="1"/>
  <c r="A9684" i="1"/>
  <c r="A9683" i="1"/>
  <c r="A9653" i="1"/>
  <c r="A9652" i="1"/>
  <c r="A9630" i="1"/>
  <c r="A9615" i="1"/>
  <c r="A9614" i="1"/>
  <c r="A9572" i="1"/>
  <c r="A9550" i="1"/>
  <c r="A9549" i="1"/>
  <c r="A9548" i="1"/>
  <c r="A9544" i="1"/>
  <c r="A9543" i="1"/>
  <c r="A9542" i="1"/>
  <c r="A9541" i="1"/>
  <c r="A9493" i="1"/>
  <c r="A9492" i="1"/>
  <c r="A9478" i="1"/>
  <c r="A9477" i="1"/>
  <c r="A9539" i="1"/>
  <c r="A9538" i="1"/>
  <c r="A9537" i="1"/>
  <c r="A9457" i="1"/>
  <c r="A9456" i="1"/>
  <c r="A9444" i="1"/>
  <c r="A9443" i="1"/>
  <c r="A9010" i="1"/>
  <c r="A9009" i="1"/>
  <c r="A9008" i="1"/>
  <c r="A9234" i="1"/>
  <c r="A9530" i="1"/>
  <c r="A9529" i="1"/>
  <c r="A9516" i="1"/>
  <c r="A9515" i="1"/>
  <c r="A9476" i="1"/>
  <c r="A9442" i="1"/>
  <c r="A9441" i="1"/>
  <c r="A9392" i="1"/>
  <c r="A9222" i="1"/>
  <c r="A9221" i="1"/>
  <c r="A9220" i="1"/>
  <c r="A9422" i="1"/>
  <c r="A9421" i="1"/>
  <c r="A9420" i="1"/>
  <c r="A9391" i="1"/>
  <c r="A9390" i="1"/>
  <c r="A9372" i="1"/>
  <c r="A9371" i="1"/>
  <c r="A9370" i="1"/>
  <c r="A9355" i="1"/>
  <c r="A9354" i="1"/>
  <c r="A9337" i="1"/>
  <c r="A9336" i="1"/>
  <c r="A9296" i="1"/>
  <c r="A9295" i="1"/>
  <c r="A9294" i="1"/>
  <c r="A9252" i="1"/>
  <c r="A9251" i="1"/>
  <c r="A9250" i="1"/>
  <c r="A9369" i="1"/>
  <c r="A9368" i="1"/>
  <c r="A9281" i="1"/>
  <c r="A9280" i="1"/>
  <c r="A9335" i="1"/>
  <c r="A9219" i="1"/>
  <c r="A9218" i="1"/>
  <c r="A9176" i="1"/>
  <c r="A9198" i="1"/>
  <c r="A9197" i="1"/>
  <c r="A9196" i="1"/>
  <c r="A8962" i="1"/>
  <c r="A8961" i="1"/>
  <c r="A9133" i="1"/>
  <c r="A9121" i="1"/>
  <c r="A9120" i="1"/>
  <c r="A9100" i="1"/>
  <c r="A9099" i="1"/>
  <c r="A9079" i="1"/>
  <c r="A9078" i="1"/>
  <c r="A9067" i="1"/>
  <c r="A9066" i="1"/>
  <c r="A9061" i="1"/>
  <c r="A9060" i="1"/>
  <c r="A9056" i="1"/>
  <c r="A9050" i="1"/>
  <c r="A9049" i="1"/>
  <c r="A9132" i="1"/>
  <c r="A9077" i="1"/>
  <c r="A9076" i="1"/>
  <c r="A9046" i="1"/>
  <c r="A9045" i="1"/>
  <c r="A8955" i="1"/>
  <c r="A8954" i="1"/>
  <c r="A8809" i="1"/>
  <c r="A8793" i="1"/>
  <c r="A8808" i="1"/>
  <c r="A8902" i="1"/>
  <c r="A8876" i="1"/>
  <c r="A8875" i="1"/>
  <c r="A8874" i="1"/>
  <c r="A8901" i="1"/>
  <c r="A8900" i="1"/>
  <c r="A8899" i="1"/>
  <c r="A8933" i="1"/>
  <c r="A8932" i="1"/>
  <c r="A8931" i="1"/>
  <c r="A8930" i="1"/>
  <c r="A8772" i="1"/>
  <c r="A8771" i="1"/>
  <c r="A8929" i="1"/>
  <c r="A8928" i="1"/>
  <c r="A8898" i="1"/>
  <c r="A8897" i="1"/>
  <c r="A8896" i="1"/>
  <c r="A8508" i="1"/>
  <c r="A8507" i="1"/>
  <c r="A8666" i="1"/>
  <c r="A8665" i="1"/>
  <c r="A8688" i="1"/>
  <c r="A8687" i="1"/>
  <c r="A8707" i="1"/>
  <c r="A8495" i="1"/>
  <c r="A8492" i="1"/>
  <c r="A8792" i="1"/>
  <c r="A8791" i="1"/>
  <c r="A8639" i="1"/>
  <c r="A8638" i="1"/>
  <c r="A8597" i="1"/>
  <c r="A8596" i="1"/>
  <c r="A8566" i="1"/>
  <c r="A8565" i="1"/>
  <c r="A8523" i="1"/>
  <c r="A8491" i="1"/>
  <c r="A8664" i="1"/>
  <c r="A8663" i="1"/>
  <c r="A8617" i="1"/>
  <c r="A8616" i="1"/>
  <c r="A8595" i="1"/>
  <c r="A8594" i="1"/>
  <c r="A8490" i="1"/>
  <c r="A8444" i="1"/>
  <c r="A8443" i="1"/>
  <c r="A8472" i="1"/>
  <c r="A8442" i="1"/>
  <c r="A8416" i="1"/>
  <c r="A8384" i="1"/>
  <c r="A8383" i="1"/>
  <c r="A8352" i="1"/>
  <c r="A8351" i="1"/>
  <c r="A8333" i="1"/>
  <c r="A8332" i="1"/>
  <c r="A8331" i="1"/>
  <c r="A8233" i="1"/>
  <c r="A8441" i="1"/>
  <c r="A8440" i="1"/>
  <c r="A8415" i="1"/>
  <c r="A8414" i="1"/>
  <c r="A8288" i="1"/>
  <c r="A8287" i="1"/>
  <c r="A8260" i="1"/>
  <c r="A8286" i="1"/>
  <c r="A8285" i="1"/>
  <c r="A8284" i="1"/>
  <c r="A8232" i="1"/>
  <c r="A8231" i="1"/>
  <c r="A8230" i="1"/>
  <c r="A8217" i="1"/>
  <c r="A8216" i="1"/>
  <c r="A8215" i="1"/>
  <c r="A8129" i="1"/>
  <c r="A8128" i="1"/>
  <c r="A8127" i="1"/>
  <c r="A8068" i="1"/>
  <c r="A8067" i="1"/>
  <c r="A8066" i="1"/>
  <c r="A8045" i="1"/>
  <c r="A8044" i="1"/>
  <c r="A8043" i="1"/>
  <c r="A7983" i="1"/>
  <c r="A7982" i="1"/>
  <c r="A7981" i="1"/>
  <c r="A7956" i="1"/>
  <c r="A7955" i="1"/>
  <c r="A7954" i="1"/>
  <c r="A8382" i="1"/>
  <c r="A8350" i="1"/>
  <c r="A8349" i="1"/>
  <c r="A8330" i="1"/>
  <c r="A8329" i="1"/>
  <c r="A8259" i="1"/>
  <c r="A8258" i="1"/>
  <c r="A8193" i="1"/>
  <c r="A8192" i="1"/>
  <c r="A8173" i="1"/>
  <c r="A8172" i="1"/>
  <c r="A8229" i="1"/>
  <c r="A8214" i="1"/>
  <c r="A8213" i="1"/>
  <c r="A8212" i="1"/>
  <c r="A8191" i="1"/>
  <c r="A8190" i="1"/>
  <c r="A8189" i="1"/>
  <c r="A8126" i="1"/>
  <c r="A8125" i="1"/>
  <c r="A8102" i="1"/>
  <c r="A8101" i="1"/>
  <c r="A8100" i="1"/>
  <c r="A8013" i="1"/>
  <c r="A8012" i="1"/>
  <c r="A8151" i="1"/>
  <c r="A8150" i="1"/>
  <c r="A8124" i="1"/>
  <c r="A8099" i="1"/>
  <c r="A8098" i="1"/>
  <c r="A8011" i="1"/>
  <c r="A8010" i="1"/>
  <c r="A8009" i="1"/>
  <c r="A7976" i="1"/>
  <c r="A7975" i="1"/>
  <c r="A7924" i="1"/>
  <c r="A7923" i="1"/>
  <c r="A7894" i="1"/>
  <c r="A7893" i="1"/>
  <c r="A7861" i="1"/>
  <c r="A7860" i="1"/>
  <c r="A7859" i="1"/>
  <c r="A7892" i="1"/>
  <c r="A7891" i="1"/>
  <c r="A7890" i="1"/>
  <c r="A7858" i="1"/>
  <c r="A7857" i="1"/>
  <c r="A7856" i="1"/>
  <c r="A7825" i="1"/>
  <c r="A7824" i="1"/>
  <c r="A7823" i="1"/>
  <c r="A7822" i="1"/>
  <c r="A7821" i="1"/>
  <c r="A7820" i="1"/>
  <c r="A7732" i="1"/>
  <c r="A7731" i="1"/>
  <c r="A7730" i="1"/>
  <c r="A7815" i="1"/>
  <c r="A7788" i="1"/>
  <c r="A7787" i="1"/>
  <c r="A7786" i="1"/>
  <c r="A7760" i="1"/>
  <c r="A7691" i="1"/>
  <c r="A7690" i="1"/>
  <c r="A7663" i="1"/>
  <c r="A7814" i="1"/>
  <c r="A7813" i="1"/>
  <c r="A7812" i="1"/>
  <c r="A7785" i="1"/>
  <c r="A7784" i="1"/>
  <c r="A7689" i="1"/>
  <c r="A7688" i="1"/>
  <c r="A7687" i="1"/>
  <c r="A7759" i="1"/>
  <c r="A7758" i="1"/>
  <c r="A7614" i="1"/>
  <c r="A7586" i="1"/>
  <c r="A7557" i="1"/>
  <c r="A7556" i="1"/>
  <c r="A7555" i="1"/>
  <c r="A7531" i="1"/>
  <c r="A7530" i="1"/>
  <c r="A7529" i="1"/>
  <c r="A7460" i="1"/>
  <c r="A7437" i="1"/>
  <c r="A7416" i="1"/>
  <c r="A7415" i="1"/>
  <c r="A7686" i="1"/>
  <c r="A7662" i="1"/>
  <c r="A7640" i="1"/>
  <c r="A7436" i="1"/>
  <c r="A7435" i="1"/>
  <c r="A7392" i="1"/>
  <c r="A7348" i="1"/>
  <c r="A7347" i="1"/>
  <c r="A7585" i="1"/>
  <c r="A7584" i="1"/>
  <c r="A7562" i="1"/>
  <c r="A7561" i="1"/>
  <c r="A7560" i="1"/>
  <c r="A7559" i="1"/>
  <c r="A7558" i="1"/>
  <c r="A7301" i="1"/>
  <c r="A7317" i="1"/>
  <c r="A7316" i="1"/>
  <c r="A7330" i="1"/>
  <c r="A7275" i="1"/>
  <c r="A7274" i="1"/>
  <c r="A7260" i="1"/>
  <c r="A7300" i="1"/>
  <c r="A7329" i="1"/>
  <c r="A7259" i="1"/>
  <c r="A7230" i="1"/>
  <c r="A7328" i="1"/>
  <c r="A7327" i="1"/>
  <c r="A7315" i="1"/>
  <c r="A7314" i="1"/>
  <c r="A7313" i="1"/>
  <c r="A7299" i="1"/>
  <c r="A7298" i="1"/>
  <c r="A7297" i="1"/>
  <c r="A7296" i="1"/>
  <c r="A7295" i="1"/>
  <c r="A7238" i="1"/>
  <c r="A7237" i="1"/>
  <c r="A7229" i="1"/>
  <c r="A7228" i="1"/>
  <c r="A7208" i="1"/>
  <c r="A7207" i="1"/>
  <c r="A7227" i="1"/>
  <c r="A7165" i="1"/>
  <c r="A7164" i="1"/>
  <c r="A7142" i="1"/>
  <c r="A7141" i="1"/>
  <c r="A7125" i="1"/>
  <c r="A7124" i="1"/>
  <c r="A7119" i="1"/>
  <c r="A7118" i="1"/>
  <c r="A7163" i="1"/>
  <c r="A7162" i="1"/>
  <c r="A7085" i="1"/>
  <c r="A7117" i="1"/>
  <c r="A7116" i="1"/>
  <c r="A7103" i="1"/>
  <c r="A7102" i="1"/>
  <c r="A7084" i="1"/>
  <c r="A7067" i="1"/>
  <c r="A7066" i="1"/>
  <c r="A7033" i="1"/>
  <c r="A7032" i="1"/>
  <c r="A7031" i="1"/>
  <c r="A7011" i="1"/>
  <c r="A7010" i="1"/>
  <c r="A6999" i="1"/>
  <c r="A6998" i="1"/>
  <c r="A6985" i="1"/>
  <c r="A6984" i="1"/>
  <c r="A10693" i="1"/>
  <c r="A10692" i="1"/>
  <c r="A10691" i="1"/>
  <c r="A10690" i="1"/>
  <c r="A10686" i="1"/>
  <c r="A10677" i="1"/>
  <c r="A10676" i="1"/>
  <c r="A10675" i="1"/>
  <c r="A10674" i="1"/>
  <c r="A10668" i="1"/>
  <c r="A10667" i="1"/>
  <c r="A10666" i="1"/>
  <c r="A10651" i="1"/>
  <c r="A10650" i="1"/>
  <c r="A10649" i="1"/>
  <c r="A10646" i="1"/>
  <c r="A10637" i="1"/>
  <c r="A10641" i="1"/>
  <c r="A10600" i="1"/>
  <c r="A10640" i="1"/>
  <c r="A10639" i="1"/>
  <c r="A10636" i="1"/>
  <c r="A10635" i="1"/>
  <c r="A10599" i="1"/>
  <c r="A10598" i="1"/>
  <c r="A10562" i="1"/>
  <c r="A10561" i="1"/>
  <c r="A10582" i="1"/>
  <c r="A10581" i="1"/>
  <c r="A10580" i="1"/>
  <c r="A10560" i="1"/>
  <c r="A10524" i="1"/>
  <c r="A10523" i="1"/>
  <c r="A10494" i="1"/>
  <c r="A10493" i="1"/>
  <c r="A10492" i="1"/>
  <c r="A10491" i="1"/>
  <c r="A10490" i="1"/>
  <c r="A10478" i="1"/>
  <c r="A10477" i="1"/>
  <c r="A10476" i="1"/>
  <c r="A10475" i="1"/>
  <c r="A10427" i="1"/>
  <c r="A10417" i="1"/>
  <c r="A10416" i="1"/>
  <c r="A10404" i="1"/>
  <c r="A10403" i="1"/>
  <c r="A10371" i="1"/>
  <c r="A10370" i="1"/>
  <c r="A10339" i="1"/>
  <c r="A10338" i="1"/>
  <c r="A10337" i="1"/>
  <c r="A10336" i="1"/>
  <c r="A10324" i="1"/>
  <c r="A10323" i="1"/>
  <c r="A10241" i="1"/>
  <c r="A10240" i="1"/>
  <c r="A10197" i="1"/>
  <c r="A10196" i="1"/>
  <c r="A10187" i="1"/>
  <c r="A10186" i="1"/>
  <c r="A10185" i="1"/>
  <c r="A10177" i="1"/>
  <c r="A10176" i="1"/>
  <c r="A10175" i="1"/>
  <c r="A10171" i="1"/>
  <c r="A10170" i="1"/>
  <c r="A10169" i="1"/>
  <c r="A10168" i="1"/>
  <c r="A10167" i="1"/>
  <c r="A10141" i="1"/>
  <c r="A10062" i="1"/>
  <c r="A9940" i="1"/>
  <c r="A9898" i="1"/>
  <c r="A9874" i="1"/>
  <c r="A9873" i="1"/>
  <c r="A9857" i="1"/>
  <c r="A9856" i="1"/>
  <c r="A9845" i="1"/>
  <c r="A9844" i="1"/>
  <c r="A9843" i="1"/>
  <c r="A9842" i="1"/>
  <c r="A9841" i="1"/>
  <c r="A9788" i="1"/>
  <c r="A9778" i="1"/>
  <c r="A9777" i="1"/>
  <c r="A9752" i="1"/>
  <c r="A9751" i="1"/>
  <c r="A9730" i="1"/>
  <c r="A9729" i="1"/>
  <c r="A9706" i="1"/>
  <c r="A9705" i="1"/>
  <c r="A9704" i="1"/>
  <c r="A9703" i="1"/>
  <c r="A9702" i="1"/>
  <c r="A9682" i="1"/>
  <c r="A9670" i="1"/>
  <c r="A9669" i="1"/>
  <c r="A9668" i="1"/>
  <c r="A9667" i="1"/>
  <c r="A9666" i="1"/>
  <c r="A9665" i="1"/>
  <c r="A9629" i="1"/>
  <c r="A9613" i="1"/>
  <c r="A9612" i="1"/>
  <c r="A9611" i="1"/>
  <c r="A9610" i="1"/>
  <c r="A9609" i="1"/>
  <c r="A9608" i="1"/>
  <c r="A9589" i="1"/>
  <c r="A9588" i="1"/>
  <c r="A9587" i="1"/>
  <c r="A9586" i="1"/>
  <c r="A9571" i="1"/>
  <c r="A9570" i="1"/>
  <c r="A9569" i="1"/>
  <c r="A9568" i="1"/>
  <c r="A9567" i="1"/>
  <c r="A9566" i="1"/>
  <c r="A9536" i="1"/>
  <c r="A9535" i="1"/>
  <c r="A9528" i="1"/>
  <c r="A9527" i="1"/>
  <c r="A9514" i="1"/>
  <c r="A9500" i="1"/>
  <c r="A9475" i="1"/>
  <c r="A9474" i="1"/>
  <c r="A9455" i="1"/>
  <c r="A9454" i="1"/>
  <c r="A9430" i="1"/>
  <c r="A9429" i="1"/>
  <c r="A9419" i="1"/>
  <c r="A9408" i="1"/>
  <c r="A9407" i="1"/>
  <c r="A9389" i="1"/>
  <c r="A9388" i="1"/>
  <c r="A9334" i="1"/>
  <c r="A9333" i="1"/>
  <c r="A9311" i="1"/>
  <c r="A9293" i="1"/>
  <c r="A9292" i="1"/>
  <c r="A9279" i="1"/>
  <c r="A9278" i="1"/>
  <c r="A9277" i="1"/>
  <c r="A9267" i="1"/>
  <c r="A9249" i="1"/>
  <c r="A9245" i="1"/>
  <c r="A9233" i="1"/>
  <c r="A9232" i="1"/>
  <c r="A9217" i="1"/>
  <c r="A9216" i="1"/>
  <c r="A9215" i="1"/>
  <c r="A9214" i="1"/>
  <c r="A9195" i="1"/>
  <c r="A9194" i="1"/>
  <c r="A9193" i="1"/>
  <c r="A9175" i="1"/>
  <c r="A9157" i="1"/>
  <c r="A9156" i="1"/>
  <c r="A9119" i="1"/>
  <c r="A9088" i="1"/>
  <c r="A9087" i="1"/>
  <c r="A9075" i="1"/>
  <c r="A9074" i="1"/>
  <c r="A8980" i="1"/>
  <c r="A8979" i="1"/>
  <c r="A8953" i="1"/>
  <c r="A8952" i="1"/>
  <c r="A8927" i="1"/>
  <c r="A8926" i="1"/>
  <c r="A8895" i="1"/>
  <c r="A8894" i="1"/>
  <c r="A8893" i="1"/>
  <c r="A8892" i="1"/>
  <c r="A8873" i="1"/>
  <c r="A8872" i="1"/>
  <c r="A8852" i="1"/>
  <c r="A8851" i="1"/>
  <c r="A8833" i="1"/>
  <c r="A8790" i="1"/>
  <c r="A8789" i="1"/>
  <c r="A8770" i="1"/>
  <c r="A8769" i="1"/>
  <c r="A8743" i="1"/>
  <c r="A8742" i="1"/>
  <c r="A8741" i="1"/>
  <c r="A8706" i="1"/>
  <c r="A8686" i="1"/>
  <c r="A8685" i="1"/>
  <c r="A8684" i="1"/>
  <c r="A8683" i="1"/>
  <c r="A8662" i="1"/>
  <c r="A8637" i="1"/>
  <c r="A8636" i="1"/>
  <c r="A8615" i="1"/>
  <c r="A8593" i="1"/>
  <c r="A8592" i="1"/>
  <c r="A8591" i="1"/>
  <c r="A8564" i="1"/>
  <c r="A8563" i="1"/>
  <c r="A8562" i="1"/>
  <c r="A8522" i="1"/>
  <c r="A8521" i="1"/>
  <c r="A8506" i="1"/>
  <c r="A8489" i="1"/>
  <c r="A8471" i="1"/>
  <c r="A8470" i="1"/>
  <c r="A8439" i="1"/>
  <c r="A8438" i="1"/>
  <c r="A8437" i="1"/>
  <c r="A8436" i="1"/>
  <c r="A8413" i="1"/>
  <c r="A8412" i="1"/>
  <c r="A8359" i="1"/>
  <c r="A8358" i="1"/>
  <c r="A8348" i="1"/>
  <c r="A8347" i="1"/>
  <c r="A8346" i="1"/>
  <c r="A8328" i="1"/>
  <c r="A8327" i="1"/>
  <c r="A8326" i="1"/>
  <c r="A8325" i="1"/>
  <c r="A8308" i="1"/>
  <c r="A8307" i="1"/>
  <c r="A8306" i="1"/>
  <c r="A8283" i="1"/>
  <c r="A8282" i="1"/>
  <c r="A8281" i="1"/>
  <c r="A8257" i="1"/>
  <c r="A8256" i="1"/>
  <c r="A8228" i="1"/>
  <c r="A8227" i="1"/>
  <c r="A8226" i="1"/>
  <c r="A8211" i="1"/>
  <c r="A8210" i="1"/>
  <c r="A8209" i="1"/>
  <c r="A8188" i="1"/>
  <c r="A8171" i="1"/>
  <c r="A8170" i="1"/>
  <c r="A8169" i="1"/>
  <c r="A8149" i="1"/>
  <c r="A8148" i="1"/>
  <c r="A8136" i="1"/>
  <c r="A8123" i="1"/>
  <c r="A8122" i="1"/>
  <c r="A8121" i="1"/>
  <c r="A8097" i="1"/>
  <c r="A8096" i="1"/>
  <c r="A8095" i="1"/>
  <c r="A8094" i="1"/>
  <c r="A8065" i="1"/>
  <c r="A8064" i="1"/>
  <c r="A8063" i="1"/>
  <c r="A8042" i="1"/>
  <c r="A8041" i="1"/>
  <c r="A8008" i="1"/>
  <c r="A8007" i="1"/>
  <c r="A7974" i="1"/>
  <c r="A7953" i="1"/>
  <c r="A7952" i="1"/>
  <c r="A7951" i="1"/>
  <c r="A7922" i="1"/>
  <c r="A7921" i="1"/>
  <c r="A7920" i="1"/>
  <c r="A7919" i="1"/>
  <c r="A7889" i="1"/>
  <c r="A7888" i="1"/>
  <c r="A7887" i="1"/>
  <c r="A7886" i="1"/>
  <c r="A7855" i="1"/>
  <c r="A7854" i="1"/>
  <c r="A7811" i="1"/>
  <c r="A7810" i="1"/>
  <c r="A7809" i="1"/>
  <c r="A7783" i="1"/>
  <c r="A7782" i="1"/>
  <c r="A7757" i="1"/>
  <c r="A7756" i="1"/>
  <c r="A7755" i="1"/>
  <c r="A7729" i="1"/>
  <c r="A7728" i="1"/>
  <c r="A7727" i="1"/>
  <c r="A7685" i="1"/>
  <c r="A7684" i="1"/>
  <c r="A7683" i="1"/>
  <c r="A7661" i="1"/>
  <c r="A7660" i="1"/>
  <c r="A7659" i="1"/>
  <c r="A7658" i="1"/>
  <c r="A7639" i="1"/>
  <c r="A7638" i="1"/>
  <c r="A7637" i="1"/>
  <c r="A7636" i="1"/>
  <c r="A7613" i="1"/>
  <c r="A7612" i="1"/>
  <c r="A7611" i="1"/>
  <c r="A7610" i="1"/>
  <c r="A7583" i="1"/>
  <c r="A7554" i="1"/>
  <c r="A7528" i="1"/>
  <c r="A7527" i="1"/>
  <c r="A7507" i="1"/>
  <c r="A7506" i="1"/>
  <c r="A7505" i="1"/>
  <c r="A7486" i="1"/>
  <c r="A7485" i="1"/>
  <c r="A7484" i="1"/>
  <c r="A7459" i="1"/>
  <c r="A7458" i="1"/>
  <c r="A7457" i="1"/>
  <c r="A7446" i="1"/>
  <c r="A7445" i="1"/>
  <c r="A7434" i="1"/>
  <c r="A7433" i="1"/>
  <c r="A7414" i="1"/>
  <c r="A7391" i="1"/>
  <c r="A7390" i="1"/>
  <c r="A7374" i="1"/>
  <c r="A7373" i="1"/>
  <c r="A7372" i="1"/>
  <c r="A7371" i="1"/>
  <c r="A7346" i="1"/>
  <c r="A7345" i="1"/>
  <c r="A7312" i="1"/>
  <c r="A7311" i="1"/>
  <c r="A7294" i="1"/>
  <c r="A7206" i="1"/>
  <c r="A7205" i="1"/>
  <c r="A7140" i="1"/>
  <c r="A7115" i="1"/>
  <c r="A7114" i="1"/>
  <c r="A7101" i="1"/>
  <c r="A7065" i="1"/>
  <c r="A7064" i="1"/>
  <c r="A7030" i="1"/>
  <c r="A7029" i="1"/>
  <c r="A7009" i="1"/>
  <c r="A6997" i="1"/>
  <c r="A6983" i="1"/>
  <c r="A6982" i="1"/>
  <c r="A6965" i="1"/>
  <c r="A6964" i="1"/>
  <c r="A6913" i="1"/>
  <c r="A6912" i="1"/>
  <c r="A6891" i="1"/>
  <c r="A6890" i="1"/>
  <c r="A6872" i="1"/>
  <c r="A6871" i="1"/>
  <c r="A6838" i="1"/>
  <c r="A6807" i="1"/>
  <c r="A6806" i="1"/>
  <c r="A6794" i="1"/>
  <c r="A6793" i="1"/>
  <c r="A6770" i="1"/>
  <c r="A6769" i="1"/>
  <c r="A6745" i="1"/>
  <c r="A6723" i="1"/>
  <c r="A6722" i="1"/>
  <c r="A6696" i="1"/>
  <c r="A6695" i="1"/>
  <c r="A6679" i="1"/>
  <c r="A6678" i="1"/>
  <c r="A6648" i="1"/>
  <c r="A6647" i="1"/>
  <c r="A6636" i="1"/>
  <c r="A6635" i="1"/>
  <c r="A6609" i="1"/>
  <c r="A6608" i="1"/>
  <c r="A6586" i="1"/>
  <c r="A6585" i="1"/>
  <c r="A6572" i="1"/>
  <c r="A6571" i="1"/>
  <c r="A6536" i="1"/>
  <c r="A6535" i="1"/>
  <c r="A6517" i="1"/>
  <c r="A6516" i="1"/>
  <c r="A6488" i="1"/>
  <c r="A6487" i="1"/>
  <c r="A6459" i="1"/>
  <c r="A6435" i="1"/>
  <c r="A6434" i="1"/>
  <c r="A6388" i="1"/>
  <c r="A6387" i="1"/>
  <c r="A6363" i="1"/>
  <c r="A6362" i="1"/>
  <c r="A6341" i="1"/>
  <c r="A6340" i="1"/>
  <c r="A6326" i="1"/>
  <c r="A6290" i="1"/>
  <c r="A6289" i="1"/>
  <c r="A6257" i="1"/>
  <c r="A6256" i="1"/>
  <c r="A6242" i="1"/>
  <c r="A6241" i="1"/>
  <c r="A6218" i="1"/>
  <c r="A6194" i="1"/>
  <c r="A6172" i="1"/>
  <c r="A6171" i="1"/>
  <c r="A6137" i="1"/>
  <c r="A6136" i="1"/>
  <c r="A6094" i="1"/>
  <c r="A6093" i="1"/>
  <c r="A6056" i="1"/>
  <c r="A6055" i="1"/>
  <c r="A6021" i="1"/>
  <c r="A6020" i="1"/>
  <c r="A5952" i="1"/>
  <c r="A5951" i="1"/>
  <c r="A5929" i="1"/>
  <c r="A5905" i="1"/>
  <c r="A5904" i="1"/>
  <c r="A5879" i="1"/>
  <c r="A10621" i="1"/>
  <c r="A10620" i="1"/>
  <c r="A10619" i="1"/>
  <c r="A10579" i="1"/>
  <c r="A10578" i="1"/>
  <c r="A10611" i="1"/>
  <c r="A10610" i="1"/>
  <c r="A10609" i="1"/>
  <c r="A10608" i="1"/>
  <c r="A10547" i="1"/>
  <c r="A10273" i="1"/>
  <c r="A10113" i="1"/>
  <c r="A10402" i="1"/>
  <c r="A10272" i="1"/>
  <c r="A10271" i="1"/>
  <c r="A10270" i="1"/>
  <c r="A10291" i="1"/>
  <c r="A10386" i="1"/>
  <c r="A10385" i="1"/>
  <c r="A10359" i="1"/>
  <c r="A10489" i="1"/>
  <c r="A10488" i="1"/>
  <c r="A6947" i="1"/>
  <c r="A10541" i="1"/>
  <c r="A10184" i="1"/>
  <c r="A10322" i="1"/>
  <c r="A10183" i="1"/>
  <c r="A9815" i="1"/>
  <c r="A6837" i="1"/>
  <c r="A6836" i="1"/>
  <c r="A6835" i="1"/>
  <c r="A6805" i="1"/>
  <c r="A6721" i="1"/>
  <c r="A6720" i="1"/>
  <c r="A6719" i="1"/>
  <c r="A6718" i="1"/>
  <c r="A6694" i="1"/>
  <c r="A6677" i="1"/>
  <c r="A6676" i="1"/>
  <c r="A6486" i="1"/>
  <c r="A6485" i="1"/>
  <c r="A6170" i="1"/>
  <c r="A6169" i="1"/>
  <c r="A6168" i="1"/>
  <c r="A6167" i="1"/>
  <c r="A6166" i="1"/>
  <c r="A6165" i="1"/>
  <c r="A6164" i="1"/>
  <c r="A6163" i="1"/>
  <c r="A6162" i="1"/>
  <c r="A6135" i="1"/>
  <c r="A6134" i="1"/>
  <c r="A6125" i="1"/>
  <c r="A6124" i="1"/>
  <c r="A6123" i="1"/>
  <c r="A6122" i="1"/>
  <c r="A6121" i="1"/>
  <c r="A6120" i="1"/>
  <c r="A6119" i="1"/>
  <c r="A6118" i="1"/>
  <c r="A6092" i="1"/>
  <c r="A6091" i="1"/>
  <c r="A6090" i="1"/>
  <c r="A6089" i="1"/>
  <c r="A6088" i="1"/>
  <c r="A6087" i="1"/>
  <c r="A6086" i="1"/>
  <c r="A6085" i="1"/>
  <c r="A6054" i="1"/>
  <c r="A6053" i="1"/>
  <c r="A6052" i="1"/>
  <c r="A6051" i="1"/>
  <c r="A6050" i="1"/>
  <c r="A6019" i="1"/>
  <c r="A6018" i="1"/>
  <c r="A6017" i="1"/>
  <c r="A6016" i="1"/>
  <c r="A6015" i="1"/>
  <c r="A6014" i="1"/>
  <c r="A5986" i="1"/>
  <c r="A5985" i="1"/>
  <c r="A5984" i="1"/>
  <c r="A5983" i="1"/>
  <c r="A5982" i="1"/>
  <c r="A5963" i="1"/>
  <c r="A5903" i="1"/>
  <c r="A5852" i="1"/>
  <c r="A5851" i="1"/>
  <c r="A5850" i="1"/>
  <c r="A5834" i="1"/>
  <c r="A5833" i="1"/>
  <c r="A5832" i="1"/>
  <c r="A5831" i="1"/>
  <c r="A5819" i="1"/>
  <c r="A5818" i="1"/>
  <c r="A5817" i="1"/>
  <c r="A5807" i="1"/>
  <c r="A5803" i="1"/>
  <c r="A5802" i="1"/>
  <c r="A5801" i="1"/>
  <c r="A5781" i="1"/>
  <c r="A5780" i="1"/>
  <c r="A5779" i="1"/>
  <c r="A5778" i="1"/>
  <c r="A5756" i="1"/>
  <c r="A5755" i="1"/>
  <c r="A5754" i="1"/>
  <c r="A5735" i="1"/>
  <c r="A5734" i="1"/>
  <c r="A5733" i="1"/>
  <c r="A5732" i="1"/>
  <c r="A5715" i="1"/>
  <c r="A5714" i="1"/>
  <c r="A5713" i="1"/>
  <c r="A5712" i="1"/>
  <c r="A5711" i="1"/>
  <c r="A5660" i="1"/>
  <c r="A5659" i="1"/>
  <c r="A5645" i="1"/>
  <c r="A5644" i="1"/>
  <c r="A5451" i="1"/>
  <c r="A5450" i="1"/>
  <c r="A5449" i="1"/>
  <c r="A5437" i="1"/>
  <c r="A5436" i="1"/>
  <c r="A5392" i="1"/>
  <c r="A5391" i="1"/>
  <c r="A5336" i="1"/>
  <c r="A5335" i="1"/>
  <c r="A5320" i="1"/>
  <c r="A5268" i="1"/>
  <c r="A6834" i="1"/>
  <c r="A6833" i="1"/>
  <c r="A6832" i="1"/>
  <c r="A6831" i="1"/>
  <c r="A6804" i="1"/>
  <c r="A6744" i="1"/>
  <c r="A6743" i="1"/>
  <c r="A6693" i="1"/>
  <c r="A6692" i="1"/>
  <c r="A6675" i="1"/>
  <c r="A6674" i="1"/>
  <c r="A6634" i="1"/>
  <c r="A6607" i="1"/>
  <c r="A6606" i="1"/>
  <c r="A6605" i="1"/>
  <c r="A6534" i="1"/>
  <c r="A6515" i="1"/>
  <c r="A6514" i="1"/>
  <c r="A6554" i="1"/>
  <c r="A6533" i="1"/>
  <c r="A6513" i="1"/>
  <c r="A6512" i="1"/>
  <c r="A6446" i="1"/>
  <c r="A6444" i="1"/>
  <c r="A6445" i="1"/>
  <c r="A6443" i="1"/>
  <c r="A6433" i="1"/>
  <c r="A6361" i="1"/>
  <c r="A6360" i="1"/>
  <c r="A6432" i="1"/>
  <c r="A6414" i="1"/>
  <c r="A6328" i="1"/>
  <c r="A6327" i="1"/>
  <c r="A6442" i="1"/>
  <c r="A6431" i="1"/>
  <c r="A6386" i="1"/>
  <c r="A6331" i="1"/>
  <c r="A6315" i="1"/>
  <c r="A6314" i="1"/>
  <c r="A6330" i="1"/>
  <c r="A6313" i="1"/>
  <c r="A6274" i="1"/>
  <c r="A6273" i="1"/>
  <c r="A6272" i="1"/>
  <c r="A6271" i="1"/>
  <c r="A6193" i="1"/>
  <c r="A6192" i="1"/>
  <c r="A6161" i="1"/>
  <c r="A6191" i="1"/>
  <c r="A6160" i="1"/>
  <c r="A6117" i="1"/>
  <c r="A6116" i="1"/>
  <c r="A6084" i="1"/>
  <c r="A6083" i="1"/>
  <c r="A6082" i="1"/>
  <c r="A6013" i="1"/>
  <c r="A6081" i="1"/>
  <c r="A6012" i="1"/>
  <c r="A5902" i="1"/>
  <c r="A5901" i="1"/>
  <c r="A5862" i="1"/>
  <c r="A5861" i="1"/>
  <c r="A5777" i="1"/>
  <c r="A5731" i="1"/>
  <c r="A5730" i="1"/>
  <c r="A5679" i="1"/>
  <c r="A5230" i="1"/>
  <c r="A5209" i="1"/>
  <c r="A5208" i="1"/>
  <c r="A5195" i="1"/>
  <c r="A5194" i="1"/>
  <c r="A5193" i="1"/>
  <c r="A5025" i="1"/>
  <c r="A5024" i="1"/>
  <c r="A5010" i="1"/>
  <c r="A5009" i="1"/>
  <c r="A4857" i="1"/>
  <c r="A4808" i="1"/>
  <c r="A4807" i="1"/>
  <c r="A4664" i="1"/>
  <c r="A4663" i="1"/>
  <c r="A4583" i="1"/>
  <c r="A4582" i="1"/>
  <c r="A4569" i="1"/>
  <c r="A4568" i="1"/>
  <c r="A4559" i="1"/>
  <c r="A4534" i="1"/>
  <c r="A4516" i="1"/>
  <c r="A4492" i="1"/>
  <c r="A4480" i="1"/>
  <c r="A4479" i="1"/>
  <c r="A4503" i="1"/>
  <c r="A4515" i="1"/>
  <c r="A4502" i="1"/>
  <c r="A4501" i="1"/>
  <c r="A4491" i="1"/>
  <c r="A4490" i="1"/>
  <c r="A4468" i="1"/>
  <c r="A4467" i="1"/>
  <c r="A4444" i="1"/>
  <c r="A4423" i="1"/>
  <c r="A4409" i="1"/>
  <c r="A4408" i="1"/>
  <c r="A4454" i="1"/>
  <c r="A4453" i="1"/>
  <c r="A4443" i="1"/>
  <c r="A4442" i="1"/>
  <c r="A4452" i="1"/>
  <c r="A4451" i="1"/>
  <c r="A4422" i="1"/>
  <c r="A4421" i="1"/>
  <c r="A4407" i="1"/>
  <c r="A4406" i="1"/>
  <c r="A4420" i="1"/>
  <c r="A4419" i="1"/>
  <c r="A4418" i="1"/>
  <c r="A4417" i="1"/>
  <c r="A4386" i="1"/>
  <c r="A4385" i="1"/>
  <c r="A4352" i="1"/>
  <c r="A4351" i="1"/>
  <c r="A4350" i="1"/>
  <c r="A4349" i="1"/>
  <c r="A4348" i="1"/>
  <c r="A4398" i="1"/>
  <c r="A4397" i="1"/>
  <c r="A4384" i="1"/>
  <c r="A4335" i="1"/>
  <c r="A4280" i="1"/>
  <c r="A4318" i="1"/>
  <c r="A4304" i="1"/>
  <c r="A4303" i="1"/>
  <c r="A4302" i="1"/>
  <c r="A4301" i="1"/>
  <c r="A4279" i="1"/>
  <c r="A4278" i="1"/>
  <c r="A4258" i="1"/>
  <c r="A4300" i="1"/>
  <c r="A4299" i="1"/>
  <c r="A4298" i="1"/>
  <c r="A4297" i="1"/>
  <c r="A4277" i="1"/>
  <c r="A4276" i="1"/>
  <c r="A4275" i="1"/>
  <c r="A4274" i="1"/>
  <c r="A4257" i="1"/>
  <c r="A4256" i="1"/>
  <c r="A4255" i="1"/>
  <c r="A4254" i="1"/>
  <c r="A4225" i="1"/>
  <c r="A4224" i="1"/>
  <c r="A4191" i="1"/>
  <c r="A4239" i="1"/>
  <c r="A4238" i="1"/>
  <c r="A4237" i="1"/>
  <c r="A4236" i="1"/>
  <c r="A4223" i="1"/>
  <c r="A4222" i="1"/>
  <c r="A4221" i="1"/>
  <c r="A4212" i="1"/>
  <c r="A4211" i="1"/>
  <c r="A4210" i="1"/>
  <c r="A4209" i="1"/>
  <c r="A4190" i="1"/>
  <c r="A4189" i="1"/>
  <c r="A4139" i="1"/>
  <c r="A4124" i="1"/>
  <c r="A4107" i="1"/>
  <c r="A4078" i="1"/>
  <c r="A4077" i="1"/>
  <c r="A4076" i="1"/>
  <c r="A4060" i="1"/>
  <c r="A4040" i="1"/>
  <c r="A4029" i="1"/>
  <c r="A4028" i="1"/>
  <c r="A4015" i="1"/>
  <c r="A3996" i="1"/>
  <c r="A4027" i="1"/>
  <c r="A4026" i="1"/>
  <c r="A4014" i="1"/>
  <c r="A3995" i="1"/>
  <c r="A3963" i="1"/>
  <c r="A3947" i="1"/>
  <c r="A3936" i="1"/>
  <c r="A3935" i="1"/>
  <c r="A3934" i="1"/>
  <c r="A3933" i="1"/>
  <c r="A10747" i="1"/>
  <c r="A10738" i="1"/>
  <c r="A10737" i="1"/>
  <c r="A10735" i="1"/>
  <c r="A10734" i="1"/>
  <c r="A10730" i="1"/>
  <c r="A10729" i="1"/>
  <c r="A10728" i="1"/>
  <c r="A10727" i="1"/>
  <c r="A10717" i="1"/>
  <c r="A10716" i="1"/>
  <c r="A10715" i="1"/>
  <c r="A10714" i="1"/>
  <c r="A10703" i="1"/>
  <c r="A10699" i="1"/>
  <c r="A10698" i="1"/>
  <c r="A10697" i="1"/>
  <c r="A10689" i="1"/>
  <c r="A10688" i="1"/>
  <c r="A10685" i="1"/>
  <c r="A10684" i="1"/>
  <c r="A10683" i="1"/>
  <c r="A10665" i="1"/>
  <c r="A10664" i="1"/>
  <c r="A10663" i="1"/>
  <c r="A10660" i="1"/>
  <c r="A10659" i="1"/>
  <c r="A10658" i="1"/>
  <c r="A10645" i="1"/>
  <c r="A10644" i="1"/>
  <c r="A10634" i="1"/>
  <c r="A10633" i="1"/>
  <c r="A10632" i="1"/>
  <c r="A10618" i="1"/>
  <c r="A10617" i="1"/>
  <c r="A10616" i="1"/>
  <c r="A10615" i="1"/>
  <c r="A10597" i="1"/>
  <c r="A10577" i="1"/>
  <c r="A10576" i="1"/>
  <c r="A10575" i="1"/>
  <c r="A10574" i="1"/>
  <c r="A10559" i="1"/>
  <c r="A10558" i="1"/>
  <c r="A10557" i="1"/>
  <c r="A10551" i="1"/>
  <c r="A10540" i="1"/>
  <c r="A10539" i="1"/>
  <c r="A10538" i="1"/>
  <c r="A10537" i="1"/>
  <c r="A10522" i="1"/>
  <c r="A10487" i="1"/>
  <c r="A10474" i="1"/>
  <c r="A10473" i="1"/>
  <c r="A10458" i="1"/>
  <c r="A10457" i="1"/>
  <c r="A10456" i="1"/>
  <c r="A10445" i="1"/>
  <c r="A10444" i="1"/>
  <c r="A10426" i="1"/>
  <c r="A10415" i="1"/>
  <c r="A10401" i="1"/>
  <c r="A10400" i="1"/>
  <c r="A10399" i="1"/>
  <c r="A10384" i="1"/>
  <c r="A10358" i="1"/>
  <c r="A10357" i="1"/>
  <c r="A10356" i="1"/>
  <c r="A10335" i="1"/>
  <c r="A10334" i="1"/>
  <c r="A10321" i="1"/>
  <c r="A10320" i="1"/>
  <c r="A10319" i="1"/>
  <c r="A10318" i="1"/>
  <c r="A10290" i="1"/>
  <c r="A10289" i="1"/>
  <c r="A10288" i="1"/>
  <c r="A10287" i="1"/>
  <c r="A10269" i="1"/>
  <c r="A10255" i="1"/>
  <c r="A10254" i="1"/>
  <c r="A10253" i="1"/>
  <c r="A10239" i="1"/>
  <c r="A10238" i="1"/>
  <c r="A10237" i="1"/>
  <c r="A10236" i="1"/>
  <c r="A10221" i="1"/>
  <c r="A10220" i="1"/>
  <c r="A10195" i="1"/>
  <c r="A10194" i="1"/>
  <c r="A10182" i="1"/>
  <c r="A10181" i="1"/>
  <c r="A10140" i="1"/>
  <c r="A10105" i="1"/>
  <c r="A10104" i="1"/>
  <c r="A10103" i="1"/>
  <c r="A10102" i="1"/>
  <c r="A10079" i="1"/>
  <c r="A10078" i="1"/>
  <c r="A10077" i="1"/>
  <c r="A10076" i="1"/>
  <c r="A10061" i="1"/>
  <c r="A10035" i="1"/>
  <c r="A10034" i="1"/>
  <c r="A10001" i="1"/>
  <c r="A10000" i="1"/>
  <c r="A9999" i="1"/>
  <c r="A9978" i="1"/>
  <c r="A9977" i="1"/>
  <c r="A9970" i="1"/>
  <c r="A9939" i="1"/>
  <c r="A9938" i="1"/>
  <c r="A9919" i="1"/>
  <c r="A9918" i="1"/>
  <c r="A9917" i="1"/>
  <c r="A9884" i="1"/>
  <c r="A9883" i="1"/>
  <c r="A9872" i="1"/>
  <c r="A9871" i="1"/>
  <c r="A9870" i="1"/>
  <c r="A9869" i="1"/>
  <c r="A9868" i="1"/>
  <c r="A9855" i="1"/>
  <c r="A9854" i="1"/>
  <c r="A9831" i="1"/>
  <c r="A9830" i="1"/>
  <c r="A9814" i="1"/>
  <c r="A9813" i="1"/>
  <c r="A9812" i="1"/>
  <c r="A9805" i="1"/>
  <c r="A9804" i="1"/>
  <c r="A9803" i="1"/>
  <c r="A9787" i="1"/>
  <c r="A9786" i="1"/>
  <c r="A9776" i="1"/>
  <c r="A9775" i="1"/>
  <c r="A9774" i="1"/>
  <c r="A9750" i="1"/>
  <c r="A9749" i="1"/>
  <c r="A9748" i="1"/>
  <c r="A9747" i="1"/>
  <c r="A9728" i="1"/>
  <c r="A9727" i="1"/>
  <c r="A9726" i="1"/>
  <c r="A9725" i="1"/>
  <c r="A9701" i="1"/>
  <c r="A9700" i="1"/>
  <c r="A9699" i="1"/>
  <c r="A9698" i="1"/>
  <c r="A9681" i="1"/>
  <c r="A9680" i="1"/>
  <c r="A9664" i="1"/>
  <c r="A9663" i="1"/>
  <c r="A9651" i="1"/>
  <c r="A9650" i="1"/>
  <c r="A9628" i="1"/>
  <c r="A9627" i="1"/>
  <c r="A9626" i="1"/>
  <c r="A9607" i="1"/>
  <c r="A9606" i="1"/>
  <c r="A9605" i="1"/>
  <c r="A9585" i="1"/>
  <c r="A9584" i="1"/>
  <c r="A9583" i="1"/>
  <c r="A9582" i="1"/>
  <c r="A9565" i="1"/>
  <c r="A9564" i="1"/>
  <c r="A9563" i="1"/>
  <c r="A9562" i="1"/>
  <c r="A9561" i="1"/>
  <c r="A9547" i="1"/>
  <c r="A9546" i="1"/>
  <c r="A9534" i="1"/>
  <c r="A9533" i="1"/>
  <c r="A9532" i="1"/>
  <c r="A9526" i="1"/>
  <c r="A9525" i="1"/>
  <c r="A9524" i="1"/>
  <c r="A9523" i="1"/>
  <c r="A9513" i="1"/>
  <c r="A9512" i="1"/>
  <c r="A9511" i="1"/>
  <c r="A9510" i="1"/>
  <c r="A9491" i="1"/>
  <c r="A9490" i="1"/>
  <c r="A9489" i="1"/>
  <c r="A9488" i="1"/>
  <c r="A9473" i="1"/>
  <c r="A9472" i="1"/>
  <c r="A9453" i="1"/>
  <c r="A9452" i="1"/>
  <c r="A9451" i="1"/>
  <c r="A9440" i="1"/>
  <c r="A9428" i="1"/>
  <c r="A9427" i="1"/>
  <c r="A9426" i="1"/>
  <c r="A9418" i="1"/>
  <c r="A9417" i="1"/>
  <c r="A9406" i="1"/>
  <c r="A9405" i="1"/>
  <c r="A9404" i="1"/>
  <c r="A9403" i="1"/>
  <c r="A9387" i="1"/>
  <c r="A9386" i="1"/>
  <c r="A9385" i="1"/>
  <c r="A9367" i="1"/>
  <c r="A9366" i="1"/>
  <c r="A9353" i="1"/>
  <c r="A9352" i="1"/>
  <c r="A9351" i="1"/>
  <c r="A9350" i="1"/>
  <c r="A9332" i="1"/>
  <c r="A9331" i="1"/>
  <c r="A9330" i="1"/>
  <c r="A9329" i="1"/>
  <c r="A9291" i="1"/>
  <c r="A9276" i="1"/>
  <c r="A9275" i="1"/>
  <c r="A9266" i="1"/>
  <c r="A9265" i="1"/>
  <c r="A9264" i="1"/>
  <c r="A9244" i="1"/>
  <c r="A9243" i="1"/>
  <c r="A9231" i="1"/>
  <c r="A9230" i="1"/>
  <c r="A9213" i="1"/>
  <c r="A9212" i="1"/>
  <c r="A9211" i="1"/>
  <c r="A9210" i="1"/>
  <c r="A9192" i="1"/>
  <c r="A9191" i="1"/>
  <c r="A9174" i="1"/>
  <c r="A9173" i="1"/>
  <c r="A9155" i="1"/>
  <c r="A9146" i="1"/>
  <c r="A9145" i="1"/>
  <c r="A9144" i="1"/>
  <c r="A9131" i="1"/>
  <c r="A9130" i="1"/>
  <c r="A9118" i="1"/>
  <c r="A9117" i="1"/>
  <c r="A9116" i="1"/>
  <c r="A9098" i="1"/>
  <c r="A9097" i="1"/>
  <c r="A9086" i="1"/>
  <c r="A9073" i="1"/>
  <c r="A9072" i="1"/>
  <c r="A9071" i="1"/>
  <c r="A9070" i="1"/>
  <c r="A9065" i="1"/>
  <c r="A9064" i="1"/>
  <c r="A9059" i="1"/>
  <c r="A9055" i="1"/>
  <c r="A9054" i="1"/>
  <c r="A9048" i="1"/>
  <c r="A9047" i="1"/>
  <c r="A9034" i="1"/>
  <c r="A9033" i="1"/>
  <c r="A9024" i="1"/>
  <c r="A9023" i="1"/>
  <c r="A9007" i="1"/>
  <c r="A9006" i="1"/>
  <c r="A9005" i="1"/>
  <c r="A8993" i="1"/>
  <c r="A8992" i="1"/>
  <c r="A8991" i="1"/>
  <c r="A8978" i="1"/>
  <c r="A8977" i="1"/>
  <c r="A8976" i="1"/>
  <c r="A8951" i="1"/>
  <c r="A8950" i="1"/>
  <c r="A8925" i="1"/>
  <c r="A8924" i="1"/>
  <c r="A8923" i="1"/>
  <c r="A8891" i="1"/>
  <c r="A8890" i="1"/>
  <c r="A8850" i="1"/>
  <c r="A8849" i="1"/>
  <c r="A8682" i="1"/>
  <c r="A8681" i="1"/>
  <c r="A8661" i="1"/>
  <c r="A8660" i="1"/>
  <c r="A8659" i="1"/>
  <c r="A8635" i="1"/>
  <c r="A8634" i="1"/>
  <c r="A8633" i="1"/>
  <c r="A8614" i="1"/>
  <c r="A8613" i="1"/>
  <c r="A8612" i="1"/>
  <c r="A8590" i="1"/>
  <c r="A8589" i="1"/>
  <c r="A8588" i="1"/>
  <c r="A8561" i="1"/>
  <c r="A8560" i="1"/>
  <c r="A8559" i="1"/>
  <c r="A8520" i="1"/>
  <c r="A8519" i="1"/>
  <c r="A8505" i="1"/>
  <c r="A8488" i="1"/>
  <c r="A8487" i="1"/>
  <c r="A8486" i="1"/>
  <c r="A8485" i="1"/>
  <c r="A8469" i="1"/>
  <c r="A8468" i="1"/>
  <c r="A8467" i="1"/>
  <c r="A8466" i="1"/>
  <c r="A8435" i="1"/>
  <c r="A8434" i="1"/>
  <c r="A8411" i="1"/>
  <c r="A8410" i="1"/>
  <c r="A8409" i="1"/>
  <c r="A8408" i="1"/>
  <c r="A8381" i="1"/>
  <c r="A8380" i="1"/>
  <c r="A8379" i="1"/>
  <c r="A8378" i="1"/>
  <c r="A8345" i="1"/>
  <c r="A8344" i="1"/>
  <c r="A8343" i="1"/>
  <c r="A8342" i="1"/>
  <c r="A8324" i="1"/>
  <c r="A8305" i="1"/>
  <c r="A8304" i="1"/>
  <c r="A8303" i="1"/>
  <c r="A8280" i="1"/>
  <c r="A8279" i="1"/>
  <c r="A8278" i="1"/>
  <c r="A8255" i="1"/>
  <c r="A8254" i="1"/>
  <c r="A8225" i="1"/>
  <c r="A8224" i="1"/>
  <c r="A8223" i="1"/>
  <c r="A8208" i="1"/>
  <c r="A8207" i="1"/>
  <c r="A8187" i="1"/>
  <c r="A8186" i="1"/>
  <c r="A8185" i="1"/>
  <c r="A8184" i="1"/>
  <c r="A8168" i="1"/>
  <c r="A8167" i="1"/>
  <c r="A8166" i="1"/>
  <c r="A8165" i="1"/>
  <c r="A8147" i="1"/>
  <c r="A8146" i="1"/>
  <c r="A8145" i="1"/>
  <c r="A8144" i="1"/>
  <c r="A8120" i="1"/>
  <c r="A8119" i="1"/>
  <c r="A8118" i="1"/>
  <c r="A8117" i="1"/>
  <c r="A8093" i="1"/>
  <c r="A8092" i="1"/>
  <c r="A8091" i="1"/>
  <c r="A8090" i="1"/>
  <c r="A8089" i="1"/>
  <c r="A8062" i="1"/>
  <c r="A8061" i="1"/>
  <c r="A8060" i="1"/>
  <c r="A8040" i="1"/>
  <c r="A8039" i="1"/>
  <c r="A8038" i="1"/>
  <c r="A8037" i="1"/>
  <c r="A8006" i="1"/>
  <c r="A8005" i="1"/>
  <c r="A8004" i="1"/>
  <c r="A8003" i="1"/>
  <c r="A7950" i="1"/>
  <c r="A7949" i="1"/>
  <c r="A7948" i="1"/>
  <c r="A7947" i="1"/>
  <c r="A7918" i="1"/>
  <c r="A7917" i="1"/>
  <c r="A7916" i="1"/>
  <c r="A7885" i="1"/>
  <c r="A7884" i="1"/>
  <c r="A7853" i="1"/>
  <c r="A7852" i="1"/>
  <c r="A7851" i="1"/>
  <c r="A7850" i="1"/>
  <c r="A7781" i="1"/>
  <c r="A7780" i="1"/>
  <c r="A7779" i="1"/>
  <c r="A7778" i="1"/>
  <c r="A7777" i="1"/>
  <c r="A7754" i="1"/>
  <c r="A7753" i="1"/>
  <c r="A7752" i="1"/>
  <c r="A7751" i="1"/>
  <c r="A7726" i="1"/>
  <c r="A7725" i="1"/>
  <c r="A7724" i="1"/>
  <c r="A7723" i="1"/>
  <c r="A7682" i="1"/>
  <c r="A7681" i="1"/>
  <c r="A7680" i="1"/>
  <c r="A7679" i="1"/>
  <c r="A7657" i="1"/>
  <c r="A7656" i="1"/>
  <c r="A7655" i="1"/>
  <c r="A7654" i="1"/>
  <c r="A7635" i="1"/>
  <c r="A7634" i="1"/>
  <c r="A7633" i="1"/>
  <c r="A7632" i="1"/>
  <c r="A7609" i="1"/>
  <c r="A7608" i="1"/>
  <c r="A7607" i="1"/>
  <c r="A7606" i="1"/>
  <c r="A7582" i="1"/>
  <c r="A7581" i="1"/>
  <c r="A7580" i="1"/>
  <c r="A7579" i="1"/>
  <c r="A7553" i="1"/>
  <c r="A7552" i="1"/>
  <c r="A7551" i="1"/>
  <c r="A7526" i="1"/>
  <c r="A7504" i="1"/>
  <c r="A7503" i="1"/>
  <c r="A7502" i="1"/>
  <c r="A7501" i="1"/>
  <c r="A7500" i="1"/>
  <c r="A7483" i="1"/>
  <c r="A7482" i="1"/>
  <c r="A7481" i="1"/>
  <c r="A7480" i="1"/>
  <c r="A7456" i="1"/>
  <c r="A7455" i="1"/>
  <c r="A7454" i="1"/>
  <c r="A7453" i="1"/>
  <c r="A7432" i="1"/>
  <c r="A7431" i="1"/>
  <c r="A7430" i="1"/>
  <c r="A7413" i="1"/>
  <c r="A7412" i="1"/>
  <c r="A7411" i="1"/>
  <c r="A7410" i="1"/>
  <c r="A7389" i="1"/>
  <c r="A7388" i="1"/>
  <c r="A7370" i="1"/>
  <c r="A7369" i="1"/>
  <c r="A7368" i="1"/>
  <c r="A7367" i="1"/>
  <c r="A7344" i="1"/>
  <c r="A7343" i="1"/>
  <c r="A7293" i="1"/>
  <c r="A7292" i="1"/>
  <c r="A7273" i="1"/>
  <c r="A7226" i="1"/>
  <c r="A7225" i="1"/>
  <c r="A7204" i="1"/>
  <c r="A7161" i="1"/>
  <c r="A7160" i="1"/>
  <c r="A7139" i="1"/>
  <c r="A7100" i="1"/>
  <c r="A7028" i="1"/>
  <c r="A6963" i="1"/>
  <c r="A6962" i="1"/>
  <c r="A6946" i="1"/>
  <c r="A6945" i="1"/>
  <c r="A6944" i="1"/>
  <c r="A6926" i="1"/>
  <c r="A6925" i="1"/>
  <c r="A6924" i="1"/>
  <c r="A6923" i="1"/>
  <c r="A6911" i="1"/>
  <c r="A6889" i="1"/>
  <c r="A6888" i="1"/>
  <c r="A6887" i="1"/>
  <c r="A6870" i="1"/>
  <c r="A6869" i="1"/>
  <c r="A6868" i="1"/>
  <c r="A6867" i="1"/>
  <c r="A6852" i="1"/>
  <c r="A6830" i="1"/>
  <c r="A6829" i="1"/>
  <c r="A6828" i="1"/>
  <c r="A6803" i="1"/>
  <c r="A6792" i="1"/>
  <c r="A6791" i="1"/>
  <c r="A6768" i="1"/>
  <c r="A6767" i="1"/>
  <c r="A6766" i="1"/>
  <c r="A6742" i="1"/>
  <c r="A6741" i="1"/>
  <c r="A6740" i="1"/>
  <c r="A6739" i="1"/>
  <c r="A6717" i="1"/>
  <c r="A6716" i="1"/>
  <c r="A6691" i="1"/>
  <c r="A6690" i="1"/>
  <c r="A6673" i="1"/>
  <c r="A6672" i="1"/>
  <c r="A6671" i="1"/>
  <c r="A6664" i="1"/>
  <c r="A6663" i="1"/>
  <c r="A6662" i="1"/>
  <c r="A6661" i="1"/>
  <c r="A6660" i="1"/>
  <c r="A6646" i="1"/>
  <c r="A6645" i="1"/>
  <c r="A6633" i="1"/>
  <c r="A6632" i="1"/>
  <c r="A6631" i="1"/>
  <c r="A6630" i="1"/>
  <c r="A6629" i="1"/>
  <c r="A6604" i="1"/>
  <c r="A6603" i="1"/>
  <c r="A6602" i="1"/>
  <c r="A6584" i="1"/>
  <c r="A6583" i="1"/>
  <c r="A6582" i="1"/>
  <c r="A6570" i="1"/>
  <c r="A6569" i="1"/>
  <c r="A6553" i="1"/>
  <c r="A6552" i="1"/>
  <c r="A6551" i="1"/>
  <c r="A6532" i="1"/>
  <c r="A6531" i="1"/>
  <c r="A6530" i="1"/>
  <c r="A6511" i="1"/>
  <c r="A6510" i="1"/>
  <c r="A6509" i="1"/>
  <c r="A6484" i="1"/>
  <c r="A6483" i="1"/>
  <c r="A6482" i="1"/>
  <c r="A6458" i="1"/>
  <c r="A6457" i="1"/>
  <c r="A6430" i="1"/>
  <c r="A6429" i="1"/>
  <c r="A6428" i="1"/>
  <c r="A6413" i="1"/>
  <c r="A6412" i="1"/>
  <c r="A6411" i="1"/>
  <c r="A6410" i="1"/>
  <c r="A6409" i="1"/>
  <c r="A6408" i="1"/>
  <c r="A6385" i="1"/>
  <c r="A6384" i="1"/>
  <c r="A6383" i="1"/>
  <c r="A6382" i="1"/>
  <c r="A6381" i="1"/>
  <c r="A6359" i="1"/>
  <c r="A6358" i="1"/>
  <c r="A6357" i="1"/>
  <c r="A6356" i="1"/>
  <c r="A6355" i="1"/>
  <c r="A6339" i="1"/>
  <c r="A6338" i="1"/>
  <c r="A6337" i="1"/>
  <c r="A6336" i="1"/>
  <c r="A6325" i="1"/>
  <c r="A6324" i="1"/>
  <c r="A6323" i="1"/>
  <c r="A6322" i="1"/>
  <c r="A6312" i="1"/>
  <c r="A6311" i="1"/>
  <c r="A6310" i="1"/>
  <c r="A6309" i="1"/>
  <c r="A6288" i="1"/>
  <c r="A6287" i="1"/>
  <c r="A6286" i="1"/>
  <c r="A6285" i="1"/>
  <c r="A6284" i="1"/>
  <c r="A6283" i="1"/>
  <c r="A6270" i="1"/>
  <c r="A6269" i="1"/>
  <c r="A6268" i="1"/>
  <c r="A6267" i="1"/>
  <c r="A6255" i="1"/>
  <c r="A6254" i="1"/>
  <c r="A6253" i="1"/>
  <c r="A6252" i="1"/>
  <c r="A6217" i="1"/>
  <c r="A6216" i="1"/>
  <c r="A6190" i="1"/>
  <c r="A6189" i="1"/>
  <c r="A6159" i="1"/>
  <c r="A6158" i="1"/>
  <c r="A6157" i="1"/>
  <c r="A6156" i="1"/>
  <c r="A6155" i="1"/>
  <c r="A6154" i="1"/>
  <c r="A6133" i="1"/>
  <c r="A6132" i="1"/>
  <c r="A6131" i="1"/>
  <c r="A6130" i="1"/>
  <c r="A6115" i="1"/>
  <c r="A6114" i="1"/>
  <c r="A6113" i="1"/>
  <c r="A6112" i="1"/>
  <c r="A6111" i="1"/>
  <c r="A6110" i="1"/>
  <c r="A6109" i="1"/>
  <c r="A6108" i="1"/>
  <c r="A6107" i="1"/>
  <c r="A6080" i="1"/>
  <c r="A6079" i="1"/>
  <c r="A6078" i="1"/>
  <c r="A6077" i="1"/>
  <c r="A6076" i="1"/>
  <c r="A6075" i="1"/>
  <c r="A6074" i="1"/>
  <c r="A6073" i="1"/>
  <c r="A6072" i="1"/>
  <c r="A6049" i="1"/>
  <c r="A6048" i="1"/>
  <c r="A6047" i="1"/>
  <c r="A6046" i="1"/>
  <c r="A6045" i="1"/>
  <c r="A6044" i="1"/>
  <c r="A6043" i="1"/>
  <c r="A6042" i="1"/>
  <c r="A6041" i="1"/>
  <c r="A6011" i="1"/>
  <c r="A6010" i="1"/>
  <c r="A6009" i="1"/>
  <c r="A6008" i="1"/>
  <c r="A6007" i="1"/>
  <c r="A6006" i="1"/>
  <c r="A6005" i="1"/>
  <c r="A6004" i="1"/>
  <c r="A5981" i="1"/>
  <c r="A5980" i="1"/>
  <c r="A5979" i="1"/>
  <c r="A5962" i="1"/>
  <c r="A5961" i="1"/>
  <c r="A5960" i="1"/>
  <c r="A5950" i="1"/>
  <c r="A5949" i="1"/>
  <c r="A5948" i="1"/>
  <c r="A5947" i="1"/>
  <c r="A5946" i="1"/>
  <c r="A5945" i="1"/>
  <c r="A5928" i="1"/>
  <c r="A5927" i="1"/>
  <c r="A5926" i="1"/>
  <c r="A5925" i="1"/>
  <c r="A5924" i="1"/>
  <c r="A5923" i="1"/>
  <c r="A5922" i="1"/>
  <c r="A5921" i="1"/>
  <c r="A5900" i="1"/>
  <c r="A5899" i="1"/>
  <c r="A5898" i="1"/>
  <c r="A5897" i="1"/>
  <c r="A5896" i="1"/>
  <c r="A5895" i="1"/>
  <c r="A5894" i="1"/>
  <c r="A5893" i="1"/>
  <c r="A5878" i="1"/>
  <c r="A5877" i="1"/>
  <c r="A5876" i="1"/>
  <c r="A5875" i="1"/>
  <c r="A5874" i="1"/>
  <c r="A5873" i="1"/>
  <c r="A5860" i="1"/>
  <c r="A5849" i="1"/>
  <c r="A5848" i="1"/>
  <c r="A5847" i="1"/>
  <c r="A5846" i="1"/>
  <c r="A5845" i="1"/>
  <c r="A5830" i="1"/>
  <c r="A5829" i="1"/>
  <c r="A5816" i="1"/>
  <c r="A5815" i="1"/>
  <c r="A5814" i="1"/>
  <c r="A5800" i="1"/>
  <c r="A5799" i="1"/>
  <c r="A5776" i="1"/>
  <c r="A5775" i="1"/>
  <c r="A5729" i="1"/>
  <c r="A5728" i="1"/>
  <c r="A5727" i="1"/>
  <c r="A5726" i="1"/>
  <c r="A5710" i="1"/>
  <c r="A5709" i="1"/>
  <c r="A5708" i="1"/>
  <c r="A5658" i="1"/>
  <c r="A5602" i="1"/>
  <c r="A5601" i="1"/>
  <c r="A5600" i="1"/>
  <c r="A5599" i="1"/>
  <c r="A5598" i="1"/>
  <c r="A5584" i="1"/>
  <c r="A5583" i="1"/>
  <c r="A5582" i="1"/>
  <c r="A5562" i="1"/>
  <c r="A5561" i="1"/>
  <c r="A5560" i="1"/>
  <c r="A5550" i="1"/>
  <c r="A5549" i="1"/>
  <c r="A5548" i="1"/>
  <c r="A5513" i="1"/>
  <c r="A5504" i="1"/>
  <c r="A5503" i="1"/>
  <c r="A5502" i="1"/>
  <c r="A5487" i="1"/>
  <c r="A5486" i="1"/>
  <c r="A5474" i="1"/>
  <c r="A5473" i="1"/>
  <c r="A5460" i="1"/>
  <c r="A5459" i="1"/>
  <c r="A5447" i="1"/>
  <c r="A5446" i="1"/>
  <c r="A5445" i="1"/>
  <c r="A5444" i="1"/>
  <c r="A5435" i="1"/>
  <c r="A5434" i="1"/>
  <c r="A5433" i="1"/>
  <c r="A5432" i="1"/>
  <c r="A5412" i="1"/>
  <c r="A5411" i="1"/>
  <c r="A5390" i="1"/>
  <c r="A5389" i="1"/>
  <c r="A5354" i="1"/>
  <c r="A5353" i="1"/>
  <c r="A5334" i="1"/>
  <c r="A5333" i="1"/>
  <c r="A5319" i="1"/>
  <c r="A5310" i="1"/>
  <c r="A5309" i="1"/>
  <c r="A5301" i="1"/>
  <c r="A5289" i="1"/>
  <c r="A5288" i="1"/>
  <c r="A5287" i="1"/>
  <c r="A5286" i="1"/>
  <c r="A5267" i="1"/>
  <c r="A5266" i="1"/>
  <c r="A5265" i="1"/>
  <c r="A5264" i="1"/>
  <c r="A5248" i="1"/>
  <c r="A5247" i="1"/>
  <c r="A5246" i="1"/>
  <c r="A5245" i="1"/>
  <c r="A5220" i="1"/>
  <c r="A5219" i="1"/>
  <c r="A5207" i="1"/>
  <c r="A5206" i="1"/>
  <c r="A5192" i="1"/>
  <c r="A5191" i="1"/>
  <c r="A5190" i="1"/>
  <c r="A5189" i="1"/>
  <c r="A5175" i="1"/>
  <c r="A5174" i="1"/>
  <c r="A5155" i="1"/>
  <c r="A5154" i="1"/>
  <c r="A5143" i="1"/>
  <c r="A5142" i="1"/>
  <c r="A5126" i="1"/>
  <c r="A5125" i="1"/>
  <c r="A5042" i="1"/>
  <c r="A5041" i="1"/>
  <c r="A5040" i="1"/>
  <c r="A5039" i="1"/>
  <c r="A5038" i="1"/>
  <c r="A5037" i="1"/>
  <c r="A4980" i="1"/>
  <c r="A4979" i="1"/>
  <c r="A4964" i="1"/>
  <c r="A4963" i="1"/>
  <c r="A4952" i="1"/>
  <c r="A4951" i="1"/>
  <c r="A4937" i="1"/>
  <c r="A4936" i="1"/>
  <c r="A4904" i="1"/>
  <c r="A4903" i="1"/>
  <c r="A4898" i="1"/>
  <c r="A4897" i="1"/>
  <c r="A4896" i="1"/>
  <c r="A4895" i="1"/>
  <c r="A4882" i="1"/>
  <c r="A4881" i="1"/>
  <c r="A4880" i="1"/>
  <c r="A4865" i="1"/>
  <c r="A4864" i="1"/>
  <c r="A4856" i="1"/>
  <c r="A4855" i="1"/>
  <c r="A4854" i="1"/>
  <c r="A4834" i="1"/>
  <c r="A4833" i="1"/>
  <c r="A4822" i="1"/>
  <c r="A4821" i="1"/>
  <c r="A4806" i="1"/>
  <c r="A4805" i="1"/>
  <c r="A4779" i="1"/>
  <c r="A4778" i="1"/>
  <c r="A4770" i="1"/>
  <c r="A4757" i="1"/>
  <c r="A4756" i="1"/>
  <c r="A4744" i="1"/>
  <c r="A4720" i="1"/>
  <c r="A4719" i="1"/>
  <c r="A4706" i="1"/>
  <c r="A4705" i="1"/>
  <c r="A4704" i="1"/>
  <c r="A4693" i="1"/>
  <c r="A4692" i="1"/>
  <c r="A4683" i="1"/>
  <c r="A4674" i="1"/>
  <c r="A4662" i="1"/>
  <c r="A4661" i="1"/>
  <c r="A4651" i="1"/>
  <c r="A4628" i="1"/>
  <c r="A4627" i="1"/>
  <c r="A4599" i="1"/>
  <c r="A4598" i="1"/>
  <c r="A4581" i="1"/>
  <c r="A4558" i="1"/>
  <c r="A4557" i="1"/>
  <c r="A4545" i="1"/>
  <c r="A4544" i="1"/>
  <c r="A4533" i="1"/>
  <c r="A4532" i="1"/>
  <c r="A4478" i="1"/>
  <c r="A4466" i="1"/>
  <c r="A4465" i="1"/>
  <c r="A4441" i="1"/>
  <c r="A4440" i="1"/>
  <c r="A4416" i="1"/>
  <c r="A4405" i="1"/>
  <c r="A4396" i="1"/>
  <c r="A4395" i="1"/>
  <c r="A4394" i="1"/>
  <c r="A4383" i="1"/>
  <c r="A4382" i="1"/>
  <c r="A4367" i="1"/>
  <c r="A4366" i="1"/>
  <c r="A4347" i="1"/>
  <c r="A4346" i="1"/>
  <c r="A4334" i="1"/>
  <c r="A4333" i="1"/>
  <c r="A4317" i="1"/>
  <c r="A4296" i="1"/>
  <c r="A4295" i="1"/>
  <c r="A4273" i="1"/>
  <c r="A4253" i="1"/>
  <c r="A4252" i="1"/>
  <c r="A4220" i="1"/>
  <c r="A4219" i="1"/>
  <c r="A4218" i="1"/>
  <c r="A4208" i="1"/>
  <c r="A4207" i="1"/>
  <c r="A4173" i="1"/>
  <c r="A4172" i="1"/>
  <c r="A4138" i="1"/>
  <c r="A4137" i="1"/>
  <c r="A4123" i="1"/>
  <c r="A4122" i="1"/>
  <c r="A4106" i="1"/>
  <c r="A4105" i="1"/>
  <c r="A4085" i="1"/>
  <c r="A4075" i="1"/>
  <c r="A4013" i="1"/>
  <c r="A4012" i="1"/>
  <c r="A4011" i="1"/>
  <c r="A3983" i="1"/>
  <c r="A3982" i="1"/>
  <c r="A3962" i="1"/>
  <c r="A3961" i="1"/>
  <c r="A3960" i="1"/>
  <c r="A3946" i="1"/>
  <c r="A3932" i="1"/>
  <c r="A3931" i="1"/>
  <c r="A3913" i="1"/>
  <c r="A3912" i="1"/>
  <c r="A3894" i="1"/>
  <c r="A3893" i="1"/>
  <c r="A3882" i="1"/>
  <c r="A3881" i="1"/>
  <c r="A3865" i="1"/>
  <c r="A3864" i="1"/>
  <c r="A3863" i="1"/>
  <c r="A3844" i="1"/>
  <c r="A3826" i="1"/>
  <c r="A3815" i="1"/>
  <c r="A3814" i="1"/>
  <c r="A3795" i="1"/>
  <c r="A3794" i="1"/>
  <c r="A3793" i="1"/>
  <c r="A3779" i="1"/>
  <c r="A3778" i="1"/>
  <c r="A3759" i="1"/>
  <c r="A3758" i="1"/>
  <c r="A3744" i="1"/>
  <c r="A3743" i="1"/>
  <c r="A3718" i="1"/>
  <c r="A3717" i="1"/>
  <c r="A3701" i="1"/>
  <c r="A3689" i="1"/>
  <c r="A3688" i="1"/>
  <c r="A3687" i="1"/>
  <c r="A3672" i="1"/>
  <c r="A3671" i="1"/>
  <c r="A3670" i="1"/>
  <c r="A3669" i="1"/>
  <c r="A3651" i="1"/>
  <c r="A3638" i="1"/>
  <c r="A3637" i="1"/>
  <c r="A3624" i="1"/>
  <c r="A3623" i="1"/>
  <c r="A3614" i="1"/>
  <c r="A3613" i="1"/>
  <c r="A3596" i="1"/>
  <c r="A3595" i="1"/>
  <c r="A3574" i="1"/>
  <c r="A3573" i="1"/>
  <c r="A3556" i="1"/>
  <c r="A3555" i="1"/>
  <c r="A3544" i="1"/>
  <c r="A3529" i="1"/>
  <c r="A3528" i="1"/>
  <c r="A3515" i="1"/>
  <c r="A3514" i="1"/>
  <c r="A3501" i="1"/>
  <c r="A3500" i="1"/>
  <c r="A3485" i="1"/>
  <c r="A3484" i="1"/>
  <c r="A3468" i="1"/>
  <c r="A3467" i="1"/>
  <c r="A3454" i="1"/>
  <c r="A3453" i="1"/>
  <c r="A3431" i="1"/>
  <c r="A3430" i="1"/>
  <c r="A3410" i="1"/>
  <c r="A3409" i="1"/>
  <c r="A3388" i="1"/>
  <c r="A3387" i="1"/>
  <c r="A3386" i="1"/>
  <c r="A3361" i="1"/>
  <c r="A3360" i="1"/>
  <c r="A3359" i="1"/>
  <c r="A3358" i="1"/>
  <c r="A3357" i="1"/>
  <c r="A3335" i="1"/>
  <c r="A3334" i="1"/>
  <c r="A3316" i="1"/>
  <c r="A3315" i="1"/>
  <c r="A3299" i="1"/>
  <c r="A3298" i="1"/>
  <c r="A3285" i="1"/>
  <c r="A3284" i="1"/>
  <c r="A3260" i="1"/>
  <c r="A3259" i="1"/>
  <c r="A3258" i="1"/>
  <c r="A3233" i="1"/>
  <c r="A3232" i="1"/>
  <c r="A3214" i="1"/>
  <c r="A3213" i="1"/>
  <c r="A3197" i="1"/>
  <c r="A3196" i="1"/>
  <c r="A3169" i="1"/>
  <c r="A3168" i="1"/>
  <c r="A3155" i="1"/>
  <c r="A3154" i="1"/>
  <c r="A3129" i="1"/>
  <c r="A3128" i="1"/>
  <c r="A3110" i="1"/>
  <c r="A3109" i="1"/>
  <c r="A2037" i="1"/>
  <c r="A2036" i="1"/>
  <c r="A2035" i="1"/>
  <c r="A2034" i="1"/>
  <c r="A2033" i="1"/>
  <c r="A1993" i="1"/>
  <c r="A1988" i="1"/>
  <c r="A1981" i="1"/>
  <c r="A1975" i="1"/>
  <c r="A1974" i="1"/>
  <c r="A1967" i="1"/>
  <c r="A1966" i="1"/>
  <c r="A1962" i="1"/>
  <c r="A1952" i="1"/>
  <c r="A1951" i="1"/>
  <c r="A1950" i="1"/>
  <c r="A1939" i="1"/>
  <c r="A1938" i="1"/>
  <c r="A1937" i="1"/>
  <c r="A1928" i="1"/>
  <c r="A1927" i="1"/>
  <c r="A1926" i="1"/>
  <c r="A1897" i="1"/>
  <c r="A1896" i="1"/>
  <c r="A1895" i="1"/>
  <c r="A1894" i="1"/>
  <c r="A1878" i="1"/>
  <c r="A1877" i="1"/>
  <c r="A1862" i="1"/>
  <c r="A1861" i="1"/>
  <c r="A1860" i="1"/>
  <c r="A1827" i="1"/>
  <c r="A1826" i="1"/>
  <c r="A1809" i="1"/>
  <c r="A1808" i="1"/>
  <c r="A1807" i="1"/>
  <c r="A1789" i="1"/>
  <c r="A1788" i="1"/>
  <c r="A1787" i="1"/>
  <c r="A1769" i="1"/>
  <c r="A1768" i="1"/>
  <c r="A1761" i="1"/>
  <c r="A1760" i="1"/>
  <c r="A1736" i="1"/>
  <c r="A1735" i="1"/>
  <c r="A1734" i="1"/>
  <c r="A1733" i="1"/>
  <c r="A1722" i="1"/>
  <c r="A1721" i="1"/>
  <c r="A1709" i="1"/>
  <c r="A1695" i="1"/>
  <c r="A1694" i="1"/>
  <c r="A1673" i="1"/>
  <c r="A1672" i="1"/>
  <c r="A1671" i="1"/>
  <c r="A1653" i="1"/>
  <c r="A1643" i="1"/>
  <c r="A1642" i="1"/>
  <c r="A1641" i="1"/>
  <c r="A1627" i="1"/>
  <c r="A1626" i="1"/>
  <c r="A1615" i="1"/>
  <c r="A1581" i="1"/>
  <c r="A1563" i="1"/>
  <c r="A1494" i="1"/>
  <c r="A1493" i="1"/>
  <c r="A1469" i="1"/>
  <c r="A1461" i="1"/>
  <c r="A1460" i="1"/>
  <c r="A1455" i="1"/>
  <c r="A7946" i="1"/>
  <c r="A7945" i="1"/>
  <c r="A7944" i="1"/>
  <c r="A7943" i="1"/>
  <c r="A7942" i="1"/>
  <c r="A7941" i="1"/>
  <c r="A7915" i="1"/>
  <c r="A7914" i="1"/>
  <c r="A7913" i="1"/>
  <c r="A7912" i="1"/>
  <c r="A7911" i="1"/>
  <c r="A7910" i="1"/>
  <c r="A7883" i="1"/>
  <c r="A7882" i="1"/>
  <c r="A7706" i="1"/>
  <c r="A7705" i="1"/>
  <c r="A7704" i="1"/>
  <c r="A7703" i="1"/>
  <c r="A7699" i="1"/>
  <c r="A7698" i="1"/>
  <c r="A7697" i="1"/>
  <c r="A7605" i="1"/>
  <c r="A7604" i="1"/>
  <c r="A7550" i="1"/>
  <c r="A7549" i="1"/>
  <c r="A7499" i="1"/>
  <c r="A7498" i="1"/>
  <c r="A7497" i="1"/>
  <c r="A7496" i="1"/>
  <c r="A7444" i="1"/>
  <c r="A7443" i="1"/>
  <c r="A7442" i="1"/>
  <c r="A7429" i="1"/>
  <c r="A7428" i="1"/>
  <c r="A7427" i="1"/>
  <c r="A7426" i="1"/>
  <c r="A7409" i="1"/>
  <c r="A7408" i="1"/>
  <c r="A7407" i="1"/>
  <c r="A7406" i="1"/>
  <c r="A7224" i="1"/>
  <c r="A7223" i="1"/>
  <c r="A7222" i="1"/>
  <c r="A7221" i="1"/>
  <c r="A7203" i="1"/>
  <c r="A7202" i="1"/>
  <c r="A7201" i="1"/>
  <c r="A7200" i="1"/>
  <c r="A7184" i="1"/>
  <c r="A7183" i="1"/>
  <c r="A6851" i="1"/>
  <c r="A6850" i="1"/>
  <c r="A6827" i="1"/>
  <c r="A6826" i="1"/>
  <c r="A6825" i="1"/>
  <c r="A6824" i="1"/>
  <c r="A6790" i="1"/>
  <c r="A6789" i="1"/>
  <c r="A6788" i="1"/>
  <c r="A6787" i="1"/>
  <c r="A6715" i="1"/>
  <c r="A6714" i="1"/>
  <c r="A6713" i="1"/>
  <c r="A6628" i="1"/>
  <c r="A6627" i="1"/>
  <c r="A6626" i="1"/>
  <c r="A6559" i="1"/>
  <c r="A6558" i="1"/>
  <c r="A6557" i="1"/>
  <c r="A6550" i="1"/>
  <c r="A6549" i="1"/>
  <c r="A6548" i="1"/>
  <c r="A6547" i="1"/>
  <c r="A6508" i="1"/>
  <c r="A6507" i="1"/>
  <c r="A6506" i="1"/>
  <c r="A6505" i="1"/>
  <c r="A6504" i="1"/>
  <c r="A6503" i="1"/>
  <c r="A6481" i="1"/>
  <c r="A6480" i="1"/>
  <c r="A6479" i="1"/>
  <c r="A6478" i="1"/>
  <c r="A6427" i="1"/>
  <c r="A6426" i="1"/>
  <c r="A6425" i="1"/>
  <c r="A6424" i="1"/>
  <c r="A6354" i="1"/>
  <c r="A6353" i="1"/>
  <c r="A6352" i="1"/>
  <c r="A6351" i="1"/>
  <c r="A6308" i="1"/>
  <c r="A6307" i="1"/>
  <c r="A6306" i="1"/>
  <c r="A6305" i="1"/>
  <c r="A6266" i="1"/>
  <c r="A6265" i="1"/>
  <c r="A6264" i="1"/>
  <c r="A6236" i="1"/>
  <c r="A6235" i="1"/>
  <c r="A6234" i="1"/>
  <c r="A6188" i="1"/>
  <c r="A6187" i="1"/>
  <c r="A6040" i="1"/>
  <c r="A6039" i="1"/>
  <c r="A6038" i="1"/>
  <c r="A6003" i="1"/>
  <c r="A6002" i="1"/>
  <c r="A6001" i="1"/>
  <c r="A6000" i="1"/>
  <c r="A5959" i="1"/>
  <c r="A5958" i="1"/>
  <c r="A10755" i="1"/>
  <c r="A10746" i="1"/>
  <c r="A10743" i="1"/>
  <c r="A10742" i="1"/>
  <c r="A10739" i="1"/>
  <c r="A10736" i="1"/>
  <c r="A10726" i="1"/>
  <c r="A10707" i="1"/>
  <c r="A10662" i="1"/>
  <c r="A10661" i="1"/>
  <c r="A10657" i="1"/>
  <c r="A10656" i="1"/>
  <c r="A10655" i="1"/>
  <c r="A10652" i="1"/>
  <c r="A10648" i="1"/>
  <c r="A10647" i="1"/>
  <c r="A10643" i="1"/>
  <c r="A10631" i="1"/>
  <c r="A10614" i="1"/>
  <c r="A10613" i="1"/>
  <c r="A10612" i="1"/>
  <c r="A10607" i="1"/>
  <c r="A10596" i="1"/>
  <c r="A10573" i="1"/>
  <c r="A10572" i="1"/>
  <c r="A10556" i="1"/>
  <c r="A10536" i="1"/>
  <c r="A10521" i="1"/>
  <c r="A10486" i="1"/>
  <c r="A10485" i="1"/>
  <c r="A10472" i="1"/>
  <c r="A10455" i="1"/>
  <c r="A10454" i="1"/>
  <c r="A10448" i="1"/>
  <c r="A10447" i="1"/>
  <c r="A10443" i="1"/>
  <c r="A10442" i="1"/>
  <c r="A10425" i="1"/>
  <c r="A10414" i="1"/>
  <c r="A10413" i="1"/>
  <c r="A10398" i="1"/>
  <c r="A10383" i="1"/>
  <c r="A10382" i="1"/>
  <c r="A10381" i="1"/>
  <c r="A10369" i="1"/>
  <c r="A10355" i="1"/>
  <c r="A10354" i="1"/>
  <c r="A10353" i="1"/>
  <c r="A10352" i="1"/>
  <c r="A10351" i="1"/>
  <c r="A10350" i="1"/>
  <c r="A10333" i="1"/>
  <c r="A10317" i="1"/>
  <c r="A10316" i="1"/>
  <c r="A10315" i="1"/>
  <c r="A10311" i="1"/>
  <c r="A10286" i="1"/>
  <c r="A10285" i="1"/>
  <c r="A10268" i="1"/>
  <c r="A10252" i="1"/>
  <c r="A10251" i="1"/>
  <c r="A10235" i="1"/>
  <c r="A10234" i="1"/>
  <c r="A10219" i="1"/>
  <c r="A10208" i="1"/>
  <c r="A10207" i="1"/>
  <c r="A10206" i="1"/>
  <c r="A10180" i="1"/>
  <c r="A10179" i="1"/>
  <c r="A10178" i="1"/>
  <c r="A10174" i="1"/>
  <c r="A10166" i="1"/>
  <c r="A10165" i="1"/>
  <c r="A10164" i="1"/>
  <c r="A10163" i="1"/>
  <c r="A10162" i="1"/>
  <c r="A10155" i="1"/>
  <c r="A10152" i="1"/>
  <c r="A10146" i="1"/>
  <c r="A10139" i="1"/>
  <c r="A10138" i="1"/>
  <c r="A10126" i="1"/>
  <c r="A10125" i="1"/>
  <c r="A10119" i="1"/>
  <c r="A10112" i="1"/>
  <c r="A10111" i="1"/>
  <c r="A10101" i="1"/>
  <c r="A10100" i="1"/>
  <c r="A10094" i="1"/>
  <c r="A10093" i="1"/>
  <c r="A10075" i="1"/>
  <c r="A10074" i="1"/>
  <c r="A10033" i="1"/>
  <c r="A10032" i="1"/>
  <c r="A9998" i="1"/>
  <c r="A9976" i="1"/>
  <c r="A9969" i="1"/>
  <c r="A9968" i="1"/>
  <c r="A9967" i="1"/>
  <c r="A9955" i="1"/>
  <c r="A9937" i="1"/>
  <c r="A9936" i="1"/>
  <c r="A9935" i="1"/>
  <c r="A9916" i="1"/>
  <c r="A9915" i="1"/>
  <c r="A9897" i="1"/>
  <c r="A9882" i="1"/>
  <c r="A9853" i="1"/>
  <c r="A9852" i="1"/>
  <c r="A9840" i="1"/>
  <c r="A9839" i="1"/>
  <c r="A9829" i="1"/>
  <c r="A9828" i="1"/>
  <c r="A9827" i="1"/>
  <c r="A9811" i="1"/>
  <c r="A9802" i="1"/>
  <c r="A9785" i="1"/>
  <c r="A9784" i="1"/>
  <c r="A9773" i="1"/>
  <c r="A9772" i="1"/>
  <c r="A9746" i="1"/>
  <c r="A9745" i="1"/>
  <c r="A9724" i="1"/>
  <c r="A9723" i="1"/>
  <c r="A9697" i="1"/>
  <c r="A9696" i="1"/>
  <c r="A9679" i="1"/>
  <c r="A9662" i="1"/>
  <c r="A9649" i="1"/>
  <c r="A9648" i="1"/>
  <c r="A9634" i="1"/>
  <c r="A9625" i="1"/>
  <c r="A9581" i="1"/>
  <c r="A9604" i="1"/>
  <c r="A9603" i="1"/>
  <c r="A9560" i="1"/>
  <c r="A9545" i="1"/>
  <c r="A9531" i="1"/>
  <c r="A9522" i="1"/>
  <c r="A9521" i="1"/>
  <c r="A9509" i="1"/>
  <c r="A9508" i="1"/>
  <c r="A9499" i="1"/>
  <c r="A9496" i="1"/>
  <c r="A9487" i="1"/>
  <c r="A9486" i="1"/>
  <c r="A9471" i="1"/>
  <c r="A9470" i="1"/>
  <c r="A9469" i="1"/>
  <c r="A9450" i="1"/>
  <c r="A9449" i="1"/>
  <c r="A9439" i="1"/>
  <c r="A9425" i="1"/>
  <c r="A9424" i="1"/>
  <c r="A9416" i="1"/>
  <c r="A9402" i="1"/>
  <c r="A9401" i="1"/>
  <c r="A9384" i="1"/>
  <c r="A9383" i="1"/>
  <c r="A9382" i="1"/>
  <c r="A9365" i="1"/>
  <c r="A9364" i="1"/>
  <c r="A9349" i="1"/>
  <c r="A9348" i="1"/>
  <c r="A9340" i="1"/>
  <c r="A9328" i="1"/>
  <c r="A9327" i="1"/>
  <c r="A9310" i="1"/>
  <c r="A9290" i="1"/>
  <c r="A9289" i="1"/>
  <c r="A9288" i="1"/>
  <c r="A9287" i="1"/>
  <c r="A9274" i="1"/>
  <c r="A9273" i="1"/>
  <c r="A9272" i="1"/>
  <c r="A9263" i="1"/>
  <c r="A9262" i="1"/>
  <c r="A9261" i="1"/>
  <c r="A9248" i="1"/>
  <c r="A9242" i="1"/>
  <c r="A9241" i="1"/>
  <c r="A9240" i="1"/>
  <c r="A9229" i="1"/>
  <c r="A9228" i="1"/>
  <c r="A9227" i="1"/>
  <c r="A9209" i="1"/>
  <c r="A9208" i="1"/>
  <c r="A9190" i="1"/>
  <c r="A9189" i="1"/>
  <c r="A9188" i="1"/>
  <c r="A9172" i="1"/>
  <c r="A9171" i="1"/>
  <c r="A9161" i="1"/>
  <c r="A9143" i="1"/>
  <c r="A9160" i="1"/>
  <c r="A9154" i="1"/>
  <c r="A9153" i="1"/>
  <c r="A9142" i="1"/>
  <c r="A9141" i="1"/>
  <c r="A9115" i="1"/>
  <c r="A9114" i="1"/>
  <c r="A9113" i="1"/>
  <c r="A9112" i="1"/>
  <c r="A9096" i="1"/>
  <c r="A9095" i="1"/>
  <c r="A9085" i="1"/>
  <c r="A9063" i="1"/>
  <c r="A9069" i="1"/>
  <c r="A9062" i="1"/>
  <c r="A9058" i="1"/>
  <c r="A9057" i="1"/>
  <c r="A9053" i="1"/>
  <c r="A9052" i="1"/>
  <c r="A9044" i="1"/>
  <c r="A9043" i="1"/>
  <c r="A9042" i="1"/>
  <c r="A9032" i="1"/>
  <c r="A9031" i="1"/>
  <c r="A9030" i="1"/>
  <c r="A9029" i="1"/>
  <c r="A9028" i="1"/>
  <c r="A9022" i="1"/>
  <c r="A9021" i="1"/>
  <c r="A9020" i="1"/>
  <c r="A9017" i="1"/>
  <c r="A9016" i="1"/>
  <c r="A9004" i="1"/>
  <c r="A9003" i="1"/>
  <c r="A9002" i="1"/>
  <c r="A9001" i="1"/>
  <c r="A8990" i="1"/>
  <c r="A8989" i="1"/>
  <c r="A8975" i="1"/>
  <c r="A8974" i="1"/>
  <c r="A8973" i="1"/>
  <c r="A8972" i="1"/>
  <c r="A8960" i="1"/>
  <c r="A8959" i="1"/>
  <c r="A8949" i="1"/>
  <c r="A8948" i="1"/>
  <c r="A8947" i="1"/>
  <c r="A8946" i="1"/>
  <c r="A8922" i="1"/>
  <c r="A8921" i="1"/>
  <c r="A8920" i="1"/>
  <c r="A8919" i="1"/>
  <c r="A8918" i="1"/>
  <c r="A8889" i="1"/>
  <c r="A8888" i="1"/>
  <c r="A8887" i="1"/>
  <c r="A8871" i="1"/>
  <c r="A8870" i="1"/>
  <c r="A8869" i="1"/>
  <c r="A8848" i="1"/>
  <c r="A8847" i="1"/>
  <c r="A8832" i="1"/>
  <c r="A8846" i="1"/>
  <c r="A8831" i="1"/>
  <c r="A8819" i="1"/>
  <c r="A8818" i="1"/>
  <c r="A8807" i="1"/>
  <c r="A8806" i="1"/>
  <c r="A8805" i="1"/>
  <c r="A8788" i="1"/>
  <c r="A8787" i="1"/>
  <c r="A8786" i="1"/>
  <c r="A8768" i="1"/>
  <c r="A8767" i="1"/>
  <c r="A8740" i="1"/>
  <c r="A8739" i="1"/>
  <c r="A8738" i="1"/>
  <c r="A8718" i="1"/>
  <c r="A8705" i="1"/>
  <c r="A8680" i="1"/>
  <c r="A8679" i="1"/>
  <c r="A8678" i="1"/>
  <c r="A8658" i="1"/>
  <c r="A8657" i="1"/>
  <c r="A8632" i="1"/>
  <c r="A8620" i="1"/>
  <c r="A8587" i="1"/>
  <c r="A8619" i="1"/>
  <c r="A8586" i="1"/>
  <c r="A8585" i="1"/>
  <c r="A8584" i="1"/>
  <c r="A8558" i="1"/>
  <c r="A8557" i="1"/>
  <c r="A8002" i="1"/>
  <c r="A8556" i="1"/>
  <c r="A8518" i="1"/>
  <c r="A8504" i="1"/>
  <c r="A8503" i="1"/>
  <c r="A8484" i="1"/>
  <c r="A8483" i="1"/>
  <c r="A8482" i="1"/>
  <c r="A8465" i="1"/>
  <c r="A8464" i="1"/>
  <c r="A8463" i="1"/>
  <c r="A8407" i="1"/>
  <c r="A8406" i="1"/>
  <c r="A8377" i="1"/>
  <c r="A8376" i="1"/>
  <c r="A8375" i="1"/>
  <c r="A8374" i="1"/>
  <c r="A8357" i="1"/>
  <c r="A8356" i="1"/>
  <c r="A8341" i="1"/>
  <c r="A8340" i="1"/>
  <c r="A8323" i="1"/>
  <c r="A8322" i="1"/>
  <c r="A8321" i="1"/>
  <c r="A8302" i="1"/>
  <c r="A8277" i="1"/>
  <c r="A8276" i="1"/>
  <c r="A8275" i="1"/>
  <c r="A8253" i="1"/>
  <c r="A8236" i="1"/>
  <c r="A8222" i="1"/>
  <c r="A8206" i="1"/>
  <c r="A8205" i="1"/>
  <c r="A8204" i="1"/>
  <c r="A8203" i="1"/>
  <c r="A8164" i="1"/>
  <c r="A8143" i="1"/>
  <c r="A8142" i="1"/>
  <c r="A8135" i="1"/>
  <c r="A8116" i="1"/>
  <c r="A8115" i="1"/>
  <c r="A8088" i="1"/>
  <c r="A8087" i="1"/>
  <c r="A8086" i="1"/>
  <c r="A8059" i="1"/>
  <c r="A8058" i="1"/>
  <c r="A8057" i="1"/>
  <c r="A8056" i="1"/>
  <c r="A8036" i="1"/>
  <c r="A8035" i="1"/>
  <c r="A8034" i="1"/>
  <c r="A8033" i="1"/>
  <c r="A8001" i="1"/>
  <c r="A8000" i="1"/>
  <c r="A7980" i="1"/>
  <c r="A7973" i="1"/>
  <c r="A7972" i="1"/>
  <c r="A7971" i="1"/>
  <c r="A7970" i="1"/>
  <c r="A7940" i="1"/>
  <c r="A7939" i="1"/>
  <c r="A7938" i="1"/>
  <c r="A7909" i="1"/>
  <c r="A7908" i="1"/>
  <c r="A7907" i="1"/>
  <c r="A7906" i="1"/>
  <c r="A7881" i="1"/>
  <c r="A7880" i="1"/>
  <c r="A7879" i="1"/>
  <c r="A7849" i="1"/>
  <c r="A7848" i="1"/>
  <c r="A7847" i="1"/>
  <c r="A7808" i="1"/>
  <c r="A7807" i="1"/>
  <c r="A7776" i="1"/>
  <c r="A7775" i="1"/>
  <c r="A7750" i="1"/>
  <c r="A7749" i="1"/>
  <c r="A7722" i="1"/>
  <c r="A7721" i="1"/>
  <c r="A7720" i="1"/>
  <c r="A7719" i="1"/>
  <c r="A7718" i="1"/>
  <c r="A7696" i="1"/>
  <c r="A7695" i="1"/>
  <c r="A7678" i="1"/>
  <c r="A7677" i="1"/>
  <c r="A7676" i="1"/>
  <c r="A7653" i="1"/>
  <c r="A7652" i="1"/>
  <c r="A7631" i="1"/>
  <c r="A7630" i="1"/>
  <c r="A7629" i="1"/>
  <c r="A7578" i="1"/>
  <c r="A7577" i="1"/>
  <c r="A7576" i="1"/>
  <c r="A7548" i="1"/>
  <c r="A7547" i="1"/>
  <c r="A7546" i="1"/>
  <c r="A7525" i="1"/>
  <c r="A7524" i="1"/>
  <c r="A7523" i="1"/>
  <c r="A7522" i="1"/>
  <c r="A7521" i="1"/>
  <c r="A7495" i="1"/>
  <c r="A7494" i="1"/>
  <c r="A7493" i="1"/>
  <c r="A7479" i="1"/>
  <c r="A7478" i="1"/>
  <c r="A7452" i="1"/>
  <c r="A7451" i="1"/>
  <c r="A7441" i="1"/>
  <c r="A7425" i="1"/>
  <c r="A7405" i="1"/>
  <c r="A7404" i="1"/>
  <c r="A7403" i="1"/>
  <c r="A7387" i="1"/>
  <c r="A7386" i="1"/>
  <c r="A7366" i="1"/>
  <c r="A7365" i="1"/>
  <c r="A7342" i="1"/>
  <c r="A7341" i="1"/>
  <c r="A7340" i="1"/>
  <c r="A7326" i="1"/>
  <c r="A7325" i="1"/>
  <c r="A7310" i="1"/>
  <c r="A7309" i="1"/>
  <c r="A7291" i="1"/>
  <c r="A7290" i="1"/>
  <c r="A7272" i="1"/>
  <c r="A7271" i="1"/>
  <c r="A7258" i="1"/>
  <c r="A7257" i="1"/>
  <c r="A7256" i="1"/>
  <c r="A7255" i="1"/>
  <c r="A7244" i="1"/>
  <c r="A7243" i="1"/>
  <c r="A7199" i="1"/>
  <c r="A7198" i="1"/>
  <c r="A7197" i="1"/>
  <c r="A7196" i="1"/>
  <c r="A7195" i="1"/>
  <c r="A7182" i="1"/>
  <c r="A7181" i="1"/>
  <c r="A7159" i="1"/>
  <c r="A7158" i="1"/>
  <c r="A7138" i="1"/>
  <c r="A7137" i="1"/>
  <c r="A7136" i="1"/>
  <c r="A7123" i="1"/>
  <c r="A7113" i="1"/>
  <c r="A7099" i="1"/>
  <c r="A7098" i="1"/>
  <c r="A7097" i="1"/>
  <c r="A7083" i="1"/>
  <c r="A7082" i="1"/>
  <c r="A7063" i="1"/>
  <c r="A7062" i="1"/>
  <c r="A7049" i="1"/>
  <c r="A7048" i="1"/>
  <c r="A7027" i="1"/>
  <c r="A7026" i="1"/>
  <c r="A7025" i="1"/>
  <c r="A7008" i="1"/>
  <c r="A7007" i="1"/>
  <c r="A6996" i="1"/>
  <c r="A6995" i="1"/>
  <c r="A6994" i="1"/>
  <c r="A6981" i="1"/>
  <c r="A6980" i="1"/>
  <c r="A6961" i="1"/>
  <c r="A6960" i="1"/>
  <c r="A6943" i="1"/>
  <c r="A6942" i="1"/>
  <c r="A6941" i="1"/>
  <c r="A6922" i="1"/>
  <c r="A6910" i="1"/>
  <c r="A6909" i="1"/>
  <c r="A6886" i="1"/>
  <c r="A6866" i="1"/>
  <c r="A6865" i="1"/>
  <c r="A6857" i="1"/>
  <c r="A6849" i="1"/>
  <c r="A6823" i="1"/>
  <c r="A6822" i="1"/>
  <c r="A6802" i="1"/>
  <c r="A6786" i="1"/>
  <c r="A6785" i="1"/>
  <c r="A6784" i="1"/>
  <c r="A6738" i="1"/>
  <c r="A6737" i="1"/>
  <c r="A6712" i="1"/>
  <c r="A6711" i="1"/>
  <c r="A6710" i="1"/>
  <c r="A6709" i="1"/>
  <c r="A6689" i="1"/>
  <c r="A6670" i="1"/>
  <c r="A6601" i="1"/>
  <c r="A6625" i="1"/>
  <c r="A6624" i="1"/>
  <c r="A6600" i="1"/>
  <c r="A6659" i="1"/>
  <c r="A6658" i="1"/>
  <c r="A6657" i="1"/>
  <c r="A6653" i="1"/>
  <c r="A6644" i="1"/>
  <c r="A6623" i="1"/>
  <c r="A6643" i="1"/>
  <c r="A6622" i="1"/>
  <c r="A6621" i="1"/>
  <c r="A6599" i="1"/>
  <c r="A6598" i="1"/>
  <c r="A6597" i="1"/>
  <c r="A6596" i="1"/>
  <c r="A6581" i="1"/>
  <c r="A6580" i="1"/>
  <c r="A6568" i="1"/>
  <c r="A6567" i="1"/>
  <c r="A6546" i="1"/>
  <c r="A6529" i="1"/>
  <c r="A6528" i="1"/>
  <c r="A6527" i="1"/>
  <c r="A6526" i="1"/>
  <c r="A6502" i="1"/>
  <c r="A6501" i="1"/>
  <c r="A6477" i="1"/>
  <c r="A6476" i="1"/>
  <c r="A6456" i="1"/>
  <c r="A6455" i="1"/>
  <c r="A6454" i="1"/>
  <c r="A6453" i="1"/>
  <c r="A6441" i="1"/>
  <c r="A6423" i="1"/>
  <c r="A6422" i="1"/>
  <c r="A6421" i="1"/>
  <c r="A6407" i="1"/>
  <c r="A6406" i="1"/>
  <c r="A6380" i="1"/>
  <c r="A6379" i="1"/>
  <c r="A6378" i="1"/>
  <c r="A6350" i="1"/>
  <c r="A6349" i="1"/>
  <c r="A6348" i="1"/>
  <c r="A6335" i="1"/>
  <c r="A6334" i="1"/>
  <c r="A6304" i="1"/>
  <c r="A6303" i="1"/>
  <c r="A6282" i="1"/>
  <c r="A6281" i="1"/>
  <c r="A6263" i="1"/>
  <c r="A6262" i="1"/>
  <c r="A6261" i="1"/>
  <c r="A6251" i="1"/>
  <c r="A6250" i="1"/>
  <c r="A6240" i="1"/>
  <c r="A6215" i="1"/>
  <c r="A6214" i="1"/>
  <c r="A6213" i="1"/>
  <c r="A6186" i="1"/>
  <c r="A6185" i="1"/>
  <c r="A6153" i="1"/>
  <c r="A6152" i="1"/>
  <c r="A6151" i="1"/>
  <c r="A6106" i="1"/>
  <c r="A6105" i="1"/>
  <c r="A6104" i="1"/>
  <c r="A6103" i="1"/>
  <c r="A6071" i="1"/>
  <c r="A6070" i="1"/>
  <c r="A6069" i="1"/>
  <c r="A6037" i="1"/>
  <c r="A6036" i="1"/>
  <c r="A5999" i="1"/>
  <c r="A5998" i="1"/>
  <c r="A5978" i="1"/>
  <c r="A5957" i="1"/>
  <c r="A5944" i="1"/>
  <c r="A5920" i="1"/>
  <c r="A5919" i="1"/>
  <c r="A5892" i="1"/>
  <c r="A5891" i="1"/>
  <c r="A5866" i="1"/>
  <c r="A5865" i="1"/>
  <c r="A5774" i="1"/>
  <c r="A5773" i="1"/>
  <c r="A5772" i="1"/>
  <c r="A5753" i="1"/>
  <c r="A5752" i="1"/>
  <c r="A5751" i="1"/>
  <c r="A5725" i="1"/>
  <c r="A5724" i="1"/>
  <c r="A5723" i="1"/>
  <c r="A5707" i="1"/>
  <c r="A5706" i="1"/>
  <c r="A5705" i="1"/>
  <c r="A5699" i="1"/>
  <c r="A5694" i="1"/>
  <c r="A5693" i="1"/>
  <c r="A5678" i="1"/>
  <c r="A5677" i="1"/>
  <c r="A5657" i="1"/>
  <c r="A5656" i="1"/>
  <c r="A5655" i="1"/>
  <c r="A5643" i="1"/>
  <c r="A5642" i="1"/>
  <c r="A5641" i="1"/>
  <c r="A5640" i="1"/>
  <c r="A5632" i="1"/>
  <c r="A5631" i="1"/>
  <c r="A5608" i="1"/>
  <c r="A5597" i="1"/>
  <c r="A5596" i="1"/>
  <c r="A5581" i="1"/>
  <c r="A5580" i="1"/>
  <c r="A5579" i="1"/>
  <c r="A5578" i="1"/>
  <c r="A5559" i="1"/>
  <c r="A5558" i="1"/>
  <c r="A5557" i="1"/>
  <c r="A5547" i="1"/>
  <c r="A5546" i="1"/>
  <c r="A5545" i="1"/>
  <c r="A5537" i="1"/>
  <c r="A5536" i="1"/>
  <c r="A5512" i="1"/>
  <c r="A5511" i="1"/>
  <c r="A5501" i="1"/>
  <c r="A5500" i="1"/>
  <c r="A5499" i="1"/>
  <c r="A5485" i="1"/>
  <c r="A5484" i="1"/>
  <c r="A5483" i="1"/>
  <c r="A5472" i="1"/>
  <c r="A5471" i="1"/>
  <c r="A5470" i="1"/>
  <c r="A5469" i="1"/>
  <c r="A5458" i="1"/>
  <c r="A5457" i="1"/>
  <c r="A5443" i="1"/>
  <c r="A5442" i="1"/>
  <c r="A5431" i="1"/>
  <c r="A5430" i="1"/>
  <c r="A5410" i="1"/>
  <c r="A5402" i="1"/>
  <c r="A5401" i="1"/>
  <c r="A5393" i="1"/>
  <c r="A5388" i="1"/>
  <c r="A5387" i="1"/>
  <c r="A5386" i="1"/>
  <c r="A5377" i="1"/>
  <c r="A5376" i="1"/>
  <c r="A5352" i="1"/>
  <c r="A5332" i="1"/>
  <c r="A5331" i="1"/>
  <c r="A5330" i="1"/>
  <c r="A5318" i="1"/>
  <c r="A5317" i="1"/>
  <c r="A5316" i="1"/>
  <c r="A5315" i="1"/>
  <c r="A5314" i="1"/>
  <c r="A5313" i="1"/>
  <c r="A5308" i="1"/>
  <c r="A5307" i="1"/>
  <c r="A5306" i="1"/>
  <c r="A5285" i="1"/>
  <c r="A5284" i="1"/>
  <c r="A5263" i="1"/>
  <c r="A5262" i="1"/>
  <c r="A5261" i="1"/>
  <c r="A5244" i="1"/>
  <c r="A5243" i="1"/>
  <c r="A5242" i="1"/>
  <c r="A5218" i="1"/>
  <c r="A5217" i="1"/>
  <c r="A5216" i="1"/>
  <c r="A5205" i="1"/>
  <c r="A5204" i="1"/>
  <c r="A5203" i="1"/>
  <c r="A5188" i="1"/>
  <c r="A5187" i="1"/>
  <c r="A5173" i="1"/>
  <c r="A5172" i="1"/>
  <c r="A5153" i="1"/>
  <c r="A5152" i="1"/>
  <c r="A5141" i="1"/>
  <c r="A5140" i="1"/>
  <c r="A5139" i="1"/>
  <c r="A5124" i="1"/>
  <c r="A5102" i="1"/>
  <c r="A5076" i="1"/>
  <c r="A5075" i="1"/>
  <c r="A5057" i="1"/>
  <c r="A5056" i="1"/>
  <c r="A5031" i="1"/>
  <c r="A5023" i="1"/>
  <c r="A5022" i="1"/>
  <c r="A5008" i="1"/>
  <c r="A4997" i="1"/>
  <c r="A4996" i="1"/>
  <c r="A4978" i="1"/>
  <c r="A4967" i="1"/>
  <c r="A4966" i="1"/>
  <c r="A4962" i="1"/>
  <c r="A4961" i="1"/>
  <c r="A4950" i="1"/>
  <c r="A4949" i="1"/>
  <c r="A4935" i="1"/>
  <c r="A4925" i="1"/>
  <c r="A4924" i="1"/>
  <c r="A4912" i="1"/>
  <c r="A4902" i="1"/>
  <c r="A4901" i="1"/>
  <c r="A4879" i="1"/>
  <c r="A4878" i="1"/>
  <c r="A4863" i="1"/>
  <c r="A4853" i="1"/>
  <c r="A4832" i="1"/>
  <c r="A4820" i="1"/>
  <c r="A4804" i="1"/>
  <c r="A4782" i="1"/>
  <c r="A4777" i="1"/>
  <c r="A4769" i="1"/>
  <c r="A4755" i="1"/>
  <c r="A4743" i="1"/>
  <c r="A4731" i="1"/>
  <c r="A4722" i="1"/>
  <c r="A4718" i="1"/>
  <c r="A4717" i="1"/>
  <c r="A4703" i="1"/>
  <c r="A4702" i="1"/>
  <c r="A4691" i="1"/>
  <c r="A4682" i="1"/>
  <c r="A4673" i="1"/>
  <c r="A4672" i="1"/>
  <c r="A4660" i="1"/>
  <c r="A4650" i="1"/>
  <c r="A4649" i="1"/>
  <c r="A4637" i="1"/>
  <c r="A4636" i="1"/>
  <c r="A4626" i="1"/>
  <c r="A4614" i="1"/>
  <c r="A4613" i="1"/>
  <c r="A4597" i="1"/>
  <c r="A4580" i="1"/>
  <c r="A4579" i="1"/>
  <c r="A4567" i="1"/>
  <c r="A4566" i="1"/>
  <c r="A4556" i="1"/>
  <c r="A4555" i="1"/>
  <c r="A4554" i="1"/>
  <c r="A4543" i="1"/>
  <c r="A4538" i="1"/>
  <c r="A4537" i="1"/>
  <c r="A4531" i="1"/>
  <c r="A4530" i="1"/>
  <c r="A4529" i="1"/>
  <c r="A4528" i="1"/>
  <c r="A4514" i="1"/>
  <c r="A4500" i="1"/>
  <c r="A4489" i="1"/>
  <c r="A4488" i="1"/>
  <c r="A4464" i="1"/>
  <c r="A4450" i="1"/>
  <c r="A4449" i="1"/>
  <c r="A4439" i="1"/>
  <c r="A4415" i="1"/>
  <c r="A4404" i="1"/>
  <c r="A4403" i="1"/>
  <c r="A4402" i="1"/>
  <c r="A4399" i="1"/>
  <c r="A4381" i="1"/>
  <c r="A4365" i="1"/>
  <c r="A4364" i="1"/>
  <c r="A4363" i="1"/>
  <c r="A4345" i="1"/>
  <c r="A4344" i="1"/>
  <c r="A4332" i="1"/>
  <c r="A4331" i="1"/>
  <c r="A4325" i="1"/>
  <c r="A4324" i="1"/>
  <c r="A4323" i="1"/>
  <c r="A4316" i="1"/>
  <c r="A4315" i="1"/>
  <c r="A4294" i="1"/>
  <c r="A4293" i="1"/>
  <c r="A4272" i="1"/>
  <c r="A4271" i="1"/>
  <c r="A4270" i="1"/>
  <c r="A4269" i="1"/>
  <c r="A4251" i="1"/>
  <c r="A4250" i="1"/>
  <c r="A4242" i="1"/>
  <c r="A4235" i="1"/>
  <c r="A4234" i="1"/>
  <c r="A4233" i="1"/>
  <c r="A4232" i="1"/>
  <c r="A4217" i="1"/>
  <c r="A4188" i="1"/>
  <c r="A4187" i="1"/>
  <c r="A4186" i="1"/>
  <c r="A4171" i="1"/>
  <c r="A4170" i="1"/>
  <c r="A4169" i="1"/>
  <c r="A4154" i="1"/>
  <c r="A4153" i="1"/>
  <c r="A4152" i="1"/>
  <c r="A4151" i="1"/>
  <c r="A4136" i="1"/>
  <c r="A4135" i="1"/>
  <c r="A4121" i="1"/>
  <c r="A4120" i="1"/>
  <c r="A4119" i="1"/>
  <c r="A4118" i="1"/>
  <c r="A4104" i="1"/>
  <c r="A4103" i="1"/>
  <c r="A4102" i="1"/>
  <c r="A4101" i="1"/>
  <c r="A4084" i="1"/>
  <c r="A4083" i="1"/>
  <c r="A4074" i="1"/>
  <c r="A4073" i="1"/>
  <c r="A4072" i="1"/>
  <c r="A4059" i="1"/>
  <c r="A4050" i="1"/>
  <c r="A4049" i="1"/>
  <c r="A4048" i="1"/>
  <c r="A4043" i="1"/>
  <c r="A4042" i="1"/>
  <c r="A4039" i="1"/>
  <c r="A4038" i="1"/>
  <c r="A4025" i="1"/>
  <c r="A4024" i="1"/>
  <c r="A4023" i="1"/>
  <c r="A4022" i="1"/>
  <c r="A4010" i="1"/>
  <c r="A4009" i="1"/>
  <c r="A3994" i="1"/>
  <c r="A3993" i="1"/>
  <c r="A3992" i="1"/>
  <c r="A3981" i="1"/>
  <c r="A3980" i="1"/>
  <c r="A3979" i="1"/>
  <c r="A3967" i="1"/>
  <c r="A3959" i="1"/>
  <c r="A3945" i="1"/>
  <c r="A3944" i="1"/>
  <c r="A3930" i="1"/>
  <c r="A3929" i="1"/>
  <c r="A3928" i="1"/>
  <c r="A3911" i="1"/>
  <c r="A3910" i="1"/>
  <c r="A3909" i="1"/>
  <c r="A3908" i="1"/>
  <c r="A3907" i="1"/>
  <c r="A3892" i="1"/>
  <c r="A3885" i="1"/>
  <c r="A3880" i="1"/>
  <c r="A3879" i="1"/>
  <c r="A3878" i="1"/>
  <c r="A3877" i="1"/>
  <c r="A3862" i="1"/>
  <c r="A3861" i="1"/>
  <c r="A3860" i="1"/>
  <c r="A3843" i="1"/>
  <c r="A3842" i="1"/>
  <c r="A3841" i="1"/>
  <c r="A3825" i="1"/>
  <c r="A3824" i="1"/>
  <c r="A3823" i="1"/>
  <c r="A3822" i="1"/>
  <c r="A3813" i="1"/>
  <c r="A3812" i="1"/>
  <c r="A3802" i="1"/>
  <c r="A3801" i="1"/>
  <c r="A3800" i="1"/>
  <c r="A3792" i="1"/>
  <c r="A3791" i="1"/>
  <c r="A3790" i="1"/>
  <c r="A3777" i="1"/>
  <c r="A3776" i="1"/>
  <c r="A3775" i="1"/>
  <c r="A3757" i="1"/>
  <c r="A3756" i="1"/>
  <c r="A3742" i="1"/>
  <c r="A3741" i="1"/>
  <c r="A3740" i="1"/>
  <c r="A3716" i="1"/>
  <c r="A3715" i="1"/>
  <c r="A3703" i="1"/>
  <c r="A3702" i="1"/>
  <c r="A3700" i="1"/>
  <c r="A3699" i="1"/>
  <c r="A3686" i="1"/>
  <c r="A3685" i="1"/>
  <c r="A3684" i="1"/>
  <c r="A3668" i="1"/>
  <c r="A3667" i="1"/>
  <c r="A3666" i="1"/>
  <c r="A3650" i="1"/>
  <c r="A3649" i="1"/>
  <c r="A3636" i="1"/>
  <c r="A3635" i="1"/>
  <c r="A3634" i="1"/>
  <c r="A3622" i="1"/>
  <c r="A3621" i="1"/>
  <c r="A3612" i="1"/>
  <c r="A3611" i="1"/>
  <c r="A3594" i="1"/>
  <c r="A3593" i="1"/>
  <c r="A3592" i="1"/>
  <c r="A3572" i="1"/>
  <c r="A3554" i="1"/>
  <c r="A3553" i="1"/>
  <c r="A3552" i="1"/>
  <c r="A3543" i="1"/>
  <c r="A3542" i="1"/>
  <c r="A3483" i="1"/>
  <c r="A3466" i="1"/>
  <c r="A3465" i="1"/>
  <c r="A3452" i="1"/>
  <c r="A3451" i="1"/>
  <c r="A3450" i="1"/>
  <c r="A3429" i="1"/>
  <c r="A3408" i="1"/>
  <c r="A3407" i="1"/>
  <c r="A3385" i="1"/>
  <c r="A3384" i="1"/>
  <c r="A3383" i="1"/>
  <c r="A3356" i="1"/>
  <c r="A3355" i="1"/>
  <c r="A3333" i="1"/>
  <c r="A3332" i="1"/>
  <c r="A3314" i="1"/>
  <c r="A3313" i="1"/>
  <c r="A3297" i="1"/>
  <c r="A3283" i="1"/>
  <c r="A3282" i="1"/>
  <c r="A3281" i="1"/>
  <c r="A3257" i="1"/>
  <c r="A3256" i="1"/>
  <c r="A3255" i="1"/>
  <c r="A3231" i="1"/>
  <c r="A3230" i="1"/>
  <c r="A3212" i="1"/>
  <c r="A3195" i="1"/>
  <c r="A3194" i="1"/>
  <c r="A3177" i="1"/>
  <c r="A3176" i="1"/>
  <c r="A3175" i="1"/>
  <c r="A3167" i="1"/>
  <c r="A3166" i="1"/>
  <c r="A3165" i="1"/>
  <c r="A3153" i="1"/>
  <c r="A3152" i="1"/>
  <c r="A3127" i="1"/>
  <c r="A3126" i="1"/>
  <c r="A3125" i="1"/>
  <c r="A3078" i="1"/>
  <c r="A3077" i="1"/>
  <c r="A3065" i="1"/>
  <c r="A3064" i="1"/>
  <c r="A3044" i="1"/>
  <c r="A3043" i="1"/>
  <c r="A3025" i="1"/>
  <c r="A3024" i="1"/>
  <c r="A3006" i="1"/>
  <c r="A3005" i="1"/>
  <c r="A2996" i="1"/>
  <c r="A2989" i="1"/>
  <c r="A2988" i="1"/>
  <c r="A2978" i="1"/>
  <c r="A2977" i="1"/>
  <c r="A2962" i="1"/>
  <c r="A2961" i="1"/>
  <c r="A2960" i="1"/>
  <c r="A2958" i="1"/>
  <c r="A2957" i="1"/>
  <c r="A2942" i="1"/>
  <c r="A2923" i="1"/>
  <c r="A2922" i="1"/>
  <c r="A2921" i="1"/>
  <c r="A2913" i="1"/>
  <c r="A2912" i="1"/>
  <c r="A2892" i="1"/>
  <c r="A2891" i="1"/>
  <c r="A2879" i="1"/>
  <c r="A2878" i="1"/>
  <c r="A2862" i="1"/>
  <c r="A2861" i="1"/>
  <c r="A2846" i="1"/>
  <c r="A2845" i="1"/>
  <c r="A2844" i="1"/>
  <c r="A2839" i="1"/>
  <c r="A2838" i="1"/>
  <c r="A2837" i="1"/>
  <c r="A2836" i="1"/>
  <c r="A2818" i="1"/>
  <c r="A2817" i="1"/>
  <c r="A2816" i="1"/>
  <c r="A2815" i="1"/>
  <c r="A2799" i="1"/>
  <c r="A2798" i="1"/>
  <c r="A2797" i="1"/>
  <c r="A2796" i="1"/>
  <c r="A2795" i="1"/>
  <c r="A2773" i="1"/>
  <c r="A2760" i="1"/>
  <c r="A2757" i="1"/>
  <c r="A2756" i="1"/>
  <c r="A2755" i="1"/>
  <c r="A2754" i="1"/>
  <c r="A2745" i="1"/>
  <c r="A2744" i="1"/>
  <c r="A2730" i="1"/>
  <c r="A2729" i="1"/>
  <c r="A2716" i="1"/>
  <c r="A2715" i="1"/>
  <c r="A2714" i="1"/>
  <c r="A2713" i="1"/>
  <c r="A2690" i="1"/>
  <c r="A2689" i="1"/>
  <c r="A2688" i="1"/>
  <c r="A2687" i="1"/>
  <c r="A2686" i="1"/>
  <c r="A2677" i="1"/>
  <c r="A2675" i="1"/>
  <c r="A2674" i="1"/>
  <c r="A2673" i="1"/>
  <c r="A2672" i="1"/>
  <c r="A2671" i="1"/>
  <c r="A2670" i="1"/>
  <c r="A2649" i="1"/>
  <c r="A2648" i="1"/>
  <c r="A2647" i="1"/>
  <c r="A2646" i="1"/>
  <c r="A2645" i="1"/>
  <c r="A2644" i="1"/>
  <c r="A2643" i="1"/>
  <c r="A2642" i="1"/>
  <c r="A2629" i="1"/>
  <c r="A2641" i="1"/>
  <c r="A2628" i="1"/>
  <c r="A2627" i="1"/>
  <c r="A2626" i="1"/>
  <c r="A2625" i="1"/>
  <c r="A2624" i="1"/>
  <c r="A2623" i="1"/>
  <c r="A2622" i="1"/>
  <c r="A2621" i="1"/>
  <c r="A2610" i="1"/>
  <c r="A2609" i="1"/>
  <c r="A2608" i="1"/>
  <c r="A2607" i="1"/>
  <c r="A2606" i="1"/>
  <c r="A2605" i="1"/>
  <c r="A2604" i="1"/>
  <c r="A2591" i="1"/>
  <c r="A2590" i="1"/>
  <c r="A2589" i="1"/>
  <c r="A2588" i="1"/>
  <c r="A2587" i="1"/>
  <c r="A2572" i="1"/>
  <c r="A2571" i="1"/>
  <c r="A2570" i="1"/>
  <c r="A2569" i="1"/>
  <c r="A2568" i="1"/>
  <c r="A2567" i="1"/>
  <c r="A2552" i="1"/>
  <c r="A2551" i="1"/>
  <c r="A2550" i="1"/>
  <c r="A2549" i="1"/>
  <c r="A2548" i="1"/>
  <c r="A2547" i="1"/>
  <c r="A2546" i="1"/>
  <c r="A2545" i="1"/>
  <c r="A2532" i="1"/>
  <c r="A2531" i="1"/>
  <c r="A2530" i="1"/>
  <c r="A2529" i="1"/>
  <c r="A2528" i="1"/>
  <c r="A2527" i="1"/>
  <c r="A2512" i="1"/>
  <c r="A2511" i="1"/>
  <c r="A2510" i="1"/>
  <c r="A2509" i="1"/>
  <c r="A2508" i="1"/>
  <c r="A2498" i="1"/>
  <c r="A2497" i="1"/>
  <c r="A2496" i="1"/>
  <c r="A2495" i="1"/>
  <c r="A2479" i="1"/>
  <c r="A2478" i="1"/>
  <c r="A2477" i="1"/>
  <c r="A2476" i="1"/>
  <c r="A2475" i="1"/>
  <c r="A2474" i="1"/>
  <c r="A2473" i="1"/>
  <c r="A2471" i="1"/>
  <c r="A2470" i="1"/>
  <c r="A2469" i="1"/>
  <c r="A2468" i="1"/>
  <c r="A2467" i="1"/>
  <c r="A2462" i="1"/>
  <c r="A2461" i="1"/>
  <c r="A2460" i="1"/>
  <c r="A2459" i="1"/>
  <c r="A2458" i="1"/>
  <c r="A2457" i="1"/>
  <c r="A2456" i="1"/>
  <c r="A2447" i="1"/>
  <c r="A2446" i="1"/>
  <c r="A2445" i="1"/>
  <c r="A2444" i="1"/>
  <c r="A2443" i="1"/>
  <c r="A2442" i="1"/>
  <c r="A2439" i="1"/>
  <c r="A2438" i="1"/>
  <c r="A2437" i="1"/>
  <c r="A2436" i="1"/>
  <c r="A2435" i="1"/>
  <c r="A2429" i="1"/>
  <c r="A2428" i="1"/>
  <c r="A2427" i="1"/>
  <c r="A2426" i="1"/>
  <c r="A2425" i="1"/>
  <c r="A2424" i="1"/>
  <c r="A2423" i="1"/>
  <c r="A2422" i="1"/>
  <c r="A2421" i="1"/>
  <c r="A2413" i="1"/>
  <c r="A2412" i="1"/>
  <c r="A2411" i="1"/>
  <c r="A2410" i="1"/>
  <c r="A2409" i="1"/>
  <c r="A2403" i="1"/>
  <c r="A2402" i="1"/>
  <c r="A2401" i="1"/>
  <c r="A2400" i="1"/>
  <c r="A2399" i="1"/>
  <c r="A2392" i="1"/>
  <c r="A2391" i="1"/>
  <c r="A2390" i="1"/>
  <c r="A2389" i="1"/>
  <c r="A2388" i="1"/>
  <c r="A2386" i="1"/>
  <c r="A2383" i="1"/>
  <c r="A2382" i="1"/>
  <c r="A2381" i="1"/>
  <c r="A2380" i="1"/>
  <c r="A2379" i="1"/>
  <c r="A2378" i="1"/>
  <c r="A2377" i="1"/>
  <c r="A2367" i="1"/>
  <c r="A2366" i="1"/>
  <c r="A2365" i="1"/>
  <c r="A2364" i="1"/>
  <c r="A2358" i="1"/>
  <c r="A2357" i="1"/>
  <c r="A2356" i="1"/>
  <c r="A2355" i="1"/>
  <c r="A2342" i="1"/>
  <c r="A2341" i="1"/>
  <c r="A2340" i="1"/>
  <c r="A2339" i="1"/>
  <c r="A2338" i="1"/>
  <c r="A2332" i="1"/>
  <c r="A2331" i="1"/>
  <c r="A2330" i="1"/>
  <c r="A2329" i="1"/>
  <c r="A2328" i="1"/>
  <c r="A2327" i="1"/>
  <c r="A2316" i="1"/>
  <c r="A2313" i="1"/>
  <c r="A2312" i="1"/>
  <c r="A2311" i="1"/>
  <c r="A2310" i="1"/>
  <c r="A2309" i="1"/>
  <c r="A2308" i="1"/>
  <c r="A2305" i="1"/>
  <c r="A2304" i="1"/>
  <c r="A2303" i="1"/>
  <c r="A2302" i="1"/>
  <c r="A2301" i="1"/>
  <c r="A2300" i="1"/>
  <c r="A2299" i="1"/>
  <c r="A2294" i="1"/>
  <c r="A2293" i="1"/>
  <c r="A2292" i="1"/>
  <c r="A2291" i="1"/>
  <c r="A2290" i="1"/>
  <c r="A2289" i="1"/>
  <c r="A2285" i="1"/>
  <c r="A2284" i="1"/>
  <c r="A2283" i="1"/>
  <c r="A2277" i="1"/>
  <c r="A2276" i="1"/>
  <c r="A2275" i="1"/>
  <c r="A2274" i="1"/>
  <c r="A2273" i="1"/>
  <c r="A2272" i="1"/>
  <c r="A2269" i="1"/>
  <c r="A2268" i="1"/>
  <c r="A2266" i="1"/>
  <c r="A2265" i="1"/>
  <c r="A2264" i="1"/>
  <c r="A2263" i="1"/>
  <c r="A2262" i="1"/>
  <c r="A2261" i="1"/>
  <c r="A2256" i="1"/>
  <c r="A2255" i="1"/>
  <c r="A2254" i="1"/>
  <c r="A2253" i="1"/>
  <c r="A2252" i="1"/>
  <c r="A2251" i="1"/>
  <c r="A2238" i="1"/>
  <c r="A2237" i="1"/>
  <c r="A2236" i="1"/>
  <c r="A2226" i="1"/>
  <c r="A2225" i="1"/>
  <c r="A2224" i="1"/>
  <c r="A2218" i="1"/>
  <c r="A2217" i="1"/>
  <c r="A2216" i="1"/>
  <c r="A2207" i="1"/>
  <c r="A2206" i="1"/>
  <c r="A2205" i="1"/>
  <c r="A2204" i="1"/>
  <c r="A2201" i="1"/>
  <c r="A2200" i="1"/>
  <c r="A2192" i="1"/>
  <c r="A2190" i="1"/>
  <c r="A2189" i="1"/>
  <c r="A2187" i="1"/>
  <c r="A2186" i="1"/>
  <c r="A2185" i="1"/>
  <c r="A2184" i="1"/>
  <c r="A2183" i="1"/>
  <c r="A2179" i="1"/>
  <c r="A2178" i="1"/>
  <c r="A2170" i="1"/>
  <c r="A2169" i="1"/>
  <c r="A2168" i="1"/>
  <c r="A2164" i="1"/>
  <c r="A2161" i="1"/>
  <c r="A2160" i="1"/>
  <c r="A2159" i="1"/>
  <c r="A2158" i="1"/>
  <c r="A2150" i="1"/>
  <c r="A2149" i="1"/>
  <c r="A2148" i="1"/>
  <c r="A2147" i="1"/>
  <c r="A2141" i="1"/>
  <c r="A2140" i="1"/>
  <c r="A2131" i="1"/>
  <c r="A2130" i="1"/>
  <c r="A2129" i="1"/>
  <c r="A2128" i="1"/>
  <c r="A2127" i="1"/>
  <c r="A2126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59" i="1"/>
  <c r="A2054" i="1"/>
  <c r="A2053" i="1"/>
  <c r="A2047" i="1"/>
  <c r="A2046" i="1"/>
  <c r="A2043" i="1"/>
  <c r="A2042" i="1"/>
  <c r="A2041" i="1"/>
  <c r="A2040" i="1"/>
  <c r="A2039" i="1"/>
  <c r="A2032" i="1"/>
  <c r="A2031" i="1"/>
  <c r="A2029" i="1"/>
  <c r="A2028" i="1"/>
  <c r="A2023" i="1"/>
  <c r="A2022" i="1"/>
  <c r="A2020" i="1"/>
  <c r="A2017" i="1"/>
  <c r="A2016" i="1"/>
  <c r="A2015" i="1"/>
  <c r="A1965" i="1"/>
  <c r="A1961" i="1"/>
  <c r="A1960" i="1"/>
  <c r="A1959" i="1"/>
  <c r="A1949" i="1"/>
  <c r="A1948" i="1"/>
  <c r="A1912" i="1"/>
  <c r="A1908" i="1"/>
  <c r="A1907" i="1"/>
  <c r="A1825" i="1"/>
  <c r="A1824" i="1"/>
  <c r="A1823" i="1"/>
  <c r="A1806" i="1"/>
  <c r="A1805" i="1"/>
  <c r="A1804" i="1"/>
  <c r="A1759" i="1"/>
  <c r="A1758" i="1"/>
  <c r="A1757" i="1"/>
  <c r="A1451" i="1"/>
  <c r="A1743" i="1"/>
  <c r="A1732" i="1"/>
  <c r="A1731" i="1"/>
  <c r="A1720" i="1"/>
  <c r="A1719" i="1"/>
  <c r="A1693" i="1"/>
  <c r="A1692" i="1"/>
  <c r="A1670" i="1"/>
  <c r="A1669" i="1"/>
  <c r="A1652" i="1"/>
  <c r="A1651" i="1"/>
  <c r="A1650" i="1"/>
  <c r="A1640" i="1"/>
  <c r="A1639" i="1"/>
  <c r="A1638" i="1"/>
  <c r="A1625" i="1"/>
  <c r="A1614" i="1"/>
  <c r="A1607" i="1"/>
  <c r="A1606" i="1"/>
  <c r="A1597" i="1"/>
  <c r="A1537" i="1"/>
  <c r="A1521" i="1"/>
  <c r="A1520" i="1"/>
  <c r="A1468" i="1"/>
  <c r="A1459" i="1"/>
  <c r="A1458" i="1"/>
  <c r="A1454" i="1"/>
  <c r="A1450" i="1"/>
  <c r="A1449" i="1"/>
  <c r="A1430" i="1"/>
  <c r="A1429" i="1"/>
  <c r="A1422" i="1"/>
  <c r="A1421" i="1"/>
  <c r="A1420" i="1"/>
  <c r="A1413" i="1"/>
  <c r="A1412" i="1"/>
  <c r="A1411" i="1"/>
  <c r="A1392" i="1"/>
  <c r="A1391" i="1"/>
  <c r="A1390" i="1"/>
  <c r="A1354" i="1"/>
  <c r="A1353" i="1"/>
  <c r="A1352" i="1"/>
  <c r="A1343" i="1"/>
  <c r="A1342" i="1"/>
  <c r="A1341" i="1"/>
  <c r="A1303" i="1"/>
  <c r="A1302" i="1"/>
  <c r="A1266" i="1"/>
  <c r="A1247" i="1"/>
  <c r="A1246" i="1"/>
  <c r="A1217" i="1"/>
  <c r="A1216" i="1"/>
  <c r="A1190" i="1"/>
  <c r="A1189" i="1"/>
  <c r="A1145" i="1"/>
  <c r="A1131" i="1"/>
  <c r="A1130" i="1"/>
  <c r="A1129" i="1"/>
  <c r="A1086" i="1"/>
  <c r="A1085" i="1"/>
  <c r="A1077" i="1"/>
  <c r="A1076" i="1"/>
  <c r="A1039" i="1"/>
  <c r="A952" i="1"/>
  <c r="A7241" i="1"/>
  <c r="A10630" i="1"/>
  <c r="A10638" i="1"/>
  <c r="A10535" i="1"/>
  <c r="A10534" i="1"/>
  <c r="A10602" i="1"/>
  <c r="A10595" i="1"/>
  <c r="A10594" i="1"/>
  <c r="A10593" i="1"/>
  <c r="A10533" i="1"/>
  <c r="A10532" i="1"/>
  <c r="A10550" i="1"/>
  <c r="A10531" i="1"/>
  <c r="A10520" i="1"/>
  <c r="A10549" i="1"/>
  <c r="A10592" i="1"/>
  <c r="A10591" i="1"/>
  <c r="A10629" i="1"/>
  <c r="A10519" i="1"/>
  <c r="A10518" i="1"/>
  <c r="A10517" i="1"/>
  <c r="A10453" i="1"/>
  <c r="A10441" i="1"/>
  <c r="A10412" i="1"/>
  <c r="A10411" i="1"/>
  <c r="A10397" i="1"/>
  <c r="A10368" i="1"/>
  <c r="A10349" i="1"/>
  <c r="A10348" i="1"/>
  <c r="A10314" i="1"/>
  <c r="A10310" i="1"/>
  <c r="A10309" i="1"/>
  <c r="A10308" i="1"/>
  <c r="A10307" i="1"/>
  <c r="A10306" i="1"/>
  <c r="A10305" i="1"/>
  <c r="A10284" i="1"/>
  <c r="A10283" i="1"/>
  <c r="A10282" i="1"/>
  <c r="A10267" i="1"/>
  <c r="A10266" i="1"/>
  <c r="A10265" i="1"/>
  <c r="A10250" i="1"/>
  <c r="A10233" i="1"/>
  <c r="A10232" i="1"/>
  <c r="A10231" i="1"/>
  <c r="A10218" i="1"/>
  <c r="A10217" i="1"/>
  <c r="A10216" i="1"/>
  <c r="A10205" i="1"/>
  <c r="A10193" i="1"/>
  <c r="A10192" i="1"/>
  <c r="A10191" i="1"/>
  <c r="A10161" i="1"/>
  <c r="A10145" i="1"/>
  <c r="A10144" i="1"/>
  <c r="A10137" i="1"/>
  <c r="A10136" i="1"/>
  <c r="A10135" i="1"/>
  <c r="A10124" i="1"/>
  <c r="A10123" i="1"/>
  <c r="A10122" i="1"/>
  <c r="A10118" i="1"/>
  <c r="A10117" i="1"/>
  <c r="A10110" i="1"/>
  <c r="A10099" i="1"/>
  <c r="A10098" i="1"/>
  <c r="A10092" i="1"/>
  <c r="A10073" i="1"/>
  <c r="A10072" i="1"/>
  <c r="A10060" i="1"/>
  <c r="A10059" i="1"/>
  <c r="A10058" i="1"/>
  <c r="A10031" i="1"/>
  <c r="A10030" i="1"/>
  <c r="A10029" i="1"/>
  <c r="A10028" i="1"/>
  <c r="A10027" i="1"/>
  <c r="A10026" i="1"/>
  <c r="A10010" i="1"/>
  <c r="A10009" i="1"/>
  <c r="A10008" i="1"/>
  <c r="A9997" i="1"/>
  <c r="A9996" i="1"/>
  <c r="A9966" i="1"/>
  <c r="A9965" i="1"/>
  <c r="A9954" i="1"/>
  <c r="A9953" i="1"/>
  <c r="A9934" i="1"/>
  <c r="A9933" i="1"/>
  <c r="A9914" i="1"/>
  <c r="A9913" i="1"/>
  <c r="A9912" i="1"/>
  <c r="A9911" i="1"/>
  <c r="A9910" i="1"/>
  <c r="A9896" i="1"/>
  <c r="A9895" i="1"/>
  <c r="A9894" i="1"/>
  <c r="A9893" i="1"/>
  <c r="A9892" i="1"/>
  <c r="A9891" i="1"/>
  <c r="A9881" i="1"/>
  <c r="A9867" i="1"/>
  <c r="A9866" i="1"/>
  <c r="A9851" i="1"/>
  <c r="A9850" i="1"/>
  <c r="A9849" i="1"/>
  <c r="A9848" i="1"/>
  <c r="A9838" i="1"/>
  <c r="A9837" i="1"/>
  <c r="A9826" i="1"/>
  <c r="A9825" i="1"/>
  <c r="A9824" i="1"/>
  <c r="A9823" i="1"/>
  <c r="A9783" i="1"/>
  <c r="A9771" i="1"/>
  <c r="A9770" i="1"/>
  <c r="A9769" i="1"/>
  <c r="A9744" i="1"/>
  <c r="A9743" i="1"/>
  <c r="A9742" i="1"/>
  <c r="A9741" i="1"/>
  <c r="A9738" i="1"/>
  <c r="A9722" i="1"/>
  <c r="A9721" i="1"/>
  <c r="A9720" i="1"/>
  <c r="A9719" i="1"/>
  <c r="A9718" i="1"/>
  <c r="A9695" i="1"/>
  <c r="A9694" i="1"/>
  <c r="A9693" i="1"/>
  <c r="A9692" i="1"/>
  <c r="A9678" i="1"/>
  <c r="A9677" i="1"/>
  <c r="A9661" i="1"/>
  <c r="A9660" i="1"/>
  <c r="A9659" i="1"/>
  <c r="A9658" i="1"/>
  <c r="A9657" i="1"/>
  <c r="A9656" i="1"/>
  <c r="A9647" i="1"/>
  <c r="A9646" i="1"/>
  <c r="A9633" i="1"/>
  <c r="A9632" i="1"/>
  <c r="A9624" i="1"/>
  <c r="A9623" i="1"/>
  <c r="A9622" i="1"/>
  <c r="A9602" i="1"/>
  <c r="A9601" i="1"/>
  <c r="A9600" i="1"/>
  <c r="A9599" i="1"/>
  <c r="A9598" i="1"/>
  <c r="A9597" i="1"/>
  <c r="A9596" i="1"/>
  <c r="A9580" i="1"/>
  <c r="A9579" i="1"/>
  <c r="A9578" i="1"/>
  <c r="A9577" i="1"/>
  <c r="A9576" i="1"/>
  <c r="A9575" i="1"/>
  <c r="A9574" i="1"/>
  <c r="A9573" i="1"/>
  <c r="A9559" i="1"/>
  <c r="A9558" i="1"/>
  <c r="A9557" i="1"/>
  <c r="A9556" i="1"/>
  <c r="A9438" i="1"/>
  <c r="A9226" i="1"/>
  <c r="A9187" i="1"/>
  <c r="A9186" i="1"/>
  <c r="A9084" i="1"/>
  <c r="A9041" i="1"/>
  <c r="A9040" i="1"/>
  <c r="A9039" i="1"/>
  <c r="A9038" i="1"/>
  <c r="A9037" i="1"/>
  <c r="A9027" i="1"/>
  <c r="A9026" i="1"/>
  <c r="A9025" i="1"/>
  <c r="A9019" i="1"/>
  <c r="A9015" i="1"/>
  <c r="A9014" i="1"/>
  <c r="A9013" i="1"/>
  <c r="A9000" i="1"/>
  <c r="A8999" i="1"/>
  <c r="A8988" i="1"/>
  <c r="A8987" i="1"/>
  <c r="A8971" i="1"/>
  <c r="A8970" i="1"/>
  <c r="A8958" i="1"/>
  <c r="A8957" i="1"/>
  <c r="A8945" i="1"/>
  <c r="A8944" i="1"/>
  <c r="A8939" i="1"/>
  <c r="A8938" i="1"/>
  <c r="A8937" i="1"/>
  <c r="A8917" i="1"/>
  <c r="A8916" i="1"/>
  <c r="A8915" i="1"/>
  <c r="A8914" i="1"/>
  <c r="A8886" i="1"/>
  <c r="A8885" i="1"/>
  <c r="A8868" i="1"/>
  <c r="A8867" i="1"/>
  <c r="A8845" i="1"/>
  <c r="A8844" i="1"/>
  <c r="A8843" i="1"/>
  <c r="A8830" i="1"/>
  <c r="A8829" i="1"/>
  <c r="A8824" i="1"/>
  <c r="A8823" i="1"/>
  <c r="A8817" i="1"/>
  <c r="A8816" i="1"/>
  <c r="A8815" i="1"/>
  <c r="A8804" i="1"/>
  <c r="A8803" i="1"/>
  <c r="A8802" i="1"/>
  <c r="A8785" i="1"/>
  <c r="A8766" i="1"/>
  <c r="A8765" i="1"/>
  <c r="A8737" i="1"/>
  <c r="A8736" i="1"/>
  <c r="A8725" i="1"/>
  <c r="A8717" i="1"/>
  <c r="A8704" i="1"/>
  <c r="A8703" i="1"/>
  <c r="A8702" i="1"/>
  <c r="A8701" i="1"/>
  <c r="A8700" i="1"/>
  <c r="A8699" i="1"/>
  <c r="A8677" i="1"/>
  <c r="A8676" i="1"/>
  <c r="A8656" i="1"/>
  <c r="A8655" i="1"/>
  <c r="A8654" i="1"/>
  <c r="A8653" i="1"/>
  <c r="A8652" i="1"/>
  <c r="A8631" i="1"/>
  <c r="A8630" i="1"/>
  <c r="A8629" i="1"/>
  <c r="A8611" i="1"/>
  <c r="A8610" i="1"/>
  <c r="A8583" i="1"/>
  <c r="A8582" i="1"/>
  <c r="A8581" i="1"/>
  <c r="A8555" i="1"/>
  <c r="A8554" i="1"/>
  <c r="A8517" i="1"/>
  <c r="A8516" i="1"/>
  <c r="A8515" i="1"/>
  <c r="A8502" i="1"/>
  <c r="A8501" i="1"/>
  <c r="A8500" i="1"/>
  <c r="A8496" i="1"/>
  <c r="A8494" i="1"/>
  <c r="A8493" i="1"/>
  <c r="A8481" i="1"/>
  <c r="A8480" i="1"/>
  <c r="A8479" i="1"/>
  <c r="A8462" i="1"/>
  <c r="A8461" i="1"/>
  <c r="A8460" i="1"/>
  <c r="A8459" i="1"/>
  <c r="A8433" i="1"/>
  <c r="A8432" i="1"/>
  <c r="A8431" i="1"/>
  <c r="A8430" i="1"/>
  <c r="A8405" i="1"/>
  <c r="A8404" i="1"/>
  <c r="A8403" i="1"/>
  <c r="A8373" i="1"/>
  <c r="A8372" i="1"/>
  <c r="A8371" i="1"/>
  <c r="A8355" i="1"/>
  <c r="A8339" i="1"/>
  <c r="A8320" i="1"/>
  <c r="A8319" i="1"/>
  <c r="A8301" i="1"/>
  <c r="A8300" i="1"/>
  <c r="A8274" i="1"/>
  <c r="A8273" i="1"/>
  <c r="A8272" i="1"/>
  <c r="A8271" i="1"/>
  <c r="A8270" i="1"/>
  <c r="A8269" i="1"/>
  <c r="A8268" i="1"/>
  <c r="A8221" i="1"/>
  <c r="A8202" i="1"/>
  <c r="A8201" i="1"/>
  <c r="A8200" i="1"/>
  <c r="A8199" i="1"/>
  <c r="A8183" i="1"/>
  <c r="A8182" i="1"/>
  <c r="A8163" i="1"/>
  <c r="A8162" i="1"/>
  <c r="A8161" i="1"/>
  <c r="A8160" i="1"/>
  <c r="A8159" i="1"/>
  <c r="A8141" i="1"/>
  <c r="A8114" i="1"/>
  <c r="A8113" i="1"/>
  <c r="A8112" i="1"/>
  <c r="A8085" i="1"/>
  <c r="A8084" i="1"/>
  <c r="A8083" i="1"/>
  <c r="A8055" i="1"/>
  <c r="A8054" i="1"/>
  <c r="A8032" i="1"/>
  <c r="A7999" i="1"/>
  <c r="A7998" i="1"/>
  <c r="A7979" i="1"/>
  <c r="A7978" i="1"/>
  <c r="A7969" i="1"/>
  <c r="A7968" i="1"/>
  <c r="A7967" i="1"/>
  <c r="A7966" i="1"/>
  <c r="A7965" i="1"/>
  <c r="A7937" i="1"/>
  <c r="A7905" i="1"/>
  <c r="A7904" i="1"/>
  <c r="A7903" i="1"/>
  <c r="A7902" i="1"/>
  <c r="A7901" i="1"/>
  <c r="A7900" i="1"/>
  <c r="A7878" i="1"/>
  <c r="A7877" i="1"/>
  <c r="A7876" i="1"/>
  <c r="A7846" i="1"/>
  <c r="A7845" i="1"/>
  <c r="A7844" i="1"/>
  <c r="A7843" i="1"/>
  <c r="A7842" i="1"/>
  <c r="A7841" i="1"/>
  <c r="A7840" i="1"/>
  <c r="A7819" i="1"/>
  <c r="A7806" i="1"/>
  <c r="A7805" i="1"/>
  <c r="A7804" i="1"/>
  <c r="A7803" i="1"/>
  <c r="A7774" i="1"/>
  <c r="A7748" i="1"/>
  <c r="A7747" i="1"/>
  <c r="A7717" i="1"/>
  <c r="A7716" i="1"/>
  <c r="A7715" i="1"/>
  <c r="A7702" i="1"/>
  <c r="A7701" i="1"/>
  <c r="A7694" i="1"/>
  <c r="A7693" i="1"/>
  <c r="A7675" i="1"/>
  <c r="A7674" i="1"/>
  <c r="A7673" i="1"/>
  <c r="A7628" i="1"/>
  <c r="A7627" i="1"/>
  <c r="A7626" i="1"/>
  <c r="A7603" i="1"/>
  <c r="A7602" i="1"/>
  <c r="A7601" i="1"/>
  <c r="A7575" i="1"/>
  <c r="A7574" i="1"/>
  <c r="A7573" i="1"/>
  <c r="A7545" i="1"/>
  <c r="A7544" i="1"/>
  <c r="A7543" i="1"/>
  <c r="A7542" i="1"/>
  <c r="A7541" i="1"/>
  <c r="A7520" i="1"/>
  <c r="A7492" i="1"/>
  <c r="A7491" i="1"/>
  <c r="A7477" i="1"/>
  <c r="A7476" i="1"/>
  <c r="A7475" i="1"/>
  <c r="A7474" i="1"/>
  <c r="A7473" i="1"/>
  <c r="A7472" i="1"/>
  <c r="A7471" i="1"/>
  <c r="A7440" i="1"/>
  <c r="A7439" i="1"/>
  <c r="A7438" i="1"/>
  <c r="A7424" i="1"/>
  <c r="A7423" i="1"/>
  <c r="A7402" i="1"/>
  <c r="A7385" i="1"/>
  <c r="A7384" i="1"/>
  <c r="A7364" i="1"/>
  <c r="A7363" i="1"/>
  <c r="A7362" i="1"/>
  <c r="A7361" i="1"/>
  <c r="A7360" i="1"/>
  <c r="A7359" i="1"/>
  <c r="A7339" i="1"/>
  <c r="A7338" i="1"/>
  <c r="A7337" i="1"/>
  <c r="A7324" i="1"/>
  <c r="A7323" i="1"/>
  <c r="A7322" i="1"/>
  <c r="A7321" i="1"/>
  <c r="A7308" i="1"/>
  <c r="A7289" i="1"/>
  <c r="A7288" i="1"/>
  <c r="A7287" i="1"/>
  <c r="A7270" i="1"/>
  <c r="A7269" i="1"/>
  <c r="A7254" i="1"/>
  <c r="A7253" i="1"/>
  <c r="A7252" i="1"/>
  <c r="A7251" i="1"/>
  <c r="A7250" i="1"/>
  <c r="A7236" i="1"/>
  <c r="A7235" i="1"/>
  <c r="A7234" i="1"/>
  <c r="A7220" i="1"/>
  <c r="A7219" i="1"/>
  <c r="A7218" i="1"/>
  <c r="A7217" i="1"/>
  <c r="A7194" i="1"/>
  <c r="A7193" i="1"/>
  <c r="A7192" i="1"/>
  <c r="A7191" i="1"/>
  <c r="A7180" i="1"/>
  <c r="A7179" i="1"/>
  <c r="A7178" i="1"/>
  <c r="A7177" i="1"/>
  <c r="A7176" i="1"/>
  <c r="A7175" i="1"/>
  <c r="A7174" i="1"/>
  <c r="A7157" i="1"/>
  <c r="A7156" i="1"/>
  <c r="A7155" i="1"/>
  <c r="A7154" i="1"/>
  <c r="A7153" i="1"/>
  <c r="A7135" i="1"/>
  <c r="A7134" i="1"/>
  <c r="A7133" i="1"/>
  <c r="A7132" i="1"/>
  <c r="A7122" i="1"/>
  <c r="A7121" i="1"/>
  <c r="A7120" i="1"/>
  <c r="A7112" i="1"/>
  <c r="A7111" i="1"/>
  <c r="A7110" i="1"/>
  <c r="A7109" i="1"/>
  <c r="A7108" i="1"/>
  <c r="A7107" i="1"/>
  <c r="A7106" i="1"/>
  <c r="A7096" i="1"/>
  <c r="A7095" i="1"/>
  <c r="A7094" i="1"/>
  <c r="A7093" i="1"/>
  <c r="A7081" i="1"/>
  <c r="A7080" i="1"/>
  <c r="A7079" i="1"/>
  <c r="A7078" i="1"/>
  <c r="A7061" i="1"/>
  <c r="A7060" i="1"/>
  <c r="A7059" i="1"/>
  <c r="A7047" i="1"/>
  <c r="A7046" i="1"/>
  <c r="A7045" i="1"/>
  <c r="A7039" i="1"/>
  <c r="A7038" i="1"/>
  <c r="A7037" i="1"/>
  <c r="A7036" i="1"/>
  <c r="A7024" i="1"/>
  <c r="A7023" i="1"/>
  <c r="A7022" i="1"/>
  <c r="A7021" i="1"/>
  <c r="A7020" i="1"/>
  <c r="A7019" i="1"/>
  <c r="A7006" i="1"/>
  <c r="A7005" i="1"/>
  <c r="A7004" i="1"/>
  <c r="A6993" i="1"/>
  <c r="A6992" i="1"/>
  <c r="A6979" i="1"/>
  <c r="A6978" i="1"/>
  <c r="A6977" i="1"/>
  <c r="A6976" i="1"/>
  <c r="A6975" i="1"/>
  <c r="A6974" i="1"/>
  <c r="A6973" i="1"/>
  <c r="A6972" i="1"/>
  <c r="A6959" i="1"/>
  <c r="A6958" i="1"/>
  <c r="A6957" i="1"/>
  <c r="A6956" i="1"/>
  <c r="A6955" i="1"/>
  <c r="A6954" i="1"/>
  <c r="A6952" i="1"/>
  <c r="A6940" i="1"/>
  <c r="A6939" i="1"/>
  <c r="A6938" i="1"/>
  <c r="A6937" i="1"/>
  <c r="A6936" i="1"/>
  <c r="A6935" i="1"/>
  <c r="A6934" i="1"/>
  <c r="A6921" i="1"/>
  <c r="A6920" i="1"/>
  <c r="A6908" i="1"/>
  <c r="A6907" i="1"/>
  <c r="A6906" i="1"/>
  <c r="A6905" i="1"/>
  <c r="A6885" i="1"/>
  <c r="A6884" i="1"/>
  <c r="A6883" i="1"/>
  <c r="A6882" i="1"/>
  <c r="A6881" i="1"/>
  <c r="A6864" i="1"/>
  <c r="A6863" i="1"/>
  <c r="A6862" i="1"/>
  <c r="A6861" i="1"/>
  <c r="A6856" i="1"/>
  <c r="A6855" i="1"/>
  <c r="A6848" i="1"/>
  <c r="A6847" i="1"/>
  <c r="A6846" i="1"/>
  <c r="A6845" i="1"/>
  <c r="A6844" i="1"/>
  <c r="A6843" i="1"/>
  <c r="A6842" i="1"/>
  <c r="A6821" i="1"/>
  <c r="A6820" i="1"/>
  <c r="A6801" i="1"/>
  <c r="A6800" i="1"/>
  <c r="A6799" i="1"/>
  <c r="A6783" i="1"/>
  <c r="A6782" i="1"/>
  <c r="A6781" i="1"/>
  <c r="A6780" i="1"/>
  <c r="A6765" i="1"/>
  <c r="A6764" i="1"/>
  <c r="A6763" i="1"/>
  <c r="A6762" i="1"/>
  <c r="A6761" i="1"/>
  <c r="A6760" i="1"/>
  <c r="A6759" i="1"/>
  <c r="A6751" i="1"/>
  <c r="A6750" i="1"/>
  <c r="A6749" i="1"/>
  <c r="A6748" i="1"/>
  <c r="A6736" i="1"/>
  <c r="A6735" i="1"/>
  <c r="A6734" i="1"/>
  <c r="A6733" i="1"/>
  <c r="A6732" i="1"/>
  <c r="A6708" i="1"/>
  <c r="A6707" i="1"/>
  <c r="A6706" i="1"/>
  <c r="A6705" i="1"/>
  <c r="A6688" i="1"/>
  <c r="A6687" i="1"/>
  <c r="A6686" i="1"/>
  <c r="A6685" i="1"/>
  <c r="A6669" i="1"/>
  <c r="A6652" i="1"/>
  <c r="A6651" i="1"/>
  <c r="A6650" i="1"/>
  <c r="A6649" i="1"/>
  <c r="A6642" i="1"/>
  <c r="A6641" i="1"/>
  <c r="A6620" i="1"/>
  <c r="A6619" i="1"/>
  <c r="A6595" i="1"/>
  <c r="A6594" i="1"/>
  <c r="A6593" i="1"/>
  <c r="A6579" i="1"/>
  <c r="A6578" i="1"/>
  <c r="A6577" i="1"/>
  <c r="A6566" i="1"/>
  <c r="A6565" i="1"/>
  <c r="A6564" i="1"/>
  <c r="A6556" i="1"/>
  <c r="A6555" i="1"/>
  <c r="A6545" i="1"/>
  <c r="A6544" i="1"/>
  <c r="A6543" i="1"/>
  <c r="A6542" i="1"/>
  <c r="A6541" i="1"/>
  <c r="A6525" i="1"/>
  <c r="A6524" i="1"/>
  <c r="A6523" i="1"/>
  <c r="A6522" i="1"/>
  <c r="A6500" i="1"/>
  <c r="A6499" i="1"/>
  <c r="A6498" i="1"/>
  <c r="A6497" i="1"/>
  <c r="A6496" i="1"/>
  <c r="A6495" i="1"/>
  <c r="A6494" i="1"/>
  <c r="A6493" i="1"/>
  <c r="A6492" i="1"/>
  <c r="A6475" i="1"/>
  <c r="A6474" i="1"/>
  <c r="A6473" i="1"/>
  <c r="A6472" i="1"/>
  <c r="A6471" i="1"/>
  <c r="A6470" i="1"/>
  <c r="A6469" i="1"/>
  <c r="A6468" i="1"/>
  <c r="A6467" i="1"/>
  <c r="A6466" i="1"/>
  <c r="A6452" i="1"/>
  <c r="A6451" i="1"/>
  <c r="A6440" i="1"/>
  <c r="A6439" i="1"/>
  <c r="A6438" i="1"/>
  <c r="A6437" i="1"/>
  <c r="A6436" i="1"/>
  <c r="A6420" i="1"/>
  <c r="A6419" i="1"/>
  <c r="A6418" i="1"/>
  <c r="A6417" i="1"/>
  <c r="A6405" i="1"/>
  <c r="A6404" i="1"/>
  <c r="A6403" i="1"/>
  <c r="A6402" i="1"/>
  <c r="A6401" i="1"/>
  <c r="A6400" i="1"/>
  <c r="A6399" i="1"/>
  <c r="A6398" i="1"/>
  <c r="A6377" i="1"/>
  <c r="A6376" i="1"/>
  <c r="A6375" i="1"/>
  <c r="A6374" i="1"/>
  <c r="A6373" i="1"/>
  <c r="A6372" i="1"/>
  <c r="A6329" i="1"/>
  <c r="A6321" i="1"/>
  <c r="A6302" i="1"/>
  <c r="A6301" i="1"/>
  <c r="A6300" i="1"/>
  <c r="A6299" i="1"/>
  <c r="A6280" i="1"/>
  <c r="A6249" i="1"/>
  <c r="A6248" i="1"/>
  <c r="A6247" i="1"/>
  <c r="A6239" i="1"/>
  <c r="A6238" i="1"/>
  <c r="A6233" i="1"/>
  <c r="A6232" i="1"/>
  <c r="A6231" i="1"/>
  <c r="A6230" i="1"/>
  <c r="A6229" i="1"/>
  <c r="A6228" i="1"/>
  <c r="A6212" i="1"/>
  <c r="A6211" i="1"/>
  <c r="A6210" i="1"/>
  <c r="A6209" i="1"/>
  <c r="A6208" i="1"/>
  <c r="A6207" i="1"/>
  <c r="A6206" i="1"/>
  <c r="A6205" i="1"/>
  <c r="A6204" i="1"/>
  <c r="A6184" i="1"/>
  <c r="A6150" i="1"/>
  <c r="A6149" i="1"/>
  <c r="A6148" i="1"/>
  <c r="A6147" i="1"/>
  <c r="A6146" i="1"/>
  <c r="A6129" i="1"/>
  <c r="A6128" i="1"/>
  <c r="A6127" i="1"/>
  <c r="A6102" i="1"/>
  <c r="A6101" i="1"/>
  <c r="A6100" i="1"/>
  <c r="A6068" i="1"/>
  <c r="A6067" i="1"/>
  <c r="A6066" i="1"/>
  <c r="A6035" i="1"/>
  <c r="A6034" i="1"/>
  <c r="A6033" i="1"/>
  <c r="A6032" i="1"/>
  <c r="A6031" i="1"/>
  <c r="A5997" i="1"/>
  <c r="A5996" i="1"/>
  <c r="A5995" i="1"/>
  <c r="A5994" i="1"/>
  <c r="A5993" i="1"/>
  <c r="A5992" i="1"/>
  <c r="A5977" i="1"/>
  <c r="A5976" i="1"/>
  <c r="A5975" i="1"/>
  <c r="A5974" i="1"/>
  <c r="A5973" i="1"/>
  <c r="A5956" i="1"/>
  <c r="A5955" i="1"/>
  <c r="A5943" i="1"/>
  <c r="A5942" i="1"/>
  <c r="A5941" i="1"/>
  <c r="A5940" i="1"/>
  <c r="A5939" i="1"/>
  <c r="A5938" i="1"/>
  <c r="A5937" i="1"/>
  <c r="A5936" i="1"/>
  <c r="A5935" i="1"/>
  <c r="A5918" i="1"/>
  <c r="A5917" i="1"/>
  <c r="A5916" i="1"/>
  <c r="A5915" i="1"/>
  <c r="A5914" i="1"/>
  <c r="A5890" i="1"/>
  <c r="A5889" i="1"/>
  <c r="A5872" i="1"/>
  <c r="A5844" i="1"/>
  <c r="A5836" i="1"/>
  <c r="A5828" i="1"/>
  <c r="A5827" i="1"/>
  <c r="A5813" i="1"/>
  <c r="A5812" i="1"/>
  <c r="A5811" i="1"/>
  <c r="A5806" i="1"/>
  <c r="A5805" i="1"/>
  <c r="A5798" i="1"/>
  <c r="A5797" i="1"/>
  <c r="A5796" i="1"/>
  <c r="A5795" i="1"/>
  <c r="A5794" i="1"/>
  <c r="A5793" i="1"/>
  <c r="A5792" i="1"/>
  <c r="A5791" i="1"/>
  <c r="A5790" i="1"/>
  <c r="A5771" i="1"/>
  <c r="A5770" i="1"/>
  <c r="A5769" i="1"/>
  <c r="A5768" i="1"/>
  <c r="A5767" i="1"/>
  <c r="A5766" i="1"/>
  <c r="A5765" i="1"/>
  <c r="A5764" i="1"/>
  <c r="A5750" i="1"/>
  <c r="A5749" i="1"/>
  <c r="A5748" i="1"/>
  <c r="A5747" i="1"/>
  <c r="A5746" i="1"/>
  <c r="A5745" i="1"/>
  <c r="A5744" i="1"/>
  <c r="A5743" i="1"/>
  <c r="A5722" i="1"/>
  <c r="A5721" i="1"/>
  <c r="A5720" i="1"/>
  <c r="A5719" i="1"/>
  <c r="A5718" i="1"/>
  <c r="A5704" i="1"/>
  <c r="A5703" i="1"/>
  <c r="A5702" i="1"/>
  <c r="A5698" i="1"/>
  <c r="A5697" i="1"/>
  <c r="A5692" i="1"/>
  <c r="A5691" i="1"/>
  <c r="A5690" i="1"/>
  <c r="A5689" i="1"/>
  <c r="A5676" i="1"/>
  <c r="A5675" i="1"/>
  <c r="A5674" i="1"/>
  <c r="A5673" i="1"/>
  <c r="A5672" i="1"/>
  <c r="A5671" i="1"/>
  <c r="A5670" i="1"/>
  <c r="A5654" i="1"/>
  <c r="A5653" i="1"/>
  <c r="A5652" i="1"/>
  <c r="A5651" i="1"/>
  <c r="A5639" i="1"/>
  <c r="A5638" i="1"/>
  <c r="A5630" i="1"/>
  <c r="A5629" i="1"/>
  <c r="A5628" i="1"/>
  <c r="A5627" i="1"/>
  <c r="A5626" i="1"/>
  <c r="A5625" i="1"/>
  <c r="A5624" i="1"/>
  <c r="A5623" i="1"/>
  <c r="A5622" i="1"/>
  <c r="A5614" i="1"/>
  <c r="A5613" i="1"/>
  <c r="A5612" i="1"/>
  <c r="A5607" i="1"/>
  <c r="A5606" i="1"/>
  <c r="A5605" i="1"/>
  <c r="A5595" i="1"/>
  <c r="A5594" i="1"/>
  <c r="A5593" i="1"/>
  <c r="A5592" i="1"/>
  <c r="A5591" i="1"/>
  <c r="A5590" i="1"/>
  <c r="A5589" i="1"/>
  <c r="A5577" i="1"/>
  <c r="A5576" i="1"/>
  <c r="A5575" i="1"/>
  <c r="A5574" i="1"/>
  <c r="A5573" i="1"/>
  <c r="A5572" i="1"/>
  <c r="A5571" i="1"/>
  <c r="A5556" i="1"/>
  <c r="A5555" i="1"/>
  <c r="A5554" i="1"/>
  <c r="A5553" i="1"/>
  <c r="A5552" i="1"/>
  <c r="A5544" i="1"/>
  <c r="A5543" i="1"/>
  <c r="A5542" i="1"/>
  <c r="A5541" i="1"/>
  <c r="A5540" i="1"/>
  <c r="A5539" i="1"/>
  <c r="A5535" i="1"/>
  <c r="A5534" i="1"/>
  <c r="A5533" i="1"/>
  <c r="A5532" i="1"/>
  <c r="A5531" i="1"/>
  <c r="A5530" i="1"/>
  <c r="A5529" i="1"/>
  <c r="A5528" i="1"/>
  <c r="A5519" i="1"/>
  <c r="A5518" i="1"/>
  <c r="A5517" i="1"/>
  <c r="A5516" i="1"/>
  <c r="A5515" i="1"/>
  <c r="A5514" i="1"/>
  <c r="A5510" i="1"/>
  <c r="A5509" i="1"/>
  <c r="A5508" i="1"/>
  <c r="A5507" i="1"/>
  <c r="A5498" i="1"/>
  <c r="A5497" i="1"/>
  <c r="A5496" i="1"/>
  <c r="A5495" i="1"/>
  <c r="A5494" i="1"/>
  <c r="A5493" i="1"/>
  <c r="A5492" i="1"/>
  <c r="A5482" i="1"/>
  <c r="A5481" i="1"/>
  <c r="A5480" i="1"/>
  <c r="A5479" i="1"/>
  <c r="A5478" i="1"/>
  <c r="A5477" i="1"/>
  <c r="A5468" i="1"/>
  <c r="A5467" i="1"/>
  <c r="A5466" i="1"/>
  <c r="A5465" i="1"/>
  <c r="A5464" i="1"/>
  <c r="A5463" i="1"/>
  <c r="A5462" i="1"/>
  <c r="A5456" i="1"/>
  <c r="A5455" i="1"/>
  <c r="A5441" i="1"/>
  <c r="A5440" i="1"/>
  <c r="A5439" i="1"/>
  <c r="A5438" i="1"/>
  <c r="A5429" i="1"/>
  <c r="A5428" i="1"/>
  <c r="A5427" i="1"/>
  <c r="A5426" i="1"/>
  <c r="A5425" i="1"/>
  <c r="A5424" i="1"/>
  <c r="A5423" i="1"/>
  <c r="A5422" i="1"/>
  <c r="A5421" i="1"/>
  <c r="A5409" i="1"/>
  <c r="A5408" i="1"/>
  <c r="A5407" i="1"/>
  <c r="A5406" i="1"/>
  <c r="A5400" i="1"/>
  <c r="A5399" i="1"/>
  <c r="A5398" i="1"/>
  <c r="A5385" i="1"/>
  <c r="A5384" i="1"/>
  <c r="A5383" i="1"/>
  <c r="A5375" i="1"/>
  <c r="A5374" i="1"/>
  <c r="A5373" i="1"/>
  <c r="A5372" i="1"/>
  <c r="A5371" i="1"/>
  <c r="A5370" i="1"/>
  <c r="A5351" i="1"/>
  <c r="A5350" i="1"/>
  <c r="A5349" i="1"/>
  <c r="A5348" i="1"/>
  <c r="A5347" i="1"/>
  <c r="A5346" i="1"/>
  <c r="A5345" i="1"/>
  <c r="A5329" i="1"/>
  <c r="A5328" i="1"/>
  <c r="A5327" i="1"/>
  <c r="A5305" i="1"/>
  <c r="A5304" i="1"/>
  <c r="A5300" i="1"/>
  <c r="A5299" i="1"/>
  <c r="A5298" i="1"/>
  <c r="A5283" i="1"/>
  <c r="A5282" i="1"/>
  <c r="A5281" i="1"/>
  <c r="A5280" i="1"/>
  <c r="A5279" i="1"/>
  <c r="A5260" i="1"/>
  <c r="A5259" i="1"/>
  <c r="A5258" i="1"/>
  <c r="A5257" i="1"/>
  <c r="A5256" i="1"/>
  <c r="A5241" i="1"/>
  <c r="A5240" i="1"/>
  <c r="A5239" i="1"/>
  <c r="A5238" i="1"/>
  <c r="A5237" i="1"/>
  <c r="A5232" i="1"/>
  <c r="A5229" i="1"/>
  <c r="A5228" i="1"/>
  <c r="A5227" i="1"/>
  <c r="A5226" i="1"/>
  <c r="A5215" i="1"/>
  <c r="A5214" i="1"/>
  <c r="A5213" i="1"/>
  <c r="A5212" i="1"/>
  <c r="A5186" i="1"/>
  <c r="A5185" i="1"/>
  <c r="A5184" i="1"/>
  <c r="A5183" i="1"/>
  <c r="A5182" i="1"/>
  <c r="A5171" i="1"/>
  <c r="A5170" i="1"/>
  <c r="A5164" i="1"/>
  <c r="A5159" i="1"/>
  <c r="A5158" i="1"/>
  <c r="A5151" i="1"/>
  <c r="A5150" i="1"/>
  <c r="A5149" i="1"/>
  <c r="A5148" i="1"/>
  <c r="A5138" i="1"/>
  <c r="A5137" i="1"/>
  <c r="A5123" i="1"/>
  <c r="A5122" i="1"/>
  <c r="A5121" i="1"/>
  <c r="A5120" i="1"/>
  <c r="A5119" i="1"/>
  <c r="A5118" i="1"/>
  <c r="A5117" i="1"/>
  <c r="A5116" i="1"/>
  <c r="A5101" i="1"/>
  <c r="A5100" i="1"/>
  <c r="A5099" i="1"/>
  <c r="A5098" i="1"/>
  <c r="A5097" i="1"/>
  <c r="A5096" i="1"/>
  <c r="A5074" i="1"/>
  <c r="A5073" i="1"/>
  <c r="A5072" i="1"/>
  <c r="A5071" i="1"/>
  <c r="A5070" i="1"/>
  <c r="A5055" i="1"/>
  <c r="A5036" i="1"/>
  <c r="A5035" i="1"/>
  <c r="A5007" i="1"/>
  <c r="A4968" i="1"/>
  <c r="A4792" i="1"/>
  <c r="A4791" i="1"/>
  <c r="A4776" i="1"/>
  <c r="A4721" i="1"/>
  <c r="A4665" i="1"/>
  <c r="A4659" i="1"/>
  <c r="A4648" i="1"/>
  <c r="A4647" i="1"/>
  <c r="A4646" i="1"/>
  <c r="A4635" i="1"/>
  <c r="A4625" i="1"/>
  <c r="A4604" i="1"/>
  <c r="A4596" i="1"/>
  <c r="A4536" i="1"/>
  <c r="A4535" i="1"/>
  <c r="A4527" i="1"/>
  <c r="A4526" i="1"/>
  <c r="A4525" i="1"/>
  <c r="A4524" i="1"/>
  <c r="A4513" i="1"/>
  <c r="A4512" i="1"/>
  <c r="A4477" i="1"/>
  <c r="A4438" i="1"/>
  <c r="A4437" i="1"/>
  <c r="A4436" i="1"/>
  <c r="A4435" i="1"/>
  <c r="A4401" i="1"/>
  <c r="A4393" i="1"/>
  <c r="A4392" i="1"/>
  <c r="A4380" i="1"/>
  <c r="A4379" i="1"/>
  <c r="A4362" i="1"/>
  <c r="A4343" i="1"/>
  <c r="A1958" i="1"/>
  <c r="A1957" i="1"/>
  <c r="A1956" i="1"/>
  <c r="A1955" i="1"/>
  <c r="A1947" i="1"/>
  <c r="A1946" i="1"/>
  <c r="A1945" i="1"/>
  <c r="A1944" i="1"/>
  <c r="A1936" i="1"/>
  <c r="A1935" i="1"/>
  <c r="A1934" i="1"/>
  <c r="A1933" i="1"/>
  <c r="A1925" i="1"/>
  <c r="A1924" i="1"/>
  <c r="A1921" i="1"/>
  <c r="A1920" i="1"/>
  <c r="A1911" i="1"/>
  <c r="A1910" i="1"/>
  <c r="A1906" i="1"/>
  <c r="A1905" i="1"/>
  <c r="A1904" i="1"/>
  <c r="A1893" i="1"/>
  <c r="A1892" i="1"/>
  <c r="A1891" i="1"/>
  <c r="A1890" i="1"/>
  <c r="A1876" i="1"/>
  <c r="A1875" i="1"/>
  <c r="A1874" i="1"/>
  <c r="A1859" i="1"/>
  <c r="A1858" i="1"/>
  <c r="A1857" i="1"/>
  <c r="A1856" i="1"/>
  <c r="A1855" i="1"/>
  <c r="A1835" i="1"/>
  <c r="A1834" i="1"/>
  <c r="A1833" i="1"/>
  <c r="A1832" i="1"/>
  <c r="A1822" i="1"/>
  <c r="A1821" i="1"/>
  <c r="A1820" i="1"/>
  <c r="A1819" i="1"/>
  <c r="A1803" i="1"/>
  <c r="A1802" i="1"/>
  <c r="A1801" i="1"/>
  <c r="A1800" i="1"/>
  <c r="A1786" i="1"/>
  <c r="A1785" i="1"/>
  <c r="A1742" i="1"/>
  <c r="A1730" i="1"/>
  <c r="A1718" i="1"/>
  <c r="A1717" i="1"/>
  <c r="A1708" i="1"/>
  <c r="A1707" i="1"/>
  <c r="A1706" i="1"/>
  <c r="A1705" i="1"/>
  <c r="A1691" i="1"/>
  <c r="A1690" i="1"/>
  <c r="A1689" i="1"/>
  <c r="A1675" i="1"/>
  <c r="A1674" i="1"/>
  <c r="A1668" i="1"/>
  <c r="A1667" i="1"/>
  <c r="A1596" i="1"/>
  <c r="A1584" i="1"/>
  <c r="A1583" i="1"/>
  <c r="A1580" i="1"/>
  <c r="A1579" i="1"/>
  <c r="A1578" i="1"/>
  <c r="A1577" i="1"/>
  <c r="A1576" i="1"/>
  <c r="A1562" i="1"/>
  <c r="A1561" i="1"/>
  <c r="A1560" i="1"/>
  <c r="A1559" i="1"/>
  <c r="A1558" i="1"/>
  <c r="A1536" i="1"/>
  <c r="A1535" i="1"/>
  <c r="A1534" i="1"/>
  <c r="A1533" i="1"/>
  <c r="A1519" i="1"/>
  <c r="A1518" i="1"/>
  <c r="A1517" i="1"/>
  <c r="A1492" i="1"/>
  <c r="A1491" i="1"/>
  <c r="A1490" i="1"/>
  <c r="A1489" i="1"/>
  <c r="A1477" i="1"/>
  <c r="A1476" i="1"/>
  <c r="A1475" i="1"/>
  <c r="A1474" i="1"/>
  <c r="A1467" i="1"/>
  <c r="A1466" i="1"/>
  <c r="A1465" i="1"/>
  <c r="A1464" i="1"/>
  <c r="A1463" i="1"/>
  <c r="A1462" i="1"/>
  <c r="A1448" i="1"/>
  <c r="A1447" i="1"/>
  <c r="A1446" i="1"/>
  <c r="A1445" i="1"/>
  <c r="A1444" i="1"/>
  <c r="A1443" i="1"/>
  <c r="A1441" i="1"/>
  <c r="A1440" i="1"/>
  <c r="A1435" i="1"/>
  <c r="A1434" i="1"/>
  <c r="A1433" i="1"/>
  <c r="A1432" i="1"/>
  <c r="A1410" i="1"/>
  <c r="A1409" i="1"/>
  <c r="A1408" i="1"/>
  <c r="A1407" i="1"/>
  <c r="A1376" i="1"/>
  <c r="A1375" i="1"/>
  <c r="A1374" i="1"/>
  <c r="A1340" i="1"/>
  <c r="A1331" i="1"/>
  <c r="A1330" i="1"/>
  <c r="A1321" i="1"/>
  <c r="A1320" i="1"/>
  <c r="A1319" i="1"/>
  <c r="A1318" i="1"/>
  <c r="A1317" i="1"/>
  <c r="A1316" i="1"/>
  <c r="A1301" i="1"/>
  <c r="A1300" i="1"/>
  <c r="A1299" i="1"/>
  <c r="A1298" i="1"/>
  <c r="A1297" i="1"/>
  <c r="A1296" i="1"/>
  <c r="A1278" i="1"/>
  <c r="A1277" i="1"/>
  <c r="A1276" i="1"/>
  <c r="A1275" i="1"/>
  <c r="A1274" i="1"/>
  <c r="A1273" i="1"/>
  <c r="A1265" i="1"/>
  <c r="A1264" i="1"/>
  <c r="A1263" i="1"/>
  <c r="A1262" i="1"/>
  <c r="A1261" i="1"/>
  <c r="A1260" i="1"/>
  <c r="A1245" i="1"/>
  <c r="A1244" i="1"/>
  <c r="A1243" i="1"/>
  <c r="A1242" i="1"/>
  <c r="A1241" i="1"/>
  <c r="A1240" i="1"/>
  <c r="A1229" i="1"/>
  <c r="A1228" i="1"/>
  <c r="A1227" i="1"/>
  <c r="A1215" i="1"/>
  <c r="A1214" i="1"/>
  <c r="A1213" i="1"/>
  <c r="A1212" i="1"/>
  <c r="A1211" i="1"/>
  <c r="A1210" i="1"/>
  <c r="A1198" i="1"/>
  <c r="A1197" i="1"/>
  <c r="A1188" i="1"/>
  <c r="A1187" i="1"/>
  <c r="A1186" i="1"/>
  <c r="A1185" i="1"/>
  <c r="A1184" i="1"/>
  <c r="A1171" i="1"/>
  <c r="A1170" i="1"/>
  <c r="A1169" i="1"/>
  <c r="A1168" i="1"/>
  <c r="A1163" i="1"/>
  <c r="A1162" i="1"/>
  <c r="A1161" i="1"/>
  <c r="A1160" i="1"/>
  <c r="A1144" i="1"/>
  <c r="A1143" i="1"/>
  <c r="A1142" i="1"/>
  <c r="A1141" i="1"/>
  <c r="A1128" i="1"/>
  <c r="A1127" i="1"/>
  <c r="A1126" i="1"/>
  <c r="A1125" i="1"/>
  <c r="A1124" i="1"/>
  <c r="A1123" i="1"/>
  <c r="A1113" i="1"/>
  <c r="A1112" i="1"/>
  <c r="A1111" i="1"/>
  <c r="A1106" i="1"/>
  <c r="A1105" i="1"/>
  <c r="A1104" i="1"/>
  <c r="A1103" i="1"/>
  <c r="A1095" i="1"/>
  <c r="A1094" i="1"/>
  <c r="A1093" i="1"/>
  <c r="A1075" i="1"/>
  <c r="A1074" i="1"/>
  <c r="A1073" i="1"/>
  <c r="A1072" i="1"/>
  <c r="A1071" i="1"/>
  <c r="A1070" i="1"/>
  <c r="A1069" i="1"/>
  <c r="A1068" i="1"/>
  <c r="A1067" i="1"/>
  <c r="A1038" i="1"/>
  <c r="A1037" i="1"/>
  <c r="A1036" i="1"/>
  <c r="A1035" i="1"/>
  <c r="A1020" i="1"/>
  <c r="A1019" i="1"/>
  <c r="A1018" i="1"/>
  <c r="A1017" i="1"/>
  <c r="A1016" i="1"/>
  <c r="A1015" i="1"/>
  <c r="A997" i="1"/>
  <c r="A996" i="1"/>
  <c r="A995" i="1"/>
  <c r="A982" i="1"/>
  <c r="A981" i="1"/>
  <c r="A980" i="1"/>
  <c r="A979" i="1"/>
  <c r="A951" i="1"/>
  <c r="A950" i="1"/>
  <c r="A949" i="1"/>
  <c r="A948" i="1"/>
  <c r="A947" i="1"/>
  <c r="A946" i="1"/>
  <c r="A927" i="1"/>
  <c r="A926" i="1"/>
  <c r="A905" i="1"/>
  <c r="A904" i="1"/>
  <c r="A903" i="1"/>
  <c r="A902" i="1"/>
  <c r="A889" i="1"/>
  <c r="A888" i="1"/>
  <c r="A884" i="1"/>
  <c r="A883" i="1"/>
  <c r="A882" i="1"/>
  <c r="A881" i="1"/>
  <c r="A880" i="1"/>
  <c r="A879" i="1"/>
  <c r="A868" i="1"/>
  <c r="A867" i="1"/>
  <c r="A866" i="1"/>
  <c r="A865" i="1"/>
  <c r="A848" i="1"/>
  <c r="A847" i="1"/>
  <c r="A846" i="1"/>
  <c r="A845" i="1"/>
  <c r="A844" i="1"/>
  <c r="A843" i="1"/>
  <c r="A828" i="1"/>
  <c r="A827" i="1"/>
  <c r="A826" i="1"/>
  <c r="A825" i="1"/>
  <c r="A807" i="1"/>
  <c r="A806" i="1"/>
  <c r="A805" i="1"/>
  <c r="A804" i="1"/>
  <c r="A794" i="1"/>
  <c r="A793" i="1"/>
  <c r="A792" i="1"/>
  <c r="A791" i="1"/>
  <c r="A790" i="1"/>
  <c r="A789" i="1"/>
  <c r="A776" i="1"/>
  <c r="A775" i="1"/>
  <c r="A774" i="1"/>
  <c r="A773" i="1"/>
  <c r="A772" i="1"/>
  <c r="A771" i="1"/>
  <c r="A770" i="1"/>
  <c r="A769" i="1"/>
  <c r="A768" i="1"/>
  <c r="A767" i="1"/>
  <c r="A766" i="1"/>
  <c r="A759" i="1"/>
  <c r="A758" i="1"/>
  <c r="A757" i="1"/>
  <c r="A756" i="1"/>
  <c r="A745" i="1"/>
  <c r="A744" i="1"/>
  <c r="A741" i="1"/>
  <c r="A740" i="1"/>
  <c r="A739" i="1"/>
  <c r="A738" i="1"/>
  <c r="A737" i="1"/>
  <c r="A732" i="1"/>
  <c r="A731" i="1"/>
  <c r="A730" i="1"/>
  <c r="A719" i="1"/>
  <c r="A718" i="1"/>
  <c r="A717" i="1"/>
  <c r="A716" i="1"/>
  <c r="A709" i="1"/>
  <c r="A708" i="1"/>
  <c r="A707" i="1"/>
  <c r="A694" i="1"/>
  <c r="A693" i="1"/>
  <c r="A691" i="1"/>
  <c r="A690" i="1"/>
  <c r="A689" i="1"/>
  <c r="A673" i="1"/>
  <c r="A672" i="1"/>
  <c r="A671" i="1"/>
  <c r="A670" i="1"/>
  <c r="A662" i="1"/>
  <c r="A661" i="1"/>
  <c r="A660" i="1"/>
  <c r="A659" i="1"/>
  <c r="A647" i="1"/>
  <c r="A646" i="1"/>
  <c r="A634" i="1"/>
  <c r="A633" i="1"/>
  <c r="A632" i="1"/>
  <c r="A618" i="1"/>
  <c r="A617" i="1"/>
  <c r="A614" i="1"/>
  <c r="A613" i="1"/>
  <c r="A576" i="1"/>
  <c r="A575" i="1"/>
  <c r="A574" i="1"/>
  <c r="A573" i="1"/>
  <c r="A559" i="1"/>
  <c r="A558" i="1"/>
  <c r="A557" i="1"/>
  <c r="A556" i="1"/>
  <c r="A543" i="1"/>
  <c r="A529" i="1"/>
  <c r="A528" i="1"/>
  <c r="A527" i="1"/>
  <c r="A526" i="1"/>
  <c r="A525" i="1"/>
  <c r="A524" i="1"/>
  <c r="A510" i="1"/>
  <c r="A509" i="1"/>
  <c r="A508" i="1"/>
  <c r="A507" i="1"/>
  <c r="A492" i="1"/>
  <c r="A491" i="1"/>
  <c r="A490" i="1"/>
  <c r="A478" i="1"/>
  <c r="A475" i="1"/>
  <c r="A474" i="1"/>
  <c r="A455" i="1"/>
  <c r="A454" i="1"/>
  <c r="A453" i="1"/>
  <c r="A436" i="1"/>
  <c r="A435" i="1"/>
  <c r="A434" i="1"/>
  <c r="A415" i="1"/>
  <c r="A414" i="1"/>
  <c r="A413" i="1"/>
  <c r="A412" i="1"/>
  <c r="A387" i="1"/>
  <c r="A386" i="1"/>
  <c r="A385" i="1"/>
  <c r="A358" i="1"/>
  <c r="A357" i="1"/>
  <c r="A356" i="1"/>
  <c r="A336" i="1"/>
  <c r="A335" i="1"/>
  <c r="A334" i="1"/>
  <c r="A333" i="1"/>
  <c r="A4268" i="1"/>
  <c r="A2544" i="1"/>
  <c r="A2566" i="1"/>
  <c r="A2307" i="1"/>
  <c r="A2070" i="1"/>
  <c r="A2069" i="1"/>
  <c r="A2063" i="1"/>
  <c r="A2068" i="1"/>
  <c r="A2067" i="1"/>
  <c r="A2066" i="1"/>
  <c r="A2065" i="1"/>
  <c r="A2064" i="1"/>
  <c r="A2062" i="1"/>
  <c r="A2061" i="1"/>
  <c r="A2060" i="1"/>
  <c r="A2058" i="1"/>
  <c r="A2057" i="1"/>
  <c r="A2056" i="1"/>
  <c r="A2055" i="1"/>
  <c r="A2052" i="1"/>
  <c r="A2051" i="1"/>
  <c r="A2045" i="1"/>
  <c r="A2044" i="1"/>
  <c r="A2050" i="1"/>
  <c r="A2049" i="1"/>
  <c r="A2048" i="1"/>
  <c r="A2027" i="1"/>
  <c r="A2026" i="1"/>
  <c r="A2012" i="1"/>
  <c r="A2011" i="1"/>
  <c r="A2010" i="1"/>
  <c r="A2009" i="1"/>
  <c r="A1919" i="1"/>
  <c r="A1918" i="1"/>
  <c r="A1917" i="1"/>
  <c r="A1916" i="1"/>
  <c r="A1915" i="1"/>
  <c r="A1914" i="1"/>
  <c r="A1913" i="1"/>
  <c r="A1889" i="1"/>
  <c r="A1888" i="1"/>
  <c r="A1887" i="1"/>
  <c r="A1886" i="1"/>
  <c r="A1885" i="1"/>
  <c r="A1884" i="1"/>
  <c r="A1873" i="1"/>
  <c r="A1872" i="1"/>
  <c r="A1871" i="1"/>
  <c r="A1870" i="1"/>
  <c r="A1854" i="1"/>
  <c r="A1853" i="1"/>
  <c r="A1852" i="1"/>
  <c r="A1851" i="1"/>
  <c r="A1850" i="1"/>
  <c r="A1849" i="1"/>
  <c r="A1818" i="1"/>
  <c r="A1817" i="1"/>
  <c r="A1816" i="1"/>
  <c r="A1784" i="1"/>
  <c r="A1783" i="1"/>
  <c r="A1782" i="1"/>
  <c r="A1781" i="1"/>
  <c r="A1749" i="1"/>
  <c r="A1748" i="1"/>
  <c r="A1747" i="1"/>
  <c r="A1746" i="1"/>
  <c r="A1745" i="1"/>
  <c r="A1744" i="1"/>
  <c r="A1557" i="1"/>
  <c r="A1556" i="1"/>
  <c r="A1555" i="1"/>
  <c r="A1532" i="1"/>
  <c r="A1516" i="1"/>
  <c r="A1515" i="1"/>
  <c r="A1514" i="1"/>
  <c r="A1513" i="1"/>
  <c r="A1428" i="1"/>
  <c r="A1427" i="1"/>
  <c r="A1406" i="1"/>
  <c r="A1405" i="1"/>
  <c r="A1373" i="1"/>
  <c r="A1372" i="1"/>
  <c r="A1371" i="1"/>
  <c r="A1370" i="1"/>
  <c r="A1369" i="1"/>
  <c r="A1368" i="1"/>
  <c r="A1351" i="1"/>
  <c r="A1350" i="1"/>
  <c r="A1315" i="1"/>
  <c r="A1314" i="1"/>
  <c r="A1295" i="1"/>
  <c r="A1294" i="1"/>
  <c r="A1293" i="1"/>
  <c r="A1292" i="1"/>
  <c r="A1291" i="1"/>
  <c r="A1290" i="1"/>
  <c r="A1289" i="1"/>
  <c r="A1239" i="1"/>
  <c r="A1238" i="1"/>
  <c r="A1237" i="1"/>
  <c r="A1236" i="1"/>
  <c r="A1226" i="1"/>
  <c r="A1225" i="1"/>
  <c r="A1224" i="1"/>
  <c r="A1223" i="1"/>
  <c r="A1159" i="1"/>
  <c r="A1158" i="1"/>
  <c r="A1092" i="1"/>
  <c r="A1091" i="1"/>
  <c r="A1090" i="1"/>
  <c r="A1089" i="1"/>
  <c r="A1066" i="1"/>
  <c r="A1065" i="1"/>
  <c r="A1064" i="1"/>
  <c r="A1063" i="1"/>
  <c r="A1062" i="1"/>
  <c r="A1061" i="1"/>
  <c r="A994" i="1"/>
  <c r="A978" i="1"/>
  <c r="A977" i="1"/>
  <c r="A993" i="1"/>
  <c r="A992" i="1"/>
  <c r="A991" i="1"/>
  <c r="A990" i="1"/>
  <c r="A976" i="1"/>
  <c r="A975" i="1"/>
  <c r="A974" i="1"/>
  <c r="A973" i="1"/>
  <c r="A972" i="1"/>
  <c r="A824" i="1"/>
  <c r="A823" i="1"/>
  <c r="A822" i="1"/>
  <c r="A821" i="1"/>
  <c r="A820" i="1"/>
  <c r="A688" i="1"/>
  <c r="A687" i="1"/>
  <c r="A686" i="1"/>
  <c r="A685" i="1"/>
  <c r="A684" i="1"/>
  <c r="A612" i="1"/>
  <c r="A611" i="1"/>
  <c r="A610" i="1"/>
  <c r="A609" i="1"/>
  <c r="A591" i="1"/>
  <c r="A555" i="1"/>
  <c r="A523" i="1"/>
  <c r="A522" i="1"/>
  <c r="A506" i="1"/>
  <c r="A505" i="1"/>
  <c r="A504" i="1"/>
  <c r="A503" i="1"/>
  <c r="A489" i="1"/>
  <c r="A488" i="1"/>
  <c r="A473" i="1"/>
  <c r="A472" i="1"/>
  <c r="A471" i="1"/>
  <c r="A470" i="1"/>
  <c r="A469" i="1"/>
  <c r="A468" i="1"/>
  <c r="A467" i="1"/>
  <c r="A452" i="1"/>
  <c r="A451" i="1"/>
  <c r="A450" i="1"/>
  <c r="A411" i="1"/>
  <c r="A410" i="1"/>
  <c r="A409" i="1"/>
  <c r="A408" i="1"/>
  <c r="A384" i="1"/>
  <c r="A383" i="1"/>
  <c r="A366" i="1"/>
  <c r="A365" i="1"/>
  <c r="A364" i="1"/>
  <c r="A363" i="1"/>
  <c r="A355" i="1"/>
  <c r="A354" i="1"/>
  <c r="A332" i="1"/>
  <c r="A331" i="1"/>
  <c r="A330" i="1"/>
  <c r="A329" i="1"/>
  <c r="A328" i="1"/>
  <c r="A294" i="1"/>
  <c r="A293" i="1"/>
  <c r="A271" i="1"/>
  <c r="A270" i="1"/>
  <c r="A165" i="1"/>
  <c r="A164" i="1"/>
  <c r="A145" i="1"/>
  <c r="A144" i="1"/>
  <c r="A126" i="1"/>
  <c r="A125" i="1"/>
  <c r="A124" i="1"/>
  <c r="A123" i="1"/>
  <c r="A108" i="1"/>
  <c r="A96" i="1"/>
  <c r="A95" i="1"/>
  <c r="A94" i="1"/>
  <c r="A67" i="1"/>
  <c r="A43" i="1"/>
  <c r="A42" i="1"/>
  <c r="A41" i="1"/>
  <c r="A47" i="1"/>
  <c r="A40" i="1"/>
  <c r="A34" i="1"/>
  <c r="A33" i="1"/>
  <c r="A24" i="1"/>
  <c r="A23" i="1"/>
  <c r="A10484" i="1"/>
  <c r="A10471" i="1"/>
  <c r="A10281" i="1"/>
  <c r="A10749" i="1"/>
  <c r="A10745" i="1"/>
  <c r="A10744" i="1"/>
  <c r="A10741" i="1"/>
  <c r="A10740" i="1"/>
  <c r="A10725" i="1"/>
  <c r="A10724" i="1"/>
  <c r="A10723" i="1"/>
  <c r="A10713" i="1"/>
  <c r="A10722" i="1"/>
  <c r="A10712" i="1"/>
  <c r="A10711" i="1"/>
  <c r="A10681" i="1"/>
  <c r="A10680" i="1"/>
  <c r="A10696" i="1"/>
  <c r="A10695" i="1"/>
  <c r="A10628" i="1"/>
  <c r="A10627" i="1"/>
  <c r="A10626" i="1"/>
  <c r="A10625" i="1"/>
  <c r="A10590" i="1"/>
  <c r="A10571" i="1"/>
  <c r="A10570" i="1"/>
  <c r="A10569" i="1"/>
  <c r="A10568" i="1"/>
  <c r="A10555" i="1"/>
  <c r="A10554" i="1"/>
  <c r="A10606" i="1"/>
  <c r="A10605" i="1"/>
  <c r="A10567" i="1"/>
  <c r="A10566" i="1"/>
  <c r="A10565" i="1"/>
  <c r="A10564" i="1"/>
  <c r="A10563" i="1"/>
  <c r="A10546" i="1"/>
  <c r="A10516" i="1"/>
  <c r="A10515" i="1"/>
  <c r="A10514" i="1"/>
  <c r="A10513" i="1"/>
  <c r="A10512" i="1"/>
  <c r="A10511" i="1"/>
  <c r="A10510" i="1"/>
  <c r="A10509" i="1"/>
  <c r="A10508" i="1"/>
  <c r="A10470" i="1"/>
  <c r="A10469" i="1"/>
  <c r="A10468" i="1"/>
  <c r="A10467" i="1"/>
  <c r="A10466" i="1"/>
  <c r="A10465" i="1"/>
  <c r="A10464" i="1"/>
  <c r="A10452" i="1"/>
  <c r="A10451" i="1"/>
  <c r="A10450" i="1"/>
  <c r="A10449" i="1"/>
  <c r="A10446" i="1"/>
  <c r="A10440" i="1"/>
  <c r="A10439" i="1"/>
  <c r="A10438" i="1"/>
  <c r="A10437" i="1"/>
  <c r="A10436" i="1"/>
  <c r="A10435" i="1"/>
  <c r="A10434" i="1"/>
  <c r="A10433" i="1"/>
  <c r="A10424" i="1"/>
  <c r="A10423" i="1"/>
  <c r="A10422" i="1"/>
  <c r="A10421" i="1"/>
  <c r="A10410" i="1"/>
  <c r="A10409" i="1"/>
  <c r="A10408" i="1"/>
  <c r="A10407" i="1"/>
  <c r="A10396" i="1"/>
  <c r="A10395" i="1"/>
  <c r="A10394" i="1"/>
  <c r="A10393" i="1"/>
  <c r="A10392" i="1"/>
  <c r="A10391" i="1"/>
  <c r="A10380" i="1"/>
  <c r="A10379" i="1"/>
  <c r="A10378" i="1"/>
  <c r="A10377" i="1"/>
  <c r="A10376" i="1"/>
  <c r="A10375" i="1"/>
  <c r="A10374" i="1"/>
  <c r="A10373" i="1"/>
  <c r="A10367" i="1"/>
  <c r="A10366" i="1"/>
  <c r="A10347" i="1"/>
  <c r="A10346" i="1"/>
  <c r="A10332" i="1"/>
  <c r="A10331" i="1"/>
  <c r="A10330" i="1"/>
  <c r="A10329" i="1"/>
  <c r="A10328" i="1"/>
  <c r="A10327" i="1"/>
  <c r="A10326" i="1"/>
  <c r="A10313" i="1"/>
  <c r="A10312" i="1"/>
  <c r="A10304" i="1"/>
  <c r="A10303" i="1"/>
  <c r="A10264" i="1"/>
  <c r="A10263" i="1"/>
  <c r="A10262" i="1"/>
  <c r="A10261" i="1"/>
  <c r="A10260" i="1"/>
  <c r="A10259" i="1"/>
  <c r="A10249" i="1"/>
  <c r="A10248" i="1"/>
  <c r="A10247" i="1"/>
  <c r="A10246" i="1"/>
  <c r="A10230" i="1"/>
  <c r="A10229" i="1"/>
  <c r="A10228" i="1"/>
  <c r="A10227" i="1"/>
  <c r="A10226" i="1"/>
  <c r="A10225" i="1"/>
  <c r="A10215" i="1"/>
  <c r="A10214" i="1"/>
  <c r="A10213" i="1"/>
  <c r="A10212" i="1"/>
  <c r="A10211" i="1"/>
  <c r="A10210" i="1"/>
  <c r="A10204" i="1"/>
  <c r="A10203" i="1"/>
  <c r="A10202" i="1"/>
  <c r="A10190" i="1"/>
  <c r="A10160" i="1"/>
  <c r="A10159" i="1"/>
  <c r="A10158" i="1"/>
  <c r="A10154" i="1"/>
  <c r="A10153" i="1"/>
  <c r="A10151" i="1"/>
  <c r="A10150" i="1"/>
  <c r="A10149" i="1"/>
  <c r="A10148" i="1"/>
  <c r="A10147" i="1"/>
  <c r="A10134" i="1"/>
  <c r="A10133" i="1"/>
  <c r="A10132" i="1"/>
  <c r="A10131" i="1"/>
  <c r="A10121" i="1"/>
  <c r="A10120" i="1"/>
  <c r="A10116" i="1"/>
  <c r="A10115" i="1"/>
  <c r="A10114" i="1"/>
  <c r="A10109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1" i="1"/>
  <c r="A10070" i="1"/>
  <c r="A10069" i="1"/>
  <c r="A1006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25" i="1"/>
  <c r="A10024" i="1"/>
  <c r="A10023" i="1"/>
  <c r="A10022" i="1"/>
  <c r="A10021" i="1"/>
  <c r="A10020" i="1"/>
  <c r="A10019" i="1"/>
  <c r="A10014" i="1"/>
  <c r="A10013" i="1"/>
  <c r="A9995" i="1"/>
  <c r="A9994" i="1"/>
  <c r="A9993" i="1"/>
  <c r="A9992" i="1"/>
  <c r="A9991" i="1"/>
  <c r="A9990" i="1"/>
  <c r="A9989" i="1"/>
  <c r="A9975" i="1"/>
  <c r="A9964" i="1"/>
  <c r="A9963" i="1"/>
  <c r="A9962" i="1"/>
  <c r="A9961" i="1"/>
  <c r="A9960" i="1"/>
  <c r="A9959" i="1"/>
  <c r="A9952" i="1"/>
  <c r="A9951" i="1"/>
  <c r="A9950" i="1"/>
  <c r="A9949" i="1"/>
  <c r="A9948" i="1"/>
  <c r="A9944" i="1"/>
  <c r="A9943" i="1"/>
  <c r="A9942" i="1"/>
  <c r="A9932" i="1"/>
  <c r="A9931" i="1"/>
  <c r="A9930" i="1"/>
  <c r="A9929" i="1"/>
  <c r="A9928" i="1"/>
  <c r="A9927" i="1"/>
  <c r="A9926" i="1"/>
  <c r="A9925" i="1"/>
  <c r="A9924" i="1"/>
  <c r="A9923" i="1"/>
  <c r="A9909" i="1"/>
  <c r="A9908" i="1"/>
  <c r="A9907" i="1"/>
  <c r="A9906" i="1"/>
  <c r="A9905" i="1"/>
  <c r="A9904" i="1"/>
  <c r="A9890" i="1"/>
  <c r="A9889" i="1"/>
  <c r="A9888" i="1"/>
  <c r="A9887" i="1"/>
  <c r="A9880" i="1"/>
  <c r="A9879" i="1"/>
  <c r="A9878" i="1"/>
  <c r="A9877" i="1"/>
  <c r="A9876" i="1"/>
  <c r="A9875" i="1"/>
  <c r="A9865" i="1"/>
  <c r="A9864" i="1"/>
  <c r="A9836" i="1"/>
  <c r="A9835" i="1"/>
  <c r="A9822" i="1"/>
  <c r="A9821" i="1"/>
  <c r="A9810" i="1"/>
  <c r="A9809" i="1"/>
  <c r="A9801" i="1"/>
  <c r="A9800" i="1"/>
  <c r="A9799" i="1"/>
  <c r="A9798" i="1"/>
  <c r="A9797" i="1"/>
  <c r="A9796" i="1"/>
  <c r="A9768" i="1"/>
  <c r="A9767" i="1"/>
  <c r="A9766" i="1"/>
  <c r="A9765" i="1"/>
  <c r="A9764" i="1"/>
  <c r="A9763" i="1"/>
  <c r="A9762" i="1"/>
  <c r="A9761" i="1"/>
  <c r="A9740" i="1"/>
  <c r="A9739" i="1"/>
  <c r="A9737" i="1"/>
  <c r="A9736" i="1"/>
  <c r="A9717" i="1"/>
  <c r="A9716" i="1"/>
  <c r="A9715" i="1"/>
  <c r="A9714" i="1"/>
  <c r="A9713" i="1"/>
  <c r="A9712" i="1"/>
  <c r="A9711" i="1"/>
  <c r="A9710" i="1"/>
  <c r="A9709" i="1"/>
  <c r="A9708" i="1"/>
  <c r="A9707" i="1"/>
  <c r="A9691" i="1"/>
  <c r="A9690" i="1"/>
  <c r="A9689" i="1"/>
  <c r="A9688" i="1"/>
  <c r="A9676" i="1"/>
  <c r="A9675" i="1"/>
  <c r="A9674" i="1"/>
  <c r="A9673" i="1"/>
  <c r="A9655" i="1"/>
  <c r="A9654" i="1"/>
  <c r="A9645" i="1"/>
  <c r="A9644" i="1"/>
  <c r="A9643" i="1"/>
  <c r="A9642" i="1"/>
  <c r="A9621" i="1"/>
  <c r="A9620" i="1"/>
  <c r="A9619" i="1"/>
  <c r="A9618" i="1"/>
  <c r="A9595" i="1"/>
  <c r="A9594" i="1"/>
  <c r="A9555" i="1"/>
  <c r="A9554" i="1"/>
  <c r="A9553" i="1"/>
  <c r="A9552" i="1"/>
  <c r="A9540" i="1"/>
  <c r="A9507" i="1"/>
  <c r="A9506" i="1"/>
  <c r="A9505" i="1"/>
  <c r="A9504" i="1"/>
  <c r="A9498" i="1"/>
  <c r="A9497" i="1"/>
  <c r="A9495" i="1"/>
  <c r="A9494" i="1"/>
  <c r="A9485" i="1"/>
  <c r="A9484" i="1"/>
  <c r="A9483" i="1"/>
  <c r="A9482" i="1"/>
  <c r="A9481" i="1"/>
  <c r="A9480" i="1"/>
  <c r="A9479" i="1"/>
  <c r="A9468" i="1"/>
  <c r="A9467" i="1"/>
  <c r="A9466" i="1"/>
  <c r="A9465" i="1"/>
  <c r="A9464" i="1"/>
  <c r="A9463" i="1"/>
  <c r="A9462" i="1"/>
  <c r="A9461" i="1"/>
  <c r="A9448" i="1"/>
  <c r="A9447" i="1"/>
  <c r="A9446" i="1"/>
  <c r="A9445" i="1"/>
  <c r="A9437" i="1"/>
  <c r="A9436" i="1"/>
  <c r="A9435" i="1"/>
  <c r="A9434" i="1"/>
  <c r="A9433" i="1"/>
  <c r="A9432" i="1"/>
  <c r="A9431" i="1"/>
  <c r="A9423" i="1"/>
  <c r="A9415" i="1"/>
  <c r="A9414" i="1"/>
  <c r="A9413" i="1"/>
  <c r="A9412" i="1"/>
  <c r="A9411" i="1"/>
  <c r="A9410" i="1"/>
  <c r="A9409" i="1"/>
  <c r="A9400" i="1"/>
  <c r="A9399" i="1"/>
  <c r="A9398" i="1"/>
  <c r="A9381" i="1"/>
  <c r="A9380" i="1"/>
  <c r="A9379" i="1"/>
  <c r="A9378" i="1"/>
  <c r="A9377" i="1"/>
  <c r="A9376" i="1"/>
  <c r="A9375" i="1"/>
  <c r="A9363" i="1"/>
  <c r="A9347" i="1"/>
  <c r="A9346" i="1"/>
  <c r="A9345" i="1"/>
  <c r="A9344" i="1"/>
  <c r="A9343" i="1"/>
  <c r="A9339" i="1"/>
  <c r="A9338" i="1"/>
  <c r="A9326" i="1"/>
  <c r="A9325" i="1"/>
  <c r="A9324" i="1"/>
  <c r="A9323" i="1"/>
  <c r="A9322" i="1"/>
  <c r="A9321" i="1"/>
  <c r="A9320" i="1"/>
  <c r="A9309" i="1"/>
  <c r="A9308" i="1"/>
  <c r="A9307" i="1"/>
  <c r="A9306" i="1"/>
  <c r="A9305" i="1"/>
  <c r="A9304" i="1"/>
  <c r="A9303" i="1"/>
  <c r="A9302" i="1"/>
  <c r="A9301" i="1"/>
  <c r="A9271" i="1"/>
  <c r="A9270" i="1"/>
  <c r="A9269" i="1"/>
  <c r="A9260" i="1"/>
  <c r="A9259" i="1"/>
  <c r="A9258" i="1"/>
  <c r="A9257" i="1"/>
  <c r="A9247" i="1"/>
  <c r="A9246" i="1"/>
  <c r="A9239" i="1"/>
  <c r="A9238" i="1"/>
  <c r="A9237" i="1"/>
  <c r="A9236" i="1"/>
  <c r="A9225" i="1"/>
  <c r="A9207" i="1"/>
  <c r="A9206" i="1"/>
  <c r="A9205" i="1"/>
  <c r="A9204" i="1"/>
  <c r="A9203" i="1"/>
  <c r="A9202" i="1"/>
  <c r="A9201" i="1"/>
  <c r="A9200" i="1"/>
  <c r="A9199" i="1"/>
  <c r="A9185" i="1"/>
  <c r="A9184" i="1"/>
  <c r="A9183" i="1"/>
  <c r="A9182" i="1"/>
  <c r="A9181" i="1"/>
  <c r="A9180" i="1"/>
  <c r="A9179" i="1"/>
  <c r="A9170" i="1"/>
  <c r="A9169" i="1"/>
  <c r="A9168" i="1"/>
  <c r="A9167" i="1"/>
  <c r="A9166" i="1"/>
  <c r="A9165" i="1"/>
  <c r="A9159" i="1"/>
  <c r="A9158" i="1"/>
  <c r="A9152" i="1"/>
  <c r="A9151" i="1"/>
  <c r="A9150" i="1"/>
  <c r="A9149" i="1"/>
  <c r="A9140" i="1"/>
  <c r="A9129" i="1"/>
  <c r="A9128" i="1"/>
  <c r="A9127" i="1"/>
  <c r="A9126" i="1"/>
  <c r="A9111" i="1"/>
  <c r="A9110" i="1"/>
  <c r="A9109" i="1"/>
  <c r="A9108" i="1"/>
  <c r="A9107" i="1"/>
  <c r="A9094" i="1"/>
  <c r="A9093" i="1"/>
  <c r="A9092" i="1"/>
  <c r="A9091" i="1"/>
  <c r="A9090" i="1"/>
  <c r="A9089" i="1"/>
  <c r="A9083" i="1"/>
  <c r="A9082" i="1"/>
  <c r="A9081" i="1"/>
  <c r="A9080" i="1"/>
  <c r="A9068" i="1"/>
  <c r="A9051" i="1"/>
  <c r="A9036" i="1"/>
  <c r="A9035" i="1"/>
  <c r="A9018" i="1"/>
  <c r="A9012" i="1"/>
  <c r="A9011" i="1"/>
  <c r="A8998" i="1"/>
  <c r="A8997" i="1"/>
  <c r="A8996" i="1"/>
  <c r="A8995" i="1"/>
  <c r="A8986" i="1"/>
  <c r="A8985" i="1"/>
  <c r="A8956" i="1"/>
  <c r="A8943" i="1"/>
  <c r="A8942" i="1"/>
  <c r="A8941" i="1"/>
  <c r="A8940" i="1"/>
  <c r="A8936" i="1"/>
  <c r="A8935" i="1"/>
  <c r="A8934" i="1"/>
  <c r="A8913" i="1"/>
  <c r="A8912" i="1"/>
  <c r="A8911" i="1"/>
  <c r="A8884" i="1"/>
  <c r="A8883" i="1"/>
  <c r="A8882" i="1"/>
  <c r="A8881" i="1"/>
  <c r="A8880" i="1"/>
  <c r="A8879" i="1"/>
  <c r="A8866" i="1"/>
  <c r="A8865" i="1"/>
  <c r="A8864" i="1"/>
  <c r="A8863" i="1"/>
  <c r="A8862" i="1"/>
  <c r="A8861" i="1"/>
  <c r="A8860" i="1"/>
  <c r="A8859" i="1"/>
  <c r="A8842" i="1"/>
  <c r="A8841" i="1"/>
  <c r="A8840" i="1"/>
  <c r="A8839" i="1"/>
  <c r="A8838" i="1"/>
  <c r="A8837" i="1"/>
  <c r="A8836" i="1"/>
  <c r="A8835" i="1"/>
  <c r="A8834" i="1"/>
  <c r="A8828" i="1"/>
  <c r="A8827" i="1"/>
  <c r="A8826" i="1"/>
  <c r="A8825" i="1"/>
  <c r="A8822" i="1"/>
  <c r="A8821" i="1"/>
  <c r="A8820" i="1"/>
  <c r="A8814" i="1"/>
  <c r="A8813" i="1"/>
  <c r="A8801" i="1"/>
  <c r="A8800" i="1"/>
  <c r="A8784" i="1"/>
  <c r="A8783" i="1"/>
  <c r="A8782" i="1"/>
  <c r="A8781" i="1"/>
  <c r="A8780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35" i="1"/>
  <c r="A8734" i="1"/>
  <c r="A8733" i="1"/>
  <c r="A8724" i="1"/>
  <c r="A8723" i="1"/>
  <c r="A8722" i="1"/>
  <c r="A8721" i="1"/>
  <c r="A8720" i="1"/>
  <c r="A8719" i="1"/>
  <c r="A8716" i="1"/>
  <c r="A8715" i="1"/>
  <c r="A8714" i="1"/>
  <c r="A8698" i="1"/>
  <c r="A8697" i="1"/>
  <c r="A8696" i="1"/>
  <c r="A8695" i="1"/>
  <c r="A8675" i="1"/>
  <c r="A8674" i="1"/>
  <c r="A8673" i="1"/>
  <c r="A8651" i="1"/>
  <c r="A8650" i="1"/>
  <c r="A8649" i="1"/>
  <c r="A8648" i="1"/>
  <c r="A8647" i="1"/>
  <c r="A8646" i="1"/>
  <c r="A8645" i="1"/>
  <c r="A8644" i="1"/>
  <c r="A8643" i="1"/>
  <c r="A8628" i="1"/>
  <c r="A8627" i="1"/>
  <c r="A8626" i="1"/>
  <c r="A8625" i="1"/>
  <c r="A8624" i="1"/>
  <c r="A8623" i="1"/>
  <c r="A8622" i="1"/>
  <c r="A8618" i="1"/>
  <c r="A8609" i="1"/>
  <c r="A8608" i="1"/>
  <c r="A8607" i="1"/>
  <c r="A8606" i="1"/>
  <c r="A8605" i="1"/>
  <c r="A8604" i="1"/>
  <c r="A8603" i="1"/>
  <c r="A8580" i="1"/>
  <c r="A8579" i="1"/>
  <c r="A8578" i="1"/>
  <c r="A8577" i="1"/>
  <c r="A8576" i="1"/>
  <c r="A8575" i="1"/>
  <c r="A8574" i="1"/>
  <c r="A8573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14" i="1"/>
  <c r="A8513" i="1"/>
  <c r="A8478" i="1"/>
  <c r="A8477" i="1"/>
  <c r="A8458" i="1"/>
  <c r="A8457" i="1"/>
  <c r="A8456" i="1"/>
  <c r="A8455" i="1"/>
  <c r="A8454" i="1"/>
  <c r="A8453" i="1"/>
  <c r="A8452" i="1"/>
  <c r="A8451" i="1"/>
  <c r="A8450" i="1"/>
  <c r="A8429" i="1"/>
  <c r="A8428" i="1"/>
  <c r="A8427" i="1"/>
  <c r="A8426" i="1"/>
  <c r="A8425" i="1"/>
  <c r="A8424" i="1"/>
  <c r="A8423" i="1"/>
  <c r="A8422" i="1"/>
  <c r="A8421" i="1"/>
  <c r="A8402" i="1"/>
  <c r="A8401" i="1"/>
  <c r="A8400" i="1"/>
  <c r="A8399" i="1"/>
  <c r="A8398" i="1"/>
  <c r="A8397" i="1"/>
  <c r="A8396" i="1"/>
  <c r="A8395" i="1"/>
  <c r="A8394" i="1"/>
  <c r="A8393" i="1"/>
  <c r="A8370" i="1"/>
  <c r="A8369" i="1"/>
  <c r="A8368" i="1"/>
  <c r="A8367" i="1"/>
  <c r="A8366" i="1"/>
  <c r="A8365" i="1"/>
  <c r="A8364" i="1"/>
  <c r="A8363" i="1"/>
  <c r="A8362" i="1"/>
  <c r="A8360" i="1"/>
  <c r="A8354" i="1"/>
  <c r="A8353" i="1"/>
  <c r="A8338" i="1"/>
  <c r="A8318" i="1"/>
  <c r="A8317" i="1"/>
  <c r="A8316" i="1"/>
  <c r="A8315" i="1"/>
  <c r="A8314" i="1"/>
  <c r="A8313" i="1"/>
  <c r="A8299" i="1"/>
  <c r="A8298" i="1"/>
  <c r="A8297" i="1"/>
  <c r="A8267" i="1"/>
  <c r="A8266" i="1"/>
  <c r="A8265" i="1"/>
  <c r="A8252" i="1"/>
  <c r="A8251" i="1"/>
  <c r="A8235" i="1"/>
  <c r="A8234" i="1"/>
  <c r="A8220" i="1"/>
  <c r="A8198" i="1"/>
  <c r="A8197" i="1"/>
  <c r="A8196" i="1"/>
  <c r="A8181" i="1"/>
  <c r="A8180" i="1"/>
  <c r="A8179" i="1"/>
  <c r="A8178" i="1"/>
  <c r="A8177" i="1"/>
  <c r="A8176" i="1"/>
  <c r="A8175" i="1"/>
  <c r="A8174" i="1"/>
  <c r="A8158" i="1"/>
  <c r="A8157" i="1"/>
  <c r="A8156" i="1"/>
  <c r="A8140" i="1"/>
  <c r="A8134" i="1"/>
  <c r="A8133" i="1"/>
  <c r="A8132" i="1"/>
  <c r="A8131" i="1"/>
  <c r="A8130" i="1"/>
  <c r="A8111" i="1"/>
  <c r="A8110" i="1"/>
  <c r="A8109" i="1"/>
  <c r="A8108" i="1"/>
  <c r="A8082" i="1"/>
  <c r="A8081" i="1"/>
  <c r="A8080" i="1"/>
  <c r="A8079" i="1"/>
  <c r="A8078" i="1"/>
  <c r="A8077" i="1"/>
  <c r="A8076" i="1"/>
  <c r="A8075" i="1"/>
  <c r="A8053" i="1"/>
  <c r="A8031" i="1"/>
  <c r="A8030" i="1"/>
  <c r="A8029" i="1"/>
  <c r="A8028" i="1"/>
  <c r="A8027" i="1"/>
  <c r="A8026" i="1"/>
  <c r="A8025" i="1"/>
  <c r="A7997" i="1"/>
  <c r="A7996" i="1"/>
  <c r="A7995" i="1"/>
  <c r="A7994" i="1"/>
  <c r="A7993" i="1"/>
  <c r="A7992" i="1"/>
  <c r="A7991" i="1"/>
  <c r="A7977" i="1"/>
  <c r="A7936" i="1"/>
  <c r="A7935" i="1"/>
  <c r="A7934" i="1"/>
  <c r="A7933" i="1"/>
  <c r="A7932" i="1"/>
  <c r="A7899" i="1"/>
  <c r="A7898" i="1"/>
  <c r="A7897" i="1"/>
  <c r="A7875" i="1"/>
  <c r="A7874" i="1"/>
  <c r="A7873" i="1"/>
  <c r="A7872" i="1"/>
  <c r="A7871" i="1"/>
  <c r="A7870" i="1"/>
  <c r="A7839" i="1"/>
  <c r="A7838" i="1"/>
  <c r="A7837" i="1"/>
  <c r="A7836" i="1"/>
  <c r="A7835" i="1"/>
  <c r="A7834" i="1"/>
  <c r="A7833" i="1"/>
  <c r="A7832" i="1"/>
  <c r="A7818" i="1"/>
  <c r="A7817" i="1"/>
  <c r="A7816" i="1"/>
  <c r="A7802" i="1"/>
  <c r="A7801" i="1"/>
  <c r="A7800" i="1"/>
  <c r="A7799" i="1"/>
  <c r="A7798" i="1"/>
  <c r="A7797" i="1"/>
  <c r="A7796" i="1"/>
  <c r="A7795" i="1"/>
  <c r="A7794" i="1"/>
  <c r="A7773" i="1"/>
  <c r="A7772" i="1"/>
  <c r="A7771" i="1"/>
  <c r="A7770" i="1"/>
  <c r="A7769" i="1"/>
  <c r="A7768" i="1"/>
  <c r="A7767" i="1"/>
  <c r="A7746" i="1"/>
  <c r="A7745" i="1"/>
  <c r="A7744" i="1"/>
  <c r="A7743" i="1"/>
  <c r="A7742" i="1"/>
  <c r="A7741" i="1"/>
  <c r="A7740" i="1"/>
  <c r="A7739" i="1"/>
  <c r="A7738" i="1"/>
  <c r="A7714" i="1"/>
  <c r="A7713" i="1"/>
  <c r="A7712" i="1"/>
  <c r="A7711" i="1"/>
  <c r="A7700" i="1"/>
  <c r="A7692" i="1"/>
  <c r="A7672" i="1"/>
  <c r="A7671" i="1"/>
  <c r="A7670" i="1"/>
  <c r="A7651" i="1"/>
  <c r="A7650" i="1"/>
  <c r="A7649" i="1"/>
  <c r="A7648" i="1"/>
  <c r="A7647" i="1"/>
  <c r="A7625" i="1"/>
  <c r="A7624" i="1"/>
  <c r="A7623" i="1"/>
  <c r="A7622" i="1"/>
  <c r="A7621" i="1"/>
  <c r="A7620" i="1"/>
  <c r="A7600" i="1"/>
  <c r="A7599" i="1"/>
  <c r="A7598" i="1"/>
  <c r="A7597" i="1"/>
  <c r="A7596" i="1"/>
  <c r="A7595" i="1"/>
  <c r="A7594" i="1"/>
  <c r="A7593" i="1"/>
  <c r="A7592" i="1"/>
  <c r="A7572" i="1"/>
  <c r="A7571" i="1"/>
  <c r="A7570" i="1"/>
  <c r="A7540" i="1"/>
  <c r="A7539" i="1"/>
  <c r="A7538" i="1"/>
  <c r="A7537" i="1"/>
  <c r="A7536" i="1"/>
  <c r="A7519" i="1"/>
  <c r="A7518" i="1"/>
  <c r="A7517" i="1"/>
  <c r="A7516" i="1"/>
  <c r="A7515" i="1"/>
  <c r="A7514" i="1"/>
  <c r="A7470" i="1"/>
  <c r="A7469" i="1"/>
  <c r="A7450" i="1"/>
  <c r="A7449" i="1"/>
  <c r="A7422" i="1"/>
  <c r="A7421" i="1"/>
  <c r="A7401" i="1"/>
  <c r="A7400" i="1"/>
  <c r="A7399" i="1"/>
  <c r="A7398" i="1"/>
  <c r="A7383" i="1"/>
  <c r="A7382" i="1"/>
  <c r="A7381" i="1"/>
  <c r="A7380" i="1"/>
  <c r="A7379" i="1"/>
  <c r="A7358" i="1"/>
  <c r="A7357" i="1"/>
  <c r="A7356" i="1"/>
  <c r="A7355" i="1"/>
  <c r="A7354" i="1"/>
  <c r="A7353" i="1"/>
  <c r="A7336" i="1"/>
  <c r="A7335" i="1"/>
  <c r="A7331" i="1"/>
  <c r="A7320" i="1"/>
  <c r="A7319" i="1"/>
  <c r="A7318" i="1"/>
  <c r="A7307" i="1"/>
  <c r="A7306" i="1"/>
  <c r="A7305" i="1"/>
  <c r="A7304" i="1"/>
  <c r="A7286" i="1"/>
  <c r="A7285" i="1"/>
  <c r="A7284" i="1"/>
  <c r="A7283" i="1"/>
  <c r="A7282" i="1"/>
  <c r="A7281" i="1"/>
  <c r="A7280" i="1"/>
  <c r="A7279" i="1"/>
  <c r="A7268" i="1"/>
  <c r="A7267" i="1"/>
  <c r="A7266" i="1"/>
  <c r="A7265" i="1"/>
  <c r="A7264" i="1"/>
  <c r="A7249" i="1"/>
  <c r="A7248" i="1"/>
  <c r="A7240" i="1"/>
  <c r="A7239" i="1"/>
  <c r="A7233" i="1"/>
  <c r="A7232" i="1"/>
  <c r="A7231" i="1"/>
  <c r="A7216" i="1"/>
  <c r="A7215" i="1"/>
  <c r="A7214" i="1"/>
  <c r="A7213" i="1"/>
  <c r="A7212" i="1"/>
  <c r="A7211" i="1"/>
  <c r="A7190" i="1"/>
  <c r="A7189" i="1"/>
  <c r="A7188" i="1"/>
  <c r="A7187" i="1"/>
  <c r="A7173" i="1"/>
  <c r="A7172" i="1"/>
  <c r="A7171" i="1"/>
  <c r="A7170" i="1"/>
  <c r="A7152" i="1"/>
  <c r="A7151" i="1"/>
  <c r="A7150" i="1"/>
  <c r="A7149" i="1"/>
  <c r="A7148" i="1"/>
  <c r="A7147" i="1"/>
  <c r="A7146" i="1"/>
  <c r="A7145" i="1"/>
  <c r="A7131" i="1"/>
  <c r="A7130" i="1"/>
  <c r="A7129" i="1"/>
  <c r="A7128" i="1"/>
  <c r="A7105" i="1"/>
  <c r="A7092" i="1"/>
  <c r="A7091" i="1"/>
  <c r="A7090" i="1"/>
  <c r="A7089" i="1"/>
  <c r="A7088" i="1"/>
  <c r="A7077" i="1"/>
  <c r="A7076" i="1"/>
  <c r="A7075" i="1"/>
  <c r="A7074" i="1"/>
  <c r="A7073" i="1"/>
  <c r="A7072" i="1"/>
  <c r="A7071" i="1"/>
  <c r="A7070" i="1"/>
  <c r="A7058" i="1"/>
  <c r="A7057" i="1"/>
  <c r="A7056" i="1"/>
  <c r="A7055" i="1"/>
  <c r="A7054" i="1"/>
  <c r="A7053" i="1"/>
  <c r="A7044" i="1"/>
  <c r="A7043" i="1"/>
  <c r="A7042" i="1"/>
  <c r="A7041" i="1"/>
  <c r="A7040" i="1"/>
  <c r="A7035" i="1"/>
  <c r="A7034" i="1"/>
  <c r="A7018" i="1"/>
  <c r="A7017" i="1"/>
  <c r="A7016" i="1"/>
  <c r="A7015" i="1"/>
  <c r="A7014" i="1"/>
  <c r="A7003" i="1"/>
  <c r="A7002" i="1"/>
  <c r="A6991" i="1"/>
  <c r="A6990" i="1"/>
  <c r="A6989" i="1"/>
  <c r="A6988" i="1"/>
  <c r="A6987" i="1"/>
  <c r="A6971" i="1"/>
  <c r="A6970" i="1"/>
  <c r="A6969" i="1"/>
  <c r="A6968" i="1"/>
  <c r="A6953" i="1"/>
  <c r="A6951" i="1"/>
  <c r="A6950" i="1"/>
  <c r="A6949" i="1"/>
  <c r="A6948" i="1"/>
  <c r="A6933" i="1"/>
  <c r="A6932" i="1"/>
  <c r="A6931" i="1"/>
  <c r="A6930" i="1"/>
  <c r="A6929" i="1"/>
  <c r="A6928" i="1"/>
  <c r="A6919" i="1"/>
  <c r="A6918" i="1"/>
  <c r="A6904" i="1"/>
  <c r="A6903" i="1"/>
  <c r="A6902" i="1"/>
  <c r="A6901" i="1"/>
  <c r="A6900" i="1"/>
  <c r="A6899" i="1"/>
  <c r="A6898" i="1"/>
  <c r="A6897" i="1"/>
  <c r="A6880" i="1"/>
  <c r="A6879" i="1"/>
  <c r="A6860" i="1"/>
  <c r="A6859" i="1"/>
  <c r="A6854" i="1"/>
  <c r="A6853" i="1"/>
  <c r="A6819" i="1"/>
  <c r="A6818" i="1"/>
  <c r="A6817" i="1"/>
  <c r="A6816" i="1"/>
  <c r="A6815" i="1"/>
  <c r="A6814" i="1"/>
  <c r="A6798" i="1"/>
  <c r="A6797" i="1"/>
  <c r="A6796" i="1"/>
  <c r="A6779" i="1"/>
  <c r="A6778" i="1"/>
  <c r="A6777" i="1"/>
  <c r="A6758" i="1"/>
  <c r="A6757" i="1"/>
  <c r="A6747" i="1"/>
  <c r="A6746" i="1"/>
  <c r="A6731" i="1"/>
  <c r="A6730" i="1"/>
  <c r="A6729" i="1"/>
  <c r="A6728" i="1"/>
  <c r="A6704" i="1"/>
  <c r="A6703" i="1"/>
  <c r="A6702" i="1"/>
  <c r="A6684" i="1"/>
  <c r="A6683" i="1"/>
  <c r="A6682" i="1"/>
  <c r="A6668" i="1"/>
  <c r="A6667" i="1"/>
  <c r="A6656" i="1"/>
  <c r="A6655" i="1"/>
  <c r="A6654" i="1"/>
  <c r="A6640" i="1"/>
  <c r="A6639" i="1"/>
  <c r="A6618" i="1"/>
  <c r="A6617" i="1"/>
  <c r="A6616" i="1"/>
  <c r="A6615" i="1"/>
  <c r="A6614" i="1"/>
  <c r="A6613" i="1"/>
  <c r="A6612" i="1"/>
  <c r="A6592" i="1"/>
  <c r="A6591" i="1"/>
  <c r="A6590" i="1"/>
  <c r="A6589" i="1"/>
  <c r="A6588" i="1"/>
  <c r="A6587" i="1"/>
  <c r="A6576" i="1"/>
  <c r="A6575" i="1"/>
  <c r="A6563" i="1"/>
  <c r="A6562" i="1"/>
  <c r="A6521" i="1"/>
  <c r="A6520" i="1"/>
  <c r="A6519" i="1"/>
  <c r="A6491" i="1"/>
  <c r="A6490" i="1"/>
  <c r="A6489" i="1"/>
  <c r="A6465" i="1"/>
  <c r="A6464" i="1"/>
  <c r="A6463" i="1"/>
  <c r="A6462" i="1"/>
  <c r="A6461" i="1"/>
  <c r="A6460" i="1"/>
  <c r="A6450" i="1"/>
  <c r="A6449" i="1"/>
  <c r="A6448" i="1"/>
  <c r="A6397" i="1"/>
  <c r="A6396" i="1"/>
  <c r="A6395" i="1"/>
  <c r="A6394" i="1"/>
  <c r="A6393" i="1"/>
  <c r="A6392" i="1"/>
  <c r="A6391" i="1"/>
  <c r="A6390" i="1"/>
  <c r="A6371" i="1"/>
  <c r="A6370" i="1"/>
  <c r="A6369" i="1"/>
  <c r="A6368" i="1"/>
  <c r="A6367" i="1"/>
  <c r="A6366" i="1"/>
  <c r="A6347" i="1"/>
  <c r="A6346" i="1"/>
  <c r="A6345" i="1"/>
  <c r="A6333" i="1"/>
  <c r="A6332" i="1"/>
  <c r="A6320" i="1"/>
  <c r="A6298" i="1"/>
  <c r="A6297" i="1"/>
  <c r="A6296" i="1"/>
  <c r="A6295" i="1"/>
  <c r="A6294" i="1"/>
  <c r="A6293" i="1"/>
  <c r="A6279" i="1"/>
  <c r="A6278" i="1"/>
  <c r="A6277" i="1"/>
  <c r="A6276" i="1"/>
  <c r="A6260" i="1"/>
  <c r="A6259" i="1"/>
  <c r="A6258" i="1"/>
  <c r="A6246" i="1"/>
  <c r="A6245" i="1"/>
  <c r="A6237" i="1"/>
  <c r="A6227" i="1"/>
  <c r="A6226" i="1"/>
  <c r="A6225" i="1"/>
  <c r="A6224" i="1"/>
  <c r="A6223" i="1"/>
  <c r="A6203" i="1"/>
  <c r="A6202" i="1"/>
  <c r="A6201" i="1"/>
  <c r="A6200" i="1"/>
  <c r="A6199" i="1"/>
  <c r="A6183" i="1"/>
  <c r="A6182" i="1"/>
  <c r="A6181" i="1"/>
  <c r="A6180" i="1"/>
  <c r="A6179" i="1"/>
  <c r="A6178" i="1"/>
  <c r="A6145" i="1"/>
  <c r="A6144" i="1"/>
  <c r="A6126" i="1"/>
  <c r="A6099" i="1"/>
  <c r="A6098" i="1"/>
  <c r="A6097" i="1"/>
  <c r="A6096" i="1"/>
  <c r="A6095" i="1"/>
  <c r="A6065" i="1"/>
  <c r="A6064" i="1"/>
  <c r="A6063" i="1"/>
  <c r="A6062" i="1"/>
  <c r="A6061" i="1"/>
  <c r="A6030" i="1"/>
  <c r="A6029" i="1"/>
  <c r="A6028" i="1"/>
  <c r="A6027" i="1"/>
  <c r="A5991" i="1"/>
  <c r="A5990" i="1"/>
  <c r="A5989" i="1"/>
  <c r="A5988" i="1"/>
  <c r="A5987" i="1"/>
  <c r="A5972" i="1"/>
  <c r="A5971" i="1"/>
  <c r="A5970" i="1"/>
  <c r="A5969" i="1"/>
  <c r="A5968" i="1"/>
  <c r="A5967" i="1"/>
  <c r="A5966" i="1"/>
  <c r="A5965" i="1"/>
  <c r="A5964" i="1"/>
  <c r="A5954" i="1"/>
  <c r="A5953" i="1"/>
  <c r="A5934" i="1"/>
  <c r="A5933" i="1"/>
  <c r="A5932" i="1"/>
  <c r="A5931" i="1"/>
  <c r="A5930" i="1"/>
  <c r="A5913" i="1"/>
  <c r="A5912" i="1"/>
  <c r="A5911" i="1"/>
  <c r="A5910" i="1"/>
  <c r="A5909" i="1"/>
  <c r="A5908" i="1"/>
  <c r="A5907" i="1"/>
  <c r="A5906" i="1"/>
  <c r="A5888" i="1"/>
  <c r="A5887" i="1"/>
  <c r="A5886" i="1"/>
  <c r="A5885" i="1"/>
  <c r="A5884" i="1"/>
  <c r="A5883" i="1"/>
  <c r="A5882" i="1"/>
  <c r="A5881" i="1"/>
  <c r="A5880" i="1"/>
  <c r="A5871" i="1"/>
  <c r="A5870" i="1"/>
  <c r="A5869" i="1"/>
  <c r="A5868" i="1"/>
  <c r="A5867" i="1"/>
  <c r="A5864" i="1"/>
  <c r="A5863" i="1"/>
  <c r="A5859" i="1"/>
  <c r="A5858" i="1"/>
  <c r="A5857" i="1"/>
  <c r="A5856" i="1"/>
  <c r="A5855" i="1"/>
  <c r="A5854" i="1"/>
  <c r="A5853" i="1"/>
  <c r="A5843" i="1"/>
  <c r="A5842" i="1"/>
  <c r="A5841" i="1"/>
  <c r="A5840" i="1"/>
  <c r="A5839" i="1"/>
  <c r="A5838" i="1"/>
  <c r="A5837" i="1"/>
  <c r="A5835" i="1"/>
  <c r="A5826" i="1"/>
  <c r="A5825" i="1"/>
  <c r="A5824" i="1"/>
  <c r="A5823" i="1"/>
  <c r="A5822" i="1"/>
  <c r="A5821" i="1"/>
  <c r="A5820" i="1"/>
  <c r="A5810" i="1"/>
  <c r="A5809" i="1"/>
  <c r="A5808" i="1"/>
  <c r="A5804" i="1"/>
  <c r="A5789" i="1"/>
  <c r="A5788" i="1"/>
  <c r="A5787" i="1"/>
  <c r="A5786" i="1"/>
  <c r="A5785" i="1"/>
  <c r="A5784" i="1"/>
  <c r="A5783" i="1"/>
  <c r="A5782" i="1"/>
  <c r="A5763" i="1"/>
  <c r="A5762" i="1"/>
  <c r="A5761" i="1"/>
  <c r="A5760" i="1"/>
  <c r="A5759" i="1"/>
  <c r="A5758" i="1"/>
  <c r="A5757" i="1"/>
  <c r="A5742" i="1"/>
  <c r="A5741" i="1"/>
  <c r="A5740" i="1"/>
  <c r="A5739" i="1"/>
  <c r="A5738" i="1"/>
  <c r="A5737" i="1"/>
  <c r="A5736" i="1"/>
  <c r="A5717" i="1"/>
  <c r="A5716" i="1"/>
  <c r="A5701" i="1"/>
  <c r="A5700" i="1"/>
  <c r="A5696" i="1"/>
  <c r="A5695" i="1"/>
  <c r="A5688" i="1"/>
  <c r="A5687" i="1"/>
  <c r="A5686" i="1"/>
  <c r="A5669" i="1"/>
  <c r="A5668" i="1"/>
  <c r="A5667" i="1"/>
  <c r="A5666" i="1"/>
  <c r="A5665" i="1"/>
  <c r="A5664" i="1"/>
  <c r="A5650" i="1"/>
  <c r="A5649" i="1"/>
  <c r="A5648" i="1"/>
  <c r="A5647" i="1"/>
  <c r="A5646" i="1"/>
  <c r="A5637" i="1"/>
  <c r="A5636" i="1"/>
  <c r="A5635" i="1"/>
  <c r="A5634" i="1"/>
  <c r="A5633" i="1"/>
  <c r="A5621" i="1"/>
  <c r="A5620" i="1"/>
  <c r="A5611" i="1"/>
  <c r="A5610" i="1"/>
  <c r="A5609" i="1"/>
  <c r="A5604" i="1"/>
  <c r="A5603" i="1"/>
  <c r="A5588" i="1"/>
  <c r="A5587" i="1"/>
  <c r="A5586" i="1"/>
  <c r="A5585" i="1"/>
  <c r="A5570" i="1"/>
  <c r="A5569" i="1"/>
  <c r="A5568" i="1"/>
  <c r="A5567" i="1"/>
  <c r="A5566" i="1"/>
  <c r="A5565" i="1"/>
  <c r="A5564" i="1"/>
  <c r="A5563" i="1"/>
  <c r="A5551" i="1"/>
  <c r="A5538" i="1"/>
  <c r="A5527" i="1"/>
  <c r="A5526" i="1"/>
  <c r="A5525" i="1"/>
  <c r="A5524" i="1"/>
  <c r="A5523" i="1"/>
  <c r="A5522" i="1"/>
  <c r="A5521" i="1"/>
  <c r="A5520" i="1"/>
  <c r="A5506" i="1"/>
  <c r="A5491" i="1"/>
  <c r="A5490" i="1"/>
  <c r="A5489" i="1"/>
  <c r="A5488" i="1"/>
  <c r="A5476" i="1"/>
  <c r="A5475" i="1"/>
  <c r="A5448" i="1"/>
  <c r="A5420" i="1"/>
  <c r="A5419" i="1"/>
  <c r="A5418" i="1"/>
  <c r="A5417" i="1"/>
  <c r="A5416" i="1"/>
  <c r="A5415" i="1"/>
  <c r="A5405" i="1"/>
  <c r="A5404" i="1"/>
  <c r="A5382" i="1"/>
  <c r="A5381" i="1"/>
  <c r="A5369" i="1"/>
  <c r="A5368" i="1"/>
  <c r="A5367" i="1"/>
  <c r="A5366" i="1"/>
  <c r="A5365" i="1"/>
  <c r="A5364" i="1"/>
  <c r="A5363" i="1"/>
  <c r="A5362" i="1"/>
  <c r="A5361" i="1"/>
  <c r="A5344" i="1"/>
  <c r="A5343" i="1"/>
  <c r="A5342" i="1"/>
  <c r="A5341" i="1"/>
  <c r="A5340" i="1"/>
  <c r="A5326" i="1"/>
  <c r="A5325" i="1"/>
  <c r="A5324" i="1"/>
  <c r="A5323" i="1"/>
  <c r="A5322" i="1"/>
  <c r="A5312" i="1"/>
  <c r="A5311" i="1"/>
  <c r="A5303" i="1"/>
  <c r="A5302" i="1"/>
  <c r="A5297" i="1"/>
  <c r="A5296" i="1"/>
  <c r="A5295" i="1"/>
  <c r="A5294" i="1"/>
  <c r="A5278" i="1"/>
  <c r="A5277" i="1"/>
  <c r="A5276" i="1"/>
  <c r="A5275" i="1"/>
  <c r="A5255" i="1"/>
  <c r="A5254" i="1"/>
  <c r="A5253" i="1"/>
  <c r="A5252" i="1"/>
  <c r="A5251" i="1"/>
  <c r="A5250" i="1"/>
  <c r="A5236" i="1"/>
  <c r="A5235" i="1"/>
  <c r="A5234" i="1"/>
  <c r="A5231" i="1"/>
  <c r="A5225" i="1"/>
  <c r="A5224" i="1"/>
  <c r="A5223" i="1"/>
  <c r="A5222" i="1"/>
  <c r="A5221" i="1"/>
  <c r="A5211" i="1"/>
  <c r="A5210" i="1"/>
  <c r="A5202" i="1"/>
  <c r="A5201" i="1"/>
  <c r="A5200" i="1"/>
  <c r="A5199" i="1"/>
  <c r="A5198" i="1"/>
  <c r="A5197" i="1"/>
  <c r="A5181" i="1"/>
  <c r="A5180" i="1"/>
  <c r="A5179" i="1"/>
  <c r="A5178" i="1"/>
  <c r="A5177" i="1"/>
  <c r="A5169" i="1"/>
  <c r="A5168" i="1"/>
  <c r="A5167" i="1"/>
  <c r="A5166" i="1"/>
  <c r="A5163" i="1"/>
  <c r="A5162" i="1"/>
  <c r="A5161" i="1"/>
  <c r="A5160" i="1"/>
  <c r="A5157" i="1"/>
  <c r="A5156" i="1"/>
  <c r="A5147" i="1"/>
  <c r="A5146" i="1"/>
  <c r="A5145" i="1"/>
  <c r="A5144" i="1"/>
  <c r="A5136" i="1"/>
  <c r="A5135" i="1"/>
  <c r="A5134" i="1"/>
  <c r="A5115" i="1"/>
  <c r="A5114" i="1"/>
  <c r="A5113" i="1"/>
  <c r="A5112" i="1"/>
  <c r="A5111" i="1"/>
  <c r="A5110" i="1"/>
  <c r="A5109" i="1"/>
  <c r="A5108" i="1"/>
  <c r="A5095" i="1"/>
  <c r="A5094" i="1"/>
  <c r="A5093" i="1"/>
  <c r="A5092" i="1"/>
  <c r="A5091" i="1"/>
  <c r="A5090" i="1"/>
  <c r="A5089" i="1"/>
  <c r="A5088" i="1"/>
  <c r="A5087" i="1"/>
  <c r="A5069" i="1"/>
  <c r="A5068" i="1"/>
  <c r="A5067" i="1"/>
  <c r="A5066" i="1"/>
  <c r="A5065" i="1"/>
  <c r="A5064" i="1"/>
  <c r="A5054" i="1"/>
  <c r="A5053" i="1"/>
  <c r="A5052" i="1"/>
  <c r="A5051" i="1"/>
  <c r="A5034" i="1"/>
  <c r="A5030" i="1"/>
  <c r="A5029" i="1"/>
  <c r="A5021" i="1"/>
  <c r="A5020" i="1"/>
  <c r="A5019" i="1"/>
  <c r="A5018" i="1"/>
  <c r="A5017" i="1"/>
  <c r="A5016" i="1"/>
  <c r="A5015" i="1"/>
  <c r="A5014" i="1"/>
  <c r="A5013" i="1"/>
  <c r="A5006" i="1"/>
  <c r="A5005" i="1"/>
  <c r="A5004" i="1"/>
  <c r="A5003" i="1"/>
  <c r="A4995" i="1"/>
  <c r="A4994" i="1"/>
  <c r="A4993" i="1"/>
  <c r="A4992" i="1"/>
  <c r="A4991" i="1"/>
  <c r="A4990" i="1"/>
  <c r="A4989" i="1"/>
  <c r="A4977" i="1"/>
  <c r="A4976" i="1"/>
  <c r="A4975" i="1"/>
  <c r="A4974" i="1"/>
  <c r="A4965" i="1"/>
  <c r="A4960" i="1"/>
  <c r="A4959" i="1"/>
  <c r="A4958" i="1"/>
  <c r="A4957" i="1"/>
  <c r="A4956" i="1"/>
  <c r="A4955" i="1"/>
  <c r="A4948" i="1"/>
  <c r="A4947" i="1"/>
  <c r="A4946" i="1"/>
  <c r="A4945" i="1"/>
  <c r="A4944" i="1"/>
  <c r="A4943" i="1"/>
  <c r="A4942" i="1"/>
  <c r="A4934" i="1"/>
  <c r="A4933" i="1"/>
  <c r="A4932" i="1"/>
  <c r="A4931" i="1"/>
  <c r="A4930" i="1"/>
  <c r="A4923" i="1"/>
  <c r="A4922" i="1"/>
  <c r="A4921" i="1"/>
  <c r="A4920" i="1"/>
  <c r="A4919" i="1"/>
  <c r="A4911" i="1"/>
  <c r="A4910" i="1"/>
  <c r="A4909" i="1"/>
  <c r="A4900" i="1"/>
  <c r="A4899" i="1"/>
  <c r="A4894" i="1"/>
  <c r="A4893" i="1"/>
  <c r="A4892" i="1"/>
  <c r="A4877" i="1"/>
  <c r="A4876" i="1"/>
  <c r="A4875" i="1"/>
  <c r="A4874" i="1"/>
  <c r="A4873" i="1"/>
  <c r="A4872" i="1"/>
  <c r="A4871" i="1"/>
  <c r="A4860" i="1"/>
  <c r="A4859" i="1"/>
  <c r="A4858" i="1"/>
  <c r="A4852" i="1"/>
  <c r="A4851" i="1"/>
  <c r="A4850" i="1"/>
  <c r="A4849" i="1"/>
  <c r="A4848" i="1"/>
  <c r="A4847" i="1"/>
  <c r="A4846" i="1"/>
  <c r="A4845" i="1"/>
  <c r="A4831" i="1"/>
  <c r="A4830" i="1"/>
  <c r="A4829" i="1"/>
  <c r="A4819" i="1"/>
  <c r="A4818" i="1"/>
  <c r="A4817" i="1"/>
  <c r="A4816" i="1"/>
  <c r="A4803" i="1"/>
  <c r="A4802" i="1"/>
  <c r="A4801" i="1"/>
  <c r="A4800" i="1"/>
  <c r="A4799" i="1"/>
  <c r="A4790" i="1"/>
  <c r="A4789" i="1"/>
  <c r="A4781" i="1"/>
  <c r="A4780" i="1"/>
  <c r="A4754" i="1"/>
  <c r="A4753" i="1"/>
  <c r="A4752" i="1"/>
  <c r="A4751" i="1"/>
  <c r="A4750" i="1"/>
  <c r="A4742" i="1"/>
  <c r="A4741" i="1"/>
  <c r="A4740" i="1"/>
  <c r="A4730" i="1"/>
  <c r="A4716" i="1"/>
  <c r="A4715" i="1"/>
  <c r="A4714" i="1"/>
  <c r="A4713" i="1"/>
  <c r="A4701" i="1"/>
  <c r="A4700" i="1"/>
  <c r="A4699" i="1"/>
  <c r="A4690" i="1"/>
  <c r="A4689" i="1"/>
  <c r="A4688" i="1"/>
  <c r="A4681" i="1"/>
  <c r="A4680" i="1"/>
  <c r="A4671" i="1"/>
  <c r="A4670" i="1"/>
  <c r="A4669" i="1"/>
  <c r="A4658" i="1"/>
  <c r="A4645" i="1"/>
  <c r="A4624" i="1"/>
  <c r="A4623" i="1"/>
  <c r="A4622" i="1"/>
  <c r="A4621" i="1"/>
  <c r="A4620" i="1"/>
  <c r="A4619" i="1"/>
  <c r="A4612" i="1"/>
  <c r="A4611" i="1"/>
  <c r="A4610" i="1"/>
  <c r="A4609" i="1"/>
  <c r="A4603" i="1"/>
  <c r="A4602" i="1"/>
  <c r="A4595" i="1"/>
  <c r="A4594" i="1"/>
  <c r="A4593" i="1"/>
  <c r="A4592" i="1"/>
  <c r="A4591" i="1"/>
  <c r="A4590" i="1"/>
  <c r="A4578" i="1"/>
  <c r="A4577" i="1"/>
  <c r="A4576" i="1"/>
  <c r="A4575" i="1"/>
  <c r="A4574" i="1"/>
  <c r="A4573" i="1"/>
  <c r="A4565" i="1"/>
  <c r="A4564" i="1"/>
  <c r="A4563" i="1"/>
  <c r="A4553" i="1"/>
  <c r="A4552" i="1"/>
  <c r="A4551" i="1"/>
  <c r="A4550" i="1"/>
  <c r="A4542" i="1"/>
  <c r="A4541" i="1"/>
  <c r="A4540" i="1"/>
  <c r="A4539" i="1"/>
  <c r="A4523" i="1"/>
  <c r="A4522" i="1"/>
  <c r="A4521" i="1"/>
  <c r="A4520" i="1"/>
  <c r="A4511" i="1"/>
  <c r="A4510" i="1"/>
  <c r="A4509" i="1"/>
  <c r="A4499" i="1"/>
  <c r="A4498" i="1"/>
  <c r="A4497" i="1"/>
  <c r="A4496" i="1"/>
  <c r="A4487" i="1"/>
  <c r="A4486" i="1"/>
  <c r="A4485" i="1"/>
  <c r="A4476" i="1"/>
  <c r="A4471" i="1"/>
  <c r="A4470" i="1"/>
  <c r="A4469" i="1"/>
  <c r="A4463" i="1"/>
  <c r="A4462" i="1"/>
  <c r="A4461" i="1"/>
  <c r="A4460" i="1"/>
  <c r="A4459" i="1"/>
  <c r="A4458" i="1"/>
  <c r="A4457" i="1"/>
  <c r="A4448" i="1"/>
  <c r="A4447" i="1"/>
  <c r="A4446" i="1"/>
  <c r="A4445" i="1"/>
  <c r="A4434" i="1"/>
  <c r="A4433" i="1"/>
  <c r="A4432" i="1"/>
  <c r="A4431" i="1"/>
  <c r="A4430" i="1"/>
  <c r="A4429" i="1"/>
  <c r="A4428" i="1"/>
  <c r="A4427" i="1"/>
  <c r="A4426" i="1"/>
  <c r="A4425" i="1"/>
  <c r="A4414" i="1"/>
  <c r="A4413" i="1"/>
  <c r="A4412" i="1"/>
  <c r="A4411" i="1"/>
  <c r="A4391" i="1"/>
  <c r="A4390" i="1"/>
  <c r="A4389" i="1"/>
  <c r="A4378" i="1"/>
  <c r="A4377" i="1"/>
  <c r="A4376" i="1"/>
  <c r="A4375" i="1"/>
  <c r="A4374" i="1"/>
  <c r="A4361" i="1"/>
  <c r="A4360" i="1"/>
  <c r="A4359" i="1"/>
  <c r="A4358" i="1"/>
  <c r="A4357" i="1"/>
  <c r="A4342" i="1"/>
  <c r="A4341" i="1"/>
  <c r="A4340" i="1"/>
  <c r="A4330" i="1"/>
  <c r="A4329" i="1"/>
  <c r="A4322" i="1"/>
  <c r="A4321" i="1"/>
  <c r="A4320" i="1"/>
  <c r="A4319" i="1"/>
  <c r="A4314" i="1"/>
  <c r="A4313" i="1"/>
  <c r="A4312" i="1"/>
  <c r="A4311" i="1"/>
  <c r="A4310" i="1"/>
  <c r="A4309" i="1"/>
  <c r="A4308" i="1"/>
  <c r="A4307" i="1"/>
  <c r="A4306" i="1"/>
  <c r="A4292" i="1"/>
  <c r="A4291" i="1"/>
  <c r="A4290" i="1"/>
  <c r="A4289" i="1"/>
  <c r="A4288" i="1"/>
  <c r="A4287" i="1"/>
  <c r="A4286" i="1"/>
  <c r="A4285" i="1"/>
  <c r="A4284" i="1"/>
  <c r="A4267" i="1"/>
  <c r="A4266" i="1"/>
  <c r="A4265" i="1"/>
  <c r="A4264" i="1"/>
  <c r="A4249" i="1"/>
  <c r="A4248" i="1"/>
  <c r="A4247" i="1"/>
  <c r="A4243" i="1"/>
  <c r="A4241" i="1"/>
  <c r="A4231" i="1"/>
  <c r="A4230" i="1"/>
  <c r="A4229" i="1"/>
  <c r="A4228" i="1"/>
  <c r="A4216" i="1"/>
  <c r="A4215" i="1"/>
  <c r="A4214" i="1"/>
  <c r="A4213" i="1"/>
  <c r="A4206" i="1"/>
  <c r="A4205" i="1"/>
  <c r="A4204" i="1"/>
  <c r="A4203" i="1"/>
  <c r="A4202" i="1"/>
  <c r="A4201" i="1"/>
  <c r="A4200" i="1"/>
  <c r="A4199" i="1"/>
  <c r="A4198" i="1"/>
  <c r="A4197" i="1"/>
  <c r="A4196" i="1"/>
  <c r="A4185" i="1"/>
  <c r="A4184" i="1"/>
  <c r="A4183" i="1"/>
  <c r="A4182" i="1"/>
  <c r="A4181" i="1"/>
  <c r="A4180" i="1"/>
  <c r="A4179" i="1"/>
  <c r="A4178" i="1"/>
  <c r="A4177" i="1"/>
  <c r="A4168" i="1"/>
  <c r="A4167" i="1"/>
  <c r="A4166" i="1"/>
  <c r="A4165" i="1"/>
  <c r="A4164" i="1"/>
  <c r="A4156" i="1"/>
  <c r="A4150" i="1"/>
  <c r="A4149" i="1"/>
  <c r="A4148" i="1"/>
  <c r="A4134" i="1"/>
  <c r="A4133" i="1"/>
  <c r="A4132" i="1"/>
  <c r="A4131" i="1"/>
  <c r="A4130" i="1"/>
  <c r="A4129" i="1"/>
  <c r="A4128" i="1"/>
  <c r="A4117" i="1"/>
  <c r="A4116" i="1"/>
  <c r="A4115" i="1"/>
  <c r="A4114" i="1"/>
  <c r="A4113" i="1"/>
  <c r="A4112" i="1"/>
  <c r="A4111" i="1"/>
  <c r="A4100" i="1"/>
  <c r="A4099" i="1"/>
  <c r="A4098" i="1"/>
  <c r="A4097" i="1"/>
  <c r="A4096" i="1"/>
  <c r="A4095" i="1"/>
  <c r="A4091" i="1"/>
  <c r="A4090" i="1"/>
  <c r="A4089" i="1"/>
  <c r="A4088" i="1"/>
  <c r="A4087" i="1"/>
  <c r="A4086" i="1"/>
  <c r="A4071" i="1"/>
  <c r="A4070" i="1"/>
  <c r="A4069" i="1"/>
  <c r="A4068" i="1"/>
  <c r="A4058" i="1"/>
  <c r="A4057" i="1"/>
  <c r="A4056" i="1"/>
  <c r="A4055" i="1"/>
  <c r="A4047" i="1"/>
  <c r="A4046" i="1"/>
  <c r="A4045" i="1"/>
  <c r="A4044" i="1"/>
  <c r="A4041" i="1"/>
  <c r="A4037" i="1"/>
  <c r="A4036" i="1"/>
  <c r="A4035" i="1"/>
  <c r="A4034" i="1"/>
  <c r="A4033" i="1"/>
  <c r="A4032" i="1"/>
  <c r="A4021" i="1"/>
  <c r="A4020" i="1"/>
  <c r="A4019" i="1"/>
  <c r="A4018" i="1"/>
  <c r="A4017" i="1"/>
  <c r="A4008" i="1"/>
  <c r="A4007" i="1"/>
  <c r="A4006" i="1"/>
  <c r="A4005" i="1"/>
  <c r="A4004" i="1"/>
  <c r="A4003" i="1"/>
  <c r="A4002" i="1"/>
  <c r="A3991" i="1"/>
  <c r="A3990" i="1"/>
  <c r="A3989" i="1"/>
  <c r="A3988" i="1"/>
  <c r="A3987" i="1"/>
  <c r="A3978" i="1"/>
  <c r="A3977" i="1"/>
  <c r="A3976" i="1"/>
  <c r="A3975" i="1"/>
  <c r="A3974" i="1"/>
  <c r="A3973" i="1"/>
  <c r="A3972" i="1"/>
  <c r="A3971" i="1"/>
  <c r="A3970" i="1"/>
  <c r="A3966" i="1"/>
  <c r="A3965" i="1"/>
  <c r="A3964" i="1"/>
  <c r="A3958" i="1"/>
  <c r="A3957" i="1"/>
  <c r="A3956" i="1"/>
  <c r="A3955" i="1"/>
  <c r="A3954" i="1"/>
  <c r="A3953" i="1"/>
  <c r="A3952" i="1"/>
  <c r="A3951" i="1"/>
  <c r="A3950" i="1"/>
  <c r="A3949" i="1"/>
  <c r="A3943" i="1"/>
  <c r="A3942" i="1"/>
  <c r="A3941" i="1"/>
  <c r="A3940" i="1"/>
  <c r="A3939" i="1"/>
  <c r="A3927" i="1"/>
  <c r="A3926" i="1"/>
  <c r="A3925" i="1"/>
  <c r="A3924" i="1"/>
  <c r="A3923" i="1"/>
  <c r="A3922" i="1"/>
  <c r="A3921" i="1"/>
  <c r="A3920" i="1"/>
  <c r="A3919" i="1"/>
  <c r="A3918" i="1"/>
  <c r="A391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1" i="1"/>
  <c r="A3890" i="1"/>
  <c r="A3889" i="1"/>
  <c r="A3888" i="1"/>
  <c r="A3887" i="1"/>
  <c r="A3886" i="1"/>
  <c r="A3884" i="1"/>
  <c r="A3883" i="1"/>
  <c r="A3876" i="1"/>
  <c r="A3875" i="1"/>
  <c r="A3874" i="1"/>
  <c r="A3873" i="1"/>
  <c r="A3872" i="1"/>
  <c r="A3859" i="1"/>
  <c r="A3858" i="1"/>
  <c r="A3857" i="1"/>
  <c r="A3856" i="1"/>
  <c r="A3855" i="1"/>
  <c r="A3854" i="1"/>
  <c r="A3853" i="1"/>
  <c r="A3852" i="1"/>
  <c r="A3851" i="1"/>
  <c r="A3850" i="1"/>
  <c r="A3849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1" i="1"/>
  <c r="A3820" i="1"/>
  <c r="A3819" i="1"/>
  <c r="A3818" i="1"/>
  <c r="A3811" i="1"/>
  <c r="A3810" i="1"/>
  <c r="A3809" i="1"/>
  <c r="A3808" i="1"/>
  <c r="A3807" i="1"/>
  <c r="A3806" i="1"/>
  <c r="A3805" i="1"/>
  <c r="A3804" i="1"/>
  <c r="A3803" i="1"/>
  <c r="A3799" i="1"/>
  <c r="A3798" i="1"/>
  <c r="A3789" i="1"/>
  <c r="A3788" i="1"/>
  <c r="A3787" i="1"/>
  <c r="A3786" i="1"/>
  <c r="A3785" i="1"/>
  <c r="A3774" i="1"/>
  <c r="A3773" i="1"/>
  <c r="A3772" i="1"/>
  <c r="A3771" i="1"/>
  <c r="A3770" i="1"/>
  <c r="A3769" i="1"/>
  <c r="A3768" i="1"/>
  <c r="A3767" i="1"/>
  <c r="A3755" i="1"/>
  <c r="A3754" i="1"/>
  <c r="A3753" i="1"/>
  <c r="A3752" i="1"/>
  <c r="A3751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14" i="1"/>
  <c r="A3713" i="1"/>
  <c r="A3712" i="1"/>
  <c r="A3711" i="1"/>
  <c r="A3710" i="1"/>
  <c r="A3709" i="1"/>
  <c r="A3708" i="1"/>
  <c r="A3705" i="1"/>
  <c r="A3704" i="1"/>
  <c r="A3698" i="1"/>
  <c r="A3697" i="1"/>
  <c r="A3696" i="1"/>
  <c r="A3695" i="1"/>
  <c r="A3694" i="1"/>
  <c r="A3683" i="1"/>
  <c r="A3682" i="1"/>
  <c r="A3681" i="1"/>
  <c r="A3680" i="1"/>
  <c r="A3679" i="1"/>
  <c r="A3665" i="1"/>
  <c r="A3664" i="1"/>
  <c r="A3663" i="1"/>
  <c r="A3662" i="1"/>
  <c r="A3661" i="1"/>
  <c r="A3660" i="1"/>
  <c r="A3659" i="1"/>
  <c r="A3658" i="1"/>
  <c r="A3657" i="1"/>
  <c r="A3656" i="1"/>
  <c r="A3648" i="1"/>
  <c r="A3647" i="1"/>
  <c r="A3646" i="1"/>
  <c r="A3645" i="1"/>
  <c r="A3644" i="1"/>
  <c r="A3639" i="1"/>
  <c r="A3633" i="1"/>
  <c r="A3632" i="1"/>
  <c r="A3620" i="1"/>
  <c r="A3619" i="1"/>
  <c r="A3618" i="1"/>
  <c r="A3617" i="1"/>
  <c r="A3616" i="1"/>
  <c r="A3615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1" i="1"/>
  <c r="A3570" i="1"/>
  <c r="A3569" i="1"/>
  <c r="A3568" i="1"/>
  <c r="A3567" i="1"/>
  <c r="A3566" i="1"/>
  <c r="A3565" i="1"/>
  <c r="A3564" i="1"/>
  <c r="A3563" i="1"/>
  <c r="A3562" i="1"/>
  <c r="A3561" i="1"/>
  <c r="A3551" i="1"/>
  <c r="A3550" i="1"/>
  <c r="A3549" i="1"/>
  <c r="A3548" i="1"/>
  <c r="A3547" i="1"/>
  <c r="A3546" i="1"/>
  <c r="A3545" i="1"/>
  <c r="A3541" i="1"/>
  <c r="A3540" i="1"/>
  <c r="A3539" i="1"/>
  <c r="A3538" i="1"/>
  <c r="A3537" i="1"/>
  <c r="A3536" i="1"/>
  <c r="A3535" i="1"/>
  <c r="A3534" i="1"/>
  <c r="A3533" i="1"/>
  <c r="A3532" i="1"/>
  <c r="A3531" i="1"/>
  <c r="A3527" i="1"/>
  <c r="A3526" i="1"/>
  <c r="A3525" i="1"/>
  <c r="A3524" i="1"/>
  <c r="A3523" i="1"/>
  <c r="A3522" i="1"/>
  <c r="A3521" i="1"/>
  <c r="A3520" i="1"/>
  <c r="A3519" i="1"/>
  <c r="A3513" i="1"/>
  <c r="A3512" i="1"/>
  <c r="A3511" i="1"/>
  <c r="A3510" i="1"/>
  <c r="A3509" i="1"/>
  <c r="A3508" i="1"/>
  <c r="A3499" i="1"/>
  <c r="A3498" i="1"/>
  <c r="A3497" i="1"/>
  <c r="A3496" i="1"/>
  <c r="A3495" i="1"/>
  <c r="A3494" i="1"/>
  <c r="A3493" i="1"/>
  <c r="A3492" i="1"/>
  <c r="A3491" i="1"/>
  <c r="A3487" i="1"/>
  <c r="A3486" i="1"/>
  <c r="A3482" i="1"/>
  <c r="A3481" i="1"/>
  <c r="A3480" i="1"/>
  <c r="A3479" i="1"/>
  <c r="A3478" i="1"/>
  <c r="A3477" i="1"/>
  <c r="A3476" i="1"/>
  <c r="A3475" i="1"/>
  <c r="A3464" i="1"/>
  <c r="A3463" i="1"/>
  <c r="A3462" i="1"/>
  <c r="A3461" i="1"/>
  <c r="A3460" i="1"/>
  <c r="A3459" i="1"/>
  <c r="A3449" i="1"/>
  <c r="A3448" i="1"/>
  <c r="A3447" i="1"/>
  <c r="A3446" i="1"/>
  <c r="A3445" i="1"/>
  <c r="A3444" i="1"/>
  <c r="A3443" i="1"/>
  <c r="A3442" i="1"/>
  <c r="A3441" i="1"/>
  <c r="A3440" i="1"/>
  <c r="A343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06" i="1"/>
  <c r="A3405" i="1"/>
  <c r="A3404" i="1"/>
  <c r="A3403" i="1"/>
  <c r="A3402" i="1"/>
  <c r="A3401" i="1"/>
  <c r="A3400" i="1"/>
  <c r="A3399" i="1"/>
  <c r="A3398" i="1"/>
  <c r="A3397" i="1"/>
  <c r="A3396" i="1"/>
  <c r="A3390" i="1"/>
  <c r="A3389" i="1"/>
  <c r="A3382" i="1"/>
  <c r="A3381" i="1"/>
  <c r="A3380" i="1"/>
  <c r="A3379" i="1"/>
  <c r="A3378" i="1"/>
  <c r="A3377" i="1"/>
  <c r="A3376" i="1"/>
  <c r="A3375" i="1"/>
  <c r="A3374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1" i="1"/>
  <c r="A3330" i="1"/>
  <c r="A3329" i="1"/>
  <c r="A3328" i="1"/>
  <c r="A3327" i="1"/>
  <c r="A3326" i="1"/>
  <c r="A3325" i="1"/>
  <c r="A3324" i="1"/>
  <c r="A3323" i="1"/>
  <c r="A3322" i="1"/>
  <c r="A3321" i="1"/>
  <c r="A3312" i="1"/>
  <c r="A3311" i="1"/>
  <c r="A3310" i="1"/>
  <c r="A3309" i="1"/>
  <c r="A3308" i="1"/>
  <c r="A3307" i="1"/>
  <c r="A3306" i="1"/>
  <c r="A3296" i="1"/>
  <c r="A3295" i="1"/>
  <c r="A3294" i="1"/>
  <c r="A3293" i="1"/>
  <c r="A3290" i="1"/>
  <c r="A3289" i="1"/>
  <c r="A3288" i="1"/>
  <c r="A3287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1" i="1"/>
  <c r="A3210" i="1"/>
  <c r="A3209" i="1"/>
  <c r="A3208" i="1"/>
  <c r="A3207" i="1"/>
  <c r="A3206" i="1"/>
  <c r="A3205" i="1"/>
  <c r="A3204" i="1"/>
  <c r="A3203" i="1"/>
  <c r="A3193" i="1"/>
  <c r="A3192" i="1"/>
  <c r="A3191" i="1"/>
  <c r="A3190" i="1"/>
  <c r="A3189" i="1"/>
  <c r="A3188" i="1"/>
  <c r="A3187" i="1"/>
  <c r="A3186" i="1"/>
  <c r="A3185" i="1"/>
  <c r="A3174" i="1"/>
  <c r="A3173" i="1"/>
  <c r="A3172" i="1"/>
  <c r="A3171" i="1"/>
  <c r="A3164" i="1"/>
  <c r="A3163" i="1"/>
  <c r="A3162" i="1"/>
  <c r="A3161" i="1"/>
  <c r="A3160" i="1"/>
  <c r="A3159" i="1"/>
  <c r="A3158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24" i="1"/>
  <c r="A3123" i="1"/>
  <c r="A3122" i="1"/>
  <c r="A3121" i="1"/>
  <c r="A3120" i="1"/>
  <c r="A3119" i="1"/>
  <c r="A3118" i="1"/>
  <c r="A3108" i="1"/>
  <c r="A3107" i="1"/>
  <c r="A3106" i="1"/>
  <c r="A3105" i="1"/>
  <c r="A3104" i="1"/>
  <c r="A3103" i="1"/>
  <c r="A3102" i="1"/>
  <c r="A3101" i="1"/>
  <c r="A3100" i="1"/>
  <c r="A3099" i="1"/>
  <c r="A3092" i="1"/>
  <c r="A3091" i="1"/>
  <c r="A3090" i="1"/>
  <c r="A3089" i="1"/>
  <c r="A3088" i="1"/>
  <c r="A3087" i="1"/>
  <c r="A3082" i="1"/>
  <c r="A3081" i="1"/>
  <c r="A3080" i="1"/>
  <c r="A3079" i="1"/>
  <c r="A3076" i="1"/>
  <c r="A3075" i="1"/>
  <c r="A3074" i="1"/>
  <c r="A3073" i="1"/>
  <c r="A3072" i="1"/>
  <c r="A3071" i="1"/>
  <c r="A3070" i="1"/>
  <c r="A3069" i="1"/>
  <c r="A3063" i="1"/>
  <c r="A3062" i="1"/>
  <c r="A3061" i="1"/>
  <c r="A3060" i="1"/>
  <c r="A3059" i="1"/>
  <c r="A3058" i="1"/>
  <c r="A3057" i="1"/>
  <c r="A3056" i="1"/>
  <c r="A3055" i="1"/>
  <c r="A3054" i="1"/>
  <c r="A3053" i="1"/>
  <c r="A3042" i="1"/>
  <c r="A3041" i="1"/>
  <c r="A3040" i="1"/>
  <c r="A3039" i="1"/>
  <c r="A3038" i="1"/>
  <c r="A3037" i="1"/>
  <c r="A3036" i="1"/>
  <c r="A3023" i="1"/>
  <c r="A3022" i="1"/>
  <c r="A3021" i="1"/>
  <c r="A3020" i="1"/>
  <c r="A3019" i="1"/>
  <c r="A3010" i="1"/>
  <c r="A3004" i="1"/>
  <c r="A3003" i="1"/>
  <c r="A3002" i="1"/>
  <c r="A3001" i="1"/>
  <c r="A3000" i="1"/>
  <c r="A2995" i="1"/>
  <c r="A2994" i="1"/>
  <c r="A2993" i="1"/>
  <c r="A2992" i="1"/>
  <c r="A2987" i="1"/>
  <c r="A2986" i="1"/>
  <c r="A2985" i="1"/>
  <c r="A2984" i="1"/>
  <c r="A2976" i="1"/>
  <c r="A2973" i="1"/>
  <c r="A2956" i="1"/>
  <c r="A2955" i="1"/>
  <c r="A2954" i="1"/>
  <c r="A2953" i="1"/>
  <c r="A2952" i="1"/>
  <c r="A2951" i="1"/>
  <c r="A2950" i="1"/>
  <c r="A2949" i="1"/>
  <c r="A2941" i="1"/>
  <c r="A2940" i="1"/>
  <c r="A2939" i="1"/>
  <c r="A2931" i="1"/>
  <c r="A2930" i="1"/>
  <c r="A2929" i="1"/>
  <c r="A2928" i="1"/>
  <c r="A2927" i="1"/>
  <c r="A2926" i="1"/>
  <c r="A2925" i="1"/>
  <c r="A2924" i="1"/>
  <c r="A2920" i="1"/>
  <c r="A2919" i="1"/>
  <c r="A2918" i="1"/>
  <c r="A2917" i="1"/>
  <c r="A2916" i="1"/>
  <c r="A2915" i="1"/>
  <c r="A2914" i="1"/>
  <c r="A2911" i="1"/>
  <c r="A2910" i="1"/>
  <c r="A2909" i="1"/>
  <c r="A2908" i="1"/>
  <c r="A2907" i="1"/>
  <c r="A2906" i="1"/>
  <c r="A2905" i="1"/>
  <c r="A2904" i="1"/>
  <c r="A2903" i="1"/>
  <c r="A2902" i="1"/>
  <c r="A2901" i="1"/>
  <c r="A2890" i="1"/>
  <c r="A2889" i="1"/>
  <c r="A2888" i="1"/>
  <c r="A2887" i="1"/>
  <c r="A2886" i="1"/>
  <c r="A2885" i="1"/>
  <c r="A2884" i="1"/>
  <c r="A2883" i="1"/>
  <c r="A2877" i="1"/>
  <c r="A2876" i="1"/>
  <c r="A2875" i="1"/>
  <c r="A2874" i="1"/>
  <c r="A2873" i="1"/>
  <c r="A2872" i="1"/>
  <c r="A2871" i="1"/>
  <c r="A2870" i="1"/>
  <c r="A2869" i="1"/>
  <c r="A2868" i="1"/>
  <c r="A2867" i="1"/>
  <c r="A2860" i="1"/>
  <c r="A2859" i="1"/>
  <c r="A2853" i="1"/>
  <c r="A2852" i="1"/>
  <c r="A2851" i="1"/>
  <c r="A2850" i="1"/>
  <c r="A2843" i="1"/>
  <c r="A2842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14" i="1"/>
  <c r="A2813" i="1"/>
  <c r="A2812" i="1"/>
  <c r="A2811" i="1"/>
  <c r="A2810" i="1"/>
  <c r="A2809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72" i="1"/>
  <c r="A2771" i="1"/>
  <c r="A2770" i="1"/>
  <c r="A2769" i="1"/>
  <c r="A2768" i="1"/>
  <c r="A2767" i="1"/>
  <c r="A2766" i="1"/>
  <c r="A2759" i="1"/>
  <c r="A2758" i="1"/>
  <c r="A2753" i="1"/>
  <c r="A2752" i="1"/>
  <c r="A2751" i="1"/>
  <c r="A2750" i="1"/>
  <c r="A2749" i="1"/>
  <c r="A2743" i="1"/>
  <c r="A2742" i="1"/>
  <c r="A2741" i="1"/>
  <c r="A2740" i="1"/>
  <c r="A2739" i="1"/>
  <c r="A2738" i="1"/>
  <c r="A2737" i="1"/>
  <c r="A2736" i="1"/>
  <c r="A2735" i="1"/>
  <c r="A2734" i="1"/>
  <c r="A2728" i="1"/>
  <c r="A2727" i="1"/>
  <c r="A2726" i="1"/>
  <c r="A2725" i="1"/>
  <c r="A2724" i="1"/>
  <c r="A2723" i="1"/>
  <c r="A2722" i="1"/>
  <c r="A2721" i="1"/>
  <c r="A2720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85" i="1"/>
  <c r="A2684" i="1"/>
  <c r="A2683" i="1"/>
  <c r="A2682" i="1"/>
  <c r="A2681" i="1"/>
  <c r="A2680" i="1"/>
  <c r="A2676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40" i="1"/>
  <c r="A2639" i="1"/>
  <c r="A2638" i="1"/>
  <c r="A2637" i="1"/>
  <c r="A2636" i="1"/>
  <c r="A2635" i="1"/>
  <c r="A2634" i="1"/>
  <c r="A2633" i="1"/>
  <c r="A2632" i="1"/>
  <c r="A2620" i="1"/>
  <c r="A2619" i="1"/>
  <c r="A2618" i="1"/>
  <c r="A2617" i="1"/>
  <c r="A2616" i="1"/>
  <c r="A2615" i="1"/>
  <c r="A2614" i="1"/>
  <c r="A2613" i="1"/>
  <c r="A2603" i="1"/>
  <c r="A2602" i="1"/>
  <c r="A2601" i="1"/>
  <c r="A2600" i="1"/>
  <c r="A2599" i="1"/>
  <c r="A2598" i="1"/>
  <c r="A2597" i="1"/>
  <c r="A2596" i="1"/>
  <c r="A2595" i="1"/>
  <c r="A2594" i="1"/>
  <c r="A2586" i="1"/>
  <c r="A2585" i="1"/>
  <c r="A2584" i="1"/>
  <c r="A2583" i="1"/>
  <c r="A2582" i="1"/>
  <c r="A2577" i="1"/>
  <c r="A2576" i="1"/>
  <c r="A2575" i="1"/>
  <c r="A2574" i="1"/>
  <c r="A2573" i="1"/>
  <c r="A2565" i="1"/>
  <c r="A2564" i="1"/>
  <c r="A2563" i="1"/>
  <c r="A2562" i="1"/>
  <c r="A2561" i="1"/>
  <c r="A2560" i="1"/>
  <c r="A2559" i="1"/>
  <c r="A2558" i="1"/>
  <c r="A2557" i="1"/>
  <c r="A2556" i="1"/>
  <c r="A2555" i="1"/>
  <c r="A2543" i="1"/>
  <c r="A2542" i="1"/>
  <c r="A2541" i="1"/>
  <c r="A2540" i="1"/>
  <c r="A2539" i="1"/>
  <c r="A2538" i="1"/>
  <c r="A2537" i="1"/>
  <c r="A2536" i="1"/>
  <c r="A2535" i="1"/>
  <c r="A2534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07" i="1"/>
  <c r="A2506" i="1"/>
  <c r="A2505" i="1"/>
  <c r="A2504" i="1"/>
  <c r="A2503" i="1"/>
  <c r="A2502" i="1"/>
  <c r="A2501" i="1"/>
  <c r="A2500" i="1"/>
  <c r="A2494" i="1"/>
  <c r="A2493" i="1"/>
  <c r="A2492" i="1"/>
  <c r="A2489" i="1"/>
  <c r="A2488" i="1"/>
  <c r="A2487" i="1"/>
  <c r="A2486" i="1"/>
  <c r="A2485" i="1"/>
  <c r="A2484" i="1"/>
  <c r="A2483" i="1"/>
  <c r="A2482" i="1"/>
  <c r="A2481" i="1"/>
  <c r="A2455" i="1"/>
  <c r="A2454" i="1"/>
  <c r="A2453" i="1"/>
  <c r="A2441" i="1"/>
  <c r="A2434" i="1"/>
  <c r="A2433" i="1"/>
  <c r="A2432" i="1"/>
  <c r="A2431" i="1"/>
  <c r="A2420" i="1"/>
  <c r="A2419" i="1"/>
  <c r="A2418" i="1"/>
  <c r="A2417" i="1"/>
  <c r="A2416" i="1"/>
  <c r="A2415" i="1"/>
  <c r="A2414" i="1"/>
  <c r="A2408" i="1"/>
  <c r="A2407" i="1"/>
  <c r="A2406" i="1"/>
  <c r="A2405" i="1"/>
  <c r="A2404" i="1"/>
  <c r="A2398" i="1"/>
  <c r="A2397" i="1"/>
  <c r="A2396" i="1"/>
  <c r="A2395" i="1"/>
  <c r="A2394" i="1"/>
  <c r="A2393" i="1"/>
  <c r="A2387" i="1"/>
  <c r="A2385" i="1"/>
  <c r="A2384" i="1"/>
  <c r="A2376" i="1"/>
  <c r="A2375" i="1"/>
  <c r="A2374" i="1"/>
  <c r="A2373" i="1"/>
  <c r="A2372" i="1"/>
  <c r="A2363" i="1"/>
  <c r="A2362" i="1"/>
  <c r="A2354" i="1"/>
  <c r="A2353" i="1"/>
  <c r="A2352" i="1"/>
  <c r="A2351" i="1"/>
  <c r="A2350" i="1"/>
  <c r="A2337" i="1"/>
  <c r="A2336" i="1"/>
  <c r="A2335" i="1"/>
  <c r="A2326" i="1"/>
  <c r="A2325" i="1"/>
  <c r="A2324" i="1"/>
  <c r="A2323" i="1"/>
  <c r="A2322" i="1"/>
  <c r="A2321" i="1"/>
  <c r="A2315" i="1"/>
  <c r="A2314" i="1"/>
  <c r="A2306" i="1"/>
  <c r="A2298" i="1"/>
  <c r="A2297" i="1"/>
  <c r="A2296" i="1"/>
  <c r="A2295" i="1"/>
  <c r="A2288" i="1"/>
  <c r="A2287" i="1"/>
  <c r="A2282" i="1"/>
  <c r="A2281" i="1"/>
  <c r="A2280" i="1"/>
  <c r="A2279" i="1"/>
  <c r="A2271" i="1"/>
  <c r="A2270" i="1"/>
  <c r="A2250" i="1"/>
  <c r="A2249" i="1"/>
  <c r="A2248" i="1"/>
  <c r="A2247" i="1"/>
  <c r="A2235" i="1"/>
  <c r="A2234" i="1"/>
  <c r="A2233" i="1"/>
  <c r="A2232" i="1"/>
  <c r="A2223" i="1"/>
  <c r="A2215" i="1"/>
  <c r="A2214" i="1"/>
  <c r="A2211" i="1"/>
  <c r="A2210" i="1"/>
  <c r="A2209" i="1"/>
  <c r="A2208" i="1"/>
  <c r="A2199" i="1"/>
  <c r="A2198" i="1"/>
  <c r="A2197" i="1"/>
  <c r="A2196" i="1"/>
  <c r="A2195" i="1"/>
  <c r="A2021" i="1"/>
  <c r="A2019" i="1"/>
  <c r="A2008" i="1"/>
  <c r="A2004" i="1"/>
  <c r="A1999" i="1"/>
  <c r="A1996" i="1"/>
  <c r="A1992" i="1"/>
  <c r="A1987" i="1"/>
  <c r="A1980" i="1"/>
  <c r="A1979" i="1"/>
  <c r="A1973" i="1"/>
  <c r="A1972" i="1"/>
  <c r="A1971" i="1"/>
  <c r="A1970" i="1"/>
  <c r="A1969" i="1"/>
  <c r="A1943" i="1"/>
  <c r="A1909" i="1"/>
  <c r="A1903" i="1"/>
  <c r="A1902" i="1"/>
  <c r="A1901" i="1"/>
  <c r="A1900" i="1"/>
  <c r="A1899" i="1"/>
  <c r="A1883" i="1"/>
  <c r="A1882" i="1"/>
  <c r="A1881" i="1"/>
  <c r="A1880" i="1"/>
  <c r="A1869" i="1"/>
  <c r="A1868" i="1"/>
  <c r="A1867" i="1"/>
  <c r="A1866" i="1"/>
  <c r="A1848" i="1"/>
  <c r="A1847" i="1"/>
  <c r="A1846" i="1"/>
  <c r="A1845" i="1"/>
  <c r="A1844" i="1"/>
  <c r="A1843" i="1"/>
  <c r="A1837" i="1"/>
  <c r="A1836" i="1"/>
  <c r="A1831" i="1"/>
  <c r="A1830" i="1"/>
  <c r="A1829" i="1"/>
  <c r="A1828" i="1"/>
  <c r="A1815" i="1"/>
  <c r="A1814" i="1"/>
  <c r="A1813" i="1"/>
  <c r="A1812" i="1"/>
  <c r="A1811" i="1"/>
  <c r="A1799" i="1"/>
  <c r="A1798" i="1"/>
  <c r="A1797" i="1"/>
  <c r="A1796" i="1"/>
  <c r="A1795" i="1"/>
  <c r="A1794" i="1"/>
  <c r="A1793" i="1"/>
  <c r="A1792" i="1"/>
  <c r="A1780" i="1"/>
  <c r="A1779" i="1"/>
  <c r="A1778" i="1"/>
  <c r="A1777" i="1"/>
  <c r="A1776" i="1"/>
  <c r="A1775" i="1"/>
  <c r="A1774" i="1"/>
  <c r="A1773" i="1"/>
  <c r="A1772" i="1"/>
  <c r="A1767" i="1"/>
  <c r="A1766" i="1"/>
  <c r="A1765" i="1"/>
  <c r="A1764" i="1"/>
  <c r="A1763" i="1"/>
  <c r="A1756" i="1"/>
  <c r="A1755" i="1"/>
  <c r="A1754" i="1"/>
  <c r="A1753" i="1"/>
  <c r="A1752" i="1"/>
  <c r="A1741" i="1"/>
  <c r="A1740" i="1"/>
  <c r="A1729" i="1"/>
  <c r="A1728" i="1"/>
  <c r="A1727" i="1"/>
  <c r="A1716" i="1"/>
  <c r="A1715" i="1"/>
  <c r="A1714" i="1"/>
  <c r="A1713" i="1"/>
  <c r="A1704" i="1"/>
  <c r="A1703" i="1"/>
  <c r="A1702" i="1"/>
  <c r="A1701" i="1"/>
  <c r="A1700" i="1"/>
  <c r="A1699" i="1"/>
  <c r="A1688" i="1"/>
  <c r="A1687" i="1"/>
  <c r="A1686" i="1"/>
  <c r="A1685" i="1"/>
  <c r="A1684" i="1"/>
  <c r="A1683" i="1"/>
  <c r="A1682" i="1"/>
  <c r="A1666" i="1"/>
  <c r="A1665" i="1"/>
  <c r="A1664" i="1"/>
  <c r="A1663" i="1"/>
  <c r="A1662" i="1"/>
  <c r="A1661" i="1"/>
  <c r="A1660" i="1"/>
  <c r="A1659" i="1"/>
  <c r="A1649" i="1"/>
  <c r="A1648" i="1"/>
  <c r="A1637" i="1"/>
  <c r="A1636" i="1"/>
  <c r="A1635" i="1"/>
  <c r="A1634" i="1"/>
  <c r="A1633" i="1"/>
  <c r="A1632" i="1"/>
  <c r="A1631" i="1"/>
  <c r="A1630" i="1"/>
  <c r="A1629" i="1"/>
  <c r="A1624" i="1"/>
  <c r="A1623" i="1"/>
  <c r="A1621" i="1"/>
  <c r="A1618" i="1"/>
  <c r="A1613" i="1"/>
  <c r="A1612" i="1"/>
  <c r="A1610" i="1"/>
  <c r="A1609" i="1"/>
  <c r="A1605" i="1"/>
  <c r="A1604" i="1"/>
  <c r="A1603" i="1"/>
  <c r="A1602" i="1"/>
  <c r="A1601" i="1"/>
  <c r="A1600" i="1"/>
  <c r="A1595" i="1"/>
  <c r="A1594" i="1"/>
  <c r="A1587" i="1"/>
  <c r="A1586" i="1"/>
  <c r="A1585" i="1"/>
  <c r="A1575" i="1"/>
  <c r="A1574" i="1"/>
  <c r="A1573" i="1"/>
  <c r="A1572" i="1"/>
  <c r="A1571" i="1"/>
  <c r="A1570" i="1"/>
  <c r="A1554" i="1"/>
  <c r="A1553" i="1"/>
  <c r="A1552" i="1"/>
  <c r="A1551" i="1"/>
  <c r="A1550" i="1"/>
  <c r="A1549" i="1"/>
  <c r="A1548" i="1"/>
  <c r="A1531" i="1"/>
  <c r="A1530" i="1"/>
  <c r="A1529" i="1"/>
  <c r="A1528" i="1"/>
  <c r="A1512" i="1"/>
  <c r="A1511" i="1"/>
  <c r="A1510" i="1"/>
  <c r="A1509" i="1"/>
  <c r="A1508" i="1"/>
  <c r="A1507" i="1"/>
  <c r="A1506" i="1"/>
  <c r="A1505" i="1"/>
  <c r="A1504" i="1"/>
  <c r="A1503" i="1"/>
  <c r="A1502" i="1"/>
  <c r="A1488" i="1"/>
  <c r="A1487" i="1"/>
  <c r="A1486" i="1"/>
  <c r="A1485" i="1"/>
  <c r="A1484" i="1"/>
  <c r="A1473" i="1"/>
  <c r="A1472" i="1"/>
  <c r="A1471" i="1"/>
  <c r="A1470" i="1"/>
  <c r="A1453" i="1"/>
  <c r="A1442" i="1"/>
  <c r="A1439" i="1"/>
  <c r="A1438" i="1"/>
  <c r="A1426" i="1"/>
  <c r="A1419" i="1"/>
  <c r="A1418" i="1"/>
  <c r="A1404" i="1"/>
  <c r="A1403" i="1"/>
  <c r="A1402" i="1"/>
  <c r="A1395" i="1"/>
  <c r="A1394" i="1"/>
  <c r="A1393" i="1"/>
  <c r="A1389" i="1"/>
  <c r="A1388" i="1"/>
  <c r="A1387" i="1"/>
  <c r="A1386" i="1"/>
  <c r="A1367" i="1"/>
  <c r="A1366" i="1"/>
  <c r="A1365" i="1"/>
  <c r="A1364" i="1"/>
  <c r="A1363" i="1"/>
  <c r="A1362" i="1"/>
  <c r="A1356" i="1"/>
  <c r="A1355" i="1"/>
  <c r="A1349" i="1"/>
  <c r="A1348" i="1"/>
  <c r="A1347" i="1"/>
  <c r="A1346" i="1"/>
  <c r="A1345" i="1"/>
  <c r="A1339" i="1"/>
  <c r="A1338" i="1"/>
  <c r="A1337" i="1"/>
  <c r="A1336" i="1"/>
  <c r="A1335" i="1"/>
  <c r="A1334" i="1"/>
  <c r="A1333" i="1"/>
  <c r="A1332" i="1"/>
  <c r="A1329" i="1"/>
  <c r="A1328" i="1"/>
  <c r="A1327" i="1"/>
  <c r="A1326" i="1"/>
  <c r="A1325" i="1"/>
  <c r="A1313" i="1"/>
  <c r="A1312" i="1"/>
  <c r="A1311" i="1"/>
  <c r="A1310" i="1"/>
  <c r="A1309" i="1"/>
  <c r="A1308" i="1"/>
  <c r="A1288" i="1"/>
  <c r="A1287" i="1"/>
  <c r="A1286" i="1"/>
  <c r="A1285" i="1"/>
  <c r="A1272" i="1"/>
  <c r="A1271" i="1"/>
  <c r="A1259" i="1"/>
  <c r="A1258" i="1"/>
  <c r="A1257" i="1"/>
  <c r="A1256" i="1"/>
  <c r="A1235" i="1"/>
  <c r="A1222" i="1"/>
  <c r="A1209" i="1"/>
  <c r="A1208" i="1"/>
  <c r="A1207" i="1"/>
  <c r="A1206" i="1"/>
  <c r="A1205" i="1"/>
  <c r="A1204" i="1"/>
  <c r="A1203" i="1"/>
  <c r="A1202" i="1"/>
  <c r="A1196" i="1"/>
  <c r="A1183" i="1"/>
  <c r="A1182" i="1"/>
  <c r="A1181" i="1"/>
  <c r="A1180" i="1"/>
  <c r="A1179" i="1"/>
  <c r="A1178" i="1"/>
  <c r="A1173" i="1"/>
  <c r="A1172" i="1"/>
  <c r="A1167" i="1"/>
  <c r="A1166" i="1"/>
  <c r="A1165" i="1"/>
  <c r="A1157" i="1"/>
  <c r="A1156" i="1"/>
  <c r="A1155" i="1"/>
  <c r="A1154" i="1"/>
  <c r="A1153" i="1"/>
  <c r="A1140" i="1"/>
  <c r="A1139" i="1"/>
  <c r="A1138" i="1"/>
  <c r="A1137" i="1"/>
  <c r="A1136" i="1"/>
  <c r="A1135" i="1"/>
  <c r="A1134" i="1"/>
  <c r="A1122" i="1"/>
  <c r="A1121" i="1"/>
  <c r="A1120" i="1"/>
  <c r="A1119" i="1"/>
  <c r="A1118" i="1"/>
  <c r="A1117" i="1"/>
  <c r="A1116" i="1"/>
  <c r="A1110" i="1"/>
  <c r="A1102" i="1"/>
  <c r="A1101" i="1"/>
  <c r="A1100" i="1"/>
  <c r="A1099" i="1"/>
  <c r="A1098" i="1"/>
  <c r="A1084" i="1"/>
  <c r="A1083" i="1"/>
  <c r="A1082" i="1"/>
  <c r="A1081" i="1"/>
  <c r="A1060" i="1"/>
  <c r="A1059" i="1"/>
  <c r="A1058" i="1"/>
  <c r="A1057" i="1"/>
  <c r="A1056" i="1"/>
  <c r="A1047" i="1"/>
  <c r="A1046" i="1"/>
  <c r="A1034" i="1"/>
  <c r="A1033" i="1"/>
  <c r="A1032" i="1"/>
  <c r="A1031" i="1"/>
  <c r="A1030" i="1"/>
  <c r="A1029" i="1"/>
  <c r="A1028" i="1"/>
  <c r="A1014" i="1"/>
  <c r="A1013" i="1"/>
  <c r="A1012" i="1"/>
  <c r="A1011" i="1"/>
  <c r="A1010" i="1"/>
  <c r="A1009" i="1"/>
  <c r="A1008" i="1"/>
  <c r="A1007" i="1"/>
  <c r="A1006" i="1"/>
  <c r="A1005" i="1"/>
  <c r="A987" i="1"/>
  <c r="A971" i="1"/>
  <c r="A970" i="1"/>
  <c r="A969" i="1"/>
  <c r="A968" i="1"/>
  <c r="A967" i="1"/>
  <c r="A966" i="1"/>
  <c r="A965" i="1"/>
  <c r="A964" i="1"/>
  <c r="A963" i="1"/>
  <c r="A962" i="1"/>
  <c r="A945" i="1"/>
  <c r="A944" i="1"/>
  <c r="A943" i="1"/>
  <c r="A942" i="1"/>
  <c r="A941" i="1"/>
  <c r="A940" i="1"/>
  <c r="A939" i="1"/>
  <c r="A938" i="1"/>
  <c r="A925" i="1"/>
  <c r="A924" i="1"/>
  <c r="A923" i="1"/>
  <c r="A922" i="1"/>
  <c r="A921" i="1"/>
  <c r="A920" i="1"/>
  <c r="A919" i="1"/>
  <c r="A918" i="1"/>
  <c r="A917" i="1"/>
  <c r="A916" i="1"/>
  <c r="A915" i="1"/>
  <c r="A901" i="1"/>
  <c r="A900" i="1"/>
  <c r="A899" i="1"/>
  <c r="A898" i="1"/>
  <c r="A878" i="1"/>
  <c r="A877" i="1"/>
  <c r="A876" i="1"/>
  <c r="A875" i="1"/>
  <c r="A874" i="1"/>
  <c r="A864" i="1"/>
  <c r="A863" i="1"/>
  <c r="A862" i="1"/>
  <c r="A861" i="1"/>
  <c r="A860" i="1"/>
  <c r="A859" i="1"/>
  <c r="A858" i="1"/>
  <c r="A857" i="1"/>
  <c r="A842" i="1"/>
  <c r="A841" i="1"/>
  <c r="A840" i="1"/>
  <c r="A839" i="1"/>
  <c r="A838" i="1"/>
  <c r="A837" i="1"/>
  <c r="A836" i="1"/>
  <c r="A835" i="1"/>
  <c r="A819" i="1"/>
  <c r="A818" i="1"/>
  <c r="A817" i="1"/>
  <c r="A816" i="1"/>
  <c r="A803" i="1"/>
  <c r="A788" i="1"/>
  <c r="A787" i="1"/>
  <c r="A783" i="1"/>
  <c r="A782" i="1"/>
  <c r="A781" i="1"/>
  <c r="A780" i="1"/>
  <c r="A779" i="1"/>
  <c r="A778" i="1"/>
  <c r="A765" i="1"/>
  <c r="A764" i="1"/>
  <c r="A763" i="1"/>
  <c r="A762" i="1"/>
  <c r="A761" i="1"/>
  <c r="A755" i="1"/>
  <c r="A754" i="1"/>
  <c r="A753" i="1"/>
  <c r="A752" i="1"/>
  <c r="A729" i="1"/>
  <c r="A715" i="1"/>
  <c r="A714" i="1"/>
  <c r="A713" i="1"/>
  <c r="A712" i="1"/>
  <c r="A706" i="1"/>
  <c r="A705" i="1"/>
  <c r="A704" i="1"/>
  <c r="A703" i="1"/>
  <c r="A702" i="1"/>
  <c r="A701" i="1"/>
  <c r="A700" i="1"/>
  <c r="A699" i="1"/>
  <c r="A692" i="1"/>
  <c r="A683" i="1"/>
  <c r="A682" i="1"/>
  <c r="A681" i="1"/>
  <c r="A680" i="1"/>
  <c r="A679" i="1"/>
  <c r="A669" i="1"/>
  <c r="A668" i="1"/>
  <c r="A667" i="1"/>
  <c r="A666" i="1"/>
  <c r="A665" i="1"/>
  <c r="A658" i="1"/>
  <c r="A657" i="1"/>
  <c r="A656" i="1"/>
  <c r="A655" i="1"/>
  <c r="A654" i="1"/>
  <c r="A653" i="1"/>
  <c r="A652" i="1"/>
  <c r="A651" i="1"/>
  <c r="A650" i="1"/>
  <c r="A645" i="1"/>
  <c r="A644" i="1"/>
  <c r="A643" i="1"/>
  <c r="A642" i="1"/>
  <c r="A641" i="1"/>
  <c r="A631" i="1"/>
  <c r="A630" i="1"/>
  <c r="A629" i="1"/>
  <c r="A628" i="1"/>
  <c r="A627" i="1"/>
  <c r="A626" i="1"/>
  <c r="A625" i="1"/>
  <c r="A624" i="1"/>
  <c r="A608" i="1"/>
  <c r="A607" i="1"/>
  <c r="A606" i="1"/>
  <c r="A602" i="1"/>
  <c r="A601" i="1"/>
  <c r="A600" i="1"/>
  <c r="A599" i="1"/>
  <c r="A598" i="1"/>
  <c r="A597" i="1"/>
  <c r="A596" i="1"/>
  <c r="A595" i="1"/>
  <c r="A594" i="1"/>
  <c r="A590" i="1"/>
  <c r="A589" i="1"/>
  <c r="A588" i="1"/>
  <c r="A587" i="1"/>
  <c r="A586" i="1"/>
  <c r="A585" i="1"/>
  <c r="A584" i="1"/>
  <c r="A572" i="1"/>
  <c r="A571" i="1"/>
  <c r="A570" i="1"/>
  <c r="A569" i="1"/>
  <c r="A568" i="1"/>
  <c r="A567" i="1"/>
  <c r="A566" i="1"/>
  <c r="A565" i="1"/>
  <c r="A564" i="1"/>
  <c r="A563" i="1"/>
  <c r="A562" i="1"/>
  <c r="A554" i="1"/>
  <c r="A553" i="1"/>
  <c r="A552" i="1"/>
  <c r="A551" i="1"/>
  <c r="A550" i="1"/>
  <c r="A546" i="1"/>
  <c r="A545" i="1"/>
  <c r="A544" i="1"/>
  <c r="A542" i="1"/>
  <c r="A541" i="1"/>
  <c r="A540" i="1"/>
  <c r="A539" i="1"/>
  <c r="A538" i="1"/>
  <c r="A537" i="1"/>
  <c r="A536" i="1"/>
  <c r="A535" i="1"/>
  <c r="A521" i="1"/>
  <c r="A520" i="1"/>
  <c r="A519" i="1"/>
  <c r="A518" i="1"/>
  <c r="A517" i="1"/>
  <c r="A516" i="1"/>
  <c r="A515" i="1"/>
  <c r="A514" i="1"/>
  <c r="A513" i="1"/>
  <c r="A502" i="1"/>
  <c r="A501" i="1"/>
  <c r="A500" i="1"/>
  <c r="A499" i="1"/>
  <c r="A498" i="1"/>
  <c r="A497" i="1"/>
  <c r="A487" i="1"/>
  <c r="A486" i="1"/>
  <c r="A485" i="1"/>
  <c r="A484" i="1"/>
  <c r="A483" i="1"/>
  <c r="A482" i="1"/>
  <c r="A481" i="1"/>
  <c r="A480" i="1"/>
  <c r="A477" i="1"/>
  <c r="A466" i="1"/>
  <c r="A465" i="1"/>
  <c r="A464" i="1"/>
  <c r="A463" i="1"/>
  <c r="A462" i="1"/>
  <c r="A461" i="1"/>
  <c r="A460" i="1"/>
  <c r="A449" i="1"/>
  <c r="A448" i="1"/>
  <c r="A447" i="1"/>
  <c r="A446" i="1"/>
  <c r="A445" i="1"/>
  <c r="A444" i="1"/>
  <c r="A443" i="1"/>
  <c r="A442" i="1"/>
  <c r="A441" i="1"/>
  <c r="A433" i="1"/>
  <c r="A432" i="1"/>
  <c r="A431" i="1"/>
  <c r="A430" i="1"/>
  <c r="A429" i="1"/>
  <c r="A428" i="1"/>
  <c r="A427" i="1"/>
  <c r="A426" i="1"/>
  <c r="A425" i="1"/>
  <c r="A407" i="1"/>
  <c r="A406" i="1"/>
  <c r="A405" i="1"/>
  <c r="A404" i="1"/>
  <c r="A403" i="1"/>
  <c r="A402" i="1"/>
  <c r="A401" i="1"/>
  <c r="A400" i="1"/>
  <c r="A399" i="1"/>
  <c r="A382" i="1"/>
  <c r="A381" i="1"/>
  <c r="A380" i="1"/>
  <c r="A379" i="1"/>
  <c r="A378" i="1"/>
  <c r="A377" i="1"/>
  <c r="A376" i="1"/>
  <c r="A375" i="1"/>
  <c r="A374" i="1"/>
  <c r="A362" i="1"/>
  <c r="A361" i="1"/>
  <c r="A360" i="1"/>
  <c r="A353" i="1"/>
  <c r="A352" i="1"/>
  <c r="A351" i="1"/>
  <c r="A350" i="1"/>
  <c r="A349" i="1"/>
  <c r="A348" i="1"/>
  <c r="A347" i="1"/>
  <c r="A346" i="1"/>
  <c r="A327" i="1"/>
  <c r="A326" i="1"/>
  <c r="A325" i="1"/>
  <c r="A324" i="1"/>
  <c r="A323" i="1"/>
  <c r="A322" i="1"/>
  <c r="A313" i="1"/>
  <c r="A312" i="1"/>
  <c r="A311" i="1"/>
  <c r="A310" i="1"/>
  <c r="A309" i="1"/>
  <c r="A308" i="1"/>
  <c r="A307" i="1"/>
  <c r="A306" i="1"/>
  <c r="A305" i="1"/>
  <c r="A304" i="1"/>
  <c r="A303" i="1"/>
  <c r="A292" i="1"/>
  <c r="A291" i="1"/>
  <c r="A290" i="1"/>
  <c r="A289" i="1"/>
  <c r="A273" i="1"/>
  <c r="A272" i="1"/>
  <c r="A269" i="1"/>
  <c r="A268" i="1"/>
  <c r="A267" i="1"/>
  <c r="A266" i="1"/>
  <c r="A265" i="1"/>
  <c r="A264" i="1"/>
  <c r="A263" i="1"/>
  <c r="A262" i="1"/>
  <c r="A261" i="1"/>
  <c r="A251" i="1"/>
  <c r="A250" i="1"/>
  <c r="A249" i="1"/>
  <c r="A248" i="1"/>
  <c r="A247" i="1"/>
  <c r="A246" i="1"/>
  <c r="A239" i="1"/>
  <c r="A238" i="1"/>
  <c r="A237" i="1"/>
  <c r="A236" i="1"/>
  <c r="A235" i="1"/>
  <c r="A234" i="1"/>
  <c r="A233" i="1"/>
  <c r="A232" i="1"/>
  <c r="A231" i="1"/>
  <c r="A216" i="1"/>
  <c r="A215" i="1"/>
  <c r="A214" i="1"/>
  <c r="A213" i="1"/>
  <c r="A212" i="1"/>
  <c r="A211" i="1"/>
  <c r="A210" i="1"/>
  <c r="A209" i="1"/>
  <c r="A201" i="1"/>
  <c r="A200" i="1"/>
  <c r="A199" i="1"/>
  <c r="A198" i="1"/>
  <c r="A197" i="1"/>
  <c r="A196" i="1"/>
  <c r="A195" i="1"/>
  <c r="A194" i="1"/>
  <c r="A193" i="1"/>
  <c r="A192" i="1"/>
  <c r="A179" i="1"/>
  <c r="A178" i="1"/>
  <c r="A177" i="1"/>
  <c r="A176" i="1"/>
  <c r="A163" i="1"/>
  <c r="A162" i="1"/>
  <c r="A161" i="1"/>
  <c r="A160" i="1"/>
  <c r="A159" i="1"/>
  <c r="A158" i="1"/>
  <c r="A157" i="1"/>
  <c r="A156" i="1"/>
  <c r="A143" i="1"/>
  <c r="A142" i="1"/>
  <c r="A141" i="1"/>
  <c r="A140" i="1"/>
  <c r="A139" i="1"/>
  <c r="A138" i="1"/>
  <c r="A137" i="1"/>
  <c r="A136" i="1"/>
  <c r="A135" i="1"/>
  <c r="A134" i="1"/>
  <c r="A133" i="1"/>
  <c r="A122" i="1"/>
  <c r="A121" i="1"/>
  <c r="A120" i="1"/>
  <c r="A119" i="1"/>
  <c r="A118" i="1"/>
  <c r="A117" i="1"/>
  <c r="A107" i="1"/>
  <c r="A106" i="1"/>
  <c r="A93" i="1"/>
  <c r="A92" i="1"/>
  <c r="A82" i="1"/>
  <c r="A81" i="1"/>
  <c r="A80" i="1"/>
  <c r="A79" i="1"/>
  <c r="A66" i="1"/>
  <c r="A65" i="1"/>
  <c r="A64" i="1"/>
  <c r="A63" i="1"/>
  <c r="A62" i="1"/>
  <c r="A61" i="1"/>
  <c r="A60" i="1"/>
  <c r="A59" i="1"/>
  <c r="A51" i="1"/>
  <c r="A50" i="1"/>
  <c r="A49" i="1"/>
  <c r="A48" i="1"/>
  <c r="A46" i="1"/>
  <c r="A45" i="1"/>
  <c r="A44" i="1"/>
  <c r="A39" i="1"/>
  <c r="A38" i="1"/>
  <c r="A37" i="1"/>
  <c r="A36" i="1"/>
  <c r="A35" i="1"/>
  <c r="A32" i="1"/>
  <c r="A31" i="1"/>
  <c r="A30" i="1"/>
  <c r="A29" i="1"/>
  <c r="A28" i="1"/>
  <c r="A22" i="1"/>
  <c r="A21" i="1"/>
  <c r="A10748" i="1"/>
  <c r="A10687" i="1"/>
  <c r="A10702" i="1"/>
  <c r="A10694" i="1"/>
  <c r="A10682" i="1"/>
  <c r="A10673" i="1"/>
  <c r="A10672" i="1"/>
  <c r="A10642" i="1"/>
  <c r="A10601" i="1"/>
  <c r="A10589" i="1"/>
  <c r="A10588" i="1"/>
  <c r="A10587" i="1"/>
  <c r="A10553" i="1"/>
  <c r="A10552" i="1"/>
  <c r="A10548" i="1"/>
  <c r="A10530" i="1"/>
  <c r="A10529" i="1"/>
  <c r="A10507" i="1"/>
  <c r="A10506" i="1"/>
  <c r="A10505" i="1"/>
  <c r="A10504" i="1"/>
  <c r="A10503" i="1"/>
  <c r="A10502" i="1"/>
  <c r="A10483" i="1"/>
  <c r="A10482" i="1"/>
  <c r="A10406" i="1"/>
  <c r="A10390" i="1"/>
  <c r="A10389" i="1"/>
  <c r="A10372" i="1"/>
  <c r="A10209" i="1"/>
  <c r="A10173" i="1"/>
  <c r="A10172" i="1"/>
  <c r="A10097" i="1"/>
  <c r="A10067" i="1"/>
  <c r="A10045" i="1"/>
  <c r="A10044" i="1"/>
  <c r="A10043" i="1"/>
  <c r="A10042" i="1"/>
  <c r="A10041" i="1"/>
  <c r="A10040" i="1"/>
  <c r="A10018" i="1"/>
  <c r="A10017" i="1"/>
  <c r="A10016" i="1"/>
  <c r="A10015" i="1"/>
  <c r="A10007" i="1"/>
  <c r="A10006" i="1"/>
  <c r="A10005" i="1"/>
  <c r="A10004" i="1"/>
  <c r="A9988" i="1"/>
  <c r="A9987" i="1"/>
  <c r="A9986" i="1"/>
  <c r="A9985" i="1"/>
  <c r="A9984" i="1"/>
  <c r="A9947" i="1"/>
  <c r="A9946" i="1"/>
  <c r="A9945" i="1"/>
  <c r="A9922" i="1"/>
  <c r="A9903" i="1"/>
  <c r="A9902" i="1"/>
  <c r="A9886" i="1"/>
  <c r="A9885" i="1"/>
  <c r="A9863" i="1"/>
  <c r="A9834" i="1"/>
  <c r="A9833" i="1"/>
  <c r="A9782" i="1"/>
  <c r="A9760" i="1"/>
  <c r="A9759" i="1"/>
  <c r="A9758" i="1"/>
  <c r="A9757" i="1"/>
  <c r="A9756" i="1"/>
  <c r="A9755" i="1"/>
  <c r="A9672" i="1"/>
  <c r="A9641" i="1"/>
  <c r="A9640" i="1"/>
  <c r="A9639" i="1"/>
  <c r="A9638" i="1"/>
  <c r="A9637" i="1"/>
  <c r="A9636" i="1"/>
  <c r="A9593" i="1"/>
  <c r="A9592" i="1"/>
  <c r="A9551" i="1"/>
  <c r="A9520" i="1"/>
  <c r="A9519" i="1"/>
  <c r="A9518" i="1"/>
  <c r="A9517" i="1"/>
  <c r="A9503" i="1"/>
  <c r="A9502" i="1"/>
  <c r="A9501" i="1"/>
  <c r="A9460" i="1"/>
  <c r="A9459" i="1"/>
  <c r="A9458" i="1"/>
  <c r="A9397" i="1"/>
  <c r="A9396" i="1"/>
  <c r="A9395" i="1"/>
  <c r="A9394" i="1"/>
  <c r="A9393" i="1"/>
  <c r="A9374" i="1"/>
  <c r="A9373" i="1"/>
  <c r="A9362" i="1"/>
  <c r="A9361" i="1"/>
  <c r="A9360" i="1"/>
  <c r="A9359" i="1"/>
  <c r="A9358" i="1"/>
  <c r="A9357" i="1"/>
  <c r="A9356" i="1"/>
  <c r="A9342" i="1"/>
  <c r="A9341" i="1"/>
  <c r="A9635" i="1"/>
  <c r="A9319" i="1"/>
  <c r="A9318" i="1"/>
  <c r="A9317" i="1"/>
  <c r="A9316" i="1"/>
  <c r="A9315" i="1"/>
  <c r="A9314" i="1"/>
  <c r="A9313" i="1"/>
  <c r="A9312" i="1"/>
  <c r="A9300" i="1"/>
  <c r="A9299" i="1"/>
  <c r="A9298" i="1"/>
  <c r="A9297" i="1"/>
  <c r="A9286" i="1"/>
  <c r="A9285" i="1"/>
  <c r="A9284" i="1"/>
  <c r="A9283" i="1"/>
  <c r="A9282" i="1"/>
  <c r="A9268" i="1"/>
  <c r="A9256" i="1"/>
  <c r="A9255" i="1"/>
  <c r="A9254" i="1"/>
  <c r="A9253" i="1"/>
  <c r="A9235" i="1"/>
  <c r="A9224" i="1"/>
  <c r="A9223" i="1"/>
  <c r="A9178" i="1"/>
  <c r="A9177" i="1"/>
  <c r="A9164" i="1"/>
  <c r="A9163" i="1"/>
  <c r="A9162" i="1"/>
  <c r="A9148" i="1"/>
  <c r="A9147" i="1"/>
  <c r="A9139" i="1"/>
  <c r="A9138" i="1"/>
  <c r="A9137" i="1"/>
  <c r="A9136" i="1"/>
  <c r="A9135" i="1"/>
  <c r="A9134" i="1"/>
  <c r="A9125" i="1"/>
  <c r="A9124" i="1"/>
  <c r="A9123" i="1"/>
  <c r="A9122" i="1"/>
  <c r="A8984" i="1"/>
  <c r="A9106" i="1"/>
  <c r="A9105" i="1"/>
  <c r="A9104" i="1"/>
  <c r="A9103" i="1"/>
  <c r="A9102" i="1"/>
  <c r="A9101" i="1"/>
  <c r="A8994" i="1"/>
  <c r="A8751" i="1"/>
  <c r="A8983" i="1"/>
  <c r="A8982" i="1"/>
  <c r="A8981" i="1"/>
  <c r="A8969" i="1"/>
  <c r="A8968" i="1"/>
  <c r="A8967" i="1"/>
  <c r="A8966" i="1"/>
  <c r="A8965" i="1"/>
  <c r="A8964" i="1"/>
  <c r="A8963" i="1"/>
  <c r="A8910" i="1"/>
  <c r="A8909" i="1"/>
  <c r="A8908" i="1"/>
  <c r="A8907" i="1"/>
  <c r="A8906" i="1"/>
  <c r="A8905" i="1"/>
  <c r="A8904" i="1"/>
  <c r="A8903" i="1"/>
  <c r="A8878" i="1"/>
  <c r="A8877" i="1"/>
  <c r="A8858" i="1"/>
  <c r="A8857" i="1"/>
  <c r="A8856" i="1"/>
  <c r="A8855" i="1"/>
  <c r="A8854" i="1"/>
  <c r="A8853" i="1"/>
  <c r="A8812" i="1"/>
  <c r="A8811" i="1"/>
  <c r="A8810" i="1"/>
  <c r="A8799" i="1"/>
  <c r="A8798" i="1"/>
  <c r="A8797" i="1"/>
  <c r="A8796" i="1"/>
  <c r="A8795" i="1"/>
  <c r="A8794" i="1"/>
  <c r="A8779" i="1"/>
  <c r="A8778" i="1"/>
  <c r="A8777" i="1"/>
  <c r="A8776" i="1"/>
  <c r="A8775" i="1"/>
  <c r="A8774" i="1"/>
  <c r="A8773" i="1"/>
  <c r="A8750" i="1"/>
  <c r="A8749" i="1"/>
  <c r="A8748" i="1"/>
  <c r="A8747" i="1"/>
  <c r="A8746" i="1"/>
  <c r="A8745" i="1"/>
  <c r="A8744" i="1"/>
  <c r="A8732" i="1"/>
  <c r="A8731" i="1"/>
  <c r="A8730" i="1"/>
  <c r="A8729" i="1"/>
  <c r="A8728" i="1"/>
  <c r="A8727" i="1"/>
  <c r="A8726" i="1"/>
  <c r="A8713" i="1"/>
  <c r="A8712" i="1"/>
  <c r="A8711" i="1"/>
  <c r="A8710" i="1"/>
  <c r="A8709" i="1"/>
  <c r="A8708" i="1"/>
  <c r="A8694" i="1"/>
  <c r="A8693" i="1"/>
  <c r="A8692" i="1"/>
  <c r="A8691" i="1"/>
  <c r="A8690" i="1"/>
  <c r="A8689" i="1"/>
  <c r="A8672" i="1"/>
  <c r="A8671" i="1"/>
  <c r="A8670" i="1"/>
  <c r="A8669" i="1"/>
  <c r="A8668" i="1"/>
  <c r="A8667" i="1"/>
  <c r="A8476" i="1"/>
  <c r="A8642" i="1"/>
  <c r="A8641" i="1"/>
  <c r="A8640" i="1"/>
  <c r="A8621" i="1"/>
  <c r="A8602" i="1"/>
  <c r="A8601" i="1"/>
  <c r="A8600" i="1"/>
  <c r="A8599" i="1"/>
  <c r="A8598" i="1"/>
  <c r="A8572" i="1"/>
  <c r="A8571" i="1"/>
  <c r="A8570" i="1"/>
  <c r="A8569" i="1"/>
  <c r="A8568" i="1"/>
  <c r="A8567" i="1"/>
  <c r="A8530" i="1"/>
  <c r="A8529" i="1"/>
  <c r="A8528" i="1"/>
  <c r="A8527" i="1"/>
  <c r="A8526" i="1"/>
  <c r="A8525" i="1"/>
  <c r="A8524" i="1"/>
  <c r="A8512" i="1"/>
  <c r="A8511" i="1"/>
  <c r="A8510" i="1"/>
  <c r="A8509" i="1"/>
  <c r="A8499" i="1"/>
  <c r="A8498" i="1"/>
  <c r="A8497" i="1"/>
  <c r="A8475" i="1"/>
  <c r="A8474" i="1"/>
  <c r="A8473" i="1"/>
  <c r="A8449" i="1"/>
  <c r="A8448" i="1"/>
  <c r="A8447" i="1"/>
  <c r="A8446" i="1"/>
  <c r="A8445" i="1"/>
  <c r="A8420" i="1"/>
  <c r="A8419" i="1"/>
  <c r="A8418" i="1"/>
  <c r="A8417" i="1"/>
  <c r="A8392" i="1"/>
  <c r="A8391" i="1"/>
  <c r="A8390" i="1"/>
  <c r="A8389" i="1"/>
  <c r="A8388" i="1"/>
  <c r="A8387" i="1"/>
  <c r="A8386" i="1"/>
  <c r="A8385" i="1"/>
  <c r="A8361" i="1"/>
  <c r="A8337" i="1"/>
  <c r="A8336" i="1"/>
  <c r="A8335" i="1"/>
  <c r="A8334" i="1"/>
  <c r="A8312" i="1"/>
  <c r="A8311" i="1"/>
  <c r="A8310" i="1"/>
  <c r="A8309" i="1"/>
  <c r="A8296" i="1"/>
  <c r="A8295" i="1"/>
  <c r="A8294" i="1"/>
  <c r="A8293" i="1"/>
  <c r="A8292" i="1"/>
  <c r="A8291" i="1"/>
  <c r="A8290" i="1"/>
  <c r="A8289" i="1"/>
  <c r="A8264" i="1"/>
  <c r="A8263" i="1"/>
  <c r="A8262" i="1"/>
  <c r="A826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19" i="1"/>
  <c r="A8218" i="1"/>
  <c r="A8195" i="1"/>
  <c r="A8194" i="1"/>
  <c r="A8155" i="1"/>
  <c r="A8154" i="1"/>
  <c r="A8153" i="1"/>
  <c r="A8152" i="1"/>
  <c r="A8139" i="1"/>
  <c r="A8138" i="1"/>
  <c r="A8137" i="1"/>
  <c r="A8107" i="1"/>
  <c r="A8106" i="1"/>
  <c r="A8105" i="1"/>
  <c r="A8104" i="1"/>
  <c r="A8103" i="1"/>
  <c r="A8074" i="1"/>
  <c r="A8073" i="1"/>
  <c r="A8072" i="1"/>
  <c r="A8071" i="1"/>
  <c r="A8070" i="1"/>
  <c r="A8069" i="1"/>
  <c r="A8052" i="1"/>
  <c r="A8051" i="1"/>
  <c r="A8050" i="1"/>
  <c r="A8049" i="1"/>
  <c r="A8048" i="1"/>
  <c r="A8047" i="1"/>
  <c r="A8046" i="1"/>
  <c r="A8024" i="1"/>
  <c r="A8023" i="1"/>
  <c r="A8022" i="1"/>
  <c r="A8021" i="1"/>
  <c r="A8020" i="1"/>
  <c r="A8019" i="1"/>
  <c r="A8018" i="1"/>
  <c r="A8017" i="1"/>
  <c r="A8016" i="1"/>
  <c r="A8015" i="1"/>
  <c r="A8014" i="1"/>
  <c r="A7990" i="1"/>
  <c r="A7989" i="1"/>
  <c r="A7988" i="1"/>
  <c r="A7987" i="1"/>
  <c r="A7986" i="1"/>
  <c r="A7985" i="1"/>
  <c r="A7984" i="1"/>
  <c r="A7964" i="1"/>
  <c r="A7963" i="1"/>
  <c r="A7962" i="1"/>
  <c r="A7961" i="1"/>
  <c r="A7960" i="1"/>
  <c r="A7959" i="1"/>
  <c r="A7958" i="1"/>
  <c r="A7957" i="1"/>
  <c r="A7931" i="1"/>
  <c r="A7930" i="1"/>
  <c r="A7929" i="1"/>
  <c r="A7928" i="1"/>
  <c r="A7927" i="1"/>
  <c r="A7926" i="1"/>
  <c r="A7925" i="1"/>
  <c r="A7896" i="1"/>
  <c r="A7895" i="1"/>
  <c r="A7869" i="1"/>
  <c r="A7868" i="1"/>
  <c r="A7867" i="1"/>
  <c r="A7866" i="1"/>
  <c r="A7865" i="1"/>
  <c r="A7864" i="1"/>
  <c r="A7863" i="1"/>
  <c r="A7862" i="1"/>
  <c r="A7831" i="1"/>
  <c r="A7830" i="1"/>
  <c r="A7829" i="1"/>
  <c r="A7828" i="1"/>
  <c r="A7827" i="1"/>
  <c r="A7826" i="1"/>
  <c r="A7793" i="1"/>
  <c r="A7792" i="1"/>
  <c r="A7791" i="1"/>
  <c r="A7790" i="1"/>
  <c r="A7789" i="1"/>
  <c r="A7766" i="1"/>
  <c r="A7765" i="1"/>
  <c r="A7764" i="1"/>
  <c r="A7763" i="1"/>
  <c r="A7762" i="1"/>
  <c r="A7761" i="1"/>
  <c r="A7737" i="1"/>
  <c r="A7736" i="1"/>
  <c r="A7735" i="1"/>
  <c r="A7734" i="1"/>
  <c r="A7733" i="1"/>
  <c r="A7710" i="1"/>
  <c r="A7709" i="1"/>
  <c r="A7708" i="1"/>
  <c r="A7707" i="1"/>
  <c r="A7669" i="1"/>
  <c r="A7668" i="1"/>
  <c r="A7667" i="1"/>
  <c r="A7666" i="1"/>
  <c r="A7665" i="1"/>
  <c r="A7664" i="1"/>
  <c r="A7646" i="1"/>
  <c r="A7645" i="1"/>
  <c r="A7644" i="1"/>
  <c r="A7643" i="1"/>
  <c r="A7642" i="1"/>
  <c r="A7641" i="1"/>
  <c r="A7619" i="1"/>
  <c r="A7618" i="1"/>
  <c r="A7617" i="1"/>
  <c r="A7616" i="1"/>
  <c r="A7615" i="1"/>
  <c r="A7591" i="1"/>
  <c r="A7590" i="1"/>
  <c r="A7589" i="1"/>
  <c r="A7588" i="1"/>
  <c r="A7587" i="1"/>
  <c r="A7569" i="1"/>
  <c r="A7568" i="1"/>
  <c r="A7567" i="1"/>
  <c r="A7566" i="1"/>
  <c r="A7565" i="1"/>
  <c r="A7564" i="1"/>
  <c r="A7563" i="1"/>
  <c r="A7535" i="1"/>
  <c r="A7534" i="1"/>
  <c r="A7533" i="1"/>
  <c r="A7532" i="1"/>
  <c r="A7513" i="1"/>
  <c r="A7512" i="1"/>
  <c r="A7511" i="1"/>
  <c r="A7510" i="1"/>
  <c r="A7509" i="1"/>
  <c r="A7508" i="1"/>
  <c r="A7490" i="1"/>
  <c r="A7489" i="1"/>
  <c r="A7488" i="1"/>
  <c r="A7487" i="1"/>
  <c r="A7468" i="1"/>
  <c r="A7467" i="1"/>
  <c r="A7466" i="1"/>
  <c r="A7465" i="1"/>
  <c r="A7464" i="1"/>
  <c r="A7463" i="1"/>
  <c r="A7462" i="1"/>
  <c r="A7461" i="1"/>
  <c r="A7448" i="1"/>
  <c r="A7447" i="1"/>
  <c r="A7420" i="1"/>
  <c r="A7419" i="1"/>
  <c r="A7418" i="1"/>
  <c r="A7417" i="1"/>
  <c r="A7397" i="1"/>
  <c r="A7396" i="1"/>
  <c r="A7395" i="1"/>
  <c r="A7394" i="1"/>
  <c r="A7393" i="1"/>
  <c r="A7378" i="1"/>
  <c r="A7377" i="1"/>
  <c r="A7376" i="1"/>
  <c r="A7375" i="1"/>
  <c r="A7352" i="1"/>
  <c r="A7351" i="1"/>
  <c r="A7350" i="1"/>
  <c r="A7349" i="1"/>
  <c r="A7334" i="1"/>
  <c r="A7333" i="1"/>
  <c r="A7332" i="1"/>
  <c r="A7303" i="1"/>
  <c r="A7302" i="1"/>
  <c r="A7278" i="1"/>
  <c r="A7277" i="1"/>
  <c r="A7276" i="1"/>
  <c r="A7263" i="1"/>
  <c r="A7262" i="1"/>
  <c r="A7261" i="1"/>
  <c r="A7247" i="1"/>
  <c r="A7246" i="1"/>
  <c r="A7245" i="1"/>
  <c r="A7242" i="1"/>
  <c r="A7210" i="1"/>
  <c r="A7209" i="1"/>
  <c r="A7186" i="1"/>
  <c r="A7185" i="1"/>
  <c r="A7169" i="1"/>
  <c r="A7168" i="1"/>
  <c r="A7167" i="1"/>
  <c r="A7166" i="1"/>
  <c r="A7144" i="1"/>
  <c r="A7143" i="1"/>
  <c r="A7127" i="1"/>
  <c r="A7126" i="1"/>
  <c r="A7104" i="1"/>
  <c r="A7087" i="1"/>
  <c r="A7086" i="1"/>
  <c r="A7069" i="1"/>
  <c r="A7068" i="1"/>
  <c r="A7052" i="1"/>
  <c r="A7051" i="1"/>
  <c r="A7050" i="1"/>
  <c r="A7013" i="1"/>
  <c r="A7012" i="1"/>
  <c r="A7001" i="1"/>
  <c r="A7000" i="1"/>
  <c r="A6967" i="1"/>
  <c r="A6966" i="1"/>
  <c r="A6986" i="1"/>
  <c r="A6927" i="1"/>
  <c r="A6917" i="1"/>
  <c r="A6916" i="1"/>
  <c r="A6915" i="1"/>
  <c r="A6914" i="1"/>
  <c r="A6841" i="1"/>
  <c r="A6896" i="1"/>
  <c r="A6878" i="1"/>
  <c r="A6877" i="1"/>
  <c r="A6795" i="1"/>
  <c r="A6895" i="1"/>
  <c r="A6894" i="1"/>
  <c r="A6876" i="1"/>
  <c r="A6875" i="1"/>
  <c r="A6893" i="1"/>
  <c r="A6892" i="1"/>
  <c r="A6874" i="1"/>
  <c r="A6873" i="1"/>
  <c r="A6840" i="1"/>
  <c r="A6839" i="1"/>
  <c r="A6813" i="1"/>
  <c r="A6812" i="1"/>
  <c r="A6858" i="1"/>
  <c r="A6811" i="1"/>
  <c r="A6810" i="1"/>
  <c r="A6809" i="1"/>
  <c r="A6808" i="1"/>
  <c r="A6776" i="1"/>
  <c r="A6775" i="1"/>
  <c r="A6774" i="1"/>
  <c r="A6773" i="1"/>
  <c r="A6772" i="1"/>
  <c r="A6771" i="1"/>
  <c r="A6756" i="1"/>
  <c r="A6755" i="1"/>
  <c r="A6754" i="1"/>
  <c r="A6753" i="1"/>
  <c r="A6752" i="1"/>
  <c r="A6727" i="1"/>
  <c r="A6726" i="1"/>
  <c r="A6725" i="1"/>
  <c r="A6724" i="1"/>
  <c r="A6701" i="1"/>
  <c r="A6700" i="1"/>
  <c r="A6699" i="1"/>
  <c r="A6698" i="1"/>
  <c r="A6697" i="1"/>
  <c r="A6681" i="1"/>
  <c r="A6680" i="1"/>
  <c r="A6666" i="1"/>
  <c r="A6665" i="1"/>
  <c r="A6638" i="1"/>
  <c r="A6637" i="1"/>
  <c r="A6611" i="1"/>
  <c r="A6610" i="1"/>
  <c r="A6574" i="1"/>
  <c r="A6573" i="1"/>
  <c r="A6561" i="1"/>
  <c r="A6560" i="1"/>
  <c r="A6540" i="1"/>
  <c r="A6539" i="1"/>
  <c r="A6538" i="1"/>
  <c r="A6537" i="1"/>
  <c r="A6518" i="1"/>
  <c r="A6389" i="1"/>
  <c r="A6447" i="1"/>
  <c r="A6416" i="1"/>
  <c r="A6415" i="1"/>
  <c r="A6365" i="1"/>
  <c r="A6364" i="1"/>
  <c r="A6344" i="1"/>
  <c r="A6343" i="1"/>
  <c r="A6342" i="1"/>
  <c r="A6319" i="1"/>
  <c r="A6318" i="1"/>
  <c r="A6292" i="1"/>
  <c r="A6291" i="1"/>
  <c r="A6317" i="1"/>
  <c r="A6316" i="1"/>
  <c r="A6275" i="1"/>
  <c r="A6244" i="1"/>
  <c r="A6243" i="1"/>
  <c r="A6222" i="1"/>
  <c r="A6221" i="1"/>
  <c r="A6220" i="1"/>
  <c r="A6219" i="1"/>
  <c r="A6198" i="1"/>
  <c r="A6197" i="1"/>
  <c r="A6196" i="1"/>
  <c r="A6195" i="1"/>
  <c r="A6177" i="1"/>
  <c r="A6176" i="1"/>
  <c r="A6175" i="1"/>
  <c r="A6174" i="1"/>
  <c r="A6173" i="1"/>
  <c r="A6143" i="1"/>
  <c r="A6142" i="1"/>
  <c r="A6141" i="1"/>
  <c r="A6140" i="1"/>
  <c r="A6139" i="1"/>
  <c r="A6138" i="1"/>
  <c r="A6060" i="1"/>
  <c r="A6059" i="1"/>
  <c r="A6058" i="1"/>
  <c r="A6026" i="1"/>
  <c r="A6025" i="1"/>
  <c r="A6024" i="1"/>
  <c r="A6023" i="1"/>
  <c r="A6022" i="1"/>
  <c r="A6057" i="1"/>
  <c r="A5380" i="1"/>
  <c r="A5379" i="1"/>
  <c r="A5378" i="1"/>
  <c r="A5685" i="1"/>
  <c r="A5684" i="1"/>
  <c r="A5683" i="1"/>
  <c r="A5682" i="1"/>
  <c r="A5681" i="1"/>
  <c r="A5680" i="1"/>
  <c r="A5663" i="1"/>
  <c r="A5662" i="1"/>
  <c r="A5661" i="1"/>
  <c r="A5619" i="1"/>
  <c r="A5618" i="1"/>
  <c r="A5617" i="1"/>
  <c r="A5616" i="1"/>
  <c r="A5615" i="1"/>
  <c r="A5505" i="1"/>
  <c r="A5461" i="1"/>
  <c r="A5454" i="1"/>
  <c r="A5453" i="1"/>
  <c r="A5452" i="1"/>
  <c r="A5397" i="1"/>
  <c r="A5414" i="1"/>
  <c r="A5413" i="1"/>
  <c r="A5403" i="1"/>
  <c r="A5396" i="1"/>
  <c r="A5395" i="1"/>
  <c r="A5394" i="1"/>
  <c r="A5360" i="1"/>
  <c r="A5359" i="1"/>
  <c r="A5358" i="1"/>
  <c r="A5357" i="1"/>
  <c r="A5356" i="1"/>
  <c r="A5355" i="1"/>
  <c r="A5339" i="1"/>
  <c r="A5338" i="1"/>
  <c r="A5337" i="1"/>
  <c r="A5321" i="1"/>
  <c r="A5293" i="1"/>
  <c r="A5292" i="1"/>
  <c r="A5291" i="1"/>
  <c r="A5290" i="1"/>
  <c r="A5274" i="1"/>
  <c r="A5273" i="1"/>
  <c r="A5272" i="1"/>
  <c r="A5271" i="1"/>
  <c r="A5270" i="1"/>
  <c r="A5269" i="1"/>
  <c r="A5249" i="1"/>
  <c r="A5233" i="1"/>
  <c r="A5196" i="1"/>
  <c r="A5176" i="1"/>
  <c r="A5165" i="1"/>
  <c r="A5133" i="1"/>
  <c r="A5132" i="1"/>
  <c r="A5131" i="1"/>
  <c r="A5130" i="1"/>
  <c r="A5129" i="1"/>
  <c r="A5128" i="1"/>
  <c r="A5127" i="1"/>
  <c r="A5107" i="1"/>
  <c r="A5106" i="1"/>
  <c r="A5105" i="1"/>
  <c r="A5104" i="1"/>
  <c r="A5103" i="1"/>
  <c r="A5086" i="1"/>
  <c r="A5085" i="1"/>
  <c r="A5084" i="1"/>
  <c r="A5083" i="1"/>
  <c r="A5082" i="1"/>
  <c r="A5081" i="1"/>
  <c r="A5080" i="1"/>
  <c r="A5079" i="1"/>
  <c r="A5078" i="1"/>
  <c r="A5077" i="1"/>
  <c r="A5063" i="1"/>
  <c r="A5062" i="1"/>
  <c r="A5061" i="1"/>
  <c r="A5060" i="1"/>
  <c r="A5059" i="1"/>
  <c r="A5058" i="1"/>
  <c r="A5050" i="1"/>
  <c r="A5049" i="1"/>
  <c r="A5048" i="1"/>
  <c r="A5047" i="1"/>
  <c r="A5046" i="1"/>
  <c r="A5045" i="1"/>
  <c r="A5044" i="1"/>
  <c r="A5043" i="1"/>
  <c r="A5033" i="1"/>
  <c r="A5032" i="1"/>
  <c r="A5028" i="1"/>
  <c r="A5027" i="1"/>
  <c r="A5026" i="1"/>
  <c r="A5012" i="1"/>
  <c r="A5011" i="1"/>
  <c r="A5002" i="1"/>
  <c r="A5001" i="1"/>
  <c r="A5000" i="1"/>
  <c r="A4999" i="1"/>
  <c r="A4998" i="1"/>
  <c r="A4988" i="1"/>
  <c r="A4987" i="1"/>
  <c r="A4986" i="1"/>
  <c r="A4985" i="1"/>
  <c r="A4984" i="1"/>
  <c r="A4983" i="1"/>
  <c r="A4982" i="1"/>
  <c r="A4981" i="1"/>
  <c r="A4973" i="1"/>
  <c r="A4972" i="1"/>
  <c r="A4971" i="1"/>
  <c r="A4970" i="1"/>
  <c r="A4969" i="1"/>
  <c r="A4954" i="1"/>
  <c r="A4953" i="1"/>
  <c r="A4941" i="1"/>
  <c r="A4940" i="1"/>
  <c r="A4939" i="1"/>
  <c r="A4938" i="1"/>
  <c r="A4929" i="1"/>
  <c r="A4928" i="1"/>
  <c r="A4927" i="1"/>
  <c r="A4926" i="1"/>
  <c r="A4918" i="1"/>
  <c r="A4917" i="1"/>
  <c r="A4916" i="1"/>
  <c r="A4915" i="1"/>
  <c r="A4914" i="1"/>
  <c r="A4913" i="1"/>
  <c r="A4908" i="1"/>
  <c r="A4907" i="1"/>
  <c r="A4906" i="1"/>
  <c r="A4905" i="1"/>
  <c r="A4891" i="1"/>
  <c r="A4890" i="1"/>
  <c r="A4889" i="1"/>
  <c r="A4888" i="1"/>
  <c r="A4887" i="1"/>
  <c r="A4886" i="1"/>
  <c r="A4885" i="1"/>
  <c r="A4884" i="1"/>
  <c r="A4883" i="1"/>
  <c r="A4870" i="1"/>
  <c r="A4869" i="1"/>
  <c r="A4868" i="1"/>
  <c r="A4867" i="1"/>
  <c r="A4866" i="1"/>
  <c r="A4862" i="1"/>
  <c r="A4861" i="1"/>
  <c r="A4844" i="1"/>
  <c r="A4843" i="1"/>
  <c r="A4842" i="1"/>
  <c r="A4841" i="1"/>
  <c r="A4840" i="1"/>
  <c r="A4839" i="1"/>
  <c r="A4838" i="1"/>
  <c r="A4837" i="1"/>
  <c r="A4836" i="1"/>
  <c r="A4835" i="1"/>
  <c r="A4828" i="1"/>
  <c r="A4827" i="1"/>
  <c r="A4826" i="1"/>
  <c r="A4825" i="1"/>
  <c r="A4824" i="1"/>
  <c r="A4823" i="1"/>
  <c r="A4815" i="1"/>
  <c r="A4814" i="1"/>
  <c r="A4813" i="1"/>
  <c r="A4812" i="1"/>
  <c r="A4811" i="1"/>
  <c r="A4810" i="1"/>
  <c r="A4809" i="1"/>
  <c r="A4798" i="1"/>
  <c r="A4797" i="1"/>
  <c r="A4796" i="1"/>
  <c r="A4795" i="1"/>
  <c r="A4794" i="1"/>
  <c r="A4793" i="1"/>
  <c r="A4788" i="1"/>
  <c r="A4787" i="1"/>
  <c r="A4786" i="1"/>
  <c r="A4785" i="1"/>
  <c r="A4784" i="1"/>
  <c r="A4783" i="1"/>
  <c r="A4775" i="1"/>
  <c r="A4774" i="1"/>
  <c r="A4773" i="1"/>
  <c r="A4772" i="1"/>
  <c r="A4771" i="1"/>
  <c r="A4768" i="1"/>
  <c r="A4767" i="1"/>
  <c r="A4766" i="1"/>
  <c r="A4765" i="1"/>
  <c r="A4764" i="1"/>
  <c r="A4763" i="1"/>
  <c r="A4762" i="1"/>
  <c r="A4761" i="1"/>
  <c r="A4760" i="1"/>
  <c r="A4759" i="1"/>
  <c r="A4758" i="1"/>
  <c r="A4749" i="1"/>
  <c r="A4748" i="1"/>
  <c r="A4747" i="1"/>
  <c r="A4746" i="1"/>
  <c r="A4745" i="1"/>
  <c r="A4739" i="1"/>
  <c r="A4738" i="1"/>
  <c r="A4737" i="1"/>
  <c r="A4736" i="1"/>
  <c r="A4735" i="1"/>
  <c r="A4734" i="1"/>
  <c r="A4733" i="1"/>
  <c r="A4732" i="1"/>
  <c r="A4729" i="1"/>
  <c r="A4728" i="1"/>
  <c r="A4727" i="1"/>
  <c r="A4726" i="1"/>
  <c r="A4725" i="1"/>
  <c r="A4724" i="1"/>
  <c r="A4723" i="1"/>
  <c r="A4712" i="1"/>
  <c r="A4711" i="1"/>
  <c r="A4710" i="1"/>
  <c r="A4709" i="1"/>
  <c r="A4708" i="1"/>
  <c r="A4707" i="1"/>
  <c r="A4698" i="1"/>
  <c r="A4697" i="1"/>
  <c r="A4696" i="1"/>
  <c r="A4695" i="1"/>
  <c r="A4694" i="1"/>
  <c r="A4687" i="1"/>
  <c r="A4686" i="1"/>
  <c r="A4685" i="1"/>
  <c r="A4684" i="1"/>
  <c r="A4679" i="1"/>
  <c r="A4678" i="1"/>
  <c r="A4677" i="1"/>
  <c r="A4676" i="1"/>
  <c r="A4675" i="1"/>
  <c r="A4668" i="1"/>
  <c r="A4667" i="1"/>
  <c r="A4666" i="1"/>
  <c r="A4657" i="1"/>
  <c r="A4656" i="1"/>
  <c r="A4655" i="1"/>
  <c r="A4654" i="1"/>
  <c r="A4653" i="1"/>
  <c r="A4652" i="1"/>
  <c r="A4644" i="1"/>
  <c r="A4643" i="1"/>
  <c r="A4642" i="1"/>
  <c r="A4641" i="1"/>
  <c r="A4640" i="1"/>
  <c r="A4639" i="1"/>
  <c r="A4638" i="1"/>
  <c r="A4634" i="1"/>
  <c r="A4633" i="1"/>
  <c r="A4632" i="1"/>
  <c r="A4631" i="1"/>
  <c r="A4630" i="1"/>
  <c r="A4629" i="1"/>
  <c r="A4618" i="1"/>
  <c r="A4617" i="1"/>
  <c r="A4616" i="1"/>
  <c r="A4615" i="1"/>
  <c r="A4608" i="1"/>
  <c r="A4607" i="1"/>
  <c r="A4606" i="1"/>
  <c r="A4605" i="1"/>
  <c r="A4601" i="1"/>
  <c r="A4600" i="1"/>
  <c r="A4589" i="1"/>
  <c r="A4588" i="1"/>
  <c r="A4587" i="1"/>
  <c r="A4586" i="1"/>
  <c r="A4585" i="1"/>
  <c r="A4572" i="1"/>
  <c r="A4584" i="1"/>
  <c r="A4571" i="1"/>
  <c r="A4570" i="1"/>
  <c r="A4562" i="1"/>
  <c r="A4561" i="1"/>
  <c r="A4560" i="1"/>
  <c r="A4549" i="1"/>
  <c r="A4548" i="1"/>
  <c r="A4547" i="1"/>
  <c r="A4546" i="1"/>
  <c r="A4519" i="1"/>
  <c r="A4518" i="1"/>
  <c r="A4517" i="1"/>
  <c r="A4508" i="1"/>
  <c r="A4507" i="1"/>
  <c r="A4506" i="1"/>
  <c r="A4505" i="1"/>
  <c r="A4504" i="1"/>
  <c r="A4495" i="1"/>
  <c r="A4494" i="1"/>
  <c r="A4493" i="1"/>
  <c r="A4484" i="1"/>
  <c r="A4483" i="1"/>
  <c r="A4482" i="1"/>
  <c r="A4481" i="1"/>
  <c r="A4475" i="1"/>
  <c r="A4474" i="1"/>
  <c r="A4473" i="1"/>
  <c r="A4472" i="1"/>
  <c r="A4456" i="1"/>
  <c r="A4455" i="1"/>
  <c r="A4424" i="1"/>
  <c r="A4410" i="1"/>
  <c r="A4400" i="1"/>
  <c r="A4388" i="1"/>
  <c r="A4387" i="1"/>
  <c r="A4373" i="1"/>
  <c r="A4372" i="1"/>
  <c r="A4371" i="1"/>
  <c r="A4370" i="1"/>
  <c r="A4369" i="1"/>
  <c r="A4368" i="1"/>
  <c r="A4356" i="1"/>
  <c r="A4355" i="1"/>
  <c r="A4354" i="1"/>
  <c r="A4353" i="1"/>
  <c r="A4339" i="1"/>
  <c r="A4338" i="1"/>
  <c r="A4328" i="1"/>
  <c r="A4327" i="1"/>
  <c r="A4326" i="1"/>
  <c r="A4337" i="1"/>
  <c r="A4336" i="1"/>
  <c r="A4305" i="1"/>
  <c r="A4246" i="1"/>
  <c r="A4283" i="1"/>
  <c r="A4282" i="1"/>
  <c r="A4281" i="1"/>
  <c r="A4263" i="1"/>
  <c r="A4262" i="1"/>
  <c r="A4261" i="1"/>
  <c r="A4260" i="1"/>
  <c r="A4259" i="1"/>
  <c r="A4245" i="1"/>
  <c r="A4244" i="1"/>
  <c r="A4240" i="1"/>
  <c r="A4227" i="1"/>
  <c r="A4195" i="1"/>
  <c r="A4226" i="1"/>
  <c r="A4194" i="1"/>
  <c r="A4193" i="1"/>
  <c r="A4192" i="1"/>
  <c r="A4176" i="1"/>
  <c r="A4147" i="1"/>
  <c r="A4146" i="1"/>
  <c r="A4145" i="1"/>
  <c r="A4175" i="1"/>
  <c r="A4174" i="1"/>
  <c r="A4163" i="1"/>
  <c r="A4155" i="1"/>
  <c r="A4162" i="1"/>
  <c r="A4161" i="1"/>
  <c r="A4160" i="1"/>
  <c r="A4159" i="1"/>
  <c r="A4158" i="1"/>
  <c r="A4157" i="1"/>
  <c r="A4144" i="1"/>
  <c r="A4143" i="1"/>
  <c r="A4142" i="1"/>
  <c r="A4141" i="1"/>
  <c r="A4140" i="1"/>
  <c r="A4127" i="1"/>
  <c r="A4126" i="1"/>
  <c r="A4125" i="1"/>
  <c r="A4110" i="1"/>
  <c r="A4109" i="1"/>
  <c r="A4108" i="1"/>
  <c r="A4094" i="1"/>
  <c r="A4093" i="1"/>
  <c r="A4092" i="1"/>
  <c r="A1152" i="1"/>
  <c r="A4082" i="1"/>
  <c r="A4081" i="1"/>
  <c r="A4080" i="1"/>
  <c r="A4079" i="1"/>
  <c r="A4067" i="1"/>
  <c r="A4066" i="1"/>
  <c r="A4065" i="1"/>
  <c r="A4064" i="1"/>
  <c r="A4063" i="1"/>
  <c r="A4062" i="1"/>
  <c r="A4061" i="1"/>
  <c r="A4054" i="1"/>
  <c r="A4053" i="1"/>
  <c r="A4052" i="1"/>
  <c r="A4051" i="1"/>
  <c r="A4031" i="1"/>
  <c r="A4030" i="1"/>
  <c r="A4016" i="1"/>
  <c r="A4001" i="1"/>
  <c r="A4000" i="1"/>
  <c r="A3999" i="1"/>
  <c r="A3998" i="1"/>
  <c r="A3997" i="1"/>
  <c r="A3986" i="1"/>
  <c r="A3985" i="1"/>
  <c r="A3984" i="1"/>
  <c r="A3969" i="1"/>
  <c r="A3968" i="1"/>
  <c r="A3948" i="1"/>
  <c r="A3938" i="1"/>
  <c r="A3937" i="1"/>
  <c r="A3916" i="1"/>
  <c r="A3915" i="1"/>
  <c r="A3914" i="1"/>
  <c r="A3871" i="1"/>
  <c r="A3870" i="1"/>
  <c r="A3869" i="1"/>
  <c r="A3868" i="1"/>
  <c r="A3867" i="1"/>
  <c r="A3866" i="1"/>
  <c r="A3848" i="1"/>
  <c r="A3847" i="1"/>
  <c r="A3846" i="1"/>
  <c r="A3845" i="1"/>
  <c r="A3828" i="1"/>
  <c r="A3827" i="1"/>
  <c r="A3817" i="1"/>
  <c r="A3816" i="1"/>
  <c r="A3797" i="1"/>
  <c r="A3796" i="1"/>
  <c r="A3784" i="1"/>
  <c r="A3783" i="1"/>
  <c r="A3782" i="1"/>
  <c r="A3781" i="1"/>
  <c r="A3780" i="1"/>
  <c r="A3766" i="1"/>
  <c r="A3765" i="1"/>
  <c r="A3764" i="1"/>
  <c r="A3763" i="1"/>
  <c r="A3762" i="1"/>
  <c r="A3761" i="1"/>
  <c r="A3760" i="1"/>
  <c r="A3750" i="1"/>
  <c r="A3749" i="1"/>
  <c r="A3748" i="1"/>
  <c r="A3747" i="1"/>
  <c r="A3746" i="1"/>
  <c r="A3745" i="1"/>
  <c r="A3725" i="1"/>
  <c r="A3724" i="1"/>
  <c r="A3723" i="1"/>
  <c r="A3722" i="1"/>
  <c r="A3721" i="1"/>
  <c r="A3720" i="1"/>
  <c r="A3719" i="1"/>
  <c r="A3707" i="1"/>
  <c r="A3706" i="1"/>
  <c r="A3693" i="1"/>
  <c r="A3692" i="1"/>
  <c r="A3691" i="1"/>
  <c r="A3690" i="1"/>
  <c r="A3678" i="1"/>
  <c r="A3677" i="1"/>
  <c r="A3676" i="1"/>
  <c r="A3675" i="1"/>
  <c r="A3674" i="1"/>
  <c r="A3673" i="1"/>
  <c r="A3655" i="1"/>
  <c r="A3654" i="1"/>
  <c r="A3653" i="1"/>
  <c r="A3652" i="1"/>
  <c r="A3643" i="1"/>
  <c r="A3642" i="1"/>
  <c r="A3641" i="1"/>
  <c r="A3640" i="1"/>
  <c r="A3631" i="1"/>
  <c r="A3630" i="1"/>
  <c r="A3629" i="1"/>
  <c r="A3628" i="1"/>
  <c r="A3627" i="1"/>
  <c r="A3626" i="1"/>
  <c r="A3625" i="1"/>
  <c r="A3578" i="1"/>
  <c r="A3577" i="1"/>
  <c r="A3576" i="1"/>
  <c r="A3575" i="1"/>
  <c r="A3560" i="1"/>
  <c r="A3559" i="1"/>
  <c r="A3558" i="1"/>
  <c r="A3557" i="1"/>
  <c r="A3530" i="1"/>
  <c r="A3518" i="1"/>
  <c r="A3517" i="1"/>
  <c r="A3516" i="1"/>
  <c r="A3507" i="1"/>
  <c r="A3506" i="1"/>
  <c r="A3505" i="1"/>
  <c r="A3504" i="1"/>
  <c r="A3503" i="1"/>
  <c r="A3502" i="1"/>
  <c r="A3490" i="1"/>
  <c r="A3489" i="1"/>
  <c r="A3488" i="1"/>
  <c r="A3474" i="1"/>
  <c r="A3473" i="1"/>
  <c r="A3472" i="1"/>
  <c r="A3471" i="1"/>
  <c r="A3470" i="1"/>
  <c r="A3469" i="1"/>
  <c r="A3458" i="1"/>
  <c r="A3457" i="1"/>
  <c r="A3456" i="1"/>
  <c r="A3455" i="1"/>
  <c r="A3438" i="1"/>
  <c r="A3437" i="1"/>
  <c r="A3436" i="1"/>
  <c r="A3435" i="1"/>
  <c r="A3434" i="1"/>
  <c r="A3433" i="1"/>
  <c r="A3432" i="1"/>
  <c r="A3416" i="1"/>
  <c r="A3415" i="1"/>
  <c r="A3414" i="1"/>
  <c r="A3413" i="1"/>
  <c r="A3412" i="1"/>
  <c r="A3411" i="1"/>
  <c r="A3395" i="1"/>
  <c r="A3394" i="1"/>
  <c r="A3393" i="1"/>
  <c r="A3392" i="1"/>
  <c r="A3391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39" i="1"/>
  <c r="A3338" i="1"/>
  <c r="A3337" i="1"/>
  <c r="A3336" i="1"/>
  <c r="A3320" i="1"/>
  <c r="A3319" i="1"/>
  <c r="A3318" i="1"/>
  <c r="A3317" i="1"/>
  <c r="A3305" i="1"/>
  <c r="A3304" i="1"/>
  <c r="A3303" i="1"/>
  <c r="A3302" i="1"/>
  <c r="A3301" i="1"/>
  <c r="A3300" i="1"/>
  <c r="A3292" i="1"/>
  <c r="A3291" i="1"/>
  <c r="A3286" i="1"/>
  <c r="A3268" i="1"/>
  <c r="A3267" i="1"/>
  <c r="A3266" i="1"/>
  <c r="A3265" i="1"/>
  <c r="A3264" i="1"/>
  <c r="A3263" i="1"/>
  <c r="A3262" i="1"/>
  <c r="A3261" i="1"/>
  <c r="A3240" i="1"/>
  <c r="A3239" i="1"/>
  <c r="A3238" i="1"/>
  <c r="A3237" i="1"/>
  <c r="A3236" i="1"/>
  <c r="A3235" i="1"/>
  <c r="A3234" i="1"/>
  <c r="A3217" i="1"/>
  <c r="A3216" i="1"/>
  <c r="A3215" i="1"/>
  <c r="A3202" i="1"/>
  <c r="A3201" i="1"/>
  <c r="A3200" i="1"/>
  <c r="A3199" i="1"/>
  <c r="A3198" i="1"/>
  <c r="A3184" i="1"/>
  <c r="A3183" i="1"/>
  <c r="A3182" i="1"/>
  <c r="A3181" i="1"/>
  <c r="A3180" i="1"/>
  <c r="A3179" i="1"/>
  <c r="A3178" i="1"/>
  <c r="A3170" i="1"/>
  <c r="A3157" i="1"/>
  <c r="A3156" i="1"/>
  <c r="A3137" i="1"/>
  <c r="A3136" i="1"/>
  <c r="A3135" i="1"/>
  <c r="A3134" i="1"/>
  <c r="A3133" i="1"/>
  <c r="A3132" i="1"/>
  <c r="A3131" i="1"/>
  <c r="A3130" i="1"/>
  <c r="A3117" i="1"/>
  <c r="A3116" i="1"/>
  <c r="A3115" i="1"/>
  <c r="A3114" i="1"/>
  <c r="A3113" i="1"/>
  <c r="A3112" i="1"/>
  <c r="A3111" i="1"/>
  <c r="A3098" i="1"/>
  <c r="A3097" i="1"/>
  <c r="A3096" i="1"/>
  <c r="A3095" i="1"/>
  <c r="A3094" i="1"/>
  <c r="A3093" i="1"/>
  <c r="A3086" i="1"/>
  <c r="A3085" i="1"/>
  <c r="A3084" i="1"/>
  <c r="A3083" i="1"/>
  <c r="A3068" i="1"/>
  <c r="A3067" i="1"/>
  <c r="A3066" i="1"/>
  <c r="A3052" i="1"/>
  <c r="A3051" i="1"/>
  <c r="A3050" i="1"/>
  <c r="A3049" i="1"/>
  <c r="A3048" i="1"/>
  <c r="A3047" i="1"/>
  <c r="A3046" i="1"/>
  <c r="A3045" i="1"/>
  <c r="A3035" i="1"/>
  <c r="A3034" i="1"/>
  <c r="A3033" i="1"/>
  <c r="A3032" i="1"/>
  <c r="A3031" i="1"/>
  <c r="A3030" i="1"/>
  <c r="A3029" i="1"/>
  <c r="A3028" i="1"/>
  <c r="A3027" i="1"/>
  <c r="A3026" i="1"/>
  <c r="A3018" i="1"/>
  <c r="A3017" i="1"/>
  <c r="A3016" i="1"/>
  <c r="A3015" i="1"/>
  <c r="A3014" i="1"/>
  <c r="A3013" i="1"/>
  <c r="A3012" i="1"/>
  <c r="A3011" i="1"/>
  <c r="A3009" i="1"/>
  <c r="A3008" i="1"/>
  <c r="A3007" i="1"/>
  <c r="A2999" i="1"/>
  <c r="A2998" i="1"/>
  <c r="A2997" i="1"/>
  <c r="A2991" i="1"/>
  <c r="A2990" i="1"/>
  <c r="A2983" i="1"/>
  <c r="A2982" i="1"/>
  <c r="A2981" i="1"/>
  <c r="A2980" i="1"/>
  <c r="A2979" i="1"/>
  <c r="A2975" i="1"/>
  <c r="A2974" i="1"/>
  <c r="A2972" i="1"/>
  <c r="A2971" i="1"/>
  <c r="A2970" i="1"/>
  <c r="A2969" i="1"/>
  <c r="A2968" i="1"/>
  <c r="A2967" i="1"/>
  <c r="A2966" i="1"/>
  <c r="A2965" i="1"/>
  <c r="A2964" i="1"/>
  <c r="A2963" i="1"/>
  <c r="A2959" i="1"/>
  <c r="A2948" i="1"/>
  <c r="A2947" i="1"/>
  <c r="A2946" i="1"/>
  <c r="A2945" i="1"/>
  <c r="A2944" i="1"/>
  <c r="A2943" i="1"/>
  <c r="A2938" i="1"/>
  <c r="A2937" i="1"/>
  <c r="A2936" i="1"/>
  <c r="A2935" i="1"/>
  <c r="A2934" i="1"/>
  <c r="A2933" i="1"/>
  <c r="A2932" i="1"/>
  <c r="A2900" i="1"/>
  <c r="A2899" i="1"/>
  <c r="A2898" i="1"/>
  <c r="A2897" i="1"/>
  <c r="A2896" i="1"/>
  <c r="A2895" i="1"/>
  <c r="A2894" i="1"/>
  <c r="A2893" i="1"/>
  <c r="A2882" i="1"/>
  <c r="A2881" i="1"/>
  <c r="A2880" i="1"/>
  <c r="A2866" i="1"/>
  <c r="A2865" i="1"/>
  <c r="A2864" i="1"/>
  <c r="A2863" i="1"/>
  <c r="A2858" i="1"/>
  <c r="A2857" i="1"/>
  <c r="A2856" i="1"/>
  <c r="A2855" i="1"/>
  <c r="A2854" i="1"/>
  <c r="A2849" i="1"/>
  <c r="A2841" i="1"/>
  <c r="A2848" i="1"/>
  <c r="A2847" i="1"/>
  <c r="A2823" i="1"/>
  <c r="A2840" i="1"/>
  <c r="A2822" i="1"/>
  <c r="A2821" i="1"/>
  <c r="A2820" i="1"/>
  <c r="A2819" i="1"/>
  <c r="A2808" i="1"/>
  <c r="A2807" i="1"/>
  <c r="A2806" i="1"/>
  <c r="A2805" i="1"/>
  <c r="A2804" i="1"/>
  <c r="A2803" i="1"/>
  <c r="A2802" i="1"/>
  <c r="A2801" i="1"/>
  <c r="A2800" i="1"/>
  <c r="A2780" i="1"/>
  <c r="A2779" i="1"/>
  <c r="A2778" i="1"/>
  <c r="A2777" i="1"/>
  <c r="A2776" i="1"/>
  <c r="A2775" i="1"/>
  <c r="A2774" i="1"/>
  <c r="A2765" i="1"/>
  <c r="A2764" i="1"/>
  <c r="A2763" i="1"/>
  <c r="A2762" i="1"/>
  <c r="A2761" i="1"/>
  <c r="A2748" i="1"/>
  <c r="A2747" i="1"/>
  <c r="A2679" i="1"/>
  <c r="A2678" i="1"/>
  <c r="A2746" i="1"/>
  <c r="A2733" i="1"/>
  <c r="A2732" i="1"/>
  <c r="A2731" i="1"/>
  <c r="A2719" i="1"/>
  <c r="A2718" i="1"/>
  <c r="A2717" i="1"/>
  <c r="A2696" i="1"/>
  <c r="A2695" i="1"/>
  <c r="A2694" i="1"/>
  <c r="A2693" i="1"/>
  <c r="A2692" i="1"/>
  <c r="A2691" i="1"/>
  <c r="A2654" i="1"/>
  <c r="A2653" i="1"/>
  <c r="A2652" i="1"/>
  <c r="A2651" i="1"/>
  <c r="A2650" i="1"/>
  <c r="A2631" i="1"/>
  <c r="A2630" i="1"/>
  <c r="A2612" i="1"/>
  <c r="A2611" i="1"/>
  <c r="A2593" i="1"/>
  <c r="A2592" i="1"/>
  <c r="A2581" i="1"/>
  <c r="A2580" i="1"/>
  <c r="A2579" i="1"/>
  <c r="A2578" i="1"/>
  <c r="A2554" i="1"/>
  <c r="A2553" i="1"/>
  <c r="A2533" i="1"/>
  <c r="A2513" i="1"/>
  <c r="A2499" i="1"/>
  <c r="A2491" i="1"/>
  <c r="A2466" i="1"/>
  <c r="A2452" i="1"/>
  <c r="A2451" i="1"/>
  <c r="A2490" i="1"/>
  <c r="A2450" i="1"/>
  <c r="A2480" i="1"/>
  <c r="A2472" i="1"/>
  <c r="A2465" i="1"/>
  <c r="A2464" i="1"/>
  <c r="A2463" i="1"/>
  <c r="A2449" i="1"/>
  <c r="A2448" i="1"/>
  <c r="A2440" i="1"/>
  <c r="A2430" i="1"/>
  <c r="A2371" i="1"/>
  <c r="A2370" i="1"/>
  <c r="A2369" i="1"/>
  <c r="A2368" i="1"/>
  <c r="A2361" i="1"/>
  <c r="A2360" i="1"/>
  <c r="A2359" i="1"/>
  <c r="A2349" i="1"/>
  <c r="A2348" i="1"/>
  <c r="A2347" i="1"/>
  <c r="A2346" i="1"/>
  <c r="A2345" i="1"/>
  <c r="A2344" i="1"/>
  <c r="A2343" i="1"/>
  <c r="A2334" i="1"/>
  <c r="A2333" i="1"/>
  <c r="A2320" i="1"/>
  <c r="A2319" i="1"/>
  <c r="A2318" i="1"/>
  <c r="A2317" i="1"/>
  <c r="A2286" i="1"/>
  <c r="A2278" i="1"/>
  <c r="A2267" i="1"/>
  <c r="A2260" i="1"/>
  <c r="A2259" i="1"/>
  <c r="A2258" i="1"/>
  <c r="A2257" i="1"/>
  <c r="A2246" i="1"/>
  <c r="A2245" i="1"/>
  <c r="A2244" i="1"/>
  <c r="A2243" i="1"/>
  <c r="A2242" i="1"/>
  <c r="A2241" i="1"/>
  <c r="A2240" i="1"/>
  <c r="A2239" i="1"/>
  <c r="A2231" i="1"/>
  <c r="A2230" i="1"/>
  <c r="A2229" i="1"/>
  <c r="A2228" i="1"/>
  <c r="A2227" i="1"/>
  <c r="A2222" i="1"/>
  <c r="A2221" i="1"/>
  <c r="A2220" i="1"/>
  <c r="A2219" i="1"/>
  <c r="A2213" i="1"/>
  <c r="A2212" i="1"/>
  <c r="A2203" i="1"/>
  <c r="A2202" i="1"/>
  <c r="A2194" i="1"/>
  <c r="A2193" i="1"/>
  <c r="A2191" i="1"/>
  <c r="A2188" i="1"/>
  <c r="A2182" i="1"/>
  <c r="A2181" i="1"/>
  <c r="A2180" i="1"/>
  <c r="A2177" i="1"/>
  <c r="A2176" i="1"/>
  <c r="A2175" i="1"/>
  <c r="A2174" i="1"/>
  <c r="A2173" i="1"/>
  <c r="A2172" i="1"/>
  <c r="A2171" i="1"/>
  <c r="A2167" i="1"/>
  <c r="A2166" i="1"/>
  <c r="A2165" i="1"/>
  <c r="A2146" i="1"/>
  <c r="A2163" i="1"/>
  <c r="A2162" i="1"/>
  <c r="A2157" i="1"/>
  <c r="A2156" i="1"/>
  <c r="A2145" i="1"/>
  <c r="A2155" i="1"/>
  <c r="A2154" i="1"/>
  <c r="A2153" i="1"/>
  <c r="A2152" i="1"/>
  <c r="A2151" i="1"/>
  <c r="A2144" i="1"/>
  <c r="A2143" i="1"/>
  <c r="A2142" i="1"/>
  <c r="A2139" i="1"/>
  <c r="A2138" i="1"/>
  <c r="A2137" i="1"/>
  <c r="A2136" i="1"/>
  <c r="A2135" i="1"/>
  <c r="A2134" i="1"/>
  <c r="A2133" i="1"/>
  <c r="A2132" i="1"/>
  <c r="A2125" i="1"/>
  <c r="A2124" i="1"/>
  <c r="A2123" i="1"/>
  <c r="A2122" i="1"/>
  <c r="A2121" i="1"/>
  <c r="A2038" i="1"/>
  <c r="A2030" i="1"/>
  <c r="A2025" i="1"/>
  <c r="A2024" i="1"/>
  <c r="A2018" i="1"/>
  <c r="A2014" i="1"/>
  <c r="A2013" i="1"/>
  <c r="A2007" i="1"/>
  <c r="A2006" i="1"/>
  <c r="A2005" i="1"/>
  <c r="A2003" i="1"/>
  <c r="A2002" i="1"/>
  <c r="A2001" i="1"/>
  <c r="A2000" i="1"/>
  <c r="A1998" i="1"/>
  <c r="A1997" i="1"/>
  <c r="A1995" i="1"/>
  <c r="A1994" i="1"/>
  <c r="A1991" i="1"/>
  <c r="A1990" i="1"/>
  <c r="A1989" i="1"/>
  <c r="A1986" i="1"/>
  <c r="A1985" i="1"/>
  <c r="A1984" i="1"/>
  <c r="A1983" i="1"/>
  <c r="A1982" i="1"/>
  <c r="A1978" i="1"/>
  <c r="A1977" i="1"/>
  <c r="A1976" i="1"/>
  <c r="A1968" i="1"/>
  <c r="A1964" i="1"/>
  <c r="A1963" i="1"/>
  <c r="A1954" i="1"/>
  <c r="A1953" i="1"/>
  <c r="A1942" i="1"/>
  <c r="A1941" i="1"/>
  <c r="A1940" i="1"/>
  <c r="A1932" i="1"/>
  <c r="A1931" i="1"/>
  <c r="A1930" i="1"/>
  <c r="A1929" i="1"/>
  <c r="A1923" i="1"/>
  <c r="A1922" i="1"/>
  <c r="A1898" i="1"/>
  <c r="A1879" i="1"/>
  <c r="A1865" i="1"/>
  <c r="A1864" i="1"/>
  <c r="A1863" i="1"/>
  <c r="A1842" i="1"/>
  <c r="A1841" i="1"/>
  <c r="A1840" i="1"/>
  <c r="A1839" i="1"/>
  <c r="A1838" i="1"/>
  <c r="A1810" i="1"/>
  <c r="A1791" i="1"/>
  <c r="A1790" i="1"/>
  <c r="A1771" i="1"/>
  <c r="A1770" i="1"/>
  <c r="A1762" i="1"/>
  <c r="A1751" i="1"/>
  <c r="A1750" i="1"/>
  <c r="A1739" i="1"/>
  <c r="A1738" i="1"/>
  <c r="A1737" i="1"/>
  <c r="A1726" i="1"/>
  <c r="A1725" i="1"/>
  <c r="A1724" i="1"/>
  <c r="A1723" i="1"/>
  <c r="A1712" i="1"/>
  <c r="A1711" i="1"/>
  <c r="A1710" i="1"/>
  <c r="A1698" i="1"/>
  <c r="A1697" i="1"/>
  <c r="A1696" i="1"/>
  <c r="A1681" i="1"/>
  <c r="A1680" i="1"/>
  <c r="A1679" i="1"/>
  <c r="A1678" i="1"/>
  <c r="A1677" i="1"/>
  <c r="A1676" i="1"/>
  <c r="A1658" i="1"/>
  <c r="A1657" i="1"/>
  <c r="A1656" i="1"/>
  <c r="A1655" i="1"/>
  <c r="A1654" i="1"/>
  <c r="A1647" i="1"/>
  <c r="A1646" i="1"/>
  <c r="A1645" i="1"/>
  <c r="A1644" i="1"/>
  <c r="A1628" i="1"/>
  <c r="A1622" i="1"/>
  <c r="A1620" i="1"/>
  <c r="A1619" i="1"/>
  <c r="A1617" i="1"/>
  <c r="A1616" i="1"/>
  <c r="A1611" i="1"/>
  <c r="A1608" i="1"/>
  <c r="A1599" i="1"/>
  <c r="A1598" i="1"/>
  <c r="A1593" i="1"/>
  <c r="A1592" i="1"/>
  <c r="A1591" i="1"/>
  <c r="A1590" i="1"/>
  <c r="A1589" i="1"/>
  <c r="A1588" i="1"/>
  <c r="A1582" i="1"/>
  <c r="A1569" i="1"/>
  <c r="A1568" i="1"/>
  <c r="A1567" i="1"/>
  <c r="A1566" i="1"/>
  <c r="A1565" i="1"/>
  <c r="A1564" i="1"/>
  <c r="A1547" i="1"/>
  <c r="A1546" i="1"/>
  <c r="A1545" i="1"/>
  <c r="A1544" i="1"/>
  <c r="A1543" i="1"/>
  <c r="A1542" i="1"/>
  <c r="A1541" i="1"/>
  <c r="A1540" i="1"/>
  <c r="A1539" i="1"/>
  <c r="A1538" i="1"/>
  <c r="A1527" i="1"/>
  <c r="A1526" i="1"/>
  <c r="A1525" i="1"/>
  <c r="A1524" i="1"/>
  <c r="A1523" i="1"/>
  <c r="A1522" i="1"/>
  <c r="A1501" i="1"/>
  <c r="A1500" i="1"/>
  <c r="A1499" i="1"/>
  <c r="A1498" i="1"/>
  <c r="A1497" i="1"/>
  <c r="A1496" i="1"/>
  <c r="A1495" i="1"/>
  <c r="A1483" i="1"/>
  <c r="A1482" i="1"/>
  <c r="A1481" i="1"/>
  <c r="A1480" i="1"/>
  <c r="A1479" i="1"/>
  <c r="A1478" i="1"/>
  <c r="A1457" i="1"/>
  <c r="A1456" i="1"/>
  <c r="A1452" i="1"/>
  <c r="A1437" i="1"/>
  <c r="A1436" i="1"/>
  <c r="A1431" i="1"/>
  <c r="A1425" i="1"/>
  <c r="A1424" i="1"/>
  <c r="A1423" i="1"/>
  <c r="A1417" i="1"/>
  <c r="A1416" i="1"/>
  <c r="A1415" i="1"/>
  <c r="A1414" i="1"/>
  <c r="A1401" i="1"/>
  <c r="A1400" i="1"/>
  <c r="A1399" i="1"/>
  <c r="A1398" i="1"/>
  <c r="A1397" i="1"/>
  <c r="A1396" i="1"/>
  <c r="A1385" i="1"/>
  <c r="A1384" i="1"/>
  <c r="A1383" i="1"/>
  <c r="A1382" i="1"/>
  <c r="A1381" i="1"/>
  <c r="A1380" i="1"/>
  <c r="A1379" i="1"/>
  <c r="A1378" i="1"/>
  <c r="A1377" i="1"/>
  <c r="A1361" i="1"/>
  <c r="A1360" i="1"/>
  <c r="A1359" i="1"/>
  <c r="A1358" i="1"/>
  <c r="A1357" i="1"/>
  <c r="A1344" i="1"/>
  <c r="A1324" i="1"/>
  <c r="A1323" i="1"/>
  <c r="A1322" i="1"/>
  <c r="A1307" i="1"/>
  <c r="A1306" i="1"/>
  <c r="A1305" i="1"/>
  <c r="A1304" i="1"/>
  <c r="A1284" i="1"/>
  <c r="A1283" i="1"/>
  <c r="A1282" i="1"/>
  <c r="A1281" i="1"/>
  <c r="A1280" i="1"/>
  <c r="A1279" i="1"/>
  <c r="A1270" i="1"/>
  <c r="A1269" i="1"/>
  <c r="A1268" i="1"/>
  <c r="A1267" i="1"/>
  <c r="A1255" i="1"/>
  <c r="A1254" i="1"/>
  <c r="A1253" i="1"/>
  <c r="A1252" i="1"/>
  <c r="A1251" i="1"/>
  <c r="A1250" i="1"/>
  <c r="A1249" i="1"/>
  <c r="A1248" i="1"/>
  <c r="A1234" i="1"/>
  <c r="A1233" i="1"/>
  <c r="A1232" i="1"/>
  <c r="A1231" i="1"/>
  <c r="A1230" i="1"/>
  <c r="A1221" i="1"/>
  <c r="A1220" i="1"/>
  <c r="A1219" i="1"/>
  <c r="A1218" i="1"/>
  <c r="A1201" i="1"/>
  <c r="A1200" i="1"/>
  <c r="A1199" i="1"/>
  <c r="A1195" i="1"/>
  <c r="A1194" i="1"/>
  <c r="A1193" i="1"/>
  <c r="A1192" i="1"/>
  <c r="A1191" i="1"/>
  <c r="A1177" i="1"/>
  <c r="A1176" i="1"/>
  <c r="A1175" i="1"/>
  <c r="A1174" i="1"/>
  <c r="A1164" i="1"/>
  <c r="A1151" i="1"/>
  <c r="A1150" i="1"/>
  <c r="A1149" i="1"/>
  <c r="A1148" i="1"/>
  <c r="A1147" i="1"/>
  <c r="A1146" i="1"/>
  <c r="A1133" i="1"/>
  <c r="A1132" i="1"/>
  <c r="A1115" i="1"/>
  <c r="A1114" i="1"/>
  <c r="A1109" i="1"/>
  <c r="A1108" i="1"/>
  <c r="A1107" i="1"/>
  <c r="A1097" i="1"/>
  <c r="A1096" i="1"/>
  <c r="A1088" i="1"/>
  <c r="A1087" i="1"/>
  <c r="A1080" i="1"/>
  <c r="A1079" i="1"/>
  <c r="A1078" i="1"/>
  <c r="A1055" i="1"/>
  <c r="A1054" i="1"/>
  <c r="A1053" i="1"/>
  <c r="A1052" i="1"/>
  <c r="A1051" i="1"/>
  <c r="A1050" i="1"/>
  <c r="A1049" i="1"/>
  <c r="A1048" i="1"/>
  <c r="A1045" i="1"/>
  <c r="A1044" i="1"/>
  <c r="A1043" i="1"/>
  <c r="A1042" i="1"/>
  <c r="A1041" i="1"/>
  <c r="A1040" i="1"/>
  <c r="A1027" i="1"/>
  <c r="A1026" i="1"/>
  <c r="A1025" i="1"/>
  <c r="A1024" i="1"/>
  <c r="A1023" i="1"/>
  <c r="A1022" i="1"/>
  <c r="A1021" i="1"/>
  <c r="A1004" i="1"/>
  <c r="A1003" i="1"/>
  <c r="A1002" i="1"/>
  <c r="A1001" i="1"/>
  <c r="A1000" i="1"/>
  <c r="A999" i="1"/>
  <c r="A998" i="1"/>
  <c r="A989" i="1"/>
  <c r="A988" i="1"/>
  <c r="A986" i="1"/>
  <c r="A985" i="1"/>
  <c r="A984" i="1"/>
  <c r="A983" i="1"/>
  <c r="A961" i="1"/>
  <c r="A960" i="1"/>
  <c r="A959" i="1"/>
  <c r="A958" i="1"/>
  <c r="A957" i="1"/>
  <c r="A956" i="1"/>
  <c r="A955" i="1"/>
  <c r="A954" i="1"/>
  <c r="A953" i="1"/>
  <c r="A937" i="1"/>
  <c r="A936" i="1"/>
  <c r="A935" i="1"/>
  <c r="A934" i="1"/>
  <c r="A933" i="1"/>
  <c r="A932" i="1"/>
  <c r="A931" i="1"/>
  <c r="A930" i="1"/>
  <c r="A929" i="1"/>
  <c r="A928" i="1"/>
  <c r="A914" i="1"/>
  <c r="A913" i="1"/>
  <c r="A912" i="1"/>
  <c r="A911" i="1"/>
  <c r="A910" i="1"/>
  <c r="A909" i="1"/>
  <c r="A908" i="1"/>
  <c r="A907" i="1"/>
  <c r="A906" i="1"/>
  <c r="A897" i="1"/>
  <c r="A896" i="1"/>
  <c r="A895" i="1"/>
  <c r="A894" i="1"/>
  <c r="A893" i="1"/>
  <c r="A892" i="1"/>
  <c r="A891" i="1"/>
  <c r="A890" i="1"/>
  <c r="A887" i="1"/>
  <c r="A886" i="1"/>
  <c r="A873" i="1"/>
  <c r="A885" i="1"/>
  <c r="A872" i="1"/>
  <c r="A871" i="1"/>
  <c r="A870" i="1"/>
  <c r="A869" i="1"/>
  <c r="A856" i="1"/>
  <c r="A855" i="1"/>
  <c r="A854" i="1"/>
  <c r="A853" i="1"/>
  <c r="A852" i="1"/>
  <c r="A851" i="1"/>
  <c r="A850" i="1"/>
  <c r="A849" i="1"/>
  <c r="A834" i="1"/>
  <c r="A833" i="1"/>
  <c r="A832" i="1"/>
  <c r="A831" i="1"/>
  <c r="A830" i="1"/>
  <c r="A829" i="1"/>
  <c r="A815" i="1"/>
  <c r="A814" i="1"/>
  <c r="A813" i="1"/>
  <c r="A812" i="1"/>
  <c r="A811" i="1"/>
  <c r="A810" i="1"/>
  <c r="A809" i="1"/>
  <c r="A808" i="1"/>
  <c r="A802" i="1"/>
  <c r="A801" i="1"/>
  <c r="A800" i="1"/>
  <c r="A799" i="1"/>
  <c r="A798" i="1"/>
  <c r="A797" i="1"/>
  <c r="A796" i="1"/>
  <c r="A795" i="1"/>
  <c r="A786" i="1"/>
  <c r="A785" i="1"/>
  <c r="A784" i="1"/>
  <c r="A777" i="1"/>
  <c r="A760" i="1"/>
  <c r="A751" i="1"/>
  <c r="A750" i="1"/>
  <c r="A749" i="1"/>
  <c r="A748" i="1"/>
  <c r="A747" i="1"/>
  <c r="A746" i="1"/>
  <c r="A743" i="1"/>
  <c r="A736" i="1"/>
  <c r="A735" i="1"/>
  <c r="A742" i="1"/>
  <c r="A734" i="1"/>
  <c r="A733" i="1"/>
  <c r="A728" i="1"/>
  <c r="A727" i="1"/>
  <c r="A726" i="1"/>
  <c r="A725" i="1"/>
  <c r="A724" i="1"/>
  <c r="A723" i="1"/>
  <c r="A722" i="1"/>
  <c r="A721" i="1"/>
  <c r="A720" i="1"/>
  <c r="A711" i="1"/>
  <c r="A710" i="1"/>
  <c r="A698" i="1"/>
  <c r="A697" i="1"/>
  <c r="A696" i="1"/>
  <c r="A695" i="1"/>
  <c r="A678" i="1"/>
  <c r="A677" i="1"/>
  <c r="A676" i="1"/>
  <c r="A675" i="1"/>
  <c r="A674" i="1"/>
  <c r="A664" i="1"/>
  <c r="A663" i="1"/>
  <c r="A649" i="1"/>
  <c r="A640" i="1"/>
  <c r="A648" i="1"/>
  <c r="A639" i="1"/>
  <c r="A638" i="1"/>
  <c r="A637" i="1"/>
  <c r="A636" i="1"/>
  <c r="A635" i="1"/>
  <c r="A623" i="1"/>
  <c r="A622" i="1"/>
  <c r="A621" i="1"/>
  <c r="A620" i="1"/>
  <c r="A619" i="1"/>
  <c r="A616" i="1"/>
  <c r="A615" i="1"/>
  <c r="A605" i="1"/>
  <c r="A604" i="1"/>
  <c r="A603" i="1"/>
  <c r="A593" i="1"/>
  <c r="A583" i="1"/>
  <c r="A582" i="1"/>
  <c r="A592" i="1"/>
  <c r="A581" i="1"/>
  <c r="A580" i="1"/>
  <c r="A579" i="1"/>
  <c r="A578" i="1"/>
  <c r="A577" i="1"/>
  <c r="A561" i="1"/>
  <c r="A560" i="1"/>
  <c r="A549" i="1"/>
  <c r="A548" i="1"/>
  <c r="A547" i="1"/>
  <c r="A534" i="1"/>
  <c r="A533" i="1"/>
  <c r="A532" i="1"/>
  <c r="A531" i="1"/>
  <c r="A530" i="1"/>
  <c r="A512" i="1"/>
  <c r="A511" i="1"/>
  <c r="A496" i="1"/>
  <c r="A495" i="1"/>
  <c r="A494" i="1"/>
  <c r="A493" i="1"/>
  <c r="A479" i="1"/>
  <c r="A476" i="1"/>
  <c r="A424" i="1"/>
  <c r="A459" i="1"/>
  <c r="A458" i="1"/>
  <c r="A457" i="1"/>
  <c r="A456" i="1"/>
  <c r="A440" i="1"/>
  <c r="A439" i="1"/>
  <c r="A438" i="1"/>
  <c r="A437" i="1"/>
  <c r="A423" i="1"/>
  <c r="A422" i="1"/>
  <c r="A421" i="1"/>
  <c r="A420" i="1"/>
  <c r="A419" i="1"/>
  <c r="A418" i="1"/>
  <c r="A417" i="1"/>
  <c r="A416" i="1"/>
  <c r="A398" i="1"/>
  <c r="A397" i="1"/>
  <c r="A396" i="1"/>
  <c r="A395" i="1"/>
  <c r="A394" i="1"/>
  <c r="A393" i="1"/>
  <c r="A392" i="1"/>
  <c r="A391" i="1"/>
  <c r="A390" i="1"/>
  <c r="A389" i="1"/>
  <c r="A388" i="1"/>
  <c r="A373" i="1"/>
  <c r="A372" i="1"/>
  <c r="A371" i="1"/>
  <c r="A370" i="1"/>
  <c r="A369" i="1"/>
  <c r="A368" i="1"/>
  <c r="A367" i="1"/>
  <c r="A359" i="1"/>
  <c r="A345" i="1"/>
  <c r="A344" i="1"/>
  <c r="A343" i="1"/>
  <c r="A342" i="1"/>
  <c r="A341" i="1"/>
  <c r="A340" i="1"/>
  <c r="A339" i="1"/>
  <c r="A338" i="1"/>
  <c r="A337" i="1"/>
  <c r="A321" i="1"/>
  <c r="A320" i="1"/>
  <c r="A319" i="1"/>
  <c r="A318" i="1"/>
  <c r="A317" i="1"/>
  <c r="A316" i="1"/>
  <c r="A315" i="1"/>
  <c r="A314" i="1"/>
  <c r="A302" i="1"/>
  <c r="A301" i="1"/>
  <c r="A300" i="1"/>
  <c r="A299" i="1"/>
  <c r="A298" i="1"/>
  <c r="A297" i="1"/>
  <c r="A296" i="1"/>
  <c r="A295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60" i="1"/>
  <c r="A259" i="1"/>
  <c r="A258" i="1"/>
  <c r="A257" i="1"/>
  <c r="A256" i="1"/>
  <c r="A255" i="1"/>
  <c r="A254" i="1"/>
  <c r="A253" i="1"/>
  <c r="A252" i="1"/>
  <c r="A245" i="1"/>
  <c r="A244" i="1"/>
  <c r="A243" i="1"/>
  <c r="A242" i="1"/>
  <c r="A241" i="1"/>
  <c r="A240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08" i="1"/>
  <c r="A207" i="1"/>
  <c r="A206" i="1"/>
  <c r="A205" i="1"/>
  <c r="A204" i="1"/>
  <c r="A203" i="1"/>
  <c r="A20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5" i="1"/>
  <c r="A174" i="1"/>
  <c r="A173" i="1"/>
  <c r="A172" i="1"/>
  <c r="A171" i="1"/>
  <c r="A170" i="1"/>
  <c r="A169" i="1"/>
  <c r="A168" i="1"/>
  <c r="A167" i="1"/>
  <c r="A166" i="1"/>
  <c r="A155" i="1"/>
  <c r="A154" i="1"/>
  <c r="A153" i="1"/>
  <c r="A152" i="1"/>
  <c r="A151" i="1"/>
  <c r="A150" i="1"/>
  <c r="A149" i="1"/>
  <c r="A148" i="1"/>
  <c r="A147" i="1"/>
  <c r="A146" i="1"/>
  <c r="A132" i="1"/>
  <c r="A131" i="1"/>
  <c r="A130" i="1"/>
  <c r="A129" i="1"/>
  <c r="A128" i="1"/>
  <c r="A127" i="1"/>
  <c r="A116" i="1"/>
  <c r="A115" i="1"/>
  <c r="A114" i="1"/>
  <c r="A113" i="1"/>
  <c r="A112" i="1"/>
  <c r="A111" i="1"/>
  <c r="A110" i="1"/>
  <c r="A109" i="1"/>
  <c r="A105" i="1"/>
  <c r="A104" i="1"/>
  <c r="A103" i="1"/>
  <c r="A102" i="1"/>
  <c r="A101" i="1"/>
  <c r="A100" i="1"/>
  <c r="A99" i="1"/>
  <c r="A98" i="1"/>
  <c r="A97" i="1"/>
  <c r="A91" i="1"/>
  <c r="A90" i="1"/>
  <c r="A89" i="1"/>
  <c r="A88" i="1"/>
  <c r="A87" i="1"/>
  <c r="A86" i="1"/>
  <c r="A85" i="1"/>
  <c r="A84" i="1"/>
  <c r="A83" i="1"/>
  <c r="A78" i="1"/>
  <c r="A77" i="1"/>
  <c r="A76" i="1"/>
  <c r="A75" i="1"/>
  <c r="A74" i="1"/>
  <c r="A73" i="1"/>
  <c r="A72" i="1"/>
  <c r="A71" i="1"/>
  <c r="A70" i="1"/>
  <c r="A69" i="1"/>
  <c r="A68" i="1"/>
  <c r="A58" i="1"/>
  <c r="A57" i="1"/>
  <c r="A56" i="1"/>
  <c r="A55" i="1"/>
  <c r="A54" i="1"/>
  <c r="A53" i="1"/>
  <c r="A52" i="1"/>
  <c r="A27" i="1"/>
  <c r="A26" i="1"/>
  <c r="A25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<sst xmlns="http://schemas.openxmlformats.org/spreadsheetml/2006/main" count="29316" uniqueCount="16838">
  <si>
    <t>DIRECCIÓN</t>
  </si>
  <si>
    <t>COMUNA</t>
  </si>
  <si>
    <t>FECHA EJECUCIÓN</t>
  </si>
  <si>
    <t>COORDENADAS</t>
  </si>
  <si>
    <t>SANTA INES PARCELA 5 CASA 22</t>
  </si>
  <si>
    <t>LAMPA</t>
  </si>
  <si>
    <t>/33.2705001,/70.8352668,17</t>
  </si>
  <si>
    <t>PJE. VOLCAN LONQUIMAY 682</t>
  </si>
  <si>
    <t>PADRE HURTADO</t>
  </si>
  <si>
    <t>/33.575177, /70.812912</t>
  </si>
  <si>
    <t>SAN FRANCISCO DE ASIS A, CONDOMINIO SANTA CARMEN PARCELA 21, SECTOR REINA SUR COLINA</t>
  </si>
  <si>
    <t>COLINA</t>
  </si>
  <si>
    <t>33,1968310, 70,6992060</t>
  </si>
  <si>
    <t>ERCILLA BAJO 1372/4, LAMPA, REGIÓN METROPOLITANA</t>
  </si>
  <si>
    <t>/33.291849, /70.889577</t>
  </si>
  <si>
    <t>TURMALINA #845 VILLA ESMERALDA 3, TALAGANTE</t>
  </si>
  <si>
    <t>TALAGANTE</t>
  </si>
  <si>
    <t>33,671134 70,9404853</t>
  </si>
  <si>
    <t>SANTA TERESA DE TANGO 2291</t>
  </si>
  <si>
    <t>CALERA DE TANGO</t>
  </si>
  <si>
    <t>/33.615711, /70.725301</t>
  </si>
  <si>
    <t>CAMINO LONQUEN NORTE PARADERO 7 Y MEDIO PARCELA 4A COMUNA DE CALERA DE TANGO</t>
  </si>
  <si>
    <t>/33.592971, /70.781004</t>
  </si>
  <si>
    <t>ALFONSO DUVAL CERDA 587, LOS ARTESANOS PEÑAFLOR</t>
  </si>
  <si>
    <t>PEÑAFLOR</t>
  </si>
  <si>
    <t>/33.613851, /70.876064</t>
  </si>
  <si>
    <t>LOS ACACIOS 52 PEÑAFLOR</t>
  </si>
  <si>
    <t>/33.586322, /70.877067</t>
  </si>
  <si>
    <t>ALMIRANTE LA TORRE 849,</t>
  </si>
  <si>
    <t>BUIN</t>
  </si>
  <si>
    <t>/33.738021, /70.744895</t>
  </si>
  <si>
    <t>JUANA CANALES 620 TALAGANTE</t>
  </si>
  <si>
    <t>33,66563°S, 70,92016°O</t>
  </si>
  <si>
    <t>CALLE LOS ESPINOS, PARCELA 103, CONDOMINIO LOMAS DEL PUANGUE, CURACAVÍ</t>
  </si>
  <si>
    <t>CURACAVI</t>
  </si>
  <si>
    <t>/33.391396, /71.169548</t>
  </si>
  <si>
    <t>CAMINO SAN ANTONIO S/N TIL TIL</t>
  </si>
  <si>
    <t>TILTIL</t>
  </si>
  <si>
    <t>/33.074360, /70.918138</t>
  </si>
  <si>
    <t>LOTE 7 PARCELA 21 VIÑA PELVIN</t>
  </si>
  <si>
    <t>/33.590611, /70.919092</t>
  </si>
  <si>
    <t>LUCAS PACHECO 2900</t>
  </si>
  <si>
    <t>33,6422050, 70,9088170</t>
  </si>
  <si>
    <t>MIRAFLORES PARCELA 26</t>
  </si>
  <si>
    <t>/33.327374, /70.843575</t>
  </si>
  <si>
    <t>CAMINO SANTO TORIBIO PARCELA N1 LOS ALAMOS PEÑAFLOR</t>
  </si>
  <si>
    <t>33.629500, 70.912222</t>
  </si>
  <si>
    <t>PA LOS OLMOS 1560, PEÑAFLOR</t>
  </si>
  <si>
    <t>33,59859 70,86576</t>
  </si>
  <si>
    <t>BASTERRRICA 0115</t>
  </si>
  <si>
    <t>/33.6098482, /70.8997706</t>
  </si>
  <si>
    <t>LOS ABEDULES 749</t>
  </si>
  <si>
    <t>/33.606030, /70.876389</t>
  </si>
  <si>
    <t>PALMERAS 35/A PARCELA 7</t>
  </si>
  <si>
    <t>/33.624432, /70.899003</t>
  </si>
  <si>
    <t>RAMON VINAY 1993</t>
  </si>
  <si>
    <t>/33.6009810, /70.8690595</t>
  </si>
  <si>
    <t>CALLEJON GUERRERO 38</t>
  </si>
  <si>
    <t>/33.607046, /70.896987</t>
  </si>
  <si>
    <t>CLAUDIO ARRAU 1606</t>
  </si>
  <si>
    <t>33,60082, 70,86869</t>
  </si>
  <si>
    <t>NAVIDAD 251 MALLOCO</t>
  </si>
  <si>
    <t>/33.606722, /70.851194</t>
  </si>
  <si>
    <t>CERRO RODELILLO 581</t>
  </si>
  <si>
    <t>33,60335, 70,87961</t>
  </si>
  <si>
    <t>STA. LUISA, CHICUREO, COLINA, REGIÓN METROPOLITANA</t>
  </si>
  <si>
    <t>/33.267742, /70.686310</t>
  </si>
  <si>
    <t>VOLCAN DESCABEZADO 1624</t>
  </si>
  <si>
    <t>/33.61219793829961, /70.8784729242325</t>
  </si>
  <si>
    <t>PJE PUYEHUE 830</t>
  </si>
  <si>
    <t>/33.607829, /70.865622</t>
  </si>
  <si>
    <t>CAMPAMENTO CERRO DE LA VIRGEN</t>
  </si>
  <si>
    <t>33.60946, 70.909790</t>
  </si>
  <si>
    <t>RIGOBERTO GROSSE S/N</t>
  </si>
  <si>
    <t>MELIPILLA</t>
  </si>
  <si>
    <t>/33.610060,/71.223907</t>
  </si>
  <si>
    <t>LAS TORCAZAS 50</t>
  </si>
  <si>
    <t>/33.610064,/71.223635</t>
  </si>
  <si>
    <t>DOÑA ISIDORA 1455</t>
  </si>
  <si>
    <t>/33.561006,/70.812456</t>
  </si>
  <si>
    <t>CALLE DE CARRERAS S/N</t>
  </si>
  <si>
    <t>ALHUÉ</t>
  </si>
  <si>
    <t>/34.036995,/71.107063</t>
  </si>
  <si>
    <t>IGNACIO CARRERA PINTO S/N</t>
  </si>
  <si>
    <t>/34.031027,/71.085428</t>
  </si>
  <si>
    <t>CANCHA DE CARRERAS S/N</t>
  </si>
  <si>
    <t>/34.036791,/71.106693</t>
  </si>
  <si>
    <t>EL ASIENTO 18</t>
  </si>
  <si>
    <t>/34.031912,/71.009897</t>
  </si>
  <si>
    <t>EL ASIENTO 5</t>
  </si>
  <si>
    <t>/34.033388,/71.014097</t>
  </si>
  <si>
    <t>EL ASIENTO S/N</t>
  </si>
  <si>
    <t>/34.035026,/71.007452</t>
  </si>
  <si>
    <t>CA. CACIQUE S/N</t>
  </si>
  <si>
    <t>/34.031346,/71.107435</t>
  </si>
  <si>
    <t>EL LLANO 5</t>
  </si>
  <si>
    <t>/34.054015,/71.233962</t>
  </si>
  <si>
    <t>CO LA LINEA 10 S/N</t>
  </si>
  <si>
    <t>/34.045253,/71.218849</t>
  </si>
  <si>
    <t>PASAJE EL SAUCE 178</t>
  </si>
  <si>
    <t>/34.036711,/71.032501</t>
  </si>
  <si>
    <t>CALLE MERCED S/N</t>
  </si>
  <si>
    <t>/34.033439,/71.101547</t>
  </si>
  <si>
    <t>/34.029971,/71.082986</t>
  </si>
  <si>
    <t>MADRID 212</t>
  </si>
  <si>
    <t>/33.613749,/70.893443</t>
  </si>
  <si>
    <t>ILUSION 531</t>
  </si>
  <si>
    <t>/33.604818,/70.890856</t>
  </si>
  <si>
    <t>LA VEGA S/N ST19</t>
  </si>
  <si>
    <t>PAINE</t>
  </si>
  <si>
    <t>/33.815738,/70.649944</t>
  </si>
  <si>
    <t>HUITICALAN 31A</t>
  </si>
  <si>
    <t>/33.866924,/70.858625</t>
  </si>
  <si>
    <t>EL MOLINO 142</t>
  </si>
  <si>
    <t>/34.034556,/71.093130</t>
  </si>
  <si>
    <t>IGNACIO CARRERA PINTO LOTE8</t>
  </si>
  <si>
    <t>/34.032301,/71.101860</t>
  </si>
  <si>
    <t>LA VEGA S/N</t>
  </si>
  <si>
    <t>/33,815639,/70.650453</t>
  </si>
  <si>
    <t>CAMINO LA LINEA S/N PARC. 23</t>
  </si>
  <si>
    <t>/34.045930,/71.232373</t>
  </si>
  <si>
    <t>ARRECIFE1520</t>
  </si>
  <si>
    <t>/33.819362,/70.741069</t>
  </si>
  <si>
    <t>/34.034491,/71.017706</t>
  </si>
  <si>
    <t>/34.030939,/71.078100</t>
  </si>
  <si>
    <t>/34.030817,/71.082795</t>
  </si>
  <si>
    <t>FRANCISCO BILBAO 150 CASA 6</t>
  </si>
  <si>
    <t>/33.600206,/70.873999</t>
  </si>
  <si>
    <t>SECTOR CULIPRAN 39</t>
  </si>
  <si>
    <t>/33.522201,/71.407182</t>
  </si>
  <si>
    <t>CO. A PAINE 4815</t>
  </si>
  <si>
    <t>/33.791296,/70.780506</t>
  </si>
  <si>
    <t>EL ASIENTO 1A</t>
  </si>
  <si>
    <t>/34.035836,/71.016958</t>
  </si>
  <si>
    <t>CO PEDRO CORREA 234 C06</t>
  </si>
  <si>
    <t>/33.613385,/70.886640</t>
  </si>
  <si>
    <t>VEINTIUNO DE MAYO 371/A</t>
  </si>
  <si>
    <t>/34.032374,/71.601430</t>
  </si>
  <si>
    <t>AV. 18 DE SEPTIEMBRE 44</t>
  </si>
  <si>
    <t>/33.804032,/70.710701</t>
  </si>
  <si>
    <t>CHOROMBO BAJO S/N</t>
  </si>
  <si>
    <t>MARIA PINTO</t>
  </si>
  <si>
    <t>/33.541535,/71.215363</t>
  </si>
  <si>
    <t>DIEGO PORTALES S/N LOTE2/176</t>
  </si>
  <si>
    <t>/33,518661,/71.122868</t>
  </si>
  <si>
    <t>SOL DE SEPTIEMBRE 506</t>
  </si>
  <si>
    <t>/33.305638,/70.861457</t>
  </si>
  <si>
    <t>CJ EL COLEGIO S/N</t>
  </si>
  <si>
    <t>/33.54168,/71.215805</t>
  </si>
  <si>
    <t>SECTOR ESCUELA S/N CHOROMBO</t>
  </si>
  <si>
    <t>/33.541597,/71.215749</t>
  </si>
  <si>
    <t>UNION CHILENA 5/30L/B S/N</t>
  </si>
  <si>
    <t>/33.451654,/71.026679</t>
  </si>
  <si>
    <t>CALLE LOS PERALES S/N</t>
  </si>
  <si>
    <t>/34.036394,/71.096768</t>
  </si>
  <si>
    <t>SECTOR EL TRANQUE S/N</t>
  </si>
  <si>
    <t>/34.036412,/71.096554</t>
  </si>
  <si>
    <t>PA. LOS MAITENES 178</t>
  </si>
  <si>
    <t>/33.534978,/70.905247</t>
  </si>
  <si>
    <t>SECTOR CAMINO A PICHI S/N</t>
  </si>
  <si>
    <t>/34.027983,/71.083223</t>
  </si>
  <si>
    <t>MAIPU S/N VILLA ALHUE</t>
  </si>
  <si>
    <t>/34.037942,/71.096605</t>
  </si>
  <si>
    <t>LOS LIBERTADORES 1259</t>
  </si>
  <si>
    <t>EL MONTE</t>
  </si>
  <si>
    <t>/33.650311,/71.051639</t>
  </si>
  <si>
    <t>/34.034781,/71,093074</t>
  </si>
  <si>
    <t>ESMERALDA S/N</t>
  </si>
  <si>
    <t>/34.031640,/71.101260</t>
  </si>
  <si>
    <t>/33.988526,/71.063265</t>
  </si>
  <si>
    <t>EL MOLINO S/N</t>
  </si>
  <si>
    <t>/34.034387,/71.093344</t>
  </si>
  <si>
    <t>ARTURO PRAT 889</t>
  </si>
  <si>
    <t>/33.286249,/70.878741</t>
  </si>
  <si>
    <t>QUILAMUTA S/N</t>
  </si>
  <si>
    <t>/34.068956,/71.269318</t>
  </si>
  <si>
    <t>CINCO DE ABRIL S/N</t>
  </si>
  <si>
    <t>/34.034013/71.102365</t>
  </si>
  <si>
    <t>CJ EL LLANO S/N</t>
  </si>
  <si>
    <t>/34.063435,/71.244264</t>
  </si>
  <si>
    <t>LAS ROSAS S/N</t>
  </si>
  <si>
    <t>/34.037398,/71.104510</t>
  </si>
  <si>
    <t>EL PORVENIR 26C</t>
  </si>
  <si>
    <t>/33.873843,/70.744236</t>
  </si>
  <si>
    <t>CAMCHA DE CARRERAS S/N</t>
  </si>
  <si>
    <t>/34.035424,/71.102598</t>
  </si>
  <si>
    <t>LA CARRETILLA S/N</t>
  </si>
  <si>
    <t>/34.637808,/71.096866</t>
  </si>
  <si>
    <t>/34.034440,/71.1011201</t>
  </si>
  <si>
    <t>IGNACIO CARRERA PINTO LOTE 6</t>
  </si>
  <si>
    <t>/34.027626,/71.084782</t>
  </si>
  <si>
    <t>PA. MARIA SOLEDAD CAMPOS 126</t>
  </si>
  <si>
    <t>/33.674639,/71.206087</t>
  </si>
  <si>
    <t>LOGROÑO 34</t>
  </si>
  <si>
    <t>/33.678157,/71.190990</t>
  </si>
  <si>
    <t>SECTOR BARRANCAS DE PICHI S/N</t>
  </si>
  <si>
    <t>/33.981030,/71.063303</t>
  </si>
  <si>
    <t>PA. CEDRON0361</t>
  </si>
  <si>
    <t>/33.604994,/70.858407</t>
  </si>
  <si>
    <t>CAMINO LA MINA S/N</t>
  </si>
  <si>
    <t>/33.902632,/71,468902</t>
  </si>
  <si>
    <t>/34.034079,/71.008433</t>
  </si>
  <si>
    <t>TALAMI 1</t>
  </si>
  <si>
    <t>/34.034095,/71.008396</t>
  </si>
  <si>
    <t>CALLE LOS AROMOS PARC. 6</t>
  </si>
  <si>
    <t>/33.281322,/70.863308</t>
  </si>
  <si>
    <t>CAMINO INT. PARC 2 VIVIENDA 3 S/N</t>
  </si>
  <si>
    <t>/33.275721,/70.833459</t>
  </si>
  <si>
    <t>CHACABUCO 527</t>
  </si>
  <si>
    <t>/34.034824,/71.094286</t>
  </si>
  <si>
    <t>/34.036882,/71.107281</t>
  </si>
  <si>
    <t>/34.032251,/71.093710</t>
  </si>
  <si>
    <t>PA LOS MAITENES 181</t>
  </si>
  <si>
    <t>/33.534936,/70.905244</t>
  </si>
  <si>
    <t>/34.026396,/70.991301</t>
  </si>
  <si>
    <t>P VOLCAN SAN JOSE N5</t>
  </si>
  <si>
    <t>TIL TIL</t>
  </si>
  <si>
    <t>/33.089009,/70.930022</t>
  </si>
  <si>
    <t>PJE VOLCAN SAN JOSE N7</t>
  </si>
  <si>
    <t>/33.088953,/70.930016</t>
  </si>
  <si>
    <t>PJE VOLCAN SAN JOSE N5</t>
  </si>
  <si>
    <t>/33.089009,/71.930022</t>
  </si>
  <si>
    <t>CALLE EL CIRUELAR S/N CV4</t>
  </si>
  <si>
    <t>/34.033737,/71.090174</t>
  </si>
  <si>
    <t>/34.032099,/71.093581</t>
  </si>
  <si>
    <t>CA CANCHA DE CARRERAS S/N</t>
  </si>
  <si>
    <t>/34.036732,/71.107624</t>
  </si>
  <si>
    <t>PJE. LA ARAUCANIA 301</t>
  </si>
  <si>
    <t>/33.533855,/70.904239</t>
  </si>
  <si>
    <t>CO LA CALERIA SITIO 19</t>
  </si>
  <si>
    <t>/33.539026,/70.903813</t>
  </si>
  <si>
    <t>VEINTIUNO DE MAYO S/N</t>
  </si>
  <si>
    <t>/34.031831,/71.096590</t>
  </si>
  <si>
    <t>LIRAY S/N PARC 18</t>
  </si>
  <si>
    <t>/33.252242,/70.730511</t>
  </si>
  <si>
    <t>VALERIO LOPEZ 044 LINDEROS</t>
  </si>
  <si>
    <t>/33.760478,/70.733479</t>
  </si>
  <si>
    <t>COLONIA KENNEDY 58</t>
  </si>
  <si>
    <t>/33.857413,/70.727051</t>
  </si>
  <si>
    <t>ARRECIFE 1591</t>
  </si>
  <si>
    <t>/33.820188,/70.741507</t>
  </si>
  <si>
    <t>AV. VILUCO6448 SITIO 18</t>
  </si>
  <si>
    <t>/33.777888,/70.759982</t>
  </si>
  <si>
    <t>BARROS ARANA 750 LOTE B1A</t>
  </si>
  <si>
    <t>/33.091304,/70.917864</t>
  </si>
  <si>
    <t>PSJE. PARQUE NACIONAL CUCAO 1507</t>
  </si>
  <si>
    <t>/33.819559,/70.736747</t>
  </si>
  <si>
    <t>LA MEDIA LUNA PARC 207</t>
  </si>
  <si>
    <t>/33.891003,/70.723058</t>
  </si>
  <si>
    <t>/33.632857,71.101923</t>
  </si>
  <si>
    <t>SECTOR PINCHA S/N</t>
  </si>
  <si>
    <t>/34.066368,/71.248844</t>
  </si>
  <si>
    <t>EL ASIENTO 31</t>
  </si>
  <si>
    <t>/34.030791,/71.083743</t>
  </si>
  <si>
    <t>/34.030761,/71.084209</t>
  </si>
  <si>
    <t>STA. ESTER PARC 12</t>
  </si>
  <si>
    <t>/33.222153,/70.708182</t>
  </si>
  <si>
    <t>VECINAL S/N HIJ. 4</t>
  </si>
  <si>
    <t>/33.276575,/70.835092</t>
  </si>
  <si>
    <t>SECTOR ALHUE1</t>
  </si>
  <si>
    <t>/34.031694,/71.108561</t>
  </si>
  <si>
    <t>CINCO DE ABRIL 762</t>
  </si>
  <si>
    <t>/34.032533,/71.095361</t>
  </si>
  <si>
    <t>MANUEL RODRIGUEZ 189 CASA 22</t>
  </si>
  <si>
    <t>/33.277782,/70.886872</t>
  </si>
  <si>
    <t>PORVENIR S/N ST11</t>
  </si>
  <si>
    <t>/34.031217,/71.105198</t>
  </si>
  <si>
    <t>GARIBALBI 1046</t>
  </si>
  <si>
    <t>/33.229648,/70.803949</t>
  </si>
  <si>
    <t>P. CALLEJON LOS PAJARITOS 5/139270</t>
  </si>
  <si>
    <t>/34.029767,/71.081993</t>
  </si>
  <si>
    <t>GARIBALDI M145</t>
  </si>
  <si>
    <t>/33.230513,/70.805856</t>
  </si>
  <si>
    <t>TALAMI S/N</t>
  </si>
  <si>
    <t>/34.035647,/71.007015</t>
  </si>
  <si>
    <t>/34.063012,/71.242425</t>
  </si>
  <si>
    <t>PORVENIR S/N</t>
  </si>
  <si>
    <t>/34.030916,/71.105927</t>
  </si>
  <si>
    <t>CALLE SANTA INES DE MIRAFLORES LT. 87</t>
  </si>
  <si>
    <t>/33,265727,/70,714393</t>
  </si>
  <si>
    <t>/34.053494,/71.233884</t>
  </si>
  <si>
    <t>COND. LAS CAMPIÑAS S/N LOTE 118</t>
  </si>
  <si>
    <t>/33.253989,/70.679294</t>
  </si>
  <si>
    <t>/34.027109,/70.0992500</t>
  </si>
  <si>
    <t>/34.035100,/71.007485</t>
  </si>
  <si>
    <t>/34.031217,/71.006758</t>
  </si>
  <si>
    <t>JORGE ALESSANDRI LT9 N°13</t>
  </si>
  <si>
    <t>/33.854154,/70.758444</t>
  </si>
  <si>
    <t>/34,035100,/71.007485</t>
  </si>
  <si>
    <t>ESCORIAL 15</t>
  </si>
  <si>
    <t>/33.858508,/70.632448</t>
  </si>
  <si>
    <t>SANTA LUCIA 064 A/4</t>
  </si>
  <si>
    <t>/33.888359,/70.915861</t>
  </si>
  <si>
    <t>STA. TERESITA N1</t>
  </si>
  <si>
    <t>/33090884,/70.917697</t>
  </si>
  <si>
    <t>/33,987198,/71.063489</t>
  </si>
  <si>
    <t>/34.028432,/70.997414</t>
  </si>
  <si>
    <t>EL ASIENTO 45</t>
  </si>
  <si>
    <t>/34.030025,/71.007155</t>
  </si>
  <si>
    <t>EL ASIENTO ARRIBA S/N</t>
  </si>
  <si>
    <t>/34.030086,/70.995844</t>
  </si>
  <si>
    <t>VECINAL 4</t>
  </si>
  <si>
    <t>/33.276524,/70.835077</t>
  </si>
  <si>
    <t>PJE LA ARAUCANIA 135</t>
  </si>
  <si>
    <t>/33.534405,/70.904432</t>
  </si>
  <si>
    <t>EL ASIENTO 1</t>
  </si>
  <si>
    <t>/34.030553,/70.592921</t>
  </si>
  <si>
    <t>/334.030291,/70.592734</t>
  </si>
  <si>
    <t>/34.030253,/70.592921</t>
  </si>
  <si>
    <t>SECTOR PICHI S/N</t>
  </si>
  <si>
    <t>/34.005858,/71.042627</t>
  </si>
  <si>
    <t>/33.979236,/71.063128</t>
  </si>
  <si>
    <t>LA LINEA S/N</t>
  </si>
  <si>
    <t>/34.015841,/71.112380</t>
  </si>
  <si>
    <t>/34.037487,/71.095126</t>
  </si>
  <si>
    <t>CO CAMPUSANO 3519</t>
  </si>
  <si>
    <t>/33.784022,/70.817516</t>
  </si>
  <si>
    <t>UNION CAMPUSANO PARC 14</t>
  </si>
  <si>
    <t>/33.784516,/70.814936</t>
  </si>
  <si>
    <t>/34.020048,/71.113820</t>
  </si>
  <si>
    <t>/34,020869,/71.060138</t>
  </si>
  <si>
    <t>CO LA LINEA S/N</t>
  </si>
  <si>
    <t>/34.059857,/71.227076</t>
  </si>
  <si>
    <t>/34.020976,/71.054581</t>
  </si>
  <si>
    <t>/34.035874,/71.101373</t>
  </si>
  <si>
    <t>/34.036871,/71.104606</t>
  </si>
  <si>
    <t>/34.026449,/71.083669</t>
  </si>
  <si>
    <t>/34.013934,/71.050607</t>
  </si>
  <si>
    <t>I. CARRERA PINTO S/N</t>
  </si>
  <si>
    <t>/34.014781,/71.053440</t>
  </si>
  <si>
    <t>LOS COIGUES 1054</t>
  </si>
  <si>
    <t>/33.608769,/70.875446</t>
  </si>
  <si>
    <t>I CARRERA PINTO S/N</t>
  </si>
  <si>
    <t>/34.014751,/71.053440</t>
  </si>
  <si>
    <t>/34.035813,/71.101662</t>
  </si>
  <si>
    <t>IGNACIO CARRERA PINTO PT 139178</t>
  </si>
  <si>
    <t>/34.030557,/71.087477</t>
  </si>
  <si>
    <t>/34.033974,/71.110957</t>
  </si>
  <si>
    <t>CALLE HIJUELA S/N</t>
  </si>
  <si>
    <t>/34.025910,/71.120052</t>
  </si>
  <si>
    <t>PORVENIR 3</t>
  </si>
  <si>
    <t>/34.015727,/71.061763</t>
  </si>
  <si>
    <t>PASAJE SIN NOMBRE S/N</t>
  </si>
  <si>
    <t>/34.014664,/71.052221</t>
  </si>
  <si>
    <t>LAS MERCEDES 2801 CASA 9</t>
  </si>
  <si>
    <t>ISLA DE MAIPO</t>
  </si>
  <si>
    <t>/33.790694,/70.894259</t>
  </si>
  <si>
    <t>LA AGUADA S/N</t>
  </si>
  <si>
    <t>/34.014712,/71.060762</t>
  </si>
  <si>
    <t>CANCHA RAYADA S/N</t>
  </si>
  <si>
    <t>/34.015523,/71.053620</t>
  </si>
  <si>
    <t>PORVENIR 5</t>
  </si>
  <si>
    <t>LOS LIRIOS 3945</t>
  </si>
  <si>
    <t>PIRQUE</t>
  </si>
  <si>
    <t>/33.675798,/70.583246</t>
  </si>
  <si>
    <t>/34.030108,/71.006558</t>
  </si>
  <si>
    <t>LA MEDIA LUNA PARC. 207</t>
  </si>
  <si>
    <t>/33.890794,/70.723044</t>
  </si>
  <si>
    <t>/34.026379,/71.992562</t>
  </si>
  <si>
    <t>/34.027141,/70.992240</t>
  </si>
  <si>
    <t>/34.035553,/71.007118</t>
  </si>
  <si>
    <t>EL ATAJO (LA NORIA)</t>
  </si>
  <si>
    <t>/33.088872,/70.940011</t>
  </si>
  <si>
    <t>SAN MARTIN 085</t>
  </si>
  <si>
    <t>/33.084100,/70.931459</t>
  </si>
  <si>
    <t>CERRO EL PURGATORIO 2198</t>
  </si>
  <si>
    <t>/33.729413,/70.551963</t>
  </si>
  <si>
    <t>EL SAUCE 197 LT H</t>
  </si>
  <si>
    <t>/33.883250,/70.726481</t>
  </si>
  <si>
    <t>/34.033466,/71.110138</t>
  </si>
  <si>
    <t>CINCO DE ABRIL 817</t>
  </si>
  <si>
    <t>/34.031986,/71.094618</t>
  </si>
  <si>
    <t>SAN MANUEL S/N</t>
  </si>
  <si>
    <t>/33.770135,/71.254451</t>
  </si>
  <si>
    <t>CO LA LINEA 5/140831/A</t>
  </si>
  <si>
    <t>/34.049853,/71.235019</t>
  </si>
  <si>
    <t>MANDINGA 1 LT 8</t>
  </si>
  <si>
    <t>/33.788884,/71.282594</t>
  </si>
  <si>
    <t>DOS ORIENTE 410</t>
  </si>
  <si>
    <t>/33.143545,/70.796510</t>
  </si>
  <si>
    <t>BRASIL 090</t>
  </si>
  <si>
    <t>/33.081534,/70.929335</t>
  </si>
  <si>
    <t>JUAN BAUTISTA 114</t>
  </si>
  <si>
    <t>/33.404051,/71.125113</t>
  </si>
  <si>
    <t>/34.031723,/71.093043</t>
  </si>
  <si>
    <t>/33.983962,/71.070465</t>
  </si>
  <si>
    <t>LOS AROMOS 227</t>
  </si>
  <si>
    <t>/33.856454,/70.754710</t>
  </si>
  <si>
    <t>SIN CALLE S/N KENNEDY SECTOR 3 PARC 143</t>
  </si>
  <si>
    <t>/33.872132,/70.733039</t>
  </si>
  <si>
    <t>CI UNION NORTE PRC 135</t>
  </si>
  <si>
    <t>/33.858716,/70.742670</t>
  </si>
  <si>
    <t>/34.036601,/71.099984</t>
  </si>
  <si>
    <t>SECTOR BARRANCA DE PICHI S/N</t>
  </si>
  <si>
    <t>/33.984292,/71.063328</t>
  </si>
  <si>
    <t>ESMERALDA 576</t>
  </si>
  <si>
    <t>/34.036531,/71.099988</t>
  </si>
  <si>
    <t>/34.028230,/71.087509</t>
  </si>
  <si>
    <t>/34.050496,/71.235229</t>
  </si>
  <si>
    <t>SECTOR EL ZANJON S/N</t>
  </si>
  <si>
    <t>/34.035518,/71.095917</t>
  </si>
  <si>
    <t>CO. LA LINEA</t>
  </si>
  <si>
    <t>/34.049615,/71.234999</t>
  </si>
  <si>
    <t>LAS CORTADERAS LOTE 2695</t>
  </si>
  <si>
    <t>/33.026065,/70.980832</t>
  </si>
  <si>
    <t>PA. DOMADURA 0848</t>
  </si>
  <si>
    <t>/33.410912,/71130497</t>
  </si>
  <si>
    <t>P. VOLCAN SAN PEDRO #13</t>
  </si>
  <si>
    <t>/33.088575,/70.930680</t>
  </si>
  <si>
    <t>16 AGOSTO S/N</t>
  </si>
  <si>
    <t>/34.020007,/71.054143</t>
  </si>
  <si>
    <t>CAMINO PICHI</t>
  </si>
  <si>
    <t>/34.013356,/71.050324</t>
  </si>
  <si>
    <t>/34.81023,/71.042041</t>
  </si>
  <si>
    <t>/34.020435,/71.042283</t>
  </si>
  <si>
    <t>/34.029252,/71.080876</t>
  </si>
  <si>
    <t>CASA DE PIEDRA 13</t>
  </si>
  <si>
    <t>/33.120510,/70.384621</t>
  </si>
  <si>
    <t>VICTORIA S/N</t>
  </si>
  <si>
    <t>/34.033955,/71.103796</t>
  </si>
  <si>
    <t>PORVENIR 2</t>
  </si>
  <si>
    <t>/34.030612,/71.106644</t>
  </si>
  <si>
    <t>CALLE MEDIA LUNA 176 1B</t>
  </si>
  <si>
    <t>/33.890263,/70.722808</t>
  </si>
  <si>
    <t>LOMAS DEL AGUILA PARC2</t>
  </si>
  <si>
    <t>/33.858000,/70.792988</t>
  </si>
  <si>
    <t>/34.035579,/71.104550</t>
  </si>
  <si>
    <t>SECTOR CAMINO EL LLANO S/N</t>
  </si>
  <si>
    <t>/34.063209,/71.238774</t>
  </si>
  <si>
    <t>/34.029007,/71.089855</t>
  </si>
  <si>
    <t>S. CAMINO ASIENTO S/N</t>
  </si>
  <si>
    <t>/34.013090,/71.055136</t>
  </si>
  <si>
    <t>STA. CAROLINA PARC. 32 CASA 17</t>
  </si>
  <si>
    <t>/33.225289,/70.786555</t>
  </si>
  <si>
    <t>I.C. PINTO S/N</t>
  </si>
  <si>
    <t>/34.020531,/71.041125</t>
  </si>
  <si>
    <t>EL ATAJO S/N</t>
  </si>
  <si>
    <t>/33.088271,/70.938170</t>
  </si>
  <si>
    <t>EL ATAJO S/N SITIO UNO</t>
  </si>
  <si>
    <t>/33.088647,/70.939768</t>
  </si>
  <si>
    <t>CHORRILLOS S/N</t>
  </si>
  <si>
    <t>/34.021489,/71.053595</t>
  </si>
  <si>
    <t>AV. SERVIDUMBRE PARC 4 SECTOR J</t>
  </si>
  <si>
    <t>/33.190864,/70.815612</t>
  </si>
  <si>
    <t>ASIENTO S/N</t>
  </si>
  <si>
    <t>/34.013173,/71.055394</t>
  </si>
  <si>
    <t>B. PICHI S/N</t>
  </si>
  <si>
    <t>/34.072802,/71.112772</t>
  </si>
  <si>
    <t>/34.032298,/71.009842</t>
  </si>
  <si>
    <t>/34.033377,/71.015523</t>
  </si>
  <si>
    <t>CAM. INT. 21</t>
  </si>
  <si>
    <t>/33142291,/70.410708</t>
  </si>
  <si>
    <t>/34.031261,/71.006726</t>
  </si>
  <si>
    <t>LOS ROBLES 548</t>
  </si>
  <si>
    <t>/34.035280,/71.094057</t>
  </si>
  <si>
    <t>CO LA LINEA  S/N</t>
  </si>
  <si>
    <t>/34.048056,/71.228786</t>
  </si>
  <si>
    <t>PASAJE TOKIO 1024</t>
  </si>
  <si>
    <t>/33.606616,/70.866711</t>
  </si>
  <si>
    <t>OJOS DEL SALADO 664</t>
  </si>
  <si>
    <t>/33.655490,/70.910749</t>
  </si>
  <si>
    <t>CAMINO LA LINEA</t>
  </si>
  <si>
    <t>/34.042710,/71.224885</t>
  </si>
  <si>
    <t>EL PIMIENTO S/N</t>
  </si>
  <si>
    <t>/33,573325,/70.980328</t>
  </si>
  <si>
    <t>LA CARRERA MALLARAUCO</t>
  </si>
  <si>
    <t>/33.605021,/71.108634</t>
  </si>
  <si>
    <t>/34.020435,/71.054001</t>
  </si>
  <si>
    <t>CANCHA CHORRILLOS S/N CV1</t>
  </si>
  <si>
    <t>/34.035002,/71.092985</t>
  </si>
  <si>
    <t>SECTOR HIJUELA DE PICHI S/N</t>
  </si>
  <si>
    <t>/34.069406,/71.268980</t>
  </si>
  <si>
    <t>CANCHA RAYADA S/N CV3</t>
  </si>
  <si>
    <t>/34.035988,/71.092347</t>
  </si>
  <si>
    <t>/33.991746,/71.064490</t>
  </si>
  <si>
    <t>HIJUELAS DE PINCHA 3</t>
  </si>
  <si>
    <t>/34.068687,/71.267471</t>
  </si>
  <si>
    <t>CO AGUILA SUR 32</t>
  </si>
  <si>
    <t>/33.904369,/70.751273</t>
  </si>
  <si>
    <t>ALFONSO LETELIER 153</t>
  </si>
  <si>
    <t>/33.818946,/70.741913</t>
  </si>
  <si>
    <t>HIJUELAS DE PINCHA</t>
  </si>
  <si>
    <t>/34.073452,/71.268492</t>
  </si>
  <si>
    <t>LONCHA PARC 4</t>
  </si>
  <si>
    <t>/34,064880,/71.245007</t>
  </si>
  <si>
    <t>CHORRILLOS 43</t>
  </si>
  <si>
    <t>/34.015915,/71.053587</t>
  </si>
  <si>
    <t>FRESIA 97</t>
  </si>
  <si>
    <t>/33.609018,/70.854317</t>
  </si>
  <si>
    <t>LOS COPIUES 1078</t>
  </si>
  <si>
    <t>/33.608852,/70.875540</t>
  </si>
  <si>
    <t>LUIS CHACON SILVA 0237</t>
  </si>
  <si>
    <t>/33.725335,/70.735132</t>
  </si>
  <si>
    <t>PINTOR PABLO BAURCHARD</t>
  </si>
  <si>
    <t>/33.590410,/70.807107</t>
  </si>
  <si>
    <t>SAN IGNACIO 412 MAIPO</t>
  </si>
  <si>
    <t>/33.735680,/70.781192</t>
  </si>
  <si>
    <t>LOS ESPINOS PARC 38</t>
  </si>
  <si>
    <t>/33.280337,/70.797890</t>
  </si>
  <si>
    <t>CAMINO EL CERRILLO PARC 22B</t>
  </si>
  <si>
    <t>/33.770038,/70.730757</t>
  </si>
  <si>
    <t>CALLEJON STA. EUGENIA S/N PP ALGARROBO ST6</t>
  </si>
  <si>
    <t>/33.792882,/70.738563</t>
  </si>
  <si>
    <t>BALMACEDA 1712</t>
  </si>
  <si>
    <t>/33.615941,/70.861612</t>
  </si>
  <si>
    <t>P.INT. P/9 S/N POSTE 272913</t>
  </si>
  <si>
    <t>/33.682878,/70.935861</t>
  </si>
  <si>
    <t>ALBERTO FIGUEROA 876</t>
  </si>
  <si>
    <t>/33.825289,/70.733345</t>
  </si>
  <si>
    <t>CAMINO INTERIOR 0301</t>
  </si>
  <si>
    <t>SAN JOSE DE MAIPO</t>
  </si>
  <si>
    <t>/33.586855,/70.406672</t>
  </si>
  <si>
    <t>CO TALAGANTE PAINE 4041</t>
  </si>
  <si>
    <t>/33.792471,/70.779595</t>
  </si>
  <si>
    <t>CAMINO MAIPO VILUCO 404</t>
  </si>
  <si>
    <t>/33.793196,/7800006</t>
  </si>
  <si>
    <t>LA VENDIMIA 1100</t>
  </si>
  <si>
    <t>/33.238602,/70.678281</t>
  </si>
  <si>
    <t>/33.023870,/71.082353</t>
  </si>
  <si>
    <t>EL ARADO 01478</t>
  </si>
  <si>
    <t>/33.713916,/70.738531</t>
  </si>
  <si>
    <t>MANUEL RODRIGUEZ 11</t>
  </si>
  <si>
    <t>/33.084789,/70.297623</t>
  </si>
  <si>
    <t>VILLASECA 230</t>
  </si>
  <si>
    <t>/33.743706/70.740305</t>
  </si>
  <si>
    <t>SYLVITACHAMORRO@YAHOO.COM</t>
  </si>
  <si>
    <t>/33.847856,/70.759360</t>
  </si>
  <si>
    <t>SANTA CAROLINAPARC 32 CASA 88</t>
  </si>
  <si>
    <t>/33.223504,/70.786781</t>
  </si>
  <si>
    <t>BELLAVISTA 12</t>
  </si>
  <si>
    <t>/33.734696,/70.784639</t>
  </si>
  <si>
    <t>LOS TALHUENES LOTE5</t>
  </si>
  <si>
    <t>/33.023017,/70.971959</t>
  </si>
  <si>
    <t>CAMINO TALAGANTE EL MONTE 535</t>
  </si>
  <si>
    <t>/33.679721,/70.958168</t>
  </si>
  <si>
    <t>CAMPUSANO 3519</t>
  </si>
  <si>
    <t>/33.784202,/70.817702</t>
  </si>
  <si>
    <t>PC RIEGO LT4B</t>
  </si>
  <si>
    <t>/34.048848./71.224961</t>
  </si>
  <si>
    <t>LA UNION DE CODIGUA PARC 40A</t>
  </si>
  <si>
    <t>/34.832206,/71.389677</t>
  </si>
  <si>
    <t>IGNACIO CARRERA PINTO P5</t>
  </si>
  <si>
    <t>/34.028195,/71.084323</t>
  </si>
  <si>
    <t>CO. INTERIOR 0306/35</t>
  </si>
  <si>
    <t>/33.587141,/70.404293</t>
  </si>
  <si>
    <t>SANTA BERTA 272</t>
  </si>
  <si>
    <t>/33.666190,/70.924400</t>
  </si>
  <si>
    <t>FUNDO DON ENRIQUE S/N</t>
  </si>
  <si>
    <t>/33.572823,/71.011383</t>
  </si>
  <si>
    <t>UNO ORIENTE 745</t>
  </si>
  <si>
    <t>/33.605257,/70.878441</t>
  </si>
  <si>
    <t>LA ESCUELA PARCELA 13</t>
  </si>
  <si>
    <t>/33.720332,/70.548074</t>
  </si>
  <si>
    <t>CAMINO EL VOLCAN 3456</t>
  </si>
  <si>
    <t>/33.585449,/70.466424</t>
  </si>
  <si>
    <t>LAS PATAGUAS PARC. 13</t>
  </si>
  <si>
    <t>/33.811086,/70.838340</t>
  </si>
  <si>
    <t>CAMP. SOL DE SEPTIEMBRE C/80</t>
  </si>
  <si>
    <t>/33.305641,/70.859239</t>
  </si>
  <si>
    <t>SECTOR EL ESFUERZO DE CODIGUA S/N</t>
  </si>
  <si>
    <t>/33.761497,/71.315148</t>
  </si>
  <si>
    <t>CALLE LAS MERCEDES</t>
  </si>
  <si>
    <t>/33.49634,/71.203008</t>
  </si>
  <si>
    <t>/34.031955,/71.010443</t>
  </si>
  <si>
    <t>IGNACIO CARRERA PINTO ST 4A</t>
  </si>
  <si>
    <t>/34.028386,/71.087045</t>
  </si>
  <si>
    <t>/34.028638,/71.087045</t>
  </si>
  <si>
    <t>CO PADRE HURTADO SITIO 5B</t>
  </si>
  <si>
    <t>/33.863484,/70.638498</t>
  </si>
  <si>
    <t>SAN MARTIN S/N</t>
  </si>
  <si>
    <t>/33.770366,/71.253985</t>
  </si>
  <si>
    <t>/33.585449,/70.465424</t>
  </si>
  <si>
    <t>PADRE JOSE VAN DER REST 809</t>
  </si>
  <si>
    <t>/33.562981,/70.795269</t>
  </si>
  <si>
    <t>IGNACIO CARRERA P/T 139178</t>
  </si>
  <si>
    <t>/34.810033,/71.042031</t>
  </si>
  <si>
    <t>IGNACIO CARRERA S/N</t>
  </si>
  <si>
    <t>/34.027922,/71.087187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</si>
  <si>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</si>
  <si>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/34.032923,/71.098795</t>
  </si>
  <si>
    <t>21 DE MAYO S/N VILLA ALHUE</t>
  </si>
  <si>
    <t>/34.032522,/71.108979</t>
  </si>
  <si>
    <t>CHOROMBO PARCELA 55B</t>
  </si>
  <si>
    <t>/33.533265,/71.235146</t>
  </si>
  <si>
    <t>ROSARIO PARC. 9</t>
  </si>
  <si>
    <t>/33.505445,/71.149639</t>
  </si>
  <si>
    <t>/34.048377,/71.234580</t>
  </si>
  <si>
    <t>EL ASIENTO S/N LOTE H</t>
  </si>
  <si>
    <t>/34.031252,/71.012351</t>
  </si>
  <si>
    <t>VEINTIUNO DE MAYO 717</t>
  </si>
  <si>
    <t>/34.030941,/71.096303</t>
  </si>
  <si>
    <t>/34.047282,/71.235553</t>
  </si>
  <si>
    <t>CALLE LA LINEA S/N</t>
  </si>
  <si>
    <t>NINHUE BAJO S/N</t>
  </si>
  <si>
    <t>SAN PEDRO</t>
  </si>
  <si>
    <t>/33.947002,/71.521021</t>
  </si>
  <si>
    <t>NIHUE BAJO S/N</t>
  </si>
  <si>
    <t>/33.944340,/71.527597</t>
  </si>
  <si>
    <t>EL PRADO S/N</t>
  </si>
  <si>
    <t>/33.918063,/71.506769</t>
  </si>
  <si>
    <t>/33.657757,/70.929504</t>
  </si>
  <si>
    <t>VICUÑA MACKENNA 668</t>
  </si>
  <si>
    <t>/33.610479,/70.865162</t>
  </si>
  <si>
    <t>HIJUELA A PICHI SITIO 11</t>
  </si>
  <si>
    <t>/34.023718,/71.083746</t>
  </si>
  <si>
    <t>CAMINI PUBLICO 13 SAN MANUEL</t>
  </si>
  <si>
    <t>/33.770050,/71.264590</t>
  </si>
  <si>
    <t>EL PIRCA SITIO 3</t>
  </si>
  <si>
    <t>/33.755802,/71.298473</t>
  </si>
  <si>
    <t>/34.026360,/71.084248</t>
  </si>
  <si>
    <t>CALLE LA LILA 35</t>
  </si>
  <si>
    <t>/33.756845,/71.325254</t>
  </si>
  <si>
    <t>CAMINO INTERIOR 137 PARC9</t>
  </si>
  <si>
    <t>/33.692957,/70.856463</t>
  </si>
  <si>
    <t>6.579.547/7</t>
  </si>
  <si>
    <t>/33.769713,/71.264845</t>
  </si>
  <si>
    <t>/33.769655,/71.264443</t>
  </si>
  <si>
    <t>/34.034229,/71.096042</t>
  </si>
  <si>
    <t>21 DE MAYO S/N LA PUNTILLA</t>
  </si>
  <si>
    <t>/34.033381,/71.110856</t>
  </si>
  <si>
    <t>/33.767495,/71.270153</t>
  </si>
  <si>
    <t>COLO. AGUILA LOTE II LL S/N</t>
  </si>
  <si>
    <t>/33.423288,/71.149017</t>
  </si>
  <si>
    <t>CINCO DE ABRIL S/N CV3 SITIO 2</t>
  </si>
  <si>
    <t>/34.033883,/71.101313</t>
  </si>
  <si>
    <t>CAMINO CODIGUA 5320</t>
  </si>
  <si>
    <t>/33.763721,/71.301475</t>
  </si>
  <si>
    <t>CA VEINTIUNO DE MAYO 705</t>
  </si>
  <si>
    <t>/34.030749,/71.096844</t>
  </si>
  <si>
    <t>SECTOR EL ALMENDRO 6574</t>
  </si>
  <si>
    <t>/33.580635,/71.224972</t>
  </si>
  <si>
    <t>CAMINO INT PARC. 9</t>
  </si>
  <si>
    <t>/33.693028,/70.856663</t>
  </si>
  <si>
    <t>VEINTIUNO DE MAYO S/N CV7</t>
  </si>
  <si>
    <t>/34.031242,/71.098011</t>
  </si>
  <si>
    <t>/34.037730,/71.093141</t>
  </si>
  <si>
    <t>GENERAL BAQUEDANO 1448</t>
  </si>
  <si>
    <t>/33.822353,/70.744195</t>
  </si>
  <si>
    <t>LAS MAJADAS E2</t>
  </si>
  <si>
    <t>/33.638764,/70.526784</t>
  </si>
  <si>
    <t>/34.029766,/71.084280</t>
  </si>
  <si>
    <t>VEINTIUNO DE MAYO S/N LA PUNTILLA</t>
  </si>
  <si>
    <t>/34.033806,/71.110660</t>
  </si>
  <si>
    <t>GABRIEL SILVA 475</t>
  </si>
  <si>
    <t>/33.677216,/71.205005</t>
  </si>
  <si>
    <t>CAMINO A BOLLENAR S/N</t>
  </si>
  <si>
    <t>/33.596871,/71.219268</t>
  </si>
  <si>
    <t>EL MANZANO11</t>
  </si>
  <si>
    <t>/73.922273,/71.519883</t>
  </si>
  <si>
    <t>SANTA ROSA S/N</t>
  </si>
  <si>
    <t>/33.267876,/70.771091</t>
  </si>
  <si>
    <t>MANUEL VALENZUELA DEL FIERRO 1893</t>
  </si>
  <si>
    <t>/33.601735,/70.869875</t>
  </si>
  <si>
    <t>IGNACIO CARRERA PINTO CV33</t>
  </si>
  <si>
    <t>/34.028578,/71.087027</t>
  </si>
  <si>
    <t>ADOLFO LARRAIN VALDIVIESO 550</t>
  </si>
  <si>
    <t>/33.683578,/71.236386</t>
  </si>
  <si>
    <t>ARTURO PRAT 058</t>
  </si>
  <si>
    <t>/33.812104,/70.859367</t>
  </si>
  <si>
    <t>VEINTIUNO DE MAYO 717/P/P</t>
  </si>
  <si>
    <t>/34.030938,/71.096475</t>
  </si>
  <si>
    <t>BATALLA SAN JUAN LOTE A/3</t>
  </si>
  <si>
    <t>/33.455903,/71.027493</t>
  </si>
  <si>
    <t>SANTA ELENA SUR 9114</t>
  </si>
  <si>
    <t>/33.224777,/70.720188</t>
  </si>
  <si>
    <t>CO AL VOLCAN 33520</t>
  </si>
  <si>
    <t>/33.750501,/70.277960</t>
  </si>
  <si>
    <t>EL MANZANO 11</t>
  </si>
  <si>
    <t>POBL. IGNACIO CARRERA PINTO S/N</t>
  </si>
  <si>
    <t>/34.028313,/71.087280</t>
  </si>
  <si>
    <t>LA RED S/N CV2</t>
  </si>
  <si>
    <t>/33.687246,/71.022119</t>
  </si>
  <si>
    <t>/33.983747,/71.066350</t>
  </si>
  <si>
    <t>2 ORIENTE S/N HIT7 PARC 14</t>
  </si>
  <si>
    <t>/33.139965,/70.799634</t>
  </si>
  <si>
    <t>LOS ARANDANOS 1387</t>
  </si>
  <si>
    <t>/33.203178,/70691675</t>
  </si>
  <si>
    <t>SECTOR HIJUELA S. MIGUEL S/N PC13 ML</t>
  </si>
  <si>
    <t>/33.769551,/71.264147</t>
  </si>
  <si>
    <t>COLO AGUILA LOTE 11 S/N</t>
  </si>
  <si>
    <t>/33.423052,/71.149088</t>
  </si>
  <si>
    <t>CAMINO LOS TULIPANES 1574</t>
  </si>
  <si>
    <t>/33.297338,/70.872970</t>
  </si>
  <si>
    <t>/33.143532,/70.796606</t>
  </si>
  <si>
    <t>CRISTIAN.OYARCE.V@GMAIL.COM</t>
  </si>
  <si>
    <t>/33.731751,/70.779017</t>
  </si>
  <si>
    <t>ISABEL LA CATOLICA 260</t>
  </si>
  <si>
    <t>/33.603977,/70.859354</t>
  </si>
  <si>
    <t>CO AL VOLCAN 26840</t>
  </si>
  <si>
    <t>/33.690088,/70.335421</t>
  </si>
  <si>
    <t>SANTA EMILIA 18</t>
  </si>
  <si>
    <t>/33.471322,/71.108423</t>
  </si>
  <si>
    <t>/33.423414,/71.149403</t>
  </si>
  <si>
    <t>/33.034552,/71.095989</t>
  </si>
  <si>
    <t>/33.769818,/71.264048</t>
  </si>
  <si>
    <t>LO AGUILA S/N</t>
  </si>
  <si>
    <t>/33.423580,/71.149088</t>
  </si>
  <si>
    <t>STA. GEMITA 3B</t>
  </si>
  <si>
    <t>/33.246643,/70.699447</t>
  </si>
  <si>
    <t>LOS ARENALES S/N ST 21</t>
  </si>
  <si>
    <t>/33.883503,/70.880269</t>
  </si>
  <si>
    <t>EL ZANJON S/N</t>
  </si>
  <si>
    <t>/34.034672,/71.095465</t>
  </si>
  <si>
    <t>VEINTIUNO DE MAYO S/N CV53</t>
  </si>
  <si>
    <t>/34.033347,/71.110366</t>
  </si>
  <si>
    <t>/33.471574,/71.108265</t>
  </si>
  <si>
    <t>LAS ACASIAS PARC 16</t>
  </si>
  <si>
    <t>/33.664302,/70.583223</t>
  </si>
  <si>
    <t>LAS ACACIAS PARC 16</t>
  </si>
  <si>
    <t>/33.664302./70.583223</t>
  </si>
  <si>
    <t>ORILLA DEL RIO PARD 4 1/2</t>
  </si>
  <si>
    <t>HARAS DE PIRQUE S/N PARC C9</t>
  </si>
  <si>
    <t>/33.708001,/70.611864</t>
  </si>
  <si>
    <t>CAM PRINCIPAL 25 C</t>
  </si>
  <si>
    <t>/33.705177,/70.564804</t>
  </si>
  <si>
    <t>EDUARDO ANGUIT 1974</t>
  </si>
  <si>
    <t>/33.182268,/70.670483</t>
  </si>
  <si>
    <t>LA LINEA</t>
  </si>
  <si>
    <t>/34.0384246,/71.2248738</t>
  </si>
  <si>
    <t>COSTANERA PONIENTE 1052</t>
  </si>
  <si>
    <t>/33.217688,/70.6799001</t>
  </si>
  <si>
    <t>LAS ACACIAS PARC 11</t>
  </si>
  <si>
    <t>/33.664564,/70.582815</t>
  </si>
  <si>
    <t>CASA DE PIEDRA 276</t>
  </si>
  <si>
    <t>/33.200675,/70.647133</t>
  </si>
  <si>
    <t>RIO ÑUBLE 1405</t>
  </si>
  <si>
    <t>/33.577005,/70.804249</t>
  </si>
  <si>
    <t>DEL ESTERO SUR 1182</t>
  </si>
  <si>
    <t>/33.218445,/70.679863</t>
  </si>
  <si>
    <t>/33.710848,/70.545677</t>
  </si>
  <si>
    <t>SAN MIGUEL S/N</t>
  </si>
  <si>
    <t>/33.672172,/70.970115</t>
  </si>
  <si>
    <t>PASAJE VEINTIDOS 654</t>
  </si>
  <si>
    <t>/33.198623,/70.673421</t>
  </si>
  <si>
    <t>LOS MAITENES S/N</t>
  </si>
  <si>
    <t>/34.0405099,/71.2268862</t>
  </si>
  <si>
    <t>/34.041023,/71.228144</t>
  </si>
  <si>
    <t>LOS CARRERA</t>
  </si>
  <si>
    <t>/34.0441166,/71.2255343</t>
  </si>
  <si>
    <t>LAS AMERICAS</t>
  </si>
  <si>
    <t>/33.689193,/71.036270</t>
  </si>
  <si>
    <t>ESTERO SECO 2104</t>
  </si>
  <si>
    <t>/33.577044,/70.804147</t>
  </si>
  <si>
    <t>LARRAIN VALDIVIEZO 327</t>
  </si>
  <si>
    <t>/33.680246,/71.234316</t>
  </si>
  <si>
    <t>EL ESFUERZO S/N P 30 S 1</t>
  </si>
  <si>
    <t>/33.760837,/71.308876</t>
  </si>
  <si>
    <t>EX HACIENDA CAMPA PARC 29 3485</t>
  </si>
  <si>
    <t>/33.309448,/70.846168</t>
  </si>
  <si>
    <t>QUILAPILUN ALTO S/N PARC 4</t>
  </si>
  <si>
    <t>/33.093424,/70.679148</t>
  </si>
  <si>
    <t>/34.043064,/71.230455</t>
  </si>
  <si>
    <t>OBISPO RAFAEL CORREA 407</t>
  </si>
  <si>
    <t>/33.575987,/70.8311329</t>
  </si>
  <si>
    <t>PJE TIACA 888</t>
  </si>
  <si>
    <t>/33.211540,/70.686032</t>
  </si>
  <si>
    <t>LOS CORRALES 1068</t>
  </si>
  <si>
    <t>/33.213815,/70.683027</t>
  </si>
  <si>
    <t>/33,213815,/70.683027</t>
  </si>
  <si>
    <t>LOS ALAMOS 186 CASA 42</t>
  </si>
  <si>
    <t>/33.219259,/70.681657</t>
  </si>
  <si>
    <t>/34.0486137,/71.2369746</t>
  </si>
  <si>
    <t>/34.0403721,/71.2220978</t>
  </si>
  <si>
    <t>PEÑAFLOR S/10</t>
  </si>
  <si>
    <t>/33.611614,/70.905065</t>
  </si>
  <si>
    <t>DR FERNANDEZ CONCHA 405</t>
  </si>
  <si>
    <t>/33.575931,/70.831333</t>
  </si>
  <si>
    <t>UNO NORTE PARC 32</t>
  </si>
  <si>
    <t>/33.849869,/70.738548</t>
  </si>
  <si>
    <t>EL GALOPE 233</t>
  </si>
  <si>
    <t>/33.216728,/70.681022</t>
  </si>
  <si>
    <t>SANTA TERESA PARC 2</t>
  </si>
  <si>
    <t>/33.835961,/70.649897</t>
  </si>
  <si>
    <t>EL CHALACO 68</t>
  </si>
  <si>
    <t>/33.720069,/70.549750</t>
  </si>
  <si>
    <t>AV PEÑAFLOR S/10</t>
  </si>
  <si>
    <t>/33.611537,/70.905262</t>
  </si>
  <si>
    <t>EXEQUIEL MORAGA 250</t>
  </si>
  <si>
    <t>/33.208544,/70.673370</t>
  </si>
  <si>
    <t>/33.201012,/70.646951</t>
  </si>
  <si>
    <t>SAN MANUEL</t>
  </si>
  <si>
    <t>/33.767341,/71.281959</t>
  </si>
  <si>
    <t>MANUEL BULNES 209</t>
  </si>
  <si>
    <t>/33.655085,/70.929084</t>
  </si>
  <si>
    <t>CAM. PEÑAFLOR S/100</t>
  </si>
  <si>
    <t>/33.611421,/70.905217</t>
  </si>
  <si>
    <t>CALLE 2 N° 222</t>
  </si>
  <si>
    <t>/33.591261,/70.812394</t>
  </si>
  <si>
    <t>ALTOS DE POPETA 358 P 19</t>
  </si>
  <si>
    <t>/33.7950090,/71.2763130</t>
  </si>
  <si>
    <t>JOSE M. BULNES 209</t>
  </si>
  <si>
    <t>SAN LUIS 653</t>
  </si>
  <si>
    <t>/33.739801,/70.915898</t>
  </si>
  <si>
    <t>VIÑEDO 724</t>
  </si>
  <si>
    <t>/33.752209,/70.887093</t>
  </si>
  <si>
    <t>34.0392822,/71.2254790</t>
  </si>
  <si>
    <t>EL NOGAL S/N</t>
  </si>
  <si>
    <t>/34.0472275,/71.2369582</t>
  </si>
  <si>
    <t>34.039748,/71.2251632</t>
  </si>
  <si>
    <t>IGNACIO CARRERA PINTO 14441</t>
  </si>
  <si>
    <t>/33.200910,/70.655540</t>
  </si>
  <si>
    <t>PATRICIO ESPINOZA 255</t>
  </si>
  <si>
    <t>/33.602973,/70.827</t>
  </si>
  <si>
    <t>EL CANELILLO 921</t>
  </si>
  <si>
    <t>/33.192179,/70.683027</t>
  </si>
  <si>
    <t>PADRE SOTO 358</t>
  </si>
  <si>
    <t>/33.178379,/70.655578</t>
  </si>
  <si>
    <t>/33.200960,/70.6554</t>
  </si>
  <si>
    <t>HAC. DE CHACABUCO S/N</t>
  </si>
  <si>
    <t>/33.027987,/70.688167</t>
  </si>
  <si>
    <t>SAN PEDRO 715</t>
  </si>
  <si>
    <t>/33.756808,/70.911211</t>
  </si>
  <si>
    <t>CRUCE S/N</t>
  </si>
  <si>
    <t>/34.0662502,/71.2634522</t>
  </si>
  <si>
    <t>MANUEL RODIGUEZ 1179</t>
  </si>
  <si>
    <t>/33.748249,/70.4752</t>
  </si>
  <si>
    <t>LOMAS DE MANZO 5</t>
  </si>
  <si>
    <t>/33.6896240,/71.2283210</t>
  </si>
  <si>
    <t>POPETA SITIO 25 SECTOR 4</t>
  </si>
  <si>
    <t>/33.792676,/71.267341</t>
  </si>
  <si>
    <t>ALTO POPETA 358 PAR 18</t>
  </si>
  <si>
    <t>/33.7955166,/71.276313</t>
  </si>
  <si>
    <t>ALTO POPETA 358</t>
  </si>
  <si>
    <t>EL CARMEN 10781</t>
  </si>
  <si>
    <t>/34.264624,/71.391896</t>
  </si>
  <si>
    <t>LAS CABRAS P/5 CASA 7</t>
  </si>
  <si>
    <t>/34.264423,/71.392896</t>
  </si>
  <si>
    <t>LOS LIBERTADORES KM 42 S/5</t>
  </si>
  <si>
    <t>/33.021650,/70.694085</t>
  </si>
  <si>
    <t>LOS LIBERTADORES S/N</t>
  </si>
  <si>
    <t>/33.021650,/70.694088</t>
  </si>
  <si>
    <t>UNION NORTE PARC 32 F</t>
  </si>
  <si>
    <t>/33.8493300,/70.7390060</t>
  </si>
  <si>
    <t>EL PRINCIPAL PARC 14 LOTE 3 B</t>
  </si>
  <si>
    <t>/33.711664,/70.552395</t>
  </si>
  <si>
    <t>SOFIA AHUMADA 221</t>
  </si>
  <si>
    <t>/33.652392,/71.147412</t>
  </si>
  <si>
    <t>POPETA PARC 165 SECTOR 4</t>
  </si>
  <si>
    <t>/33.7935297,/71.2755414</t>
  </si>
  <si>
    <t>ORILLA DEL RIO PARC 11</t>
  </si>
  <si>
    <t>/33.7114100,/70.531605</t>
  </si>
  <si>
    <t>EL PRINCIPAL PARC 2 LOTE 1</t>
  </si>
  <si>
    <t>/33.700611,/70.562877</t>
  </si>
  <si>
    <t>RIBERA DEL RIO 33</t>
  </si>
  <si>
    <t>/33.166992,/70.887910</t>
  </si>
  <si>
    <t>/33.677557,/70.990178</t>
  </si>
  <si>
    <t>MANUEL BULNES PRIETO 201</t>
  </si>
  <si>
    <t>/33.655041,/70.929076</t>
  </si>
  <si>
    <t>COQUIMBO 167</t>
  </si>
  <si>
    <t>/33.180358,/70.649276</t>
  </si>
  <si>
    <t>VILLA STA TERESA S 1</t>
  </si>
  <si>
    <t>/33.068923,/70.709856</t>
  </si>
  <si>
    <t>LO CASTRO 15 B</t>
  </si>
  <si>
    <t>/33.294115,/70.789683</t>
  </si>
  <si>
    <t>LOS LIBERTADORES KM 42</t>
  </si>
  <si>
    <t>/33.020692,/70.693369</t>
  </si>
  <si>
    <t>STA TERESA A 1</t>
  </si>
  <si>
    <t>LAS DALIAS 1245</t>
  </si>
  <si>
    <t>/33.676998,/70.581371</t>
  </si>
  <si>
    <t>EL PRINCIPAL 25 LOTE D</t>
  </si>
  <si>
    <t>LA PUNTILLA 670</t>
  </si>
  <si>
    <t>/33.641198,/70.992430</t>
  </si>
  <si>
    <t>ORILLA DEL RIO PARC 14 LOTE A</t>
  </si>
  <si>
    <t>/33.708744,/70.537771</t>
  </si>
  <si>
    <t>PADRE SOTO 358 C</t>
  </si>
  <si>
    <t>PINTO GONZALEZ 66</t>
  </si>
  <si>
    <t>/33.67580088,/71.2314821</t>
  </si>
  <si>
    <t>LO CASTRO 4B LOTE 8</t>
  </si>
  <si>
    <t>LOMAS DE SAN ANTONIO PARC 67</t>
  </si>
  <si>
    <t>/33.47115,/71.1910</t>
  </si>
  <si>
    <t>SAN FRANCISCO 22</t>
  </si>
  <si>
    <t>/33.035142,/70.713204</t>
  </si>
  <si>
    <t>POPETA SECTOR 4 PAR 165</t>
  </si>
  <si>
    <t>33.79508,/71.27623</t>
  </si>
  <si>
    <t>CAM. SERVIDUMBRE S/N PARC 2</t>
  </si>
  <si>
    <t>/33.2719730,/70.8770310</t>
  </si>
  <si>
    <t>LO CASTRO 4 B LOTE 6</t>
  </si>
  <si>
    <t>/33.200520,/70.6556549</t>
  </si>
  <si>
    <t>/33.744954,/70.919566</t>
  </si>
  <si>
    <t>GNRAL SAN MARTIN S/N</t>
  </si>
  <si>
    <t>/32.742635,/70.732867</t>
  </si>
  <si>
    <t>/33.204467,/70.670902</t>
  </si>
  <si>
    <t>RIVERA DEL RIO 33</t>
  </si>
  <si>
    <t>/33.166781,/70.887965</t>
  </si>
  <si>
    <t>SANTA LUCIA LOTE 12</t>
  </si>
  <si>
    <t>/33.0894730,/70.913820</t>
  </si>
  <si>
    <t>MANZ B SITIO 2</t>
  </si>
  <si>
    <t>/34.037006,/71.091574</t>
  </si>
  <si>
    <t>/34.038272,/71.223103</t>
  </si>
  <si>
    <t>LOS PINOS</t>
  </si>
  <si>
    <t>/33873682,/71.484769</t>
  </si>
  <si>
    <t>ISLA CHOCALAN PARC 3</t>
  </si>
  <si>
    <t>/33.747623,/71.230834</t>
  </si>
  <si>
    <t>PARC 8 CARMEN BAJO</t>
  </si>
  <si>
    <t>/33.726710,/71.188217</t>
  </si>
  <si>
    <t>LO ENCAÑADO</t>
  </si>
  <si>
    <t>/33.873660,/71.484629</t>
  </si>
  <si>
    <t>VILLARRICA 53</t>
  </si>
  <si>
    <t>/33.727480,/70.987701</t>
  </si>
  <si>
    <t>SAN ATONIO 7289</t>
  </si>
  <si>
    <t>/33.733187,/71.022772</t>
  </si>
  <si>
    <t>ORILLA DEL RIO S/N</t>
  </si>
  <si>
    <t>/33.710842,/70.531761</t>
  </si>
  <si>
    <t>SAN LUIS 927</t>
  </si>
  <si>
    <t>/33.744361,/70.921476</t>
  </si>
  <si>
    <t>MARIA TORRES S/N</t>
  </si>
  <si>
    <t>/33.678842,/70.942559</t>
  </si>
  <si>
    <t>CARLOS ANFRUNS 0626</t>
  </si>
  <si>
    <t>/33.684450,/71.198861</t>
  </si>
  <si>
    <t>REMANZO DE CHICUREO 519</t>
  </si>
  <si>
    <t>/33.221214,/70.673480</t>
  </si>
  <si>
    <t>JULIO BARRENECHEA 2186</t>
  </si>
  <si>
    <t>/33.182781,/70.673201</t>
  </si>
  <si>
    <t>3 SUR M/11 S/9</t>
  </si>
  <si>
    <t>/33.08101,/70.48050</t>
  </si>
  <si>
    <t>PARC 14 E CASA 2</t>
  </si>
  <si>
    <t>/33.437683,/71.034244</t>
  </si>
  <si>
    <t>AV. OHIGGINS 1562</t>
  </si>
  <si>
    <t>/33.404513,/71134577</t>
  </si>
  <si>
    <t>EL PRINCIPAL S/N 74 A</t>
  </si>
  <si>
    <t>/33.722154,/70.542345</t>
  </si>
  <si>
    <t>PASAJE BEATRIZ 1706</t>
  </si>
  <si>
    <t>/33.183157,/70.665777</t>
  </si>
  <si>
    <t>COQUINBITO SUR SITIO 27</t>
  </si>
  <si>
    <t>/33.112356,/70.791863</t>
  </si>
  <si>
    <t>EL LUCERO PARC 25  C/36</t>
  </si>
  <si>
    <t>/33.272220,/70.882555</t>
  </si>
  <si>
    <t>MARCELA PAZ 018</t>
  </si>
  <si>
    <t>/33.088961,/70.916813</t>
  </si>
  <si>
    <t>CAM LO AGUILA PARC 13</t>
  </si>
  <si>
    <t>/33.418109,/71130805</t>
  </si>
  <si>
    <t>ORILLA DEL RIO LOTE 2 A1</t>
  </si>
  <si>
    <t>/33.708331,/70.537023</t>
  </si>
  <si>
    <t>YUNGAY 0180</t>
  </si>
  <si>
    <t>/33.691021,/71.030789</t>
  </si>
  <si>
    <t>CAM ALHUE S/N</t>
  </si>
  <si>
    <t>/34.0667649/,71.26779721</t>
  </si>
  <si>
    <t>EL PRINCIPAL PARC 13 LOTE 2</t>
  </si>
  <si>
    <t>/33.720417,/70.545852</t>
  </si>
  <si>
    <t>AV AMBROSIO OHIGGINS 475</t>
  </si>
  <si>
    <t>/33.408634,/71.146140</t>
  </si>
  <si>
    <t>POPETA PARC 165</t>
  </si>
  <si>
    <t>/33.7951489,/71.2760792</t>
  </si>
  <si>
    <t>EL DIBUJO P/70</t>
  </si>
  <si>
    <t>/33.974992,/71.227653</t>
  </si>
  <si>
    <t>LAS ACACIAS 3</t>
  </si>
  <si>
    <t>/33.755449,/71.320613</t>
  </si>
  <si>
    <t>CULIPRAN KM 11 1/2</t>
  </si>
  <si>
    <t>/33.787280,/71.275925</t>
  </si>
  <si>
    <t>21 DE MAYO S/N</t>
  </si>
  <si>
    <t>/33.032005,/71.110372</t>
  </si>
  <si>
    <t>CANCHA DE CARRERA S/N</t>
  </si>
  <si>
    <t>/34.036137,/71.104209</t>
  </si>
  <si>
    <t>LAS HIJUELAS DE POLULO S/N</t>
  </si>
  <si>
    <t>/34.028265,/71.114212</t>
  </si>
  <si>
    <t>LO ENCAÑADO S/N</t>
  </si>
  <si>
    <t>/33.856887,/71.488652</t>
  </si>
  <si>
    <t>LATUNA S/N</t>
  </si>
  <si>
    <t>/33.864368,/71.485460</t>
  </si>
  <si>
    <t>ERRAZURIZ 981</t>
  </si>
  <si>
    <t>/33.738446,/71.193740</t>
  </si>
  <si>
    <t>HACIENDA DE CHACABUCO S/N</t>
  </si>
  <si>
    <t>/33.025047,/70.683076</t>
  </si>
  <si>
    <t>PEDRO JIMENEZ CASA</t>
  </si>
  <si>
    <t>/33.722587,/70.736061</t>
  </si>
  <si>
    <t>POLLINO P/5A</t>
  </si>
  <si>
    <t>/33.417488,/71.132110</t>
  </si>
  <si>
    <t>CALLEJON LOS PALTOS P/6</t>
  </si>
  <si>
    <t>/33.412769,/71.141713</t>
  </si>
  <si>
    <t>EL HUINQEN PARC 6</t>
  </si>
  <si>
    <t>/33.639495,/70.552955</t>
  </si>
  <si>
    <t>LOS CORRALES S/97 LOTE 11</t>
  </si>
  <si>
    <t>/33.7265560,/70.5575100</t>
  </si>
  <si>
    <t>LA MACARENA 920</t>
  </si>
  <si>
    <t>/33.6697762,/70.991146</t>
  </si>
  <si>
    <t>LOS TORNEROS 1366</t>
  </si>
  <si>
    <t>/33.6647470,/70.9172190</t>
  </si>
  <si>
    <t>HIJUELA DE QIULLAY S/N LOTE 2 B</t>
  </si>
  <si>
    <t>/33.398003,/71.121872</t>
  </si>
  <si>
    <t>OBISPO AGUILERA 01004</t>
  </si>
  <si>
    <t>/33.181776,/70.658841</t>
  </si>
  <si>
    <t>CUYUNCAVI S/N LOTE 18</t>
  </si>
  <si>
    <t>/33.3777788,/71.105971</t>
  </si>
  <si>
    <t>SAN MARCOS 275</t>
  </si>
  <si>
    <t>/33.407574,/71.1335402</t>
  </si>
  <si>
    <t>DEL ESTERO NORTE 138</t>
  </si>
  <si>
    <t>/33.217309,/70.681503</t>
  </si>
  <si>
    <t>LOS POSONES 2160</t>
  </si>
  <si>
    <t>/33.292869,/70.873641</t>
  </si>
  <si>
    <t>PADRE HURTADO 4420</t>
  </si>
  <si>
    <t>/33.693804,/70.674279</t>
  </si>
  <si>
    <t>EL PRINCIPAL LOTE 90 PARC 47A</t>
  </si>
  <si>
    <t>/33.720964,/70.536511</t>
  </si>
  <si>
    <t>MIGUEL LETELIER P3</t>
  </si>
  <si>
    <t>/33.870510,/70.868049</t>
  </si>
  <si>
    <t>LOS TILOS P 19 S 22 F</t>
  </si>
  <si>
    <t>/33.6209140,/70.8068240</t>
  </si>
  <si>
    <t>MIGUEL LETELIER P3 S/3</t>
  </si>
  <si>
    <t>LA PRIMAVERA S 12</t>
  </si>
  <si>
    <t>/33.640462,/70.815803</t>
  </si>
  <si>
    <t>MARCELA BOZAN RAMOS 401</t>
  </si>
  <si>
    <t>/33.734741,/70.716270</t>
  </si>
  <si>
    <t>GENERAL SAN MARTIN S/N P 21</t>
  </si>
  <si>
    <t>/33.185236,/70.654042</t>
  </si>
  <si>
    <t>SANTA MARTA S/N</t>
  </si>
  <si>
    <t>/33.246025,/70.725722</t>
  </si>
  <si>
    <t>EL PRINCIPAL PAR 14</t>
  </si>
  <si>
    <t>/33.716318,/70.569796</t>
  </si>
  <si>
    <t>LO ARCAYA S/N S E 1</t>
  </si>
  <si>
    <t>/33.242785,/70.657261</t>
  </si>
  <si>
    <t>EDUARDO BARRIOS 1796</t>
  </si>
  <si>
    <t>/33.181490,/70.667586</t>
  </si>
  <si>
    <t>EL MANZANITO PARC 18</t>
  </si>
  <si>
    <t>/33.866010,/70.849787</t>
  </si>
  <si>
    <t>MIGUEL LETELIER PARC 3 S3</t>
  </si>
  <si>
    <t>/33.869934,/70.867590</t>
  </si>
  <si>
    <t>SAN MANUEL KM 3900 S/4</t>
  </si>
  <si>
    <t>/33.706481,/71.288269</t>
  </si>
  <si>
    <t>CAM. SAN MANUEL KM 3900 S/N</t>
  </si>
  <si>
    <t>/33.766481,/71.288269</t>
  </si>
  <si>
    <t>PJE 22 S/64</t>
  </si>
  <si>
    <t>EL MOLINO 1104</t>
  </si>
  <si>
    <t>/33.196915,/70.651144</t>
  </si>
  <si>
    <t>EL ESTERO SUR 1182</t>
  </si>
  <si>
    <t>/33.218117,/70.680915</t>
  </si>
  <si>
    <t>EL MAITEN 849</t>
  </si>
  <si>
    <t>/33.192972,/70.678830</t>
  </si>
  <si>
    <t>LOS ALAMOS 186</t>
  </si>
  <si>
    <t>/33.264214,/70.701639</t>
  </si>
  <si>
    <t>MARIA TORRES 2737</t>
  </si>
  <si>
    <t>/33.678779,/70.941983</t>
  </si>
  <si>
    <t>LAS PETUNIAS 888</t>
  </si>
  <si>
    <t>/33.686747,/71.006854</t>
  </si>
  <si>
    <t>BERNARDO OHIGGINS S/N</t>
  </si>
  <si>
    <t>/34.038341,/71.099760</t>
  </si>
  <si>
    <t>CANCHA CABRERA S/N</t>
  </si>
  <si>
    <t>/34.037261,/71.103580</t>
  </si>
  <si>
    <t>/332.866010,/70.849787</t>
  </si>
  <si>
    <t>C SERVIDUNBRE</t>
  </si>
  <si>
    <t>/33.283636,/70.832868</t>
  </si>
  <si>
    <t>/33.867793,/71.1490910</t>
  </si>
  <si>
    <t>QUILAMOTA S/N</t>
  </si>
  <si>
    <t>/33.879227,/71.499353</t>
  </si>
  <si>
    <t>MARIA VARGAS 347</t>
  </si>
  <si>
    <t>/33.757312,/70.753799</t>
  </si>
  <si>
    <t>CHALACO 56</t>
  </si>
  <si>
    <t>/33.715092,/70.550879</t>
  </si>
  <si>
    <t>LOS NOGALES 1113</t>
  </si>
  <si>
    <t>/33.216032,/70.681609</t>
  </si>
  <si>
    <t>LOS NOGALES 1117</t>
  </si>
  <si>
    <t>LONQUEN SUR S/10</t>
  </si>
  <si>
    <t>/33.639452,/70.816572</t>
  </si>
  <si>
    <t>TANGUITO CALLE 1</t>
  </si>
  <si>
    <t>/33.600706,/70.782921</t>
  </si>
  <si>
    <t>EL CHALACO 67</t>
  </si>
  <si>
    <t>/33.719368,/70.550197</t>
  </si>
  <si>
    <t>SANTA INES SITIO 36</t>
  </si>
  <si>
    <t>/33.488667,/70.947761</t>
  </si>
  <si>
    <t>ALBERTO ECHEMBERGE 1889</t>
  </si>
  <si>
    <t>/33.396829,/71.128922</t>
  </si>
  <si>
    <t>UNION BAROCALDO PC.12</t>
  </si>
  <si>
    <t>/33.526585,/71.186247</t>
  </si>
  <si>
    <t>EL NARANJO , PARCELA 56, CASA 2</t>
  </si>
  <si>
    <t>/33,4006130,/71.1662030</t>
  </si>
  <si>
    <t>VILLA SAN PEDRO ,PJE. SAN JUAN</t>
  </si>
  <si>
    <t>/33,406224,/71,135938</t>
  </si>
  <si>
    <t>PADRE HURTADO 4420 SITIO 6 LOTE 1</t>
  </si>
  <si>
    <t>/33.643806,/70.6681</t>
  </si>
  <si>
    <t>AV. CARLOS AVILES</t>
  </si>
  <si>
    <t>/33,688559,/71,232884</t>
  </si>
  <si>
    <t>/33,867922,/71,490624</t>
  </si>
  <si>
    <t>CAMINO PADRE HURTADO 5876</t>
  </si>
  <si>
    <t>/33.681346,/70.671284</t>
  </si>
  <si>
    <t>CAMINO MACEL 11</t>
  </si>
  <si>
    <t>/33.680170,/70.585251</t>
  </si>
  <si>
    <t>LA CHICHA 119</t>
  </si>
  <si>
    <t>/33,408060,/71,148726</t>
  </si>
  <si>
    <t>LAS MAGNOLIAS PC.47</t>
  </si>
  <si>
    <t>/33.723494,/70.537286</t>
  </si>
  <si>
    <t>RESERVA CORA</t>
  </si>
  <si>
    <t>/33.711554,/70.546010</t>
  </si>
  <si>
    <t>LAS CAMELIAS PEC 30</t>
  </si>
  <si>
    <t>/33.193648,/70.823397</t>
  </si>
  <si>
    <t>DE SALAZAR 359</t>
  </si>
  <si>
    <t>/33.407682,/71.147976</t>
  </si>
  <si>
    <t>QUEBRADA HONDA S/11 D</t>
  </si>
  <si>
    <t>/33.430438,/71.072184</t>
  </si>
  <si>
    <t>EL NARANJO LOTE 71 P/4</t>
  </si>
  <si>
    <t>/33.354298,/71144003</t>
  </si>
  <si>
    <t>COQUINBITO SUR 371</t>
  </si>
  <si>
    <t>/33.139843,/70.794594</t>
  </si>
  <si>
    <t>PADRE HURTADO S/N</t>
  </si>
  <si>
    <t>/33.671697,/70.668134</t>
  </si>
  <si>
    <t>1 NORTE PARC 27</t>
  </si>
  <si>
    <t>/33.194638,/70.823399</t>
  </si>
  <si>
    <t>EL NARANJO LOTE 71</t>
  </si>
  <si>
    <t>SANTIAGO AZOCAR</t>
  </si>
  <si>
    <t>/33.675831,/71.213495</t>
  </si>
  <si>
    <t>ABRANTES DE VINCULO P/6</t>
  </si>
  <si>
    <t>/33.802759,/70.707343</t>
  </si>
  <si>
    <t>/33.803924,/70.740168</t>
  </si>
  <si>
    <t>/34.036638,/70.104072</t>
  </si>
  <si>
    <t>21 DE MAYO S 2</t>
  </si>
  <si>
    <t>/34.034607,/71.102311</t>
  </si>
  <si>
    <t>JORGE SANCHEZ S/N</t>
  </si>
  <si>
    <t>/34.036707,/71.092135</t>
  </si>
  <si>
    <t>EL TAQUERAL INT P/11</t>
  </si>
  <si>
    <t>/33.293475,/70.771221</t>
  </si>
  <si>
    <t>TROPEZON P/ 37 L 12/B</t>
  </si>
  <si>
    <t>/33.663990,/71.317577</t>
  </si>
  <si>
    <t>ALGARROBAL 2 CASA 98</t>
  </si>
  <si>
    <t>/33.170485,/70.42427</t>
  </si>
  <si>
    <t>ALERCE ANTONIO 970</t>
  </si>
  <si>
    <t>/33.686887,/71.236749</t>
  </si>
  <si>
    <t>CAOBA 224</t>
  </si>
  <si>
    <t>/33.679493,/71.176967</t>
  </si>
  <si>
    <t>CUYUNCAVI S/N</t>
  </si>
  <si>
    <t>/33.371045,/71.077814</t>
  </si>
  <si>
    <t>PRINCIPAL 2 LOTE 13</t>
  </si>
  <si>
    <t>/33.702350,/70.561264</t>
  </si>
  <si>
    <t>SAN VICENTE 23</t>
  </si>
  <si>
    <t>/33.672832,/70.623236</t>
  </si>
  <si>
    <t>CURACAVI S/N</t>
  </si>
  <si>
    <t>/33.373861,/71.105806</t>
  </si>
  <si>
    <t>MANUEL FIGUEROA 2047</t>
  </si>
  <si>
    <t>/33.403555,/71.127279</t>
  </si>
  <si>
    <t>CAM. PUBLICO 311</t>
  </si>
  <si>
    <t>/34.025897,/71.103868</t>
  </si>
  <si>
    <t>/34.030834,/71.097636</t>
  </si>
  <si>
    <t>JOSE MASSAND 491</t>
  </si>
  <si>
    <t>/33.674606,/71.215777</t>
  </si>
  <si>
    <t>ABRANTES DE VINCULO P/10 A</t>
  </si>
  <si>
    <t>/33.896371,/70.840969</t>
  </si>
  <si>
    <t>LOS CARRERA 434 C/10</t>
  </si>
  <si>
    <t>/33.679141,/70.983425</t>
  </si>
  <si>
    <t>EL CANELO S/N</t>
  </si>
  <si>
    <t>/33.576006,/70.448251</t>
  </si>
  <si>
    <t>4 PONIENTE s/n</t>
  </si>
  <si>
    <t>/33.192935,/70.824620</t>
  </si>
  <si>
    <t>PJE VOLCAN VILLARRICA 0533</t>
  </si>
  <si>
    <t>/33.654421,/70.9096</t>
  </si>
  <si>
    <t>EL PRINCIPAL 2 LOTE 13</t>
  </si>
  <si>
    <t>/33.731414,/70.537470</t>
  </si>
  <si>
    <t>LOS MANZANOS 1237</t>
  </si>
  <si>
    <t>/33.653469,/71.007787</t>
  </si>
  <si>
    <t>LAS PATAGUAS P/18</t>
  </si>
  <si>
    <t>/33.814780,/70.853466</t>
  </si>
  <si>
    <t>/33.392766,/70.673122</t>
  </si>
  <si>
    <t>LAS CALERIAS 9/162</t>
  </si>
  <si>
    <t>/33.189167,/70.829535</t>
  </si>
  <si>
    <t>LAS CALERIAS P/28</t>
  </si>
  <si>
    <t>/33.193037,/70.822851</t>
  </si>
  <si>
    <t>EL BAJO 225</t>
  </si>
  <si>
    <t>/33.577426,70.448960</t>
  </si>
  <si>
    <t>EL BAJO 223</t>
  </si>
  <si>
    <t>/33.577259,/70.448786</t>
  </si>
  <si>
    <t>SAN LUIS 509</t>
  </si>
  <si>
    <t>/33.737481,/70.915317</t>
  </si>
  <si>
    <t>SAN VALENTIN 277</t>
  </si>
  <si>
    <t>/33.741429,/70.897193</t>
  </si>
  <si>
    <t>EL CARMEN S/N</t>
  </si>
  <si>
    <t>/33.646455,/71.149545</t>
  </si>
  <si>
    <t>/33.737557,/70.915354</t>
  </si>
  <si>
    <t>EL PRINCIPAL S/N LOTE 14</t>
  </si>
  <si>
    <t>/33.729549,/70.535668</t>
  </si>
  <si>
    <t>LAS PALOMAS LT 25</t>
  </si>
  <si>
    <t>/33.608835,/71.221234</t>
  </si>
  <si>
    <t>JULIO VRANKLEN 1871</t>
  </si>
  <si>
    <t>/33.669806,/70.935158</t>
  </si>
  <si>
    <t>PJE. ALGARROBO 852</t>
  </si>
  <si>
    <t>/33.208668,/70.680873</t>
  </si>
  <si>
    <t>/33.177582,/70.655819</t>
  </si>
  <si>
    <t>/33.408779,/71145897</t>
  </si>
  <si>
    <t>FRANCISCO COFRE 1747</t>
  </si>
  <si>
    <t>/33.407388,/71130896</t>
  </si>
  <si>
    <t>NEIL ASTRONG 4</t>
  </si>
  <si>
    <t>/33.182839,/70.651676</t>
  </si>
  <si>
    <t>CALLE B 081</t>
  </si>
  <si>
    <t>/33.197680,/70.673452</t>
  </si>
  <si>
    <t>/33.178048,/70.656035</t>
  </si>
  <si>
    <t>ALHUE S/N</t>
  </si>
  <si>
    <t>/34.026038,/71.104390</t>
  </si>
  <si>
    <t>VICUÑA MACKENNA 2539</t>
  </si>
  <si>
    <t>/33.680173,/71.192701</t>
  </si>
  <si>
    <t>HIGUELA DE POLULO S/N</t>
  </si>
  <si>
    <t>/34.026180,/71.117729</t>
  </si>
  <si>
    <t>/33.185032,/70.654254</t>
  </si>
  <si>
    <t>LUIS SALAZAR 94</t>
  </si>
  <si>
    <t>/33.290169,/70.884952</t>
  </si>
  <si>
    <t>EL BRUJO 223</t>
  </si>
  <si>
    <t>/33.577170,/70.448972</t>
  </si>
  <si>
    <t>LAS PALOMAS 32 A</t>
  </si>
  <si>
    <t>/33.599098,/70.488880</t>
  </si>
  <si>
    <t>LA ALBORADA S/8</t>
  </si>
  <si>
    <t>/33.774229,/70.827677</t>
  </si>
  <si>
    <t>LA ESCUELA 80 B</t>
  </si>
  <si>
    <t>/33.727054,/70.540021</t>
  </si>
  <si>
    <t>RESERVA CORA PRINCIPAL P/1 F</t>
  </si>
  <si>
    <t>/33.712264,/70.547589</t>
  </si>
  <si>
    <t>FUNDO LA PRIMAVERA S/N</t>
  </si>
  <si>
    <t>/33.626063,/70.825259</t>
  </si>
  <si>
    <t>SANTELICES 1790</t>
  </si>
  <si>
    <t>/33.750092,/70.9133</t>
  </si>
  <si>
    <t>EL PRINCIPAL 2 S/38</t>
  </si>
  <si>
    <t>/33.710807,/70.591268</t>
  </si>
  <si>
    <t>REMASO ALBINONI 233</t>
  </si>
  <si>
    <t>/33.683475,/71.96378</t>
  </si>
  <si>
    <t>PROFESOR NELLY YAÑEZ 0886</t>
  </si>
  <si>
    <t>/33.681328,/71.89465</t>
  </si>
  <si>
    <t>CERRO SOMBRERO 565</t>
  </si>
  <si>
    <t>/33.686738,/71.197296</t>
  </si>
  <si>
    <t>ALC. HUGO LEYTON 419</t>
  </si>
  <si>
    <t>/33.674785,/70.983334</t>
  </si>
  <si>
    <t>EL MANZANITO L A/7</t>
  </si>
  <si>
    <t>/33.860034,/70.851061</t>
  </si>
  <si>
    <t>EL PRINCIPAL 2 S14</t>
  </si>
  <si>
    <t>/33.710824,/70.591328</t>
  </si>
  <si>
    <t>LOS JASMINEZ 5</t>
  </si>
  <si>
    <t>/33.761139,/70.737735</t>
  </si>
  <si>
    <t>ALERCE ANDINO 970</t>
  </si>
  <si>
    <t>/33.686613,/71.236845</t>
  </si>
  <si>
    <t>MANUEL RODRIGUEZ 1192</t>
  </si>
  <si>
    <t>/33.393062,/71.124574</t>
  </si>
  <si>
    <t>PJE LOS OLMOS 12/B</t>
  </si>
  <si>
    <t>/33.700429,/70.563864</t>
  </si>
  <si>
    <t>MANUEL RODRIGUEZ 1185</t>
  </si>
  <si>
    <t>/33.392799,/71.124854</t>
  </si>
  <si>
    <t>ISABEL ENCINA S/N</t>
  </si>
  <si>
    <t>/33.752390,/71.326208</t>
  </si>
  <si>
    <t>TROPEZON P/37</t>
  </si>
  <si>
    <t>/33.663627,/71.318042</t>
  </si>
  <si>
    <t>1 SUR 414</t>
  </si>
  <si>
    <t>/33.074915,/70.47598</t>
  </si>
  <si>
    <t>LAS TUNAS S/N</t>
  </si>
  <si>
    <t>/33.864335,/71.484877</t>
  </si>
  <si>
    <t>AV. JOSE MASSO V</t>
  </si>
  <si>
    <t>/33.677929,/71.217312</t>
  </si>
  <si>
    <t>COLONIAS P/29</t>
  </si>
  <si>
    <t>/33.194795,/70.823278</t>
  </si>
  <si>
    <t>EL PRINCIPAL S/N LOTE G S/4</t>
  </si>
  <si>
    <t>/33.700253,/70.563136</t>
  </si>
  <si>
    <t>CACIQUE S/N</t>
  </si>
  <si>
    <t>/34.182316,/71.152618</t>
  </si>
  <si>
    <t>CAM INT PARC 162</t>
  </si>
  <si>
    <t>/33.189990,/70.829360</t>
  </si>
  <si>
    <t>/34.031308,/71.105638</t>
  </si>
  <si>
    <t>LOS OLMOS S/12 B</t>
  </si>
  <si>
    <t>/33.700370,/70.563679</t>
  </si>
  <si>
    <t>/34.031720,/71.107334</t>
  </si>
  <si>
    <t>SANTA JULIA S/N</t>
  </si>
  <si>
    <t>/33.830546,/71.490465</t>
  </si>
  <si>
    <t>/33.863486,/71.490401</t>
  </si>
  <si>
    <t>EL PARRON S/N</t>
  </si>
  <si>
    <t>/33.6345860,/70.8405070</t>
  </si>
  <si>
    <t>VICTOR TRONCOSO MUÑOZ 1157</t>
  </si>
  <si>
    <t>/33.726506,/70.721557</t>
  </si>
  <si>
    <t>SAN MARTIN PARD 23</t>
  </si>
  <si>
    <t>/33.270885,/70.701360</t>
  </si>
  <si>
    <t>SAN LUIS 2573</t>
  </si>
  <si>
    <t>/33.738991,/70.916207</t>
  </si>
  <si>
    <t>HUECHUN BAJO S/N</t>
  </si>
  <si>
    <t>/33.709526,/71.292440</t>
  </si>
  <si>
    <t>GRAL SAN MARTIN 112</t>
  </si>
  <si>
    <t>/33.682361,/71.119413</t>
  </si>
  <si>
    <t>LLANCAY S/N</t>
  </si>
  <si>
    <t>/33892572,/71.455677</t>
  </si>
  <si>
    <t>/33.867874,/71.475013</t>
  </si>
  <si>
    <t>HIJUELAS SA ALFREDO S/3D</t>
  </si>
  <si>
    <t>/33.761240,/71.327298</t>
  </si>
  <si>
    <t>LAS TINAJAS P/4</t>
  </si>
  <si>
    <t>/33.828743,/71.382711</t>
  </si>
  <si>
    <t>CRUCE LAS ARAÑAS L8/2</t>
  </si>
  <si>
    <t>/33.910976,/71.411878</t>
  </si>
  <si>
    <t>CAMINO A LA MINA S/N</t>
  </si>
  <si>
    <t>/33.891914,/71.468227</t>
  </si>
  <si>
    <t>LOS PEQUENES S/N</t>
  </si>
  <si>
    <t>/33.678539,71.232436</t>
  </si>
  <si>
    <t>LO MALCUL</t>
  </si>
  <si>
    <t>/33.680.167,/70.585249</t>
  </si>
  <si>
    <t>33.646473,/71.149563</t>
  </si>
  <si>
    <t>V.SUBERCASEAUX 4000</t>
  </si>
  <si>
    <t>/33.646991,/70.606124</t>
  </si>
  <si>
    <t>CON. EL PARRON D4</t>
  </si>
  <si>
    <t>/33.38045,/70.50258</t>
  </si>
  <si>
    <t>NOVELISTA JANUARIO 2833</t>
  </si>
  <si>
    <t>/33.182078,/70.669814</t>
  </si>
  <si>
    <t>M.MUSIATE 1125 A</t>
  </si>
  <si>
    <t>/33.192129,/70.673316</t>
  </si>
  <si>
    <t>/33.179780,/70.655020</t>
  </si>
  <si>
    <t>MOISES.MUSIATE 1120</t>
  </si>
  <si>
    <t>/33.192127,/70.673730</t>
  </si>
  <si>
    <t>CAMINO EL RODEO 11</t>
  </si>
  <si>
    <t>/33.262753,70.627332</t>
  </si>
  <si>
    <t>/33.262705,/70.627210</t>
  </si>
  <si>
    <t>STGO CANDELARIA 308</t>
  </si>
  <si>
    <t>/33.674605,/70.974901</t>
  </si>
  <si>
    <t>SAN LUIS  927 A</t>
  </si>
  <si>
    <t>/33.736332,/70.912181</t>
  </si>
  <si>
    <t>DIESISEIS DE AGOSTO S/N</t>
  </si>
  <si>
    <t>/34.033115,/71.094882</t>
  </si>
  <si>
    <t>VEITIUNO DE MAYO S/N</t>
  </si>
  <si>
    <t>/34.030605,/71.086072</t>
  </si>
  <si>
    <t>ENRIQUE VELIZ 1120</t>
  </si>
  <si>
    <t>/33.391057,/71.126976</t>
  </si>
  <si>
    <t>LOS PATRIOTAS 1973</t>
  </si>
  <si>
    <t>/33.391084,/71.126720</t>
  </si>
  <si>
    <t>CAM. EL BAJO 225</t>
  </si>
  <si>
    <t>/33.577516,/70.448959</t>
  </si>
  <si>
    <t>CHICUREO 3 CASA 21</t>
  </si>
  <si>
    <t>/33.260515,/70.666227</t>
  </si>
  <si>
    <t>SANTA SARA S/8</t>
  </si>
  <si>
    <t>/33.223877,/70.772243</t>
  </si>
  <si>
    <t>CAM EL ALGARROBO S/N</t>
  </si>
  <si>
    <t>/33.260741,/70.665524</t>
  </si>
  <si>
    <t>RAMON SUBERCSEUX 7935</t>
  </si>
  <si>
    <t>/33.611747,/70.502522</t>
  </si>
  <si>
    <t>EL PRINCIPAL LOTE A S/N</t>
  </si>
  <si>
    <t>/33.715926,/70.669305</t>
  </si>
  <si>
    <t>PRINCIPAL S/97 LOTE N</t>
  </si>
  <si>
    <t>/33.709329,/70.544681</t>
  </si>
  <si>
    <t>ALTO POPETA 358 PC.19</t>
  </si>
  <si>
    <t>/33.826853,/71.330375</t>
  </si>
  <si>
    <t>EL PRINCIPAL S/N</t>
  </si>
  <si>
    <t>/33.720713,/70.533958</t>
  </si>
  <si>
    <t>PJE CALAHUALA 909</t>
  </si>
  <si>
    <t>/33101523,/71.27103</t>
  </si>
  <si>
    <t>R/SUBERCASEAUX 4895</t>
  </si>
  <si>
    <t>/33.614825,/70.529627</t>
  </si>
  <si>
    <t>IGNACIO CARRERA PINTO</t>
  </si>
  <si>
    <t>/34.660483,/71.041075</t>
  </si>
  <si>
    <t>CALLE CAMINO PUBLICO 313</t>
  </si>
  <si>
    <t>/34.532801,/71.531321</t>
  </si>
  <si>
    <t>HERMOSILLA S/N</t>
  </si>
  <si>
    <t>/33.885936,/71.449039</t>
  </si>
  <si>
    <t>CONDOMINIO LAS ENSIMAS P.16</t>
  </si>
  <si>
    <t>/33.273760,/70.7330679</t>
  </si>
  <si>
    <t>CRISTOBAL COLON CASA 10</t>
  </si>
  <si>
    <t>/33.892572,/71.455677</t>
  </si>
  <si>
    <t>CON LAS ENCINA SP 16</t>
  </si>
  <si>
    <t>/33.274027,/70.730958</t>
  </si>
  <si>
    <t>LOS CERESOS 79 D</t>
  </si>
  <si>
    <t>/33.725829,/70.540250</t>
  </si>
  <si>
    <t>/33.725281,/70.540196</t>
  </si>
  <si>
    <t>VILLA ALEGRE S/N GG1/1</t>
  </si>
  <si>
    <t>/33.638170,/71.240168</t>
  </si>
  <si>
    <t>ALCALDE HERNAN PRIETO 15F , EL PRINCIPAL</t>
  </si>
  <si>
    <t>/33.701728,/70.563478</t>
  </si>
  <si>
    <t>ARTURO PERES 56 CHACABUCANO</t>
  </si>
  <si>
    <t>/33.678269,/71.208713</t>
  </si>
  <si>
    <t>HERNAN PRIETO 2A</t>
  </si>
  <si>
    <t>/33.698224,/70.565977</t>
  </si>
  <si>
    <t>POB CRUZ ROJA S/N</t>
  </si>
  <si>
    <t>/33.8928266,/71.4560766</t>
  </si>
  <si>
    <t>LOS CUATRO S/12</t>
  </si>
  <si>
    <t>/33.658059,/70.590180</t>
  </si>
  <si>
    <t>VIRGINIA SUBERCASEAUX 4605</t>
  </si>
  <si>
    <t>/33.653232,/70.626526</t>
  </si>
  <si>
    <t>CAM EL BAJO 160</t>
  </si>
  <si>
    <t>/33.576668,/70.447661</t>
  </si>
  <si>
    <t>/33.868414,/71.475171</t>
  </si>
  <si>
    <t>VILLA ALEGRE 11 S/2 B</t>
  </si>
  <si>
    <t>/33.620383,/71.248374</t>
  </si>
  <si>
    <t>AV IGNACIO CARRERA PINTO 14441</t>
  </si>
  <si>
    <t>/33.200301,/70.655410</t>
  </si>
  <si>
    <t>MIHUE ALTO S/N</t>
  </si>
  <si>
    <t>/33.978759,/71.554238</t>
  </si>
  <si>
    <t>LAS PARCELAS 4</t>
  </si>
  <si>
    <t>/33.661261,/70.615899</t>
  </si>
  <si>
    <t>PORVENIR GALLARDO 254</t>
  </si>
  <si>
    <t>/33.408617,/71.139230</t>
  </si>
  <si>
    <t>LA HACIENDA PARC 25</t>
  </si>
  <si>
    <t>/33.377136,/71.16754</t>
  </si>
  <si>
    <t>EL QUILLAY S/N</t>
  </si>
  <si>
    <t>/33.750434,/70.8622</t>
  </si>
  <si>
    <t>SAN LUIS 590 PARC 1</t>
  </si>
  <si>
    <t>/33.740578,/70.917815</t>
  </si>
  <si>
    <t>/33.618049,/70.703633</t>
  </si>
  <si>
    <t>LAS PIRCAS 676</t>
  </si>
  <si>
    <t>/33.733156,/70.865189</t>
  </si>
  <si>
    <t>EL PRINCIAL 28 E</t>
  </si>
  <si>
    <t>/33.728411,/70.554900</t>
  </si>
  <si>
    <t>PJE IQUIQUE 2850</t>
  </si>
  <si>
    <t>/33.601033,/70.884994</t>
  </si>
  <si>
    <t>CAM A RAPEL KM 6 PARC 10</t>
  </si>
  <si>
    <t>/33.745554,/71.233590</t>
  </si>
  <si>
    <t>EL BAJO P/1</t>
  </si>
  <si>
    <t>/33.693429,/71.207325</t>
  </si>
  <si>
    <t>PASAJE RAUL ESPINOZA S/23</t>
  </si>
  <si>
    <t>/33.687128,/70.916435</t>
  </si>
  <si>
    <t>LA CAMPAÑA P/133</t>
  </si>
  <si>
    <t>/33.834672,/71.356366</t>
  </si>
  <si>
    <t>POLICARPO TORO 37</t>
  </si>
  <si>
    <t>/33.679925,/71.224530</t>
  </si>
  <si>
    <t>CAM LOS CORRALES S/N</t>
  </si>
  <si>
    <t>/33.731735,/70.554646</t>
  </si>
  <si>
    <t>CARLOS LLORERZ</t>
  </si>
  <si>
    <t>/33.736122,/70.758591</t>
  </si>
  <si>
    <t>COLINAS VERDES CASA F</t>
  </si>
  <si>
    <t>/33.301521,/70.688314</t>
  </si>
  <si>
    <t>AV. FERMIN VERGARA 88</t>
  </si>
  <si>
    <t>/33.307736,/70.6374</t>
  </si>
  <si>
    <t>CALLE FEIJOA 376</t>
  </si>
  <si>
    <t>/33.681014,/71.177853</t>
  </si>
  <si>
    <t>MOLINO DE CODIGUA PARC 22</t>
  </si>
  <si>
    <t>/33.829388,/71.384716</t>
  </si>
  <si>
    <t>PASAJE 7 2048</t>
  </si>
  <si>
    <t>/33.803230,/70.7156</t>
  </si>
  <si>
    <t>LOS ANDES 513</t>
  </si>
  <si>
    <t>/33.753216,/70.8890</t>
  </si>
  <si>
    <t>PATRICIO LARRAIN 276</t>
  </si>
  <si>
    <t>/33.675120,/71.212039</t>
  </si>
  <si>
    <t>CAMINO NAMINA S/N</t>
  </si>
  <si>
    <t>/33.891572,/71.468566</t>
  </si>
  <si>
    <t>AV. VALPARAISO S/N</t>
  </si>
  <si>
    <t>/33.469375,/71.079209</t>
  </si>
  <si>
    <t>MANUEL MONTT 817</t>
  </si>
  <si>
    <t>/33.676327,/70.998967</t>
  </si>
  <si>
    <t>BLANCO ENCALADA 99</t>
  </si>
  <si>
    <t>/33.674257,/70.976128</t>
  </si>
  <si>
    <t>ORTUZAM 229</t>
  </si>
  <si>
    <t>/33.682891,/71.214870</t>
  </si>
  <si>
    <t>ALTOPAPETA 358 PARC. 18</t>
  </si>
  <si>
    <t>/33.815491,/71.286064</t>
  </si>
  <si>
    <t>LA CARRERA S/N</t>
  </si>
  <si>
    <t>/33.603714,/71.109315</t>
  </si>
  <si>
    <t>EL ESFUERZOP/33</t>
  </si>
  <si>
    <t>/33.7743414,/71.3196655</t>
  </si>
  <si>
    <t>PADRE HURTADO 5810</t>
  </si>
  <si>
    <t>/33.682079,/70.671439</t>
  </si>
  <si>
    <t>PJE PUELCHE 02214</t>
  </si>
  <si>
    <t>/34.088345,/70.7409</t>
  </si>
  <si>
    <t>LOS OLMOS 12</t>
  </si>
  <si>
    <t>/33.659244,/71.003509</t>
  </si>
  <si>
    <t>LOS AUTRIACOS 714</t>
  </si>
  <si>
    <t>/33.687078,/71.228810</t>
  </si>
  <si>
    <t>VALENTIN SILVA 332</t>
  </si>
  <si>
    <t>/33.689675,/71.235511</t>
  </si>
  <si>
    <t>PJE LOS TULIPANES 260</t>
  </si>
  <si>
    <t>/33.730738,/70.750495</t>
  </si>
  <si>
    <t>SITIO 8 LOTE B VINCULO</t>
  </si>
  <si>
    <t>/33.454065,/70.80476</t>
  </si>
  <si>
    <t>LOS ALAMOS  186 C/18</t>
  </si>
  <si>
    <t>/33.219959,/70.682166</t>
  </si>
  <si>
    <t>EL PILLIN 1600</t>
  </si>
  <si>
    <t>/33.290757,/70.872702</t>
  </si>
  <si>
    <t>PJE MENARES S/10</t>
  </si>
  <si>
    <t>/33.626037,/70.780653</t>
  </si>
  <si>
    <t>ENRIQUE VELIZ 1126</t>
  </si>
  <si>
    <t>/33.390860,/71.126730</t>
  </si>
  <si>
    <t>EL PELLIN 1600</t>
  </si>
  <si>
    <t>/33.290616,/70.872950</t>
  </si>
  <si>
    <t>EL PRINCIPAL 4 LOTE C</t>
  </si>
  <si>
    <t>/33.699334,/70.562837</t>
  </si>
  <si>
    <t>ORILLA DEL RIO P/11</t>
  </si>
  <si>
    <t>/33.711353,/70.531582</t>
  </si>
  <si>
    <t>LA ESCUELA 84</t>
  </si>
  <si>
    <t>/33.721971,/70.550040</t>
  </si>
  <si>
    <t>CAM. EL VOLCAN 5457</t>
  </si>
  <si>
    <t>/33.575956,/70.448438</t>
  </si>
  <si>
    <t>C.AGUILA NORTE S/24</t>
  </si>
  <si>
    <t>/33.875977,/70.755478</t>
  </si>
  <si>
    <t>CAM. EL CHALACO 59</t>
  </si>
  <si>
    <t>/33.715286,/70.550491</t>
  </si>
  <si>
    <t>EL PRINCIPAL P/84 B</t>
  </si>
  <si>
    <t>LOS ALAMOS 186 C/18</t>
  </si>
  <si>
    <t>/33.219259,/70.682166</t>
  </si>
  <si>
    <t>/33.630746,/70.767425</t>
  </si>
  <si>
    <t>/33.626172,/70.780781</t>
  </si>
  <si>
    <t>CALLE DOS 2937</t>
  </si>
  <si>
    <t>/33.609121,/70.890982</t>
  </si>
  <si>
    <t>EL PIRCAI S/16</t>
  </si>
  <si>
    <t>/33.757709,/71.297146</t>
  </si>
  <si>
    <t>BAQUEDANO 14</t>
  </si>
  <si>
    <t>/33.756403,/71.323767</t>
  </si>
  <si>
    <t>CHIÑIHUE LAS ROSAS P/B</t>
  </si>
  <si>
    <t>/33.698698,/71.084011</t>
  </si>
  <si>
    <t>AV MANZO857</t>
  </si>
  <si>
    <t>/33.691321,/71.219164</t>
  </si>
  <si>
    <t>EL SAUCE S/3 L/A</t>
  </si>
  <si>
    <t>/33.641105,/70.798710</t>
  </si>
  <si>
    <t>EL CHALACO 53</t>
  </si>
  <si>
    <t>/33.713622,/70.550712</t>
  </si>
  <si>
    <t>PARC. 5 L/9</t>
  </si>
  <si>
    <t>/33.678902,/71.043987</t>
  </si>
  <si>
    <t>/34.031462,/71.076788</t>
  </si>
  <si>
    <t>/34.031016,/71.097874</t>
  </si>
  <si>
    <t>CONDE LA CONQUISTA 22</t>
  </si>
  <si>
    <t>/33.683260,/71.002109</t>
  </si>
  <si>
    <t>LAGO LLANQUIHUE 1773 B</t>
  </si>
  <si>
    <t>/33.686132,/71.028360</t>
  </si>
  <si>
    <t>LOS CORRALES 31</t>
  </si>
  <si>
    <t>/33.721387,/70.551609</t>
  </si>
  <si>
    <t>CAM. PUBLICO C/ 38</t>
  </si>
  <si>
    <t>/33.760375,/71.329041</t>
  </si>
  <si>
    <t>LO AGUILA 4</t>
  </si>
  <si>
    <t>/33.426245,/71.146333</t>
  </si>
  <si>
    <t>VILLA ALEGRE P/ 11 S/ 2</t>
  </si>
  <si>
    <t>/33.620632,/71.248673</t>
  </si>
  <si>
    <t>SANTA ROSA P/5</t>
  </si>
  <si>
    <t>/33.655071,/71.280534</t>
  </si>
  <si>
    <t>MIRAFLORES 49</t>
  </si>
  <si>
    <t>/33.405749,/71.127503</t>
  </si>
  <si>
    <t>SAN JOSE S/N LO/52</t>
  </si>
  <si>
    <t>/33.591518,/71.224864</t>
  </si>
  <si>
    <t>/34.031733./71.098448</t>
  </si>
  <si>
    <t>CASILLA 820</t>
  </si>
  <si>
    <t>/33.572177,/71.218219</t>
  </si>
  <si>
    <t>VIRGINIA SUBERCASE 4605P 20E</t>
  </si>
  <si>
    <t>/33.652855,70.624031</t>
  </si>
  <si>
    <t>EMILIANA SUBERCASEAUX 166</t>
  </si>
  <si>
    <t>/33.329001,/70.575997</t>
  </si>
  <si>
    <t>EL ESFUERZO CASA 11</t>
  </si>
  <si>
    <t>/33.757127,/71.315130</t>
  </si>
  <si>
    <t>STA MARGARITA S/N P/6 S/4</t>
  </si>
  <si>
    <t>/33.018562,/70.71189/3</t>
  </si>
  <si>
    <t>SANTIAGO DE AZOCAR 498</t>
  </si>
  <si>
    <t>/33.675145,/71.213673</t>
  </si>
  <si>
    <t>ALAMOS CASA 15</t>
  </si>
  <si>
    <t>/33.758367,/71.325786</t>
  </si>
  <si>
    <t>SAN JOSE S/N</t>
  </si>
  <si>
    <t>/33.582366,/71.215511</t>
  </si>
  <si>
    <t>/33.018562,/70.711893</t>
  </si>
  <si>
    <t>LIDIA SILVIA MEREY 103</t>
  </si>
  <si>
    <t>/34.406225,/71.136711</t>
  </si>
  <si>
    <t>AV. RAMON SUBERCASEUX 5240</t>
  </si>
  <si>
    <t>/33.61813,/70.527048</t>
  </si>
  <si>
    <t>SANTIAGO CANDELARIA PARC 22</t>
  </si>
  <si>
    <t>AV. RAMON SUBERCASEAUX 5240</t>
  </si>
  <si>
    <t>/33.618013,/70.527048</t>
  </si>
  <si>
    <t>PJE. LAS LOICAS 2537</t>
  </si>
  <si>
    <t>/33.605532,/70.883299</t>
  </si>
  <si>
    <t>CAMINO EL RODEO 32</t>
  </si>
  <si>
    <t>/33.212970,/70.679632</t>
  </si>
  <si>
    <t>MAIPU S/N</t>
  </si>
  <si>
    <t>/34.031461,/71.097884</t>
  </si>
  <si>
    <t>GENERAL SAN MARTIN</t>
  </si>
  <si>
    <t>/33.184469,/70.654191</t>
  </si>
  <si>
    <t>/33.756914,/71.315099</t>
  </si>
  <si>
    <t>CHICUREO 14100 CAS 76</t>
  </si>
  <si>
    <t>/33.268517,/70.620069</t>
  </si>
  <si>
    <t>CARLOS CONDELL 68</t>
  </si>
  <si>
    <t>/33.674284,/70.976180</t>
  </si>
  <si>
    <t>LIBERTAD 86</t>
  </si>
  <si>
    <t>/33.688479,/71.207797</t>
  </si>
  <si>
    <t>AGUILA SUR P 12</t>
  </si>
  <si>
    <t>/33.888261,/70.748199</t>
  </si>
  <si>
    <t>LA UNION DE CODIGUA</t>
  </si>
  <si>
    <t>/33.833946,/71.386147</t>
  </si>
  <si>
    <t>LA UNION DE CODIGUA P 30</t>
  </si>
  <si>
    <t>/33.748588,/71.316890</t>
  </si>
  <si>
    <t>CANCHA DE CARRERA 1 S/N</t>
  </si>
  <si>
    <t>/34.038061,/71.104780</t>
  </si>
  <si>
    <t>AGUILA SUR P 12 L/9</t>
  </si>
  <si>
    <t>PJE EL PARRON 456</t>
  </si>
  <si>
    <t>/33.406652,/71.126695</t>
  </si>
  <si>
    <t>/34.031447,/71.098331</t>
  </si>
  <si>
    <t>GNRAL. SAN MARTIN P/21 L P3</t>
  </si>
  <si>
    <t>/33.255736,/70.703167</t>
  </si>
  <si>
    <t>STA MARGARITA PARC 4 S/4</t>
  </si>
  <si>
    <t>/33.018997,/70.711997</t>
  </si>
  <si>
    <t>18/2023</t>
  </si>
  <si>
    <t>SECTOR LA UNION DE CODIGUA</t>
  </si>
  <si>
    <t>GNRAL. SAN MARTIN P/21 LP3</t>
  </si>
  <si>
    <t>EX FUNDO SANTA MARGARITA PARC. 658</t>
  </si>
  <si>
    <t>PJE LA SIEMBRA 0111</t>
  </si>
  <si>
    <t>/33.203552,/70.686936</t>
  </si>
  <si>
    <t>EL PROTERILLO 105</t>
  </si>
  <si>
    <t>/33.219802,/70.685374</t>
  </si>
  <si>
    <t>/33.129877,/70.670909</t>
  </si>
  <si>
    <t>AV. LA SIEMBRA 4831 C/123</t>
  </si>
  <si>
    <t>/33.30941,/70.745065</t>
  </si>
  <si>
    <t>LA HIGUERA 134</t>
  </si>
  <si>
    <t>/33.420952,/70.609947</t>
  </si>
  <si>
    <t>SAN JOSE 129</t>
  </si>
  <si>
    <t>/33.412336,/71.1510330</t>
  </si>
  <si>
    <t>PRESBITANO MORAGA 914</t>
  </si>
  <si>
    <t>/33.256902,/71.142311</t>
  </si>
  <si>
    <t>LACALDE HERNAN PRIETO P/2B L/3</t>
  </si>
  <si>
    <t>/33.697313,/70.561093</t>
  </si>
  <si>
    <t>LAS CAMELIAS 14</t>
  </si>
  <si>
    <t>/33.851342,/70.766163</t>
  </si>
  <si>
    <t>EL PRINCIPAL P28</t>
  </si>
  <si>
    <t>/33.702986,/70.561559</t>
  </si>
  <si>
    <t>/33.669126,/70.584261</t>
  </si>
  <si>
    <t>LA SIEMBRA 1273</t>
  </si>
  <si>
    <t>/33.228237,/70.683915</t>
  </si>
  <si>
    <t>LOS BARRANCIO S/N</t>
  </si>
  <si>
    <t>/33.712991,/70.550967</t>
  </si>
  <si>
    <t>AV LA SIEMBRA 5285 C/160</t>
  </si>
  <si>
    <t>/33.305751,/70.740685</t>
  </si>
  <si>
    <t>/33.685519,/71.020143</t>
  </si>
  <si>
    <t>/33.835643,/71.394930</t>
  </si>
  <si>
    <t>AUTOPISTA LOS LIBERTADORES S/N</t>
  </si>
  <si>
    <t>/33.204725,/70.665253</t>
  </si>
  <si>
    <t>UNION DE CODIGUA P/13</t>
  </si>
  <si>
    <t>/33.829177,/71.383300</t>
  </si>
  <si>
    <t>VERDI 1305</t>
  </si>
  <si>
    <t>/33.604172,/70.867692</t>
  </si>
  <si>
    <t>LA UNION DE CODIGUA S/N</t>
  </si>
  <si>
    <t>/33.830887,/71.388377</t>
  </si>
  <si>
    <t>EL ESFUERZO L/5 PARC 31</t>
  </si>
  <si>
    <t>/33.761832,/71.314392</t>
  </si>
  <si>
    <t>EL PRINCIPAL P/31 L/2</t>
  </si>
  <si>
    <t>/33.724071,/70.558023</t>
  </si>
  <si>
    <t>ACONCAGUA P/3 S/1A</t>
  </si>
  <si>
    <t>/33.183302,/70.676975</t>
  </si>
  <si>
    <t>PJE. JOSE RIVERA 734</t>
  </si>
  <si>
    <t>/33.606848,/70.868146</t>
  </si>
  <si>
    <t>UNION DE CODIGUA</t>
  </si>
  <si>
    <t>/33.830856,/71.382995</t>
  </si>
  <si>
    <t>EL ESFUERZOP/31</t>
  </si>
  <si>
    <t>/33.76566,/71.315665</t>
  </si>
  <si>
    <t>LOS PALTOS 103</t>
  </si>
  <si>
    <t>/33.814955,/71.333978</t>
  </si>
  <si>
    <t>CALLE S/N</t>
  </si>
  <si>
    <t>/33.878970,/70.880363</t>
  </si>
  <si>
    <t>JUAN LUIS MORALES 1518</t>
  </si>
  <si>
    <t>/33.404917,/71.134289</t>
  </si>
  <si>
    <t>EL POTRILLO 108</t>
  </si>
  <si>
    <t>/33.220224,/70.683882</t>
  </si>
  <si>
    <t>EL ESFUERZO PSJE. 31 SITIO 8</t>
  </si>
  <si>
    <t>/33.762082,/71.313426</t>
  </si>
  <si>
    <t>1 SUR 4985</t>
  </si>
  <si>
    <t>/33.130968,/70.801634</t>
  </si>
  <si>
    <t>/33.814046,/71.335430</t>
  </si>
  <si>
    <t>LA UNION PARC 13 S/2</t>
  </si>
  <si>
    <t>/33.828636,/71.382627</t>
  </si>
  <si>
    <t>EL ESFUERZP PARC 31</t>
  </si>
  <si>
    <t>PJE. LOS LLANEROS 030</t>
  </si>
  <si>
    <t>/33.820928,/70.734343</t>
  </si>
  <si>
    <t>QUILAMONTE</t>
  </si>
  <si>
    <t>/33.894220,/71.519338</t>
  </si>
  <si>
    <t>CRUCERO PERALILLO SITIO 5</t>
  </si>
  <si>
    <t>/33.365422,/70.845879</t>
  </si>
  <si>
    <t>CALLE 2 N° 3002</t>
  </si>
  <si>
    <t>/33.609185,/70.891758</t>
  </si>
  <si>
    <t>ESFUERZO 14</t>
  </si>
  <si>
    <t>/33.757467,/71.315991</t>
  </si>
  <si>
    <t>EL ESFUERZO CASA 9</t>
  </si>
  <si>
    <t>/33.756534,/71.314548</t>
  </si>
  <si>
    <t>MAGNO ESPINOZA 36</t>
  </si>
  <si>
    <t>/33.675324,/71.235726</t>
  </si>
  <si>
    <t>LOMAS DE SAN ANTONIO SITIO C4</t>
  </si>
  <si>
    <t>/33.761766,/71.328292</t>
  </si>
  <si>
    <t>PADRE GUSTAVO 1772</t>
  </si>
  <si>
    <t>/33.577013,/70.850218</t>
  </si>
  <si>
    <t>RUTA G 60 P/12C</t>
  </si>
  <si>
    <t>/33.814355,/71.333878</t>
  </si>
  <si>
    <t>EL DIBUJO 70/7</t>
  </si>
  <si>
    <t>/33.799770,/71.217875</t>
  </si>
  <si>
    <t>MANUEL DE SALAS 2101</t>
  </si>
  <si>
    <t>/33.392973,/71.123421</t>
  </si>
  <si>
    <t>PRINCIPAL 2B LOTE 2</t>
  </si>
  <si>
    <t>/33.701527./70.501688</t>
  </si>
  <si>
    <t>LAS TINAJAS 1</t>
  </si>
  <si>
    <t>/334091550,/71.145752</t>
  </si>
  <si>
    <t>PIEDRA AZUL513</t>
  </si>
  <si>
    <t>/33.397991,/71.130850</t>
  </si>
  <si>
    <t>ALTO POPETA 375 L/2</t>
  </si>
  <si>
    <t>/33.816917,/71.325665</t>
  </si>
  <si>
    <t>POPA BEOTO PAULO  VI 424</t>
  </si>
  <si>
    <t>/33.574799,/70.8833776</t>
  </si>
  <si>
    <t>CONDIMINIO LAS GARZAS 2 P/171</t>
  </si>
  <si>
    <t>/33.265232,/70.731498</t>
  </si>
  <si>
    <t>PADRE GUSTAVO 1767</t>
  </si>
  <si>
    <t>/33.577058,/70.830000</t>
  </si>
  <si>
    <t>CAMINO INTERIOR S/7</t>
  </si>
  <si>
    <t>/33.309661,/70.852722</t>
  </si>
  <si>
    <t>POBLACION LAS ROSAS S/N</t>
  </si>
  <si>
    <t>/33.412748,/71.115882</t>
  </si>
  <si>
    <t>RIGIDOR ONOFRE JARA 300</t>
  </si>
  <si>
    <t>/33.415506,/71.156747</t>
  </si>
  <si>
    <t>DOS NORTE 1949</t>
  </si>
  <si>
    <t>/33.395725/71.127457</t>
  </si>
  <si>
    <t>EL POLLINO LOTE 4</t>
  </si>
  <si>
    <t>/33.4176250/71.1333620</t>
  </si>
  <si>
    <t>EL POLLINO S/N</t>
  </si>
  <si>
    <t>/34.015834,/71.061646</t>
  </si>
  <si>
    <t>CAMINO AL VOLCAN 27950</t>
  </si>
  <si>
    <t>/33.7001610/70.3338700</t>
  </si>
  <si>
    <t>21 DE MAYO  S/N</t>
  </si>
  <si>
    <t>/34.013658,/71.060025</t>
  </si>
  <si>
    <t>EL MUELLE 151</t>
  </si>
  <si>
    <t>/33.594357,/70.884792</t>
  </si>
  <si>
    <t>/34.015779/71.061467</t>
  </si>
  <si>
    <t>JEHOVA JIREH 1105</t>
  </si>
  <si>
    <t>/33.394.538,/71.120262</t>
  </si>
  <si>
    <t>CACIQUE COLIN 158</t>
  </si>
  <si>
    <t>/33.277833,/70.804260</t>
  </si>
  <si>
    <t>/33.285329,/70.761381</t>
  </si>
  <si>
    <t>C. CAMINO PUBLICO 361</t>
  </si>
  <si>
    <t>/34.013028/71.062824</t>
  </si>
  <si>
    <t>VALLADARES 70</t>
  </si>
  <si>
    <t>/33.407609/71.140169</t>
  </si>
  <si>
    <t>HACIENDA ALHUE S/N</t>
  </si>
  <si>
    <t>/34.020377/71.120652</t>
  </si>
  <si>
    <t>PJE CHINCOL ORIENTE 2261</t>
  </si>
  <si>
    <t>/33.28541/70.88436</t>
  </si>
  <si>
    <t>CAMINO INTERIOR S/18</t>
  </si>
  <si>
    <t>/33.152485/70.53016</t>
  </si>
  <si>
    <t>COSTANERA 200</t>
  </si>
  <si>
    <t>/33.163545/70.52254</t>
  </si>
  <si>
    <t>QUELTEHUE 2276</t>
  </si>
  <si>
    <t>/33.295747/70.882484</t>
  </si>
  <si>
    <t>RUBEN DARIO 33</t>
  </si>
  <si>
    <t>/33.87346/70.881635</t>
  </si>
  <si>
    <t>DE SALAZAR 373</t>
  </si>
  <si>
    <t>/33.373995/71.168876</t>
  </si>
  <si>
    <t>RUTA 68 LOTE 10</t>
  </si>
  <si>
    <t>/33.413161/71.045665</t>
  </si>
  <si>
    <t>EL AJIAL PARC A1</t>
  </si>
  <si>
    <t>/33.4954110/71.0312580</t>
  </si>
  <si>
    <t>LAS PARCELAS 33</t>
  </si>
  <si>
    <t>/33.717973/70.911071</t>
  </si>
  <si>
    <t>SAN ROBERTO SITIO 4</t>
  </si>
  <si>
    <t>/33.853539/70.833302</t>
  </si>
  <si>
    <t>EL QUILLAY 47</t>
  </si>
  <si>
    <t>/33.3786350/71.1838990</t>
  </si>
  <si>
    <t>CATORCE 3795</t>
  </si>
  <si>
    <t>/33.612046/70.901886</t>
  </si>
  <si>
    <t>CINCO DE ABRIL 522</t>
  </si>
  <si>
    <t>/34.015458/71.055175</t>
  </si>
  <si>
    <t>/34.015566/71.055378</t>
  </si>
  <si>
    <t>ALCADE GILDA DIAZ 284</t>
  </si>
  <si>
    <t>/33.824179/70.747900</t>
  </si>
  <si>
    <t>/34.015540/71.055258</t>
  </si>
  <si>
    <t>CAMINO AL VOLVAN 26254</t>
  </si>
  <si>
    <t>/33.5763710/70.4516200</t>
  </si>
  <si>
    <t>ONOFRE JARPA 1 S/N</t>
  </si>
  <si>
    <t>/34.013667/71.060732</t>
  </si>
  <si>
    <t>/34.015532/71.055262</t>
  </si>
  <si>
    <t>EL COMERCIO 18776</t>
  </si>
  <si>
    <t>/33.6315300/70.3509500</t>
  </si>
  <si>
    <t>VICTOR MUÑOZ 321</t>
  </si>
  <si>
    <t>/33.442302/70.442921</t>
  </si>
  <si>
    <t>COSTANERA 228</t>
  </si>
  <si>
    <t>/33.276551/70.873227</t>
  </si>
  <si>
    <t>SAN VICENTE S/N</t>
  </si>
  <si>
    <t>/33.678860/70.612335</t>
  </si>
  <si>
    <t>EL CASTAÑO 11195</t>
  </si>
  <si>
    <t>/33.728352/70.551376</t>
  </si>
  <si>
    <t>POLO MANQUEHUE IV CASA 50</t>
  </si>
  <si>
    <t>/33.266691/70.632209</t>
  </si>
  <si>
    <t>PJE. LEONARDO DAVINCI 0214</t>
  </si>
  <si>
    <t>/33.144824/70.6642</t>
  </si>
  <si>
    <t>LAS ROSAS 231</t>
  </si>
  <si>
    <t>/33.404911/71.130267</t>
  </si>
  <si>
    <t>CUYUNCAVI BAJO P29</t>
  </si>
  <si>
    <t>/33.3855905/71.1228785</t>
  </si>
  <si>
    <t>CALLE PUNTA ARENAS 0645</t>
  </si>
  <si>
    <t>/33.599454/70.848204</t>
  </si>
  <si>
    <t>PJE 47 686</t>
  </si>
  <si>
    <t>/33.361595/70.5301</t>
  </si>
  <si>
    <t>RUTA 68 S/N</t>
  </si>
  <si>
    <t>/33.241217/71.053660</t>
  </si>
  <si>
    <t>COVADONGA 426</t>
  </si>
  <si>
    <t>/33.398845/71.130397</t>
  </si>
  <si>
    <t>EL ARRAYAN 303</t>
  </si>
  <si>
    <t>/33.398777/71.121192</t>
  </si>
  <si>
    <t>CIRUELAR S/N</t>
  </si>
  <si>
    <t>/34.015443/71.053590</t>
  </si>
  <si>
    <t>PUERTAS COLORADAS P12</t>
  </si>
  <si>
    <t>/33.6642490/71.3029250</t>
  </si>
  <si>
    <t>CAMINO LA LINEA S/N</t>
  </si>
  <si>
    <t>/34.024448/71.135370</t>
  </si>
  <si>
    <t>EL CIRUELAR 3</t>
  </si>
  <si>
    <t>/34.015397/71.053602</t>
  </si>
  <si>
    <t>EL ASIENTO 2</t>
  </si>
  <si>
    <t>/34.015397/71.003681</t>
  </si>
  <si>
    <t>LOS ALAMOS 508</t>
  </si>
  <si>
    <t>/34.013833/71.054103</t>
  </si>
  <si>
    <t>/34.013528/71.060103</t>
  </si>
  <si>
    <t>ROSA URETA PINTO 2281</t>
  </si>
  <si>
    <t>/33.434699/70.454534</t>
  </si>
  <si>
    <t>LO AGUILA 2B</t>
  </si>
  <si>
    <t>/33.418618/71.129886</t>
  </si>
  <si>
    <t>PUERTAS COLORADAS P/12</t>
  </si>
  <si>
    <t>/33.66215/71.30717</t>
  </si>
  <si>
    <t>CAMINO DEL MIRADOR P/18</t>
  </si>
  <si>
    <t>/33.399265/71.170082</t>
  </si>
  <si>
    <t>PUANGUE S/N</t>
  </si>
  <si>
    <t>/33.66510/71.31128</t>
  </si>
  <si>
    <t>UNO ORIENTE 152</t>
  </si>
  <si>
    <t>/33.136616/70.807128</t>
  </si>
  <si>
    <t>SAN JOSE 038</t>
  </si>
  <si>
    <t>/33.06525/70.47292</t>
  </si>
  <si>
    <t>AV. ROSA FAJARADO 032</t>
  </si>
  <si>
    <t>/33.06518/70.47257</t>
  </si>
  <si>
    <t>CHORRILLOS S/4</t>
  </si>
  <si>
    <t>/34.034510/71.092202</t>
  </si>
  <si>
    <t>MIRAFLORES S/N</t>
  </si>
  <si>
    <t>/34.015662/71.055807</t>
  </si>
  <si>
    <t>CANELILLO 45</t>
  </si>
  <si>
    <t>/33.278130/70.88141</t>
  </si>
  <si>
    <t>SITIO 508 VILLA LAS ARALIAS</t>
  </si>
  <si>
    <t>/33.594139/70.812500</t>
  </si>
  <si>
    <t>AV. CENTENARIO 19081</t>
  </si>
  <si>
    <t>/33.63461/70.34749</t>
  </si>
  <si>
    <t>CAMINO AL VOLCAN 26251</t>
  </si>
  <si>
    <t>/33.68554/70.33809</t>
  </si>
  <si>
    <t>QUINQUILA 1377</t>
  </si>
  <si>
    <t>/33.278822/70.872471</t>
  </si>
  <si>
    <t>VILLASECA 815</t>
  </si>
  <si>
    <t>/33.743331/70.750633</t>
  </si>
  <si>
    <t>RUTA 68 S/</t>
  </si>
  <si>
    <t>/33.243790/71.082650</t>
  </si>
  <si>
    <t>SANTA EMILIA S/N</t>
  </si>
  <si>
    <t>/33.46721/71.10405</t>
  </si>
  <si>
    <t>EL LLANO LOTE A/3</t>
  </si>
  <si>
    <t>/33.37278/71.16903</t>
  </si>
  <si>
    <t>CAMINO AL VOLCAN 26893</t>
  </si>
  <si>
    <t>/33.6908450/70.3559680</t>
  </si>
  <si>
    <t>LA APARICION S/N</t>
  </si>
  <si>
    <t>/33.782569/70.655937</t>
  </si>
  <si>
    <t>SAN ROBERTO S/N SITIO B</t>
  </si>
  <si>
    <t>/33.855025/70.50011</t>
  </si>
  <si>
    <t>/33.6908450/70.5359680</t>
  </si>
  <si>
    <t>CALLE DEL RIO 19388</t>
  </si>
  <si>
    <t>/33.6369400/70.3536680</t>
  </si>
  <si>
    <t>VISTA HERMOSA 597</t>
  </si>
  <si>
    <t>/33.1979390/70.6633856</t>
  </si>
  <si>
    <t>CALLE EL CERRO 19982</t>
  </si>
  <si>
    <t>/33.6430820/70.3513490</t>
  </si>
  <si>
    <t>SAN JOSE 120</t>
  </si>
  <si>
    <t>/33.412192/71.150724</t>
  </si>
  <si>
    <t>SANTA LUISA 21</t>
  </si>
  <si>
    <t>/33.560188/70.872727</t>
  </si>
  <si>
    <t>INES DE SUAREZ 333</t>
  </si>
  <si>
    <t>/34.031673/71.102295</t>
  </si>
  <si>
    <t>CALLE MAIPU S/N</t>
  </si>
  <si>
    <t>/34.0153688/71.055282</t>
  </si>
  <si>
    <t>CHACABUCO S/N</t>
  </si>
  <si>
    <t>CUYUNCAVI PARC 33/ B2</t>
  </si>
  <si>
    <t>/33.3849640/71.1114430</t>
  </si>
  <si>
    <t>LOS AROMOS 64 LOTE 3</t>
  </si>
  <si>
    <t>/33.8645320/70.7526930</t>
  </si>
  <si>
    <t>PJE UNO 274</t>
  </si>
  <si>
    <t>/33.504830/70.7668080</t>
  </si>
  <si>
    <t>JUAN CASTRO ACUÑA 1779</t>
  </si>
  <si>
    <t>/33.8230740/70.733600</t>
  </si>
  <si>
    <t>CAMINO AL VOLCAN 11423</t>
  </si>
  <si>
    <t>/33.5867460/70.3910750</t>
  </si>
  <si>
    <t>OSCAR BONILLA 339</t>
  </si>
  <si>
    <t>/33.203415/70.667870</t>
  </si>
  <si>
    <t>AV. ANGEL ASTORGA 19081</t>
  </si>
  <si>
    <t>/33.6353680/70.3487930</t>
  </si>
  <si>
    <t>PEUMO 2597</t>
  </si>
  <si>
    <t>/33.298370/70.881577</t>
  </si>
  <si>
    <t>/34.015546/71055386</t>
  </si>
  <si>
    <t>/34.034294/71.103951</t>
  </si>
  <si>
    <t>VEINTIUNO DE MAYO 322</t>
  </si>
  <si>
    <t>/34.034296/71.103952</t>
  </si>
  <si>
    <t>DIESIOCHO DE SEPTIEMBRE 037</t>
  </si>
  <si>
    <t>/34.031937/71.106201</t>
  </si>
  <si>
    <t>AV. CENTENARIO 19120</t>
  </si>
  <si>
    <t>/33.6354480/70.3474730</t>
  </si>
  <si>
    <t>LOS OLMOS 11494</t>
  </si>
  <si>
    <t>/33.5882420/70.3914640</t>
  </si>
  <si>
    <t>DIECISEIS DE AGOSTO S/N</t>
  </si>
  <si>
    <t>/34.034554/71.099663</t>
  </si>
  <si>
    <t>CALLE UNO</t>
  </si>
  <si>
    <t>/33.6380730/70.3547520</t>
  </si>
  <si>
    <t>DIESIOCHO DE SEPTIEMBRE S/N</t>
  </si>
  <si>
    <t>CHACABUCO CV2</t>
  </si>
  <si>
    <t>/34.031898/71.095131</t>
  </si>
  <si>
    <t>LA TEMPORADA 01626</t>
  </si>
  <si>
    <t>/33.701078/70.738534</t>
  </si>
  <si>
    <t>CAMINO PICHI S/N</t>
  </si>
  <si>
    <t>/34.015196/71.045632</t>
  </si>
  <si>
    <t>DIESIOCHO DE SEPTIEMBRE 067</t>
  </si>
  <si>
    <t>/34.015262/71.060922</t>
  </si>
  <si>
    <t>/34.015241/71.044368</t>
  </si>
  <si>
    <t>/34.0314410/71.2179260</t>
  </si>
  <si>
    <t>LOS AROMOS S/N</t>
  </si>
  <si>
    <t>/34.0370410/71.0981110</t>
  </si>
  <si>
    <t>CAMINO LA CUESTA S/N</t>
  </si>
  <si>
    <t>/34.0190350/71.2135240</t>
  </si>
  <si>
    <t>LA BALLICA 1184</t>
  </si>
  <si>
    <t>/33.716853/70.985295</t>
  </si>
  <si>
    <t>ESPERANZA 484</t>
  </si>
  <si>
    <t>/340345460/71.0959630</t>
  </si>
  <si>
    <t>ONCE DE SEPTIEMBRE 892</t>
  </si>
  <si>
    <t>/34.015330/71.061311</t>
  </si>
  <si>
    <t>DIECINUEVE DE AGOSTO 428</t>
  </si>
  <si>
    <t>/34.034718/71.099884</t>
  </si>
  <si>
    <t>/34.034718/71.099844</t>
  </si>
  <si>
    <t>DIECISEIS DE AGOSTO 404</t>
  </si>
  <si>
    <t>/34.034855/71.100380</t>
  </si>
  <si>
    <t>SEGUNDO ZAPATA DIAZ 154</t>
  </si>
  <si>
    <t>/33.279824/70.887266</t>
  </si>
  <si>
    <t>BARRANCAS DE PICHI S/N</t>
  </si>
  <si>
    <t>/33.986375/71.062800</t>
  </si>
  <si>
    <t>/.33.743696/70.750243</t>
  </si>
  <si>
    <t>SANTA LUISA S/21</t>
  </si>
  <si>
    <t>/33.557376/70.878273</t>
  </si>
  <si>
    <t>CAMINO HACIENDA S/N</t>
  </si>
  <si>
    <t>/33.392158/71.172390</t>
  </si>
  <si>
    <t>MANUEL MORALES 885</t>
  </si>
  <si>
    <t>/33.8229030/70.7327120</t>
  </si>
  <si>
    <t>CARLOS CONTRERAS 932</t>
  </si>
  <si>
    <t>/33.8233410/70.7317580</t>
  </si>
  <si>
    <t>DIECINUEVE DE AGOSTO S/N</t>
  </si>
  <si>
    <t>/34.0343285/71.099770</t>
  </si>
  <si>
    <t>EL LLANO S/N</t>
  </si>
  <si>
    <t>/34.041150/71.145548</t>
  </si>
  <si>
    <t>/34.040108/71.150921</t>
  </si>
  <si>
    <t>/34.014888/71.062498</t>
  </si>
  <si>
    <t>AV. EL CERRO 19982</t>
  </si>
  <si>
    <t>/33.6427190/70.3515240</t>
  </si>
  <si>
    <t>LAS ARAUCARIAS 0288</t>
  </si>
  <si>
    <t>/33.580325/70.27201</t>
  </si>
  <si>
    <t>/33.986103/71.063698</t>
  </si>
  <si>
    <t>/33.988354/71.063614</t>
  </si>
  <si>
    <t>/34.035592/71.145002</t>
  </si>
  <si>
    <t>CUATRO NORTE N21</t>
  </si>
  <si>
    <t>/33.6373900/70.3511723</t>
  </si>
  <si>
    <t>APARICION DE PAINE S/N</t>
  </si>
  <si>
    <t>33.7874140/70.6301650</t>
  </si>
  <si>
    <t>LAS GUIAS P/12</t>
  </si>
  <si>
    <t>/33.7435076/70.9672550</t>
  </si>
  <si>
    <t>/34.025269/71.131205</t>
  </si>
  <si>
    <t>/34.032190/71.101295</t>
  </si>
  <si>
    <t>/33.7874140/70.6301650</t>
  </si>
  <si>
    <t>/34.055852/71.219276</t>
  </si>
  <si>
    <t>EL LLANO 4</t>
  </si>
  <si>
    <t>/34.035945/71.140803</t>
  </si>
  <si>
    <t>/34.025269/71.171205</t>
  </si>
  <si>
    <t>PJE CUATRO 556</t>
  </si>
  <si>
    <t>/33.606832/70.863990</t>
  </si>
  <si>
    <t>SANTA TERESA DE CALCUTA 0101</t>
  </si>
  <si>
    <t>/33.599689/70.849493</t>
  </si>
  <si>
    <t>NESTOR ANGUITA 156</t>
  </si>
  <si>
    <t>/33.360875/70.53348</t>
  </si>
  <si>
    <t>ORILLA DEL RIO 154</t>
  </si>
  <si>
    <t>/33.7070810/70.5475770</t>
  </si>
  <si>
    <t>/34.032284/71.095955</t>
  </si>
  <si>
    <t>EL MOLINO 720</t>
  </si>
  <si>
    <t>/34.034431/71.092316</t>
  </si>
  <si>
    <t>SAN MANUEL 182</t>
  </si>
  <si>
    <t>/33.7088430/70.5494690</t>
  </si>
  <si>
    <t>LA LINEA P 21 S2</t>
  </si>
  <si>
    <t>/34.050442/71.236948</t>
  </si>
  <si>
    <t>CACIQUE 24</t>
  </si>
  <si>
    <t>/34.020134/71.062186</t>
  </si>
  <si>
    <t>/34.034870/71.097244</t>
  </si>
  <si>
    <t>VOLVAN TACORA 4734</t>
  </si>
  <si>
    <t>/33.3281700/70.7712180</t>
  </si>
  <si>
    <t>/34.003300/71.155515</t>
  </si>
  <si>
    <t>/34.050120/71.140211</t>
  </si>
  <si>
    <t>LA LINEA P21</t>
  </si>
  <si>
    <t>/34.143650/71.601022</t>
  </si>
  <si>
    <t>/34.366137/71.099823</t>
  </si>
  <si>
    <t>/34.027558/71.083576</t>
  </si>
  <si>
    <t>BARRANCA DE PICHI S/N</t>
  </si>
  <si>
    <t>/33.85683/71.065559</t>
  </si>
  <si>
    <t>HACIENDA ALHUE S/N LOTE 3</t>
  </si>
  <si>
    <t>/34.052811/71.239708</t>
  </si>
  <si>
    <t>CIRCUNVALACION S/N LOTE 1D</t>
  </si>
  <si>
    <t>/33.408510/71.137051</t>
  </si>
  <si>
    <t>VILLA JUAN XXIII S/N</t>
  </si>
  <si>
    <t>/33.406736/71.143775</t>
  </si>
  <si>
    <t>AV. LA HACIENDA 2221 C/20</t>
  </si>
  <si>
    <t>/33.293885/70.872230</t>
  </si>
  <si>
    <t>/33.4444360/71.1395720</t>
  </si>
  <si>
    <t>CAMINO LAGUNILLA 21621</t>
  </si>
  <si>
    <t>/33.6541210/70.3489000</t>
  </si>
  <si>
    <t>/34.053059/71.239553</t>
  </si>
  <si>
    <t>/34.044136/71.085683</t>
  </si>
  <si>
    <t>CAMINO AL VOLCAN 22337</t>
  </si>
  <si>
    <t>/33.6608610/70.3512880</t>
  </si>
  <si>
    <t>JUANA CANALES 1303</t>
  </si>
  <si>
    <t>/33.668063/70.924277</t>
  </si>
  <si>
    <t>/34.034950/71.099648</t>
  </si>
  <si>
    <t>LOS ROBLES 550</t>
  </si>
  <si>
    <t>/34.035233/71.093994</t>
  </si>
  <si>
    <t>BARRACAS DE PICHI S/N</t>
  </si>
  <si>
    <t>/33.983868/71.065926</t>
  </si>
  <si>
    <t>ARTURO PRAT P21</t>
  </si>
  <si>
    <t>/33.236397/70.807190</t>
  </si>
  <si>
    <t>/34.0261080/71.1017230</t>
  </si>
  <si>
    <t>/34.0310210/71.2171000</t>
  </si>
  <si>
    <t>/34.034504/71.140099</t>
  </si>
  <si>
    <t>ARTURO PRAT S/N</t>
  </si>
  <si>
    <t>/34.236397/70.807190</t>
  </si>
  <si>
    <t>DIEGO PORTALES 24 A</t>
  </si>
  <si>
    <t>/33.112188/70.789799</t>
  </si>
  <si>
    <t>/34.0319940/71.0820160</t>
  </si>
  <si>
    <t>CAMINO DE LA AGUADA S/N</t>
  </si>
  <si>
    <t>/34.0283280/71.1029890</t>
  </si>
  <si>
    <t>/34.034102/71.215718</t>
  </si>
  <si>
    <t>UNO SUR 420</t>
  </si>
  <si>
    <t>/33.130115/70.800056</t>
  </si>
  <si>
    <t>/34.034591/71.010743</t>
  </si>
  <si>
    <t>/34.034492/71.135758</t>
  </si>
  <si>
    <t>/34.034403/71.135761</t>
  </si>
  <si>
    <t>/34.043878/71.145067</t>
  </si>
  <si>
    <t>CAMINO AL VOLCAN 27806</t>
  </si>
  <si>
    <t>/33.699566/70.333824</t>
  </si>
  <si>
    <t>/34.015419/71.053438</t>
  </si>
  <si>
    <t>/34.12211/71.067281</t>
  </si>
  <si>
    <t>RIO COLORADO S/N</t>
  </si>
  <si>
    <t>/33.5364910/70.264359</t>
  </si>
  <si>
    <t>/34.021186/71.062582</t>
  </si>
  <si>
    <t>/34.036335/71.097275</t>
  </si>
  <si>
    <t>FRANCISCO JOFRE 1150</t>
  </si>
  <si>
    <t>/33.407996/71.138034</t>
  </si>
  <si>
    <t>RAIMUNDO MONVAISIN 578</t>
  </si>
  <si>
    <t>/33.656034/70.916114</t>
  </si>
  <si>
    <t>MORALES 152</t>
  </si>
  <si>
    <t>/33.437186/71.138089</t>
  </si>
  <si>
    <t>CENTRAL LO VARGA  S/10</t>
  </si>
  <si>
    <t>/33.267109/70.883057</t>
  </si>
  <si>
    <t>AV. OHIGGINS 1514</t>
  </si>
  <si>
    <t>/33.404545/71.134264</t>
  </si>
  <si>
    <t>LA VENDIMIA 181</t>
  </si>
  <si>
    <t>/33.407960/71.148445</t>
  </si>
  <si>
    <t>CAMINO AL VOLCAN 11065</t>
  </si>
  <si>
    <t>/33.5853500/70.3942260</t>
  </si>
  <si>
    <t>QUEBRADA LOS CASTAÑOS 105</t>
  </si>
  <si>
    <t>/33.7826000/70.2433700</t>
  </si>
  <si>
    <t>/34.015598/71.066289</t>
  </si>
  <si>
    <t>EL TRANQUE S/N</t>
  </si>
  <si>
    <t>/34.036713/71.097672</t>
  </si>
  <si>
    <t>/34.034901/71.140520</t>
  </si>
  <si>
    <t>/34.020633/71.062196</t>
  </si>
  <si>
    <t>IGNACIO CARRERA PINTO 1</t>
  </si>
  <si>
    <t>/34.020061/71.042978</t>
  </si>
  <si>
    <t>CALLE EL CIRUELAR S/N</t>
  </si>
  <si>
    <t>/34.034569/71.090569</t>
  </si>
  <si>
    <t>LOS ALAMOS S/N</t>
  </si>
  <si>
    <t>/34.0440400/71.2246550</t>
  </si>
  <si>
    <t>/34.0267980/70.9977110</t>
  </si>
  <si>
    <t>/34.031482/71.217956</t>
  </si>
  <si>
    <t>/34.0262030/71.0860600</t>
  </si>
  <si>
    <t>/33.979229/71.066940</t>
  </si>
  <si>
    <t>/34.032181/71.101517</t>
  </si>
  <si>
    <t>/34.020101/71.060628</t>
  </si>
  <si>
    <t>VILLASECA 15  CASA 4</t>
  </si>
  <si>
    <t>/33.743719/70.750679</t>
  </si>
  <si>
    <t>BUIN 1507</t>
  </si>
  <si>
    <t>/33.819586/70.737225</t>
  </si>
  <si>
    <t>CINCO ORIENTE 121</t>
  </si>
  <si>
    <t>/33.130052/70.47520</t>
  </si>
  <si>
    <t>PEDRO VARGAS BARRIENTO 656</t>
  </si>
  <si>
    <t>/33.806184/70.729987</t>
  </si>
  <si>
    <t>EL MAITEN 19</t>
  </si>
  <si>
    <t>/33.089108/70.922974</t>
  </si>
  <si>
    <t>DIEGO PORTALES 41</t>
  </si>
  <si>
    <t>/33.112667/70.790531</t>
  </si>
  <si>
    <t>/34.015719/71.042720</t>
  </si>
  <si>
    <t>SANTUARIO PONIENTE 19176</t>
  </si>
  <si>
    <t>/33.644030/70.3520050</t>
  </si>
  <si>
    <t>CAÑADA NORTE 496</t>
  </si>
  <si>
    <t>/33.6348999/70.3522630</t>
  </si>
  <si>
    <t>/34.030615/70.592036</t>
  </si>
  <si>
    <t>/34.021030/71050133</t>
  </si>
  <si>
    <t>SECTOR LOS LLANOS S/N</t>
  </si>
  <si>
    <t>/34.015719/71.043408</t>
  </si>
  <si>
    <t>/34.032181/1.101517</t>
  </si>
  <si>
    <t>/34.013619/71.050621</t>
  </si>
  <si>
    <t>/34.013619/71.050601</t>
  </si>
  <si>
    <t>ESMERALADA 1</t>
  </si>
  <si>
    <t>/34.035065/71.099950</t>
  </si>
  <si>
    <t>CARDENAL JOSE MARIA CARO 352</t>
  </si>
  <si>
    <t>/33.577352/70.830896</t>
  </si>
  <si>
    <t>/34.015994/71.060172</t>
  </si>
  <si>
    <t>/33.422397/71.130997</t>
  </si>
  <si>
    <t>/34.052273/71.239393</t>
  </si>
  <si>
    <t>/34.049052/71.234078</t>
  </si>
  <si>
    <t>/34.054412/71.241826</t>
  </si>
  <si>
    <t>CAMPAMENTO SOL DE SEPTIEMBRE S/N</t>
  </si>
  <si>
    <t>/33.307995/70.855881</t>
  </si>
  <si>
    <t>/34.029307/71.080180</t>
  </si>
  <si>
    <t>/34.036226/71.091821</t>
  </si>
  <si>
    <t>RAMON BARROS LUCO 286</t>
  </si>
  <si>
    <t>/33.728507/70.739918</t>
  </si>
  <si>
    <t>ESTACION S/N</t>
  </si>
  <si>
    <t>/33.9683950/70.8408120</t>
  </si>
  <si>
    <t>/33.112357/70.790471</t>
  </si>
  <si>
    <t>/34.034836/71.221619</t>
  </si>
  <si>
    <t>BARRIO CHINO MONTENEGRO S/N</t>
  </si>
  <si>
    <t>/32.971679/70.841851</t>
  </si>
  <si>
    <t>EL MOLINO 1071</t>
  </si>
  <si>
    <t>/34.034679/71.090919</t>
  </si>
  <si>
    <t>NUEVA PORVENIR PARC 14</t>
  </si>
  <si>
    <t>/33.29041/70.845535</t>
  </si>
  <si>
    <t>CRUCE SUR MONTENEGRO S/N</t>
  </si>
  <si>
    <t>/32.968644/70.841018</t>
  </si>
  <si>
    <t>/34.011742/71.044527</t>
  </si>
  <si>
    <t>DIEGO PORTALES 41 B</t>
  </si>
  <si>
    <t>/33.113594/70.789826</t>
  </si>
  <si>
    <t>ORILLA DEL RIO 166</t>
  </si>
  <si>
    <t>/33.7089350/70.5378720</t>
  </si>
  <si>
    <t>SANTA ANA SITIO 16</t>
  </si>
  <si>
    <t>/33.108983/70.791856</t>
  </si>
  <si>
    <t>MIRAFLORES 2004</t>
  </si>
  <si>
    <t>/33.599264/70.872828</t>
  </si>
  <si>
    <t>/34.0122500/77.251051</t>
  </si>
  <si>
    <t>EL PRINCIPAL 107</t>
  </si>
  <si>
    <t>/33.7230760/70.5547410</t>
  </si>
  <si>
    <t>/34.04815/71.044816</t>
  </si>
  <si>
    <t>/34.014815/71.044816</t>
  </si>
  <si>
    <t>/33.4044230/71.1265560</t>
  </si>
  <si>
    <t>/34.053659/71.241990</t>
  </si>
  <si>
    <t>EL LLANO 173</t>
  </si>
  <si>
    <t>/34.050725/71.228761</t>
  </si>
  <si>
    <t>ALEJANDRO CONTRERAS 1642</t>
  </si>
  <si>
    <t>/33.4075810/71.1323240</t>
  </si>
  <si>
    <t>LUCAS PACHECO 601</t>
  </si>
  <si>
    <t>/33.659225/70.924805</t>
  </si>
  <si>
    <t>NUEVA ESPERANZA 1220</t>
  </si>
  <si>
    <t>/33.666252/70.923492</t>
  </si>
  <si>
    <t>/34.053974/71.238127</t>
  </si>
  <si>
    <t>BATALLA SAN JUAN S/N</t>
  </si>
  <si>
    <t>/33.271672/71.010817</t>
  </si>
  <si>
    <t>CALLEJON EXISTENTE 1807</t>
  </si>
  <si>
    <t>/33.4078410/71.1293030</t>
  </si>
  <si>
    <t>NUEVA LO MARQUEZ 6</t>
  </si>
  <si>
    <t>/33.607531/70.893399</t>
  </si>
  <si>
    <t>SANTA TERESA DE CALCUTA 0100</t>
  </si>
  <si>
    <t>/33.599822/70.848976</t>
  </si>
  <si>
    <t>PASAJE CINCO 19438</t>
  </si>
  <si>
    <t>/33.637184/70.356506</t>
  </si>
  <si>
    <t>PUNTA ARENAS 0610</t>
  </si>
  <si>
    <t>/33.600379/70.851445</t>
  </si>
  <si>
    <t>LOURDES 749</t>
  </si>
  <si>
    <t>/33.562183/70.795181</t>
  </si>
  <si>
    <t>RIO CHOAPA 792</t>
  </si>
  <si>
    <t>/33.657352/70.913300</t>
  </si>
  <si>
    <t>EL LITRE 464</t>
  </si>
  <si>
    <t>/33.8059389/70.7317113</t>
  </si>
  <si>
    <t>SECTOR CHIMBITO</t>
  </si>
  <si>
    <t>/33.630787/71.226326</t>
  </si>
  <si>
    <t>/34.034887/71.131038</t>
  </si>
  <si>
    <t>/34.015671/71.052202</t>
  </si>
  <si>
    <t>/34.020853/71.062155</t>
  </si>
  <si>
    <t>/34.015380/71.071561</t>
  </si>
  <si>
    <t>/34.014733/71.071489</t>
  </si>
  <si>
    <t>/34.013775/71.050838</t>
  </si>
  <si>
    <t>PJE LOS MAITENES S/N</t>
  </si>
  <si>
    <t>/34.031586/71.077621</t>
  </si>
  <si>
    <t>/33.410912/71.130497</t>
  </si>
  <si>
    <t>CALLE EL CIRUELAR CV3</t>
  </si>
  <si>
    <t>/34.033710/71.090416</t>
  </si>
  <si>
    <t>CAMINO INTERIOR PARC 45</t>
  </si>
  <si>
    <t>/33.2411190/70.9044420</t>
  </si>
  <si>
    <t>AV. FRANCIA M28 SITIO 3</t>
  </si>
  <si>
    <t>/33.235821/70.806160</t>
  </si>
  <si>
    <t>NUEVA PORVENIR 14</t>
  </si>
  <si>
    <t>/33.279087/70.845734</t>
  </si>
  <si>
    <t>MATICO 517</t>
  </si>
  <si>
    <t>/33.294323/70.884071</t>
  </si>
  <si>
    <t>TALCA 1252</t>
  </si>
  <si>
    <t>/33.603687/70.869641</t>
  </si>
  <si>
    <t>PUNTA ARENAS 0606</t>
  </si>
  <si>
    <t>/33.599754/70.848978</t>
  </si>
  <si>
    <t>OHIGGINS 60</t>
  </si>
  <si>
    <t>/33.407878/71.140495</t>
  </si>
  <si>
    <t>PJE DOS 2207</t>
  </si>
  <si>
    <t>/33.400461/71.120020</t>
  </si>
  <si>
    <t>TENIENTE BERNARDO ESCOBAR 75</t>
  </si>
  <si>
    <t>/33.404935/71.133877</t>
  </si>
  <si>
    <t>LO ARCALLA PARC1</t>
  </si>
  <si>
    <t>/33.2448894/70.6768328</t>
  </si>
  <si>
    <t>QUEBRADA LOS CASTAÑOS 078</t>
  </si>
  <si>
    <t>/33.78159/70.24460</t>
  </si>
  <si>
    <t>BATALLA SAN JUAN P13</t>
  </si>
  <si>
    <t>/33.272534/71.013731</t>
  </si>
  <si>
    <t>QUEBRADA AGUAS BLANCAS 027</t>
  </si>
  <si>
    <t>/33.78193/70.24397</t>
  </si>
  <si>
    <t>AGUAS BLANCAS 45</t>
  </si>
  <si>
    <t>/33.78208/70.24401</t>
  </si>
  <si>
    <t>CAMINO PUBLICO S/N</t>
  </si>
  <si>
    <t>/33.64469/70.35088</t>
  </si>
  <si>
    <t>/34.029068/71.081003</t>
  </si>
  <si>
    <t>/33.272534/71/013731</t>
  </si>
  <si>
    <t>PJE EL BOLDO S/N</t>
  </si>
  <si>
    <t>/34.029961/71.078870</t>
  </si>
  <si>
    <t>CALLE CIRUELAR CV3</t>
  </si>
  <si>
    <t>/34.033985/71.090622</t>
  </si>
  <si>
    <t>/34.031084/71.096743</t>
  </si>
  <si>
    <t>/34.015273/71.045422</t>
  </si>
  <si>
    <t>AGUAS BLANCAS 46</t>
  </si>
  <si>
    <t>/33.78211/70.24380</t>
  </si>
  <si>
    <t>/34.308017/71.082377</t>
  </si>
  <si>
    <t>SECTOR 1</t>
  </si>
  <si>
    <t>/34.038066/7.094425</t>
  </si>
  <si>
    <t>LOS ALMENDROS S/N</t>
  </si>
  <si>
    <t>/34.026398/71.104897</t>
  </si>
  <si>
    <t>/34.032688/71.1011707</t>
  </si>
  <si>
    <t>CHORRILLOS 2 S/N</t>
  </si>
  <si>
    <t>/34.015915/71.053587</t>
  </si>
  <si>
    <t>EL CIRUELAR S/N</t>
  </si>
  <si>
    <t>/34.020168/71.052541</t>
  </si>
  <si>
    <t>DE CARRERA S/N</t>
  </si>
  <si>
    <t>/34.021032/71.063380</t>
  </si>
  <si>
    <t>/34.020535/71.052575</t>
  </si>
  <si>
    <t>/34.020435/71.054001</t>
  </si>
  <si>
    <t>LOS EUCALIPTUS 796</t>
  </si>
  <si>
    <t>ARTURO PRAT 595</t>
  </si>
  <si>
    <t>/33.236843/70.806915</t>
  </si>
  <si>
    <t>SIN NOMBRE S/N</t>
  </si>
  <si>
    <t>/34.020083/71.042844</t>
  </si>
  <si>
    <t>EUCALIPTUS 796</t>
  </si>
  <si>
    <t>/34.021194/71.048254</t>
  </si>
  <si>
    <t>LOS LLANOS S/N</t>
  </si>
  <si>
    <t>/34.014981/71.050220</t>
  </si>
  <si>
    <t>QUEBRADA LOS CASTAÑOS  018</t>
  </si>
  <si>
    <t>/33.78191/70.24296</t>
  </si>
  <si>
    <t>CATEDRAL 6</t>
  </si>
  <si>
    <t>/33.78225/70.24.375</t>
  </si>
  <si>
    <t>CATEDRAL 27</t>
  </si>
  <si>
    <t>/33.78200/70.24356</t>
  </si>
  <si>
    <t>BARROS LUCO 1170</t>
  </si>
  <si>
    <t>/33.285473/70.870766</t>
  </si>
  <si>
    <t>CACIQUE COLIN 150</t>
  </si>
  <si>
    <t>/33.2775500/70.835648</t>
  </si>
  <si>
    <t>PJE LA HIGUERA 220</t>
  </si>
  <si>
    <t>/32.967980/70.838849</t>
  </si>
  <si>
    <t>PARCELACION SANTA ANA SITIO 35</t>
  </si>
  <si>
    <t>/33.1111691/70.7887276</t>
  </si>
  <si>
    <t>MONTENEGRO CALLE PRINCIPAL S/N</t>
  </si>
  <si>
    <t>/32.965366/70.833791</t>
  </si>
  <si>
    <t>CATEDRAL 082</t>
  </si>
  <si>
    <t>/33.78202/70.24368</t>
  </si>
  <si>
    <t>DIEGO PORTALES S/N</t>
  </si>
  <si>
    <t>/33.112558/70.790415</t>
  </si>
  <si>
    <t>CATEDRAL 033</t>
  </si>
  <si>
    <t>PJE LAGO DEL TORO 1363 A</t>
  </si>
  <si>
    <t>/33.684921/71.027775</t>
  </si>
  <si>
    <t>CINCO ORIENTE 123</t>
  </si>
  <si>
    <t>/33.130078/70.797338</t>
  </si>
  <si>
    <t>EL NARANJO S/N</t>
  </si>
  <si>
    <t>/33.411573/71.145222</t>
  </si>
  <si>
    <t>EL AJIAL S/N</t>
  </si>
  <si>
    <t>/33.491684/71.030592</t>
  </si>
  <si>
    <t>LAS VERTIENTES 161</t>
  </si>
  <si>
    <t>/33.407584/71.147774</t>
  </si>
  <si>
    <t>JOSE M BALMACEDA 1258</t>
  </si>
  <si>
    <t>/33.2795520/70.8736910</t>
  </si>
  <si>
    <t>/34.032059/71.095116</t>
  </si>
  <si>
    <t>DIEGO PORTALES 42 B</t>
  </si>
  <si>
    <t>/33.112956/70.789957</t>
  </si>
  <si>
    <t>/34.031086/71.101044</t>
  </si>
  <si>
    <t>/33.562596/70.891571</t>
  </si>
  <si>
    <t>/33.406636/71.143910</t>
  </si>
  <si>
    <t>/34.028632/70.998316</t>
  </si>
  <si>
    <t>QUEBRADA LOS CATEDRAL 0106</t>
  </si>
  <si>
    <t>/33.78265/70.24369</t>
  </si>
  <si>
    <t>QUEBRADA LOS CASTAÑOS 0115</t>
  </si>
  <si>
    <t>/33.78144/70.24447</t>
  </si>
  <si>
    <t>QUEBRADA LOS CASTAÑOS 0114</t>
  </si>
  <si>
    <t>/33.78271/70.24342</t>
  </si>
  <si>
    <t>CATEDRAL 034</t>
  </si>
  <si>
    <t>/33.78204/70.24348</t>
  </si>
  <si>
    <t>/34.0440410/71.2246550</t>
  </si>
  <si>
    <t>4 ORIENTE 260</t>
  </si>
  <si>
    <t>/33.135416/70.796683</t>
  </si>
  <si>
    <t>/34.0502360/71.2354810</t>
  </si>
  <si>
    <t>DARIO OVALLE L 020</t>
  </si>
  <si>
    <t>/33.114010/70.7891597</t>
  </si>
  <si>
    <t>TALAMI 1 S/N</t>
  </si>
  <si>
    <t>/34.034776/71.008288</t>
  </si>
  <si>
    <t>/34.034664/71.007620</t>
  </si>
  <si>
    <t>HACIENDA ALHUE 100 A</t>
  </si>
  <si>
    <t>/34.0414240/71.2235180</t>
  </si>
  <si>
    <t>/34.0500993/71.2355654</t>
  </si>
  <si>
    <t>TAAMI S/N</t>
  </si>
  <si>
    <t>/34.035258/71.007291</t>
  </si>
  <si>
    <t>CANCHA RAYADA 1080</t>
  </si>
  <si>
    <t>/34.037789/71.090872</t>
  </si>
  <si>
    <t>EL TRANQUE 561</t>
  </si>
  <si>
    <t>/34.036423/71.097702</t>
  </si>
  <si>
    <t>/34.033871/71.091858</t>
  </si>
  <si>
    <t>34.033871/71.091858</t>
  </si>
  <si>
    <t>/34.021653/71.020498</t>
  </si>
  <si>
    <t>BARRANCAS DE PICHI /N</t>
  </si>
  <si>
    <t>/34.004076/71.041595</t>
  </si>
  <si>
    <t>/34.021081/71.015824</t>
  </si>
  <si>
    <t>/34.021526/71.060342</t>
  </si>
  <si>
    <t>/34.585042/71.033974</t>
  </si>
  <si>
    <t>SAN LUIS S/N</t>
  </si>
  <si>
    <t>/33.630104/70.821755</t>
  </si>
  <si>
    <t>ENSENADA AGUILA SUR S/N</t>
  </si>
  <si>
    <t>/33.928158/70.755626</t>
  </si>
  <si>
    <t>/34.016341/71.073648</t>
  </si>
  <si>
    <t>ESMERALDA 106</t>
  </si>
  <si>
    <t>/33.601208/70.895676</t>
  </si>
  <si>
    <t>/34.034351/71.009778</t>
  </si>
  <si>
    <t>/33.987656/71.063663</t>
  </si>
  <si>
    <t>MAIPU 577</t>
  </si>
  <si>
    <t>/34.035775/71.096853</t>
  </si>
  <si>
    <t>/34.027952/71.080760</t>
  </si>
  <si>
    <t>PUNTA ARENAS 0521</t>
  </si>
  <si>
    <t>/33.599465/70.849810</t>
  </si>
  <si>
    <t>PUNTA ARENAS 0406</t>
  </si>
  <si>
    <t>/33.59966/70.850610</t>
  </si>
  <si>
    <t>SECTOR 1  S/N</t>
  </si>
  <si>
    <t>/34.037944/71.095117</t>
  </si>
  <si>
    <t>/34.035061/71.87578</t>
  </si>
  <si>
    <t>CALLE ESMERALDA S/N</t>
  </si>
  <si>
    <t>/34.033165//71.100800</t>
  </si>
  <si>
    <t>QUEBRADA LOS CASTAÑOS 111</t>
  </si>
  <si>
    <t>/33.7820625/70.2439853</t>
  </si>
  <si>
    <t>CHACABUCO 342</t>
  </si>
  <si>
    <t>/34.033031/71.095299</t>
  </si>
  <si>
    <t>QUEBRADA LOS CASTAÑOS 38</t>
  </si>
  <si>
    <t>/33.7819939/70.2438188</t>
  </si>
  <si>
    <t>CAMINO PUBLICO II</t>
  </si>
  <si>
    <t>/34.012256/71.051186</t>
  </si>
  <si>
    <t>/34.015698/71.055786</t>
  </si>
  <si>
    <t>DIECIOCHO DE SEPTIEMBRE 347</t>
  </si>
  <si>
    <t>/34..015846/71.061480</t>
  </si>
  <si>
    <t>/34.021030/71.061796</t>
  </si>
  <si>
    <t>JUAN PABLO II 0113</t>
  </si>
  <si>
    <t>/33.5997109/70.8504878</t>
  </si>
  <si>
    <t>AV. EL TREBOL 72</t>
  </si>
  <si>
    <t>/33.560845/70.802095</t>
  </si>
  <si>
    <t>/34.032246/71.095345</t>
  </si>
  <si>
    <t>PARCELACION LAS PERDICES 10</t>
  </si>
  <si>
    <t>/33.638835/70.915108</t>
  </si>
  <si>
    <t>LOS TORDOS 1154</t>
  </si>
  <si>
    <t>/33.572047/70.798941</t>
  </si>
  <si>
    <t>QUEBRADA LAS YACAS 028</t>
  </si>
  <si>
    <t>/33.7821238/70.2444537</t>
  </si>
  <si>
    <t>QUEBRADA LOS CASTAÑOS 0161</t>
  </si>
  <si>
    <t>/33.7820943/70.2442894</t>
  </si>
  <si>
    <t>CAMINO SERVIDUMBRE LOTE 2 S/N</t>
  </si>
  <si>
    <t>/33.551285/70.894512</t>
  </si>
  <si>
    <t>SEGUNDA TRANSVERSAL 1214</t>
  </si>
  <si>
    <t>/33.565175/70.790072</t>
  </si>
  <si>
    <t>AGUAS CLARAS 488</t>
  </si>
  <si>
    <t>/33.605870/70.888093</t>
  </si>
  <si>
    <t>SAN LUIS SITIO 11</t>
  </si>
  <si>
    <t>/33.629896/70.821794</t>
  </si>
  <si>
    <t>EL AJIAL LOTE 9</t>
  </si>
  <si>
    <t>/33.301990/71.040765</t>
  </si>
  <si>
    <t>EL AJIAL 57</t>
  </si>
  <si>
    <t>/33.285779/71.011169</t>
  </si>
  <si>
    <t>DIECIOCHO DE SEPTIEMBRE 6578</t>
  </si>
  <si>
    <t>/33.807702/70.732743</t>
  </si>
  <si>
    <t>/34.030554/70.592217</t>
  </si>
  <si>
    <t>EL ASIENTO 20</t>
  </si>
  <si>
    <t>/34.032112/70.582510</t>
  </si>
  <si>
    <t>CAMINO INTERIOR A/19</t>
  </si>
  <si>
    <t>/33.6831890/70.9130780</t>
  </si>
  <si>
    <t>SAN VICENTE 41</t>
  </si>
  <si>
    <t>/33.6790390/70.6122210</t>
  </si>
  <si>
    <t>/34.030495/70.592379</t>
  </si>
  <si>
    <t>EL ASIENTO 12</t>
  </si>
  <si>
    <t>/34.02580/70.591512</t>
  </si>
  <si>
    <t>LOS QUILLAYES 41</t>
  </si>
  <si>
    <t>/33.679086/70.611953</t>
  </si>
  <si>
    <t>/34.030510/70.592726</t>
  </si>
  <si>
    <t>/34.030291/70.592734</t>
  </si>
  <si>
    <t>/34.032801/71.009354</t>
  </si>
  <si>
    <t>CAMINO LA LINEA 4 B</t>
  </si>
  <si>
    <t>/34.0426290/71.2244030</t>
  </si>
  <si>
    <t>QUEBRADAS LOS CASTAÑOS 060</t>
  </si>
  <si>
    <t>/33.7824775/70.2430134</t>
  </si>
  <si>
    <t>HACIENDA ALHUE 100</t>
  </si>
  <si>
    <t>/34.0405850/71.2227630</t>
  </si>
  <si>
    <t>U DEL PUPIO 730</t>
  </si>
  <si>
    <t>/33.165718/70.524558</t>
  </si>
  <si>
    <t>QUEBRADA LOS CASTAÑOS 0131</t>
  </si>
  <si>
    <t>/33.7826083/70.2438577</t>
  </si>
  <si>
    <t>/34.0499690/71.2360460</t>
  </si>
  <si>
    <t>LOS PERALES S/N</t>
  </si>
  <si>
    <t>/34.036324/71.094062</t>
  </si>
  <si>
    <t>/34.032089/71.094513</t>
  </si>
  <si>
    <t>QUEBRADA LOS CASTAÑOS 057</t>
  </si>
  <si>
    <t>/33.782168/70.243399</t>
  </si>
  <si>
    <t>HACIENDA ALHUE  100/B</t>
  </si>
  <si>
    <t>/34.041073/71.223197</t>
  </si>
  <si>
    <t>/34.037292/71.094437</t>
  </si>
  <si>
    <t>/34.037357/71.092049</t>
  </si>
  <si>
    <t>RAMON BARROS LUCO 1170</t>
  </si>
  <si>
    <t>/33.285473/70.870804</t>
  </si>
  <si>
    <t>QUEBRADA LOS CASTAÑOS 0109</t>
  </si>
  <si>
    <t>/33.782418/70.244928</t>
  </si>
  <si>
    <t>ALGARROBO 26</t>
  </si>
  <si>
    <t>/33.088858/70.921250</t>
  </si>
  <si>
    <t>OHIGGINS S/N</t>
  </si>
  <si>
    <t>/34.013604/71.053921</t>
  </si>
  <si>
    <t>/34.033375/71.094568</t>
  </si>
  <si>
    <t>/34.028495/71.080924</t>
  </si>
  <si>
    <t>QUEBRADA LOS CASTAÑOS 044</t>
  </si>
  <si>
    <t>/33.781842/70.244797</t>
  </si>
  <si>
    <t>/34.032394/71.096291</t>
  </si>
  <si>
    <t>HIJUELA DE POLULO S/N</t>
  </si>
  <si>
    <t>/34.026578/71.113490</t>
  </si>
  <si>
    <t>/34.014658/71.051996</t>
  </si>
  <si>
    <t>/33.129824/70.797808</t>
  </si>
  <si>
    <t>/33.986671/71.063187</t>
  </si>
  <si>
    <t>/33.6931890/70.9130789</t>
  </si>
  <si>
    <t>/34.020232/71.062217</t>
  </si>
  <si>
    <t>PJE ANCAHUAL 1424</t>
  </si>
  <si>
    <t>/33.280159/70.871643</t>
  </si>
  <si>
    <t>SANTA MARIA 1741</t>
  </si>
  <si>
    <t>/33.568388/70.808631</t>
  </si>
  <si>
    <t>SANTA LUISA S/N</t>
  </si>
  <si>
    <t>/33.561176/70.865083</t>
  </si>
  <si>
    <t>PJE WASHINGTON 1728</t>
  </si>
  <si>
    <t>/33.577397/70.800814</t>
  </si>
  <si>
    <t>PUNTILLA SALAZAR S/N</t>
  </si>
  <si>
    <t>/33.282197/71.014034</t>
  </si>
  <si>
    <t>PJE DANIEL CARREÑO TRUJILLO 223</t>
  </si>
  <si>
    <t>/33.287448/70.884225</t>
  </si>
  <si>
    <t>CATEDRAL 052</t>
  </si>
  <si>
    <t>/33.782161/70.243404</t>
  </si>
  <si>
    <t>QUEBRADA AGUAS BLANCAS 064</t>
  </si>
  <si>
    <t>/33.782307/70.243855</t>
  </si>
  <si>
    <t>/33.281885/71.013377</t>
  </si>
  <si>
    <t>/33.556125/70.867179</t>
  </si>
  <si>
    <t>/34.028091/70.998566</t>
  </si>
  <si>
    <t>/34.034104/71.220070</t>
  </si>
  <si>
    <t>PARCELA DE RIEGO S/N</t>
  </si>
  <si>
    <t>/34.042022/71.223252</t>
  </si>
  <si>
    <t>/34.041670/71.223252</t>
  </si>
  <si>
    <t>OCHO ORIENTE 214</t>
  </si>
  <si>
    <t>/33.806113/70.743460</t>
  </si>
  <si>
    <t>/33.559012/70.870638</t>
  </si>
  <si>
    <t>/34.628091/70.998566</t>
  </si>
  <si>
    <t>VILLA ALHUE 3 LOTE 3</t>
  </si>
  <si>
    <t>/34.027893/71.100876</t>
  </si>
  <si>
    <t>/34.027595/70.998393</t>
  </si>
  <si>
    <t>APARICION SUR 18281</t>
  </si>
  <si>
    <t>/33.790767/70.631427</t>
  </si>
  <si>
    <t>/34.042730/71.224597</t>
  </si>
  <si>
    <t>/34.032668/71.010963</t>
  </si>
  <si>
    <t>/34.029750/71.081441</t>
  </si>
  <si>
    <t>RAMON BARROS LUCO 056</t>
  </si>
  <si>
    <t>/33.728649/70.738414</t>
  </si>
  <si>
    <t>LAS MORERAS S/N</t>
  </si>
  <si>
    <t>/33.726200/70.684332</t>
  </si>
  <si>
    <t>PJE PASCUA 0171</t>
  </si>
  <si>
    <t>/33.208179/70.681590</t>
  </si>
  <si>
    <t>UNO ORIENTE 190</t>
  </si>
  <si>
    <t>/33.137610/70.804795</t>
  </si>
  <si>
    <t>/34.026088/71.104751</t>
  </si>
  <si>
    <t>VILLA ALHUE 2</t>
  </si>
  <si>
    <t>/33.448563/70.634880</t>
  </si>
  <si>
    <t>/34.032848/71.103941</t>
  </si>
  <si>
    <t>/34.031570/71.097946</t>
  </si>
  <si>
    <t>CHORRILLO S/N</t>
  </si>
  <si>
    <t>/34.033798/71.093239</t>
  </si>
  <si>
    <t>QUEBRADA AGUAS BLANCAS 063</t>
  </si>
  <si>
    <t>/33.782292/70.244146</t>
  </si>
  <si>
    <t>QUEBRADA LOS CASTAÑOS 0221</t>
  </si>
  <si>
    <t>/33.782909/70.243396</t>
  </si>
  <si>
    <t>/34.027498/71/079271</t>
  </si>
  <si>
    <t>CATEDRAL 058</t>
  </si>
  <si>
    <t>/33.782244/70.243410</t>
  </si>
  <si>
    <t>LOS CASTAÑOS 0167</t>
  </si>
  <si>
    <t>/33.782673/70.244128</t>
  </si>
  <si>
    <t>/34.034294/71.099885</t>
  </si>
  <si>
    <t>/34.031318/71.099591</t>
  </si>
  <si>
    <t>/34.030469/71.106555</t>
  </si>
  <si>
    <t>JUAN MOISONAVE S/N</t>
  </si>
  <si>
    <t>/33.228706/70.807144</t>
  </si>
  <si>
    <t>PJE YOLANDA INOSTROZA MOLINA 162</t>
  </si>
  <si>
    <t>/33.287224/70.885109</t>
  </si>
  <si>
    <t>/34.029264/70.996853</t>
  </si>
  <si>
    <t>/34.029073/70.997181</t>
  </si>
  <si>
    <t>/34.050144/71.237179</t>
  </si>
  <si>
    <t>/33.562812/70.891168</t>
  </si>
  <si>
    <t>LAS VIOLETAS PARC 29</t>
  </si>
  <si>
    <t>/33.538073/70.893653</t>
  </si>
  <si>
    <t>HUELQUEN 499</t>
  </si>
  <si>
    <t>/33.797481/70.655339</t>
  </si>
  <si>
    <t>SANTA VICTORIA 1421</t>
  </si>
  <si>
    <t>/33.809133/70.761585</t>
  </si>
  <si>
    <t>MONTENEGRO 1365</t>
  </si>
  <si>
    <t>/32.969298/70.840891</t>
  </si>
  <si>
    <t>/33.98756/71.06208</t>
  </si>
  <si>
    <t>/34.43262/71.003395</t>
  </si>
  <si>
    <t>DOCE DE FEBRERO S/N</t>
  </si>
  <si>
    <t>/34.020254/71.055608</t>
  </si>
  <si>
    <t>LOS CASTAÑOS 087</t>
  </si>
  <si>
    <t>/33.782496/70.243338</t>
  </si>
  <si>
    <t>EL SALTO 028</t>
  </si>
  <si>
    <t>/33.781779/70.244216</t>
  </si>
  <si>
    <t>CATEDRAL 076</t>
  </si>
  <si>
    <t>/33.782401/70.243613</t>
  </si>
  <si>
    <t>LAS YACAS 052</t>
  </si>
  <si>
    <t>/33.782444/70.2444845</t>
  </si>
  <si>
    <t>BAJOS DE MATTE 01398</t>
  </si>
  <si>
    <t>/33.714535/70.743407</t>
  </si>
  <si>
    <t>BERNARDINO BRAVO 0256</t>
  </si>
  <si>
    <t>/33.733628/70.730635</t>
  </si>
  <si>
    <t>LOS MOREROS S/N</t>
  </si>
  <si>
    <t>/33.725556/70.684343</t>
  </si>
  <si>
    <t>SECTOR LOICA S/N</t>
  </si>
  <si>
    <t>/33.975483/71.463554</t>
  </si>
  <si>
    <t>SANTA TERESA DE CALCUTA 0123</t>
  </si>
  <si>
    <t>/33.599651/70.849694</t>
  </si>
  <si>
    <t>HUERTOS 1</t>
  </si>
  <si>
    <t>/33.877803/70.740059</t>
  </si>
  <si>
    <t>EL BULLIN S/N</t>
  </si>
  <si>
    <t>/34.042889/71.002586</t>
  </si>
  <si>
    <t>VILLA ESPERANZA S/N</t>
  </si>
  <si>
    <t>/34.034672/71.093498</t>
  </si>
  <si>
    <t>AGUAS BLANCAS 33</t>
  </si>
  <si>
    <t>/33.781817/70.244589</t>
  </si>
  <si>
    <t>CATEDRAL 100</t>
  </si>
  <si>
    <t>/33.782758/70.243682</t>
  </si>
  <si>
    <t>/34.050807/71.237118</t>
  </si>
  <si>
    <t>/34.34742/71.092472</t>
  </si>
  <si>
    <t>/34.034742/71.092472</t>
  </si>
  <si>
    <t>JESUS DE NASARETH</t>
  </si>
  <si>
    <t>/34.048836/71.227720</t>
  </si>
  <si>
    <t>/34.033570/71.096338</t>
  </si>
  <si>
    <t>/34.038967/71.082740</t>
  </si>
  <si>
    <t>LOS CASTAÑOS 67</t>
  </si>
  <si>
    <t>/33.782147/70.245111</t>
  </si>
  <si>
    <t>ESPERANZA S/N</t>
  </si>
  <si>
    <t>/34.036895/71.095965</t>
  </si>
  <si>
    <t>EL SIENTO S/N</t>
  </si>
  <si>
    <t>/34.032352/70.998181</t>
  </si>
  <si>
    <t>/34.028225/70.998657</t>
  </si>
  <si>
    <t>/34.037899/71.094643</t>
  </si>
  <si>
    <t>LOS CASTAÑOS 90</t>
  </si>
  <si>
    <t>/33.782532/70.243178</t>
  </si>
  <si>
    <t>CATEDRAL 70</t>
  </si>
  <si>
    <t>/33.782363/70.243411</t>
  </si>
  <si>
    <t>PJE EL MANIO 1505</t>
  </si>
  <si>
    <t>/33.578461/70.804299</t>
  </si>
  <si>
    <t>/37.373886/73.265720</t>
  </si>
  <si>
    <t>ONCE DE SEPTIEMBRE S/N</t>
  </si>
  <si>
    <t>/34.373886/73.265720</t>
  </si>
  <si>
    <t>LOS CASTAÑOS 173</t>
  </si>
  <si>
    <t>/33.782574/70.243943</t>
  </si>
  <si>
    <t>CAMINO INTERIOR LOTE 454</t>
  </si>
  <si>
    <t>/33.1967260/70.8201720</t>
  </si>
  <si>
    <t>CAMPAMENTO SOL DE SEPTIEMBRE SN</t>
  </si>
  <si>
    <t>/33.308878/70.859969</t>
  </si>
  <si>
    <t>CAMINO A LAMPA RUTA G 16 PARC 12</t>
  </si>
  <si>
    <t>/33.306843/70.848529</t>
  </si>
  <si>
    <t>LOS CASTAÑOS 079</t>
  </si>
  <si>
    <t>/33.782231/70.245046</t>
  </si>
  <si>
    <t>/37.373998/73.275428</t>
  </si>
  <si>
    <t>/34.037912/71.096760</t>
  </si>
  <si>
    <t>/34.034106/71.100259</t>
  </si>
  <si>
    <t>/34.031269/70.998505</t>
  </si>
  <si>
    <t>/37.73886/73.265720</t>
  </si>
  <si>
    <t>AVELLANEDA 212</t>
  </si>
  <si>
    <t>/33.165775/70.524701</t>
  </si>
  <si>
    <t>TOTOTALILLO 30</t>
  </si>
  <si>
    <t>/33.165775/70.524558</t>
  </si>
  <si>
    <t>/34.023789/71.001231</t>
  </si>
  <si>
    <t>TOTORALILLO 730</t>
  </si>
  <si>
    <t>33.165775/70.524558</t>
  </si>
  <si>
    <t>CAUPOLICAN 3079</t>
  </si>
  <si>
    <t>/33.596139/70.883108</t>
  </si>
  <si>
    <t>AV. DIECIOCHO DE SEPTIEMBRE 327</t>
  </si>
  <si>
    <t>/33.807201/70.738470</t>
  </si>
  <si>
    <t>/34.029062/70.999177</t>
  </si>
  <si>
    <t>/34.031587/70.998621</t>
  </si>
  <si>
    <t>EL SALTO 64</t>
  </si>
  <si>
    <t>/33.782179/70.244641</t>
  </si>
  <si>
    <t>/34.036899/71.095317</t>
  </si>
  <si>
    <t>LOS ALMENDROS 355</t>
  </si>
  <si>
    <t>/34.026314/71.104790</t>
  </si>
  <si>
    <t>EL SALTO 40</t>
  </si>
  <si>
    <t>/33.782023/70.244169</t>
  </si>
  <si>
    <t>AV PEÑAFLOR SITIO 15</t>
  </si>
  <si>
    <t>/33.636757/70.912391</t>
  </si>
  <si>
    <t>/34.028447/70.999742</t>
  </si>
  <si>
    <t>/34.040524.71.007350</t>
  </si>
  <si>
    <t>EL ROSARIO SITIO 15 LOTE 2</t>
  </si>
  <si>
    <t>/33.636501/70.911931</t>
  </si>
  <si>
    <t>DIECINUEVE DE AGOSTO 650</t>
  </si>
  <si>
    <t>/34.034561/71.093338</t>
  </si>
  <si>
    <t>SANTA TERESA CALCUTA 0117</t>
  </si>
  <si>
    <t>/33.599698/70.849490</t>
  </si>
  <si>
    <t>/34.012787/71.075102</t>
  </si>
  <si>
    <t>/34.014881/71.055891</t>
  </si>
  <si>
    <t>HACIENDA ALHUE 100/B</t>
  </si>
  <si>
    <t>/34.042181/71.222589</t>
  </si>
  <si>
    <t>/34.042391/71.224245</t>
  </si>
  <si>
    <t>CAMINO LO CASTRO</t>
  </si>
  <si>
    <t>/33.298199/70.795120</t>
  </si>
  <si>
    <t>PJE MATICO 517</t>
  </si>
  <si>
    <t>/33.294437/70.883751</t>
  </si>
  <si>
    <t>/34.014923/71.125586</t>
  </si>
  <si>
    <t>/34.014599/71.125555</t>
  </si>
  <si>
    <t>PC RIEGO LOTE  4B</t>
  </si>
  <si>
    <t>/34.043061/71.224866</t>
  </si>
  <si>
    <t>/34.040635/71.222743</t>
  </si>
  <si>
    <t>LAS ARAUCARIAS 1347</t>
  </si>
  <si>
    <t>/33.15295/70.873520</t>
  </si>
  <si>
    <t>CAUPOLICAN 3093</t>
  </si>
  <si>
    <t>/33.596769/70.883730</t>
  </si>
  <si>
    <t>DIECIOCHO DE SEPTIEMBRE S/N</t>
  </si>
  <si>
    <t>/34.015652/71.060773</t>
  </si>
  <si>
    <t>/34.015694/71.054543</t>
  </si>
  <si>
    <t>LAS MORERAS 611</t>
  </si>
  <si>
    <t>/33.727476/70.684768</t>
  </si>
  <si>
    <t>CAMINO PIRQUE LOTE 21</t>
  </si>
  <si>
    <t>/33.652482/70.650543</t>
  </si>
  <si>
    <t>/34.024840/70.997148</t>
  </si>
  <si>
    <t>/34.029613/71.000443</t>
  </si>
  <si>
    <t>/34.028931/71.100227</t>
  </si>
  <si>
    <t>/34.031829/71.087171</t>
  </si>
  <si>
    <t>/34.043798/70.998220</t>
  </si>
  <si>
    <t>/34.053099/71.239155</t>
  </si>
  <si>
    <t>WASHINGTON 1728</t>
  </si>
  <si>
    <t>/33.899654/70.801421</t>
  </si>
  <si>
    <t>AGUAS BLANCAS 034</t>
  </si>
  <si>
    <t>/33.781977/70.243643</t>
  </si>
  <si>
    <t>CATEDRAL 57</t>
  </si>
  <si>
    <t>/33.782352/70.242900</t>
  </si>
  <si>
    <t>/34.030553/70.997874</t>
  </si>
  <si>
    <t>/34.035061/71.093376</t>
  </si>
  <si>
    <t>/34.036904/71.092582</t>
  </si>
  <si>
    <t>/34.036237/71.092217</t>
  </si>
  <si>
    <t>/34.036426/71.093274</t>
  </si>
  <si>
    <t>/34.042127/71.223109</t>
  </si>
  <si>
    <t>/34.030587/70.997874</t>
  </si>
  <si>
    <t>/34.045532/71.233012</t>
  </si>
  <si>
    <t>HECTOR LOBOS PINTO 639</t>
  </si>
  <si>
    <t>/33.741323/70.746545</t>
  </si>
  <si>
    <t>PJE EL PARROCO 260</t>
  </si>
  <si>
    <t>/33.727300/70.775147</t>
  </si>
  <si>
    <t>/34.042027/71.228679</t>
  </si>
  <si>
    <t>CHORRILLOS 534</t>
  </si>
  <si>
    <t>/34.029289/71.099930</t>
  </si>
  <si>
    <t>/34.015362/71.003466</t>
  </si>
  <si>
    <t>/34.021486/71.052006</t>
  </si>
  <si>
    <t>CHORRILLOS 655</t>
  </si>
  <si>
    <t>/34.037796/71.094246</t>
  </si>
  <si>
    <t>MAIPO S/N</t>
  </si>
  <si>
    <t>/34.015771/71.052315</t>
  </si>
  <si>
    <t>/34.015435/71.043788</t>
  </si>
  <si>
    <t>/34.036224/71.084595</t>
  </si>
  <si>
    <t>COLONIA KENEDY 31</t>
  </si>
  <si>
    <t>/33.878043/70.736700</t>
  </si>
  <si>
    <t>JUAN PABLO II 30</t>
  </si>
  <si>
    <t>/33.720423/70.730971</t>
  </si>
  <si>
    <t>/34.034420/71.219450</t>
  </si>
  <si>
    <t>PATAGUA 5 CASA 79</t>
  </si>
  <si>
    <t>/33.300331/70.880051</t>
  </si>
  <si>
    <t>/34.031959/70.998246</t>
  </si>
  <si>
    <t>/34.030383/70.995886</t>
  </si>
  <si>
    <t>EL MANZANO 516</t>
  </si>
  <si>
    <t>/33.569774/70.807038</t>
  </si>
  <si>
    <t>CAMINO INTERIOR LOTE 2</t>
  </si>
  <si>
    <t>/33.298306/70.795403</t>
  </si>
  <si>
    <t>LOS SALESIANOS 1243</t>
  </si>
  <si>
    <t>/33.575006/70.807393</t>
  </si>
  <si>
    <t>/34.039354/71.222293</t>
  </si>
  <si>
    <t>/34.024974/71.232008</t>
  </si>
  <si>
    <t>/34.039507/71.222548</t>
  </si>
  <si>
    <t>/34.036753/71.093597</t>
  </si>
  <si>
    <t>CAMINO A LAMPA LOTE 6</t>
  </si>
  <si>
    <t>/33.293957/70.865557</t>
  </si>
  <si>
    <t>FUNDO LA ESPERANZA S/N</t>
  </si>
  <si>
    <t>/33.551518/70.894629</t>
  </si>
  <si>
    <t>CAMINO INTERIOR PARCELA 75 LOTE 5</t>
  </si>
  <si>
    <t>/33.307144/70.841546</t>
  </si>
  <si>
    <t>LOS INGLESES 142</t>
  </si>
  <si>
    <t>/33.155563/70.404189</t>
  </si>
  <si>
    <t>ESPERANZA P/31</t>
  </si>
  <si>
    <t>/33.552365/70.894696</t>
  </si>
  <si>
    <t>CAMINO INTERIOR MANZANA 75</t>
  </si>
  <si>
    <t>/33.307119/70.841748</t>
  </si>
  <si>
    <t>PARCELA 75 LOTE A</t>
  </si>
  <si>
    <t>CATEDRAL 51</t>
  </si>
  <si>
    <t>/33.782596/70.243120</t>
  </si>
  <si>
    <t>LOS CASTAÑOS 197</t>
  </si>
  <si>
    <t>/33.782683/70.243748</t>
  </si>
  <si>
    <t>/33.277588/70.835640</t>
  </si>
  <si>
    <t>LA PUNTILLA S/N</t>
  </si>
  <si>
    <t>/34.032756/71.109994</t>
  </si>
  <si>
    <t>VEINTIUNO DE MAYO 609</t>
  </si>
  <si>
    <t>/34.031517/71.097961</t>
  </si>
  <si>
    <t>/34.028787/71.100124</t>
  </si>
  <si>
    <t>/34.036544/71.093378</t>
  </si>
  <si>
    <t>LOS QUILLAYES 174</t>
  </si>
  <si>
    <t>/33.738510/70.679447</t>
  </si>
  <si>
    <t>CAMINO AL ESTERO S/N</t>
  </si>
  <si>
    <t>/34.030121/71.089584</t>
  </si>
  <si>
    <t>CAMINO A PICHI S/N</t>
  </si>
  <si>
    <t>/34.025458/71.043498</t>
  </si>
  <si>
    <t>/33.738019/70.678888</t>
  </si>
  <si>
    <t>/34.029888/71.081100</t>
  </si>
  <si>
    <t>SERVIDUMBRE 32</t>
  </si>
  <si>
    <t>/33.552570/70.895622</t>
  </si>
  <si>
    <t>FUNDO LA ESPERANZA  P31</t>
  </si>
  <si>
    <t>/33.552570/70.895153</t>
  </si>
  <si>
    <t>PRESIDENTE PEDRO AGUIRRE CERDA 1988</t>
  </si>
  <si>
    <t>/33.562441/70.817195</t>
  </si>
  <si>
    <t>/33.414673/71.140013</t>
  </si>
  <si>
    <t>PJE ANCAHAL 1424</t>
  </si>
  <si>
    <t>JAVIERA CABRERA 2117</t>
  </si>
  <si>
    <t>/33.392804/71.124076</t>
  </si>
  <si>
    <t>JAVIERA CABRERA 2120</t>
  </si>
  <si>
    <t>/33.391607/71.125678</t>
  </si>
  <si>
    <t>ESTERO QUEMPO 1688</t>
  </si>
  <si>
    <t>/33.583658/70.806480</t>
  </si>
  <si>
    <t>ALCALDE MARIO RIQUELME 283</t>
  </si>
  <si>
    <t>/33.288040/70.880836</t>
  </si>
  <si>
    <t>/34.020155/71.052212</t>
  </si>
  <si>
    <t>/34.009955/70.980707</t>
  </si>
  <si>
    <t>RUTA 29 S/N</t>
  </si>
  <si>
    <t>/34.013303/71.060461</t>
  </si>
  <si>
    <t>/34.036880/71.095218</t>
  </si>
  <si>
    <t>/34.010024/70.986308</t>
  </si>
  <si>
    <t>EL ASIENTO 27</t>
  </si>
  <si>
    <t>/34.020384/71.002008</t>
  </si>
  <si>
    <t>/34.010024/70.980308</t>
  </si>
  <si>
    <t>DIECINUEVE DE AGOSTO 457</t>
  </si>
  <si>
    <t>/34.020243/71.055304</t>
  </si>
  <si>
    <t>/34.635987/71.093372</t>
  </si>
  <si>
    <t>MELOCOTON ALTO S/N</t>
  </si>
  <si>
    <t>/33.719990/70.329299</t>
  </si>
  <si>
    <t>LOS CASTAÑOS 137</t>
  </si>
  <si>
    <t>/33.782449/70.244268</t>
  </si>
  <si>
    <t>/34.033169/71.094467</t>
  </si>
  <si>
    <t>/34.048283/71.237366</t>
  </si>
  <si>
    <t>ESMERALDA 366</t>
  </si>
  <si>
    <t>/34.036423/71.099869</t>
  </si>
  <si>
    <t>RAUL FUENTES ABARCA 1969</t>
  </si>
  <si>
    <t>/33.572181/70.809431</t>
  </si>
  <si>
    <t>HACIENDA ALHUE PARCE /B</t>
  </si>
  <si>
    <t>/34.045056/71.225951</t>
  </si>
  <si>
    <t>AV. CHILE 605</t>
  </si>
  <si>
    <t>/33.806677/70.858642</t>
  </si>
  <si>
    <t>/34.042044/71.225309</t>
  </si>
  <si>
    <t>/34.027987/71.084990</t>
  </si>
  <si>
    <t>/34.028751/71.100266</t>
  </si>
  <si>
    <t>/34.034181/71.011867</t>
  </si>
  <si>
    <t>/34.030255/71.087033</t>
  </si>
  <si>
    <t>POLULO S/N</t>
  </si>
  <si>
    <t>/34.025586/71.108219</t>
  </si>
  <si>
    <t>CHACABUCO 789</t>
  </si>
  <si>
    <t>/34.034363/71.094567</t>
  </si>
  <si>
    <t>/34.029875/70.999717</t>
  </si>
  <si>
    <t>/34.036057/71.095397</t>
  </si>
  <si>
    <t>34.032520/71.093334</t>
  </si>
  <si>
    <t>/34.053122/70.988778</t>
  </si>
  <si>
    <t>/34.034191/71.011867</t>
  </si>
  <si>
    <t>CAMINO INTERIOR P5</t>
  </si>
  <si>
    <t>/33.170865/70.413576</t>
  </si>
  <si>
    <t>AV. EL MANZANO 516</t>
  </si>
  <si>
    <t>/33.569107/70.807251</t>
  </si>
  <si>
    <t>/34.029072/71.000502</t>
  </si>
  <si>
    <t>/34.63178/70.99863</t>
  </si>
  <si>
    <t>MANUEL RODRIGUEZ 10</t>
  </si>
  <si>
    <t>/33.277416/70.886894</t>
  </si>
  <si>
    <t>/34.024779/71.083327</t>
  </si>
  <si>
    <t>AV. FRANCIA 165</t>
  </si>
  <si>
    <t>/33.235886/70.806374</t>
  </si>
  <si>
    <t>/34.020242/71.015002</t>
  </si>
  <si>
    <t>SECTOR ALHUE S/N</t>
  </si>
  <si>
    <t>/34.036554/71.220381</t>
  </si>
  <si>
    <t>EL ASENTO S/N</t>
  </si>
  <si>
    <t>/34.014834/70.593615</t>
  </si>
  <si>
    <t>PJE LOS PIMIENTOS 1774</t>
  </si>
  <si>
    <t>/33.608215/70.874555</t>
  </si>
  <si>
    <t>/34.020236/71.014852</t>
  </si>
  <si>
    <t>/34.030674/71.89751</t>
  </si>
  <si>
    <t>LONQUEN SITIO 43 S/N</t>
  </si>
  <si>
    <t>/33.695817/70.854410</t>
  </si>
  <si>
    <t>/34.023824/71.024970</t>
  </si>
  <si>
    <t>POPETA S/N</t>
  </si>
  <si>
    <t>/33.809162/71.29213</t>
  </si>
  <si>
    <t>/34.037800/71.220603</t>
  </si>
  <si>
    <t>/34.042459/71.232343</t>
  </si>
  <si>
    <t>/34.036058/71.221254</t>
  </si>
  <si>
    <t>/34.038055/70.095963</t>
  </si>
  <si>
    <t>/34.028158/70.095662</t>
  </si>
  <si>
    <t>/34.025522/70.421822</t>
  </si>
  <si>
    <t>P ESTERO GACITUA  19</t>
  </si>
  <si>
    <t>/33.434422/70.463822</t>
  </si>
  <si>
    <t>/34.029170/71.089234</t>
  </si>
  <si>
    <t>SECTOR LA PUNTILLA S/N</t>
  </si>
  <si>
    <t>/34.027161/71.116405</t>
  </si>
  <si>
    <t>ISLA CHILOE 64</t>
  </si>
  <si>
    <t>/33.805308/70.735998</t>
  </si>
  <si>
    <t>PINTOR NEMESIO ANTUNEZ 1333</t>
  </si>
  <si>
    <t>/33.188993/70.672002</t>
  </si>
  <si>
    <t>/33.809162/71.292213</t>
  </si>
  <si>
    <t>/34.035185/71.102980</t>
  </si>
  <si>
    <t>CALLE DIECISEIS DE AGOSTO S/N</t>
  </si>
  <si>
    <t>/34.034564/71.099935</t>
  </si>
  <si>
    <t>CAMPAMENTO SOL DE SEPTIEMBRE 658</t>
  </si>
  <si>
    <t>/33.309517/70.861712</t>
  </si>
  <si>
    <t>EL ALMENDRAL 1044</t>
  </si>
  <si>
    <t>/33.627738/70.778710</t>
  </si>
  <si>
    <t>LO PEREZ 640</t>
  </si>
  <si>
    <t>/33.432225/70.255212</t>
  </si>
  <si>
    <t>EL AROMO 2148</t>
  </si>
  <si>
    <t>/33.578330/70.803096</t>
  </si>
  <si>
    <t>/34.030379/70.995878</t>
  </si>
  <si>
    <t>PADRE HURTADO S/N SITIO 13</t>
  </si>
  <si>
    <t>/33.697453/70.673391</t>
  </si>
  <si>
    <t>CAMINO INTERIOR 1880</t>
  </si>
  <si>
    <t>/33.695992/70.854155</t>
  </si>
  <si>
    <t>PJE NIZA 955</t>
  </si>
  <si>
    <t>/33.575034/70.807644</t>
  </si>
  <si>
    <t>BUENOS AIRES 2119</t>
  </si>
  <si>
    <t>/33.571636/70.810040</t>
  </si>
  <si>
    <t>CAMINO INTERIOR C/9</t>
  </si>
  <si>
    <t>/33.244576/70.686305</t>
  </si>
  <si>
    <t>/34.031686/70.998558</t>
  </si>
  <si>
    <t>IRENE FREI S/N</t>
  </si>
  <si>
    <t>/33.307843/70.856149</t>
  </si>
  <si>
    <t>CAMINO INTERIOR LO ARCAYA 21</t>
  </si>
  <si>
    <t>/33.143447/70.410787</t>
  </si>
  <si>
    <t>EL SALTO 39</t>
  </si>
  <si>
    <t>/33.781980/70.244491</t>
  </si>
  <si>
    <t>LOS CASTAÑOS 179</t>
  </si>
  <si>
    <t>/33.782838/70.243738</t>
  </si>
  <si>
    <t>LAS VIOLETAS S/N</t>
  </si>
  <si>
    <t>/33.537232/70.902847</t>
  </si>
  <si>
    <t>/33.535599/70.904215</t>
  </si>
  <si>
    <t>CHACABUCO 606</t>
  </si>
  <si>
    <t>/34.035829/71.094385</t>
  </si>
  <si>
    <t>QUEBRADA AGUAS BLANCAS 076</t>
  </si>
  <si>
    <t>/33.782079/70.244068</t>
  </si>
  <si>
    <t>/34.035935/71094784</t>
  </si>
  <si>
    <t>VILLA ALHUE PP G 1488</t>
  </si>
  <si>
    <t>/34.015652/71.060722</t>
  </si>
  <si>
    <t>PJE LOS CAQUIS 1040</t>
  </si>
  <si>
    <t>/33.571164/70.801156</t>
  </si>
  <si>
    <t>VILLA LHUE S/N</t>
  </si>
  <si>
    <t>/34.030948/70.997872</t>
  </si>
  <si>
    <t>MIGUELO DE POLULO S/N</t>
  </si>
  <si>
    <t>/34.024063/71.111710</t>
  </si>
  <si>
    <t>LOS ROSALES 525</t>
  </si>
  <si>
    <t>/34.034824/71.093513</t>
  </si>
  <si>
    <t>EL MOLINO 667</t>
  </si>
  <si>
    <t>/34.034561/71.096062</t>
  </si>
  <si>
    <t>/34.030978/71.101392</t>
  </si>
  <si>
    <t>/34.03595/70.096947</t>
  </si>
  <si>
    <t>SECTOR ALGUE S/N</t>
  </si>
  <si>
    <t>/34.014338/71.054317</t>
  </si>
  <si>
    <t>RAMON RENGIFO 607</t>
  </si>
  <si>
    <t>/33.568731/70.804631</t>
  </si>
  <si>
    <t>/34.014958/71.005507</t>
  </si>
  <si>
    <t>/34.031206/70.996771</t>
  </si>
  <si>
    <t>EL SAUCE S/N</t>
  </si>
  <si>
    <t>/34.036758/71.036220</t>
  </si>
  <si>
    <t>AMANDA MESSINA 224</t>
  </si>
  <si>
    <t>/33.287884/70.880928</t>
  </si>
  <si>
    <t>/34.802743/71.122388</t>
  </si>
  <si>
    <t>/34.405586/71.102836</t>
  </si>
  <si>
    <t>/34.049583/71.111404</t>
  </si>
  <si>
    <t>DIESIOCHO DE SEPTIEMBRE 461</t>
  </si>
  <si>
    <t>/34.030870/71.100112</t>
  </si>
  <si>
    <t>/33.288078/70.880783</t>
  </si>
  <si>
    <t>LOS MAITENES 1517</t>
  </si>
  <si>
    <t>/33.560531/70.824134</t>
  </si>
  <si>
    <t>CANCHA CARRERA S/N</t>
  </si>
  <si>
    <t>/34.2103236/71.063380</t>
  </si>
  <si>
    <t>CAMINO INTERIOR S/N</t>
  </si>
  <si>
    <t>/33.194589/70.817938</t>
  </si>
  <si>
    <t>LUIS PASTEUR 628</t>
  </si>
  <si>
    <t>/33.567441/70.802387</t>
  </si>
  <si>
    <t>PJE RAMON RUBIO 025</t>
  </si>
  <si>
    <t>/33.737874/78.682115</t>
  </si>
  <si>
    <t>MOSCATEL 80</t>
  </si>
  <si>
    <t>/33.738023/70.680946</t>
  </si>
  <si>
    <t>AV. BOULEVAD 28</t>
  </si>
  <si>
    <t>/33.328311/70.773192</t>
  </si>
  <si>
    <t>DIEGO PORTALES 40</t>
  </si>
  <si>
    <t>/33.112587/70.790246</t>
  </si>
  <si>
    <t>PJE EL ROBLE 437</t>
  </si>
  <si>
    <t>/33.805673/70.733327</t>
  </si>
  <si>
    <t>HERMANA MIRTA RITAMOZA 062</t>
  </si>
  <si>
    <t>/33.737315/70.682108</t>
  </si>
  <si>
    <t>JESUS DE NAZARETH S/N</t>
  </si>
  <si>
    <t>/34.039037/71.222742</t>
  </si>
  <si>
    <t>/33.244063/70.685952</t>
  </si>
  <si>
    <t>CATEDRAL 28</t>
  </si>
  <si>
    <t>/33.781840/70.243356</t>
  </si>
  <si>
    <t>CAMINO AL VOLCAN 26396</t>
  </si>
  <si>
    <t>/33.687207/70.336789</t>
  </si>
  <si>
    <t>/34.037009/71.221112</t>
  </si>
  <si>
    <t>CALLE CHACABUCO S/N</t>
  </si>
  <si>
    <t>/34.037790/71.220016</t>
  </si>
  <si>
    <t>CAMINO EL ASIENTO S/N</t>
  </si>
  <si>
    <t>/34.030853/71.086967</t>
  </si>
  <si>
    <t>/34.045836/71.223608</t>
  </si>
  <si>
    <t>/34.044737/71.224703</t>
  </si>
  <si>
    <t>/34.030640/71.086830</t>
  </si>
  <si>
    <t>LAS PALEMERAS S/N</t>
  </si>
  <si>
    <t>/33.79064/71.256905</t>
  </si>
  <si>
    <t>CAMINO AL VOLCAN 30444</t>
  </si>
  <si>
    <t>/33.726594/71.319419</t>
  </si>
  <si>
    <t>/33.596722/70.883123</t>
  </si>
  <si>
    <t>FLOR NEGRETE LABRAÑA 1248</t>
  </si>
  <si>
    <t>/33.612398/70.862981</t>
  </si>
  <si>
    <t>CERRO RODELILLO 552</t>
  </si>
  <si>
    <t>/33.602960/70.879184</t>
  </si>
  <si>
    <t>/33.726594/70.319419</t>
  </si>
  <si>
    <t>MEDIA LUNA 824</t>
  </si>
  <si>
    <t>/33.810102/70.857162</t>
  </si>
  <si>
    <t>LOS PALTOS S/N SITIO 30</t>
  </si>
  <si>
    <t>/33.801280/70.771632</t>
  </si>
  <si>
    <t>EL FICHERO 01337</t>
  </si>
  <si>
    <t>/33.715630/70.737709</t>
  </si>
  <si>
    <t>LIDO MANETTI 614</t>
  </si>
  <si>
    <t>/33.722868/70.771669</t>
  </si>
  <si>
    <t>BUENOS AIRES 2090</t>
  </si>
  <si>
    <t>/33.571533/70.809484</t>
  </si>
  <si>
    <t>AV. LAS PALMERAS PARC 5/A</t>
  </si>
  <si>
    <t>/33.622269/70.893326</t>
  </si>
  <si>
    <t>ALAMEDA DEL LLANO 1440</t>
  </si>
  <si>
    <t>/33.648773/70.550256</t>
  </si>
  <si>
    <t>RAMON FREIRE 426</t>
  </si>
  <si>
    <t>/33.81268/70.885727</t>
  </si>
  <si>
    <t>/33.518700/70.675453</t>
  </si>
  <si>
    <t>ZANJOY 21</t>
  </si>
  <si>
    <t>/34.037594/71.095253</t>
  </si>
  <si>
    <t>LOS CASTAÑOS 073</t>
  </si>
  <si>
    <t>/33.782152/70.244977</t>
  </si>
  <si>
    <t>CAMINO INTERIOR 87</t>
  </si>
  <si>
    <t>/33.633192/70.351917</t>
  </si>
  <si>
    <t>CARMEN BAJO S/N</t>
  </si>
  <si>
    <t>/33.724866/71.191234</t>
  </si>
  <si>
    <t>CERRO LA VENTANA 1039</t>
  </si>
  <si>
    <t>/33.784489/70.235806</t>
  </si>
  <si>
    <t>CALLE NUEVA 63</t>
  </si>
  <si>
    <t>/33.651033/70.927012</t>
  </si>
  <si>
    <t>/34.027150/70.996639</t>
  </si>
  <si>
    <t>/33.984337/71.063148</t>
  </si>
  <si>
    <t>ESMERADA S/N</t>
  </si>
  <si>
    <t>/34.036577/71.099916</t>
  </si>
  <si>
    <t>EL LLANO 9</t>
  </si>
  <si>
    <t>/33.655812/70.571932</t>
  </si>
  <si>
    <t>LOS QUILLAYES 41 CASA D</t>
  </si>
  <si>
    <t>/33.678983/70.612701</t>
  </si>
  <si>
    <t>/34.049425/71.227273</t>
  </si>
  <si>
    <t>LA VILUMA 275</t>
  </si>
  <si>
    <t>/33.783609/71.082896</t>
  </si>
  <si>
    <t>HUILCO ALTO S/N</t>
  </si>
  <si>
    <t>/33.707143/71.216931</t>
  </si>
  <si>
    <t>/34.031462/71.108376</t>
  </si>
  <si>
    <t>PJE. FELIX MENDELSSOHN 224</t>
  </si>
  <si>
    <t>/33.683634/71.195743</t>
  </si>
  <si>
    <t>CALLE OHIGGINS S/N</t>
  </si>
  <si>
    <t>/34.033970/71.099121</t>
  </si>
  <si>
    <t>CALLE PORVENIR S/N</t>
  </si>
  <si>
    <t>/34.038025/71.104187</t>
  </si>
  <si>
    <t>BRASILIA 2076</t>
  </si>
  <si>
    <t>/33.570484/70.811055</t>
  </si>
  <si>
    <t>/34.035192/71.103309</t>
  </si>
  <si>
    <t>PJE LOS CIRUELOS 140</t>
  </si>
  <si>
    <t>/33.308931/70.861637</t>
  </si>
  <si>
    <t>/34.026307/71.093512</t>
  </si>
  <si>
    <t>SOL DE SEPTIEMBRE 658</t>
  </si>
  <si>
    <t>/33.308264/70.862228</t>
  </si>
  <si>
    <t>/33.570484/70.811005</t>
  </si>
  <si>
    <t>/34.048039/71.235219</t>
  </si>
  <si>
    <t>/33.281915/70.885672</t>
  </si>
  <si>
    <t>VEINTIUNO DE MAYO 733</t>
  </si>
  <si>
    <t>/34.031325/71.096309</t>
  </si>
  <si>
    <t>/34.033313/71.111180</t>
  </si>
  <si>
    <t>/34.042384/71.223919</t>
  </si>
  <si>
    <t>/34.036167/71.225965</t>
  </si>
  <si>
    <t>/34.036167/71.223964</t>
  </si>
  <si>
    <t>EL BAJO S/N</t>
  </si>
  <si>
    <t>/33.693795/71.203268</t>
  </si>
  <si>
    <t>/33.694554/71.203032</t>
  </si>
  <si>
    <t>/33.694228/71.203048</t>
  </si>
  <si>
    <t>EL PRADO VERDE S/N</t>
  </si>
  <si>
    <t>/33.937818/71.488286</t>
  </si>
  <si>
    <t>ILUSION 0165</t>
  </si>
  <si>
    <t>/33.711917/70.742363</t>
  </si>
  <si>
    <t>LOS ESPIGONES 8</t>
  </si>
  <si>
    <t>/33.663547/70.665636</t>
  </si>
  <si>
    <t>FUNDO SANTA RITA S/N</t>
  </si>
  <si>
    <t>/33.485689/70.986253</t>
  </si>
  <si>
    <t>ALBERTO FELLENBERG 2273</t>
  </si>
  <si>
    <t>/33.396754/71.124573</t>
  </si>
  <si>
    <t>LAS ARAUCARIAS 237</t>
  </si>
  <si>
    <t>/33.740520/70.677639</t>
  </si>
  <si>
    <t>EL RECUERDO DE VILUCO S/N SITIO 30</t>
  </si>
  <si>
    <t>/33.801627/70.771676</t>
  </si>
  <si>
    <t>LOMAS DE CURACAVI S/N</t>
  </si>
  <si>
    <t>/33.395179/71.168387</t>
  </si>
  <si>
    <t>LAGO VILLARRICA 840</t>
  </si>
  <si>
    <t>/33.628524/70.537608</t>
  </si>
  <si>
    <t>/33.801508/70.771624</t>
  </si>
  <si>
    <t>CAMINO SERVIDUMBRE LOTE 11</t>
  </si>
  <si>
    <t>/33.2453209/70.8021547</t>
  </si>
  <si>
    <t>LO CASTRO PARCELA 14</t>
  </si>
  <si>
    <t>/33.291352/70.775095</t>
  </si>
  <si>
    <t>/33.291081/70.775061</t>
  </si>
  <si>
    <t>CARMEN LOFORET 1360</t>
  </si>
  <si>
    <t>/33.579372/70.807632</t>
  </si>
  <si>
    <t>LO CASTRO 34</t>
  </si>
  <si>
    <t>/33.292102/70.783648</t>
  </si>
  <si>
    <t>ANDES 1534</t>
  </si>
  <si>
    <t>/33.654389/70.587804</t>
  </si>
  <si>
    <t>SEIS ORIENTE B/06</t>
  </si>
  <si>
    <t>/33.612072/70.818720</t>
  </si>
  <si>
    <t>/33.292394/70.783408</t>
  </si>
  <si>
    <t>SEIS ORIENTE  B/07</t>
  </si>
  <si>
    <t>/33.612594/70.818805</t>
  </si>
  <si>
    <t>CHACABUCO C/11</t>
  </si>
  <si>
    <t>/33.069878/70.717171</t>
  </si>
  <si>
    <t>/33.236805/70.806953</t>
  </si>
  <si>
    <t>PJE LA REFORMA 1560</t>
  </si>
  <si>
    <t>/33.655121/70.588356</t>
  </si>
  <si>
    <t>SEIS ORIENTE B 008</t>
  </si>
  <si>
    <t>/33.612152/70.819079</t>
  </si>
  <si>
    <t>LAS VIÑAS 0165</t>
  </si>
  <si>
    <t>/33.731607/70.682144</t>
  </si>
  <si>
    <t>IGNACIO CARRERA PINTO 373</t>
  </si>
  <si>
    <t>/33.813206/70.739342</t>
  </si>
  <si>
    <t>/33.981937/71.062843</t>
  </si>
  <si>
    <t>/33.981956/71.062851</t>
  </si>
  <si>
    <t>/33.983562/71.066620</t>
  </si>
  <si>
    <t>PARCELA 154 B</t>
  </si>
  <si>
    <t>/33.718373/70.578428</t>
  </si>
  <si>
    <t>LOS QUILLAYES 1171</t>
  </si>
  <si>
    <t>/33.718712/70.578440</t>
  </si>
  <si>
    <t>PJE SIETE 3132</t>
  </si>
  <si>
    <t>/33.608407/70.892887</t>
  </si>
  <si>
    <t>FRANCISCO JAVIER 5910</t>
  </si>
  <si>
    <t>/33.783965/70.737734</t>
  </si>
  <si>
    <t>EL CRUCERAL 105</t>
  </si>
  <si>
    <t>/33.647311/70.611994</t>
  </si>
  <si>
    <t>V SUBERCACEUX 98 P21</t>
  </si>
  <si>
    <t>/33.652427/70.650747</t>
  </si>
  <si>
    <t>ESTANCILLA SITIO 2</t>
  </si>
  <si>
    <t>/33.753000/70.815363</t>
  </si>
  <si>
    <t>/34.031201/71.096076</t>
  </si>
  <si>
    <t>/34.031106/71.090481</t>
  </si>
  <si>
    <t>PJE SAN LUCAS 2010</t>
  </si>
  <si>
    <t>/33.573143/70.807260</t>
  </si>
  <si>
    <t>LOS PATRIOTAS 1932</t>
  </si>
  <si>
    <t>/33.413132/71.139180</t>
  </si>
  <si>
    <t>LOS PALTOS PARC A3</t>
  </si>
  <si>
    <t>/33.412399/71.141463</t>
  </si>
  <si>
    <t>BARRANCAS DE PICHY S/N</t>
  </si>
  <si>
    <t>/33.979874/71.067032</t>
  </si>
  <si>
    <t>LAS VERONICAS 2415</t>
  </si>
  <si>
    <t>/33.296060/70.874524</t>
  </si>
  <si>
    <t>FATIMA 214 B</t>
  </si>
  <si>
    <t>/33.800555/70.744445</t>
  </si>
  <si>
    <t>DARIO PAVEZ 15</t>
  </si>
  <si>
    <t>/33.853432/70.784000</t>
  </si>
  <si>
    <t>MARCELO RIOS 0010</t>
  </si>
  <si>
    <t>/33.184921/70.664452</t>
  </si>
  <si>
    <t>CAMINO LA BOMBA PARC 14</t>
  </si>
  <si>
    <t>/33.187435/70.691841</t>
  </si>
  <si>
    <t>SERRANO 250</t>
  </si>
  <si>
    <t>/33.816389/70.747798</t>
  </si>
  <si>
    <t>/33.630122/70.821702</t>
  </si>
  <si>
    <t>CALLE CASTELLO 2450</t>
  </si>
  <si>
    <t>/33.185955/70.660675</t>
  </si>
  <si>
    <t>SAN JOSE SITIO 11</t>
  </si>
  <si>
    <t>/33.242893/70.702477</t>
  </si>
  <si>
    <t>LAS VERONICAS 2482</t>
  </si>
  <si>
    <t>/33.296177/70.874680</t>
  </si>
  <si>
    <t>CAMINO INTERIOR MIRAFLORES 20 C</t>
  </si>
  <si>
    <t>/33.346203/70.839753</t>
  </si>
  <si>
    <t>PAINE 9150</t>
  </si>
  <si>
    <t>/33.798800/70.799945</t>
  </si>
  <si>
    <t>/33.369750/70.840942</t>
  </si>
  <si>
    <t>CARDENAL DEL PUEBLO 556</t>
  </si>
  <si>
    <t>/33.748500/70.746287</t>
  </si>
  <si>
    <t>PJE NICARAUA 662</t>
  </si>
  <si>
    <t>/33.230545/70.801956</t>
  </si>
  <si>
    <t>LOS PEUMOS 154 A</t>
  </si>
  <si>
    <t>/33.717591/70.579840</t>
  </si>
  <si>
    <t>RUTA G 668</t>
  </si>
  <si>
    <t>/33.755547/71.325066</t>
  </si>
  <si>
    <t>ALGARROBO 180</t>
  </si>
  <si>
    <t>/33.241500/70.815604</t>
  </si>
  <si>
    <t>RINCON EL PRINCIPAL 154</t>
  </si>
  <si>
    <t>PERALILLO CRUCERO S/N</t>
  </si>
  <si>
    <t>/33.369750/70.846952</t>
  </si>
  <si>
    <t>CHORRILLO UNO S/N</t>
  </si>
  <si>
    <t>/33.346255/70.839674</t>
  </si>
  <si>
    <t>PORVENIR 37</t>
  </si>
  <si>
    <t>/33.755436/71.325134</t>
  </si>
  <si>
    <t>/33.788090/71.405899</t>
  </si>
  <si>
    <t>ANDES 1514</t>
  </si>
  <si>
    <t>/33.654070/70.587348</t>
  </si>
  <si>
    <t>LAS CHILCAS 12985</t>
  </si>
  <si>
    <t>/33.771152/71.277245</t>
  </si>
  <si>
    <t>GABRIELA MISTRAL 399</t>
  </si>
  <si>
    <t>/33.690939/70.568899</t>
  </si>
  <si>
    <t>LA REFORMA 1555</t>
  </si>
  <si>
    <t>/33.654949/70.588530</t>
  </si>
  <si>
    <t>SAN VICENTE 28</t>
  </si>
  <si>
    <t>/33.672145/70.622518</t>
  </si>
  <si>
    <t>CERRO SAN JUAN 2060</t>
  </si>
  <si>
    <t>/33.727382/70.551380</t>
  </si>
  <si>
    <t>CAUPOLICAN 3065</t>
  </si>
  <si>
    <t>/33.596704/70.883595</t>
  </si>
  <si>
    <t>PJE LOS CACTUS S/N</t>
  </si>
  <si>
    <t>/34.029892/71.082855</t>
  </si>
  <si>
    <t>SECTOR HIJUELA S/N</t>
  </si>
  <si>
    <t>/34.025276/71.109550</t>
  </si>
  <si>
    <t>LOS ESPINOS S/N</t>
  </si>
  <si>
    <t>/33.237056/70.773193</t>
  </si>
  <si>
    <t>HIJUELAS DE POLULO S/N</t>
  </si>
  <si>
    <t>ALMENDRAL 821</t>
  </si>
  <si>
    <t>/33.243866/70.822141</t>
  </si>
  <si>
    <t>/34.034750/71.008415</t>
  </si>
  <si>
    <t>VEINTIUNO DE MAYO 705</t>
  </si>
  <si>
    <t>/34.032510/71.098429</t>
  </si>
  <si>
    <t>CALLA NUEVA 6 B</t>
  </si>
  <si>
    <t>/33.711544/70.552470</t>
  </si>
  <si>
    <t>/34.034503/71.094711</t>
  </si>
  <si>
    <t>CANCHA DE CARRERA SITIO 65 A</t>
  </si>
  <si>
    <t>/33.275732/70.872780</t>
  </si>
  <si>
    <t>FRANCIA 165</t>
  </si>
  <si>
    <t>/33.235150/70.806001</t>
  </si>
  <si>
    <t>CAMINO VECINAS 55000</t>
  </si>
  <si>
    <t>/33.80622/70.16121</t>
  </si>
  <si>
    <t>AV. EL CERRO 19318</t>
  </si>
  <si>
    <t>/33.636665/70.350734</t>
  </si>
  <si>
    <t>CAUPOLICAN 3140</t>
  </si>
  <si>
    <t>/33.597519/70.884472</t>
  </si>
  <si>
    <t>SANTA MIRNA 15</t>
  </si>
  <si>
    <t>/33.638649/70.926239</t>
  </si>
  <si>
    <t>LAS YACAS 064</t>
  </si>
  <si>
    <t>/33.78217/70.24461</t>
  </si>
  <si>
    <t>QUEBRADA CATEDRAL 088</t>
  </si>
  <si>
    <t>/33.78248/70.24358</t>
  </si>
  <si>
    <t>SAN FELIPE 173</t>
  </si>
  <si>
    <t>/33.806373/70.738206</t>
  </si>
  <si>
    <t>TACNA 1</t>
  </si>
  <si>
    <t>/33.757133/71.323768</t>
  </si>
  <si>
    <t>/33.757366/71.322723</t>
  </si>
  <si>
    <t>LAS TINAJAS 13</t>
  </si>
  <si>
    <t>/33.599373/70.782242</t>
  </si>
  <si>
    <t>IGNACIO CARRERA PINTO 916</t>
  </si>
  <si>
    <t>/33.566870/70.798063</t>
  </si>
  <si>
    <t>LOS CASTAÑOS 191</t>
  </si>
  <si>
    <t>/33.782733/70.243847</t>
  </si>
  <si>
    <t>LOS CASTAÑOS 030</t>
  </si>
  <si>
    <t>/33.781934/70.243020</t>
  </si>
  <si>
    <t>RODOLFO JARAMILLO BRUCE 2016</t>
  </si>
  <si>
    <t>/33.562021/70.817504</t>
  </si>
  <si>
    <t>EL ESFUERZO 16</t>
  </si>
  <si>
    <t>/33.753399/71.315582</t>
  </si>
  <si>
    <t>LOS SILOS 307</t>
  </si>
  <si>
    <t>/33.573559/70.818863</t>
  </si>
  <si>
    <t>CALLEJON EL MOLINO SITIO 19</t>
  </si>
  <si>
    <t>/33.44805/71.03263</t>
  </si>
  <si>
    <t>BOMBERO DIEGO TRONCOSO 680</t>
  </si>
  <si>
    <t>/33.615224/70.903879</t>
  </si>
  <si>
    <t>MIGUEL GUERRERO 255</t>
  </si>
  <si>
    <t>/33.39890/71.12240</t>
  </si>
  <si>
    <t>LIMITE URBANO 135</t>
  </si>
  <si>
    <t>/33.716310/70.740564</t>
  </si>
  <si>
    <t>TUNEL LOS CARRERA 554</t>
  </si>
  <si>
    <t>/33.672803/70.987303</t>
  </si>
  <si>
    <t>BOMBERO DIEGO TRONCOZO 680</t>
  </si>
  <si>
    <t>/33.757133/71.323769</t>
  </si>
  <si>
    <t>PUERTAS COLORADAS 225</t>
  </si>
  <si>
    <t>/33.662575/71.306910</t>
  </si>
  <si>
    <t>EL POLLINO S/N CASA 3</t>
  </si>
  <si>
    <t>/33.417350/71.132580</t>
  </si>
  <si>
    <t>JOSE LEYAN 607</t>
  </si>
  <si>
    <t>/33.661506/70.928704</t>
  </si>
  <si>
    <t>/34.028906/71.084249</t>
  </si>
  <si>
    <t>/34.032526/71.102080</t>
  </si>
  <si>
    <t>CAMINO SERVIDUMBRE</t>
  </si>
  <si>
    <t>/33.271888/70.880220</t>
  </si>
  <si>
    <t>/34.056616/71.238667</t>
  </si>
  <si>
    <t>TORIBIO LARRAIN 1212</t>
  </si>
  <si>
    <t>/33.606996/70.866398</t>
  </si>
  <si>
    <t>/33.66228/71.30711</t>
  </si>
  <si>
    <t>LO AGUILA PARC 15 S/N</t>
  </si>
  <si>
    <t>/33.417115/71.137900</t>
  </si>
  <si>
    <t>/33.804016/71.251923</t>
  </si>
  <si>
    <t>RAUL FUENTES 2035</t>
  </si>
  <si>
    <t>/33.574000/70.806309</t>
  </si>
  <si>
    <t>PJE SR. FELICINDA S/N</t>
  </si>
  <si>
    <t>/34.028683/71.087074</t>
  </si>
  <si>
    <t>/34.04232/71.23156</t>
  </si>
  <si>
    <t>LAGO LLANQUIHUE 01368 B</t>
  </si>
  <si>
    <t>/33.686323/71.628496</t>
  </si>
  <si>
    <t>POPETA 289</t>
  </si>
  <si>
    <t>/33.796963/71.252968</t>
  </si>
  <si>
    <t>/33.724639/71.19477</t>
  </si>
  <si>
    <t>/34.042915/71.224389</t>
  </si>
  <si>
    <t>CALLE CHACABUCO 342</t>
  </si>
  <si>
    <t>/34.032819/71.095354</t>
  </si>
  <si>
    <t>CAMINO AL ASIENTO S/N</t>
  </si>
  <si>
    <t>/34.029182/71.087273</t>
  </si>
  <si>
    <t>/34.050284/71.235730</t>
  </si>
  <si>
    <t>PJE LOS COPIHUES 107</t>
  </si>
  <si>
    <t>/33.243955/70.821697</t>
  </si>
  <si>
    <t>CAMINO INTERIOR</t>
  </si>
  <si>
    <t>/33.295293/70.863377</t>
  </si>
  <si>
    <t>GONZALO BARROSO PARC 8</t>
  </si>
  <si>
    <t>/33.252964/70.885567</t>
  </si>
  <si>
    <t>MELIPILLA S/N</t>
  </si>
  <si>
    <t>/33.639740/70.878624</t>
  </si>
  <si>
    <t>LAS EMBALADORAS 1357</t>
  </si>
  <si>
    <t>/33.715235/70.737365</t>
  </si>
  <si>
    <t>CENTRAL 1</t>
  </si>
  <si>
    <t>/33.610475/70.818779</t>
  </si>
  <si>
    <t>/33.610315/70.818555</t>
  </si>
  <si>
    <t>/33.639706/70.879402</t>
  </si>
  <si>
    <t>CALLE 8 ORIENTE PARC 212</t>
  </si>
  <si>
    <t>/33.805900/70.744801</t>
  </si>
  <si>
    <t>V. LAS PALMERAS S/N</t>
  </si>
  <si>
    <t>/33.622261/70.893402</t>
  </si>
  <si>
    <t>CERRO EL CARRETON 11148</t>
  </si>
  <si>
    <t>/33.27735/70.552755</t>
  </si>
  <si>
    <t>LOS BOLDOS 7064</t>
  </si>
  <si>
    <t>/33.570778/71.213253</t>
  </si>
  <si>
    <t>TRES ORIENTE 228</t>
  </si>
  <si>
    <t>/33.133226/70.805878</t>
  </si>
  <si>
    <t>CUATRO ORIENTE 291</t>
  </si>
  <si>
    <t>/33.136256/70.795918</t>
  </si>
  <si>
    <t>MALLARAUCO PARCELA 24</t>
  </si>
  <si>
    <t>/33.607750/70.913933</t>
  </si>
  <si>
    <t>AV. DEL CERRO 19790</t>
  </si>
  <si>
    <t>/33.641033/70.350576</t>
  </si>
  <si>
    <t>CAMINO GUAYACAN 1147</t>
  </si>
  <si>
    <t>/33.60457/70.35323</t>
  </si>
  <si>
    <t>MANUEL PLAZA 448</t>
  </si>
  <si>
    <t>/33.725240/70.742201</t>
  </si>
  <si>
    <t>CAMINO A PERALILLO S/N</t>
  </si>
  <si>
    <t>/33.295369/70.863669</t>
  </si>
  <si>
    <t>/34.047756/71.235193</t>
  </si>
  <si>
    <t>JOSE MATUS 21</t>
  </si>
  <si>
    <t>/33.715806/70.744499</t>
  </si>
  <si>
    <t>/34.030844/71.096339</t>
  </si>
  <si>
    <t>CAMINO SERVIDUMBRE S/N</t>
  </si>
  <si>
    <t>/33.271517/70.880177</t>
  </si>
  <si>
    <t>SAN IGNACIO P 26</t>
  </si>
  <si>
    <t>/33.585090/70.809609</t>
  </si>
  <si>
    <t>JUAN DE DIOS DIAS 2258</t>
  </si>
  <si>
    <t>/33.680680/71.233674</t>
  </si>
  <si>
    <t>AROMO 238</t>
  </si>
  <si>
    <t>/33.632141/70.756630</t>
  </si>
  <si>
    <t>FRANCISCO JAVIER KRUGGER 19</t>
  </si>
  <si>
    <t>/33.757711/70.733972</t>
  </si>
  <si>
    <t>/34.029039/71.138784</t>
  </si>
  <si>
    <t>EL MOLINO 108</t>
  </si>
  <si>
    <t>/33.811045/70.741420</t>
  </si>
  <si>
    <t>CERRO EL CARRETON 11155</t>
  </si>
  <si>
    <t>/33.724806/70.559414</t>
  </si>
  <si>
    <t>PIEDRA DE LA LUNA 316</t>
  </si>
  <si>
    <t>/33.65594/71.28083</t>
  </si>
  <si>
    <t>ORILLA DEL RIO 153 A</t>
  </si>
  <si>
    <t>/33.705107/70.547405</t>
  </si>
  <si>
    <t>ERRAZURIZ 0256</t>
  </si>
  <si>
    <t>/33.724971/70.740399</t>
  </si>
  <si>
    <t>PABLO DE ROKHA 492</t>
  </si>
  <si>
    <t>/33.782688/71.360985</t>
  </si>
  <si>
    <t>ARICA 1365</t>
  </si>
  <si>
    <t>/33.696214/71.225160</t>
  </si>
  <si>
    <t>CALLEJON FATIMA 212</t>
  </si>
  <si>
    <t>/33.803921/70.743843</t>
  </si>
  <si>
    <t>SAN IGNACIO 35</t>
  </si>
  <si>
    <t>/33.584838/70.810137</t>
  </si>
  <si>
    <t>SAN IGNACIO 26</t>
  </si>
  <si>
    <t>/33.585059/70.809365</t>
  </si>
  <si>
    <t>PARROCO JOSE DEL PIANO 693</t>
  </si>
  <si>
    <t>/33.284844/70.884610</t>
  </si>
  <si>
    <t>PARROCO JOSE DEL PIANO 681</t>
  </si>
  <si>
    <t>/33.284597/70.884620</t>
  </si>
  <si>
    <t>/33.365887/70.837394</t>
  </si>
  <si>
    <t>LA RINCONADA PARCELA 85</t>
  </si>
  <si>
    <t>/33.722301/70.573334</t>
  </si>
  <si>
    <t>LOS MOLLES 1</t>
  </si>
  <si>
    <t>/33.806364/71.238502</t>
  </si>
  <si>
    <t>LAS DALIAS 1439</t>
  </si>
  <si>
    <t>/33.745659/70.896828</t>
  </si>
  <si>
    <t>CARLOS HALABY SABAJ 143</t>
  </si>
  <si>
    <t>/33.74659/70.896828</t>
  </si>
  <si>
    <t>TRES NORTE 031</t>
  </si>
  <si>
    <t>/33.63814/70.35252</t>
  </si>
  <si>
    <t>AV. EL CERRO 0112</t>
  </si>
  <si>
    <t>/33.78373/70.23658</t>
  </si>
  <si>
    <t>VEINTIUNO DE MAYO 317</t>
  </si>
  <si>
    <t>/33.203082/70.668105</t>
  </si>
  <si>
    <t>PABLO NERUDA 431</t>
  </si>
  <si>
    <t>/33.614790/70.870597</t>
  </si>
  <si>
    <t>LOMAS DE CURACAVI P32</t>
  </si>
  <si>
    <t>/33.394445/71.172478</t>
  </si>
  <si>
    <t>LOS CORRALES 89 A</t>
  </si>
  <si>
    <t>/33.72426/70.55293</t>
  </si>
  <si>
    <t>SAN VICENTE PARCELA 23</t>
  </si>
  <si>
    <t>/33.67278/70.62283</t>
  </si>
  <si>
    <t>/34.03161/71.08627</t>
  </si>
  <si>
    <t>PJE RENGO 044</t>
  </si>
  <si>
    <t>/33.731941/70.779030</t>
  </si>
  <si>
    <t>PJE ISLA CHILOE 64</t>
  </si>
  <si>
    <t>/33.805112/70.736102</t>
  </si>
  <si>
    <t>AGUILA SUR PC32 A1</t>
  </si>
  <si>
    <t>/33.902030/70.749699</t>
  </si>
  <si>
    <t>AGUILA SUR 3</t>
  </si>
  <si>
    <t>/33.918024/70.747488</t>
  </si>
  <si>
    <t>/33.695672/70.853930</t>
  </si>
  <si>
    <t>LA ENSENADA 51</t>
  </si>
  <si>
    <t>/33.918770/70.762180</t>
  </si>
  <si>
    <t>SANTA GEMITA CASA 5</t>
  </si>
  <si>
    <t>/33.246688/70.699065</t>
  </si>
  <si>
    <t>/34.03162/71.04991</t>
  </si>
  <si>
    <t>CAMINO MELIPILLA S/N</t>
  </si>
  <si>
    <t>/33.639618/70.878670</t>
  </si>
  <si>
    <t>AV. AMBROSIO OHIGGINS 475</t>
  </si>
  <si>
    <t>/33.405867/71.148873</t>
  </si>
  <si>
    <t>ALTO DE CANTILLANA 161</t>
  </si>
  <si>
    <t>/33.805768/70.732713</t>
  </si>
  <si>
    <t>BERNARDO OHIGGINS 65</t>
  </si>
  <si>
    <t>/33.306552/70.853011</t>
  </si>
  <si>
    <t>PJE VENUS 1997</t>
  </si>
  <si>
    <t>/33.608593/70.8772262</t>
  </si>
  <si>
    <t>DESIDERIO MOYA 134</t>
  </si>
  <si>
    <t>/33.563049/70.792327</t>
  </si>
  <si>
    <t>CO PUBLICO S/N</t>
  </si>
  <si>
    <t>/33.756618/71.321968</t>
  </si>
  <si>
    <t>LAS CANARIAS S/N</t>
  </si>
  <si>
    <t>/33.736745/70.916837</t>
  </si>
  <si>
    <t>VALPARAISO S/N</t>
  </si>
  <si>
    <t>/33583959/71.217128</t>
  </si>
  <si>
    <t>CAMINO INTERIOR S/N LOTE 19</t>
  </si>
  <si>
    <t>/33.284615/70.843047</t>
  </si>
  <si>
    <t>EL DIBUJO 242</t>
  </si>
  <si>
    <t>/33.794769/71.245178</t>
  </si>
  <si>
    <t>CAMINO INTERIOR S/N LOTE 6</t>
  </si>
  <si>
    <t>/33.314381/70.849640</t>
  </si>
  <si>
    <t>AV. CENTRAL 1300</t>
  </si>
  <si>
    <t>/33.621567/70.895056</t>
  </si>
  <si>
    <t>/33.731048/70.555915</t>
  </si>
  <si>
    <t>VALPARAISO C/S</t>
  </si>
  <si>
    <t>/33.583959/71.217331</t>
  </si>
  <si>
    <t>VIRGINIA SUBERCASEAUX S/N</t>
  </si>
  <si>
    <t>/33.639537/70.582695</t>
  </si>
  <si>
    <t>ABRANTES 15</t>
  </si>
  <si>
    <t>/33.859197/70.849173</t>
  </si>
  <si>
    <t>/33.987339/71.064583</t>
  </si>
  <si>
    <t>CALLE NUEVA PARCELA 9/1</t>
  </si>
  <si>
    <t>/33.71119/70.55436</t>
  </si>
  <si>
    <t>LOS CORRALES 93</t>
  </si>
  <si>
    <t>/33.730793/70.554032</t>
  </si>
  <si>
    <t>LO CASTRO SITIO 10</t>
  </si>
  <si>
    <t>/33.290275/70.773016</t>
  </si>
  <si>
    <t>/33.979698/71.061516</t>
  </si>
  <si>
    <t>/33.980633/71.066193</t>
  </si>
  <si>
    <t>ALFREDO LASCAR 385</t>
  </si>
  <si>
    <t>/33.614116/70.876642</t>
  </si>
  <si>
    <t>TENIENTE MERINO 505</t>
  </si>
  <si>
    <t>/33.568855/70.807079</t>
  </si>
  <si>
    <t>CJ EL LLANO G/712</t>
  </si>
  <si>
    <t>/34.053746/71.226981</t>
  </si>
  <si>
    <t>MIRAFLORES 080</t>
  </si>
  <si>
    <t>/33.73117/70.68423</t>
  </si>
  <si>
    <t>/34.04277/71.23151</t>
  </si>
  <si>
    <t>/34.039470/71.222931</t>
  </si>
  <si>
    <t>PJE LA LINEA S/N</t>
  </si>
  <si>
    <t>/34.039902/71.235162</t>
  </si>
  <si>
    <t>/33.726614/70.319337</t>
  </si>
  <si>
    <t>LOS CASTAÑOS 032</t>
  </si>
  <si>
    <t>/33.781761/70.244669</t>
  </si>
  <si>
    <t>/34.034569/71.100254</t>
  </si>
  <si>
    <t>/34.034381/71.100195</t>
  </si>
  <si>
    <t>SECTOR SANTA LAURA MELIPILLA S/N</t>
  </si>
  <si>
    <t>/33.762569/71.333633</t>
  </si>
  <si>
    <t>CAMINO LAS TINAJAS S/N</t>
  </si>
  <si>
    <t>/33.805500/71.381561</t>
  </si>
  <si>
    <t>EL PORVENIR S/N</t>
  </si>
  <si>
    <t>/33.756115/71.324806</t>
  </si>
  <si>
    <t>/34.046425/71.233863</t>
  </si>
  <si>
    <t>CAMINO LAS PARCELAS 7C</t>
  </si>
  <si>
    <t>/33.69172/70.59312</t>
  </si>
  <si>
    <t>CAMINO VALPARAISO S/N</t>
  </si>
  <si>
    <t>/33.589949/71.217769</t>
  </si>
  <si>
    <t>SAN FRANCISCO DE PAULA S/N</t>
  </si>
  <si>
    <t>/33.679287/70.957714</t>
  </si>
  <si>
    <t>LOS ACACIOS S/N</t>
  </si>
  <si>
    <t>/33.587179/70.875620</t>
  </si>
  <si>
    <t>CASA DE LO ARCA 3 LOTE 1</t>
  </si>
  <si>
    <t>/33.690797/70.582893</t>
  </si>
  <si>
    <t>AGUILA SUR SITIO 44</t>
  </si>
  <si>
    <t>/33.903759/70.749445</t>
  </si>
  <si>
    <t>/33.724752/71.190650</t>
  </si>
  <si>
    <t>LOS BOLDOS S/N</t>
  </si>
  <si>
    <t>/33.589949/71.216789</t>
  </si>
  <si>
    <t>CALLA UNO 300</t>
  </si>
  <si>
    <t>/33.60598/70.85082</t>
  </si>
  <si>
    <t>MAKEMAKE 338</t>
  </si>
  <si>
    <t>/33.683368/71.225125</t>
  </si>
  <si>
    <t>AGUILA SUR PARC 32</t>
  </si>
  <si>
    <t>/33.901767/70.749254</t>
  </si>
  <si>
    <t>JOSE MATUS GOMEZ 71</t>
  </si>
  <si>
    <t>/33.715602/70.744574</t>
  </si>
  <si>
    <t>AGUILA SUR SITIO 49</t>
  </si>
  <si>
    <t>/33.906270/70.741051</t>
  </si>
  <si>
    <t>LA ESTANCILLA SITIO 2</t>
  </si>
  <si>
    <t>/33.753598/70.815010</t>
  </si>
  <si>
    <t>LA ESTANCILLA CTA 4</t>
  </si>
  <si>
    <t>/33.754049/70.814783</t>
  </si>
  <si>
    <t>AV. MIGUEL LETELIER SITIO 6</t>
  </si>
  <si>
    <t>/33.843831/70.795028</t>
  </si>
  <si>
    <t>PJE LA HIGUERA 9</t>
  </si>
  <si>
    <t>/32.968644/70.839392</t>
  </si>
  <si>
    <t>AV. 3 ORIENTE 341 E</t>
  </si>
  <si>
    <t>/33.140311/70.796187</t>
  </si>
  <si>
    <t>/33.844264/70.794872</t>
  </si>
  <si>
    <t>CODIGUA S/N</t>
  </si>
  <si>
    <t>/33.753457/71.301637</t>
  </si>
  <si>
    <t>/33.763657/71.301537</t>
  </si>
  <si>
    <t>LOS ALTOS DE POPETA PARCELA 68</t>
  </si>
  <si>
    <t>/33.814601/71.329984</t>
  </si>
  <si>
    <t>CI SIT 139</t>
  </si>
  <si>
    <t>/33.581977/70.812900</t>
  </si>
  <si>
    <t>/33.581601/70.813581</t>
  </si>
  <si>
    <t>LOS TRONCOS 35</t>
  </si>
  <si>
    <t>/33.577905/70.810370</t>
  </si>
  <si>
    <t>CAMINO INTERIOR S/N MZN 75</t>
  </si>
  <si>
    <t>/33.308979/70.839465</t>
  </si>
  <si>
    <t>SANTA TERESITA 833</t>
  </si>
  <si>
    <t>/33.285820/70.880492</t>
  </si>
  <si>
    <t>CALLE NUEVA 28</t>
  </si>
  <si>
    <t>/33.706278/70.563970</t>
  </si>
  <si>
    <t>CALLE VOLCAN BOURMEY 773</t>
  </si>
  <si>
    <t>33.329065/76.770855</t>
  </si>
  <si>
    <t>PJE REG MANUEL T57</t>
  </si>
  <si>
    <t>/33.289092/70.880626</t>
  </si>
  <si>
    <t>DANIEL MOYA 498</t>
  </si>
  <si>
    <t>/33.088265/70.920819</t>
  </si>
  <si>
    <t>LA HACIENDA 2846</t>
  </si>
  <si>
    <t>/33.299076/70.872857</t>
  </si>
  <si>
    <t>LA UNION S/N</t>
  </si>
  <si>
    <t>/33.790292/71.403236</t>
  </si>
  <si>
    <t>CAMINO EL LLANO SITIO 19</t>
  </si>
  <si>
    <t>/34.05891/71.23496</t>
  </si>
  <si>
    <t>SAN MARTIN 480</t>
  </si>
  <si>
    <t>/33.305790/70.857406</t>
  </si>
  <si>
    <t>/34.03918/71.22233</t>
  </si>
  <si>
    <t>/34.04001/71.22648</t>
  </si>
  <si>
    <t>PA SEIS 75</t>
  </si>
  <si>
    <t>/33.804883/70.737911</t>
  </si>
  <si>
    <t>SECTOR PURO S/N</t>
  </si>
  <si>
    <t>CODIGUA PC 34</t>
  </si>
  <si>
    <t>/33.807419/71.367317</t>
  </si>
  <si>
    <t>CHOCALAN S/N</t>
  </si>
  <si>
    <t>/33.746975/71.232834</t>
  </si>
  <si>
    <t>/33.769619/71.313530</t>
  </si>
  <si>
    <t>DOCE DE SEPTIEMBRE 2435</t>
  </si>
  <si>
    <t>/33.601262/70.878856</t>
  </si>
  <si>
    <t>SAN ALBERTO HURTADO 3273</t>
  </si>
  <si>
    <t>/33.576176/70.822505</t>
  </si>
  <si>
    <t>/33.63567/70.81432</t>
  </si>
  <si>
    <t>LOS MOLLES PARC 132</t>
  </si>
  <si>
    <t>/33.806090/71.238220</t>
  </si>
  <si>
    <t>/33.806201/71.238618</t>
  </si>
  <si>
    <t>AV. SUECIA 123</t>
  </si>
  <si>
    <t>/33.674682/71.177658</t>
  </si>
  <si>
    <t>LAS SALITRERAS 279</t>
  </si>
  <si>
    <t>/33.748940/70.900593</t>
  </si>
  <si>
    <t>SANTA EMILIA PARC 18</t>
  </si>
  <si>
    <t>/33.471247/71.109244</t>
  </si>
  <si>
    <t>SECTOR CHACRA DON ARTURO S/N</t>
  </si>
  <si>
    <t>/33.704627/71.210284</t>
  </si>
  <si>
    <t>EGAÑAN S/N 815 A</t>
  </si>
  <si>
    <t>/33.690381/71.209359</t>
  </si>
  <si>
    <t>ARTURO PRAT 25</t>
  </si>
  <si>
    <t>/33.28897/70.88618</t>
  </si>
  <si>
    <t>DEDAL DE ORO 2214</t>
  </si>
  <si>
    <t>/33.29475/70.88551</t>
  </si>
  <si>
    <t>EX ASENTAMIENTO S/N</t>
  </si>
  <si>
    <t>/33.581508/71.215456</t>
  </si>
  <si>
    <t>EL SAGRADO 156</t>
  </si>
  <si>
    <t>/33.289555/70.873276</t>
  </si>
  <si>
    <t>EGAÑA S/N 815 A</t>
  </si>
  <si>
    <t>/33.690660/71.209614</t>
  </si>
  <si>
    <t>/33.926117/70.755467</t>
  </si>
  <si>
    <t>/33.918529/70.747487</t>
  </si>
  <si>
    <t>/34.026665/71.084328</t>
  </si>
  <si>
    <t>/34.029709/70.999443</t>
  </si>
  <si>
    <t>LA ENSENADA 6</t>
  </si>
  <si>
    <t>/33.915456/70.750501</t>
  </si>
  <si>
    <t>/34.030624/71.086685</t>
  </si>
  <si>
    <t>SARGENTO CANDELARIA S/N</t>
  </si>
  <si>
    <t>/33.588114/71.214744</t>
  </si>
  <si>
    <t>CALLE POZO AL MONTE 0708</t>
  </si>
  <si>
    <t>/33.183783/70.673924</t>
  </si>
  <si>
    <t>SARGENTO CANDELARIA 165</t>
  </si>
  <si>
    <t>/34.031058/70.996244</t>
  </si>
  <si>
    <t>VOLCAN SAN PEDRO S/N</t>
  </si>
  <si>
    <t>/33.088719/70.930246</t>
  </si>
  <si>
    <t>/33.920781/70.757352</t>
  </si>
  <si>
    <t>EL RAULI 977</t>
  </si>
  <si>
    <t>/33.577477/70.810743</t>
  </si>
  <si>
    <t>/33.290229/70.772968</t>
  </si>
  <si>
    <t>EXEQUIEL PLAZA 0128</t>
  </si>
  <si>
    <t>/33.657665/70.916204</t>
  </si>
  <si>
    <t>PJE LIDO MANETTI 610</t>
  </si>
  <si>
    <t>/33.72288/70.77172</t>
  </si>
  <si>
    <t>LAS VIOLETAS 1049</t>
  </si>
  <si>
    <t>/33.576827/70.809432</t>
  </si>
  <si>
    <t>CUYUNCAVI 113</t>
  </si>
  <si>
    <t>/33.401856/71.126683</t>
  </si>
  <si>
    <t>/33.57696/70.45162</t>
  </si>
  <si>
    <t>BASTERRICA 73</t>
  </si>
  <si>
    <t>/33.610572/70.900339</t>
  </si>
  <si>
    <t>ENSENADA PC 2/C</t>
  </si>
  <si>
    <t>/33.918668/70.753579</t>
  </si>
  <si>
    <t>AMANDA LABARCA 1997</t>
  </si>
  <si>
    <t>/33.577240/70.8000278</t>
  </si>
  <si>
    <t>QUEBRADA LOS CASTAÑOS 0185</t>
  </si>
  <si>
    <t>/33.78282/70.24380</t>
  </si>
  <si>
    <t>LOS MAQUIS 1528</t>
  </si>
  <si>
    <t>/33.568537/70.805461</t>
  </si>
  <si>
    <t>RIO ACONCAGUA 740</t>
  </si>
  <si>
    <t>/33.577186/70.809812</t>
  </si>
  <si>
    <t>LOS LIRIOS 751</t>
  </si>
  <si>
    <t>/33.746025/70.896759</t>
  </si>
  <si>
    <t>AGUILA SUR PC 32</t>
  </si>
  <si>
    <t>/33.901973/70.750010</t>
  </si>
  <si>
    <t>/34.031070/70.997691</t>
  </si>
  <si>
    <t>JOSE VALDEBENITO</t>
  </si>
  <si>
    <t>EX FDO LIRAY  L/3 P/5 B</t>
  </si>
  <si>
    <t>/33.243286/70.753593</t>
  </si>
  <si>
    <t>PEDRO HERRERA 441</t>
  </si>
  <si>
    <t>/33.741728/70.868652</t>
  </si>
  <si>
    <t>LAS TINAJAS 842</t>
  </si>
  <si>
    <t>/33.668930/70.921101</t>
  </si>
  <si>
    <t>CAM AL VOLCAN 41478</t>
  </si>
  <si>
    <t>/33.784924/70.235879</t>
  </si>
  <si>
    <t>PARQUE NACIONAL HUERQUEHUE 47</t>
  </si>
  <si>
    <t>/33.335237/70.771087</t>
  </si>
  <si>
    <t>ISLA DE CHOCALAN  PC10</t>
  </si>
  <si>
    <t>/33.747246/71.232971</t>
  </si>
  <si>
    <t>/33.578157/70.803392</t>
  </si>
  <si>
    <t>ENSENADA AGUILA SUR  S/N</t>
  </si>
  <si>
    <t>/33.908492/70.763122</t>
  </si>
  <si>
    <t>BARRALES 540</t>
  </si>
  <si>
    <t>/33.690731/71.214798</t>
  </si>
  <si>
    <t>/33.902844/70.766262</t>
  </si>
  <si>
    <t>ANSELMO OSORIO 1232</t>
  </si>
  <si>
    <t>/33.572128/71.193352</t>
  </si>
  <si>
    <t>/33.408287/71.145580</t>
  </si>
  <si>
    <t>/33.408356/71.145697</t>
  </si>
  <si>
    <t>ABILO MEDINA 2817</t>
  </si>
  <si>
    <t>/33.729878/70.771338</t>
  </si>
  <si>
    <t>/33.909620/70.763763</t>
  </si>
  <si>
    <t>/34.030287/70.995899</t>
  </si>
  <si>
    <t>CALLEJON LA PALMA S/N</t>
  </si>
  <si>
    <t>/34.031027/70.997727</t>
  </si>
  <si>
    <t>/33.591623/71.218297</t>
  </si>
  <si>
    <t>/34.030260/70.997863</t>
  </si>
  <si>
    <t>/34.030266/70.995899</t>
  </si>
  <si>
    <t>/33.568375/70.805580</t>
  </si>
  <si>
    <t>ESTERO CHACABUCO 1793</t>
  </si>
  <si>
    <t>/33.583870/70.803800</t>
  </si>
  <si>
    <t>LAS ACACIAS 45</t>
  </si>
  <si>
    <t>/33.736262,/71.020364</t>
  </si>
  <si>
    <t>ALGARROBO 061</t>
  </si>
  <si>
    <t>/33.240217,/70.815878</t>
  </si>
  <si>
    <t>IZAGA 935</t>
  </si>
  <si>
    <t>/33.753796,/70.905242</t>
  </si>
  <si>
    <t>LOS LIRIOS 828</t>
  </si>
  <si>
    <t>/33.746045,/70.897724</t>
  </si>
  <si>
    <t>GALVEZ 1329</t>
  </si>
  <si>
    <t>/33.769802,/70.901932</t>
  </si>
  <si>
    <t>HUERTO 129</t>
  </si>
  <si>
    <t>/33.856081,/70.762107</t>
  </si>
  <si>
    <t>KENNEDY PARC 232</t>
  </si>
  <si>
    <t>/33.856227,/70.759490</t>
  </si>
  <si>
    <t>LUIS BECERRA 341</t>
  </si>
  <si>
    <t>/33.742771,/70.867742</t>
  </si>
  <si>
    <t>CORTEZ 64</t>
  </si>
  <si>
    <t>/33.753272,/70.902906</t>
  </si>
  <si>
    <t>LUIS PEÑA SOTELO 399</t>
  </si>
  <si>
    <t>/33.747456,/70.860338</t>
  </si>
  <si>
    <t>LO MARTINEZ 1165</t>
  </si>
  <si>
    <t>/33.747391,/70.909663</t>
  </si>
  <si>
    <t>NALTAGUA LOTA 9</t>
  </si>
  <si>
    <t>/33.740021,/70.956688</t>
  </si>
  <si>
    <t>LAS GUIAS 48 BRILLO DEL SOL</t>
  </si>
  <si>
    <t>/33,740315,/70,956465</t>
  </si>
  <si>
    <t>FABIOLA LETELIER 292</t>
  </si>
  <si>
    <t>/33,747157,/70,861664</t>
  </si>
  <si>
    <t>/33,739905,/70,956817</t>
  </si>
  <si>
    <t>ALERCE 450</t>
  </si>
  <si>
    <t>/33,752753,/70,88550</t>
  </si>
  <si>
    <t>LA REINA 2769</t>
  </si>
  <si>
    <t>/33,671239,/70,946126</t>
  </si>
  <si>
    <t>LO HERRERA 699</t>
  </si>
  <si>
    <t>/33,744635,/70,898734</t>
  </si>
  <si>
    <t>SANTA CLARA S7N</t>
  </si>
  <si>
    <t>/33,770651,/70,882834</t>
  </si>
  <si>
    <t>CI19 / EL TREBOL S/N CON DURAZNAL</t>
  </si>
  <si>
    <t>/33,577122,/70,785719</t>
  </si>
  <si>
    <t>RECREO S/N POSTE 577377,</t>
  </si>
  <si>
    <t>/33,715201,/70,848033</t>
  </si>
  <si>
    <t>EL TREBOL S/N</t>
  </si>
  <si>
    <t>/33,577299,/70,785649</t>
  </si>
  <si>
    <t>/35,577299,/70,785649</t>
  </si>
  <si>
    <t>AVDA SANTELICES 1549</t>
  </si>
  <si>
    <t>/33,750783,/70,910931</t>
  </si>
  <si>
    <t>ESTEBAN HUERTA 2132 CH SANTA ADELA</t>
  </si>
  <si>
    <t>/33,733220,/70,763118</t>
  </si>
  <si>
    <t>ESTEBAN HUERTA 2417 CH SANTA ADELA</t>
  </si>
  <si>
    <t>/33,733040,/70,763264</t>
  </si>
  <si>
    <t>MARIA ISABEL SALAMANCA 3475</t>
  </si>
  <si>
    <t>/33,746549,/70,860648</t>
  </si>
  <si>
    <t>RIDENCINDO RIVERO 92</t>
  </si>
  <si>
    <t>/33,732759,/70,762751</t>
  </si>
  <si>
    <t>LOS ZORZALEZ 775</t>
  </si>
  <si>
    <t>/33,567509,/70,795058</t>
  </si>
  <si>
    <t>VOLCAN QUIZAPU 633</t>
  </si>
  <si>
    <t>/33,654536,/70,906994</t>
  </si>
  <si>
    <t>DIEGO OSORIO 56</t>
  </si>
  <si>
    <t>/33,733190,/70,762381</t>
  </si>
  <si>
    <t>PASAJE COHIHUES 5 CASA A</t>
  </si>
  <si>
    <t>/33,676430,/70,950365</t>
  </si>
  <si>
    <t>ESTEBAN HUERTA 2128</t>
  </si>
  <si>
    <t>/33,733227,/70,763004</t>
  </si>
  <si>
    <t>PA ESTERO GACITUA 600</t>
  </si>
  <si>
    <t>/33,734622,/70,865377</t>
  </si>
  <si>
    <t>DIEGO OSORIO ARAVENA 79</t>
  </si>
  <si>
    <t>/33,732948,/70,762448</t>
  </si>
  <si>
    <t>SAN IGNACIO 226</t>
  </si>
  <si>
    <t>/33,573098,/70,816827</t>
  </si>
  <si>
    <t>SAN IGNACIO  244</t>
  </si>
  <si>
    <t>/33,573247,/70,816630</t>
  </si>
  <si>
    <t>ALCALDE A RUIZ TAGLE 1100</t>
  </si>
  <si>
    <t>/33,203411,/70,685880</t>
  </si>
  <si>
    <t>PA HECTOR BERRIOS  2212</t>
  </si>
  <si>
    <t>/33,732878,/70,764378</t>
  </si>
  <si>
    <t>EL TATIO 311</t>
  </si>
  <si>
    <t>/33,749009,/70,899598</t>
  </si>
  <si>
    <t>EL TATIO 303</t>
  </si>
  <si>
    <t>/33,749159,/70,899613</t>
  </si>
  <si>
    <t>LAZARO HUERTA 37 C H SANTA ADELA</t>
  </si>
  <si>
    <t>/33,733003,/70,763857</t>
  </si>
  <si>
    <t>HECTOR BERRIOS  2211</t>
  </si>
  <si>
    <t>/33,732747,/70,764469</t>
  </si>
  <si>
    <t>MANUEL RODRIGUEZ 78</t>
  </si>
  <si>
    <t>/33,753776,/70,894657</t>
  </si>
  <si>
    <t>SANTA CLARA S/N</t>
  </si>
  <si>
    <t>/33,770921,/70,882475</t>
  </si>
  <si>
    <t>ESTEBAN HUERTA 2104</t>
  </si>
  <si>
    <t>/33,733381,/70,762600</t>
  </si>
  <si>
    <t>/33,733051,/70,763910</t>
  </si>
  <si>
    <t>ELSA GONZALEZ CAVIERES 288</t>
  </si>
  <si>
    <t>/33,738591,/70,764888</t>
  </si>
  <si>
    <t>LO GURERRA 267</t>
  </si>
  <si>
    <t>/33,743760,/70,898871</t>
  </si>
  <si>
    <t>CENTRAL 1115</t>
  </si>
  <si>
    <t>/33,745740,/70,902282</t>
  </si>
  <si>
    <t>CA CENTRAL 1105 LT24</t>
  </si>
  <si>
    <t>/33,745864,/70,902410</t>
  </si>
  <si>
    <t>ESTEBAN HUERTA 2152</t>
  </si>
  <si>
    <t>/33,733130,/70,763421</t>
  </si>
  <si>
    <t>DIEGO OSORIO 116</t>
  </si>
  <si>
    <t>/33.732680,/70.762046</t>
  </si>
  <si>
    <t>LAZARO HUERTA 97</t>
  </si>
  <si>
    <t>/33.732351,/70.763643</t>
  </si>
  <si>
    <t>ESTEBAN HUERTA 2107</t>
  </si>
  <si>
    <t>/33.733219,/70,762590</t>
  </si>
  <si>
    <t>DIEGO OSORIO 110</t>
  </si>
  <si>
    <t>/33,732740,/70,762146</t>
  </si>
  <si>
    <t>HECTOR BERRIOS 2191</t>
  </si>
  <si>
    <t>/33,732830,/70,764042</t>
  </si>
  <si>
    <t>VICTOR JARA 36</t>
  </si>
  <si>
    <t>/33.710547,/70,854693</t>
  </si>
  <si>
    <t>HECTOR BERRIOS 2192</t>
  </si>
  <si>
    <t>/33.732906,/70.768079</t>
  </si>
  <si>
    <t>PAICO ALTO 17</t>
  </si>
  <si>
    <t>/33,662137,/71.051483</t>
  </si>
  <si>
    <t>TEGUALDA 1124</t>
  </si>
  <si>
    <t>/33,.678862,/70949278</t>
  </si>
  <si>
    <t>MANUEL MALLEA 70</t>
  </si>
  <si>
    <t>/33.732457,/70.764537</t>
  </si>
  <si>
    <t>BARCELONA 127</t>
  </si>
  <si>
    <t>/33.581143,/70,812982</t>
  </si>
  <si>
    <t>MANUEL MALLEA PEREZ 95, C H SANTA ADELA</t>
  </si>
  <si>
    <t>/33.732170,/70.764561</t>
  </si>
  <si>
    <t>LA ARAUCARIA  533</t>
  </si>
  <si>
    <t>/33.751726,/70.861667</t>
  </si>
  <si>
    <t>ROSARIO GONZALEZ LABARCA 476</t>
  </si>
  <si>
    <t>/33.718586,/70.744564</t>
  </si>
  <si>
    <t>ELSA GONZALEZ 288</t>
  </si>
  <si>
    <t>/33.738559,/70.764884</t>
  </si>
  <si>
    <t>PA DOS 1084</t>
  </si>
  <si>
    <t>/33.665985,/70.926989</t>
  </si>
  <si>
    <t>MANUEL RODRIGUEZ 1213</t>
  </si>
  <si>
    <t>/33.748504,/70.905048</t>
  </si>
  <si>
    <t>LOS MAITENES 126</t>
  </si>
  <si>
    <t>/33.768218,/70.887693</t>
  </si>
  <si>
    <t>CORTEZ 71</t>
  </si>
  <si>
    <t>/33.753230,/70.902729</t>
  </si>
  <si>
    <t>/33.753265,/70.902975</t>
  </si>
  <si>
    <t>/33.662137,/71.051483</t>
  </si>
  <si>
    <t>LAS GUIAS S/N</t>
  </si>
  <si>
    <t>/33.736627,/70.960924</t>
  </si>
  <si>
    <t>LO MARTINEZ 1278</t>
  </si>
  <si>
    <t>//33.747572,/70.911952</t>
  </si>
  <si>
    <t>BRISAS DEL MAIPO 7395</t>
  </si>
  <si>
    <t>/33.734365,/70.865653</t>
  </si>
  <si>
    <t>BRISAS DEL MAIPO 4390</t>
  </si>
  <si>
    <t>/33.734492,/70.865562</t>
  </si>
  <si>
    <t>LO MARTINEZ 1278 LT 1 B</t>
  </si>
  <si>
    <t>/33.747574,/70.911959</t>
  </si>
  <si>
    <t>LOMARTINEZ 1278 1 A</t>
  </si>
  <si>
    <t>/33.747451,/70.912590</t>
  </si>
  <si>
    <t>LO MARTINEZ 1155</t>
  </si>
  <si>
    <t>/33.747433,/70.910477</t>
  </si>
  <si>
    <t>PARC LA CANADA SITIO 2 S/N</t>
  </si>
  <si>
    <t>/33,648650,/70.826044</t>
  </si>
  <si>
    <t>ALVAREZ 447</t>
  </si>
  <si>
    <t>/33.760942,/70.910765</t>
  </si>
  <si>
    <t>YURI OPAZO 2191</t>
  </si>
  <si>
    <t>/33.733194,/70.764128</t>
  </si>
  <si>
    <t>SALAR DE ATACAMA 145</t>
  </si>
  <si>
    <t>/33.750156,/70.900744</t>
  </si>
  <si>
    <t>MANUEL RODRIGUEZ 428 CHAMPA</t>
  </si>
  <si>
    <t>/33.853498,/70,763158</t>
  </si>
  <si>
    <t>DIEGO OSORIO 67</t>
  </si>
  <si>
    <t>/33.733024,/70.762515</t>
  </si>
  <si>
    <t>BALMACEDA  SIT 29 S/N</t>
  </si>
  <si>
    <t>/33.709147,/70.855872</t>
  </si>
  <si>
    <t>PASAJE CUATRO A 349</t>
  </si>
  <si>
    <t>/33.196465,/70.674900</t>
  </si>
  <si>
    <t>LAZARO HUERTA 63 CH SANTA ADELA</t>
  </si>
  <si>
    <t>/33.732724,/70.763736</t>
  </si>
  <si>
    <t>/33.733192,/70,762969</t>
  </si>
  <si>
    <t>CALLE LOS NARANJOS 1641</t>
  </si>
  <si>
    <t>/33.571497,/70.802557</t>
  </si>
  <si>
    <t>MANUEL RODRIGUEZ 89</t>
  </si>
  <si>
    <t>/33,753474,/70,894695</t>
  </si>
  <si>
    <t>NUESTRA ILUSION 0158</t>
  </si>
  <si>
    <t>/33.712893,/70.741988</t>
  </si>
  <si>
    <t>LAZARO HUERTA 31 CH SANTA ADELA</t>
  </si>
  <si>
    <t>/33.733166,/70.763906</t>
  </si>
  <si>
    <t>ESCUADRA LIBERTADORA 260</t>
  </si>
  <si>
    <t>/33.749741,/70,894281</t>
  </si>
  <si>
    <t>HECTOR BARRIOS 2220</t>
  </si>
  <si>
    <t>/33.732807,/70.764498</t>
  </si>
  <si>
    <t>/33.606458,/70.877582</t>
  </si>
  <si>
    <t>LAS ARAUCARIAS 168</t>
  </si>
  <si>
    <t>/33.579106,/70456034</t>
  </si>
  <si>
    <t>DIEGO OSORIO 50</t>
  </si>
  <si>
    <t>/33.733287,/70.762421</t>
  </si>
  <si>
    <t>SENADOR JAIME GUZMAN 659</t>
  </si>
  <si>
    <t>/33.746489,/70.904480</t>
  </si>
  <si>
    <t>GACITUA 148</t>
  </si>
  <si>
    <t>/33.728785,/70.915182</t>
  </si>
  <si>
    <t>/33.732226,/70,762134</t>
  </si>
  <si>
    <t>ALVAREZ 1480</t>
  </si>
  <si>
    <t>/33.757062,/70913193</t>
  </si>
  <si>
    <t>MANUEL MALLEA 47</t>
  </si>
  <si>
    <t>/33.732660,/70,764846</t>
  </si>
  <si>
    <t>/33.757062,/70,913193</t>
  </si>
  <si>
    <t>DEIDAMIA ZELADA 2126</t>
  </si>
  <si>
    <t>/33.732600,/70,762643</t>
  </si>
  <si>
    <t>ALVAREZ 1477</t>
  </si>
  <si>
    <t>/33.759925,/70,912443</t>
  </si>
  <si>
    <t>FEDERICO ARTEAGA ORIENTE 449</t>
  </si>
  <si>
    <t>/33.723222,/70,734256</t>
  </si>
  <si>
    <t>LAS TAGUITAS 576</t>
  </si>
  <si>
    <t>/33.749886,/70.860344</t>
  </si>
  <si>
    <t>PADRE HURTADO FUNDO LA VEGA  ST 13</t>
  </si>
  <si>
    <t>/33.818583,/70,648601</t>
  </si>
  <si>
    <t>LAZARO HUERTA 69</t>
  </si>
  <si>
    <t>/33.732668,/70.763762</t>
  </si>
  <si>
    <t>CARAMPANGUE S/N</t>
  </si>
  <si>
    <t>/33.707266,/70.867274</t>
  </si>
  <si>
    <t>PASAJE MANUEL MUÑOZ 277/B</t>
  </si>
  <si>
    <t>/33,689814,/70.925170</t>
  </si>
  <si>
    <t>DEIDAMIA ZELADA 2225</t>
  </si>
  <si>
    <t>/33,731987,/70,764382</t>
  </si>
  <si>
    <t>PJE CRUCERO 588</t>
  </si>
  <si>
    <t>/33.771553,/70.906155</t>
  </si>
  <si>
    <t>RIO HUASCO 569</t>
  </si>
  <si>
    <t>/33,654738,/70,913045</t>
  </si>
  <si>
    <t>MANUEL MALLEA P 52</t>
  </si>
  <si>
    <t>/33.732663,/70.764634</t>
  </si>
  <si>
    <t>EL ZAGUAN 365</t>
  </si>
  <si>
    <t>/33.745214,/70.899629</t>
  </si>
  <si>
    <t>PORTILLO 285</t>
  </si>
  <si>
    <t>/33,752934,/70,888979</t>
  </si>
  <si>
    <t>PRIMAVERA NORTE 271</t>
  </si>
  <si>
    <t>/33.755795,/70.892926</t>
  </si>
  <si>
    <t>LOS LIBERTADORES 680 CASA 6</t>
  </si>
  <si>
    <t>/33.808761,/70.867665</t>
  </si>
  <si>
    <t>DOS 91 POB BAQUEDANO</t>
  </si>
  <si>
    <t>/33.805073,/70.739684</t>
  </si>
  <si>
    <t>EL CORREDOR 722</t>
  </si>
  <si>
    <t>/33.744177,/70,899227</t>
  </si>
  <si>
    <t>SAN LUIS 3310 AIRES DEL MAIPO</t>
  </si>
  <si>
    <t>/33.747539,/70.863718</t>
  </si>
  <si>
    <t>HECTOR BERRIOS 2196</t>
  </si>
  <si>
    <t>/33.732953,/70.764100</t>
  </si>
  <si>
    <t>LILLO 563</t>
  </si>
  <si>
    <t>/33.753032,/70.892649</t>
  </si>
  <si>
    <t>PASAJES LAS HIGUERAS 1212</t>
  </si>
  <si>
    <t>/33.684402,/71.021715</t>
  </si>
  <si>
    <t>ESTEBAN HUERTA 2143</t>
  </si>
  <si>
    <t>/33.733086,/70.7632041</t>
  </si>
  <si>
    <t>CALLE LA RED SITIO 3</t>
  </si>
  <si>
    <t>/33.692424,/71.042338</t>
  </si>
  <si>
    <t>ESTEBAN HUERTA 2111 CH SANTA DELA CENTRO</t>
  </si>
  <si>
    <t>/33.733225,/70.762668</t>
  </si>
  <si>
    <t>LO CASTRO PARCELA 8</t>
  </si>
  <si>
    <t>/33.292306,/70.783490</t>
  </si>
  <si>
    <t>PAULA JARAQUEMADA 287</t>
  </si>
  <si>
    <t>/33.747484,/70.862045</t>
  </si>
  <si>
    <t>LOS TEJEDORES 1453</t>
  </si>
  <si>
    <t>/33.666240,/70,917399</t>
  </si>
  <si>
    <t>PA FABRICIO LEVERA PARCET 316</t>
  </si>
  <si>
    <t>/33,742973,/70,867596</t>
  </si>
  <si>
    <t>LA HIGUERA 970</t>
  </si>
  <si>
    <t>/33.732865,/70.908936</t>
  </si>
  <si>
    <t>DEIDAMIA ZELADA 2169</t>
  </si>
  <si>
    <t>/33.732217,/70,763449</t>
  </si>
  <si>
    <t>CO  LORETO /LOTE 2 S/N</t>
  </si>
  <si>
    <t>/33.647298,/70.845468</t>
  </si>
  <si>
    <t>PA PROGRESO Y BIENESTAR 0148 NUEVO BUIN</t>
  </si>
  <si>
    <t>/33.711876,/70,742610</t>
  </si>
  <si>
    <t>HUITICALAN 20</t>
  </si>
  <si>
    <t>/33.864447,/70,853572</t>
  </si>
  <si>
    <t>ORILLA DEL RIO 160</t>
  </si>
  <si>
    <t>/33.707343,/70542615</t>
  </si>
  <si>
    <t>LAGUNILLAS 21564</t>
  </si>
  <si>
    <t>/33.656005,/70.346041</t>
  </si>
  <si>
    <t>COLONIA ALEMANA LOTE 21 PARCELA 34</t>
  </si>
  <si>
    <t>/33.631053,/70,905756</t>
  </si>
  <si>
    <t>PA ESTERO GACITUA 970</t>
  </si>
  <si>
    <t>/33.731900,/70,908382</t>
  </si>
  <si>
    <t>TEBO 2261</t>
  </si>
  <si>
    <t>/33.295259,/70,883160</t>
  </si>
  <si>
    <t>CLAUDIO MATTE 0256</t>
  </si>
  <si>
    <t>/33.726098,/70.735136</t>
  </si>
  <si>
    <t>/33.7329223,/70.7625489</t>
  </si>
  <si>
    <t>LA TEMPORADA 01699</t>
  </si>
  <si>
    <t>/33.709379,/70.738540</t>
  </si>
  <si>
    <t>LOS CESPEDES 487</t>
  </si>
  <si>
    <t>/33.731170,/70.910716</t>
  </si>
  <si>
    <t>LOS NARDOS 1182</t>
  </si>
  <si>
    <t>/33,670342,/70,934033</t>
  </si>
  <si>
    <t>FUNDO SANTA BERNARDITA S/N</t>
  </si>
  <si>
    <t>/33.774062,/71.340826</t>
  </si>
  <si>
    <t>HECTOR BERRIOS 2203</t>
  </si>
  <si>
    <t>/33.732794,/70.764224</t>
  </si>
  <si>
    <t>ESPERANZA DE LOTEO S/N ST 21</t>
  </si>
  <si>
    <t>/33.506990,/71261179</t>
  </si>
  <si>
    <t>LOS BOLLENES 124</t>
  </si>
  <si>
    <t>/33.570304,/71.211823</t>
  </si>
  <si>
    <t>PADRE TARSICIO ERNOLI 0148</t>
  </si>
  <si>
    <t>/33.730556,/70.779431</t>
  </si>
  <si>
    <t>PA LA ESTACION 465</t>
  </si>
  <si>
    <t>/33.672976,/70.986770</t>
  </si>
  <si>
    <t>LIMITE URBANO 493</t>
  </si>
  <si>
    <t>/33.718061,/70.745137</t>
  </si>
  <si>
    <t>ESMERALDA 426</t>
  </si>
  <si>
    <t>/33.661776,/70.920232</t>
  </si>
  <si>
    <t>MANUEL RODRIGUEZ 60</t>
  </si>
  <si>
    <t>/33.651300,/70,927489</t>
  </si>
  <si>
    <t>SANTO TOMAS 276</t>
  </si>
  <si>
    <t>/33.742365,/70.898048</t>
  </si>
  <si>
    <t>SANTA CLARA 308</t>
  </si>
  <si>
    <t>/33.743329,/70.898934</t>
  </si>
  <si>
    <t>EL ROMERO 1865 SITIO 80 LOTE 2</t>
  </si>
  <si>
    <t>/33.785148,/70.885868</t>
  </si>
  <si>
    <t>ESTEBAN HUERTA 2120</t>
  </si>
  <si>
    <t>/33.7328814,/70.7625553</t>
  </si>
  <si>
    <t>MANUEL MALLEA 52</t>
  </si>
  <si>
    <t>/33.732636,/70.764652</t>
  </si>
  <si>
    <t>ESTEBAN HUERTA 2147</t>
  </si>
  <si>
    <t>/33.733010,/70.763365</t>
  </si>
  <si>
    <t>ABATE J.I,MOLINA 2041</t>
  </si>
  <si>
    <t>/33.188558,/70.661910</t>
  </si>
  <si>
    <t>ABATE J.I . MOLINA  2076</t>
  </si>
  <si>
    <t>SECTOR LA CAPILLA 27</t>
  </si>
  <si>
    <t>/33.685321,/70.952848</t>
  </si>
  <si>
    <t>LO CESPEDES 487</t>
  </si>
  <si>
    <t>/33.731158,/70.910790</t>
  </si>
  <si>
    <t>CO CAMPUSANO 8619/19 B PA/1</t>
  </si>
  <si>
    <t>/33.812436,/70.850198</t>
  </si>
  <si>
    <t>SECTOR CHINIHUE LAS PILASTRAS 31</t>
  </si>
  <si>
    <t>/33.691303,/71.092713</t>
  </si>
  <si>
    <t>ABATE J. I. MOLINA 2089</t>
  </si>
  <si>
    <t>/33.188557,/70.661674</t>
  </si>
  <si>
    <t>LOS MOLLES S/N</t>
  </si>
  <si>
    <t>/33.806374,/71.240479</t>
  </si>
  <si>
    <t>SECTOR CHINIGUE LAS PILASTRAS 31</t>
  </si>
  <si>
    <t>SANTA SOFIA P /3 S/N</t>
  </si>
  <si>
    <t>/33.592796,/70,781936</t>
  </si>
  <si>
    <t>CAM PEDRO HURTADO 354</t>
  </si>
  <si>
    <t>/33.736878,/70.683035</t>
  </si>
  <si>
    <t>SAN MARTIRIAN 1939</t>
  </si>
  <si>
    <t>/33.786477,/70.888045</t>
  </si>
  <si>
    <t>SAN PATRICIO 332</t>
  </si>
  <si>
    <t>/33.742363,/70.897096</t>
  </si>
  <si>
    <t>MARIANO LATORRE 55</t>
  </si>
  <si>
    <t>/33.657227,/70,918881</t>
  </si>
  <si>
    <t>SAN VICENTE PARCELA 15 A</t>
  </si>
  <si>
    <t>/33.684304,/70.617312</t>
  </si>
  <si>
    <t>/33.332268,/70.703588</t>
  </si>
  <si>
    <t>CO AL VOLCAN 15941</t>
  </si>
  <si>
    <t>/33.642056,/70.353621</t>
  </si>
  <si>
    <t>NAGUAYAN 120</t>
  </si>
  <si>
    <t>/33.753950,/70,891014</t>
  </si>
  <si>
    <t>GAVINO SILVA HUERTA 2828</t>
  </si>
  <si>
    <t>/33.733316,/70,7666638</t>
  </si>
  <si>
    <t>LOS ORFEBRES 1637</t>
  </si>
  <si>
    <t>/33.668540,/70.959353</t>
  </si>
  <si>
    <t>ELIANA GAETE 430</t>
  </si>
  <si>
    <t>/33.747946,/70.860070</t>
  </si>
  <si>
    <t>ALFREDO BARRIA  163</t>
  </si>
  <si>
    <t>/33.710822,/70.746226</t>
  </si>
  <si>
    <t>PJE UNO 327</t>
  </si>
  <si>
    <t>/33.851774,/70,766575</t>
  </si>
  <si>
    <t>FLORA LOBOS 1174</t>
  </si>
  <si>
    <t>/33.743725,/70,746680</t>
  </si>
  <si>
    <t>/33.732708,/70.762147</t>
  </si>
  <si>
    <t>PA LOS BOLDOS 532</t>
  </si>
  <si>
    <t>/33.750615,/70.861009</t>
  </si>
  <si>
    <t>COLENGUADO 446</t>
  </si>
  <si>
    <t>/33.695825,/70.938044</t>
  </si>
  <si>
    <t>LOS RUBIES 2335</t>
  </si>
  <si>
    <t>/33.671765,/70.941289</t>
  </si>
  <si>
    <t>PA LOS AGRICULTORES 525</t>
  </si>
  <si>
    <t>/33.667140,/70,917599</t>
  </si>
  <si>
    <t>IBACACHE S/N ST 67</t>
  </si>
  <si>
    <t>/33.499156,/71.261320</t>
  </si>
  <si>
    <t>CULIPRAR S/N</t>
  </si>
  <si>
    <t>/33.808005,/71.240672</t>
  </si>
  <si>
    <t>AV SENADOR JAIME GUZMAN 528</t>
  </si>
  <si>
    <t>/33.747656,/70.905173</t>
  </si>
  <si>
    <t>ACEVEDO S/N HIJ 9 PAR 40</t>
  </si>
  <si>
    <t>/33.231799,/70.811603</t>
  </si>
  <si>
    <t>PDRO HERRERA 401</t>
  </si>
  <si>
    <t>/33741915,/70868164</t>
  </si>
  <si>
    <t>LO ARCAYA S/ N HIJUELA 4</t>
  </si>
  <si>
    <t>/33.700681,/70.597426</t>
  </si>
  <si>
    <t>ATACAMA N 80</t>
  </si>
  <si>
    <t>/33303787,/70855504</t>
  </si>
  <si>
    <t>DOÑA INES DEL OLIVETO 4866/C 45</t>
  </si>
  <si>
    <t>/33.6624832./70.8458217</t>
  </si>
  <si>
    <t>ATACAMA111 CASA 6</t>
  </si>
  <si>
    <t>/333303644,/70855313</t>
  </si>
  <si>
    <t>VICTORIA AGUIRRE 660</t>
  </si>
  <si>
    <t>/33.747558,/70.746554</t>
  </si>
  <si>
    <t>EL NOGAL 690</t>
  </si>
  <si>
    <t>/33.770548,/70,882007</t>
  </si>
  <si>
    <t>SAN PATRICIO 1447</t>
  </si>
  <si>
    <t>/33741900,/708971046</t>
  </si>
  <si>
    <t>VECINAL DOS 0199 ST 21</t>
  </si>
  <si>
    <t>/33.694097,/70.701327</t>
  </si>
  <si>
    <t>DIR GUILLERMO PEREZ 913</t>
  </si>
  <si>
    <t>/33.737606,/70.748967</t>
  </si>
  <si>
    <t>MIRAFLORES 1062</t>
  </si>
  <si>
    <t>/33275471,/70879632</t>
  </si>
  <si>
    <t>PEDRO CISTERNA 745</t>
  </si>
  <si>
    <t>/33.684110,/70.992663</t>
  </si>
  <si>
    <t>NVO PORVVENIR S/6</t>
  </si>
  <si>
    <t>/33277360´/70852444</t>
  </si>
  <si>
    <t>VECINO ORLANDO CARREÑO 539</t>
  </si>
  <si>
    <t>/33.719105,/70.745352</t>
  </si>
  <si>
    <t>ARTURO PRAT #1000</t>
  </si>
  <si>
    <t>/33234.731,/70.803044</t>
  </si>
  <si>
    <t>ROSARIO GONZALEZ LABARCA 496</t>
  </si>
  <si>
    <t>/33.718576,/70.744940</t>
  </si>
  <si>
    <t>PA LAS PIRCAS 601</t>
  </si>
  <si>
    <t>/33.7337474,/70.8641868</t>
  </si>
  <si>
    <t>CO LINDEROS 1024 ALTO JAHUEL CAM</t>
  </si>
  <si>
    <t>/33.758648,/70.723391</t>
  </si>
  <si>
    <t>RUTA G 150 SIT /18</t>
  </si>
  <si>
    <t>/33.280531,/70.861251</t>
  </si>
  <si>
    <t>MANUEL RODRIGUEZ 228</t>
  </si>
  <si>
    <t>/33.654503,/70.925618</t>
  </si>
  <si>
    <t>POPETA S/N SECTOR 4 POPETA</t>
  </si>
  <si>
    <t>/33.794042,/71.269115</t>
  </si>
  <si>
    <t>ALICIA BLANCO 162</t>
  </si>
  <si>
    <t>/33.743196,/70.736134</t>
  </si>
  <si>
    <t>ERAZO HUERTA 30</t>
  </si>
  <si>
    <t>/33.733233,/70.763813</t>
  </si>
  <si>
    <t>ROSARIO GONZALEZ LABARCA 472</t>
  </si>
  <si>
    <t>/33.718589,/70.744489</t>
  </si>
  <si>
    <t>LIMITE URBANO 497 LOS PUENTES</t>
  </si>
  <si>
    <t>/33.718085,/70.745216</t>
  </si>
  <si>
    <t>ELEUTERIO RAMIREZ 81</t>
  </si>
  <si>
    <t>/33.283843,/70.874084</t>
  </si>
  <si>
    <t>CO GUAYACAN S/N</t>
  </si>
  <si>
    <t>/33.621122,/70.350380</t>
  </si>
  <si>
    <t>EL CRUCERAL 1 PARCELA 140</t>
  </si>
  <si>
    <t>/33.646415,/70.0615960</t>
  </si>
  <si>
    <t>CO LOS QUILLAYES 03755</t>
  </si>
  <si>
    <t>/33.679000,/70.611244</t>
  </si>
  <si>
    <t>SANTA VICTORIA DE VILUCO SITIO 5</t>
  </si>
  <si>
    <t>/33.809889,/70.764104</t>
  </si>
  <si>
    <t>EL SAUCE SITIO D  LONQUEN SUR S/N</t>
  </si>
  <si>
    <t>/33.6399169,/70.7992676</t>
  </si>
  <si>
    <t>CACIQUE COLIN 1313 CENTRAL LO VARGAS</t>
  </si>
  <si>
    <t>/33.280379,/70.861183</t>
  </si>
  <si>
    <t>RESERVA CORA PARC 1/D PARCELACION EL PRINCIPAL</t>
  </si>
  <si>
    <t>/33.710973,/70546978</t>
  </si>
  <si>
    <t>GALVEZ 825</t>
  </si>
  <si>
    <t>/33.764334,/70.900132</t>
  </si>
  <si>
    <t>AV ALCALDE HERNAN PRIETO 220 P36</t>
  </si>
  <si>
    <t>/33.641577,/70.582081</t>
  </si>
  <si>
    <t>AVDA SANTELICES 1505</t>
  </si>
  <si>
    <t>/33.7508441,/70.9109984</t>
  </si>
  <si>
    <t>/33.718534,/70.744878</t>
  </si>
  <si>
    <t>EL PRINCIPÁL PARCELA 40 LOTE 22</t>
  </si>
  <si>
    <t>/33.702521,/70.570831</t>
  </si>
  <si>
    <t>ESTEBAN HUERTA 2123</t>
  </si>
  <si>
    <t>/33.733125,/70.762816</t>
  </si>
  <si>
    <t>EL ROBLE 95</t>
  </si>
  <si>
    <t>/33.7048282,/70.8834115</t>
  </si>
  <si>
    <t>PA ALICIA BLANCO 162</t>
  </si>
  <si>
    <t>/33.743205,/70.736182</t>
  </si>
  <si>
    <t>/33.718579,/70,744476</t>
  </si>
  <si>
    <t>LAS LILAS 126</t>
  </si>
  <si>
    <t>/33.805520,/70.852780</t>
  </si>
  <si>
    <t>PASAJE CHILOE 633</t>
  </si>
  <si>
    <t>/33,710973,/70546978</t>
  </si>
  <si>
    <t>RAULI 4412</t>
  </si>
  <si>
    <t>/33.7369736,/70.8597923</t>
  </si>
  <si>
    <t>CO A LONQUEN NORTE PARC 4B S/N</t>
  </si>
  <si>
    <t>/33.59205,/70.781372</t>
  </si>
  <si>
    <t>CO SAN VICENTE PARCELA 24 B</t>
  </si>
  <si>
    <t>/33.685376,/70.619346</t>
  </si>
  <si>
    <t>NUESTRA SEÑORA DE LA MERCED 169</t>
  </si>
  <si>
    <t>/33.745671,/70.862466</t>
  </si>
  <si>
    <t>LAS MERCEDES S/ N</t>
  </si>
  <si>
    <t>/33.489126,/71.185824</t>
  </si>
  <si>
    <t>AV VIRGINIA SUBERCASEUX  4000</t>
  </si>
  <si>
    <t>/33.648183,/70.617886</t>
  </si>
  <si>
    <t>PA FEDERICO ATEAGA ORIENTE 434</t>
  </si>
  <si>
    <t>/33.723338,/70.734135</t>
  </si>
  <si>
    <t>CAMPAMENTO SOL DE SEPTIEMBRE C/633</t>
  </si>
  <si>
    <t>/33.305192,/70,864414</t>
  </si>
  <si>
    <t>ROSALES 1726</t>
  </si>
  <si>
    <t>/33.602767,/70.869308</t>
  </si>
  <si>
    <t>LO ARCAYA 4 SEP  0238 LO ARCAYA</t>
  </si>
  <si>
    <t>/33.82387,/70.579539</t>
  </si>
  <si>
    <t>C LA MEDIALUNA 1776</t>
  </si>
  <si>
    <t>/33.890624,/70.721486</t>
  </si>
  <si>
    <t>PA REPUBLICA DOMINICA 094 A VILLA LAS AMARICA</t>
  </si>
  <si>
    <t>/33.689382,/71.033424</t>
  </si>
  <si>
    <t>SANTA JULIA 716 PC 5 LT 1 A</t>
  </si>
  <si>
    <t>/33.668972,/71.214345</t>
  </si>
  <si>
    <t>AV VIRGINIA SUBERCASEAUX 4000 PARCELA 40</t>
  </si>
  <si>
    <t>/33.6428951,/70.6067840</t>
  </si>
  <si>
    <t>TRES NORTE 2085</t>
  </si>
  <si>
    <t>/33.394360,/71.125107</t>
  </si>
  <si>
    <t>PA ALICIA BLANCO</t>
  </si>
  <si>
    <t>/33.743207,/70.736201</t>
  </si>
  <si>
    <t>PSJE PATRICIO HENRIQUEZ PARC 8</t>
  </si>
  <si>
    <t>/33.8306500,/70.7587280</t>
  </si>
  <si>
    <t>RINCONADA DEL PRINCIPAL S/N</t>
  </si>
  <si>
    <t>/33.742190,/70.563944</t>
  </si>
  <si>
    <t>PARCELAC EL PRI 4 LOTE G S/N EL PRINCIPAL</t>
  </si>
  <si>
    <t>/33.699961,/70.563668</t>
  </si>
  <si>
    <t>PARCELA 1140 B VALLE DEL PRINCIPAL</t>
  </si>
  <si>
    <t>/33.733020,/70.763289</t>
  </si>
  <si>
    <t>SAN DIEGO 478</t>
  </si>
  <si>
    <t>/33.442995,/70.44360</t>
  </si>
  <si>
    <t>PEDRO MONTT 211</t>
  </si>
  <si>
    <t>/33.2351380,/70,8115620</t>
  </si>
  <si>
    <t>ROSARIO  GONZALEZ LABARCA 493</t>
  </si>
  <si>
    <t>/33.7217011,/70.7438928</t>
  </si>
  <si>
    <t>IGNACIO CARRERA PINTO 1350</t>
  </si>
  <si>
    <t>/33.286278,/70.869625</t>
  </si>
  <si>
    <t>EL CONDOR 2367</t>
  </si>
  <si>
    <t>/33.612073,/70.884668</t>
  </si>
  <si>
    <t>JULIO ONILL RODRIGUEZ 773</t>
  </si>
  <si>
    <t>/33.737226,/70.747605</t>
  </si>
  <si>
    <t>MANUEL RODRIGUEZ 261 CASA 45</t>
  </si>
  <si>
    <t>/33.278169,/70.886375</t>
  </si>
  <si>
    <t>RUTA G 666 PORVENIR 30 EX 15</t>
  </si>
  <si>
    <t>/33.7575688,/71.3238704</t>
  </si>
  <si>
    <t>PORVENIR 45</t>
  </si>
  <si>
    <t>/33.752791,/71.326392</t>
  </si>
  <si>
    <t>BERNARDO O'HIGGINS 70</t>
  </si>
  <si>
    <t>/33.307698,/70.853170</t>
  </si>
  <si>
    <t>LOS CIPRESES 365</t>
  </si>
  <si>
    <t>/33.3058628,/70.8644118</t>
  </si>
  <si>
    <t>GABRIEL SILVA 792</t>
  </si>
  <si>
    <t>/33.677914,/70.997751</t>
  </si>
  <si>
    <t>LAS MERCEDES PARC 33 A</t>
  </si>
  <si>
    <t>/33.242228,/70.810256</t>
  </si>
  <si>
    <t>LAS BANDURRIAS S/N L 3 LAS ANIMAS</t>
  </si>
  <si>
    <t>/33.695158,/70.588268</t>
  </si>
  <si>
    <t>SAN ANDRES P 13</t>
  </si>
  <si>
    <t>/33.330455,/71.13216W</t>
  </si>
  <si>
    <t>CAMPAMNETOS SOL DE SEPTIEMBRE  C/ 602</t>
  </si>
  <si>
    <t>/33.306309,/70.863880</t>
  </si>
  <si>
    <t>LO MARTINEZ 1026</t>
  </si>
  <si>
    <t>/33.747599,/70.9116552</t>
  </si>
  <si>
    <t>PATRICIO LARRAIN 272</t>
  </si>
  <si>
    <t>/33.675026,/71.212195</t>
  </si>
  <si>
    <t>PEDRO MONT 220</t>
  </si>
  <si>
    <t>/33.23504,/70.81091</t>
  </si>
  <si>
    <t>PARCELACION 4 AGUILA NORTE  LOTE 13</t>
  </si>
  <si>
    <t>/33.8788670,/70.7505220</t>
  </si>
  <si>
    <t>LO CASTRO PARCELA 7</t>
  </si>
  <si>
    <t>/33.290576,/70.786782</t>
  </si>
  <si>
    <t>AVDA FRANCISCO BILBAO 092</t>
  </si>
  <si>
    <t>/33,600811,/70.874695</t>
  </si>
  <si>
    <t>AVDA SENADOR JAIME GUZMAN 60</t>
  </si>
  <si>
    <t>/33.7517788,/70.9083665</t>
  </si>
  <si>
    <t>LAS BANDURRIAS S/N /3</t>
  </si>
  <si>
    <t>SANTA TERESA PARCELA 45 A</t>
  </si>
  <si>
    <t>/33.060027,/70.725584</t>
  </si>
  <si>
    <t>LONGISUR 47</t>
  </si>
  <si>
    <t>/33.844076,/70.751165</t>
  </si>
  <si>
    <t>LO MARTINEZ 102</t>
  </si>
  <si>
    <t>/33.7473954,/70.9114316</t>
  </si>
  <si>
    <t>LAS HIGUERAS DE BATUCO P/F11</t>
  </si>
  <si>
    <t>/33.203209,/70.812339</t>
  </si>
  <si>
    <t>BATALLA DE SAN JUAN 24</t>
  </si>
  <si>
    <t>/33.454819,/71.029240</t>
  </si>
  <si>
    <t>CO A LONQUEN PARAD 7 1/2LOTE F</t>
  </si>
  <si>
    <t>/33.5929830,/70.7814030</t>
  </si>
  <si>
    <t>CO EL TANGUITO PARC 15</t>
  </si>
  <si>
    <t>/33.606277,/70.772865</t>
  </si>
  <si>
    <t>LOMA EL CAPATAZ 76</t>
  </si>
  <si>
    <t>/33.289787,/70.872023</t>
  </si>
  <si>
    <t>V PALERMO S/9 S/N</t>
  </si>
  <si>
    <t>/33.628764,/70.802502</t>
  </si>
  <si>
    <t>CAMINO INTERIOR S/ N LOTE 2 G4</t>
  </si>
  <si>
    <t>/33.314400,/70.774750</t>
  </si>
  <si>
    <t>/33.306005,/70.864560</t>
  </si>
  <si>
    <t>PA MADERMO RODRIGUEZ 50 POB</t>
  </si>
  <si>
    <t>/33.743779,/70.681069</t>
  </si>
  <si>
    <t>AVDA EL SOL DE SEPTIEMBRE O CA 436</t>
  </si>
  <si>
    <t>/33.302479,/70.8624040</t>
  </si>
  <si>
    <t>MANUEL RODRIGUEZ 261 CASA 5</t>
  </si>
  <si>
    <t>/33.277260,/70.886077</t>
  </si>
  <si>
    <t>P SALVADOR ALLENDE  58 2041</t>
  </si>
  <si>
    <t>/33.1889286,/70.6626017</t>
  </si>
  <si>
    <t>AVDA SOL DE SEPTIEMBRE S/N  CA 448</t>
  </si>
  <si>
    <t>/33.3023501,/70.8634978</t>
  </si>
  <si>
    <t>SELVA OSCURA 281 VILLA ESPERANZA</t>
  </si>
  <si>
    <t>/33.282583,/70.753767</t>
  </si>
  <si>
    <t>LOS PINOS 453 SOL DE SEPTIEMBRE</t>
  </si>
  <si>
    <t>/33.3030386,/70.8626422</t>
  </si>
  <si>
    <t>PASAJE LOPEZ 335</t>
  </si>
  <si>
    <t>/33.7553796,/70.8937615</t>
  </si>
  <si>
    <t>PINOT 1599</t>
  </si>
  <si>
    <t>/33.5738744,/70.7956104</t>
  </si>
  <si>
    <t>CALLE NUEVA 34 D</t>
  </si>
  <si>
    <t>/33.7065650,/70.5628031</t>
  </si>
  <si>
    <t>CAMPAMENTO SOL DE SEPTIEMBRE C/461</t>
  </si>
  <si>
    <t>/33.3038860,/70.862457</t>
  </si>
  <si>
    <t>LOS GUINDOS 37093</t>
  </si>
  <si>
    <t>/33,7660566,/70.2789892</t>
  </si>
  <si>
    <t>CI EL CAOBO 5697 7</t>
  </si>
  <si>
    <t>/33.6956401,/70.8506849</t>
  </si>
  <si>
    <t>ERCILLA BAJO 1311</t>
  </si>
  <si>
    <t>/33.2927630,/70.8891277</t>
  </si>
  <si>
    <t>LIBERTAD 111</t>
  </si>
  <si>
    <t>/33.2905221,/70.8882955</t>
  </si>
  <si>
    <t>LOTEO LOS QUILLAYES PARCELA 4A LOTE 5</t>
  </si>
  <si>
    <t>/33.689992,/70.598743</t>
  </si>
  <si>
    <t>CAMINO INTERIOR PARCELA 76 A</t>
  </si>
  <si>
    <t>/33.3105630,/70.8427460</t>
  </si>
  <si>
    <t>LOS PINOS 442</t>
  </si>
  <si>
    <t>/33.302362,/70.862912</t>
  </si>
  <si>
    <t>LAS ACACIAS 429</t>
  </si>
  <si>
    <t>/33.7104195,/70.8519217</t>
  </si>
  <si>
    <t>EL COLORADO S/N MNZ 45 A</t>
  </si>
  <si>
    <t>/33.0605481,/70.7263068</t>
  </si>
  <si>
    <t>SOL DE SEPTIEMBRE 142</t>
  </si>
  <si>
    <t>/33.3047410,/70.8593670</t>
  </si>
  <si>
    <t>/33.0601087,/70.7251649</t>
  </si>
  <si>
    <t>LO PINTO 2542 VIV 1</t>
  </si>
  <si>
    <t>/33.2859080,/70.7634810</t>
  </si>
  <si>
    <t>AV LARRAIN 147</t>
  </si>
  <si>
    <t>/33.650730,/70.922644</t>
  </si>
  <si>
    <t>MANUEL ARIZTIA 663</t>
  </si>
  <si>
    <t>/33.578219,/71.198875</t>
  </si>
  <si>
    <t>ESCUADRA LIBERTADORA 270</t>
  </si>
  <si>
    <t>/33.749693,/70.894322</t>
  </si>
  <si>
    <t>LOS PIMIENTOS 81</t>
  </si>
  <si>
    <t>/33.736731,/70.860030</t>
  </si>
  <si>
    <t>PEDRO MUJICA 43</t>
  </si>
  <si>
    <t>/33.709994,/70.853821</t>
  </si>
  <si>
    <t>CI 141 SIT 3 SAN JOSE DE MAIPO</t>
  </si>
  <si>
    <t>/33.582587,/70.404504</t>
  </si>
  <si>
    <t>P JEREG JORGE CALVO 36</t>
  </si>
  <si>
    <t>/33.287251,/70.880127</t>
  </si>
  <si>
    <t>SOL DE SEPTIEMBRE 349</t>
  </si>
  <si>
    <t>/33.3016430,/70.8586120</t>
  </si>
  <si>
    <t>OSCAR BONILLA 373</t>
  </si>
  <si>
    <t>/33.203067,/70.667175</t>
  </si>
  <si>
    <t>LAS GUIAS 5467 PARC 41 LOTE 1</t>
  </si>
  <si>
    <t>/33.7358782,/70.9606987</t>
  </si>
  <si>
    <t>SOL DE SEPTIEMBRE S/ N CA 467</t>
  </si>
  <si>
    <t>/33.3043290,/70.8625030</t>
  </si>
  <si>
    <t>SOL DE SETIEMBRE S/ N CA 433</t>
  </si>
  <si>
    <t>/33.3027610,/70.8621830</t>
  </si>
  <si>
    <t>LAS GUIAS 5467 PARCE 41 LOTE 1</t>
  </si>
  <si>
    <t>/33.7360631,/70.9610125</t>
  </si>
  <si>
    <t>SITIO 56 EL VIRADO DE PAINE</t>
  </si>
  <si>
    <t>/33.841215,/70.818874</t>
  </si>
  <si>
    <t>CI PARC LOS MAITENES SITI 5 A STA TERESA HUELQUEN A</t>
  </si>
  <si>
    <t>/33,832630,/70.649193</t>
  </si>
  <si>
    <t>AV VICUÑA MACKENNA 999</t>
  </si>
  <si>
    <t>/33,609678,/70.869187</t>
  </si>
  <si>
    <t>ACEVEDO 445</t>
  </si>
  <si>
    <t>/33.755133,/70,913039</t>
  </si>
  <si>
    <t>/33.737044,/70.859698</t>
  </si>
  <si>
    <t>LO VILANA S/ N HIJ 2 MANZ 23 CA E</t>
  </si>
  <si>
    <t>/33.3145180,/70.7744980</t>
  </si>
  <si>
    <t>VILLA ALEGRE  PARC 20</t>
  </si>
  <si>
    <t>/33.6291510,/71.21000520</t>
  </si>
  <si>
    <t>LOS GUINDOS 37073</t>
  </si>
  <si>
    <t>/33.765831,/70.279179</t>
  </si>
  <si>
    <t>SAN JAVIER PC 4 LOTE 21</t>
  </si>
  <si>
    <t>/33.622879,/70.847760</t>
  </si>
  <si>
    <t>FRANCISCO HIDALGO 224 CASA 44</t>
  </si>
  <si>
    <t>/33.6143155,/70.8936831</t>
  </si>
  <si>
    <t>EL MAITEN PARCELA 19</t>
  </si>
  <si>
    <t>/33.7816927,/71.2944074</t>
  </si>
  <si>
    <t>CONDOMINION INTERIOR S/N LOTE G 4</t>
  </si>
  <si>
    <t>/33.314333,/70.774784</t>
  </si>
  <si>
    <t>LOS PINOS 441</t>
  </si>
  <si>
    <t>/33.302040,/70,862603</t>
  </si>
  <si>
    <t>SEGUNDA TRANSVERSAL 955</t>
  </si>
  <si>
    <t>/33.569735,/70.796314</t>
  </si>
  <si>
    <t>/33.301966,/70.862693</t>
  </si>
  <si>
    <t>AVDA SOL DE SEPTIEMBRE  S/N CA 421</t>
  </si>
  <si>
    <t>/33.304131,/70.862259</t>
  </si>
  <si>
    <t>CULITRIN PARC S/N</t>
  </si>
  <si>
    <t>/33.873965,/70.673286</t>
  </si>
  <si>
    <t>ALEJANDRO ESPINOZA 970</t>
  </si>
  <si>
    <t>/33.663291,/70.923594</t>
  </si>
  <si>
    <t>SOL DE SEPTIEMBRE  S/N  CA 422</t>
  </si>
  <si>
    <t>/33.3040240,/70.8622510</t>
  </si>
  <si>
    <t>PA PDTE FRANCISCO ANTONIO PINTO 689</t>
  </si>
  <si>
    <t>/33.720531,/70.739846</t>
  </si>
  <si>
    <t>REINATORRES540@GMAIL.COM</t>
  </si>
  <si>
    <t>/33.1866943,/70,6726540</t>
  </si>
  <si>
    <t>LAS AMAPOLAS 189 B</t>
  </si>
  <si>
    <t>/33.7087262,/70.5509229</t>
  </si>
  <si>
    <t>SAN MARTIN 460</t>
  </si>
  <si>
    <t>/33.3045580,/70.8574370</t>
  </si>
  <si>
    <t>STA INES DE MIRF LID 14</t>
  </si>
  <si>
    <t>/33.2688572,/70.7050866</t>
  </si>
  <si>
    <t>EL BOSQUE S/N</t>
  </si>
  <si>
    <t>/33.490106,/70.148640</t>
  </si>
  <si>
    <t>LO CASTRO CAMINO INTERIOR 21</t>
  </si>
  <si>
    <t>/33.300698,/70.792639</t>
  </si>
  <si>
    <t>MONTAÑA SUR 3119</t>
  </si>
  <si>
    <t>/33.326831,/70,752281</t>
  </si>
  <si>
    <t>SANTA TERESA PARC 1 HUELKQUEN LOTE A</t>
  </si>
  <si>
    <t>/33.835944,/70.6433</t>
  </si>
  <si>
    <t>LA PRIMAVERA LOTE A SITIO  6 S/N</t>
  </si>
  <si>
    <t>/33.6399285,/70.8172239</t>
  </si>
  <si>
    <t>CULIPRAN S/N</t>
  </si>
  <si>
    <t>/33.867618,/71.239825</t>
  </si>
  <si>
    <t>SOL DE SEPTIEMBRE S/N CA 472</t>
  </si>
  <si>
    <t>/33.8042070,/70.8632130</t>
  </si>
  <si>
    <t>EL COIGUE 4458</t>
  </si>
  <si>
    <t>/33.7359538,/70.8608019</t>
  </si>
  <si>
    <t>PJE LO OLIVOS  1213</t>
  </si>
  <si>
    <t>/33.684515,/71.021780</t>
  </si>
  <si>
    <t>LAPIZLAZULI 574</t>
  </si>
  <si>
    <t>/33.676238,/70.989143</t>
  </si>
  <si>
    <t>SAN JUAN DE POPETA 294 /1 A</t>
  </si>
  <si>
    <t>/33.837985,/71.262784</t>
  </si>
  <si>
    <t>NICOLAS VILLARROEL 1750</t>
  </si>
  <si>
    <t>/33.184321,/70.667495</t>
  </si>
  <si>
    <t>LO MARTINEZ 864</t>
  </si>
  <si>
    <t>/33.745142,/70.913668</t>
  </si>
  <si>
    <t>SAN MIGUEL PC47</t>
  </si>
  <si>
    <t>/33.668092,/70.958702</t>
  </si>
  <si>
    <t>/33.641784,/70.581957</t>
  </si>
  <si>
    <t>SANTA CAROLINA LOTE 15 C SITIO C</t>
  </si>
  <si>
    <t>/33.223893,/70.803105</t>
  </si>
  <si>
    <t>ERRAZURIZ 913</t>
  </si>
  <si>
    <t>/33.233368,/70.804660</t>
  </si>
  <si>
    <t>JOSE LUIS CARO 2792</t>
  </si>
  <si>
    <t>/33.556850,/70.840144</t>
  </si>
  <si>
    <t>LOS ANDES 496</t>
  </si>
  <si>
    <t>/33.753688,/70888890</t>
  </si>
  <si>
    <t>/33.6099985,/70.8696930</t>
  </si>
  <si>
    <t>PASAJE LAGO DEL TORO 1367</t>
  </si>
  <si>
    <t>/33,6855206,/71.0280859</t>
  </si>
  <si>
    <t>SAN ANTONIO 5748 SITIO 2</t>
  </si>
  <si>
    <t>/33.732419,/70.966874</t>
  </si>
  <si>
    <t>HUELQUEN S/E2 SANTA TERESA LORTE A</t>
  </si>
  <si>
    <t>/33.835541,/70.643429</t>
  </si>
  <si>
    <t>CO STA TERESA PC 1</t>
  </si>
  <si>
    <t>/33.836709,/70,643015</t>
  </si>
  <si>
    <t>MAGNOLIAS 189</t>
  </si>
  <si>
    <t>/33.6815410,/71.2274700</t>
  </si>
  <si>
    <t>CALLE UNO 1052</t>
  </si>
  <si>
    <t>/33.611182,/70.867525</t>
  </si>
  <si>
    <t>PSJ GRANATI 567</t>
  </si>
  <si>
    <t>/33.677330,/70.988912</t>
  </si>
  <si>
    <t>S/ N LAMPA</t>
  </si>
  <si>
    <t>/33.224705,/70.802677</t>
  </si>
  <si>
    <t>CI PARC AGUILA SUR 29 LOTE 11</t>
  </si>
  <si>
    <t>/33.897566,/70.746505</t>
  </si>
  <si>
    <t>O HIGGINS 1463</t>
  </si>
  <si>
    <t>/33.404385,/71.134102</t>
  </si>
  <si>
    <t>VALDIVIA 1337</t>
  </si>
  <si>
    <t>/33.6093331,/70.8179909</t>
  </si>
  <si>
    <t>CO RANGUE 26 PIEDRA DE MOLINO</t>
  </si>
  <si>
    <t>/33.8585530,/70.9431460</t>
  </si>
  <si>
    <t>LONQUEN 228 SIT 34</t>
  </si>
  <si>
    <t>/33.693814,/70,853235</t>
  </si>
  <si>
    <t>CHINIGUE LT 4</t>
  </si>
  <si>
    <t>/33.6802614,/71.1326075</t>
  </si>
  <si>
    <t>LONQUEN 228 SIT 39</t>
  </si>
  <si>
    <t>/33.693814,/70.853235</t>
  </si>
  <si>
    <t>BALMACEDA 184</t>
  </si>
  <si>
    <t>/33.655386,/70.929590</t>
  </si>
  <si>
    <t>LO MARTINEZ 858</t>
  </si>
  <si>
    <t>/33.745056,/70,913700</t>
  </si>
  <si>
    <t>LOTEO LA JAVIERA P 15</t>
  </si>
  <si>
    <t>/33.237230,/70,823823</t>
  </si>
  <si>
    <t>PSJ ANGELMO  25 B</t>
  </si>
  <si>
    <t>/33,2819940,/70.7550960</t>
  </si>
  <si>
    <t>CA GABRIELA MISTRAL 323 EL LLANO</t>
  </si>
  <si>
    <t>/33.6510593,/70.5698234</t>
  </si>
  <si>
    <t>PARCELA 9 LOTE 11 EL CASTILLO</t>
  </si>
  <si>
    <t>/33.7043448,/70.8942782</t>
  </si>
  <si>
    <t>MARCOS GOYCOOLEA 0280</t>
  </si>
  <si>
    <t>/33.2099173,/70.6832691</t>
  </si>
  <si>
    <t>CARAMPANGUE 12</t>
  </si>
  <si>
    <t>/33.7043448,/708942782</t>
  </si>
  <si>
    <t>VILLA PEDRO DE VALDIVIA LUIS DE CARTAGENA 739</t>
  </si>
  <si>
    <t>/33.6839901,/70.9929918</t>
  </si>
  <si>
    <t>LO CASTRO S/N PARC 106 LOTE 8</t>
  </si>
  <si>
    <t>/33.303596,/70.795787</t>
  </si>
  <si>
    <t>LOS ESPINOS 426</t>
  </si>
  <si>
    <t>/33.207717,/70.680774</t>
  </si>
  <si>
    <t>V PEDRO DE VALDIVIA LUIS DE CARTAGENA 740</t>
  </si>
  <si>
    <t>/33.6839868,/70.9930281</t>
  </si>
  <si>
    <t>PADRE HURTADO 7749</t>
  </si>
  <si>
    <t>/33.6668475,/70,6652350</t>
  </si>
  <si>
    <t>/33.6668791,/70.665421</t>
  </si>
  <si>
    <t>PASAJE 4 PARCELA 7</t>
  </si>
  <si>
    <t>/33.2843250,/70.7650760</t>
  </si>
  <si>
    <t>HECTOR LOBOS PINTO 806</t>
  </si>
  <si>
    <t>/33,7419478,/70.7488552</t>
  </si>
  <si>
    <t>EL SAUCE SITIO 4</t>
  </si>
  <si>
    <t>/33.38122,/70.48297</t>
  </si>
  <si>
    <t>21 DE MAYO ALHUE</t>
  </si>
  <si>
    <t>/34.031697,/71.098304</t>
  </si>
  <si>
    <t>MAIPU 567</t>
  </si>
  <si>
    <t>/34.035971,/71.097056</t>
  </si>
  <si>
    <t>/34.031338,/71.098370</t>
  </si>
  <si>
    <t>EL ROBLE 931</t>
  </si>
  <si>
    <t>/33.606037,/70.881752</t>
  </si>
  <si>
    <t>LOS GLADIOLOS 1125</t>
  </si>
  <si>
    <t>/33.673243,/71.218637</t>
  </si>
  <si>
    <t>LOS COMENDADORES PARCELA 2</t>
  </si>
  <si>
    <t>/33.254912,/70.793057</t>
  </si>
  <si>
    <t>SAN VICENTE DE LO ERCAYA</t>
  </si>
  <si>
    <t>/33.250012,/70.689529</t>
  </si>
  <si>
    <t>STO DOMINGO 395</t>
  </si>
  <si>
    <t>/33.741219,/70.7427020</t>
  </si>
  <si>
    <t>COLORADO 254</t>
  </si>
  <si>
    <t>/33.753383,/70.889692</t>
  </si>
  <si>
    <t>ALBERTO MOREIRA 361</t>
  </si>
  <si>
    <t>/33.7448883,/70.8694010</t>
  </si>
  <si>
    <t>LO HERRERA 1005</t>
  </si>
  <si>
    <t>/33.749127,/79.900815</t>
  </si>
  <si>
    <t>LONCOCHE 1441</t>
  </si>
  <si>
    <t>/33.279867,/70.871240</t>
  </si>
  <si>
    <t>COMENDADORES SN P65</t>
  </si>
  <si>
    <t>/33.253145,/70.788194</t>
  </si>
  <si>
    <t>EL ARRIERO PAINE 41</t>
  </si>
  <si>
    <t>/33.908680,/70.760841</t>
  </si>
  <si>
    <t>CHOROMBO BAJO</t>
  </si>
  <si>
    <t>/33.530869,/71.231203</t>
  </si>
  <si>
    <t>GEORGE FREDERICH</t>
  </si>
  <si>
    <t>/33.682698,/71.195717</t>
  </si>
  <si>
    <t>SANTA TERESA</t>
  </si>
  <si>
    <t>/33.578664;/71.018926</t>
  </si>
  <si>
    <t>RANGUE SITIO 24</t>
  </si>
  <si>
    <t>/33.845411,/70.954535</t>
  </si>
  <si>
    <t>ALFONZO LETELIER SITIO 24</t>
  </si>
  <si>
    <t>MIGUEL LETELIER/RANGUE</t>
  </si>
  <si>
    <t>/33.8504411,/70.9443965</t>
  </si>
  <si>
    <t>ARELLANO 110</t>
  </si>
  <si>
    <t>/33.7359114,/70.6851359</t>
  </si>
  <si>
    <t>/34.029114,/71.100898</t>
  </si>
  <si>
    <t>EL ASIENTO TALAMI S/N</t>
  </si>
  <si>
    <t>/34.032304,/71,019996</t>
  </si>
  <si>
    <t>LO ARAYA S/N, CASCAMPIÑAS 150</t>
  </si>
  <si>
    <t>/33.246050,/70.677200</t>
  </si>
  <si>
    <t>POETA ALEGARIO MENDEZ 425</t>
  </si>
  <si>
    <t>/33.744155,/70.869691</t>
  </si>
  <si>
    <t>LAS PERDICES 364</t>
  </si>
  <si>
    <t>/33.749822,/70.862892</t>
  </si>
  <si>
    <t>LA APARICION SITIO 16</t>
  </si>
  <si>
    <t>/33.7830156,/70.6383126</t>
  </si>
  <si>
    <t>LA APARICION PC 11</t>
  </si>
  <si>
    <t>/33.7830156;/70,6383126</t>
  </si>
  <si>
    <t>BALMACEDA 4133</t>
  </si>
  <si>
    <t>/33.7405710;/70.8621580</t>
  </si>
  <si>
    <t>REGIDOR ERNESTO 309</t>
  </si>
  <si>
    <t>/33.744188,/70.868169</t>
  </si>
  <si>
    <t>BALMACEDA 488</t>
  </si>
  <si>
    <t>/33.752008,/70.887168</t>
  </si>
  <si>
    <t>POB. IGNACIO CARRERA PINTO S/N</t>
  </si>
  <si>
    <t>/34.031764,/71.077351</t>
  </si>
  <si>
    <t>TANTEHUE S/15</t>
  </si>
  <si>
    <t>/33.875785; /71,220679</t>
  </si>
  <si>
    <t>SECTOR CULIPRAN S/N</t>
  </si>
  <si>
    <t>/33.79162,/71.255851</t>
  </si>
  <si>
    <t>JOHAN SEBASTIAN BACH 722</t>
  </si>
  <si>
    <t>/33.684932,/71.197262</t>
  </si>
  <si>
    <t>SITIO 64, EL TRENCITO</t>
  </si>
  <si>
    <t>/33.7970010,/70.6543140</t>
  </si>
  <si>
    <t>DIEGO PORTALES 29</t>
  </si>
  <si>
    <t>/33.8755720,/70.7423080</t>
  </si>
  <si>
    <t>BERNARDO OHIGGINS</t>
  </si>
  <si>
    <t>/34.037014,/71.099054</t>
  </si>
  <si>
    <t>/34.036378,/71.100408</t>
  </si>
  <si>
    <t>CALLE 1 M24 SITIO 3</t>
  </si>
  <si>
    <t>/33.277953,/70.892171</t>
  </si>
  <si>
    <t>BERNARDO OHIGIGINS</t>
  </si>
  <si>
    <t>/34.037312,/71.099132</t>
  </si>
  <si>
    <t>VICTORIA 308</t>
  </si>
  <si>
    <t>/34.033760,/71.03370</t>
  </si>
  <si>
    <t>LOS CIRUELOS S/N</t>
  </si>
  <si>
    <t>/33.244364,/70.711408</t>
  </si>
  <si>
    <t>AVENIDA CHILE 268</t>
  </si>
  <si>
    <t>/33.805413;/70.855370</t>
  </si>
  <si>
    <t>CAMINO MAIPO VILUCO 4602</t>
  </si>
  <si>
    <t>/33.7747070,/70.7948660</t>
  </si>
  <si>
    <t>SITIO 34 RANGUE</t>
  </si>
  <si>
    <t>/33.848392,/70.9451190</t>
  </si>
  <si>
    <t>QUINCAQUES S/N</t>
  </si>
  <si>
    <t>/33.790370,/71.437733</t>
  </si>
  <si>
    <t>LAS ROSAS P 49</t>
  </si>
  <si>
    <t>/33.8493340;/70.731750</t>
  </si>
  <si>
    <t>/33.8493720;/70.7311720</t>
  </si>
  <si>
    <t>CAMINO CUESTA S/N</t>
  </si>
  <si>
    <t>/34.022056;/71.211243</t>
  </si>
  <si>
    <t>FERNANDO FUEYO 2959</t>
  </si>
  <si>
    <t>/33.725958;/71.210413</t>
  </si>
  <si>
    <t>/33.635351,/71.326079</t>
  </si>
  <si>
    <t>CARLOS CONTADOR JIMENEZ 374</t>
  </si>
  <si>
    <t>/33.730639,/70.7600040</t>
  </si>
  <si>
    <t>CAMINO MAIPO VILUCO</t>
  </si>
  <si>
    <t>/33.750946;/70.794410</t>
  </si>
  <si>
    <t>/34.028764;/71.100583</t>
  </si>
  <si>
    <t>LAS CAMPIÑAS 150</t>
  </si>
  <si>
    <t>/33.2468155;/70.6788599</t>
  </si>
  <si>
    <t>DIECHIOCHO SEPTIEMBRE 056</t>
  </si>
  <si>
    <t>/33.2788184;/70.8895746</t>
  </si>
  <si>
    <t>/33.852304,/70.733968</t>
  </si>
  <si>
    <t>EL PORVENIR, EL RENACER</t>
  </si>
  <si>
    <t>/33.887241;/70.743377</t>
  </si>
  <si>
    <t>/34.029949,/71. 71216621</t>
  </si>
  <si>
    <t>SAN LUIS 4800</t>
  </si>
  <si>
    <t>/33.740874;/70.917776</t>
  </si>
  <si>
    <t>SAN ANTONIO NALTAHUA</t>
  </si>
  <si>
    <t>/33.734695;/71,018702</t>
  </si>
  <si>
    <t>CAMINO VIEJO 12</t>
  </si>
  <si>
    <t>/33.788823;/71.288133</t>
  </si>
  <si>
    <t>SAN VICENTE LO ARAYA 3</t>
  </si>
  <si>
    <t>/33.2507323,/70.6936382</t>
  </si>
  <si>
    <t>LAS ACACIAS 38</t>
  </si>
  <si>
    <t>/33.736162;/71.020563</t>
  </si>
  <si>
    <t>JORGE VALDES PEREZ 2743</t>
  </si>
  <si>
    <t>/33.7537605;/70.7413946</t>
  </si>
  <si>
    <t>CAMINO PADRE HURTADO 8600</t>
  </si>
  <si>
    <t>/33.638434;/70.673541</t>
  </si>
  <si>
    <t>PARCELA 8 LOTE 1</t>
  </si>
  <si>
    <t>/33.561507;/71.208780</t>
  </si>
  <si>
    <t>CAMINO PADRE HURTADO</t>
  </si>
  <si>
    <t>SITIO 14B LOTE 2 VINCULO</t>
  </si>
  <si>
    <t>/33.835840;/70.821542</t>
  </si>
  <si>
    <t>/34.019079,/71.213410</t>
  </si>
  <si>
    <t>/34.035041;/71.222586</t>
  </si>
  <si>
    <t>CDS EL CUARTEL 312</t>
  </si>
  <si>
    <t>/33.748817;/70.8702790</t>
  </si>
  <si>
    <t>LAS FRUTAS 3220</t>
  </si>
  <si>
    <t>/33.748085;/70.870491</t>
  </si>
  <si>
    <t>HERMANAS ORELLANA 984</t>
  </si>
  <si>
    <t>/33.8236862;/70.7308931</t>
  </si>
  <si>
    <t>LOS ESPARRAGOS 1220</t>
  </si>
  <si>
    <t>/33.749786;/70.870712</t>
  </si>
  <si>
    <t>SANDOVAL MIRANDA 635</t>
  </si>
  <si>
    <t>/33.756458,/70.746117</t>
  </si>
  <si>
    <t>/34.037274;/71.084136</t>
  </si>
  <si>
    <t>/34.028750;/71.083747</t>
  </si>
  <si>
    <t>PRINCIPAL LOZA 51</t>
  </si>
  <si>
    <t>/33.7346740;/71.0193060</t>
  </si>
  <si>
    <t>HIJUELAS DE POLULO</t>
  </si>
  <si>
    <t>/34.024025;/71.110750</t>
  </si>
  <si>
    <t>JUAN GRUNSTRON 230</t>
  </si>
  <si>
    <t>/33.7551890;/70.8962080</t>
  </si>
  <si>
    <t>LAS SULTANINAS 413</t>
  </si>
  <si>
    <t>/33.7489714,/70.8729827</t>
  </si>
  <si>
    <t>LA HILERA 207</t>
  </si>
  <si>
    <t>/33.7482005,70.8692756</t>
  </si>
  <si>
    <t>EL MANANTIAL 46</t>
  </si>
  <si>
    <t>/33.278362,/70.888405</t>
  </si>
  <si>
    <t>BALMACEDA 3159</t>
  </si>
  <si>
    <t>/33.747929,/70.866569</t>
  </si>
  <si>
    <t>LOS ESPARRAGOS 1209</t>
  </si>
  <si>
    <t>/33.7497527,/70.8728085</t>
  </si>
  <si>
    <t>GLADYS MARIN 168</t>
  </si>
  <si>
    <t>/33.7474790,/70.8630970</t>
  </si>
  <si>
    <t>SARA RODRÍGUEZ ADASME 268</t>
  </si>
  <si>
    <t>/33.7449280,70.8681010</t>
  </si>
  <si>
    <t>LA CARRERA S/N, MALLARAUCO PARCELA 38</t>
  </si>
  <si>
    <t>/33.577041,/71.109040</t>
  </si>
  <si>
    <t>/34.033040,71.014187</t>
  </si>
  <si>
    <t>EL ARVELO 278</t>
  </si>
  <si>
    <t>/33.6316090,70.7669220</t>
  </si>
  <si>
    <t>CAMINO EL LLANO ST 19</t>
  </si>
  <si>
    <t>/34.028270,/71.140879</t>
  </si>
  <si>
    <t>LOS ESPINOS 160</t>
  </si>
  <si>
    <t>/33.737511,/70.680022</t>
  </si>
  <si>
    <t>CHACABUCO 282</t>
  </si>
  <si>
    <t>/34.0312308,/71.0975039</t>
  </si>
  <si>
    <t>RUTA G 60 12369</t>
  </si>
  <si>
    <t>/33.827406,71.330878</t>
  </si>
  <si>
    <t>RANGUE, CASA 40/C</t>
  </si>
  <si>
    <t>/33.819415,/70.950978</t>
  </si>
  <si>
    <t>TREINTA DE OCTUBRE 1031</t>
  </si>
  <si>
    <t>/33.814000,/70.740732</t>
  </si>
  <si>
    <t>HERMANO GERARDO 981</t>
  </si>
  <si>
    <t>/33.7296254,/70.7519457</t>
  </si>
  <si>
    <t>OCHO PONIENTE, PARCELA 6B</t>
  </si>
  <si>
    <t>/33.806305,/70.758675</t>
  </si>
  <si>
    <t>LAGO RINIHUE 20</t>
  </si>
  <si>
    <t>/33.629.318,70.7754880</t>
  </si>
  <si>
    <t>ACEVEDO 56</t>
  </si>
  <si>
    <t>/33.7514891,/70.9110945</t>
  </si>
  <si>
    <t>JUAN ANTONIO RÍOS 71</t>
  </si>
  <si>
    <t>/33.826507,/70.7697204</t>
  </si>
  <si>
    <t>AGUILA SUR 4, ENSENADA CASA 4</t>
  </si>
  <si>
    <t>/33.9145510,/70.7548450</t>
  </si>
  <si>
    <t>MANUEL RODRIGUEZ 90</t>
  </si>
  <si>
    <t>/33.8118100;/70.8614830</t>
  </si>
  <si>
    <t>ARQUITECTO CARLOS BELL ÁLVAREZ 773</t>
  </si>
  <si>
    <t>/33.686814,/71.191326</t>
  </si>
  <si>
    <t>CARLOS BELL 773</t>
  </si>
  <si>
    <t>/33.686263,/71.191160</t>
  </si>
  <si>
    <t>CARAMPANGUE 3530</t>
  </si>
  <si>
    <t>/33.705032,/70.877545</t>
  </si>
  <si>
    <t>IGNACIO CARRERA PINTO 129</t>
  </si>
  <si>
    <t>/33.7504284,/70.8954416</t>
  </si>
  <si>
    <t>EL CASTILLO PC 1/6 LT1</t>
  </si>
  <si>
    <t>/33.710366,/70.887463</t>
  </si>
  <si>
    <t>JUAN GRUNDSTRONG ULLOA 220</t>
  </si>
  <si>
    <t>/33.7552524,/70.8986093</t>
  </si>
  <si>
    <t>EL BARRANCON LOTE 7/B, SITIO 1</t>
  </si>
  <si>
    <t>/33.65799,/70.740139</t>
  </si>
  <si>
    <t>EL MAICILLO 4499</t>
  </si>
  <si>
    <t>/33.7528068,/70.8295514</t>
  </si>
  <si>
    <t>TENIENTE MERINO 1310</t>
  </si>
  <si>
    <t>/33.7562861,/70.7265666</t>
  </si>
  <si>
    <t>EL CARMEN P24</t>
  </si>
  <si>
    <t>/33.628479;/70.772758</t>
  </si>
  <si>
    <t>S/N LOTO C ROL 5118</t>
  </si>
  <si>
    <t>/33.627008:/70.775574</t>
  </si>
  <si>
    <t>LAS ACACIAS 2000</t>
  </si>
  <si>
    <t>/33.6303704,/70.7586161</t>
  </si>
  <si>
    <t>LOS ÁLAMOS 519</t>
  </si>
  <si>
    <t>/34.034973,/71.094421</t>
  </si>
  <si>
    <t>LAS ACACIAS 89</t>
  </si>
  <si>
    <t>/33.8596945,/70.7506748</t>
  </si>
  <si>
    <t>CALLE 1 EL NARANJO</t>
  </si>
  <si>
    <t>/33.7447993;/70.9021303</t>
  </si>
  <si>
    <t>/33.663153,/71.261894</t>
  </si>
  <si>
    <t>JUAN GRUNDSTRONG 251</t>
  </si>
  <si>
    <t>/33.755150, /70.895743</t>
  </si>
  <si>
    <t>JULIO CORTAZAR 012</t>
  </si>
  <si>
    <t>/33.196823, /70.668093</t>
  </si>
  <si>
    <t>LOS LAGOS 1012</t>
  </si>
  <si>
    <t>/33.192749,/70.675544</t>
  </si>
  <si>
    <t>OLEA INTERIOR S/N, PARCELA 57</t>
  </si>
  <si>
    <t>/33.763244;/70.872278</t>
  </si>
  <si>
    <t>LOS ANDES 481</t>
  </si>
  <si>
    <t>/33.753899,/70.889233</t>
  </si>
  <si>
    <t>LAS MULAS 26</t>
  </si>
  <si>
    <t>/33.879656,/70.7430480</t>
  </si>
  <si>
    <t>AGUILA SUR, SITIO 3</t>
  </si>
  <si>
    <t>/33.914643,70.7546040</t>
  </si>
  <si>
    <t>MANUEL RODRIGUEZ  243</t>
  </si>
  <si>
    <t>/33.8107580,70.8629290</t>
  </si>
  <si>
    <t>/34.033008,/71.014389</t>
  </si>
  <si>
    <t>AV. CHILE 447</t>
  </si>
  <si>
    <t>/33.806709,/70.8567630</t>
  </si>
  <si>
    <t>CHICUREO S/N LOT 39 MZN 9</t>
  </si>
  <si>
    <t>/32.271713,/70.682426</t>
  </si>
  <si>
    <t>ANELEY 715</t>
  </si>
  <si>
    <t>/33.811896,/70.730336</t>
  </si>
  <si>
    <t>AGUILA SUR 6B, LOTE 2</t>
  </si>
  <si>
    <t>/33.915056,70.757193</t>
  </si>
  <si>
    <t>HUGO CORVALAN 261</t>
  </si>
  <si>
    <t>/33.7458775,/70.8685364</t>
  </si>
  <si>
    <t>LAS SULTANINAS 414</t>
  </si>
  <si>
    <t>/33.7490335, /70.8704957</t>
  </si>
  <si>
    <t>PASAJE JADE 27</t>
  </si>
  <si>
    <t>/33.656461,/71.280821</t>
  </si>
  <si>
    <t>ALICIA VALDES DE BALMACEDA S/N</t>
  </si>
  <si>
    <t>/33.686668,/70.534189</t>
  </si>
  <si>
    <t>CO NORTE G/077</t>
  </si>
  <si>
    <t>/33.6099360,/70.8787590</t>
  </si>
  <si>
    <t>FUNDO LAS MAJADAS S/N</t>
  </si>
  <si>
    <t>/33.637538,/70.528083</t>
  </si>
  <si>
    <t>EUCALIPTUS 6</t>
  </si>
  <si>
    <t>/33.732165,/71.028573</t>
  </si>
  <si>
    <t>SANTA LAURA 317</t>
  </si>
  <si>
    <t>/33.7428466,/70.8987126</t>
  </si>
  <si>
    <t>DOS PONIENTE H/099</t>
  </si>
  <si>
    <t>/33.6099317,/70.8196252</t>
  </si>
  <si>
    <t>ELENA CARRERA SÁNCHEZ 1767</t>
  </si>
  <si>
    <t>/33.8231184,/70.7319116</t>
  </si>
  <si>
    <t>GENERAL BAQUEDANO 0986</t>
  </si>
  <si>
    <t>/33.8157674,/70.7429488</t>
  </si>
  <si>
    <t>AV CHILE 477</t>
  </si>
  <si>
    <t>/33.806709;/70.8567630</t>
  </si>
  <si>
    <t>LAS TUBINAS 62</t>
  </si>
  <si>
    <t>/33.735252;/71.017206</t>
  </si>
  <si>
    <t>ALTOS DE POPETA 356</t>
  </si>
  <si>
    <t>/33.814350;/71.311599</t>
  </si>
  <si>
    <t>AGUSTIN CASANOVA 455</t>
  </si>
  <si>
    <t>/33.186555;/70.669096</t>
  </si>
  <si>
    <t>PASAJE 2 SUR 497</t>
  </si>
  <si>
    <t>/33.207184;/70.673103</t>
  </si>
  <si>
    <t>/33.818100;/70.8614830</t>
  </si>
  <si>
    <t>CASA EL ALBA P42</t>
  </si>
  <si>
    <t>/33.292309;/70.674100</t>
  </si>
  <si>
    <t>MANUEL RODRIGUEZ 164</t>
  </si>
  <si>
    <t>/33.753299,/70.896151</t>
  </si>
  <si>
    <t>EL PARRONAL 0121</t>
  </si>
  <si>
    <t>/33.7488540;/70.8688674</t>
  </si>
  <si>
    <t>DEA 1125</t>
  </si>
  <si>
    <t>/33.772286;/70.895173</t>
  </si>
  <si>
    <t>EL PARRONAL 180</t>
  </si>
  <si>
    <t>/33.748596;/70.8694830</t>
  </si>
  <si>
    <t>EL OLIVO KM2</t>
  </si>
  <si>
    <t>/33.586093;/71.124015</t>
  </si>
  <si>
    <t>ARZA 019</t>
  </si>
  <si>
    <t>/33.683126;/71.20646</t>
  </si>
  <si>
    <t>LA  HILERA 705</t>
  </si>
  <si>
    <t>/33.7484820;/70.8683660</t>
  </si>
  <si>
    <t>FABRICIO LEVERA PACETI 368</t>
  </si>
  <si>
    <t>/33.742744;/70.868195</t>
  </si>
  <si>
    <t>LUIS BEARRA 269</t>
  </si>
  <si>
    <t>/33.740307;/70.8670550</t>
  </si>
  <si>
    <t>SERGIO CORREA 252</t>
  </si>
  <si>
    <t>/33..745392;/70.867743</t>
  </si>
  <si>
    <t>LO MARTINEZ S/N LOTE 23</t>
  </si>
  <si>
    <t>/33.744964;/70.914933</t>
  </si>
  <si>
    <t>MANUEL RODRIGUEZ 243</t>
  </si>
  <si>
    <t>/33.810714;/70.8624310</t>
  </si>
  <si>
    <t>BALMACEDA 8285</t>
  </si>
  <si>
    <t>/33.711985;/70.848097</t>
  </si>
  <si>
    <t>PSJE EL NOGAL 286</t>
  </si>
  <si>
    <t>/33.631888;/70.766544</t>
  </si>
  <si>
    <t>EL NARANJAL 3135</t>
  </si>
  <si>
    <t>/33.746368;/70.901535</t>
  </si>
  <si>
    <t>/33.627809;/70.772889</t>
  </si>
  <si>
    <t>2 PONIENTE CASA 100</t>
  </si>
  <si>
    <t>/33.609918;/70.8195410</t>
  </si>
  <si>
    <t>PSJE LO LOPEZ 299</t>
  </si>
  <si>
    <t>/33.732334;/70.912819</t>
  </si>
  <si>
    <t>P. COLICO 1335A</t>
  </si>
  <si>
    <t>/33.685247;/71.05602</t>
  </si>
  <si>
    <t>MANUEL RODRIGUEZ 287</t>
  </si>
  <si>
    <t>/33.809810;/70.863999</t>
  </si>
  <si>
    <t>LIRAY 18 PARCELA 14</t>
  </si>
  <si>
    <t>/33.252197; /70.730431</t>
  </si>
  <si>
    <t>GACITUA 183</t>
  </si>
  <si>
    <t>/33.728387;/70.914264</t>
  </si>
  <si>
    <t>GACITUA 182</t>
  </si>
  <si>
    <t>/33.728497;/70.914354</t>
  </si>
  <si>
    <t>AVENIDA 18 SEPTIEMBRE 6548</t>
  </si>
  <si>
    <t>/33.812230;/70.6720680</t>
  </si>
  <si>
    <t>LOS ESPARRAGOS 1272</t>
  </si>
  <si>
    <t>/33.749630;/70.871262</t>
  </si>
  <si>
    <t>HUGO CARBALAN 253</t>
  </si>
  <si>
    <t>/33.745948;/70.868704</t>
  </si>
  <si>
    <t>EL RACIMO 3195</t>
  </si>
  <si>
    <t>/33.747407;/70.869274</t>
  </si>
  <si>
    <t>LA LIRA 706</t>
  </si>
  <si>
    <t>/33.748470;/70.868546</t>
  </si>
  <si>
    <t>PEDRO PEÑA CASA 97</t>
  </si>
  <si>
    <t>/33.736717;/70.682404</t>
  </si>
  <si>
    <t>/33.875099;/70.743095</t>
  </si>
  <si>
    <t>IGNACIO CARRETA PINTO</t>
  </si>
  <si>
    <t>/34.024959;/71.083511</t>
  </si>
  <si>
    <t>CHACABUCO</t>
  </si>
  <si>
    <t>/34.031424;/71.095227</t>
  </si>
  <si>
    <t>PASAJE 4</t>
  </si>
  <si>
    <t>/33.8184960;/70.7421270</t>
  </si>
  <si>
    <t>EL PARRON 157</t>
  </si>
  <si>
    <t>/33.731449;/70.682198</t>
  </si>
  <si>
    <t>PAULA JARAQUEMADA 312</t>
  </si>
  <si>
    <t>/33.731915;/70.680748</t>
  </si>
  <si>
    <t>PARCELA 237 POPETA</t>
  </si>
  <si>
    <t>/33.825549;/71.279132</t>
  </si>
  <si>
    <t>POPETA 240</t>
  </si>
  <si>
    <t>/33.825709;/71.274969</t>
  </si>
  <si>
    <t>SANTA INES P10</t>
  </si>
  <si>
    <t>/33.742271;/70.8911740</t>
  </si>
  <si>
    <t>EL DIBUJO 85</t>
  </si>
  <si>
    <t>/33.796006;/71.238559</t>
  </si>
  <si>
    <t>EL MAICILLO 4387</t>
  </si>
  <si>
    <t>/33.753510;/70.827133</t>
  </si>
  <si>
    <t>EL COLONIAL 260</t>
  </si>
  <si>
    <t>/33.7442171;/70.900597</t>
  </si>
  <si>
    <t>LUIS MILLAPY CAYUL 1817</t>
  </si>
  <si>
    <t>/33.8241380;/70.7317210</t>
  </si>
  <si>
    <t>EL PRADO VERDE</t>
  </si>
  <si>
    <t>/33.940697;/71.489489</t>
  </si>
  <si>
    <t>PILAR UNDIRRAGA</t>
  </si>
  <si>
    <t>/33.748764;/70.862278</t>
  </si>
  <si>
    <t>NUEVA LO MARQUEZ 56</t>
  </si>
  <si>
    <t>/33.607636;/70.897544</t>
  </si>
  <si>
    <t>BALMACEDA 3192</t>
  </si>
  <si>
    <t>/33.7476686;/70.8657489</t>
  </si>
  <si>
    <t>LOS LILOS 159</t>
  </si>
  <si>
    <t>/33.8056830;/70.8522691</t>
  </si>
  <si>
    <t>LOS LILIUMS 124</t>
  </si>
  <si>
    <t>/33.618808;/70.813100</t>
  </si>
  <si>
    <t>HAIMUT KOEHN</t>
  </si>
  <si>
    <t>/33.725017;/70.731277</t>
  </si>
  <si>
    <t>LOS LILOS 60</t>
  </si>
  <si>
    <t>/33.805416;/70.851779</t>
  </si>
  <si>
    <t>FEDERICO ERRAZURIZ 1021</t>
  </si>
  <si>
    <t>/33.741275;/70.741466</t>
  </si>
  <si>
    <t>CANCHA CORREA 3230</t>
  </si>
  <si>
    <t>/33.748239;/70.870793</t>
  </si>
  <si>
    <t>CAUPOLICAN LOTE7</t>
  </si>
  <si>
    <t>/33.802019;/70.854579</t>
  </si>
  <si>
    <t>SEIS LAS CALAS 161</t>
  </si>
  <si>
    <t>/33.619753;/70.813183</t>
  </si>
  <si>
    <t>AYSEN 149</t>
  </si>
  <si>
    <t>/33.6310890;/70.7744920</t>
  </si>
  <si>
    <t>2 PONIENTE H98</t>
  </si>
  <si>
    <t>/33.609861;/70.819630</t>
  </si>
  <si>
    <t>EUROPA ORIENTE</t>
  </si>
  <si>
    <t>/33.773151;/71.269981</t>
  </si>
  <si>
    <t>SANTA ROSA ESMERALDA 28</t>
  </si>
  <si>
    <t>/33.657079;/71.275215</t>
  </si>
  <si>
    <t>ESMERALDA 1561</t>
  </si>
  <si>
    <t>/33.1798290;/70.6647290</t>
  </si>
  <si>
    <t>/33.222477;/70.837152</t>
  </si>
  <si>
    <t>ELIAS CONTRERAS 3135</t>
  </si>
  <si>
    <t>/33.748050;/70.868578</t>
  </si>
  <si>
    <t>VILLA NAVIDAD 242</t>
  </si>
  <si>
    <t>/33.605855;/70.851156</t>
  </si>
  <si>
    <t>ENRIQUE ALCALDE 169</t>
  </si>
  <si>
    <t>/33.740387;/70.863691</t>
  </si>
  <si>
    <t>/33.740544;/70.862189</t>
  </si>
  <si>
    <t>SANTA INES PARCELA 10</t>
  </si>
  <si>
    <t>/33.7421162;/70.8908228</t>
  </si>
  <si>
    <t>/33.7431540;/70.8921470</t>
  </si>
  <si>
    <t>CAMPO LINDO VILLA</t>
  </si>
  <si>
    <t xml:space="preserve">/33.630707, /71.252808
</t>
  </si>
  <si>
    <t>CARMEN BAJO 18</t>
  </si>
  <si>
    <t>/33.723692;/71.188912</t>
  </si>
  <si>
    <t>/33.755171;/70.896210</t>
  </si>
  <si>
    <t>CAMINO A VALDIVIA 20</t>
  </si>
  <si>
    <t>/33.798080;/70.846851</t>
  </si>
  <si>
    <t>PSJ LORIENTE</t>
  </si>
  <si>
    <t>/33.610592;/70.817993</t>
  </si>
  <si>
    <t>SAN SEBASTIAN</t>
  </si>
  <si>
    <t>/33.739585;/70.7405550</t>
  </si>
  <si>
    <t>SITIO 35 RANGUE</t>
  </si>
  <si>
    <t>/33.844078;/70.956199</t>
  </si>
  <si>
    <t>LA PALOMA 15B</t>
  </si>
  <si>
    <t>/33.727346;/70.7799970</t>
  </si>
  <si>
    <t>/33.179874;/70.664711</t>
  </si>
  <si>
    <t>EL SAUCE 4470</t>
  </si>
  <si>
    <t>/33.733425;/70.865726</t>
  </si>
  <si>
    <t>PASAJE 1</t>
  </si>
  <si>
    <t>/33.7403450;/70.8641700</t>
  </si>
  <si>
    <t>CLUB VALDIVIA DE PAINE</t>
  </si>
  <si>
    <t>/33.731076;/70.764403</t>
  </si>
  <si>
    <t>/33.180054;/70.664680</t>
  </si>
  <si>
    <t>CAMINO SANTA INES 31</t>
  </si>
  <si>
    <t>/33.6299760;/70.8019570</t>
  </si>
  <si>
    <t>BRASIL 1825</t>
  </si>
  <si>
    <t>/33.604883;/70.873511</t>
  </si>
  <si>
    <t>GRACIELA CONTRERAS 398</t>
  </si>
  <si>
    <t>/33.747964;/70.8607636</t>
  </si>
  <si>
    <t>OLEA 412</t>
  </si>
  <si>
    <t>/33.772834;/70.898570</t>
  </si>
  <si>
    <t>LOS MUÑOCES 227</t>
  </si>
  <si>
    <t>/33.7488240;/70.921155</t>
  </si>
  <si>
    <t>EL NOGAL 710</t>
  </si>
  <si>
    <t>/33.195732;/70.683792</t>
  </si>
  <si>
    <t>PIC PINTO CAM PICHI</t>
  </si>
  <si>
    <t>/34.024843;/71.083557</t>
  </si>
  <si>
    <t>EL LAUREL 143</t>
  </si>
  <si>
    <t>/33.681609;/71.223441</t>
  </si>
  <si>
    <t>T. MATEO CAMPOS 517</t>
  </si>
  <si>
    <t>/33.186665;/70.671082</t>
  </si>
  <si>
    <t>VILLA MI CASA 4</t>
  </si>
  <si>
    <t>/33.793630;/71.252428</t>
  </si>
  <si>
    <t>JOSE CARRERA 310</t>
  </si>
  <si>
    <t>/33.748875;/70.862473</t>
  </si>
  <si>
    <t>PAULA JARAQUEMADA 0275</t>
  </si>
  <si>
    <t>/33.747383;/70.862183</t>
  </si>
  <si>
    <t>CAUPOLICAN 161</t>
  </si>
  <si>
    <t>/33.801725;/70.854482</t>
  </si>
  <si>
    <t>C. ANTONIO MILLAN 2309</t>
  </si>
  <si>
    <t>/33.1859423;/70.6711110</t>
  </si>
  <si>
    <t>C. ANTONIO MILLAN 2313</t>
  </si>
  <si>
    <t>C. ANTONIA MILLAN 2325</t>
  </si>
  <si>
    <t>/33.1857520;/70.6712610</t>
  </si>
  <si>
    <t>MARIO BARTOLUCCI 376</t>
  </si>
  <si>
    <t>/33.745337;/70.869796</t>
  </si>
  <si>
    <t>NUESTRA SEÑORA DE LA MERCED</t>
  </si>
  <si>
    <t>/33.745861;/70.861638</t>
  </si>
  <si>
    <t>LAS GUIAS 41/2</t>
  </si>
  <si>
    <t>/33.736237;/70.961479</t>
  </si>
  <si>
    <t>ABATE MOLINA 2037</t>
  </si>
  <si>
    <t>/33.188610;/70.661867</t>
  </si>
  <si>
    <t>LAS LILAS 180</t>
  </si>
  <si>
    <t>/33.806023;/70.853043</t>
  </si>
  <si>
    <t>LAS GUIAS 41</t>
  </si>
  <si>
    <t>/33.736495;/70.961312</t>
  </si>
  <si>
    <t>ISABEL TARRAGO</t>
  </si>
  <si>
    <t>/33.575653;/70.800</t>
  </si>
  <si>
    <t>LOS JUNCOS 858</t>
  </si>
  <si>
    <t>/33.211651;/70.678917</t>
  </si>
  <si>
    <t>LAS HUERTAS 27</t>
  </si>
  <si>
    <t>/33.720430;/71.193971</t>
  </si>
  <si>
    <t>SITIO 35</t>
  </si>
  <si>
    <t>/33.844583;/70.9557800</t>
  </si>
  <si>
    <t>JOSE MASSOUD</t>
  </si>
  <si>
    <t>/33.664731;/71.220940</t>
  </si>
  <si>
    <t>AVENIDA CHILE 482</t>
  </si>
  <si>
    <t>/33.806716;/70.856755</t>
  </si>
  <si>
    <t>LA ESPERANZA</t>
  </si>
  <si>
    <t>/33.154902;/70.90668</t>
  </si>
  <si>
    <t>AV VALPARAISO KM12</t>
  </si>
  <si>
    <t>/33.586249;/71.216574</t>
  </si>
  <si>
    <t>TENIENTE 1 RAMON ALLENDE 495</t>
  </si>
  <si>
    <t>/33.185821;/70.670299</t>
  </si>
  <si>
    <t>CRISTAL DE ROCA 10606</t>
  </si>
  <si>
    <t>/33.316875;/70.672188</t>
  </si>
  <si>
    <t>SAN ESTEBAN</t>
  </si>
  <si>
    <t>/33.742764;/70.898682</t>
  </si>
  <si>
    <t>EL CARMEN</t>
  </si>
  <si>
    <t>/33.629315;/70.772116</t>
  </si>
  <si>
    <t>LOS JAZMINES 151</t>
  </si>
  <si>
    <t>/33.6199085;/70.8123226</t>
  </si>
  <si>
    <t>CULEBRAS VERDAS 404</t>
  </si>
  <si>
    <t>/33.567673;/71.211459</t>
  </si>
  <si>
    <t>LONGONILO</t>
  </si>
  <si>
    <t>/33.904413;/71.388724</t>
  </si>
  <si>
    <t>PSJE 21 MANZANA</t>
  </si>
  <si>
    <t>/33.584834;/70.8132470</t>
  </si>
  <si>
    <t>4 ORIENTE</t>
  </si>
  <si>
    <t>/33.6713590;/70.8183560</t>
  </si>
  <si>
    <t>PARCELA 273 LOTE 4C</t>
  </si>
  <si>
    <t>/33.786880;/71.269278</t>
  </si>
  <si>
    <t>ALTA LIOCA S/N</t>
  </si>
  <si>
    <t>/33.997783;/71.485701</t>
  </si>
  <si>
    <t>PSJE MARIA GUERRERO 490</t>
  </si>
  <si>
    <t>/33.7475400;/70.8591670</t>
  </si>
  <si>
    <t>MARIA GUERRERO 489</t>
  </si>
  <si>
    <t>JOSE CANERA 280</t>
  </si>
  <si>
    <t>/33.748783;/70.862740</t>
  </si>
  <si>
    <t>CAMINO A CERRILLOS</t>
  </si>
  <si>
    <t>/33.770550;/70.699867</t>
  </si>
  <si>
    <t>CAMINO VECINAL 591</t>
  </si>
  <si>
    <t>/33.6888590;/70.7028280</t>
  </si>
  <si>
    <t>CUATRO ORIENTE 31</t>
  </si>
  <si>
    <t>/33.611362;/70.818390</t>
  </si>
  <si>
    <t>DON ARTURO 630</t>
  </si>
  <si>
    <t>/33.560737;/70.812593</t>
  </si>
  <si>
    <t>ENRIQUE ALCALDE 167</t>
  </si>
  <si>
    <t>/33.7404761;/70.8636205</t>
  </si>
  <si>
    <t>C. PADRE HURTADO 400</t>
  </si>
  <si>
    <t>/33.737421;/70.682278</t>
  </si>
  <si>
    <t>DIEGO PORTALES 747</t>
  </si>
  <si>
    <t>/33.2132585;/70.6751089</t>
  </si>
  <si>
    <t>PARCELA 22, PUANGUE</t>
  </si>
  <si>
    <t>/33.665179;/71.328667</t>
  </si>
  <si>
    <t>ARAUCANIA</t>
  </si>
  <si>
    <t>/33.7307580;/70.7429640</t>
  </si>
  <si>
    <t>FREIRE 415</t>
  </si>
  <si>
    <t>/33.7336830;/70.7478920</t>
  </si>
  <si>
    <t>/33.772625;/70.794360</t>
  </si>
  <si>
    <t>COND MANQUEHUE 1</t>
  </si>
  <si>
    <t>/33.271551;/70.634825</t>
  </si>
  <si>
    <t>ALTOS DE POPETA P35</t>
  </si>
  <si>
    <t>/33.813597;/71.329082</t>
  </si>
  <si>
    <t>PJE DOS FLORES 7</t>
  </si>
  <si>
    <t>/33.572498;/71.186449</t>
  </si>
  <si>
    <t>CAMINO VIEJO</t>
  </si>
  <si>
    <t>/33.4871130;/71.0212750</t>
  </si>
  <si>
    <t>MARIA GUERRERO 483</t>
  </si>
  <si>
    <t>/33.7478020;/70.8592990</t>
  </si>
  <si>
    <t>LA ALBORADA 106</t>
  </si>
  <si>
    <t>/33.7392930;/70.8631950</t>
  </si>
  <si>
    <t>ESTERO EL GATO 223</t>
  </si>
  <si>
    <t>/33.734857;/70.860443</t>
  </si>
  <si>
    <t>EL PEUMO</t>
  </si>
  <si>
    <t>/33.734673;/71.025859</t>
  </si>
  <si>
    <t>CT PARADERO 13</t>
  </si>
  <si>
    <t>/33.6258210;/70.7836720</t>
  </si>
  <si>
    <t>SAN ANTONIO NALTAHUA 3048</t>
  </si>
  <si>
    <t>/33.731281;/70.942581</t>
  </si>
  <si>
    <t>LOS AROMOS 345</t>
  </si>
  <si>
    <t>/33.8075810;/70.8527220</t>
  </si>
  <si>
    <t>SAN ANTONIO DE NALTAHUA 3048</t>
  </si>
  <si>
    <t>/33.730062;/70.941893</t>
  </si>
  <si>
    <t>DOÑA ISIDORA 1496</t>
  </si>
  <si>
    <t>/33.561141;/70.812345</t>
  </si>
  <si>
    <t>EL QUILLAY 334</t>
  </si>
  <si>
    <t>/33.750417;/70.863161</t>
  </si>
  <si>
    <t>EL CARMEN 167</t>
  </si>
  <si>
    <t>/33.6301474;/70.7661880</t>
  </si>
  <si>
    <t>OLEA 508</t>
  </si>
  <si>
    <t>/33.7747840;/70.8663550</t>
  </si>
  <si>
    <t>AVENIDA SAN ANTONIO</t>
  </si>
  <si>
    <t>/33.726892;/70.989215</t>
  </si>
  <si>
    <t>MARIA GUERRERO 0484</t>
  </si>
  <si>
    <t>/33.743554;/70.8791950</t>
  </si>
  <si>
    <t>MAIPI VILUCO P6</t>
  </si>
  <si>
    <t>/33.7724790;/70.7943020</t>
  </si>
  <si>
    <t>OSCAR CRISTI 1629</t>
  </si>
  <si>
    <t>/33.184219;/70.664299</t>
  </si>
  <si>
    <t>JOSE CANEPA 0309</t>
  </si>
  <si>
    <t>/33.748925;/70.862647</t>
  </si>
  <si>
    <t>AV CALERA DE TANGO P13</t>
  </si>
  <si>
    <t>/33.625754;/70.783698</t>
  </si>
  <si>
    <t>PSJE NAIROBI 922</t>
  </si>
  <si>
    <t>/33.606908;/70.866405</t>
  </si>
  <si>
    <t>ELIAS CONTRERAS 3275</t>
  </si>
  <si>
    <t>/33.749286;/70.869227</t>
  </si>
  <si>
    <t>ALAMO HUACILO 4414</t>
  </si>
  <si>
    <t>/33.734886;/70.863861</t>
  </si>
  <si>
    <t>ALFONZO LETERIER</t>
  </si>
  <si>
    <t>/33.8532169;/70.9402070</t>
  </si>
  <si>
    <t>LA ALBORADA 107</t>
  </si>
  <si>
    <t>/33.7396635;/70.863241</t>
  </si>
  <si>
    <t>PARCELA 15</t>
  </si>
  <si>
    <t>/33.731038;/71.176280</t>
  </si>
  <si>
    <t>LAS PATAGUAS</t>
  </si>
  <si>
    <t>/33.7346640;/70.8646320</t>
  </si>
  <si>
    <t>LOS PALTOS 0145</t>
  </si>
  <si>
    <t>/33.729916;/70.775726</t>
  </si>
  <si>
    <t>EL MAICILLO 4364</t>
  </si>
  <si>
    <t>/33.755000;/70.827147</t>
  </si>
  <si>
    <t>VIRGINIA SUBERCASEUX 4000</t>
  </si>
  <si>
    <t>/33.6475518;/70.607384</t>
  </si>
  <si>
    <t>EL PRADO</t>
  </si>
  <si>
    <t>/33.919306;/71.513254</t>
  </si>
  <si>
    <t>PARCELA 96, ALTO POPETA</t>
  </si>
  <si>
    <t>/33.813292;/71.330839</t>
  </si>
  <si>
    <t>PJE TOCOPILLA 704</t>
  </si>
  <si>
    <t>/33.1862070;/70.6740780</t>
  </si>
  <si>
    <t>PSJ PIRCAS 684</t>
  </si>
  <si>
    <t>/33.7332970;/70.8652290</t>
  </si>
  <si>
    <t>EL MAITEN 4375</t>
  </si>
  <si>
    <t>/33.734469;/70.8656570</t>
  </si>
  <si>
    <t>JOSE OSORIO CABELLO</t>
  </si>
  <si>
    <t>/33.746134;/70.862612</t>
  </si>
  <si>
    <t>MEDIALUNA 854</t>
  </si>
  <si>
    <t>/33.809975;/70.858063</t>
  </si>
  <si>
    <t>OLEA 4019</t>
  </si>
  <si>
    <t>/33.758463;/70.860308</t>
  </si>
  <si>
    <t>AVENIDA CHILE 898</t>
  </si>
  <si>
    <t>/33.809990;/70.859520</t>
  </si>
  <si>
    <t>PARCELA 6 VILUCO</t>
  </si>
  <si>
    <t>/33.772487;/70.7942670</t>
  </si>
  <si>
    <t>LAS ACACIAS</t>
  </si>
  <si>
    <t>/33.576927;/71.083382</t>
  </si>
  <si>
    <t>SAN BERNARDO MALLARAUCO</t>
  </si>
  <si>
    <t>/33.573154;/71.087218</t>
  </si>
  <si>
    <t>PARCELA 165 POPETA</t>
  </si>
  <si>
    <t>/33.47483;/71,16307</t>
  </si>
  <si>
    <t>VILLA JOSE VILUCO 76</t>
  </si>
  <si>
    <t>/33.774784;/70.794205</t>
  </si>
  <si>
    <t>EL CARMEN P8</t>
  </si>
  <si>
    <t>/33.6300630;/70.7662310</t>
  </si>
  <si>
    <t>JUAN FRANCISCO FREINO 132</t>
  </si>
  <si>
    <t>/33.783910;/70.894376</t>
  </si>
  <si>
    <t>AVENIDA CHILE 195</t>
  </si>
  <si>
    <t>/33.804432;/70.854729</t>
  </si>
  <si>
    <t>COLO COLO 96</t>
  </si>
  <si>
    <t>/33.808136;/70.839940</t>
  </si>
  <si>
    <t>LA HIGUERA</t>
  </si>
  <si>
    <t>/33.74897;/70.869714</t>
  </si>
  <si>
    <t>JAIME GUZMAN 3719</t>
  </si>
  <si>
    <t>/33.727404;/70.915980</t>
  </si>
  <si>
    <t>ENRIQUE LOBOS 1087</t>
  </si>
  <si>
    <t>/33.1608241;/70.8677991</t>
  </si>
  <si>
    <t>JULITA VERA 254</t>
  </si>
  <si>
    <t>/33.6449751;/71.1510</t>
  </si>
  <si>
    <t>RUTA G60 KM 12,5</t>
  </si>
  <si>
    <t>/33.773288;/71.248294</t>
  </si>
  <si>
    <t>PARCELA LOS AROMOS</t>
  </si>
  <si>
    <t>/33.771734;/70.39100</t>
  </si>
  <si>
    <t>HUGO CORVALAN 277</t>
  </si>
  <si>
    <t>/33.7458086;/70.868745</t>
  </si>
  <si>
    <t>MANUEL GONZALEZ 24</t>
  </si>
  <si>
    <t>/33.599468;/70.782173</t>
  </si>
  <si>
    <t>LOS TOTORALES 261</t>
  </si>
  <si>
    <t>/33.210160;/70.677136</t>
  </si>
  <si>
    <t>/33.811804;//71.3244352</t>
  </si>
  <si>
    <t>SANTA INES 31B</t>
  </si>
  <si>
    <t>/33.6229400;/70.8016650</t>
  </si>
  <si>
    <t>JANVARIO ESPINOZA 2668</t>
  </si>
  <si>
    <t>/33.183818:/70.670268</t>
  </si>
  <si>
    <t>CAMINO LAS PARCELAS C22</t>
  </si>
  <si>
    <t>/33717099;/70.884105</t>
  </si>
  <si>
    <t>PASAJE LOPEZ 300</t>
  </si>
  <si>
    <t>/33.7554130;/70.8913350</t>
  </si>
  <si>
    <t>EL COPIHUE 13</t>
  </si>
  <si>
    <t>/33.589789;/70.791743</t>
  </si>
  <si>
    <t>AVENIDA CHILE 840</t>
  </si>
  <si>
    <t>/33.809464;/70.859230</t>
  </si>
  <si>
    <t>PSJ SANTO TOMAS 297</t>
  </si>
  <si>
    <t>/33.742181;/70.898198</t>
  </si>
  <si>
    <t>N 22 LOTE 2 PUANGUE</t>
  </si>
  <si>
    <t>/33.665203;/71.328495</t>
  </si>
  <si>
    <t>LAS CAMELIAS 25</t>
  </si>
  <si>
    <t>/33.843922;/70.7552370</t>
  </si>
  <si>
    <t>/33.747898;/70.859169</t>
  </si>
  <si>
    <t>PSJ LO LOPEZ 299</t>
  </si>
  <si>
    <t>/33.7324150;/70.9128710</t>
  </si>
  <si>
    <t>VICTORIA 135</t>
  </si>
  <si>
    <t>/34.032202;/71.103418</t>
  </si>
  <si>
    <t>P369 CALLEJON OVEJERIA</t>
  </si>
  <si>
    <t>/33.800321;/71.3056981</t>
  </si>
  <si>
    <t>/34.030478;/71.096943</t>
  </si>
  <si>
    <t>VICTOR TRONCOSO 321 CASA 84</t>
  </si>
  <si>
    <t>/33.732998;/70.719368</t>
  </si>
  <si>
    <t>JOSE OSORIO 368</t>
  </si>
  <si>
    <t>/33.746902;/70.860608</t>
  </si>
  <si>
    <t>LONQUEN SUR</t>
  </si>
  <si>
    <t>/33.6800178;/70.849890</t>
  </si>
  <si>
    <t>ALTO RUMAY</t>
  </si>
  <si>
    <t>/33.637812;/71.212658</t>
  </si>
  <si>
    <t>AVENIDA CHILE 155</t>
  </si>
  <si>
    <t>/33.8037200;/70.8547160</t>
  </si>
  <si>
    <t>QUECHUA 185</t>
  </si>
  <si>
    <t>/33.679698;/71.1729809</t>
  </si>
  <si>
    <t>SAN JUAN DE DIOS 397</t>
  </si>
  <si>
    <t>/33.8048342;/70.7165889</t>
  </si>
  <si>
    <t>CAMINO MAIPO VILUCO 2100</t>
  </si>
  <si>
    <t>/33.758447;/70.78816</t>
  </si>
  <si>
    <t>OLEA 124</t>
  </si>
  <si>
    <t>/33.774047;/70.8986070</t>
  </si>
  <si>
    <t>PSJE LOS CARRERA 9</t>
  </si>
  <si>
    <t>/33.678110;/70.9838740</t>
  </si>
  <si>
    <t>HUGO CORBALAN 392</t>
  </si>
  <si>
    <t>/33.745156;/70.869152</t>
  </si>
  <si>
    <t>CANELO 441</t>
  </si>
  <si>
    <t>/33.7544140;/70.888788</t>
  </si>
  <si>
    <t>LONQUEN SUR P 22</t>
  </si>
  <si>
    <t>/33.640533;/70,8018327</t>
  </si>
  <si>
    <t>LAS ACACIAS SITIO 6 VILUCO</t>
  </si>
  <si>
    <t>/33.7768170;/70.7965850</t>
  </si>
  <si>
    <t>PJE ABATE MOLINA 2071</t>
  </si>
  <si>
    <t>/33.788774;/70.662056</t>
  </si>
  <si>
    <t>BONIFACIO 281</t>
  </si>
  <si>
    <t>/33.730314;/70.7570725</t>
  </si>
  <si>
    <t>CHILE 105</t>
  </si>
  <si>
    <t>/33.803912;/70.854354</t>
  </si>
  <si>
    <t>LAS LILAS 180B</t>
  </si>
  <si>
    <t>/33.806183;/70.8530090</t>
  </si>
  <si>
    <t>ELIAS CONTRERAS 3235</t>
  </si>
  <si>
    <t>/33.7489380;/70.8690770</t>
  </si>
  <si>
    <t>/33.813502;/71.3292006</t>
  </si>
  <si>
    <t>DOÑA ISIDORA 1470</t>
  </si>
  <si>
    <t>/33.561181;/70.812435</t>
  </si>
  <si>
    <t>CAMINO MELIPILLA 2513</t>
  </si>
  <si>
    <t>/33.569909;/70.816616</t>
  </si>
  <si>
    <t>/33.806189;/70.8530090</t>
  </si>
  <si>
    <t>JOSE CANEPA 358</t>
  </si>
  <si>
    <t>/33.748921;/70.862947</t>
  </si>
  <si>
    <t>LOS ESPINOS 149</t>
  </si>
  <si>
    <t>/33.737499;/70.680809</t>
  </si>
  <si>
    <t>JOSE CANEPA 303</t>
  </si>
  <si>
    <t>/33.748977;/70.862948</t>
  </si>
  <si>
    <t>AV. SANTELICES 729</t>
  </si>
  <si>
    <t>/33.7535590;/70.9031510</t>
  </si>
  <si>
    <t>JUSTICIO ACUÑA MENA 3469</t>
  </si>
  <si>
    <t>/33.746055;/70.862119</t>
  </si>
  <si>
    <t>/33.7535390;/70.9031510</t>
  </si>
  <si>
    <t>SAN FRANCISCO 1334</t>
  </si>
  <si>
    <t>/33.7422140;/70.8986910</t>
  </si>
  <si>
    <t>VICTOR TRONCOSO 321</t>
  </si>
  <si>
    <t>/33.736205;/70.719207</t>
  </si>
  <si>
    <t>ALFONSO LETELIER SITIO 20B</t>
  </si>
  <si>
    <t>/33.8510310;/70.9454510</t>
  </si>
  <si>
    <t>/33.599473;/70.782146</t>
  </si>
  <si>
    <t>HACIENDA EL BELLOTO</t>
  </si>
  <si>
    <t>/33.8145064;/70.9469615</t>
  </si>
  <si>
    <t>EUROPA PONIENTE</t>
  </si>
  <si>
    <t>/33.777016;/71.280974</t>
  </si>
  <si>
    <t>JORGE INOSTROZA 1378</t>
  </si>
  <si>
    <t>/33.096355;/71.223727</t>
  </si>
  <si>
    <t>JOSE VALDEBENITO 3420</t>
  </si>
  <si>
    <t>/33.747925;/70.859049</t>
  </si>
  <si>
    <t>PEDRO MENDEZ 388</t>
  </si>
  <si>
    <t>/33.676000;/71.205896</t>
  </si>
  <si>
    <t>EL DIBUJO P79</t>
  </si>
  <si>
    <t>/33.798252;/71.226085</t>
  </si>
  <si>
    <t>SALVADOR ALLENDE 1126</t>
  </si>
  <si>
    <t>/33.679931;/70.954966</t>
  </si>
  <si>
    <t>LO SOLAR P11</t>
  </si>
  <si>
    <t>/33.2694920;/70.7020100</t>
  </si>
  <si>
    <t>LAS PARCELAS 2826</t>
  </si>
  <si>
    <t>/33.717918;/70.894501</t>
  </si>
  <si>
    <t>LOS MOLLES CULIPRAN 128</t>
  </si>
  <si>
    <t>/33.804509;/71,236643</t>
  </si>
  <si>
    <t>PSJ LOPEZ 324</t>
  </si>
  <si>
    <t>/33.755309;/70.890944</t>
  </si>
  <si>
    <t>CAMINO CENTRAL 13</t>
  </si>
  <si>
    <t>/33.2700240;/70.7631560</t>
  </si>
  <si>
    <t>LAS ACACIAS DE VILUCO 6</t>
  </si>
  <si>
    <t>/33.7767860;/70.7966350</t>
  </si>
  <si>
    <t>AV. CALERA DE TANGO</t>
  </si>
  <si>
    <t>LA HACIENDA</t>
  </si>
  <si>
    <t>/33.295860:/70.8733</t>
  </si>
  <si>
    <t>CAMINO AL VOLCAN 18999</t>
  </si>
  <si>
    <t>/33.5848500;/70.3960720</t>
  </si>
  <si>
    <t>PJE JANAURIO ESPINOZA 2693</t>
  </si>
  <si>
    <t>/33.1834304;/70.6701689</t>
  </si>
  <si>
    <t>NUEVA HORIZONTE 8</t>
  </si>
  <si>
    <t>/33.823971;/70.740913</t>
  </si>
  <si>
    <t>LAS ROSAS 166</t>
  </si>
  <si>
    <t>/33.806789;/70.85177950</t>
  </si>
  <si>
    <t>/34.028627;/71.086794</t>
  </si>
  <si>
    <t>YAGAN 2286</t>
  </si>
  <si>
    <t>/33.679213;/71.173420</t>
  </si>
  <si>
    <t>/33.771848;/70.794057</t>
  </si>
  <si>
    <t>PARCELA 9B CHIÑIHE</t>
  </si>
  <si>
    <t>/33.690185;/71.075316</t>
  </si>
  <si>
    <t>TERESA FREIRE</t>
  </si>
  <si>
    <t>/33.74109;/70.864831</t>
  </si>
  <si>
    <t>CALLE EL PEUMO 250</t>
  </si>
  <si>
    <t>/33.733056,/71.026469</t>
  </si>
  <si>
    <t>LOS EUCALIPTOS P25</t>
  </si>
  <si>
    <t>/33.8436820;/70.7555040</t>
  </si>
  <si>
    <t>LO HERRERA 456</t>
  </si>
  <si>
    <t>/33.746790:/70.899635</t>
  </si>
  <si>
    <t>CALLE 1 SIT 3</t>
  </si>
  <si>
    <t>/33.2779127;/70.8922223</t>
  </si>
  <si>
    <t>VECINAL CONTRERAS 409</t>
  </si>
  <si>
    <t>/33.7417060;/70.8681030</t>
  </si>
  <si>
    <t>PAULA JARAQUEMADA 244</t>
  </si>
  <si>
    <t>/33.747248;/70.862446</t>
  </si>
  <si>
    <t>CERRILLOS PARC 22B</t>
  </si>
  <si>
    <t>/33.7700580;/70.7308400</t>
  </si>
  <si>
    <t>LA MAÑANA 4182</t>
  </si>
  <si>
    <t>/33.739932;/70.862732</t>
  </si>
  <si>
    <t>UGALDE 039</t>
  </si>
  <si>
    <t>/33.684271:/71206112</t>
  </si>
  <si>
    <t>PA 110 COLONIA KENNEDY</t>
  </si>
  <si>
    <t>/33.863583;/70.7259530</t>
  </si>
  <si>
    <t>JOSE VALDEBENITO 3431</t>
  </si>
  <si>
    <t>/33.747796:/70.859026</t>
  </si>
  <si>
    <t>LA VICTORIA CAMPESINA S3</t>
  </si>
  <si>
    <t>/33.837741;/70.6393870</t>
  </si>
  <si>
    <t>LOS JAZMINEZ 152</t>
  </si>
  <si>
    <t>/33.6202210;/70.81255520</t>
  </si>
  <si>
    <t>LOS INGLESES 26</t>
  </si>
  <si>
    <t>/33.24904960;/70.6763390</t>
  </si>
  <si>
    <t>VISTA HERMOSA 273</t>
  </si>
  <si>
    <t>/33.740150;/70.865166</t>
  </si>
  <si>
    <t>SANTA LAURA 105</t>
  </si>
  <si>
    <t>/33.7740925;/70.7955102</t>
  </si>
  <si>
    <t>/33.7375420;/70.6808860</t>
  </si>
  <si>
    <t>JUAN FCO FRESNO 683</t>
  </si>
  <si>
    <t>/33.784041;/70.888350</t>
  </si>
  <si>
    <t>ESCUELA LIBERTADORES 310</t>
  </si>
  <si>
    <t>/33.749052;/70.893769</t>
  </si>
  <si>
    <t>CAMINO SAN LUIS 1525</t>
  </si>
  <si>
    <t>/33.745637;/70.922324</t>
  </si>
  <si>
    <t>/33.78380547;/70.88837109</t>
  </si>
  <si>
    <t>LAS LILAS 37</t>
  </si>
  <si>
    <t>/33.805013;/70.851841</t>
  </si>
  <si>
    <t>JOSE ALESSANDRI P. 7</t>
  </si>
  <si>
    <t>/33.8473130;/70.7530790</t>
  </si>
  <si>
    <t>JOSE ZAPATA PAREDES 2275</t>
  </si>
  <si>
    <t>/33.7123110;/70.7479940</t>
  </si>
  <si>
    <t>CHILE 863</t>
  </si>
  <si>
    <t>/33.809305;/70.859667</t>
  </si>
  <si>
    <t>SAN MARTIN 390</t>
  </si>
  <si>
    <t>/33.182995;/70.650543</t>
  </si>
  <si>
    <t>BALMACEDA 4419</t>
  </si>
  <si>
    <t>/33.737131;/70.859518</t>
  </si>
  <si>
    <t>JOSE CANEPA 189</t>
  </si>
  <si>
    <t>/33.748689;/70.863895</t>
  </si>
  <si>
    <t>BOSQUE SANTA CECILIA 271</t>
  </si>
  <si>
    <t>/33.788722;/71.298545</t>
  </si>
  <si>
    <t>AUGUSTO DALMAR 970</t>
  </si>
  <si>
    <t>/33.7408260;/70.7410040</t>
  </si>
  <si>
    <t>CAMINO LO SECO 690</t>
  </si>
  <si>
    <t>/33.192134;/70.680933</t>
  </si>
  <si>
    <t>SAN MANUEL PJE EUROPA S/N</t>
  </si>
  <si>
    <t>/33.778924;/71.281716</t>
  </si>
  <si>
    <t>ESMERALDA 24</t>
  </si>
  <si>
    <t>/33.660309;/70.916254</t>
  </si>
  <si>
    <t>LOS ANDES 593</t>
  </si>
  <si>
    <t>/33.752792;/70.888548</t>
  </si>
  <si>
    <t>JOAQUIN UNDURRAGA</t>
  </si>
  <si>
    <t>/33.258144;/70.886597</t>
  </si>
  <si>
    <t>CAMINO CERRILLOS P22</t>
  </si>
  <si>
    <t>/33.7701370;/70.7307430</t>
  </si>
  <si>
    <t>LAS LILAS 33</t>
  </si>
  <si>
    <t>/33.8047710;/70.8520800</t>
  </si>
  <si>
    <t>EDUARDO CORTES 961</t>
  </si>
  <si>
    <t>/33.741230;/70.747719</t>
  </si>
  <si>
    <t>/33.803716;/70.854761</t>
  </si>
  <si>
    <t>LOS TILOS 276</t>
  </si>
  <si>
    <t>/33.602510;/70.8893000</t>
  </si>
  <si>
    <t>JAVIERA CARRERA 447</t>
  </si>
  <si>
    <t>/33.202030;/70.667366</t>
  </si>
  <si>
    <t>SAN VICENTE P4</t>
  </si>
  <si>
    <t>/33.814635;/70.7421507</t>
  </si>
  <si>
    <t>LOS EUCALIPTOS 25</t>
  </si>
  <si>
    <t>/33.8438820;/70.7555290</t>
  </si>
  <si>
    <t>MANUEL FIGUEROA PONCE 2091</t>
  </si>
  <si>
    <t>/33.4032860;/71.1263010</t>
  </si>
  <si>
    <t>LOS TILOS 089</t>
  </si>
  <si>
    <t>/33.621090;/70.811568</t>
  </si>
  <si>
    <t>LAS ARAUCANIAS 373</t>
  </si>
  <si>
    <t>/33.751353;/70.863340</t>
  </si>
  <si>
    <t>DIECICHO DE SEPTIEMBRE 6548</t>
  </si>
  <si>
    <t>/33.813488;/70.670126</t>
  </si>
  <si>
    <t>NUESTRA SRA DE LA MERCED 471</t>
  </si>
  <si>
    <t>/33.7470188;/70.8589900</t>
  </si>
  <si>
    <t>LA UNION 219</t>
  </si>
  <si>
    <t>/33.560335;/70.795782</t>
  </si>
  <si>
    <t>TITO JIMENEZ 268</t>
  </si>
  <si>
    <t>/33.744405:/70.867912</t>
  </si>
  <si>
    <t>COQUIMBO 026</t>
  </si>
  <si>
    <t>/33.183247;/70.649323</t>
  </si>
  <si>
    <t>FABRIZIO LEVERA PACETTI 361</t>
  </si>
  <si>
    <t>/33.742804;/70.868297</t>
  </si>
  <si>
    <t>LOS TILOS 88</t>
  </si>
  <si>
    <t>/33.6209870;/70.8113610</t>
  </si>
  <si>
    <t>CULIPRAN PC330</t>
  </si>
  <si>
    <t>/33.822359;/71.282286</t>
  </si>
  <si>
    <t>LA VILUMA SITIO 18</t>
  </si>
  <si>
    <t>/33.781774;/71.082820</t>
  </si>
  <si>
    <t>EL QUILLAY 750</t>
  </si>
  <si>
    <t>/33.193933;/70.682722</t>
  </si>
  <si>
    <t>ARZA 1084</t>
  </si>
  <si>
    <t>/33.682040;/71.222571</t>
  </si>
  <si>
    <t>/33.7740530:/70.8986060</t>
  </si>
  <si>
    <t>SEMBRADOR 156</t>
  </si>
  <si>
    <t>/33.73090;/70.680801</t>
  </si>
  <si>
    <t>PASJE CINCO 829</t>
  </si>
  <si>
    <t>/33.746571;/70.897844</t>
  </si>
  <si>
    <t>ELQUI TAL TAL A 39</t>
  </si>
  <si>
    <t>/33.680007;/71.194152</t>
  </si>
  <si>
    <t>/33.688215;/71.186881</t>
  </si>
  <si>
    <t>LAS VERTIENTES P21</t>
  </si>
  <si>
    <t>/33.579966;/70.855240</t>
  </si>
  <si>
    <t>AMANDA BRICEÑO 151</t>
  </si>
  <si>
    <t>/33.4040140;/71.1273260</t>
  </si>
  <si>
    <t>MANZANA ORIENTE 303</t>
  </si>
  <si>
    <t>/33.324257;/70.7540218</t>
  </si>
  <si>
    <t>ORILLA DEL RIO 147</t>
  </si>
  <si>
    <t>/33.706409;/70.5513480</t>
  </si>
  <si>
    <t>TORTEHUE 29</t>
  </si>
  <si>
    <t>/33.849404,/71.185765</t>
  </si>
  <si>
    <t>TORTEHUE ALTO 3013</t>
  </si>
  <si>
    <t>/33.557077,/70.666951</t>
  </si>
  <si>
    <t>COLONIA KENNEDY SITIO 7</t>
  </si>
  <si>
    <t>/33,871263,/70,705474</t>
  </si>
  <si>
    <t>YAIMA 663</t>
  </si>
  <si>
    <t>/33.811702,/70.730496</t>
  </si>
  <si>
    <t>UNION NORTE PC 35</t>
  </si>
  <si>
    <t>/33,843246,/70,740704</t>
  </si>
  <si>
    <t>PASAJE COSTANERA PONIENTE 04</t>
  </si>
  <si>
    <t>/33.083637,/70.925644</t>
  </si>
  <si>
    <t>VILLA LA MERCED 338</t>
  </si>
  <si>
    <t>/33.090557,/70.917677</t>
  </si>
  <si>
    <t>MANUEL RODRIGUEZ 81</t>
  </si>
  <si>
    <t>/33.277553,/70.890098</t>
  </si>
  <si>
    <t>/33.293580,/70.776618</t>
  </si>
  <si>
    <t>/33.272365,/70.876062</t>
  </si>
  <si>
    <t>SANTA LUCIA 053</t>
  </si>
  <si>
    <t>/33.088049,/70.917327</t>
  </si>
  <si>
    <t>BERNARDO O´HIGGINS 276</t>
  </si>
  <si>
    <t>/33.822303,/70.750945</t>
  </si>
  <si>
    <t>QUEBRADA HONDA 511</t>
  </si>
  <si>
    <t>/33.4294902,/71.0716126</t>
  </si>
  <si>
    <t>WILLIAMS REBOLLEDO 1555</t>
  </si>
  <si>
    <t>/33.4020418,/71.1340701</t>
  </si>
  <si>
    <t>AV 18 DE SEPTIEMBRE 1445</t>
  </si>
  <si>
    <t>/33.805963,/70.721490</t>
  </si>
  <si>
    <t>CERCA DE NUEVO SENDERO</t>
  </si>
  <si>
    <t>/33.813681,/70.678081</t>
  </si>
  <si>
    <t>JORGE GUERRA PJE 80</t>
  </si>
  <si>
    <t>/33.824126,/70.732643</t>
  </si>
  <si>
    <t>PASAJE ESPERANZA 1189</t>
  </si>
  <si>
    <t>/33.3930091,/71.1202558</t>
  </si>
  <si>
    <t>LA AGUILA 1A</t>
  </si>
  <si>
    <t>/33.4213089,/71.1365153</t>
  </si>
  <si>
    <t>ALVAREZ S/N SITIO 16</t>
  </si>
  <si>
    <t>/33.760301,/70.916497</t>
  </si>
  <si>
    <t>CAMINO EL TORO P14</t>
  </si>
  <si>
    <t>/33.3883561,/71.1610929</t>
  </si>
  <si>
    <t>LO AGUILA LOTE 8</t>
  </si>
  <si>
    <t>/33.4165463,/71.1396490</t>
  </si>
  <si>
    <t>SANTO TOMIBIO 41</t>
  </si>
  <si>
    <t>/33.632307,/70.925170</t>
  </si>
  <si>
    <t>SANTO TOMIBIO</t>
  </si>
  <si>
    <t>/33.631907,/70.924967</t>
  </si>
  <si>
    <t>LOS COLIGUOS 281</t>
  </si>
  <si>
    <t>/33.210756,/70.677827</t>
  </si>
  <si>
    <t>LOS ESPINOS 422</t>
  </si>
  <si>
    <t>/33.207935,/70.680667</t>
  </si>
  <si>
    <t>CALLE S/N FUNDO AMALIA</t>
  </si>
  <si>
    <t>/33.828705,/70.717620</t>
  </si>
  <si>
    <t>LOS LIMONEROS 14</t>
  </si>
  <si>
    <t>/33.210137,/70.691408</t>
  </si>
  <si>
    <t>PASAJE RAIQUEN 894</t>
  </si>
  <si>
    <t>/33.811496,/70.729675</t>
  </si>
  <si>
    <t>PASAJE RIO PAINE</t>
  </si>
  <si>
    <t>/33.803130,/70.727581</t>
  </si>
  <si>
    <t>SIN CALLE S/N NUEVO SENDEROS 14</t>
  </si>
  <si>
    <t>/33.804356,/70.674880</t>
  </si>
  <si>
    <t>LEOPOLDO CASTRO 1865</t>
  </si>
  <si>
    <t>/33.825026,/70.731289</t>
  </si>
  <si>
    <t>LA MEDIA LUNA 174</t>
  </si>
  <si>
    <t>/33.887582,/70.726315</t>
  </si>
  <si>
    <t>EL ESCORIAL 37</t>
  </si>
  <si>
    <t>/33.857560,/70.615521</t>
  </si>
  <si>
    <t>EL ROSARIO S/N</t>
  </si>
  <si>
    <t>/33.5089240,/71.1401932</t>
  </si>
  <si>
    <t>EL ENCANTO PARCELA 8</t>
  </si>
  <si>
    <t>/33.3883715,/71.1615328</t>
  </si>
  <si>
    <t>ISLA PICTON 159</t>
  </si>
  <si>
    <t>/33.806833,/70.737933</t>
  </si>
  <si>
    <t>LEIVA 2073</t>
  </si>
  <si>
    <t>/33.183859,/70.647390</t>
  </si>
  <si>
    <t>JOSE LUIS VILLANUEVA 127</t>
  </si>
  <si>
    <t>/33.727806,/70.714571</t>
  </si>
  <si>
    <t>LOS LIBERTADORES 26A</t>
  </si>
  <si>
    <t>/33.113343,/70.791887</t>
  </si>
  <si>
    <t>CUATRO NORTE 481</t>
  </si>
  <si>
    <t>/33.819875,/70.737232</t>
  </si>
  <si>
    <t>LOPEZ 1730</t>
  </si>
  <si>
    <t>/33.4068874,/71.1306589</t>
  </si>
  <si>
    <t>LA CAPILLA CALUE</t>
  </si>
  <si>
    <t>/33.005898,/70.994791</t>
  </si>
  <si>
    <t>CAMINO INTERIOR P/24</t>
  </si>
  <si>
    <t>/33.116431,/70.820926</t>
  </si>
  <si>
    <t>LA AGUILA S/N</t>
  </si>
  <si>
    <t>/33.4144157,/71.1482677</t>
  </si>
  <si>
    <t>LA DORMIDA 811</t>
  </si>
  <si>
    <t>/33.076028,/70928321</t>
  </si>
  <si>
    <t>CI92</t>
  </si>
  <si>
    <t>/33.799145,/70.683228</t>
  </si>
  <si>
    <t>24 DE ABRIL PARCELA 92A</t>
  </si>
  <si>
    <t>/33.799133,/70.683299</t>
  </si>
  <si>
    <t>TANTEHUE 30B</t>
  </si>
  <si>
    <t>/33.848463,/71.184508</t>
  </si>
  <si>
    <t>CULICAN S/N</t>
  </si>
  <si>
    <t>/33.770422,/71.238809</t>
  </si>
  <si>
    <t>TANTEHUE SITIO 10</t>
  </si>
  <si>
    <t>/33879638,/71.218656</t>
  </si>
  <si>
    <t>AV LOS HEROES 1512</t>
  </si>
  <si>
    <t>/33.819893, /70.736244</t>
  </si>
  <si>
    <t>/33.876834,/70.745761</t>
  </si>
  <si>
    <t>MIGUEL CAMPINO 204</t>
  </si>
  <si>
    <t>/33.816410,/70.740787</t>
  </si>
  <si>
    <t>CALLE SEIS 201</t>
  </si>
  <si>
    <t>/33.803793,/70.714600</t>
  </si>
  <si>
    <t>DIEGO PORTALES SUR 26</t>
  </si>
  <si>
    <t>/33.8734350,/70.7438998</t>
  </si>
  <si>
    <t>PEREZ CANTO 421</t>
  </si>
  <si>
    <t>/33.813907,/70.736617</t>
  </si>
  <si>
    <t>AV BERNANDO O´HIGGINS 787</t>
  </si>
  <si>
    <t>/33.811579, /70.737116</t>
  </si>
  <si>
    <t>JUAN BATISTA 312</t>
  </si>
  <si>
    <t>/33.676519,/71.311734</t>
  </si>
  <si>
    <t>MANUEL FIGUEROA 2071</t>
  </si>
  <si>
    <t>/33.4033464,/71.1267547</t>
  </si>
  <si>
    <t>CAMINO ESTACION 114</t>
  </si>
  <si>
    <t>/33.730722,/70.728525</t>
  </si>
  <si>
    <t>JULIO GARRIDO FALCON 2295</t>
  </si>
  <si>
    <t>/33.712284,/70.748566</t>
  </si>
  <si>
    <t>PASAJE TRES 990</t>
  </si>
  <si>
    <t>/33.813977,/70.736549</t>
  </si>
  <si>
    <t>MONASTERIO LA ESPERANZA 130</t>
  </si>
  <si>
    <t>/33.765988,/70.734341</t>
  </si>
  <si>
    <t>BUIN 1023</t>
  </si>
  <si>
    <t>/33.814433,/70.736318</t>
  </si>
  <si>
    <t>AV VILUCO 4650</t>
  </si>
  <si>
    <t>/33.792581,/70.782376</t>
  </si>
  <si>
    <t>SANTA VICTORIA S/N</t>
  </si>
  <si>
    <t>/33.810655,/70.763132</t>
  </si>
  <si>
    <t>LA GRUTA 37</t>
  </si>
  <si>
    <t>/33.632158,/70.761577</t>
  </si>
  <si>
    <t>24 DE ABRIL S/91</t>
  </si>
  <si>
    <t>/33.799719,/70.682515</t>
  </si>
  <si>
    <t>SANTA ANA LA VEGA FUNDO S/N</t>
  </si>
  <si>
    <t>/33.820318,/70.686817</t>
  </si>
  <si>
    <t>JUANA ALARCON SALAZAR</t>
  </si>
  <si>
    <t>/33.805031,/70.734400</t>
  </si>
  <si>
    <t>JUANA ALARCON SALABA 94</t>
  </si>
  <si>
    <t>/33.804661,/70.734484</t>
  </si>
  <si>
    <t>JUANA ALARCON P/8</t>
  </si>
  <si>
    <t>/33804675,/70.734476</t>
  </si>
  <si>
    <t>KOSE MIGUEL CARRERA 554</t>
  </si>
  <si>
    <t>/33.723168,/70.745232</t>
  </si>
  <si>
    <t>COYHAIQUE 900</t>
  </si>
  <si>
    <t>/33.733888,/70.988169</t>
  </si>
  <si>
    <t>CORONEL 865</t>
  </si>
  <si>
    <t>/33.809426,/70.730234</t>
  </si>
  <si>
    <t>CAMINO ORILLA DE RIO</t>
  </si>
  <si>
    <t>/33.711994,/70.547404</t>
  </si>
  <si>
    <t>CAMINO LAS ROSAS PARCELA S/N</t>
  </si>
  <si>
    <t>/33.710732,/70.543742</t>
  </si>
  <si>
    <t>MANUEL DE SALAS 2154</t>
  </si>
  <si>
    <t>/33.3926516,/71.1230948</t>
  </si>
  <si>
    <t>LOLENCO 1875</t>
  </si>
  <si>
    <t>/33.4441860,/71.0664676</t>
  </si>
  <si>
    <t>PASAJE EL ARRAYA 153</t>
  </si>
  <si>
    <t>/33.805775,/70.732915</t>
  </si>
  <si>
    <t>BOLIVIA 338</t>
  </si>
  <si>
    <t>/33.819504,/70.739190</t>
  </si>
  <si>
    <t>SATELITES 1908</t>
  </si>
  <si>
    <t>/33.752760,/70.917079</t>
  </si>
  <si>
    <t>EDUCADORA ANA MONSERRAT 658</t>
  </si>
  <si>
    <t>/33.3960938,/71.1307155</t>
  </si>
  <si>
    <t>AUGUSTO LARRAIN 1713</t>
  </si>
  <si>
    <t>/33.3965373,/71.1309253</t>
  </si>
  <si>
    <t>/33.788233,/70.677968</t>
  </si>
  <si>
    <t>VEINTICUATRO DE ABRIL S/N</t>
  </si>
  <si>
    <t>/33.798860,/70.682762</t>
  </si>
  <si>
    <t>TOTOCHA INOSTROZA 134</t>
  </si>
  <si>
    <t>/33.736473, /70.762602</t>
  </si>
  <si>
    <t>EL MAICILLO 4357</t>
  </si>
  <si>
    <t>/33.754995,/70.827106</t>
  </si>
  <si>
    <t>CUATRO NORTE 497</t>
  </si>
  <si>
    <t>/33.811437,/70.737415</t>
  </si>
  <si>
    <t>PIEDRA AZUL 501</t>
  </si>
  <si>
    <t>/33.3970214, /71.1309724</t>
  </si>
  <si>
    <t>EL MAICILLO 4282</t>
  </si>
  <si>
    <t>/33.753343,/70.826802</t>
  </si>
  <si>
    <t>MANUEL MACHUCA ACEVEDO 0166</t>
  </si>
  <si>
    <t>/33.725300,/70.736451</t>
  </si>
  <si>
    <t>PASAJE BOLIVIA 342</t>
  </si>
  <si>
    <t>/33.820410,/70.739372</t>
  </si>
  <si>
    <t>INTERIOR SUR 045</t>
  </si>
  <si>
    <t>/33.134853,/70.808675</t>
  </si>
  <si>
    <t>3 SUR 150</t>
  </si>
  <si>
    <t>/33.140716,/70.800424</t>
  </si>
  <si>
    <t>QUILAPILUN P/47</t>
  </si>
  <si>
    <t>/33.100034,/70.762491</t>
  </si>
  <si>
    <t>POLPAICO 70</t>
  </si>
  <si>
    <t>/33.166990,/70.887607</t>
  </si>
  <si>
    <t>PEYUHUE 645</t>
  </si>
  <si>
    <t>/33.328042,/70.762799</t>
  </si>
  <si>
    <t>CAMINO CHICAUNA41</t>
  </si>
  <si>
    <t>/33.269319,/70.893836</t>
  </si>
  <si>
    <t>/33.4707680,/71.0909877</t>
  </si>
  <si>
    <t>PANDA 1390</t>
  </si>
  <si>
    <t>/33.6964472,/71.2187552</t>
  </si>
  <si>
    <t>EL JILGUERO S/65</t>
  </si>
  <si>
    <t>/33.286951./70.798760</t>
  </si>
  <si>
    <t>/33.278490,/70.890079</t>
  </si>
  <si>
    <t>HACIENDA H41</t>
  </si>
  <si>
    <t>/33.4045915,/71.1665083</t>
  </si>
  <si>
    <t>ESTACION 250</t>
  </si>
  <si>
    <t>/33.733021,/70.729162</t>
  </si>
  <si>
    <t>LONQUEN NORTE P/10</t>
  </si>
  <si>
    <t>/33.602265,/70.779359</t>
  </si>
  <si>
    <t>APARICION S/19</t>
  </si>
  <si>
    <t>/33.780390,/70.639156</t>
  </si>
  <si>
    <t>PASAJE DOCTOR MACLINE 64</t>
  </si>
  <si>
    <t>/33.633181,/70.761390</t>
  </si>
  <si>
    <t>BUIN 1542</t>
  </si>
  <si>
    <t>/33.820100,/70.737473</t>
  </si>
  <si>
    <t>LONQUEN SUR S/N</t>
  </si>
  <si>
    <t>/33.640641,/70.816948</t>
  </si>
  <si>
    <t>GABRIELA MISTRAL 31</t>
  </si>
  <si>
    <t>/33.629362,/70.769789</t>
  </si>
  <si>
    <t>JUAN PASTENE 188</t>
  </si>
  <si>
    <t>/33.401800,/71.134051</t>
  </si>
  <si>
    <t>CARDONAL ALTO S/9</t>
  </si>
  <si>
    <t>/33.847546,/70.640752</t>
  </si>
  <si>
    <t>GERMAN RIESCO 567</t>
  </si>
  <si>
    <t>/33.3974174,/71.1298605</t>
  </si>
  <si>
    <t>/33.4119587,/71.1134411</t>
  </si>
  <si>
    <t>SANTELICES 1908</t>
  </si>
  <si>
    <t>JOSE PEPE FUENTES 134</t>
  </si>
  <si>
    <t>/33.804950,/70.739675</t>
  </si>
  <si>
    <t>PASAJE SAUCE 7</t>
  </si>
  <si>
    <t>/33.867595,/70.748815</t>
  </si>
  <si>
    <t>OLEA 187</t>
  </si>
  <si>
    <t>/33.774637,/70.900667</t>
  </si>
  <si>
    <t>OLEA 4030</t>
  </si>
  <si>
    <t>/33.763788,/70.871816</t>
  </si>
  <si>
    <t>LOS JAZMINEZ P24</t>
  </si>
  <si>
    <t>/33.812571,/70.740517</t>
  </si>
  <si>
    <t>PASAJE LUIS MIYAPI 959</t>
  </si>
  <si>
    <t>/33.823987,/70.731389</t>
  </si>
  <si>
    <t>PUANGUE 353</t>
  </si>
  <si>
    <t>/33.5136200,/71.1219799</t>
  </si>
  <si>
    <t>LO AGUILA 510</t>
  </si>
  <si>
    <t>/33.420107, /71.141570</t>
  </si>
  <si>
    <t>8 PONIENTE P/205A</t>
  </si>
  <si>
    <t>/33.803060,/70.752250</t>
  </si>
  <si>
    <t>APOLO XII S/N</t>
  </si>
  <si>
    <t>/33.5199351,/71.1220366</t>
  </si>
  <si>
    <t>LOMAS DEL AGUILA P/K</t>
  </si>
  <si>
    <t>/33.864053,/70.793625</t>
  </si>
  <si>
    <t>AV VILUCO</t>
  </si>
  <si>
    <t>/33.789574,/70.779034</t>
  </si>
  <si>
    <t>ALCALDE 1588</t>
  </si>
  <si>
    <t>/33.733781,/70.903360</t>
  </si>
  <si>
    <t>EL TORO P14</t>
  </si>
  <si>
    <t>/33.3885433,/71.1610480</t>
  </si>
  <si>
    <t>BERNANDO LEYTON 223</t>
  </si>
  <si>
    <t>/33.401640,/71.133960</t>
  </si>
  <si>
    <t>EL MAQUI 824</t>
  </si>
  <si>
    <t>/33.297412,/70.880069</t>
  </si>
  <si>
    <t>COMAS DE AGUILA P/K</t>
  </si>
  <si>
    <t>PA NORTE 19147</t>
  </si>
  <si>
    <t>/33.642469,/70.349043</t>
  </si>
  <si>
    <t>LOS MANZANOS 20007</t>
  </si>
  <si>
    <t>/33.642414,/70347649</t>
  </si>
  <si>
    <t>IRENE FREY S/30</t>
  </si>
  <si>
    <t>/33.307264,/70.857473</t>
  </si>
  <si>
    <t>CAPILLA DE CALEC</t>
  </si>
  <si>
    <t>/33.001628,/70.985925</t>
  </si>
  <si>
    <t>ALEGRE 105</t>
  </si>
  <si>
    <t>/33.803632,/70.725888</t>
  </si>
  <si>
    <t>YAIMA 613</t>
  </si>
  <si>
    <t>/33.810994,/70.729690</t>
  </si>
  <si>
    <t>MILAGRO 520</t>
  </si>
  <si>
    <t>/33.3976126,/71.1311681</t>
  </si>
  <si>
    <t>/33.4120701,/71.1134499</t>
  </si>
  <si>
    <t>TATA FLORO S/N</t>
  </si>
  <si>
    <t>/33.725753,/70.554745</t>
  </si>
  <si>
    <t>/33.690697,/70.900751</t>
  </si>
  <si>
    <t>MANUEL MACHUCA 0166</t>
  </si>
  <si>
    <t>/33.725076,/70.735986</t>
  </si>
  <si>
    <t>VALPARAISO 500</t>
  </si>
  <si>
    <t>/33.6738659,/71.2166079</t>
  </si>
  <si>
    <t>LOS ALMENDROS 1309</t>
  </si>
  <si>
    <t>/33.690720,/71.2268400</t>
  </si>
  <si>
    <t>APARECION CONTRA SUR 2</t>
  </si>
  <si>
    <t>/33.732853,/70.63779</t>
  </si>
  <si>
    <t>SANTA ELISES 1908</t>
  </si>
  <si>
    <t>/33.751840,/70.914918</t>
  </si>
  <si>
    <t>ARTURO PRAT 328</t>
  </si>
  <si>
    <t>/33.733953,/70.740521</t>
  </si>
  <si>
    <t>PATRICIA BECERRA 102</t>
  </si>
  <si>
    <t>/33.738512,/70.858291</t>
  </si>
  <si>
    <t>PASAJE DOS EL SOLAR</t>
  </si>
  <si>
    <t>/33.722861,/70.738966</t>
  </si>
  <si>
    <t>ATALAYA 225</t>
  </si>
  <si>
    <t>/33.815141,/70.740197</t>
  </si>
  <si>
    <t>NEHUEN 850</t>
  </si>
  <si>
    <t>/33.813651,/70.730892</t>
  </si>
  <si>
    <t>RAUL SANCHEZ CERDA</t>
  </si>
  <si>
    <t>/33.821265,/70.740927</t>
  </si>
  <si>
    <t>CHALLECO S/N</t>
  </si>
  <si>
    <t>/33.4172768,/71.1540039</t>
  </si>
  <si>
    <t>LACAPILLA P/10</t>
  </si>
  <si>
    <t>/33.242466,/70.780193</t>
  </si>
  <si>
    <t>JOSE MANUEL BALMACEDA 541</t>
  </si>
  <si>
    <t>/33.732296,/70.743414</t>
  </si>
  <si>
    <t>PJE CARLOS CONTRERAS BELTRAN 971</t>
  </si>
  <si>
    <t>/33.823225,/70.731039</t>
  </si>
  <si>
    <t>TAHIEL 833</t>
  </si>
  <si>
    <t>/33.813279,/70.731206</t>
  </si>
  <si>
    <t>SANTA FILOMENA S/N</t>
  </si>
  <si>
    <t>/33.5840650,/71.2357444</t>
  </si>
  <si>
    <t>LAS BODEGAS SUR S/N</t>
  </si>
  <si>
    <t>/33.868433,/70.744066</t>
  </si>
  <si>
    <t>RANCAGUA 215</t>
  </si>
  <si>
    <t>/33.5720743,/71.2099121</t>
  </si>
  <si>
    <t>PSJE 18 375</t>
  </si>
  <si>
    <t>/33.6783841,/71.2382482</t>
  </si>
  <si>
    <t>ESTACION VILUCO CASA 1</t>
  </si>
  <si>
    <t>/33.779106,/70.793589</t>
  </si>
  <si>
    <t>LOS COPIHUES 3</t>
  </si>
  <si>
    <t>/33.818278,/70.732404</t>
  </si>
  <si>
    <t>IBACACHE ALTO S/N</t>
  </si>
  <si>
    <t>/33.495728,/71.268705</t>
  </si>
  <si>
    <t>UNION NORTE P.32</t>
  </si>
  <si>
    <t>/33.847207,/70.739986</t>
  </si>
  <si>
    <t>EL REDIL S/N</t>
  </si>
  <si>
    <t>/33.4774824,/71.1278795</t>
  </si>
  <si>
    <t>NEHUEN 854</t>
  </si>
  <si>
    <t>/33.813622,/70.730796</t>
  </si>
  <si>
    <t>LA RINCONADA 210</t>
  </si>
  <si>
    <t>/33.715529,/70.569691</t>
  </si>
  <si>
    <t>ARRECIFE 1343</t>
  </si>
  <si>
    <t>/33.817450,/70.740518</t>
  </si>
  <si>
    <t>AV SENADOR JAIME GUZMAN 1723</t>
  </si>
  <si>
    <t>/33.738260,/70.908445</t>
  </si>
  <si>
    <t>LAS PIRCA S/N</t>
  </si>
  <si>
    <t>/33.769381,/70.867765</t>
  </si>
  <si>
    <t>SANTA ESTER 7</t>
  </si>
  <si>
    <t>/33.211829,/70.695792</t>
  </si>
  <si>
    <t>AV VALPARAISO S/N</t>
  </si>
  <si>
    <t>/33.588608,/71.216704</t>
  </si>
  <si>
    <t>ANTILLAS 1576</t>
  </si>
  <si>
    <t>/33.820401,/70.740772</t>
  </si>
  <si>
    <t>PALERMO S/15</t>
  </si>
  <si>
    <t>/33.629403,/70.801671</t>
  </si>
  <si>
    <t>AUKA 821</t>
  </si>
  <si>
    <t>/33.811922,/70.731141</t>
  </si>
  <si>
    <t>AV DEL VILLAR 571</t>
  </si>
  <si>
    <t>/33.810326,/70.731028</t>
  </si>
  <si>
    <t>LORENZO ACEITON 308</t>
  </si>
  <si>
    <t>/33.675473,/71.207404</t>
  </si>
  <si>
    <t>CAMINO CHAVEZ PARCELA 7</t>
  </si>
  <si>
    <t>/33.8716800,/70.6897720</t>
  </si>
  <si>
    <t>EL MAICILLO 4457</t>
  </si>
  <si>
    <t>/33.753034,/70.827241</t>
  </si>
  <si>
    <t>/33.4719569,/71.1098570</t>
  </si>
  <si>
    <t>EL DEDIL 4</t>
  </si>
  <si>
    <t>/33.4840821,/71.1282158</t>
  </si>
  <si>
    <t>SANTA FILOMENA P/48</t>
  </si>
  <si>
    <t>PASAJE PEREZ CANTO 590</t>
  </si>
  <si>
    <t>/33.814176,/70.7367024</t>
  </si>
  <si>
    <t>SANTA FILOMENA P/30</t>
  </si>
  <si>
    <t>/33.5840131,/71.2350582</t>
  </si>
  <si>
    <t>EL GUINDO 53</t>
  </si>
  <si>
    <t>/33.496625,/71.203410</t>
  </si>
  <si>
    <t>CALLE LA ROMANA 561</t>
  </si>
  <si>
    <t>/33.902168,/70.654032</t>
  </si>
  <si>
    <t>LOS SILOS CASA 3</t>
  </si>
  <si>
    <t>/33.839631,/70.820484</t>
  </si>
  <si>
    <t>/33.521865,/70.411841</t>
  </si>
  <si>
    <t>DOMINGO CANELEO TRINCADO 967</t>
  </si>
  <si>
    <t>/33.865412,/71.688790</t>
  </si>
  <si>
    <t>EL MAICILLO 4318</t>
  </si>
  <si>
    <t>/33.752828,/70.826930</t>
  </si>
  <si>
    <t>AMANDA BRICEÑO 131</t>
  </si>
  <si>
    <t>/33.4038561,/71.1274077</t>
  </si>
  <si>
    <t>CAMINO MEDIA LUNA SITIO 4</t>
  </si>
  <si>
    <t>/33.890537, /70.722481</t>
  </si>
  <si>
    <t>LO ALVARADO 1205</t>
  </si>
  <si>
    <t>/33.4668955,/71.0637153</t>
  </si>
  <si>
    <t>LO ALVARADO 1205 B</t>
  </si>
  <si>
    <t>/33.4672669,/71.0645331</t>
  </si>
  <si>
    <t>WILLIANS REBOLLEDO 1707</t>
  </si>
  <si>
    <t>/33.402020,/71.131942</t>
  </si>
  <si>
    <t>AV DEL VILLAR 1800</t>
  </si>
  <si>
    <t>/33.854684,/70.635497</t>
  </si>
  <si>
    <t>CO A CHADA S/N</t>
  </si>
  <si>
    <t>/33.871565,/70.688279</t>
  </si>
  <si>
    <t>EL LINGUE 7956</t>
  </si>
  <si>
    <t>/33.707484,/70.555202</t>
  </si>
  <si>
    <t>EL CHALACO 66A</t>
  </si>
  <si>
    <t>/33.719163,/70.549963</t>
  </si>
  <si>
    <t>CULITRIN PARCELA 7</t>
  </si>
  <si>
    <t>/33.871604,/70.184632</t>
  </si>
  <si>
    <t>CULITRIN PARCELA 7 LOTE 3</t>
  </si>
  <si>
    <t>/33.857095,/70.129638</t>
  </si>
  <si>
    <t>CULITRIN 70</t>
  </si>
  <si>
    <t>/33.522285,/70.411420</t>
  </si>
  <si>
    <t>/33.715539,/70.569690</t>
  </si>
  <si>
    <t>VILLONNIO CULITRIN LOTE 8</t>
  </si>
  <si>
    <t>/33.862969,/70.720877</t>
  </si>
  <si>
    <t>EL PRINCIPAL 66</t>
  </si>
  <si>
    <t>/33.719020,/70.550708</t>
  </si>
  <si>
    <t>JUAN MOCHI 0104</t>
  </si>
  <si>
    <t>/33.656534,/70.916959</t>
  </si>
  <si>
    <t>LOMAS DEL AGUILAR P2 LOTE 4</t>
  </si>
  <si>
    <t>/33.855309,/70.780382</t>
  </si>
  <si>
    <t>LAS PALMERAS 683</t>
  </si>
  <si>
    <t>/33.810485,/70.743546</t>
  </si>
  <si>
    <t>EL MAGNOLIA 591</t>
  </si>
  <si>
    <t>/33.811729,/70.736290</t>
  </si>
  <si>
    <t>LA PORTADA 586</t>
  </si>
  <si>
    <t>/33.811539,/70.736275</t>
  </si>
  <si>
    <t>LA RINCONADA 139</t>
  </si>
  <si>
    <t>/33.714899,/70.568198</t>
  </si>
  <si>
    <t>LA ESCUELA 79A</t>
  </si>
  <si>
    <t>/33.726627,/70.540553</t>
  </si>
  <si>
    <t>LA ALAMEDA 129</t>
  </si>
  <si>
    <t>/33.719600,/70.557096</t>
  </si>
  <si>
    <t>PARCELA 24 CETADA</t>
  </si>
  <si>
    <t>/33.898792,/70.653360</t>
  </si>
  <si>
    <t>GACITUA 762</t>
  </si>
  <si>
    <t>/33.731599,/70.907740</t>
  </si>
  <si>
    <t>CAMPO LINDO 1807</t>
  </si>
  <si>
    <t>/33.4056259,/71.1282946</t>
  </si>
  <si>
    <t>ANA ESPINOZA 206</t>
  </si>
  <si>
    <t>/33.4017136,/71.1320517</t>
  </si>
  <si>
    <t>CULITRIN PARCELA N°11</t>
  </si>
  <si>
    <t>/33.874375,/70.684972</t>
  </si>
  <si>
    <t>LA RAMONA S/31</t>
  </si>
  <si>
    <t>/33.902177,/70.653913</t>
  </si>
  <si>
    <t>DARIO OVALLE 020</t>
  </si>
  <si>
    <t>/33.113811,/70.789606</t>
  </si>
  <si>
    <t>SITIO 10 CULITRIN</t>
  </si>
  <si>
    <t>/33.874749,/70.685127</t>
  </si>
  <si>
    <t>CULITRIN SITIO4</t>
  </si>
  <si>
    <t>/33.874796,/70.684941</t>
  </si>
  <si>
    <t>PATRICIO BOCERRA 295</t>
  </si>
  <si>
    <t>/33.738535,/70.856173</t>
  </si>
  <si>
    <t>SAN BERNHBE 1902</t>
  </si>
  <si>
    <t>/33.572637,/70.805337</t>
  </si>
  <si>
    <t>CHADA S/N LOTE A1</t>
  </si>
  <si>
    <t>/33.872121,/70.714699</t>
  </si>
  <si>
    <t>ESTELA PEREZ NAVARRO 905</t>
  </si>
  <si>
    <t>/33.823702,/70.732599</t>
  </si>
  <si>
    <t>VILLOMIO SAN PASCAL 12</t>
  </si>
  <si>
    <t>/33.874088,/70.687074</t>
  </si>
  <si>
    <t>AVENIDA EL VILLAR PC3</t>
  </si>
  <si>
    <t>/33.817982,70.732102</t>
  </si>
  <si>
    <t>SIN CALLE S/N PARC CULITRIN</t>
  </si>
  <si>
    <t>/33.874513,/70.674400</t>
  </si>
  <si>
    <t>/33.715265,/70.570290</t>
  </si>
  <si>
    <t>/33.872081,/70.688847</t>
  </si>
  <si>
    <t>/33.262268,/70.889433</t>
  </si>
  <si>
    <t>PROVIDELL S/N</t>
  </si>
  <si>
    <t>/33.288906,/70.870054</t>
  </si>
  <si>
    <t>CILLORIO SAN PASCUAL 28</t>
  </si>
  <si>
    <t>/33.874809,/70.687313</t>
  </si>
  <si>
    <t>EL VILLORIO SITIO 14</t>
  </si>
  <si>
    <t>/33.875000,/70.686434</t>
  </si>
  <si>
    <t>AGUILA SUR P/32</t>
  </si>
  <si>
    <t>/33.901707,/70.749816</t>
  </si>
  <si>
    <t>HACIENDA CURACAVI P10</t>
  </si>
  <si>
    <t>/33.3782868,/71.1684714</t>
  </si>
  <si>
    <t>SANTA TERESA S/29B</t>
  </si>
  <si>
    <t>/33.835660,/70.612655</t>
  </si>
  <si>
    <t>VILOMETRO 45 1/2 CALETERA</t>
  </si>
  <si>
    <t>/33.4118358,/71.1613467</t>
  </si>
  <si>
    <t>/33.4163973,/71.1517518</t>
  </si>
  <si>
    <t>ANTEQUILES 95</t>
  </si>
  <si>
    <t>/33.4065828,/71.1438477</t>
  </si>
  <si>
    <t>HUITACALAN 2B</t>
  </si>
  <si>
    <t>/33.861386,/70.854206</t>
  </si>
  <si>
    <t>EL TRANSITO S/36</t>
  </si>
  <si>
    <t>/33.780361,/70.659715</t>
  </si>
  <si>
    <t>DIEGO PORTALES</t>
  </si>
  <si>
    <t>/33.866844,/70.747155</t>
  </si>
  <si>
    <t>PERALICIO FUNDO S/N</t>
  </si>
  <si>
    <t>/33.841831,/70.844583</t>
  </si>
  <si>
    <t>PADRE HURTADO 44</t>
  </si>
  <si>
    <t>/33.785227,/70.659034</t>
  </si>
  <si>
    <t>DIOGENES CARVAJAL 759</t>
  </si>
  <si>
    <t>/33.811923,/70.732718</t>
  </si>
  <si>
    <t>PASAJE SAMUEL LAZO 165</t>
  </si>
  <si>
    <t>/33.805228,/70.730296</t>
  </si>
  <si>
    <t>DIOFENES CARVAJAL 696</t>
  </si>
  <si>
    <t>/33.811322,/70.732526</t>
  </si>
  <si>
    <t>PARCELA SAN FRANCISCO P/23</t>
  </si>
  <si>
    <t>/33.892225,/70.869734</t>
  </si>
  <si>
    <t>MANUEL RODRIGUEZ 1122</t>
  </si>
  <si>
    <t>/33.393587,/71.125348</t>
  </si>
  <si>
    <t>SITIO 6 CULITRIN</t>
  </si>
  <si>
    <t>/33.874445,/70.676454</t>
  </si>
  <si>
    <t>DEL VILLAR 260</t>
  </si>
  <si>
    <t>/33855254,/70.731502</t>
  </si>
  <si>
    <t>PASAJE CUATRO 983</t>
  </si>
  <si>
    <t>/33.813928,/70.735737</t>
  </si>
  <si>
    <t>PEDRO HERRERA 4692</t>
  </si>
  <si>
    <t>/33.741690,/70.868984</t>
  </si>
  <si>
    <t>AV BAQUEDANO 4440</t>
  </si>
  <si>
    <t>/33.840370,/70.746739</t>
  </si>
  <si>
    <t>LA PUNTILLA 686</t>
  </si>
  <si>
    <t>/33.670097,/70.992357</t>
  </si>
  <si>
    <t>LOS CONQUISTADORES 0245</t>
  </si>
  <si>
    <t>/33.638457,/70.354653</t>
  </si>
  <si>
    <t>CAMINO EL VOLCAN 44288</t>
  </si>
  <si>
    <t>/33.785628,/70.230887</t>
  </si>
  <si>
    <t>VALDES 269</t>
  </si>
  <si>
    <t>/33.687679,/71.210396</t>
  </si>
  <si>
    <t>MIGUEL LETELIER PARC 25</t>
  </si>
  <si>
    <t>/33.644871,/70.968541</t>
  </si>
  <si>
    <t>NUEVO HORIZONTE 1</t>
  </si>
  <si>
    <t>/33.826851,/70.728209</t>
  </si>
  <si>
    <t>CALLE LA ROMANA SITIO 31</t>
  </si>
  <si>
    <t>/33.901237,/70.657956</t>
  </si>
  <si>
    <t>/33.874143,/70.676314</t>
  </si>
  <si>
    <t>OSVALDO VALDERRAMA2900</t>
  </si>
  <si>
    <t>/33.725665,/70.769081</t>
  </si>
  <si>
    <t>CAMINO CULITRIN LOTE 713</t>
  </si>
  <si>
    <t>/33.874706,/70.685470</t>
  </si>
  <si>
    <t>SAN LUIS P21</t>
  </si>
  <si>
    <t>/33.6366864,/70.8128800</t>
  </si>
  <si>
    <t>ISLA NUEVA 349</t>
  </si>
  <si>
    <t>/33.806844,/70.736817</t>
  </si>
  <si>
    <t>LOMAS DE AGUILA 7</t>
  </si>
  <si>
    <t>/33.861084,/70.786047</t>
  </si>
  <si>
    <t>ARAUCARIA 159</t>
  </si>
  <si>
    <t>/33.632723,/70.757673</t>
  </si>
  <si>
    <t>CHINIQUE LAS ROJAS 12</t>
  </si>
  <si>
    <t>/33.666667,/71.106410</t>
  </si>
  <si>
    <t>LA ROMANA SITIO 31</t>
  </si>
  <si>
    <t>/33.901165,/70.657574</t>
  </si>
  <si>
    <t>CAMINO PADRE HURTADO SITIO 18</t>
  </si>
  <si>
    <t>/33.900567,/70.651448</t>
  </si>
  <si>
    <t>LA ROMANA 31</t>
  </si>
  <si>
    <t>/33.901198,/70.657752</t>
  </si>
  <si>
    <t>UNO ORIENTE 068</t>
  </si>
  <si>
    <t>/33.6103630,/70.8178250</t>
  </si>
  <si>
    <t>EL MANZANITO P/214</t>
  </si>
  <si>
    <t>/33.871224,/7.849653</t>
  </si>
  <si>
    <t>/33.4718250,/71.11013000</t>
  </si>
  <si>
    <t>BOLLEMAR 9</t>
  </si>
  <si>
    <t>/33.6768265,/71.1924647</t>
  </si>
  <si>
    <t>/33.5760379,/70.9692865</t>
  </si>
  <si>
    <t>LOS ALELIES 018</t>
  </si>
  <si>
    <t>/33.087227,/70.920607</t>
  </si>
  <si>
    <t>LOS LITRES 1</t>
  </si>
  <si>
    <t>/33.093416,/70.908915</t>
  </si>
  <si>
    <t>BOLIVIA 342</t>
  </si>
  <si>
    <t>/33.820372,/70.739283</t>
  </si>
  <si>
    <t>PASAJE DOS 15</t>
  </si>
  <si>
    <t>/33.722704,/70.738746</t>
  </si>
  <si>
    <t>LONQUEN SUR 6100</t>
  </si>
  <si>
    <t>/33.664146,/70.839312</t>
  </si>
  <si>
    <t>GENERAL BAQUEDANO 4440</t>
  </si>
  <si>
    <t>/33.985412,/70.6311549</t>
  </si>
  <si>
    <t>CARLOS AVILES 86</t>
  </si>
  <si>
    <t>/33.679896,/71.228875</t>
  </si>
  <si>
    <t>FUNDO LA BRAMADORA</t>
  </si>
  <si>
    <t>/33.016291,/70.992625</t>
  </si>
  <si>
    <t>AVENIDA DEL VILLAR S/N</t>
  </si>
  <si>
    <t>/33.817982,/70.731984</t>
  </si>
  <si>
    <t>PAULA JARAQUEMADA SITIO 1 LOTE 4</t>
  </si>
  <si>
    <t>/33.784645,/70.965238</t>
  </si>
  <si>
    <t>/33.719926,/70.557103</t>
  </si>
  <si>
    <t>VERGARA 2168</t>
  </si>
  <si>
    <t>/33.3931080,/71.1261480</t>
  </si>
  <si>
    <t>LO CASTRO 3B</t>
  </si>
  <si>
    <t>/33.292503,/70.785126</t>
  </si>
  <si>
    <t>AV LARRAIN 3012</t>
  </si>
  <si>
    <t>/33.598317,/70.883901</t>
  </si>
  <si>
    <t>MIGUEL LETELIER 11361</t>
  </si>
  <si>
    <t>/33.872271,/70.877129</t>
  </si>
  <si>
    <t>LO CASTRO P/7</t>
  </si>
  <si>
    <t>/33.292595,/70.785352</t>
  </si>
  <si>
    <t>RUIZ TAGLE 16A</t>
  </si>
  <si>
    <t>/33.634011,/70.754660</t>
  </si>
  <si>
    <t>WILLIAMS REBOLLEDO</t>
  </si>
  <si>
    <t>CHIÑIQUE EL CRISTO</t>
  </si>
  <si>
    <t>/33.664309,/71.103079</t>
  </si>
  <si>
    <t>VARSOVIA 2065</t>
  </si>
  <si>
    <t>/33.664057,/71.103200</t>
  </si>
  <si>
    <t>LA VICTORIA SITIO 1</t>
  </si>
  <si>
    <t>/33.840700,/70.643288</t>
  </si>
  <si>
    <t>VILLA PALERMO SITIO 9</t>
  </si>
  <si>
    <t>/33.628812,/70.802398</t>
  </si>
  <si>
    <t>PARCELA 9 CULITRIN</t>
  </si>
  <si>
    <t>/33.874915,/70.675537</t>
  </si>
  <si>
    <t>MANUEL RODRIGUEZ 98</t>
  </si>
  <si>
    <t>/33.632584,/70.762604</t>
  </si>
  <si>
    <t>AVELLANEDA 50</t>
  </si>
  <si>
    <t>/33.803826,/70.734260</t>
  </si>
  <si>
    <t>/33.791796,/71.388703</t>
  </si>
  <si>
    <t>VILLA ALEGRE S/N</t>
  </si>
  <si>
    <t>/33.640015,/71.238762</t>
  </si>
  <si>
    <t>LOS PINOS 60 HOSPITAL</t>
  </si>
  <si>
    <t>/33.856037,/70.725573</t>
  </si>
  <si>
    <t>CAMINO CHADA 183</t>
  </si>
  <si>
    <t>/33.875970,/70.708642</t>
  </si>
  <si>
    <t>AVDE LAS TORRES 887</t>
  </si>
  <si>
    <t>/33691944,/71.226833</t>
  </si>
  <si>
    <t>PARC N°60 LOS PINOS</t>
  </si>
  <si>
    <t>/33.857668,/70.725756</t>
  </si>
  <si>
    <t>MARIO MUÑOZ PEÑALOZA 788</t>
  </si>
  <si>
    <t>/33.654129,/70.741265</t>
  </si>
  <si>
    <t>PA CERRO CHALLAY 698</t>
  </si>
  <si>
    <t>/33.956456,/70.854126</t>
  </si>
  <si>
    <t>LOS PAITOS 298</t>
  </si>
  <si>
    <t>/33.727790,/70.773235</t>
  </si>
  <si>
    <t>FUNDO LA BRAMADOR 12</t>
  </si>
  <si>
    <t>/33.016291,/70.992777</t>
  </si>
  <si>
    <t>AVDA MONTE ARA 2892</t>
  </si>
  <si>
    <t>/33.297053,/70.759671</t>
  </si>
  <si>
    <t>LA BANDERA S/N LOTE17</t>
  </si>
  <si>
    <t>/33.279232,/70.890892</t>
  </si>
  <si>
    <t>COLONIA KENNEDY 98</t>
  </si>
  <si>
    <t>/33.741023,/70.985624</t>
  </si>
  <si>
    <t>LA RAMONA 31 CHADA</t>
  </si>
  <si>
    <t>/33.900885,/70657666</t>
  </si>
  <si>
    <t>LOS AROMAS S/N</t>
  </si>
  <si>
    <t>/33.759952,/71.325334</t>
  </si>
  <si>
    <t>SITIO 6 S/N</t>
  </si>
  <si>
    <t>/33.874275,/70.675997</t>
  </si>
  <si>
    <t>SANTA ROSA 3040</t>
  </si>
  <si>
    <t>/33.260784,/70.788045</t>
  </si>
  <si>
    <t>LA ROMANA 34</t>
  </si>
  <si>
    <t>/33.899458,/70.653583</t>
  </si>
  <si>
    <t>CAMINO ANTIGUO</t>
  </si>
  <si>
    <t>/33.291832,/70.725998</t>
  </si>
  <si>
    <t>MARTICONERA S/N</t>
  </si>
  <si>
    <t>/33.266087,/70.883663</t>
  </si>
  <si>
    <t>SAN VICENTE SITIO 72</t>
  </si>
  <si>
    <t>/33.655690,/70.627925</t>
  </si>
  <si>
    <t>LA TORRE 1055</t>
  </si>
  <si>
    <t>/33.227957,/70.804275</t>
  </si>
  <si>
    <t>P148 1B PAINE</t>
  </si>
  <si>
    <t>/33.882609,/70.731896</t>
  </si>
  <si>
    <t>SAN JUAN DE DIOS 219</t>
  </si>
  <si>
    <t>/33.802872,/70.716743</t>
  </si>
  <si>
    <t>CAMPO LINDO S/N</t>
  </si>
  <si>
    <t>/33.624670,/71.267305</t>
  </si>
  <si>
    <t>ALCALDE 79</t>
  </si>
  <si>
    <t>/33.681704,/71.207640</t>
  </si>
  <si>
    <t>PIEDRA SANTA 12</t>
  </si>
  <si>
    <t>/33.884105,/70.709250</t>
  </si>
  <si>
    <t>CAMINO A CHADAP/11</t>
  </si>
  <si>
    <t>/33.874094,/70.684895</t>
  </si>
  <si>
    <t>LAS CALAS 160</t>
  </si>
  <si>
    <t>/33.619716,/70.813067</t>
  </si>
  <si>
    <t>AV BERNARDO OHIGGINS 1000</t>
  </si>
  <si>
    <t>/33.852174,/70.963541</t>
  </si>
  <si>
    <t>LOS QUILLAYES 7</t>
  </si>
  <si>
    <t>/33.915326,/70.753366</t>
  </si>
  <si>
    <t>CAMINO LOS QUILLAYES 7</t>
  </si>
  <si>
    <t>PEREZ CANTO 602</t>
  </si>
  <si>
    <t>/33.654128,/70.8412659</t>
  </si>
  <si>
    <t>EL VILLAR 260</t>
  </si>
  <si>
    <t>/33.807934,/70.731232</t>
  </si>
  <si>
    <t>AGRUPACION 54</t>
  </si>
  <si>
    <t>/33.610604,/70.856718</t>
  </si>
  <si>
    <t>UNION NORTE 130</t>
  </si>
  <si>
    <t>/33.852146,/70.963741</t>
  </si>
  <si>
    <t>/33.7576039,/70.8692865</t>
  </si>
  <si>
    <t>LAS BODEGAS 25</t>
  </si>
  <si>
    <t>/33.865008,/70.744771</t>
  </si>
  <si>
    <t>CRISANTINOS 1069</t>
  </si>
  <si>
    <t>/33.674007,/71.217478</t>
  </si>
  <si>
    <t>AV LOS HEROES 789</t>
  </si>
  <si>
    <t>/33.845213,/70.965412</t>
  </si>
  <si>
    <t>DIOGENES CARVAJAL 714</t>
  </si>
  <si>
    <t>/33.811409,/70.732996</t>
  </si>
  <si>
    <t>/33.645356,/71.276834</t>
  </si>
  <si>
    <t>PASAJE LOS PALTOS 26</t>
  </si>
  <si>
    <t>/33.852104,/70.965231</t>
  </si>
  <si>
    <t>SAN VICENTE 32A</t>
  </si>
  <si>
    <t>/33.854127,/70.932160</t>
  </si>
  <si>
    <t>/33.630761,/71.251973</t>
  </si>
  <si>
    <t>EDUARDO PACHECO 900</t>
  </si>
  <si>
    <t>/33.741523,/70.654123</t>
  </si>
  <si>
    <t>HUERTO SITIO 38</t>
  </si>
  <si>
    <t>/33.854127,/70.852364</t>
  </si>
  <si>
    <t>TENIENTE BERNARDO 421</t>
  </si>
  <si>
    <t>/33.4080648,/71.1337282</t>
  </si>
  <si>
    <t>RUTA 5 SUR</t>
  </si>
  <si>
    <t>/33.835725,/70.748114</t>
  </si>
  <si>
    <t>AV KENNEDY 958</t>
  </si>
  <si>
    <t>/33.739789,/70.744129</t>
  </si>
  <si>
    <t>PARCELA 8 LAS TURBINAS</t>
  </si>
  <si>
    <t>/33.837592,/70.642537</t>
  </si>
  <si>
    <t>PADRE HURTADO PARC8</t>
  </si>
  <si>
    <t>/33.886939,/70.657342</t>
  </si>
  <si>
    <t>COLONIA KENNEDY LOTE D</t>
  </si>
  <si>
    <t>/33.852014,/70.963102</t>
  </si>
  <si>
    <t>LA ROMANA SITIO 26</t>
  </si>
  <si>
    <t>/33.901734,/70.657179</t>
  </si>
  <si>
    <t>/33.874776,/70.684736</t>
  </si>
  <si>
    <t>LOS CLAVELES 166</t>
  </si>
  <si>
    <t>/33.619963,/70.813610</t>
  </si>
  <si>
    <t>LAGO RUPANCO 388</t>
  </si>
  <si>
    <t>/33.684110,/71.227888</t>
  </si>
  <si>
    <t>AMAZONITA 766</t>
  </si>
  <si>
    <t>/33.656199,/71.281374</t>
  </si>
  <si>
    <t>JULIO MONTT 934</t>
  </si>
  <si>
    <t>/33.965401,/70.841024</t>
  </si>
  <si>
    <t>CARDONAL ALTO 3</t>
  </si>
  <si>
    <t>/33.852017,/70.968451</t>
  </si>
  <si>
    <t>MANUEL ACOSTA 738</t>
  </si>
  <si>
    <t>/33.749419,/70.749441</t>
  </si>
  <si>
    <t>AV ROMERO S/N COLONIA KENNDY</t>
  </si>
  <si>
    <t>/33.878642,/70.695276</t>
  </si>
  <si>
    <t>SITIO G CULITRIN</t>
  </si>
  <si>
    <t>/33.874132,/70.676346</t>
  </si>
  <si>
    <t>LOS HEROES 1, SITIO 6</t>
  </si>
  <si>
    <t>/33.811648,/70.734083</t>
  </si>
  <si>
    <t>/33.731448,/70.907585</t>
  </si>
  <si>
    <t>PARCELA N° 8 CULITRIN</t>
  </si>
  <si>
    <t>/33.872977,/70.675880</t>
  </si>
  <si>
    <t>PARCELA 8 CULITRIN</t>
  </si>
  <si>
    <t>/33.872733,/70.676016</t>
  </si>
  <si>
    <t>SANTA GEMITA 5</t>
  </si>
  <si>
    <t>/33.575184,/71.185281</t>
  </si>
  <si>
    <t>LOS MUERMOS 173</t>
  </si>
  <si>
    <t>/33.852103,/71.963410</t>
  </si>
  <si>
    <t>/33.451274,/70.620154</t>
  </si>
  <si>
    <t>EL RENACER 207</t>
  </si>
  <si>
    <t>/33.880351,/70.742445</t>
  </si>
  <si>
    <t>AV SANTELICES 154</t>
  </si>
  <si>
    <t>/33.756152,/70.898040</t>
  </si>
  <si>
    <t>MARIO SASSARINI 333</t>
  </si>
  <si>
    <t>/33.742515,/70.867536</t>
  </si>
  <si>
    <t>PARCELA 95 C</t>
  </si>
  <si>
    <t>/33.826681,/70.744744</t>
  </si>
  <si>
    <t>MARIA CARO 171</t>
  </si>
  <si>
    <t>/33.605255,/70.899873</t>
  </si>
  <si>
    <t>PAULA JARAQUEMADA SITIO 1</t>
  </si>
  <si>
    <t>/33.844120,/70.985210</t>
  </si>
  <si>
    <t>RESERVA CORA LOTE 2</t>
  </si>
  <si>
    <t>/33852321,/70.741236</t>
  </si>
  <si>
    <t>LOS ALAMOS 91</t>
  </si>
  <si>
    <t>/33.861123,/70.748461</t>
  </si>
  <si>
    <t>CARLOS CORTES 60</t>
  </si>
  <si>
    <t>/33.744683,/70.680453</t>
  </si>
  <si>
    <t>PJE MARIA BAEZA 36</t>
  </si>
  <si>
    <t>/33.722529,/70.736217</t>
  </si>
  <si>
    <t>/33.860730,/70.748677</t>
  </si>
  <si>
    <t>JARA 367</t>
  </si>
  <si>
    <t>/33.4160676,/71.1567011</t>
  </si>
  <si>
    <t>ATACAMA 60B</t>
  </si>
  <si>
    <t>/33.852104,/71.965410</t>
  </si>
  <si>
    <t>AMADOR BRICEÑO 140</t>
  </si>
  <si>
    <t>JOSE ARIAS 546</t>
  </si>
  <si>
    <t>/33.677576,/71.205288</t>
  </si>
  <si>
    <t>RANGUEN 894</t>
  </si>
  <si>
    <t>/33.811630,/70.734693</t>
  </si>
  <si>
    <t>SELVA OSCURA 148</t>
  </si>
  <si>
    <t>/33.841034,/71.874569</t>
  </si>
  <si>
    <t>JOSE AVIAS 509</t>
  </si>
  <si>
    <t>/33.677592,/71.205699</t>
  </si>
  <si>
    <t>LA ROMANA 22731 CHADA</t>
  </si>
  <si>
    <t>/33.901187,/70.658194</t>
  </si>
  <si>
    <t>CALLE LA ROMANA 29</t>
  </si>
  <si>
    <t>/33.900878,/70.659692</t>
  </si>
  <si>
    <t>UNION NORTE PARC 130</t>
  </si>
  <si>
    <t>/33.741023,/70.857412</t>
  </si>
  <si>
    <t>JOSE MIGUEL CARRERA 667</t>
  </si>
  <si>
    <t>/33.852036,/70.987456</t>
  </si>
  <si>
    <t>LUMBRERA 23</t>
  </si>
  <si>
    <t>/33.652065,/71.287628</t>
  </si>
  <si>
    <t>LOMAS DEL AGUILA 45</t>
  </si>
  <si>
    <t>/33.741026,/70.8652014</t>
  </si>
  <si>
    <t>CHADA</t>
  </si>
  <si>
    <t>/33.898143,/70.660904</t>
  </si>
  <si>
    <t>SANTA EMILIA 360</t>
  </si>
  <si>
    <t>/33.465809,/71.102112</t>
  </si>
  <si>
    <t>LOS RULOS S/N</t>
  </si>
  <si>
    <t>/33.4626972,/71.0977958</t>
  </si>
  <si>
    <t>CERRO CHALLAY 686</t>
  </si>
  <si>
    <t>/33.820404,/70.735044</t>
  </si>
  <si>
    <t>UNION DE CODEGUA N°9</t>
  </si>
  <si>
    <t>/33.822523,/71.406181</t>
  </si>
  <si>
    <t>AVENIDA CONDOMINIO MIRAFLORES P/16</t>
  </si>
  <si>
    <t>/33.963254,/70.987451</t>
  </si>
  <si>
    <t>NORUEGA 1838</t>
  </si>
  <si>
    <t>/33.6741502,/71.1805685</t>
  </si>
  <si>
    <t>LA AURORA S/N</t>
  </si>
  <si>
    <t>/33.4142555,/71.0124067</t>
  </si>
  <si>
    <t>/33.411255,/71.160557</t>
  </si>
  <si>
    <t>VILLA ALEGRE 51</t>
  </si>
  <si>
    <t>/33.627823,/71.261906</t>
  </si>
  <si>
    <t>LAS ENCINAS 17</t>
  </si>
  <si>
    <t>/33.267648,/70.717832</t>
  </si>
  <si>
    <t>CAMINO INST. LA CANCHA S/N</t>
  </si>
  <si>
    <t>/33.243699,/70.688817</t>
  </si>
  <si>
    <t>LAS LILAS SITIO 23</t>
  </si>
  <si>
    <t>/33.894629,/70.660932</t>
  </si>
  <si>
    <t>LAS POSESIONES 28</t>
  </si>
  <si>
    <t>/33.901883,/70.663516</t>
  </si>
  <si>
    <t>CULITRIN 4</t>
  </si>
  <si>
    <t>/33.872275,/70.679106</t>
  </si>
  <si>
    <t>ROMAN NUÑEZ 19</t>
  </si>
  <si>
    <t>/33.677700,/71.232505</t>
  </si>
  <si>
    <t>SANTA ZERMA 45</t>
  </si>
  <si>
    <t>/33.835963,/70.641843</t>
  </si>
  <si>
    <t>SANTA TERESA 45</t>
  </si>
  <si>
    <t>/33.836335,/70.642266</t>
  </si>
  <si>
    <t>QUEDE 2287</t>
  </si>
  <si>
    <t>/33.822878,/71.407042</t>
  </si>
  <si>
    <t>BAQUEDANO 1472</t>
  </si>
  <si>
    <t>/33.852145,/70.963741</t>
  </si>
  <si>
    <t>LAS ACACIAS 118/A</t>
  </si>
  <si>
    <t>/33.857128,/70.751137</t>
  </si>
  <si>
    <t>ESTALA PEREZ NAVARRO 967</t>
  </si>
  <si>
    <t>/33.852136,/70.852417</t>
  </si>
  <si>
    <t>BLANCA LEYTON PERALTA 508</t>
  </si>
  <si>
    <t>/33.741026,/70.768524</t>
  </si>
  <si>
    <t>JUAN DE DIOS MARTICORENA</t>
  </si>
  <si>
    <t>/33.741023,/70.987456</t>
  </si>
  <si>
    <t>EL TREBALAR 24</t>
  </si>
  <si>
    <t>/33.635817,/70.755987</t>
  </si>
  <si>
    <t>/33.857920,/70.751085</t>
  </si>
  <si>
    <t>PJE MIRASOL 1362</t>
  </si>
  <si>
    <t>/33.817718,/70.739189</t>
  </si>
  <si>
    <t>AV BERNARDO O´HIGGINS 926</t>
  </si>
  <si>
    <t>/338129427,/70.736884</t>
  </si>
  <si>
    <t>PASAJE UNO 289</t>
  </si>
  <si>
    <t>/33.803446,/70.716286</t>
  </si>
  <si>
    <t>PASAJE VICTOR HUGO GATICA 1715</t>
  </si>
  <si>
    <t>/33.709993,/70.739482</t>
  </si>
  <si>
    <t>VALLE DEL HUASO 546</t>
  </si>
  <si>
    <t>/33.281772,/70.883340</t>
  </si>
  <si>
    <t>LOS LIBERTADORES 889</t>
  </si>
  <si>
    <t>/33.683627,/71.005836</t>
  </si>
  <si>
    <t>LOS ESPINOS P/67</t>
  </si>
  <si>
    <t>/33.280643,/70.798385</t>
  </si>
  <si>
    <t>AV 18 DE SEPTIEMBRE 2281</t>
  </si>
  <si>
    <t>/33.804257,/70.710841</t>
  </si>
  <si>
    <t>LAS ARAUCARIAS 1238</t>
  </si>
  <si>
    <t>/33.680813,/71.285189</t>
  </si>
  <si>
    <t>AV 18 DE SEPTIEMBRE</t>
  </si>
  <si>
    <t>/33.804692,/70.711264</t>
  </si>
  <si>
    <t>CAMINO INTERIOR S/N 138</t>
  </si>
  <si>
    <t>/33.868804,/70.850818</t>
  </si>
  <si>
    <t>VALDES 311</t>
  </si>
  <si>
    <t>/33.687611,/71.211365</t>
  </si>
  <si>
    <t>AV ESPAÑA 2846</t>
  </si>
  <si>
    <t>/33.236209,/70.803856</t>
  </si>
  <si>
    <t>EDUARDO FREI MONTALVA 143</t>
  </si>
  <si>
    <t>/33.680472,/70.955093</t>
  </si>
  <si>
    <t>ALTO RUNAY /SN</t>
  </si>
  <si>
    <t>/33.629570,/71.232269</t>
  </si>
  <si>
    <t>LOS NUEVO HORIZONTE 75</t>
  </si>
  <si>
    <t>/33.751548,/70.848985</t>
  </si>
  <si>
    <t>NUEVO HORIENTE 12A</t>
  </si>
  <si>
    <t>/33.825316,/70.730038</t>
  </si>
  <si>
    <t>MANUEL MONCADA 2862</t>
  </si>
  <si>
    <t>/33.729533,/70.770773</t>
  </si>
  <si>
    <t>NUEVO HORIZONTE 85</t>
  </si>
  <si>
    <t>/33.825174,/70.729796</t>
  </si>
  <si>
    <t>LA MANANA 1327</t>
  </si>
  <si>
    <t>/33.823131,/70.775920</t>
  </si>
  <si>
    <t>EL PORTON 3410</t>
  </si>
  <si>
    <t>/33.590533,/70.808329</t>
  </si>
  <si>
    <t>TERCERA TRANSVERSAL 290</t>
  </si>
  <si>
    <t>/33.566951,/70.788930</t>
  </si>
  <si>
    <t>CALLE DOS 54</t>
  </si>
  <si>
    <t>/33.803854,/70.715663</t>
  </si>
  <si>
    <t>DIVISADERO PARCELA 78</t>
  </si>
  <si>
    <t>/33.871632,/70.705285</t>
  </si>
  <si>
    <t>PAJARITOS 758</t>
  </si>
  <si>
    <t>/33.811214,/70.732714</t>
  </si>
  <si>
    <t>CALLE DIVISADERO 78</t>
  </si>
  <si>
    <t>/33872067,/70.705621</t>
  </si>
  <si>
    <t>LAS ACACIAS 146</t>
  </si>
  <si>
    <t>/33.759391,/70.732717</t>
  </si>
  <si>
    <t>PASAJE EL PEUMO 464</t>
  </si>
  <si>
    <t>/33.803382,/70.734128</t>
  </si>
  <si>
    <t>NUESTRA ILUSION 0128</t>
  </si>
  <si>
    <t>/33.712648,/70.742405</t>
  </si>
  <si>
    <t>/33.631801,/71.252032</t>
  </si>
  <si>
    <t>DIOGENES CARVAJAL 699</t>
  </si>
  <si>
    <t>/33.843385,/70.732449</t>
  </si>
  <si>
    <t>DIOGENES CARVAJAL 715</t>
  </si>
  <si>
    <t>/33.811673,/70.732494</t>
  </si>
  <si>
    <t>EL SAUCE 1A</t>
  </si>
  <si>
    <t>/33.874258,/70.719034</t>
  </si>
  <si>
    <t>PARCELA ELENA 629</t>
  </si>
  <si>
    <t>/33.722352,/70.772272</t>
  </si>
  <si>
    <t>PJE LAS TORTOLAS 051</t>
  </si>
  <si>
    <t>/33.819855,/70.733416</t>
  </si>
  <si>
    <t>LUIS CRUZ MARTINEZ 600</t>
  </si>
  <si>
    <t>/33.812074,/70.736225</t>
  </si>
  <si>
    <t>/33.857149,/70.741301</t>
  </si>
  <si>
    <t>PASAJE CALLEJON EUROPA S/N</t>
  </si>
  <si>
    <t>/33.852104,/70.987456</t>
  </si>
  <si>
    <t>EL TABO 1335</t>
  </si>
  <si>
    <t>/33.817357,/70.738802</t>
  </si>
  <si>
    <t>LOTE A 25 COLONIA KENNEDDY</t>
  </si>
  <si>
    <t>/33.849844,/70.753734</t>
  </si>
  <si>
    <t>PJE EL CASTAÑO 1</t>
  </si>
  <si>
    <t>/33.867261,/70.748386</t>
  </si>
  <si>
    <t>LOS BARRANCONES 58</t>
  </si>
  <si>
    <t>/33.290029,/70.871490</t>
  </si>
  <si>
    <t>ISABEL RIQUELME S/N</t>
  </si>
  <si>
    <t>/33.271303,/70.891756</t>
  </si>
  <si>
    <t>EL COMONO 15</t>
  </si>
  <si>
    <t>/33.865707,/70.748964</t>
  </si>
  <si>
    <t>TAPU 820</t>
  </si>
  <si>
    <t>/33.683658,/71.000849</t>
  </si>
  <si>
    <t>LOS AROMOS 99</t>
  </si>
  <si>
    <t>/33.864782,/70.751093</t>
  </si>
  <si>
    <t>CARDONAL 8 LOTE B</t>
  </si>
  <si>
    <t>/33.847988,/70.640254</t>
  </si>
  <si>
    <t>/33.594382,/71.069786</t>
  </si>
  <si>
    <t>SANTA FILOMENA 3831</t>
  </si>
  <si>
    <t>/33.586768,/71.234371</t>
  </si>
  <si>
    <t>CALLE UNO NORTE PARCELA 32</t>
  </si>
  <si>
    <t>/33.849710,/70.738280</t>
  </si>
  <si>
    <t>CORREA 878</t>
  </si>
  <si>
    <t>/33.6900326,/71.2218743</t>
  </si>
  <si>
    <t>/33.849768,/70.737910</t>
  </si>
  <si>
    <t>EL TORIL 0181</t>
  </si>
  <si>
    <t>/33.6901920,/71.2043779</t>
  </si>
  <si>
    <t>/33.760106,/70.733813</t>
  </si>
  <si>
    <t>LA PORTADA PARC 118</t>
  </si>
  <si>
    <t>/33.856048,/70.603135</t>
  </si>
  <si>
    <t>UNO NORTE PARCELA 32</t>
  </si>
  <si>
    <t>/33.849642,/70.738298</t>
  </si>
  <si>
    <t>LOMAS DEL AGUILA 7</t>
  </si>
  <si>
    <t>/33.861218,/70.786118</t>
  </si>
  <si>
    <t>SANT AINES MIRAFLORES 87</t>
  </si>
  <si>
    <t>/33.266152,/70.714652</t>
  </si>
  <si>
    <t>LONQUEN SUR PARCELA 22</t>
  </si>
  <si>
    <t>/33.640701,/70.817360</t>
  </si>
  <si>
    <t>MANUEL GONZALEZ BRITO 25</t>
  </si>
  <si>
    <t>/33.599403,/70.782150</t>
  </si>
  <si>
    <t>LONQUEN SUR P/22</t>
  </si>
  <si>
    <t>/33.6402577,/70.8175141</t>
  </si>
  <si>
    <t>EL ESFUERZO 1</t>
  </si>
  <si>
    <t>/33.753102,/71.192790</t>
  </si>
  <si>
    <t>EL NARANJO 11</t>
  </si>
  <si>
    <t>/33.3808344,/71.1743982</t>
  </si>
  <si>
    <t>LAS ACACIAS 10</t>
  </si>
  <si>
    <t>/33.756019,/71.321893</t>
  </si>
  <si>
    <t>LA PORTADA PARCELA 117</t>
  </si>
  <si>
    <t>/33.984520,/70.963254</t>
  </si>
  <si>
    <t>VIOLETA SILVA 382</t>
  </si>
  <si>
    <t>/33.6559361,/70.923093</t>
  </si>
  <si>
    <t>LAS ACACIAS 90</t>
  </si>
  <si>
    <t>/33.315484,/70.953125</t>
  </si>
  <si>
    <t>CAMINO LAS ACACIAS 90</t>
  </si>
  <si>
    <t>/33.852741,/70.321054</t>
  </si>
  <si>
    <t>EL ARRAYAN 153</t>
  </si>
  <si>
    <t>/33.805279,/70.732624</t>
  </si>
  <si>
    <t>LA AVELLANITA 50</t>
  </si>
  <si>
    <t>/33.803833,/70.734198</t>
  </si>
  <si>
    <t>PEDRO PRADO 21</t>
  </si>
  <si>
    <t>/33.629645,/70.768932</t>
  </si>
  <si>
    <t>SANTA TERESA SITIO 45</t>
  </si>
  <si>
    <t>/33.836393,/70.641141</t>
  </si>
  <si>
    <t>VILUCO 6</t>
  </si>
  <si>
    <t>/33.795822,/70.778045</t>
  </si>
  <si>
    <t>COVARRUBIA 159</t>
  </si>
  <si>
    <t>/33.663018,/70.916259</t>
  </si>
  <si>
    <t>LAS ACACIAS 192</t>
  </si>
  <si>
    <t>/33.878867,/70.735470</t>
  </si>
  <si>
    <t>CULITRIN 8</t>
  </si>
  <si>
    <t>/33.874969,/70.676645</t>
  </si>
  <si>
    <t>CHOCOLAN 10 C</t>
  </si>
  <si>
    <t>/33.7474458,/71.2312256</t>
  </si>
  <si>
    <t>COLONIA KENNEDY PARCELA 32</t>
  </si>
  <si>
    <t>/33.8499806,/70.7381133</t>
  </si>
  <si>
    <t>GRAN AVENIDA 496</t>
  </si>
  <si>
    <t>/33.803282,/70.732963</t>
  </si>
  <si>
    <t>COLONIA KENNEDDY 1 NORTE P32C</t>
  </si>
  <si>
    <t>/33.849659,/70.7376422</t>
  </si>
  <si>
    <t>CULIPRAN SAN MANUEL 257</t>
  </si>
  <si>
    <t>/33.781200,/71.263092</t>
  </si>
  <si>
    <t>LAS MERCEDES S/N</t>
  </si>
  <si>
    <t>/33.4586420,/71.0266197</t>
  </si>
  <si>
    <t>RIO CORBARBALA 797</t>
  </si>
  <si>
    <t>/33.804821,/70.727881</t>
  </si>
  <si>
    <t>TALHUENOS S/N</t>
  </si>
  <si>
    <t>/33.022741,/70.964036</t>
  </si>
  <si>
    <t>EDUARDO PACHECO URBINA 8</t>
  </si>
  <si>
    <t>/33.772582,/70.664253</t>
  </si>
  <si>
    <t>RIO COMBARBALA 796</t>
  </si>
  <si>
    <t>/33.804862,/70.727781</t>
  </si>
  <si>
    <t>DIOGENES CARVAJAL 669</t>
  </si>
  <si>
    <t>/33,811189,/70.732651</t>
  </si>
  <si>
    <t>SAN JAVIER 21</t>
  </si>
  <si>
    <t>/33.090649,/70.916415</t>
  </si>
  <si>
    <t>EL TRANSITO SITIO 40</t>
  </si>
  <si>
    <t>/33.782685,/70.659454</t>
  </si>
  <si>
    <t>AVENIDA DIEGO PORTALES 8</t>
  </si>
  <si>
    <t>/33.870505,/70.745947</t>
  </si>
  <si>
    <t>ARRECIFE 1741</t>
  </si>
  <si>
    <t>/33.821667,/70.741916</t>
  </si>
  <si>
    <t>LAS ACACIAS 143</t>
  </si>
  <si>
    <t>/33.872486,/70.734128</t>
  </si>
  <si>
    <t>/33.653401,/71.276990</t>
  </si>
  <si>
    <t>PJE QUELTEHUE SUR 613</t>
  </si>
  <si>
    <t>/33.296095,/70.882590</t>
  </si>
  <si>
    <t>QUELTEHUE SUR 613</t>
  </si>
  <si>
    <t>LUIS CRUZ 702</t>
  </si>
  <si>
    <t>/33.812769,/70.735446</t>
  </si>
  <si>
    <t>DIOGENES CARVAJAL 684</t>
  </si>
  <si>
    <t>/33.811206,/70.732877</t>
  </si>
  <si>
    <t>CHINIGUE LAS ROSAS S/N</t>
  </si>
  <si>
    <t>/33.666996,/71.112112</t>
  </si>
  <si>
    <t>LUIS CRUZ 706</t>
  </si>
  <si>
    <t>/33.812763,/70.735369</t>
  </si>
  <si>
    <t>CAMINO CHADA 182</t>
  </si>
  <si>
    <t>/33.874964,/70.711617</t>
  </si>
  <si>
    <t>LAS LILAS PARCELA 20</t>
  </si>
  <si>
    <t>/33.887680,/70.662534</t>
  </si>
  <si>
    <t>PAOLA FLORES REYES 90</t>
  </si>
  <si>
    <t>/33.804523,/70.733017</t>
  </si>
  <si>
    <t>JOSE RAMON ARMAZAN 288</t>
  </si>
  <si>
    <t>/33.4155453,/71.1549040</t>
  </si>
  <si>
    <t>CULITRIN SITIO 7</t>
  </si>
  <si>
    <t>/33.875614,/70.663327</t>
  </si>
  <si>
    <t>LO ALVARADO S/N</t>
  </si>
  <si>
    <t>/33.467568,/71.0705230</t>
  </si>
  <si>
    <t>NUEVA BOLLENAR S/N</t>
  </si>
  <si>
    <t>/33.570478,/71.215024</t>
  </si>
  <si>
    <t>SUYA 841</t>
  </si>
  <si>
    <t>/33.813020,/70.731005</t>
  </si>
  <si>
    <t>SANTA ROSA DE ESMERALDA 5948</t>
  </si>
  <si>
    <t>/33.6564480,/71.2779990</t>
  </si>
  <si>
    <t>/33.877140,/70.709722</t>
  </si>
  <si>
    <t>ANSELMO ALARCON 926</t>
  </si>
  <si>
    <t>/33.5718150,/71.1986230</t>
  </si>
  <si>
    <t>DOCTOR DAGNINO 123</t>
  </si>
  <si>
    <t>/33.809256,/70.740203</t>
  </si>
  <si>
    <t>RIO JUNCAL 829</t>
  </si>
  <si>
    <t>/33.803445,/70.727576</t>
  </si>
  <si>
    <t>SANTA TERESA S/N</t>
  </si>
  <si>
    <t>/33.835848,/70.650270</t>
  </si>
  <si>
    <t>LA HUACHERA 6</t>
  </si>
  <si>
    <t>/33.871864,/70.869639</t>
  </si>
  <si>
    <t>LAS CAÑAS 1 S/N</t>
  </si>
  <si>
    <t>/33.98746320,/71.852410</t>
  </si>
  <si>
    <t>ERRAZURIZ 1021 PARCELA 15</t>
  </si>
  <si>
    <t>/33.741726,/70.741826</t>
  </si>
  <si>
    <t>BALMACEDA 3179</t>
  </si>
  <si>
    <t>/33.748010,/70.866615</t>
  </si>
  <si>
    <t>SAN JOSE 9180</t>
  </si>
  <si>
    <t>/33.795846,/70.881452</t>
  </si>
  <si>
    <t>DOCTOR YAZIGI SITIO24</t>
  </si>
  <si>
    <t>/33.665234,/71.314128</t>
  </si>
  <si>
    <t>/33.269333,/70.883548</t>
  </si>
  <si>
    <t>CAMINO INTERIOR 6</t>
  </si>
  <si>
    <t>/33.278007,/70.847261</t>
  </si>
  <si>
    <t>CALLE 24 DE ABRIL 92</t>
  </si>
  <si>
    <t>/33.797664,/70.681218</t>
  </si>
  <si>
    <t>24 DE ABRIL N92</t>
  </si>
  <si>
    <t>/33.799115,/70.682752</t>
  </si>
  <si>
    <t>AV BERNARDO OHIGGINS 905</t>
  </si>
  <si>
    <t>/33.812656,/70.737646</t>
  </si>
  <si>
    <t>LOS TILOS P20</t>
  </si>
  <si>
    <t>/33.887754,/70.662471</t>
  </si>
  <si>
    <t>VOLCAN VILLARICA PARC1</t>
  </si>
  <si>
    <t>/33.241004,/70.791439</t>
  </si>
  <si>
    <t>SIETE PONIENTE 203</t>
  </si>
  <si>
    <t>/33.800124,/70.754559</t>
  </si>
  <si>
    <t>PASAJE DOS B24</t>
  </si>
  <si>
    <t>/33.747961,/70.898688</t>
  </si>
  <si>
    <t>ARMIJO 544</t>
  </si>
  <si>
    <t>/33.747899,/70.898345</t>
  </si>
  <si>
    <t>AV BERNANDO OHIGGINS 817</t>
  </si>
  <si>
    <t>/33.811815,/70.736923</t>
  </si>
  <si>
    <t>AV BERNARDO OHIGGINS 811</t>
  </si>
  <si>
    <t>/33.811837,/70.736886</t>
  </si>
  <si>
    <t>AV BERNANDO OHIGGINS 823</t>
  </si>
  <si>
    <t>/33.811944,/70.736981</t>
  </si>
  <si>
    <t>LOS HILOS 1B</t>
  </si>
  <si>
    <t>/33.629281,/70.820728</t>
  </si>
  <si>
    <t>DIEGO PORTALES 101</t>
  </si>
  <si>
    <t>/33.870745,/70.746074</t>
  </si>
  <si>
    <t>O´HIGGINS 897</t>
  </si>
  <si>
    <t>/33.812252,/70.737300</t>
  </si>
  <si>
    <t>LA CONQUISTA 868</t>
  </si>
  <si>
    <t>/33.813034,/70.729786</t>
  </si>
  <si>
    <t>INGLATERRA S/N PARC 10</t>
  </si>
  <si>
    <t>/33.236431,/70.809815</t>
  </si>
  <si>
    <t>JERUSALEN CASA 436</t>
  </si>
  <si>
    <t>/33.237493,/70.816296</t>
  </si>
  <si>
    <t>CALLE S/N LOTE 11 A 12</t>
  </si>
  <si>
    <t>/33.829350,/70.948290</t>
  </si>
  <si>
    <t>NUEVO HORIZONTE LOTE A2</t>
  </si>
  <si>
    <t>/33.825037,/70.729928</t>
  </si>
  <si>
    <t>BALMACEDA S/N</t>
  </si>
  <si>
    <t>/33.236188,/70.811985</t>
  </si>
  <si>
    <t>CAMINO CHADA 99</t>
  </si>
  <si>
    <t>/33.871984,/70.718163</t>
  </si>
  <si>
    <t>EL CARMEN SITIO A SN</t>
  </si>
  <si>
    <t>/33.628738,/70.771462</t>
  </si>
  <si>
    <t>SIN CALLE S/N LOTE 11</t>
  </si>
  <si>
    <t>/33.829359,/70.948229</t>
  </si>
  <si>
    <t>PJE SAN FELIPE 133</t>
  </si>
  <si>
    <t>/33.806970,/70.738786</t>
  </si>
  <si>
    <t>/33.810981,/70.733183</t>
  </si>
  <si>
    <t>VALLE HERMOSO SITIO 24</t>
  </si>
  <si>
    <t>/33.833103,/70.700077</t>
  </si>
  <si>
    <t>SAMUEL LAZO QUINTERO 27</t>
  </si>
  <si>
    <t>/33.803501,/70.730671</t>
  </si>
  <si>
    <t>3 NORTE 2020</t>
  </si>
  <si>
    <t>/33.3945245,/71.1268170</t>
  </si>
  <si>
    <t>/33.811072,/70.733014</t>
  </si>
  <si>
    <t>AV BERNARDO OHIGGINS 1680</t>
  </si>
  <si>
    <t>/33.4037675,/71.1320388</t>
  </si>
  <si>
    <t>LOS GUINDOS S/N</t>
  </si>
  <si>
    <t>/33.8906630,/71.2420730</t>
  </si>
  <si>
    <t>EL MOLINO 267</t>
  </si>
  <si>
    <t>/33.781422,/71.248550</t>
  </si>
  <si>
    <t>LOS PILASTRES S/N</t>
  </si>
  <si>
    <t>/33.591484,/71.163269</t>
  </si>
  <si>
    <t>NUEVA SIETE PARCELA 11</t>
  </si>
  <si>
    <t>/33.853082,/70.765034</t>
  </si>
  <si>
    <t>LAS CAMELIAS N04</t>
  </si>
  <si>
    <t>/33.852324,/70.763655</t>
  </si>
  <si>
    <t>LAS CAMELIAS S/N</t>
  </si>
  <si>
    <t>/33.852111,/70.763120</t>
  </si>
  <si>
    <t>UNO NORTE S/N</t>
  </si>
  <si>
    <t>/33.850110,/70.738950</t>
  </si>
  <si>
    <t>24 DE ABRIL PARCELA 92</t>
  </si>
  <si>
    <t>/33.7976609,/70.682371</t>
  </si>
  <si>
    <t>PASAJE ISLA LENNOX 388</t>
  </si>
  <si>
    <t>/33.8070343,/70.7359200</t>
  </si>
  <si>
    <t>CAUPOLICAN 934</t>
  </si>
  <si>
    <t>/33.812938,/70.737723</t>
  </si>
  <si>
    <t>/33.796255,/70.681961</t>
  </si>
  <si>
    <t>LOS ESPANTA PAJAROS 86</t>
  </si>
  <si>
    <t>/33.267393,/70.717835</t>
  </si>
  <si>
    <t>GRAN AVENIDA 376</t>
  </si>
  <si>
    <t>/33.803372,/70.734881</t>
  </si>
  <si>
    <t>CALLE BUIN 985</t>
  </si>
  <si>
    <t>/33.854123,/70.874569</t>
  </si>
  <si>
    <t>CUYUNCAVI PARCELA 214</t>
  </si>
  <si>
    <t>/33.374123,/70.085505</t>
  </si>
  <si>
    <t>ROTO CHILENO PP 772911</t>
  </si>
  <si>
    <t>/33.680235,/70.832264</t>
  </si>
  <si>
    <t>GABRIELA MISTRAL 52</t>
  </si>
  <si>
    <t>/33.804522,/70.729579</t>
  </si>
  <si>
    <t>JERUSALEN MARICHIWEN 2437</t>
  </si>
  <si>
    <t>/33.852123,/71.951245</t>
  </si>
  <si>
    <t>AMUYEN 818</t>
  </si>
  <si>
    <t>/33.852412,/70.741256</t>
  </si>
  <si>
    <t>AV OHIGGINS 1347</t>
  </si>
  <si>
    <t>/33.817907,/70.738133</t>
  </si>
  <si>
    <t>CALLE UNO NORTE PARCELA 27</t>
  </si>
  <si>
    <t>/33.844468,/70.741528</t>
  </si>
  <si>
    <t>PARCELA N°27 S/N</t>
  </si>
  <si>
    <t>/33.614679,/70.817990</t>
  </si>
  <si>
    <t>MIRASOL 1391</t>
  </si>
  <si>
    <t>/33.818153,/70.739276</t>
  </si>
  <si>
    <t>VICTORIA GONZALEZ 43</t>
  </si>
  <si>
    <t>/33.866884,/70.750223</t>
  </si>
  <si>
    <t>LOS AROMOS HOSPITAL 99</t>
  </si>
  <si>
    <t>/33.864557,/70.751124</t>
  </si>
  <si>
    <t>PARCELA 203 CAMINO</t>
  </si>
  <si>
    <t>/33.887606,/70.280062</t>
  </si>
  <si>
    <t>CALLE MEDIA LUNA P 203</t>
  </si>
  <si>
    <t>/33.887056,/70.728698</t>
  </si>
  <si>
    <t>CALLE LA MEDIA LUNA 203</t>
  </si>
  <si>
    <t>/33.887585,/70.728709</t>
  </si>
  <si>
    <t>OHIGGINS 1601</t>
  </si>
  <si>
    <t>/33.820872,/70.738941</t>
  </si>
  <si>
    <t>EL SAUCE PARCELA 203</t>
  </si>
  <si>
    <t>/33.887239,/70.727883</t>
  </si>
  <si>
    <t>SAN VICENTE 650</t>
  </si>
  <si>
    <t>/33.819474,/70.735220</t>
  </si>
  <si>
    <t>PASAJE RIO CAU CAU 181</t>
  </si>
  <si>
    <t>/33.805473,/70.724438</t>
  </si>
  <si>
    <t>OHIGGINS 1339</t>
  </si>
  <si>
    <t>/33.817566,/70.738412</t>
  </si>
  <si>
    <t>SANTA TERESA PAINE 3255</t>
  </si>
  <si>
    <t>/33.796652,/70.776879</t>
  </si>
  <si>
    <t>EL REDIL 4B</t>
  </si>
  <si>
    <t>LAGO CHUNGARA 371</t>
  </si>
  <si>
    <t>/33.683685,/71.228081</t>
  </si>
  <si>
    <t>LAS ACACIAS S/N</t>
  </si>
  <si>
    <t>/33.769249,/71.313675</t>
  </si>
  <si>
    <t>LOS MAITENES SITIO 3</t>
  </si>
  <si>
    <t>/33.832877,/70.647460</t>
  </si>
  <si>
    <t>DIEGO PORTALES SUR 2</t>
  </si>
  <si>
    <t>/33.876257,/70.740195</t>
  </si>
  <si>
    <t>CAMINO BUIN ALTO JAHUEL 1505</t>
  </si>
  <si>
    <t>/33.749702,/70.674919</t>
  </si>
  <si>
    <t>DOCTOR GARCIA 351</t>
  </si>
  <si>
    <t>/33.854120,/71.710245</t>
  </si>
  <si>
    <t>PASAJE LARRAIN 579</t>
  </si>
  <si>
    <t>/33.745026,/71.193977</t>
  </si>
  <si>
    <t>PADRE HURTADO SITIO 10</t>
  </si>
  <si>
    <t>/33.867608,/70.640260</t>
  </si>
  <si>
    <t>SANTA FILOMENA SITIO 3</t>
  </si>
  <si>
    <t>/33.832778,/70.648758</t>
  </si>
  <si>
    <t>/33.664533,/70.631494</t>
  </si>
  <si>
    <t>CAMINO PADRE HURTADO 17</t>
  </si>
  <si>
    <t>BU</t>
  </si>
  <si>
    <t>/33.597337,/70.680354</t>
  </si>
  <si>
    <t>VILUCO 6B</t>
  </si>
  <si>
    <t>/33.797731,/70.775893</t>
  </si>
  <si>
    <t>SAN RAMON S/N</t>
  </si>
  <si>
    <t>/33.6016355,/71.1604415</t>
  </si>
  <si>
    <t>SANTA FILOMENA 3</t>
  </si>
  <si>
    <t>/33.832895,/70.648256</t>
  </si>
  <si>
    <t>AVENIDA 18 DE SEPTIEMBRE 1927</t>
  </si>
  <si>
    <t>/33.806161,/70.718273</t>
  </si>
  <si>
    <t>JERUSALEN MARICHIWEN 435</t>
  </si>
  <si>
    <t>/33.237840,/70.816626</t>
  </si>
  <si>
    <t>SECTOR QUEBRADA LARGA S/N</t>
  </si>
  <si>
    <t>/33.5912660,/71.1609420</t>
  </si>
  <si>
    <t>ARRAYAN 170</t>
  </si>
  <si>
    <t>/33.805985,/70.733444</t>
  </si>
  <si>
    <t>RANCO 718</t>
  </si>
  <si>
    <t>/33.568741,/70.963852</t>
  </si>
  <si>
    <t>LUMBRECAS S/N</t>
  </si>
  <si>
    <t>/33.662758,/71.284757</t>
  </si>
  <si>
    <t>PADRE HURTADO SITIO 8</t>
  </si>
  <si>
    <t>/33.7433310,/70.6788100</t>
  </si>
  <si>
    <t>LOS ARENEROS SUR 153</t>
  </si>
  <si>
    <t>/33.663101,/70.665756</t>
  </si>
  <si>
    <t>RIO CAMARONES 172</t>
  </si>
  <si>
    <t>/33.805884,/70.7256180</t>
  </si>
  <si>
    <t>VICTORIA GONZALEZ 99</t>
  </si>
  <si>
    <t>/33.866887,/70.747808</t>
  </si>
  <si>
    <t>BAQUEDANO 205</t>
  </si>
  <si>
    <t>/33.278905,/70.881442</t>
  </si>
  <si>
    <t>MANDINGA 27270</t>
  </si>
  <si>
    <t>/33.788763,/71.299296</t>
  </si>
  <si>
    <t>JERUSALEN MARICHIWEN 438</t>
  </si>
  <si>
    <t>/33.237711,/70.816514</t>
  </si>
  <si>
    <t>TRES 102 CALLE 3</t>
  </si>
  <si>
    <t>/33.628495,/70.773298</t>
  </si>
  <si>
    <t>AV 18 DE SEPTIEMBRE 936</t>
  </si>
  <si>
    <t>/33.807500,/70.729470</t>
  </si>
  <si>
    <t>AV 18 DE SEPTIEMBRE 952</t>
  </si>
  <si>
    <t>/33.807416,/70.729288</t>
  </si>
  <si>
    <t>AV LOMAS DEL AGUILA 15</t>
  </si>
  <si>
    <t>/33.858811,/70.789998</t>
  </si>
  <si>
    <t>LOS TILOS S/N</t>
  </si>
  <si>
    <t>/33.6422621,/70.7442854</t>
  </si>
  <si>
    <t>MALAHUE SITIO 78</t>
  </si>
  <si>
    <t>/33.492458,/71.165819</t>
  </si>
  <si>
    <t>CAMINO CHADA P99</t>
  </si>
  <si>
    <t>/33.871635,/70.718240</t>
  </si>
  <si>
    <t>RIO CISNE 152</t>
  </si>
  <si>
    <t>/33.8551006,/70.727314</t>
  </si>
  <si>
    <t>/33.629398,/71.255409</t>
  </si>
  <si>
    <t>LA MEDIA LUNA 203</t>
  </si>
  <si>
    <t>/33.888072,/70.728331</t>
  </si>
  <si>
    <t>LOS VIÑEDOS 709</t>
  </si>
  <si>
    <t>/33.819233,/70.734293</t>
  </si>
  <si>
    <t>MEDIA LUNA 203</t>
  </si>
  <si>
    <t>/33.888381,/70.727086</t>
  </si>
  <si>
    <t>1 ORIENTE 451</t>
  </si>
  <si>
    <t>/33.146486,/70.796613</t>
  </si>
  <si>
    <t>RUMAY 10 LT/5</t>
  </si>
  <si>
    <t>/33.6293645,/71.2275823</t>
  </si>
  <si>
    <t>SAN LUIS 567</t>
  </si>
  <si>
    <t>/33.740547,/70.917453</t>
  </si>
  <si>
    <t>PADRE HURTADO 883</t>
  </si>
  <si>
    <t>/33.7291284,/70.6840290</t>
  </si>
  <si>
    <t>LAS LOMAS DEL AGUILA PARCELA 16</t>
  </si>
  <si>
    <t>/33.859388,/70.790680</t>
  </si>
  <si>
    <t>CRUZ DEL SUR 1573</t>
  </si>
  <si>
    <t>/33.7502567,/70.6746791</t>
  </si>
  <si>
    <t>LOMAS DEL AGUILA 14</t>
  </si>
  <si>
    <t>/33.859623,/70.790911</t>
  </si>
  <si>
    <t>SANTELICES S/N</t>
  </si>
  <si>
    <t>/33.748141,/70.915628</t>
  </si>
  <si>
    <t>LOS DEL AGUILAS PARCELA 18</t>
  </si>
  <si>
    <t>/33.857548,/70.789874</t>
  </si>
  <si>
    <t>AVELLANITA 166</t>
  </si>
  <si>
    <t>/33.805749,/70.733936</t>
  </si>
  <si>
    <t>CAMINO PAINE 3419</t>
  </si>
  <si>
    <t>/33.795539,/70.777793</t>
  </si>
  <si>
    <t>LAS PIOLAS 7506</t>
  </si>
  <si>
    <t>/33.660534,/70.815659</t>
  </si>
  <si>
    <t>/33.887643,/70728045</t>
  </si>
  <si>
    <t>SANTELICES DE SERVIDUMBRE S/N</t>
  </si>
  <si>
    <t>/33.747971,/70.916635</t>
  </si>
  <si>
    <t>BLANCA LEYTON 544</t>
  </si>
  <si>
    <t>/33.852741,/70.963852</t>
  </si>
  <si>
    <t>RIO QUILLEN 824</t>
  </si>
  <si>
    <t>/33.804240,/70.726751</t>
  </si>
  <si>
    <t>EUCALIPTUS 85</t>
  </si>
  <si>
    <t>/33.847840,/70.596840</t>
  </si>
  <si>
    <t>LOMAS DEL AGUILA PARC 18</t>
  </si>
  <si>
    <t>/33.858151,/70.788889</t>
  </si>
  <si>
    <t>LAS GOLONDRINAS 1 S/N</t>
  </si>
  <si>
    <t>/33.966396,/71.489361</t>
  </si>
  <si>
    <t>LOICA ABAJO S/N</t>
  </si>
  <si>
    <t>/33.964337,/71.515015</t>
  </si>
  <si>
    <t>VILUCO 3419</t>
  </si>
  <si>
    <t>/33.795538,/70.777971</t>
  </si>
  <si>
    <t>CARMEN 259/B</t>
  </si>
  <si>
    <t>/33.802700,/70.720540</t>
  </si>
  <si>
    <t>BAQUEDANO 1049</t>
  </si>
  <si>
    <t>/33.818062,/70.742768</t>
  </si>
  <si>
    <t>LAS GOLONDRINAS 3</t>
  </si>
  <si>
    <t>/33.964200,/71.514823</t>
  </si>
  <si>
    <t>/33.971599,/71.502532</t>
  </si>
  <si>
    <t>AV 18 DE SEPTIEMBRE SITIO 44</t>
  </si>
  <si>
    <t>/33.804537,/70.710560</t>
  </si>
  <si>
    <t>LORENZO ACEITON 140</t>
  </si>
  <si>
    <t>/33.675154,/71.206459</t>
  </si>
  <si>
    <t>/33.747494,/71.233056</t>
  </si>
  <si>
    <t>F DE SANTA BIBLIA P/191</t>
  </si>
  <si>
    <t>/33.788556,/71.292403</t>
  </si>
  <si>
    <t>LONGITUDINAL 4676</t>
  </si>
  <si>
    <t>/33.768016,/70.739218</t>
  </si>
  <si>
    <t>CUATRO NORTE 171</t>
  </si>
  <si>
    <t>/33.741235,/70.963789</t>
  </si>
  <si>
    <t>LOMAS DEL AGUILA 180</t>
  </si>
  <si>
    <t>/33.857051,/70.783975</t>
  </si>
  <si>
    <t>ANDRES NAVARRETE 381</t>
  </si>
  <si>
    <t>/33.805203,/70.734749</t>
  </si>
  <si>
    <t>/33.859345,/70.791122</t>
  </si>
  <si>
    <t>CANADA NORTE 0333</t>
  </si>
  <si>
    <t>/33.636009,/70.355253</t>
  </si>
  <si>
    <t>CAMINO MAIPO VILUCO 4520</t>
  </si>
  <si>
    <t>/33.773978,/70.794535</t>
  </si>
  <si>
    <t>AMANDA GARRIDO 16</t>
  </si>
  <si>
    <t>/33.744430,/70.866334</t>
  </si>
  <si>
    <t>SANTA FILOMENA 1630</t>
  </si>
  <si>
    <t>/33.796088,/70.796391</t>
  </si>
  <si>
    <t>LA APARICION SUR PARC12</t>
  </si>
  <si>
    <t>/33.782357,/70.639072</t>
  </si>
  <si>
    <t>PASAJE RAIQUEN 909</t>
  </si>
  <si>
    <t>/33.8122098,/70.7295298</t>
  </si>
  <si>
    <t>CAMP. JERUSALEN MARICHIWEN 462</t>
  </si>
  <si>
    <t>/33.239031,/70.816084</t>
  </si>
  <si>
    <t>LA CANADA DEL RECUERDO P25</t>
  </si>
  <si>
    <t>/33.6451730,/70.8301750</t>
  </si>
  <si>
    <t>/33.866744,/70.796295</t>
  </si>
  <si>
    <t>SAN LUIS 4</t>
  </si>
  <si>
    <t>/33.636837,/70.812725</t>
  </si>
  <si>
    <t>LAS FLORES 31</t>
  </si>
  <si>
    <t>/33.6217343,/70.7555969</t>
  </si>
  <si>
    <t>LA PORTADA PARCELA 117/B</t>
  </si>
  <si>
    <t>/33.844234,/70.598030</t>
  </si>
  <si>
    <t>LUCIA DIAZ LEIVA 528</t>
  </si>
  <si>
    <t>/33.750328,/70.745972</t>
  </si>
  <si>
    <t>SANTA CECILIA S/N</t>
  </si>
  <si>
    <t>/33.788280,/71.296620</t>
  </si>
  <si>
    <t>GABRIELA MISTRAL 28</t>
  </si>
  <si>
    <t>/33.279268,/70.884695</t>
  </si>
  <si>
    <t>CAMINO SERTIDUMBRE LOTE 2</t>
  </si>
  <si>
    <t>/33.314157,/70.844480</t>
  </si>
  <si>
    <t>CALLE EL DIBUJO PARCELA 24</t>
  </si>
  <si>
    <t>/33.741603,/71.242813</t>
  </si>
  <si>
    <t>CAMINO EL DIBUJO P24</t>
  </si>
  <si>
    <t>/33.791895,/71.242248</t>
  </si>
  <si>
    <t>MELIPILLA PARC 254</t>
  </si>
  <si>
    <t>/33.768565,/71.245094</t>
  </si>
  <si>
    <t>SANTA SARA S/N</t>
  </si>
  <si>
    <t>/33.218838,/70.773590</t>
  </si>
  <si>
    <t>CAMINO LONQUEN5 S/N</t>
  </si>
  <si>
    <t>/33.636459,/70.813225</t>
  </si>
  <si>
    <t>/33.6491730,/70.8301750</t>
  </si>
  <si>
    <t>PASAJE VOLCAN SOLLIPULLY 841</t>
  </si>
  <si>
    <t>/33.328314,/70.769977</t>
  </si>
  <si>
    <t>PASAJE AURELIO 833</t>
  </si>
  <si>
    <t>/33.748264,/70.751152</t>
  </si>
  <si>
    <t>/33.832932,/70.699600</t>
  </si>
  <si>
    <t>/33.888098,/70.728622</t>
  </si>
  <si>
    <t>ACEVEDO 312</t>
  </si>
  <si>
    <t>/33.231744,/70.811361</t>
  </si>
  <si>
    <t>PASAJE RAIQUEN 926</t>
  </si>
  <si>
    <t>/33.812023,/70.729218</t>
  </si>
  <si>
    <t>EL SALVADOR 655</t>
  </si>
  <si>
    <t>/33.230483,/70.802504</t>
  </si>
  <si>
    <t>CAMINO PAUIN PAINE 1967</t>
  </si>
  <si>
    <t>/33.677026,/71.096995</t>
  </si>
  <si>
    <t>CHIÑIQUE 21</t>
  </si>
  <si>
    <t>UNO ORIENTE 22</t>
  </si>
  <si>
    <t>/33.684550,/71.019129</t>
  </si>
  <si>
    <t>SAN VICENTE 349</t>
  </si>
  <si>
    <t>/33.818676,/70.738645</t>
  </si>
  <si>
    <t>JAVIERA CARRERA 72</t>
  </si>
  <si>
    <t>/33.288505,/70.881941</t>
  </si>
  <si>
    <t>CIRCUNVALADOS CHACABUCO SUR S/N</t>
  </si>
  <si>
    <t>/33.276322,/70.843053</t>
  </si>
  <si>
    <t>AV 18 DE SEPTIEMBRE 299</t>
  </si>
  <si>
    <t>/33.808426,/70.737338</t>
  </si>
  <si>
    <t>OCHO PONIENTE 225</t>
  </si>
  <si>
    <t>/33.864635,/70.710105</t>
  </si>
  <si>
    <t>SAN MANUEL SITIO 4</t>
  </si>
  <si>
    <t>/33.755869,/71.298405</t>
  </si>
  <si>
    <t>LAS TORTOLAS 179</t>
  </si>
  <si>
    <t>/33.749317,/70.864707</t>
  </si>
  <si>
    <t>SUECIA 2OO</t>
  </si>
  <si>
    <t>/33.674030,/71.178595</t>
  </si>
  <si>
    <t>CARMEN 259</t>
  </si>
  <si>
    <t>/33.802710,/70.720546</t>
  </si>
  <si>
    <t>ANTILLAS 1640</t>
  </si>
  <si>
    <t>/33.8212264,/70.7408592</t>
  </si>
  <si>
    <t>RIO CONQUISTA 173</t>
  </si>
  <si>
    <t>/33.8049971,/70.7300170</t>
  </si>
  <si>
    <t>CLAUDIO ARRAN 10728</t>
  </si>
  <si>
    <t>/33.833750,/70.646501</t>
  </si>
  <si>
    <t>PRESIDENTE FEDERICO ERRAZURIZ 697</t>
  </si>
  <si>
    <t>/33.737890,/70.740949</t>
  </si>
  <si>
    <t>PASAJE UNO 302</t>
  </si>
  <si>
    <t>/33.5820462,/70.5700161</t>
  </si>
  <si>
    <t>CAMINO PERALILLO PARC19</t>
  </si>
  <si>
    <t>/33.843085,/70.840815</t>
  </si>
  <si>
    <t>EL NARANJO 11 LOTE 77</t>
  </si>
  <si>
    <t>/33.3833282,/71.1754749</t>
  </si>
  <si>
    <t>AV DIEGO PORTALES 93</t>
  </si>
  <si>
    <t>/33.861141,/70.747157</t>
  </si>
  <si>
    <t>AV DIEGO PORTALES 56B</t>
  </si>
  <si>
    <t>/33867300,/70.748183</t>
  </si>
  <si>
    <t>AV 18 DE SEPTIEMBRE 2436</t>
  </si>
  <si>
    <t>/33.805713,/70.709631</t>
  </si>
  <si>
    <t>/33.872984,/70.718025</t>
  </si>
  <si>
    <t>PARCELA 252 CULIPRAN</t>
  </si>
  <si>
    <t>/33.768716,/71.244854</t>
  </si>
  <si>
    <t>PEDRO AGUIRRE CERDA PARC 6</t>
  </si>
  <si>
    <t>/33.822779,/70.753949</t>
  </si>
  <si>
    <t>SOL LUMINOSO 182</t>
  </si>
  <si>
    <t>/33.607273,/70.905054</t>
  </si>
  <si>
    <t>ACEVEDO 19 PARC41</t>
  </si>
  <si>
    <t>/33.232025,/70.811192</t>
  </si>
  <si>
    <t>ALTO DE POPETA 358</t>
  </si>
  <si>
    <t>/33.827671,/71.325426</t>
  </si>
  <si>
    <t>CALLE 12 DE FEBRERO 582</t>
  </si>
  <si>
    <t>/33.809152,/70.733687</t>
  </si>
  <si>
    <t>AVENIDA GRECIA 2050</t>
  </si>
  <si>
    <t>/33.6755426,/71.1757314</t>
  </si>
  <si>
    <t>CO EL ROMERO PARC 84</t>
  </si>
  <si>
    <t>/33.871628,/70.706591</t>
  </si>
  <si>
    <t>AVENIDA 18 DE SEPTIEMBRE 2275</t>
  </si>
  <si>
    <t>FUNDO EL TRIGAL S/N</t>
  </si>
  <si>
    <t>/33.541268,/71.789456</t>
  </si>
  <si>
    <t>LIBERTADOR PARC 85</t>
  </si>
  <si>
    <t>/33.674081,/71.338174</t>
  </si>
  <si>
    <t>COSTANERA 1482</t>
  </si>
  <si>
    <t>/33.664800,/70.934951</t>
  </si>
  <si>
    <t>MARZO 479</t>
  </si>
  <si>
    <t>/33.581893,/71.215702</t>
  </si>
  <si>
    <t>PARCELA 252</t>
  </si>
  <si>
    <t>/33.768836,/71.244711</t>
  </si>
  <si>
    <t>SECTOR EL PROGRESO S/N PARC 119</t>
  </si>
  <si>
    <t>/33.801643,/71.230496</t>
  </si>
  <si>
    <t>SECTOR CULIPRAN PC18</t>
  </si>
  <si>
    <t>/33.800111,/71.292594</t>
  </si>
  <si>
    <t>/33.789342,/71.299256</t>
  </si>
  <si>
    <t>LAS FRUTAS 3390</t>
  </si>
  <si>
    <t>/33.749625,/70.871257</t>
  </si>
  <si>
    <t>LOS CARRERAS 425</t>
  </si>
  <si>
    <t>/33.573973,/71.200007</t>
  </si>
  <si>
    <t>CAMINO EL DIBUJO S/N</t>
  </si>
  <si>
    <t>/33.795976,/71.241833</t>
  </si>
  <si>
    <t>/33.809276,/71.241552</t>
  </si>
  <si>
    <t>LOS MOLLES 131</t>
  </si>
  <si>
    <t>/33.803109,/71.242277</t>
  </si>
  <si>
    <t>ACEVEDO 10 PARC40</t>
  </si>
  <si>
    <t>/33.231786,/70.811574</t>
  </si>
  <si>
    <t>ACEVEDO 20 PARC 41</t>
  </si>
  <si>
    <t>/33.231967,/70.811386</t>
  </si>
  <si>
    <t>LAGO CHUNCACA 362</t>
  </si>
  <si>
    <t>/33.683533,/71.228130</t>
  </si>
  <si>
    <t>RODOLFO JARAMILLO 2206</t>
  </si>
  <si>
    <t>/33.562854,/70.819234</t>
  </si>
  <si>
    <t>OHIGGINS 1605</t>
  </si>
  <si>
    <t>/33.820635,/70.739530</t>
  </si>
  <si>
    <t>ACEVEDO PARC 40</t>
  </si>
  <si>
    <t>/33.231570,/70.811608</t>
  </si>
  <si>
    <t>AV DIEGO PORTALES 56</t>
  </si>
  <si>
    <t>/33.867405,/70.748084</t>
  </si>
  <si>
    <t>AV PERU 41</t>
  </si>
  <si>
    <t>/33.866731,/70.782558</t>
  </si>
  <si>
    <t>COSTANERA 1489</t>
  </si>
  <si>
    <t>DIEGO PORTALES 568</t>
  </si>
  <si>
    <t>/33.867197,/70.747854</t>
  </si>
  <si>
    <t>/33.795983,/70.778707</t>
  </si>
  <si>
    <t>AV OHIGGINS 856</t>
  </si>
  <si>
    <t>/33.730888,/70.757436</t>
  </si>
  <si>
    <t>PIEDRA SANTA 9</t>
  </si>
  <si>
    <t>/33.884780,/70.710166</t>
  </si>
  <si>
    <t>PARC 18, LA LIBERTAD</t>
  </si>
  <si>
    <t>/33.671413,/71.339081</t>
  </si>
  <si>
    <t>CO AGUILA NORTE 3</t>
  </si>
  <si>
    <t>/33.871605,/70.746740</t>
  </si>
  <si>
    <t>LA CAÑADA 381</t>
  </si>
  <si>
    <t>/33.325867,/70.767183</t>
  </si>
  <si>
    <t>EL PORTICO DE SAN MANUEL 17</t>
  </si>
  <si>
    <t>/33.852147,/71.965238</t>
  </si>
  <si>
    <t>BLANCA LEYTON PERALTA 457</t>
  </si>
  <si>
    <t>/33.806423,/70.733264</t>
  </si>
  <si>
    <t>EL MARISOL 1342</t>
  </si>
  <si>
    <t>/33.817445,/70.738793</t>
  </si>
  <si>
    <t>EL TABO 1331</t>
  </si>
  <si>
    <t>/33.817768,/70.738874</t>
  </si>
  <si>
    <t>CAMPINO 306</t>
  </si>
  <si>
    <t>/33.817054,/70.738735</t>
  </si>
  <si>
    <t>EL RECURSO 3299</t>
  </si>
  <si>
    <t>/33.683344,/70.695716</t>
  </si>
  <si>
    <t>CERRO CHALLAY 623</t>
  </si>
  <si>
    <t>/33.820354,/70.735975</t>
  </si>
  <si>
    <t>JAIME ATRIA 7037</t>
  </si>
  <si>
    <t>/33.785412,/70.963852</t>
  </si>
  <si>
    <t>LA TRILLA 267</t>
  </si>
  <si>
    <t>/33.798215,/70.736805</t>
  </si>
  <si>
    <t>JOLINO NOVOA</t>
  </si>
  <si>
    <t>/33.745235,/70.852514</t>
  </si>
  <si>
    <t>EL PUENTE 16</t>
  </si>
  <si>
    <t>/33.663229,/70.666547</t>
  </si>
  <si>
    <t>CARDONAL ALTO SITIO 8 LOTE B</t>
  </si>
  <si>
    <t>/33.847185,/70.641687</t>
  </si>
  <si>
    <t>HERNAN ALIAGA 331</t>
  </si>
  <si>
    <t>/33.709028,/70.741161</t>
  </si>
  <si>
    <t>CALLEJON PAULA JARA QUEMADA</t>
  </si>
  <si>
    <t>/33.809586,/70.715328</t>
  </si>
  <si>
    <t>AV. 18 DE SEPTIEMBRE 327</t>
  </si>
  <si>
    <t>/33.807942,/70.737541</t>
  </si>
  <si>
    <t>CALLE LAS ANTILLAS 1318</t>
  </si>
  <si>
    <t>/33.816829,/70.739884</t>
  </si>
  <si>
    <t>FRANCISCO CABANE 36</t>
  </si>
  <si>
    <t>/33278393,/70.884798</t>
  </si>
  <si>
    <t>MIRAFLORES 3 PARC 19</t>
  </si>
  <si>
    <t>/33.298533,/70.884524</t>
  </si>
  <si>
    <t>PRINCIPAL 318</t>
  </si>
  <si>
    <t>/33.8122673, /70.7392606</t>
  </si>
  <si>
    <t>LOS ESPARRAGOS 1215</t>
  </si>
  <si>
    <t>/33.7497634, /70.8705253</t>
  </si>
  <si>
    <t>LA COSECHA 433</t>
  </si>
  <si>
    <t>/33.7348205, /70.7767252</t>
  </si>
  <si>
    <t>LA COPA 12 LOTE 85 CASA 3</t>
  </si>
  <si>
    <t>/33.6675566,/70.8323468</t>
  </si>
  <si>
    <t>ESPAÑA 2019</t>
  </si>
  <si>
    <t>/33.6749661, /71.1772153</t>
  </si>
  <si>
    <t>EL NOGAL 691</t>
  </si>
  <si>
    <t>/33.1959328, /70.6845737</t>
  </si>
  <si>
    <t>ABATE MOLINA 2081</t>
  </si>
  <si>
    <t>/33.1885564, /70.6618416</t>
  </si>
  <si>
    <t>33.3870467, /71.178736</t>
  </si>
  <si>
    <t>NUEVO SENDERO 9</t>
  </si>
  <si>
    <t>/33.8059702, /70.6761663</t>
  </si>
  <si>
    <t>/33.387785, /71.1780567</t>
  </si>
  <si>
    <t>/33.7499274, /70.8703679</t>
  </si>
  <si>
    <t>CLULIPRAN PARCELA 295</t>
  </si>
  <si>
    <t>LA BODEGA 8</t>
  </si>
  <si>
    <t>/33.8676899, /70.7435988</t>
  </si>
  <si>
    <t>PASAJE PARQUE NACIONAL ISLUGA 446</t>
  </si>
  <si>
    <t>/33.8194938, /70.7381394</t>
  </si>
  <si>
    <t>/33.8028367, /70.6949883</t>
  </si>
  <si>
    <t>LIMPAGUE 43</t>
  </si>
  <si>
    <t>/33.33178, /70.8409642</t>
  </si>
  <si>
    <t>LOS ESPARRAGOS 1213</t>
  </si>
  <si>
    <t>/33.7497516, /70.8704831</t>
  </si>
  <si>
    <t>CANCHA DE CARRERA 460</t>
  </si>
  <si>
    <t>/33.7466171, /70.8700868</t>
  </si>
  <si>
    <t>VISTA HERMOSA 2227</t>
  </si>
  <si>
    <t>33.4357225, /70.683869</t>
  </si>
  <si>
    <t>SANTA INES 312</t>
  </si>
  <si>
    <t>/33.5606562,/70.652829</t>
  </si>
  <si>
    <t>HIJUELA 2</t>
  </si>
  <si>
    <t>/33.5605542, /70.652153</t>
  </si>
  <si>
    <t>DIEGO PORTALES 141</t>
  </si>
  <si>
    <t>/33.679754, /71.1957464</t>
  </si>
  <si>
    <t>MADRID S/N</t>
  </si>
  <si>
    <t>/33.51611, /71.1178568</t>
  </si>
  <si>
    <t>AV GUZMAN 1796</t>
  </si>
  <si>
    <t>/33.2707836, /70.6217341</t>
  </si>
  <si>
    <t>MARTA LETIELIER 44</t>
  </si>
  <si>
    <t>/33.8465967, /70.73363</t>
  </si>
  <si>
    <t>LA APARICION 10</t>
  </si>
  <si>
    <t>/33.7851451, /70.6364524</t>
  </si>
  <si>
    <t>MANUEL RODRIGUEZ 530</t>
  </si>
  <si>
    <t>/33.8411633, /70.8008694</t>
  </si>
  <si>
    <t>CHOROMBO ALTO 80</t>
  </si>
  <si>
    <t>/33.4662348, /71.0843661</t>
  </si>
  <si>
    <t>PADRE TRANSCIO 015</t>
  </si>
  <si>
    <t>/33.7320084, /70.7330477</t>
  </si>
  <si>
    <t>AV ARGENTINA 1325</t>
  </si>
  <si>
    <t>/33.2276494, /70.8130631</t>
  </si>
  <si>
    <t>/33.5672199, /71.2219534</t>
  </si>
  <si>
    <t>BALMACEDA 4441</t>
  </si>
  <si>
    <t>SAN CARLOS 376</t>
  </si>
  <si>
    <t>/33.8064033, /70.7351083</t>
  </si>
  <si>
    <t>/33.560557, /70.6521547</t>
  </si>
  <si>
    <t>CENTRAL 3143</t>
  </si>
  <si>
    <t>/33.5744662, /70.8225867</t>
  </si>
  <si>
    <t>LOS QUILLAYES 111</t>
  </si>
  <si>
    <t>/33.7097624, /70.8525555</t>
  </si>
  <si>
    <t>PANGUE PARCE 9</t>
  </si>
  <si>
    <t>/33.6705853, /71.1182502</t>
  </si>
  <si>
    <t>JAIME GUZMAN 1796</t>
  </si>
  <si>
    <t>/33.7374826, /70.9103694</t>
  </si>
  <si>
    <t>LA COSECHA 421</t>
  </si>
  <si>
    <t>/33.7345481, /70.7556385</t>
  </si>
  <si>
    <t>CORONEL 885</t>
  </si>
  <si>
    <t>/33.8078633, /70.7310733</t>
  </si>
  <si>
    <t>/33.481352, /70.7062398</t>
  </si>
  <si>
    <t>LA TORRE 643</t>
  </si>
  <si>
    <t>/33.7375009, /70.9102669</t>
  </si>
  <si>
    <t>SIN CALLE S/N</t>
  </si>
  <si>
    <t>/33.8260515, /70.7077399</t>
  </si>
  <si>
    <t>ABATE MOLINA 2045</t>
  </si>
  <si>
    <t>/33.1888683, /70.662055</t>
  </si>
  <si>
    <t>EL HUINGAN 6</t>
  </si>
  <si>
    <t>/33.4356583, /70.6843933</t>
  </si>
  <si>
    <t>ARGENTINA 1325</t>
  </si>
  <si>
    <t>/33.4354964, /70.6846027</t>
  </si>
  <si>
    <t>SANTA SARA PARCELA 4</t>
  </si>
  <si>
    <t>/33.2429104, /70.7660504</t>
  </si>
  <si>
    <t>LOS JACINTOS 972</t>
  </si>
  <si>
    <t>/33.7293486, /70.7493429</t>
  </si>
  <si>
    <t>RECINTO ESTACIÓN S/N</t>
  </si>
  <si>
    <t>/33.7430121, /70.6811762</t>
  </si>
  <si>
    <t>LA APIRACION 10</t>
  </si>
  <si>
    <t>/33.785156, /70.6363742</t>
  </si>
  <si>
    <t>LAS CAMELIAS 9</t>
  </si>
  <si>
    <t>/33.8447417, /70.75862</t>
  </si>
  <si>
    <t>EL CANELILLO 859</t>
  </si>
  <si>
    <t>33.1922981, /70.6833333</t>
  </si>
  <si>
    <t>SAN MIGUEL 17</t>
  </si>
  <si>
    <t>/33.8038747, /70.6982342</t>
  </si>
  <si>
    <t>CALLE OLEA 310</t>
  </si>
  <si>
    <t>/33.7685061, /70.8791019</t>
  </si>
  <si>
    <t>ENRIQUETA FUENTES 2823</t>
  </si>
  <si>
    <t>/33.7293325, /70.7710633</t>
  </si>
  <si>
    <t>LAS ACACIAS 528</t>
  </si>
  <si>
    <t>/33.4354963, /70.6845878</t>
  </si>
  <si>
    <t>PADRE HURTADO PC4</t>
  </si>
  <si>
    <t>/33.7627033, /70.6602996</t>
  </si>
  <si>
    <t>MIGUEL LETELIER 13</t>
  </si>
  <si>
    <t>/33.8696583, /70.873655</t>
  </si>
  <si>
    <t>ESCORIAL 30</t>
  </si>
  <si>
    <t>/33.8584976, /70.6182242</t>
  </si>
  <si>
    <t>ROMERO 80</t>
  </si>
  <si>
    <t>/33.8372043, /70.7520498</t>
  </si>
  <si>
    <t>SIN CALLE</t>
  </si>
  <si>
    <t>/33.8362517, /70.6427541</t>
  </si>
  <si>
    <t>SAN FRANCISCO 875</t>
  </si>
  <si>
    <t>/33.5606573, /70.6528128</t>
  </si>
  <si>
    <t>CAMINOP PADRE HURTADO S/N</t>
  </si>
  <si>
    <t>/33.8378616, /70.6403559</t>
  </si>
  <si>
    <t>SANTA FILOMENA</t>
  </si>
  <si>
    <t>/33.8327598, /70.6484541</t>
  </si>
  <si>
    <t>PEDRO PEÑA 40</t>
  </si>
  <si>
    <t>/33.7364582, /70.6828671</t>
  </si>
  <si>
    <t>/33.8022311, /70.6822267</t>
  </si>
  <si>
    <t>LUIS ALBERTO CUEVA 90</t>
  </si>
  <si>
    <t>33.7335862, /70.6872821</t>
  </si>
  <si>
    <t>CARMEN BAJO 2</t>
  </si>
  <si>
    <t>/33.7227302, /71.1984736</t>
  </si>
  <si>
    <t>GUILLERMO SARAVIA  862</t>
  </si>
  <si>
    <t>/33.7227244, /71.1984792</t>
  </si>
  <si>
    <t>LOS COPAHUES NORTE 0279</t>
  </si>
  <si>
    <t>/33.7125755, /70.7405246</t>
  </si>
  <si>
    <t>VINCULO 530</t>
  </si>
  <si>
    <t>/33.84009, /70.8078267</t>
  </si>
  <si>
    <t>/33.7443173, /70.6792367</t>
  </si>
  <si>
    <t>CI 45</t>
  </si>
  <si>
    <t>MANUEL PEÑALILLO 73</t>
  </si>
  <si>
    <t>PERÚ 250</t>
  </si>
  <si>
    <t>/33.819155, /70.74027</t>
  </si>
  <si>
    <t>EL VILLAR 647</t>
  </si>
  <si>
    <t>/33.8111064, /70.7312461</t>
  </si>
  <si>
    <t>HIJUELA SARA ANA 2</t>
  </si>
  <si>
    <t>/33.8055169, /70.6886268</t>
  </si>
  <si>
    <t>LA VENDIMIA 172</t>
  </si>
  <si>
    <t>/33.7473706, /70.8705742</t>
  </si>
  <si>
    <t>TRES SUR 0149</t>
  </si>
  <si>
    <t>/33.6422883, /70.3541022</t>
  </si>
  <si>
    <t>PEDRO AGUIRRE CERDA S/N</t>
  </si>
  <si>
    <t>/33.2747783, /70.8613467</t>
  </si>
  <si>
    <t>CAMIO REAL 36126 SITIO 8</t>
  </si>
  <si>
    <t>/33.7584437, /70.2806347</t>
  </si>
  <si>
    <t>LO VARGAS S/N</t>
  </si>
  <si>
    <t>/33.2743389, /70.8612628</t>
  </si>
  <si>
    <t>EL VOLCAN 16006</t>
  </si>
  <si>
    <t>/33.6076421, /70.3496892</t>
  </si>
  <si>
    <t>/33.2749512, /70.8615434</t>
  </si>
  <si>
    <t>DOMINGO PERLATA 1580</t>
  </si>
  <si>
    <t>/33.5606499, /70.6528156</t>
  </si>
  <si>
    <t>PUCON 35 B</t>
  </si>
  <si>
    <t>/33.6129186, /70.6266984</t>
  </si>
  <si>
    <t>EL HUERTO 39</t>
  </si>
  <si>
    <t>/33874696/70744593</t>
  </si>
  <si>
    <t>CUCAO 1608</t>
  </si>
  <si>
    <t>/33821185/70736946</t>
  </si>
  <si>
    <t>LATORRE 748</t>
  </si>
  <si>
    <t>/33228209/70807458</t>
  </si>
  <si>
    <t>ACONCAGUA 103</t>
  </si>
  <si>
    <t>/33305728/70855965</t>
  </si>
  <si>
    <t>CAMPAMENTO SOL 106</t>
  </si>
  <si>
    <t>/33307729/70859188</t>
  </si>
  <si>
    <t>LA VICTORIA 10</t>
  </si>
  <si>
    <t>/33838075/70644967</t>
  </si>
  <si>
    <t>MIRAFLORES 1360</t>
  </si>
  <si>
    <t>/33601341/70865495</t>
  </si>
  <si>
    <t>VILLA LOS JAZMINEZ 60</t>
  </si>
  <si>
    <t>/33585398/70806428</t>
  </si>
  <si>
    <t>EL TREBOL 18</t>
  </si>
  <si>
    <t>/33542214/70831998</t>
  </si>
  <si>
    <t>SANTUARIO 19197</t>
  </si>
  <si>
    <t>/33692713/70348686</t>
  </si>
  <si>
    <t>LONGISUR 87/B</t>
  </si>
  <si>
    <t>/33858628/70748344</t>
  </si>
  <si>
    <t>PARCELACION SAN VICENTE 18</t>
  </si>
  <si>
    <t>/33670296/70618617</t>
  </si>
  <si>
    <t>EL ARRIERO 0149</t>
  </si>
  <si>
    <t>/33727027/70734375</t>
  </si>
  <si>
    <t>CAMINO MAIPO VILUCO 1631</t>
  </si>
  <si>
    <t>/3374896/70787489</t>
  </si>
  <si>
    <t>ANELEY 871 LOS COPIHUES</t>
  </si>
  <si>
    <t>33,81322°,70,73065°</t>
  </si>
  <si>
    <t>P 9 LA TURBINA, CHADA</t>
  </si>
  <si>
    <t>33,88772°,70,64578°</t>
  </si>
  <si>
    <t>CALLE NUEVA 1941</t>
  </si>
  <si>
    <t>/33.806931,/70.715248</t>
  </si>
  <si>
    <t>AV. VICUÑA MACKENNA 3693</t>
  </si>
  <si>
    <t>33,61131°,70,90041°</t>
  </si>
  <si>
    <t>MANUEL CASTILLO 1545</t>
  </si>
  <si>
    <t>33,60965°,70,84104°</t>
  </si>
  <si>
    <t>LOS QUILLAYES 541</t>
  </si>
  <si>
    <t>33,67889°,70,61248°</t>
  </si>
  <si>
    <t>LOTEO LA RINCONADA 148/B PINCIPAL B</t>
  </si>
  <si>
    <t>33,72138°,70,58097°</t>
  </si>
  <si>
    <t>ESCUDO CHILENO 850</t>
  </si>
  <si>
    <t>33,68967°,71,22249°</t>
  </si>
  <si>
    <t>CAMINO LAS LILAS/ PARCELA 20/LOTE A/1</t>
  </si>
  <si>
    <t>33,88860°,70,65816°</t>
  </si>
  <si>
    <t>AV. VIRGINIA SUBERCASEAUX 3451,</t>
  </si>
  <si>
    <t>33,64800°,70,60405°</t>
  </si>
  <si>
    <t>VILLASECA 318</t>
  </si>
  <si>
    <t>33,74364°70,74259</t>
  </si>
  <si>
    <t>LAS COMPUERTAS 230</t>
  </si>
  <si>
    <t>33,58923°70,47284°</t>
  </si>
  <si>
    <t>33,88856°,70,65803°</t>
  </si>
  <si>
    <t>LAS LILAS PARCELA 20, LOTE A/3</t>
  </si>
  <si>
    <t>33,88858°,70,65813°</t>
  </si>
  <si>
    <t>LOS GALLINEROS 90</t>
  </si>
  <si>
    <t>33,73494°,70,55238°</t>
  </si>
  <si>
    <t>AV. LARRAIN 2870</t>
  </si>
  <si>
    <t>33,59897°,70,88283°</t>
  </si>
  <si>
    <t xml:space="preserve">Dirección Suministro: CONDOMINIO EL ALGARROBAL S/N MZN 30 V 
</t>
  </si>
  <si>
    <t>33,28273°,70,71856°</t>
  </si>
  <si>
    <t>LAS LILAS/ PARCELA 20, LOTE A/4</t>
  </si>
  <si>
    <t>LOS HOLANDESES 761</t>
  </si>
  <si>
    <t>33,68769°71,22900°</t>
  </si>
  <si>
    <t>33,74364°70,74259°</t>
  </si>
  <si>
    <t>P. SERGIO CORREA GAC 377</t>
  </si>
  <si>
    <t>33,74508°77,86965°</t>
  </si>
  <si>
    <t>LOS ESPINOS P49, REINA NORTE</t>
  </si>
  <si>
    <t>33,18698°70,70036°</t>
  </si>
  <si>
    <t>LOS ACACIOS 11 PAR/60 L8</t>
  </si>
  <si>
    <t>33,73778°71,01824°</t>
  </si>
  <si>
    <t>JAIME GUZMAN 1765</t>
  </si>
  <si>
    <t>33,73714°70,90764°</t>
  </si>
  <si>
    <t>EX HACIENDA LAMPA, PARCELA 106 LOTE 1</t>
  </si>
  <si>
    <t>33,31530°,70,84689°</t>
  </si>
  <si>
    <t>CAMINO SANTA ROSA P9</t>
  </si>
  <si>
    <t>33,25944°70,76043°</t>
  </si>
  <si>
    <t>EL PRINCIPAL 31</t>
  </si>
  <si>
    <t>/33.70812/70.56522</t>
  </si>
  <si>
    <t>PJE. EL CUARTEL 305</t>
  </si>
  <si>
    <t>/33.74877/70.86079</t>
  </si>
  <si>
    <t>PANAMERICANA SUR  265 LOTE 2C</t>
  </si>
  <si>
    <t>/33.81798/70.75278</t>
  </si>
  <si>
    <t>AV. GRAL. BAQUEDANO 01472</t>
  </si>
  <si>
    <t>/33.79238/70.73993</t>
  </si>
  <si>
    <t>HUITICALÁN SITIO 1</t>
  </si>
  <si>
    <t>/33.86057/70.85370</t>
  </si>
  <si>
    <t>LO HERRERA 264, ISLA DE MAIPO</t>
  </si>
  <si>
    <t>33,74875/70,90100</t>
  </si>
  <si>
    <t>EL CASTILLO 1124 PARCELA 32</t>
  </si>
  <si>
    <t>/33,70554/70,88547</t>
  </si>
  <si>
    <t>AV CAMINO SAN JOSE DE MAIPO 06997</t>
  </si>
  <si>
    <t>PUENTE ALTO</t>
  </si>
  <si>
    <t>33,60017°, 70,51314</t>
  </si>
  <si>
    <t>LO HERRERA 288, ISLA DE MAIPO</t>
  </si>
  <si>
    <t>33,74849/ 70,90070</t>
  </si>
  <si>
    <t>GILDA DIAZ GIRON 1206</t>
  </si>
  <si>
    <t>33,81833/70,74535</t>
  </si>
  <si>
    <t>SANTA CAROLINA P18</t>
  </si>
  <si>
    <t>33,22003/79,79582</t>
  </si>
  <si>
    <t>RITOQUE 246</t>
  </si>
  <si>
    <t>33,28048/70,88635</t>
  </si>
  <si>
    <t>LOMAS DEL AGUILA PARCELA 8 ETAPA 7</t>
  </si>
  <si>
    <t>33,85837/70,79130</t>
  </si>
  <si>
    <t>33,70817/70,56528</t>
  </si>
  <si>
    <t>AV. ROMERO 65, LOTE 20</t>
  </si>
  <si>
    <t>33,85525°, 70,74402°</t>
  </si>
  <si>
    <t>AV EL ROMERO 65</t>
  </si>
  <si>
    <t>JUAN SOLANO QUINTANA 2536</t>
  </si>
  <si>
    <t>33,66931°, 70,55784°</t>
  </si>
  <si>
    <t>CALLEJON LAS CONEJERAS 734</t>
  </si>
  <si>
    <t>33,48957/ 71,17286</t>
  </si>
  <si>
    <t>LO MACIAS 608</t>
  </si>
  <si>
    <t>33,74613° 70,92894°</t>
  </si>
  <si>
    <t>RICARDO MUÑOZ 673</t>
  </si>
  <si>
    <t>33,67597°/ 70/99139</t>
  </si>
  <si>
    <t>AV. 3 PONIENTE 131</t>
  </si>
  <si>
    <t>33,67743¬,71,23469¬</t>
  </si>
  <si>
    <t>LAS PALMAS 204, EL MANZANO</t>
  </si>
  <si>
    <t>33,58164°/ 70,39736</t>
  </si>
  <si>
    <t>BAQUEDANO 214</t>
  </si>
  <si>
    <t>33,27824°, 70,88263</t>
  </si>
  <si>
    <t>CAMINO SANTA ROSA P9 L1</t>
  </si>
  <si>
    <t>33,25941°, 70,76054°</t>
  </si>
  <si>
    <t>SANTA CAROLINA PARCELA 9</t>
  </si>
  <si>
    <t>33,22435°, 70,79725</t>
  </si>
  <si>
    <t>RUTA G/556 SITIO 49</t>
  </si>
  <si>
    <t>33,90635°, 70,74796</t>
  </si>
  <si>
    <t>33,90635°, 70,74796°</t>
  </si>
  <si>
    <t>CRUCERO PERALILLO P29</t>
  </si>
  <si>
    <t>33,37225°, 70,83614°</t>
  </si>
  <si>
    <t>AV CHILE 105</t>
  </si>
  <si>
    <t>33,80387°, 70,85450</t>
  </si>
  <si>
    <t>SANTA SARA S/N MZN 34</t>
  </si>
  <si>
    <t>33,22037°/ 70,77712°</t>
  </si>
  <si>
    <t>VALLE DEL LIMARI 698</t>
  </si>
  <si>
    <t>33,28086°, 70,88189</t>
  </si>
  <si>
    <t>SANTA CAROLINA 18/1 CASA 2</t>
  </si>
  <si>
    <t>33,22010°, 70,79550</t>
  </si>
  <si>
    <t>SANTA SARA SITIO 2B</t>
  </si>
  <si>
    <t>33,22411°, 70,77252</t>
  </si>
  <si>
    <t>CAMINO SANTA ROSA PARCELA 9</t>
  </si>
  <si>
    <t>33,25916°, 70,75928°</t>
  </si>
  <si>
    <t>CALLE EDUARDO ANGUITA 1549</t>
  </si>
  <si>
    <t>33,28979°, 70,87832</t>
  </si>
  <si>
    <t>EL JUNQUILLO 88</t>
  </si>
  <si>
    <t>33,28987°, 70,76953°</t>
  </si>
  <si>
    <t>PSJE PROFESOR PATRICIO G. LOYOLA SUR 011</t>
  </si>
  <si>
    <t>33,71772°, 70,74648</t>
  </si>
  <si>
    <t>SANTA CAROLINA 18/1 PARCELA 17</t>
  </si>
  <si>
    <t>33,21972, 70,79257</t>
  </si>
  <si>
    <t>LOS ROBLES 368</t>
  </si>
  <si>
    <t>33,24569°, 70,81995</t>
  </si>
  <si>
    <t>STA CAROLINA PARCELA 28 SITIO 2</t>
  </si>
  <si>
    <t>33,22312°, 70,79441</t>
  </si>
  <si>
    <t>SANTA SARA LOTE 4R,M2N4</t>
  </si>
  <si>
    <t>33,24480°, 70,77277</t>
  </si>
  <si>
    <t>STA CAROLINA PARCELA 28 SITIO 3</t>
  </si>
  <si>
    <t>33,22304°, 70,79418</t>
  </si>
  <si>
    <t>SANTA CAROLINA PARCELA 28</t>
  </si>
  <si>
    <t>33,22347, 70,79473</t>
  </si>
  <si>
    <t>LETE E/8. LOTE 2/A, PARCELA 2</t>
  </si>
  <si>
    <t>33,22310, 70,79431</t>
  </si>
  <si>
    <t>PASAJE LOS HELECHOS 187C</t>
  </si>
  <si>
    <t>/33,884760, 70,744296</t>
  </si>
  <si>
    <t>PASAJE GABRIEL DE LA CRUZ 220</t>
  </si>
  <si>
    <t>/33,817841, /70,740452</t>
  </si>
  <si>
    <t>ALTOS DE POPETA, SECTOR LAS CODORNICES, P30</t>
  </si>
  <si>
    <t>/33,821167, 71,322817</t>
  </si>
  <si>
    <t>VILLASECA 067</t>
  </si>
  <si>
    <t>/33,742990, /70,736846</t>
  </si>
  <si>
    <t>LO HERMITA PARCELA 9</t>
  </si>
  <si>
    <t>/33,587282, /70,771066</t>
  </si>
  <si>
    <t>ADOLFO LARRAIN 580</t>
  </si>
  <si>
    <t>/33.683840, /71.236068</t>
  </si>
  <si>
    <t>/33,587427, /70,771167</t>
  </si>
  <si>
    <t>/33,587549,/70,720715</t>
  </si>
  <si>
    <t>BERNARDO O HIGGINS 50</t>
  </si>
  <si>
    <t>/33.728801, /70.747335</t>
  </si>
  <si>
    <t>ALDUNATE URRUTIA CASA 29</t>
  </si>
  <si>
    <t>/33,284454, 70,713986</t>
  </si>
  <si>
    <t>LAS PATAGUAS 268</t>
  </si>
  <si>
    <t>/33.814197, 70.846272</t>
  </si>
  <si>
    <t>ARTURO PRAT 607</t>
  </si>
  <si>
    <t>/33,733307,/70,785106</t>
  </si>
  <si>
    <t>CALLE 8 PONIENTE 980</t>
  </si>
  <si>
    <t>/33,805850/70,762536</t>
  </si>
  <si>
    <t>EL SAUCE SITIO 3 LOTE C</t>
  </si>
  <si>
    <t>/33,641413,/70,798610</t>
  </si>
  <si>
    <t>CULIPRAN PARCELA 265</t>
  </si>
  <si>
    <t>/33,764907, 71,241203</t>
  </si>
  <si>
    <t>MARCIAL HENRIQUEZ 354</t>
  </si>
  <si>
    <t>/33,655109/ 70,922693</t>
  </si>
  <si>
    <t>CAMINO LONQUEN PARADERO 10 CASA 21</t>
  </si>
  <si>
    <t>/33,602355,/70,787613</t>
  </si>
  <si>
    <t>ARAUCARIA 921</t>
  </si>
  <si>
    <t>/33,707589, /70,555425</t>
  </si>
  <si>
    <t>GONZALO BARROS ORTUZAR</t>
  </si>
  <si>
    <t>/33276455,/70889819</t>
  </si>
  <si>
    <t>LAGO PILLAIFA PARCELA 8</t>
  </si>
  <si>
    <t>/33,238692, 70,788305</t>
  </si>
  <si>
    <t>LAS ARAUCARIAS 473</t>
  </si>
  <si>
    <t>/33,303472, /70,863044</t>
  </si>
  <si>
    <t>AVENIDA CHILE 1327</t>
  </si>
  <si>
    <t>/33.226586, /70.809504</t>
  </si>
  <si>
    <t>ATACAMA 4 PARCELA 140</t>
  </si>
  <si>
    <t>/33,303925,/70,855641</t>
  </si>
  <si>
    <t>TUNQUELEN II PARCELA 13</t>
  </si>
  <si>
    <t>/33,216107,/70,774673</t>
  </si>
  <si>
    <t>CONDOMINIO PUESTA DE SOL P. 16</t>
  </si>
  <si>
    <t>/33,30863,/70,83606</t>
  </si>
  <si>
    <t>NUEVA ESPARTA 79</t>
  </si>
  <si>
    <t>/33.747903, /70,896288</t>
  </si>
  <si>
    <t>PASAJE ANCAHUAL 1429</t>
  </si>
  <si>
    <t>/33,280131, /70,871627</t>
  </si>
  <si>
    <t>CAMINO LONQUEN P. 6 PARCELA 73</t>
  </si>
  <si>
    <t>/33,585146, /70,785493</t>
  </si>
  <si>
    <t>PASAJE DELFIN GALEANO 1853</t>
  </si>
  <si>
    <t>/33,824622, /70,7332290</t>
  </si>
  <si>
    <t>EL TRANSITO 58</t>
  </si>
  <si>
    <t>/33,793021, /70,656402</t>
  </si>
  <si>
    <t>MEDIA LUNA P 117</t>
  </si>
  <si>
    <t>/33,887933, /70,720352</t>
  </si>
  <si>
    <t>MARIA LETELIER  DE BERNISKEIN 901 P, 61</t>
  </si>
  <si>
    <t>/33,872766, /70,893983</t>
  </si>
  <si>
    <t>INTERIOR lOS MONTES 6256</t>
  </si>
  <si>
    <t>/33,693946 , /70,879624</t>
  </si>
  <si>
    <t>MARIA LETELIER BERASKIN 901 P. 61</t>
  </si>
  <si>
    <t>/33,872776 / /70,,894243</t>
  </si>
  <si>
    <t>EL ROSARIO SITIO 17</t>
  </si>
  <si>
    <t>/33,646451, /71,014337</t>
  </si>
  <si>
    <t>LAS ACACIAS 35</t>
  </si>
  <si>
    <t>/33,71143, /70,85243</t>
  </si>
  <si>
    <t>LOS OLIVOS 989</t>
  </si>
  <si>
    <t>/33,695402, /71,020853</t>
  </si>
  <si>
    <t>LA MAÑANA 4257</t>
  </si>
  <si>
    <t>/33,738864, /70,862684</t>
  </si>
  <si>
    <t>PARCELA 8 LOTE 4 EL BOLLENAR</t>
  </si>
  <si>
    <t>/33, 562813, /71,209419</t>
  </si>
  <si>
    <t>FUENZALIDA 719</t>
  </si>
  <si>
    <t>/33,689540, /71,210779</t>
  </si>
  <si>
    <t>COLONIA KENNEDY</t>
  </si>
  <si>
    <t>/33,860326, /70,741692</t>
  </si>
  <si>
    <t>QUILAMUTA KM 4</t>
  </si>
  <si>
    <t>/33,884645, /71,510100</t>
  </si>
  <si>
    <t>SANTA FILOMENA SITIO 2  HUELQUEN</t>
  </si>
  <si>
    <t>/33,832745, /70,646740</t>
  </si>
  <si>
    <t>SANTA ROSA LO CHACON</t>
  </si>
  <si>
    <t>SAN PEDRO MELIPILLA</t>
  </si>
  <si>
    <t>/33,988986, /71,311130</t>
  </si>
  <si>
    <t>SANTA ROSA, LO CHACON</t>
  </si>
  <si>
    <t>/33,987673, /71,318636</t>
  </si>
  <si>
    <t>JOSE MIGUEL CARRERA 109</t>
  </si>
  <si>
    <t>/33,682428, 71,203853</t>
  </si>
  <si>
    <t>SECTOR POPETA S/N</t>
  </si>
  <si>
    <t>/33,800882, /71,299806</t>
  </si>
  <si>
    <t>STA. FILOMENA PARCELA 30</t>
  </si>
  <si>
    <t>/33,584262, /71,235324</t>
  </si>
  <si>
    <t>EL TRANSITO 1279</t>
  </si>
  <si>
    <t>/33,655992, /71,155160</t>
  </si>
  <si>
    <t>PASAJE MATICO 718</t>
  </si>
  <si>
    <t>/33,293948, /70,882459</t>
  </si>
  <si>
    <t>SANTA MONICA</t>
  </si>
  <si>
    <t>/33,533711, / 70,906704</t>
  </si>
  <si>
    <t>CIRCUNVALACION 2026</t>
  </si>
  <si>
    <t>/33,686574, /71,233095</t>
  </si>
  <si>
    <t>AVENIDA CHILE 592</t>
  </si>
  <si>
    <t>/33,806100, /70,855736</t>
  </si>
  <si>
    <t>CAMPUSANO 3940</t>
  </si>
  <si>
    <t>/33,794777, /7,0819065</t>
  </si>
  <si>
    <t>PEUMO 613</t>
  </si>
  <si>
    <t>/33,686589, /70,938296</t>
  </si>
  <si>
    <t>LAS ACACIAS 25</t>
  </si>
  <si>
    <t>/33,710432, /70,850914</t>
  </si>
  <si>
    <t>TEGUALDA PARCELA 7 SITIO 15</t>
  </si>
  <si>
    <t>/33,682651, /70,948032</t>
  </si>
  <si>
    <t>ISABEL RIQUELME 317</t>
  </si>
  <si>
    <t>/33,67463, /70,97667</t>
  </si>
  <si>
    <t>MONTE ARARAT 2878 LOTE 38</t>
  </si>
  <si>
    <t>/33,297090,/70,754123</t>
  </si>
  <si>
    <t>MONTE ARARAT 2876</t>
  </si>
  <si>
    <t>/33,297040,/70,959423</t>
  </si>
  <si>
    <t>LONQUEN SUR 20780</t>
  </si>
  <si>
    <t>/33.659505, /70.833898</t>
  </si>
  <si>
    <t>VILLARRICA 77</t>
  </si>
  <si>
    <t>/33,289052, /70,875107</t>
  </si>
  <si>
    <t>LO CHACON S7N</t>
  </si>
  <si>
    <t>/33,991846, /71,299135</t>
  </si>
  <si>
    <t>LO CHACON</t>
  </si>
  <si>
    <t>/33,988314, /71,313134</t>
  </si>
  <si>
    <t>/33.986982, /71.310771</t>
  </si>
  <si>
    <t>LO CHACON S/N</t>
  </si>
  <si>
    <t>SANTA ROSA, LA SIERRA</t>
  </si>
  <si>
    <t>/33,966499, /71,290209</t>
  </si>
  <si>
    <t>LOS GUINDOS KM,45</t>
  </si>
  <si>
    <t>/33,988683, /71,309668</t>
  </si>
  <si>
    <t>CONDOMINIO EL PARRON</t>
  </si>
  <si>
    <t>/33.618131, /70.885152</t>
  </si>
  <si>
    <t>EL CASTAÑO P/126</t>
  </si>
  <si>
    <t>/33,86737, /70,108155</t>
  </si>
  <si>
    <t>SANTA SOFIA</t>
  </si>
  <si>
    <t>/33,592954, /70,781200</t>
  </si>
  <si>
    <t>LOS CEIBOS P/3</t>
  </si>
  <si>
    <t>/33,617810, /70,75792</t>
  </si>
  <si>
    <t>SANTA ROSA LO SIERRA</t>
  </si>
  <si>
    <t>CAMINO LONQUEN</t>
  </si>
  <si>
    <t>/33,592609, /70,781626</t>
  </si>
  <si>
    <t>/33.989611, /71.317819</t>
  </si>
  <si>
    <t>/33.990140, /71.315270</t>
  </si>
  <si>
    <t>CALLE HUASCAR 0936</t>
  </si>
  <si>
    <t>/33.678064, /71.191016</t>
  </si>
  <si>
    <t>SANTA ROSA</t>
  </si>
  <si>
    <t>/33,966538, /71,290557</t>
  </si>
  <si>
    <t>/33,592928, /70,780936</t>
  </si>
  <si>
    <t>SANTA ROSA LAS NIEVES</t>
  </si>
  <si>
    <t>/33,987641 , /71,314770</t>
  </si>
  <si>
    <t>LO ERMITA PC 6</t>
  </si>
  <si>
    <t>/33,580635, /70,770461</t>
  </si>
  <si>
    <t>LOICA ABAJO LOTE 13</t>
  </si>
  <si>
    <t>/33,972693, /71,479677</t>
  </si>
  <si>
    <t>/33,973439, /71,480037</t>
  </si>
  <si>
    <t>EL LITRE 491</t>
  </si>
  <si>
    <t>/33,750470 , /70,861701</t>
  </si>
  <si>
    <t>SANTA ROSALAS NIEVES</t>
  </si>
  <si>
    <t>/33,987641,, /71,314770</t>
  </si>
  <si>
    <t>PASAJE MIRIAM LILLO 556</t>
  </si>
  <si>
    <t>/33,652322, /70,905235</t>
  </si>
  <si>
    <t>/33,987764, /71,317101</t>
  </si>
  <si>
    <t>SECTOR LOS GUINDOS</t>
  </si>
  <si>
    <t>/33,889103,/71,242346</t>
  </si>
  <si>
    <t>CAMINO LONQUEN PARADA21</t>
  </si>
  <si>
    <t>/33,641031, /70,798299</t>
  </si>
  <si>
    <t>LONGISUR 235</t>
  </si>
  <si>
    <t>/33,811137,/70,753492</t>
  </si>
  <si>
    <t>AVENIDA CHILE 745</t>
  </si>
  <si>
    <t>/33,80839, /70,85925</t>
  </si>
  <si>
    <t>/33,710650, /70,350720</t>
  </si>
  <si>
    <t>CONDOMINIO SN FCO, P. 51</t>
  </si>
  <si>
    <t>/33,873158,/70,891301</t>
  </si>
  <si>
    <t>MELPILLA</t>
  </si>
  <si>
    <t xml:space="preserve">/33.983667, /71.325084
</t>
  </si>
  <si>
    <t xml:space="preserve">/33.983722, /71.323627
</t>
  </si>
  <si>
    <t>LARAPINTA 2457</t>
  </si>
  <si>
    <t>/33,297043, /7087896</t>
  </si>
  <si>
    <t>ARTURO PRAT 701</t>
  </si>
  <si>
    <t>/33,097276,/70,929892</t>
  </si>
  <si>
    <t>/33.985711, /71.320751</t>
  </si>
  <si>
    <t>LO SIERRA SANTA ROSA</t>
  </si>
  <si>
    <t>/33.898498, /71.458155</t>
  </si>
  <si>
    <t>/33.993530, /71.292753</t>
  </si>
  <si>
    <t>PARCELA61 SITIO 20</t>
  </si>
  <si>
    <t>/33.726481, /70.973548</t>
  </si>
  <si>
    <t>OHIGGINS 148</t>
  </si>
  <si>
    <t>/33,730142, /70747780</t>
  </si>
  <si>
    <t>GACITUA 744</t>
  </si>
  <si>
    <t>/33.730604, /70.908430</t>
  </si>
  <si>
    <t>/33.987928, /71.312359</t>
  </si>
  <si>
    <t>/33,986842, /71,311046</t>
  </si>
  <si>
    <t>LAS GUIAS 5467 PARC. 41</t>
  </si>
  <si>
    <t>/33,737119, /70,961080</t>
  </si>
  <si>
    <t>/33,872506, /71,234021</t>
  </si>
  <si>
    <t>LOGROÑO 68</t>
  </si>
  <si>
    <t>/33,680233, /71,191515</t>
  </si>
  <si>
    <t>/33.98847,/71.30978</t>
  </si>
  <si>
    <t>VISTA HERMOSA CS</t>
  </si>
  <si>
    <t>/33.704921, /71.218236</t>
  </si>
  <si>
    <t>/33,782611, /71,243566</t>
  </si>
  <si>
    <t>BELGAS 705</t>
  </si>
  <si>
    <t>/33.686681, /71.229577</t>
  </si>
  <si>
    <t>LOS ALAMOS 89</t>
  </si>
  <si>
    <t>/33,860134, /70,749310</t>
  </si>
  <si>
    <t>HIJUELA 1 SITIO 11</t>
  </si>
  <si>
    <t>/33.696063, /71.203329</t>
  </si>
  <si>
    <t>/33,9690324, /71,2938727</t>
  </si>
  <si>
    <t>/33,985760, /71,319560</t>
  </si>
  <si>
    <t>EL VILLORIN AGRICOLA 90</t>
  </si>
  <si>
    <t>/33,5996422, /70,7735969</t>
  </si>
  <si>
    <t>LOS BEIGAS 709</t>
  </si>
  <si>
    <t>/33,686798, /71,229639</t>
  </si>
  <si>
    <t>LOS GUINDOS 54</t>
  </si>
  <si>
    <t>/33,890903, /71,235542</t>
  </si>
  <si>
    <t>AVENIDA CIRCUNVALACION 2989</t>
  </si>
  <si>
    <t>/33,6807114, /70,9481272</t>
  </si>
  <si>
    <t>SANTA ROSA , LO CHACON</t>
  </si>
  <si>
    <t>/33,9444681, /71,2667941</t>
  </si>
  <si>
    <t>/33,9599784, /71,3066551</t>
  </si>
  <si>
    <t>/33,987076, /71,318555</t>
  </si>
  <si>
    <t>/33,987422, /71310713</t>
  </si>
  <si>
    <t>SANTA ROSA , LO SIERRA</t>
  </si>
  <si>
    <t>/33,9847315, /71,3226608</t>
  </si>
  <si>
    <t>/33,9844332, /71,3230927</t>
  </si>
  <si>
    <t>/33,987144, /71,310755</t>
  </si>
  <si>
    <t>PASAJE ANDRES BELLO 785</t>
  </si>
  <si>
    <t>/33,7008638, /71,2196563</t>
  </si>
  <si>
    <t>PASAJE ARMANDO PHILLIPI 1127</t>
  </si>
  <si>
    <t>/33,6787749, /70,9483864</t>
  </si>
  <si>
    <t>EL OLIVETO 2584</t>
  </si>
  <si>
    <t>/33,666911, /70,870515</t>
  </si>
  <si>
    <t>YECORA 250</t>
  </si>
  <si>
    <t>/33,6816834, /712101220</t>
  </si>
  <si>
    <t>POPETA PARCELA 9 SITIO 8</t>
  </si>
  <si>
    <t>/33.814746, /71.284552</t>
  </si>
  <si>
    <t>SAN JORGE P/50</t>
  </si>
  <si>
    <t>/33,260087, /70,7290</t>
  </si>
  <si>
    <t>EL ESFUERZO 19087</t>
  </si>
  <si>
    <t>/33.4354764,/70.3506001</t>
  </si>
  <si>
    <t>EL BAJO P/4</t>
  </si>
  <si>
    <t>/33,705465, /71,211326</t>
  </si>
  <si>
    <t>LA OBRA 902</t>
  </si>
  <si>
    <t>/33,43145, /70,44070</t>
  </si>
  <si>
    <t>SANTA ROSA /P23</t>
  </si>
  <si>
    <t>/33,9881407, 71,3426560</t>
  </si>
  <si>
    <t>PASAJE SALVADOR ALLENDE</t>
  </si>
  <si>
    <t>/33,188734, /70,662302</t>
  </si>
  <si>
    <t>LOS CIPRESES 1134</t>
  </si>
  <si>
    <t>/33,609263, /70,875573</t>
  </si>
  <si>
    <t>EL OLIVETO 2568</t>
  </si>
  <si>
    <t>/33,667231, /70,870457</t>
  </si>
  <si>
    <t>/33,965035, /71,289656</t>
  </si>
  <si>
    <t>SANTA ROSA CV17</t>
  </si>
  <si>
    <t>/33,9546713, /71,2891228</t>
  </si>
  <si>
    <t>AVENIDA LA PAZ 449</t>
  </si>
  <si>
    <t>/33,077447, /70,926869</t>
  </si>
  <si>
    <t>VALLE CANELA 629</t>
  </si>
  <si>
    <t>/33,281688, /70,880635</t>
  </si>
  <si>
    <t>MEDIA LUNA 505</t>
  </si>
  <si>
    <t>/33,694852, /70,579777</t>
  </si>
  <si>
    <t>/33,9648415, /71,2887718</t>
  </si>
  <si>
    <t>ACEVEDO 1777</t>
  </si>
  <si>
    <t>/33.7586184,/70.9207921</t>
  </si>
  <si>
    <t>/33,9677804, /71,294424</t>
  </si>
  <si>
    <t>/33,9696814, /71,2956352</t>
  </si>
  <si>
    <t>EL PAIQUITO</t>
  </si>
  <si>
    <t>/33,691570, /71039826</t>
  </si>
  <si>
    <t>LLANCAY</t>
  </si>
  <si>
    <t>/33,9107591, /71,4379023</t>
  </si>
  <si>
    <t>AVENIDA KENNEDY 1035</t>
  </si>
  <si>
    <t>/33,7405893, /707453633</t>
  </si>
  <si>
    <t>/33,988521, /71,342313</t>
  </si>
  <si>
    <t>CAMINO A PICHI</t>
  </si>
  <si>
    <t>ALHUE</t>
  </si>
  <si>
    <t>/34,0250256, /71,0808409</t>
  </si>
  <si>
    <t>/33.666954, /70.870917</t>
  </si>
  <si>
    <t>LOS SAUCES LOTEO ROCAS DE PIRQUE</t>
  </si>
  <si>
    <t>/33.6604684, /70.5941474</t>
  </si>
  <si>
    <t>/34.0251074, /71.081411</t>
  </si>
  <si>
    <t>/34,0251074, /71.0814119</t>
  </si>
  <si>
    <t>CALLEJON NUEVO PORVENIR SITIO 49</t>
  </si>
  <si>
    <t>/33.2822850, /70.8412060</t>
  </si>
  <si>
    <t>RAMON FREIRE 545</t>
  </si>
  <si>
    <t>/33.281560,/70.8855928</t>
  </si>
  <si>
    <t>EL GUANACO P/4 L/2</t>
  </si>
  <si>
    <t>/33.580450, /70.853306</t>
  </si>
  <si>
    <t>NUEVO PORVENIR SIITO 49</t>
  </si>
  <si>
    <t>SAN GUILLERMO CASA 4</t>
  </si>
  <si>
    <t>/33.639583,/70882528</t>
  </si>
  <si>
    <t>SAN ALBERTO 356</t>
  </si>
  <si>
    <t>/338061547, /707355310</t>
  </si>
  <si>
    <t>ALAMEDA DEL LLANO</t>
  </si>
  <si>
    <t>/33.48099, /70.5694676</t>
  </si>
  <si>
    <t>LA TORRE S/N MIJ. 29 PARC. 56</t>
  </si>
  <si>
    <t>/33.2280100, /70.8047189</t>
  </si>
  <si>
    <t>/33,48099, /70,5694676</t>
  </si>
  <si>
    <t>LAS PIRCAS 524</t>
  </si>
  <si>
    <t>/33,733757, /70,8637</t>
  </si>
  <si>
    <t>LAS FLORES 129</t>
  </si>
  <si>
    <t>/33.605335,/70.894415</t>
  </si>
  <si>
    <t>CAMINO MELIPILLA 0330</t>
  </si>
  <si>
    <t>/33,639310, /70,882205</t>
  </si>
  <si>
    <t>EL MOLINO 45</t>
  </si>
  <si>
    <t>/33,199908, /70,652990</t>
  </si>
  <si>
    <t>SANTA INES</t>
  </si>
  <si>
    <t>/33.664988, /70.845329</t>
  </si>
  <si>
    <t>PASAJE  PADRE LUIS BORREMAN 467</t>
  </si>
  <si>
    <t>/33. 6725906, 71.2110454</t>
  </si>
  <si>
    <t>CALLE KAWESCAR 160</t>
  </si>
  <si>
    <t>/33.6787116, /71.1746250</t>
  </si>
  <si>
    <t>RAMON SERRANO 2036</t>
  </si>
  <si>
    <t>/33.683726, /71.232485</t>
  </si>
  <si>
    <t>VALDES 142</t>
  </si>
  <si>
    <t>/33,987718, /71,2088765</t>
  </si>
  <si>
    <t>SANTA ROSA 646</t>
  </si>
  <si>
    <t>/33.653608, /71.275270</t>
  </si>
  <si>
    <t>AUT. SOL 7155</t>
  </si>
  <si>
    <t>/33.657117, /71324221</t>
  </si>
  <si>
    <t>CAMINO LA COMUNIDAD A2</t>
  </si>
  <si>
    <t>/33.458869, /71094306</t>
  </si>
  <si>
    <t>LAUTARO 0107</t>
  </si>
  <si>
    <t>/33.2075525, 70.6815190</t>
  </si>
  <si>
    <t>RAMON FREIRE 417</t>
  </si>
  <si>
    <t>/33.281343, /70.885796</t>
  </si>
  <si>
    <t>LA TORRE 1065</t>
  </si>
  <si>
    <t>/33.227810, /70.804065</t>
  </si>
  <si>
    <t>PUERTAS COLORADAS SITIOO 6</t>
  </si>
  <si>
    <t>/33.651839, /71.307433</t>
  </si>
  <si>
    <t>VISTA HERMOSA BLOCK C5 DEPTO 202</t>
  </si>
  <si>
    <t>/33.6875884, /71,2363735</t>
  </si>
  <si>
    <t>CAMINO A CHOLQUI P.3 LOTE 3</t>
  </si>
  <si>
    <t>/33.7470614, 71,2026759</t>
  </si>
  <si>
    <t>ERNESTO TITO JIMENEZ 492</t>
  </si>
  <si>
    <t>/33.743493, /70.870191</t>
  </si>
  <si>
    <t>MANUEL HUMBERTO 498</t>
  </si>
  <si>
    <t>/33.672887, 71.210137</t>
  </si>
  <si>
    <t>CAMINO LA COMUNIDAD</t>
  </si>
  <si>
    <t>/33.4587783, /71.0949624</t>
  </si>
  <si>
    <t>MANUEL HUMBERTO RIVEROS 498</t>
  </si>
  <si>
    <t>/33.672933, /71.210503</t>
  </si>
  <si>
    <t>LAS ACACIAS P.35</t>
  </si>
  <si>
    <t>/33.709857, /70.8514</t>
  </si>
  <si>
    <t>SECTOR EL ALTO S/N</t>
  </si>
  <si>
    <t>/33.6898102, /71.1868897</t>
  </si>
  <si>
    <t>CAMINO LA COMUNIDAD SITIO A2</t>
  </si>
  <si>
    <t>/33.4588639 /71,0945849</t>
  </si>
  <si>
    <t>CAMINO LA OBRA 906</t>
  </si>
  <si>
    <t>/33.720910, /70.734849</t>
  </si>
  <si>
    <t>MANUEL NAVARRO 4987</t>
  </si>
  <si>
    <t>/33.673027, /71.210538</t>
  </si>
  <si>
    <t>HURTADO 880</t>
  </si>
  <si>
    <t>/33.690879, /71.219988</t>
  </si>
  <si>
    <t>VECINO ORLANDO CARREÑO 599</t>
  </si>
  <si>
    <t>/33.7195502, /70.7468797</t>
  </si>
  <si>
    <t>PADRE BORREMAN 459</t>
  </si>
  <si>
    <t>/33.672584, /71.211388</t>
  </si>
  <si>
    <t>ERRAZURIZ 135</t>
  </si>
  <si>
    <t>/33.741325, /71.194896</t>
  </si>
  <si>
    <t>CALLE LO SECO 884</t>
  </si>
  <si>
    <t>/33.1920926, /70.6824477</t>
  </si>
  <si>
    <t>PRIMERA AVENIDA 1095</t>
  </si>
  <si>
    <t>/33.563626, /70.790270</t>
  </si>
  <si>
    <t>/33.959778, /71.305671</t>
  </si>
  <si>
    <t>COLONIA KENNEDY P. 37 LOTE 48</t>
  </si>
  <si>
    <t>/33.8448743, /70.7341878</t>
  </si>
  <si>
    <t>ESMERALDA 650</t>
  </si>
  <si>
    <t>/33.736575, /70.7429</t>
  </si>
  <si>
    <t>LOS ESPONOS 540</t>
  </si>
  <si>
    <t>/33.804342, /70.732220</t>
  </si>
  <si>
    <t>P. NACIONAL LAUCA 1857</t>
  </si>
  <si>
    <t>/33.687554, /71236395</t>
  </si>
  <si>
    <t>/33.9645823, /71.2893354</t>
  </si>
  <si>
    <t>REINO UNIDO</t>
  </si>
  <si>
    <t>/33,675863, /71.179840</t>
  </si>
  <si>
    <t>LUDWING VANBEETHOVEN 783</t>
  </si>
  <si>
    <t>/33.6826797, /71.1966734</t>
  </si>
  <si>
    <t>ARZA 1787</t>
  </si>
  <si>
    <t>/33.681884, /71.228803</t>
  </si>
  <si>
    <t>PASAJE LUIS BORREMAN 467</t>
  </si>
  <si>
    <t>/33.6726218, /71.2110385</t>
  </si>
  <si>
    <t>DEMETRIO GRAVO 403 BLOCK 0403 DPTO 100</t>
  </si>
  <si>
    <t>/33679020, /71201923</t>
  </si>
  <si>
    <t>/33.9698655, /712955391</t>
  </si>
  <si>
    <t>EMETERIO GOYENECHEA 1426</t>
  </si>
  <si>
    <t>/33699446, /71216327</t>
  </si>
  <si>
    <t>CALLE CAOBA 2027</t>
  </si>
  <si>
    <t>/336793865, /711775764</t>
  </si>
  <si>
    <t>LOS LIBERTADORES 1548</t>
  </si>
  <si>
    <t>/33687899, /71033533</t>
  </si>
  <si>
    <t>MIRAFLORES 0276</t>
  </si>
  <si>
    <t>/33.728887, /70.683725</t>
  </si>
  <si>
    <t>/33.563820, /70.790</t>
  </si>
  <si>
    <t>MARGARITA MELLA 700</t>
  </si>
  <si>
    <t>/33003694, /70884492</t>
  </si>
  <si>
    <t>LOS MAITENES 173</t>
  </si>
  <si>
    <t>/33.6813057, /71.2283597</t>
  </si>
  <si>
    <t>LOS MAITENES 141</t>
  </si>
  <si>
    <t>/33681194, /71228291</t>
  </si>
  <si>
    <t>SITIO 4 LOS GUINDOS</t>
  </si>
  <si>
    <t>MELIPLLA</t>
  </si>
  <si>
    <t>/33.806374, /71.299193</t>
  </si>
  <si>
    <t>MARGARITA MELLA 800</t>
  </si>
  <si>
    <t>/33,003417, /70884309</t>
  </si>
  <si>
    <t>P. 3 SITIO 3 PABELLON</t>
  </si>
  <si>
    <t>/33.7470380, /71.2025508</t>
  </si>
  <si>
    <t>DARIO VALLE RUNGUE 73</t>
  </si>
  <si>
    <t>/33,0047283, /708858899</t>
  </si>
  <si>
    <t>PRIMERA TRANSVERSAL 1263</t>
  </si>
  <si>
    <t>/335681340, /708025248</t>
  </si>
  <si>
    <t>VISTA HERMOSA S/N</t>
  </si>
  <si>
    <t>/336982555, /705948924</t>
  </si>
  <si>
    <t>EL RECURSO 16 RECURSO C</t>
  </si>
  <si>
    <t>/336908273, /707050123</t>
  </si>
  <si>
    <t>/33.667007, /70.870664</t>
  </si>
  <si>
    <t>ESPERANZA 94</t>
  </si>
  <si>
    <t>/33.2813354, /70.7553263</t>
  </si>
  <si>
    <t>/33.667405, /70.870917</t>
  </si>
  <si>
    <t>PASAJE LAS CASCADAS 2081</t>
  </si>
  <si>
    <t>/33.292241, /70.8746602</t>
  </si>
  <si>
    <t>LA PIRAMIDE 1095</t>
  </si>
  <si>
    <t>/33563568, /70790331</t>
  </si>
  <si>
    <t>PROGRESO 72</t>
  </si>
  <si>
    <t>/335980337, /708805875</t>
  </si>
  <si>
    <t>PRIMERA TRANSVERSAL 1265</t>
  </si>
  <si>
    <t>/33.570645, /70803485</t>
  </si>
  <si>
    <t>WASHINTON GOMEZ 324</t>
  </si>
  <si>
    <t>/33.673023, /71210318</t>
  </si>
  <si>
    <t>SARGENTO ALDEA 882</t>
  </si>
  <si>
    <t>/33729841, /70747073</t>
  </si>
  <si>
    <t>FRANCIA S/N P. 8</t>
  </si>
  <si>
    <t>/33.2358535, /70.8064549</t>
  </si>
  <si>
    <t>CAOBA 02027</t>
  </si>
  <si>
    <t>/33679438, /71177547</t>
  </si>
  <si>
    <t>PASAJE ISLA NAVARINO 334</t>
  </si>
  <si>
    <t>/338062321, /707372831</t>
  </si>
  <si>
    <t>CORREA 315</t>
  </si>
  <si>
    <t>/33.683579, /71220632</t>
  </si>
  <si>
    <t>PASAJE WASHINGTON 324</t>
  </si>
  <si>
    <t>/33.673067, /71210313</t>
  </si>
  <si>
    <t>/33.675611, /70.87528</t>
  </si>
  <si>
    <t>ALUNCO 2531</t>
  </si>
  <si>
    <t>/33.67427, /71.235066</t>
  </si>
  <si>
    <t>/33.673067, /71.210313</t>
  </si>
  <si>
    <t>LONGISUR PARCELA 235A</t>
  </si>
  <si>
    <t>/33.811065, /70.752289</t>
  </si>
  <si>
    <t>/33.657117, /71.324221</t>
  </si>
  <si>
    <t>PASAJE LA ESTRELLA 0110</t>
  </si>
  <si>
    <t>/33.203253, /70.673667</t>
  </si>
  <si>
    <t>LINDEROS PARC.LAS ARAUCARIAS 34</t>
  </si>
  <si>
    <t>/33.7407476,/70.681922</t>
  </si>
  <si>
    <t>GENERAL JOSE ALDUNATE 428</t>
  </si>
  <si>
    <t>/33.676063, /71.212800</t>
  </si>
  <si>
    <t>A. RUTA 6/54 2361</t>
  </si>
  <si>
    <t>/33.728576, /71.204779</t>
  </si>
  <si>
    <t>CULIPRAN 340</t>
  </si>
  <si>
    <t>/33.681402, /71.214560</t>
  </si>
  <si>
    <t>EL TRIUNFADOR 6782</t>
  </si>
  <si>
    <t>/33.697008, /70.846421</t>
  </si>
  <si>
    <t>CULIPRAN 10</t>
  </si>
  <si>
    <t>/33.774447, /71241732</t>
  </si>
  <si>
    <t>PASAJE RUBI 011</t>
  </si>
  <si>
    <t>/33.728975, /70735702</t>
  </si>
  <si>
    <t>SANTA SOFIA P. 14A</t>
  </si>
  <si>
    <t>/33.593524, /70.778573</t>
  </si>
  <si>
    <t>EL DIBUJO P. 68 LOTE  E</t>
  </si>
  <si>
    <t>/33.798127, /71.229413</t>
  </si>
  <si>
    <t>LOS CIRUELOS PARCELA 26</t>
  </si>
  <si>
    <t>/33.554143, /70.842118</t>
  </si>
  <si>
    <t>PAJARITOS PARCELA 15</t>
  </si>
  <si>
    <t>/33.589867, /70847143</t>
  </si>
  <si>
    <t>2 SUR 450</t>
  </si>
  <si>
    <t>/33.207036, /70.673512</t>
  </si>
  <si>
    <t>LUIS PASTEUR 677</t>
  </si>
  <si>
    <t>/33.567453, /70.802631</t>
  </si>
  <si>
    <t>HUECHUN BAJO PARCELA 25</t>
  </si>
  <si>
    <t>/33.708672, /71.306048</t>
  </si>
  <si>
    <t>DIEGO ALMAGRO 0203</t>
  </si>
  <si>
    <t>/33.690967, /71.054156</t>
  </si>
  <si>
    <t>CAMINO LOS QUILLAYES 1675</t>
  </si>
  <si>
    <t>/33.680050, /70.602836</t>
  </si>
  <si>
    <t>PADRE DEMETRIO BRAVO 403</t>
  </si>
  <si>
    <t>/33.678982, /71.201600</t>
  </si>
  <si>
    <t>CAMINO SERVIDUMBRE PARCELA 22 LOTE 22A</t>
  </si>
  <si>
    <t>/33.285900, /70.862592</t>
  </si>
  <si>
    <t>/33.568097, /70.802608</t>
  </si>
  <si>
    <t>EL BOSQUE 0354</t>
  </si>
  <si>
    <t>/33.202324, /70.671309</t>
  </si>
  <si>
    <t>EDUARDO MARIN P. 15</t>
  </si>
  <si>
    <t>/33.713351, /71.290139</t>
  </si>
  <si>
    <t>CAMINO A LA ESCUELA 75</t>
  </si>
  <si>
    <t>/33.725250, /70.543869</t>
  </si>
  <si>
    <t>WASHINTON 337</t>
  </si>
  <si>
    <t>/33,672863/71,210382</t>
  </si>
  <si>
    <t>PASAJE A. PASSIS 1164</t>
  </si>
  <si>
    <t>/33.679868, 70.946785</t>
  </si>
  <si>
    <t>VALDES 0121</t>
  </si>
  <si>
    <t>/33.876688, /71.2061980</t>
  </si>
  <si>
    <t>LOS QUILLAYES 1183</t>
  </si>
  <si>
    <t>/33.7350340, 70.5657110</t>
  </si>
  <si>
    <t>RUTA G660 P. 854</t>
  </si>
  <si>
    <t>/33.774701, /71,241497</t>
  </si>
  <si>
    <t>PASAJE PISSIS 1164</t>
  </si>
  <si>
    <t>/33.679868, /70.946785</t>
  </si>
  <si>
    <t>LOS POLACOS 30</t>
  </si>
  <si>
    <t>/33.5782170, /70. 8559520</t>
  </si>
  <si>
    <t>/33.003660, /70.885084</t>
  </si>
  <si>
    <t>SECTOR PEDRO PRADO</t>
  </si>
  <si>
    <t>/33.570330,/70.802922</t>
  </si>
  <si>
    <t>HERMANOS MARAMBIO 314</t>
  </si>
  <si>
    <t>/33.678254, /71.200431</t>
  </si>
  <si>
    <t>LUIS PASTEUR 677 B</t>
  </si>
  <si>
    <t>/33,567847, /70.802588</t>
  </si>
  <si>
    <t>LUIS PASTEUR 691</t>
  </si>
  <si>
    <t>/33.667396, /70.870583</t>
  </si>
  <si>
    <t>INTERIOR ALTO PERALES</t>
  </si>
  <si>
    <t>/33.827435, /70. 907151</t>
  </si>
  <si>
    <t>IBACACHE ALTO</t>
  </si>
  <si>
    <t>/33.495054, /71.271472</t>
  </si>
  <si>
    <t>/33.695718, /70.836149</t>
  </si>
  <si>
    <t>PASAJE ISMAEL ROA 628</t>
  </si>
  <si>
    <t>PAÑAFLOR</t>
  </si>
  <si>
    <t>/33.615104, /70.880198</t>
  </si>
  <si>
    <t>RINCON DE LOS PERALES</t>
  </si>
  <si>
    <t>/33.822282, /70.905199</t>
  </si>
  <si>
    <t>CAMINO SERVIDUMBRE 39 P. 11</t>
  </si>
  <si>
    <t>/33.194500, /70.503271</t>
  </si>
  <si>
    <t>INT. CAMINO PARC. 16 LO CASTRO</t>
  </si>
  <si>
    <t>/33.295073, /70.789818</t>
  </si>
  <si>
    <t>ERRAZURZ, PABELLON</t>
  </si>
  <si>
    <t>/33.746156, /71.198545</t>
  </si>
  <si>
    <t>/33.695349, 70.836045</t>
  </si>
  <si>
    <t>CLEMENTE DIAZ 491</t>
  </si>
  <si>
    <t>/33.733770/70.782892</t>
  </si>
  <si>
    <t>EL RECURSO 54</t>
  </si>
  <si>
    <t>/33.688636/70.708061</t>
  </si>
  <si>
    <t>AV. JAIME GUSMAN 612</t>
  </si>
  <si>
    <t>/33.746172/70.905143</t>
  </si>
  <si>
    <t>PADRE SERGIO CORREA 385</t>
  </si>
  <si>
    <t>/33.4921/70.869721</t>
  </si>
  <si>
    <t>/33.591171/71.217854</t>
  </si>
  <si>
    <t>/33.758231/70.733824</t>
  </si>
  <si>
    <t>ENSENADA AGUILAR SUR S/N</t>
  </si>
  <si>
    <t>/33.908891/70.756421</t>
  </si>
  <si>
    <t>/33.796551/71.255081</t>
  </si>
  <si>
    <t>/33.688632/70.708158</t>
  </si>
  <si>
    <t>/33.591432/71.217686</t>
  </si>
  <si>
    <t>EL RECURSO 15</t>
  </si>
  <si>
    <t>/33.691010/70.705554</t>
  </si>
  <si>
    <t>/33.592055/71.218084</t>
  </si>
  <si>
    <t>PJE. WASHIGTON 935</t>
  </si>
  <si>
    <t>/33.572151/70.803493</t>
  </si>
  <si>
    <t>EL POLLINO S/N  CASA 3</t>
  </si>
  <si>
    <t>/33.417466/71.132223</t>
  </si>
  <si>
    <t>EL MANZANITO S/N PARC 22</t>
  </si>
  <si>
    <t>/33.871672/70.848034</t>
  </si>
  <si>
    <t>LA UNION DE CODIGUA 25</t>
  </si>
  <si>
    <t>/33.804253/71.367386</t>
  </si>
  <si>
    <t>EL RECURSO 16</t>
  </si>
  <si>
    <t>/33.656175/70.663226</t>
  </si>
  <si>
    <t>LOS PENSAMIENTOS PONIENTE 2667</t>
  </si>
  <si>
    <t>/33.297357/70.869368</t>
  </si>
  <si>
    <t>/33.808758/71.292610</t>
  </si>
  <si>
    <t>AGUILA SUR S/N PARC 53</t>
  </si>
  <si>
    <t>/33.903430/70.766562</t>
  </si>
  <si>
    <t>LO AGUILA S/N PARC 3</t>
  </si>
  <si>
    <t>/33.417531/71.132304</t>
  </si>
  <si>
    <t>/33.417594/71.132202</t>
  </si>
  <si>
    <t>/33.417577/71.132552</t>
  </si>
  <si>
    <t>SAN JOSE KM35</t>
  </si>
  <si>
    <t>/33.671428/70.894555</t>
  </si>
  <si>
    <t>SANTA TERESITA 223</t>
  </si>
  <si>
    <t>/33.567500/70.808620</t>
  </si>
  <si>
    <t>TANTEHUE 2739</t>
  </si>
  <si>
    <t>/33.757416/71.236511</t>
  </si>
  <si>
    <t>SAN IGNACIO S/33</t>
  </si>
  <si>
    <t>/33,563456/70,790075</t>
  </si>
  <si>
    <t>AV LUIS CRUZ  MARTINEZ</t>
  </si>
  <si>
    <t>AV EL ROSAL 638</t>
  </si>
  <si>
    <t>/335873830,/708134910</t>
  </si>
  <si>
    <t>JUAN BAUTISTA 225</t>
  </si>
  <si>
    <t>/33,652396/71,151293</t>
  </si>
  <si>
    <t>/33,811317/70,751819</t>
  </si>
  <si>
    <t>HUMBERTO RIVEROS 494</t>
  </si>
  <si>
    <t>/33.6727937, /71.7107081</t>
  </si>
  <si>
    <t>BOULEBARD LOS CONDORES 4744 C 108</t>
  </si>
  <si>
    <t>/33.327146,/70.771412</t>
  </si>
  <si>
    <t>MANUEL MONTT 418</t>
  </si>
  <si>
    <t>/33.2766037,/70.8842020</t>
  </si>
  <si>
    <t>WILSON ARAYA C 325</t>
  </si>
  <si>
    <t>/33.676413,/70.994441</t>
  </si>
  <si>
    <t>LAS VIOLETAS 1212</t>
  </si>
  <si>
    <t>/33.746458,/70.897660</t>
  </si>
  <si>
    <t>EL RECREO 4461</t>
  </si>
  <si>
    <t>/33.733701,/70,864556</t>
  </si>
  <si>
    <t>GREGORIO ORTEGA 1500</t>
  </si>
  <si>
    <t>/33.699881,/71.050404</t>
  </si>
  <si>
    <t>SAN VICENTE 32</t>
  </si>
  <si>
    <t>/33654798/70628156</t>
  </si>
  <si>
    <t>LAS PINCAS S/I</t>
  </si>
  <si>
    <t>ISLA MAIPO</t>
  </si>
  <si>
    <t>/33769381/70867765</t>
  </si>
  <si>
    <t>SAN ESTEBAN 805</t>
  </si>
  <si>
    <t>/33573547/70807230</t>
  </si>
  <si>
    <t>SANTA ROSA 3040 P/128</t>
  </si>
  <si>
    <t>/33251463/7076623</t>
  </si>
  <si>
    <t>SANTA CAROLINA S/N MZN2</t>
  </si>
  <si>
    <t>/33214993/70799495</t>
  </si>
  <si>
    <t>SELVA OSCURA 121</t>
  </si>
  <si>
    <t>/33281974/70755704</t>
  </si>
  <si>
    <t>LA APARICION/S10</t>
  </si>
  <si>
    <t>/33771657/70661850</t>
  </si>
  <si>
    <t>LOMAS DEL AGUILA 13</t>
  </si>
  <si>
    <t>/33862983/70787583</t>
  </si>
  <si>
    <t>LAS CAMELIAS P/7</t>
  </si>
  <si>
    <t>/33851853/70762460</t>
  </si>
  <si>
    <t>LAS VERTIENTES 182 , PARCELA 7</t>
  </si>
  <si>
    <t>/33877176/70712927</t>
  </si>
  <si>
    <t>PRIETO 0380</t>
  </si>
  <si>
    <t>/33813579/70747103</t>
  </si>
  <si>
    <t>LA ESTANCILLA P3 LOTE 4 /8849</t>
  </si>
  <si>
    <t>/337583470/708110920</t>
  </si>
  <si>
    <t>EL ARENAL 041</t>
  </si>
  <si>
    <t>/33685399/70338565</t>
  </si>
  <si>
    <t>LAS MERCEDES SITIO 22</t>
  </si>
  <si>
    <t>/33489968/71170389</t>
  </si>
  <si>
    <t>/33492329/71170858</t>
  </si>
  <si>
    <t>VECINAL CON LAS MERCEDES</t>
  </si>
  <si>
    <t>/334986/71210811</t>
  </si>
  <si>
    <t>EL GUINDO 47</t>
  </si>
  <si>
    <t>/33499669/71211075</t>
  </si>
  <si>
    <t>IBACACHE S/N</t>
  </si>
  <si>
    <t>/33501627/71259228</t>
  </si>
  <si>
    <t>PUTRE 3289</t>
  </si>
  <si>
    <t>/33606188/70889509</t>
  </si>
  <si>
    <t>12 DE SEPTIEMBRE 2401.A</t>
  </si>
  <si>
    <t>/3360T558/7087</t>
  </si>
  <si>
    <t>LOS LIRIOS 114</t>
  </si>
  <si>
    <t>CALERA TANGO</t>
  </si>
  <si>
    <t>/33620018/70811</t>
  </si>
  <si>
    <t>JOSE BRANCOLI 832</t>
  </si>
  <si>
    <t>/336705132/709397882</t>
  </si>
  <si>
    <t>LLANQUIHUE 6</t>
  </si>
  <si>
    <t>/33660652/70915876</t>
  </si>
  <si>
    <t>LLANQUIHUE 6287</t>
  </si>
  <si>
    <t>/336805401/709408816</t>
  </si>
  <si>
    <t>LABARCA 0175</t>
  </si>
  <si>
    <t>/33206499/70676036</t>
  </si>
  <si>
    <t>SANTA FILOMENA 40</t>
  </si>
  <si>
    <t>/33188431/70648662</t>
  </si>
  <si>
    <t>QUILAPILUM ALTO  P1 SITIO C1</t>
  </si>
  <si>
    <t>/33093153/70664242</t>
  </si>
  <si>
    <t>CAMINO INTERIOR L7 MZA 22</t>
  </si>
  <si>
    <t>/33256915/70704601</t>
  </si>
  <si>
    <t xml:space="preserve">SANTA MARTA DE LIRAY S/N LOTE2 </t>
  </si>
  <si>
    <t>/33259087/70720570</t>
  </si>
  <si>
    <t>CAMINO LO FONTECILLA  P18</t>
  </si>
  <si>
    <t>/33,217257;/70,8394934</t>
  </si>
  <si>
    <t>/33.505601,/70.993394</t>
  </si>
  <si>
    <t>MARGARITA CATALAN J 1772</t>
  </si>
  <si>
    <t>/33.823313,/70.730531</t>
  </si>
  <si>
    <t>EL CARMEN P/11 S/N</t>
  </si>
  <si>
    <t>/33.627310,/70.776651</t>
  </si>
  <si>
    <t>PJE UNO 0344</t>
  </si>
  <si>
    <t>/33.851706,/70.766600</t>
  </si>
  <si>
    <t>LOS CLAVELES 545</t>
  </si>
  <si>
    <t>/33.614704,/70.874753</t>
  </si>
  <si>
    <t>UNION DE CODIGUA P/9</t>
  </si>
  <si>
    <t>/33.827781,/71.382908</t>
  </si>
  <si>
    <t>UNIDAD DE CODIGUA P/19</t>
  </si>
  <si>
    <t>/33.832209,/71.383899</t>
  </si>
  <si>
    <t>ROTO CHILENO S/15</t>
  </si>
  <si>
    <t>/33.663784,/70.836840</t>
  </si>
  <si>
    <t>SECTOR CULIPRAN P/91</t>
  </si>
  <si>
    <t>/33.801334,/71.231763</t>
  </si>
  <si>
    <t>Cartagena lote 1 a</t>
  </si>
  <si>
    <t>/33.850202,/70.885094</t>
  </si>
  <si>
    <t>LOS ZORZALES 1482</t>
  </si>
  <si>
    <t>/33.572344/70.800327</t>
  </si>
  <si>
    <t>/33.572543/70.800727</t>
  </si>
  <si>
    <t>CAMINO INTERIOR PARCELA 75</t>
  </si>
  <si>
    <t>/33.310730/70.838219</t>
  </si>
  <si>
    <t>EL MANZANITO PARCELA 22</t>
  </si>
  <si>
    <t>/33.871901/70.848488</t>
  </si>
  <si>
    <t>/33.871905/70.848595</t>
  </si>
  <si>
    <t>EL RECURSO 2041 SITIO 16</t>
  </si>
  <si>
    <t>/33.691129/70.705549</t>
  </si>
  <si>
    <t>EL RECURSO 2041</t>
  </si>
  <si>
    <t>/33.691149/70.704826</t>
  </si>
  <si>
    <t>LA FRONTERA 2246</t>
  </si>
  <si>
    <t>/33.293336/70.871267</t>
  </si>
  <si>
    <t>BLANCO ENCALADA 2190</t>
  </si>
  <si>
    <t>/33.395146/71.124210</t>
  </si>
  <si>
    <t>SERRANO 273</t>
  </si>
  <si>
    <t>/33.733907/70.781706</t>
  </si>
  <si>
    <t>EL ROCILLO 118</t>
  </si>
  <si>
    <t>/33.734379/70.777810</t>
  </si>
  <si>
    <t>/33.911571/70.763759</t>
  </si>
  <si>
    <t>SAN BERNABE 2095</t>
  </si>
  <si>
    <t>/33.574526/70.807092</t>
  </si>
  <si>
    <t>LOS CIRUELOS 140</t>
  </si>
  <si>
    <t>/33.305500/70.859930</t>
  </si>
  <si>
    <t>LOS TILOS 19</t>
  </si>
  <si>
    <t>/33.620720/70.809601</t>
  </si>
  <si>
    <t>LOS TILOS S/N PARC 25</t>
  </si>
  <si>
    <t>/33.618221/70.809013</t>
  </si>
  <si>
    <t>/33.395026/71.124413</t>
  </si>
  <si>
    <t>CAMINO INTERIOR PARC 75</t>
  </si>
  <si>
    <t>ABILO MEDINA 2823</t>
  </si>
  <si>
    <t>/33.729798/70.771370</t>
  </si>
  <si>
    <t>LOS NARANJOS 16</t>
  </si>
  <si>
    <t>/33.400190/71.177440</t>
  </si>
  <si>
    <t>/33.871842/70.848401</t>
  </si>
  <si>
    <t>/33.400011/71.177893</t>
  </si>
  <si>
    <t>ENSENADA AGUILA SUR  P127</t>
  </si>
  <si>
    <t>/33.909711/70.763741</t>
  </si>
  <si>
    <t>CAMINO MELIPILLA 920</t>
  </si>
  <si>
    <t>//33.6704384, /70.9211690</t>
  </si>
  <si>
    <t>PARQUE FORESTAL 3313</t>
  </si>
  <si>
    <t>SANTA ROSA , SAN PEDRO</t>
  </si>
  <si>
    <t>LUIS PASTEUR 677, INTERIOR C</t>
  </si>
  <si>
    <t>/33.567886, /70.802498</t>
  </si>
  <si>
    <t>WASHINTON GOMEZ 337</t>
  </si>
  <si>
    <t>/33,672688/71,210420</t>
  </si>
  <si>
    <t>MONTE GRANDE 473</t>
  </si>
  <si>
    <t>/33.747561;/70.899409</t>
  </si>
  <si>
    <t>JUAN FRANCISCO 683</t>
  </si>
  <si>
    <t>/33.783340;/70.8888320</t>
  </si>
  <si>
    <t>NACIMIENTO 48</t>
  </si>
  <si>
    <t>/33.731967;/70.784884</t>
  </si>
  <si>
    <t>CUYUNCAVI 665</t>
  </si>
  <si>
    <t>/33.395239/71.124397</t>
  </si>
  <si>
    <t>/33.395551/71.124770</t>
  </si>
  <si>
    <t>GURMERA 2</t>
  </si>
  <si>
    <t>/33.409320/71.143801</t>
  </si>
  <si>
    <t>LOS CAPACHOS 108/875</t>
  </si>
  <si>
    <t>/33.426666/71.166153</t>
  </si>
  <si>
    <t>EL PARRON 454</t>
  </si>
  <si>
    <t>/33.405792,/71139232</t>
  </si>
  <si>
    <t>LAS GARZAS 121</t>
  </si>
  <si>
    <t>/33.467730,/70.7347379</t>
  </si>
  <si>
    <t>EL PARRON 455</t>
  </si>
  <si>
    <t>/33.407819,/71126942</t>
  </si>
  <si>
    <t>EL TROTE 238</t>
  </si>
  <si>
    <t>/33.217106,/70.680092</t>
  </si>
  <si>
    <t>HUGO MIRANDA 377</t>
  </si>
  <si>
    <t>/33.613283,/70,880003</t>
  </si>
  <si>
    <t>SANTIAGO BUERAS 2152</t>
  </si>
  <si>
    <t>/33.392903,/71.122893</t>
  </si>
  <si>
    <t>EL RESPLANDOR SITIO 4 1 A CASA 2</t>
  </si>
  <si>
    <t>/33.268683,/70.893580</t>
  </si>
  <si>
    <t xml:space="preserve">MANUEL PLAZA S/N C9 </t>
  </si>
  <si>
    <t>/33.282673,/70.888980</t>
  </si>
  <si>
    <t>LOS GALINEROS S/N</t>
  </si>
  <si>
    <t>/33.870139,/70.915955</t>
  </si>
  <si>
    <t>PASAJE LAS SALITRERAS 279</t>
  </si>
  <si>
    <t>/33.749318,/70.900090</t>
  </si>
  <si>
    <t>LAS VERTIENTES 185</t>
  </si>
  <si>
    <t>/33.8804826,/70.7088319</t>
  </si>
  <si>
    <t>SAN IGNACIO 497</t>
  </si>
  <si>
    <t>/33.736043,/70.782922</t>
  </si>
  <si>
    <t>PASAJE TOME VILLA LA CONCEPCION 48</t>
  </si>
  <si>
    <t>/33.492701,/70.667695</t>
  </si>
  <si>
    <t>FRANCISCO COLOANE 29</t>
  </si>
  <si>
    <t>/33.278469,/70.884678</t>
  </si>
  <si>
    <t>COSTANERA N1 CASA 2</t>
  </si>
  <si>
    <t>/33.128524,/71.987456</t>
  </si>
  <si>
    <t>BORROS 478</t>
  </si>
  <si>
    <t>/33.680516,/71.2123278</t>
  </si>
  <si>
    <t>LA CHILEA PARCELA 325</t>
  </si>
  <si>
    <t>/33.852741,/71.963852</t>
  </si>
  <si>
    <t>EL MOLINO 10</t>
  </si>
  <si>
    <t>/33.781708,/71.243452</t>
  </si>
  <si>
    <t>CENTRAL CUATRO 157</t>
  </si>
  <si>
    <t>/33611521,/70.819542</t>
  </si>
  <si>
    <t>LUIS VALDES 0610</t>
  </si>
  <si>
    <t>/33.721127,/70.736983</t>
  </si>
  <si>
    <t>CAMINO NORTE 0311</t>
  </si>
  <si>
    <t>/33.636315,/70.355584</t>
  </si>
  <si>
    <t>COLON 0121 B</t>
  </si>
  <si>
    <t>/33.698303,/71.023655</t>
  </si>
  <si>
    <t>RIO CAMARONES 169</t>
  </si>
  <si>
    <t>/33.805492,/70.729938</t>
  </si>
  <si>
    <t>CAM INTERIOR P15</t>
  </si>
  <si>
    <t>/33.240280,/70.703515</t>
  </si>
  <si>
    <t>MANZANILLA 2079</t>
  </si>
  <si>
    <t>/33.293250,/70.882237</t>
  </si>
  <si>
    <t>EL OLIVO 135</t>
  </si>
  <si>
    <t>/33.802644,/70.740482</t>
  </si>
  <si>
    <t>VILLA LOS RIOS, PASAJE CAU CAU 181</t>
  </si>
  <si>
    <t>/33.805787,/70.729126</t>
  </si>
  <si>
    <t>PASAJE ABETO 0140</t>
  </si>
  <si>
    <t>/33.802609,/70.739895</t>
  </si>
  <si>
    <t>BARROS LUCO 542</t>
  </si>
  <si>
    <t>/33.278893,/70.875648</t>
  </si>
  <si>
    <t>PADRE HURTADO 58</t>
  </si>
  <si>
    <t>/33.290942,/70.885776</t>
  </si>
  <si>
    <t>PASAJE LAGO VICHUQUEN 1239</t>
  </si>
  <si>
    <t>33.289850,/70.887712</t>
  </si>
  <si>
    <t>MANUEL PLAZA 1093</t>
  </si>
  <si>
    <t>/33.248874,/70.852456</t>
  </si>
  <si>
    <t>PASAJE HUERQUEHUE 1508</t>
  </si>
  <si>
    <t>/33.819615,/70.736887</t>
  </si>
  <si>
    <t>TRICOLOR DE PAINE 370</t>
  </si>
  <si>
    <t>/33.801828,/70.738762</t>
  </si>
  <si>
    <t>PAINE MARISOL 1418</t>
  </si>
  <si>
    <t>/33.818386,/70.739318</t>
  </si>
  <si>
    <t>NOCHE CAMPESINA 1822</t>
  </si>
  <si>
    <t>/33.804125,/70.963852</t>
  </si>
  <si>
    <t>GONZALO BARROS ORTUZER 5</t>
  </si>
  <si>
    <t>/33.278793,/70.872088</t>
  </si>
  <si>
    <t>LUIS LEIVA CAMPO 1177</t>
  </si>
  <si>
    <t>/33.732895,/70.720152</t>
  </si>
  <si>
    <t>HERMANO CARRERA S/45</t>
  </si>
  <si>
    <t>/33.252441,/70.677506</t>
  </si>
  <si>
    <t>HERMANO CARRERA S/43</t>
  </si>
  <si>
    <t>/33.252529,/70.677530</t>
  </si>
  <si>
    <t>CONDOMINIO MIRAFLORES 3</t>
  </si>
  <si>
    <t>/33.326888,/70.841419</t>
  </si>
  <si>
    <t>MIGUEL ALBERCH 425</t>
  </si>
  <si>
    <t>/33.284010,/70.885993</t>
  </si>
  <si>
    <t>LO CAMPUSANO 2400</t>
  </si>
  <si>
    <t>/33.781086,/70.813436</t>
  </si>
  <si>
    <t>LA ESTRELLA 15</t>
  </si>
  <si>
    <t>/33.825197,/70.646525</t>
  </si>
  <si>
    <t>LA ESTRELLA CASA 15</t>
  </si>
  <si>
    <t>/33.825152,/70.646982</t>
  </si>
  <si>
    <t>LA ESTRELLA SITIO 15</t>
  </si>
  <si>
    <t>/33.825352,/70.646677</t>
  </si>
  <si>
    <t>PASAJE DOS 0266</t>
  </si>
  <si>
    <t>/33.850714,/70.767253</t>
  </si>
  <si>
    <t>PJE PAUL HARRIS 180</t>
  </si>
  <si>
    <t>/33.604523,/70.851676</t>
  </si>
  <si>
    <t>GRACIELA CONTRARAS BARNECHEA 399</t>
  </si>
  <si>
    <t>/33.747928,/70.860923</t>
  </si>
  <si>
    <t>ALCALDE LUIS GONZALEZ 99</t>
  </si>
  <si>
    <t>/33.287127,/70.879737</t>
  </si>
  <si>
    <t>LUIS VALDES 0631</t>
  </si>
  <si>
    <t>33.720812,/70.737173</t>
  </si>
  <si>
    <t>ADOLFO MENDEZ MARTINEZ 747</t>
  </si>
  <si>
    <t>/33.738739,/70.747525</t>
  </si>
  <si>
    <t>ONCE DE SEPTIEMBRE 202</t>
  </si>
  <si>
    <t>/33.766285;/70.721255</t>
  </si>
  <si>
    <t xml:space="preserve">LUCIA DIAZ LEIVA </t>
  </si>
  <si>
    <t>/33.7503830;/70.7455900</t>
  </si>
  <si>
    <t>CINCO 19466</t>
  </si>
  <si>
    <t>/33.6377530;/70.3565550</t>
  </si>
  <si>
    <t>LOS ARENALES P24</t>
  </si>
  <si>
    <t>/33.8931190;/70.8698480</t>
  </si>
  <si>
    <t xml:space="preserve">CA DEL RIO </t>
  </si>
  <si>
    <t>/33.6438910;/70.3552946</t>
  </si>
  <si>
    <t>/33.591677/71.218309</t>
  </si>
  <si>
    <t>NUEVA OCHO PARC 14</t>
  </si>
  <si>
    <t>/33.852624/70.766833</t>
  </si>
  <si>
    <t>M GUMERA 2 S/N</t>
  </si>
  <si>
    <t>/33.409362/71.143510</t>
  </si>
  <si>
    <t>EL MANZANITO PARC 22</t>
  </si>
  <si>
    <t>/33.872299/70.848058</t>
  </si>
  <si>
    <t>SAN JOSE 226</t>
  </si>
  <si>
    <t>/33.607698/71.219965</t>
  </si>
  <si>
    <t>RUTA G 74</t>
  </si>
  <si>
    <t>/33.590504/71.217639</t>
  </si>
  <si>
    <t>/33.852417/70.767523</t>
  </si>
  <si>
    <t xml:space="preserve">ROMAY PARC 8 </t>
  </si>
  <si>
    <t>/33.634416/71.229802</t>
  </si>
  <si>
    <t>/33.852525/70.766755</t>
  </si>
  <si>
    <t>/33.426728/71.169885</t>
  </si>
  <si>
    <t>MANZANITO PARC 22</t>
  </si>
  <si>
    <t>/33.872102/70.847855</t>
  </si>
  <si>
    <t>LAS CAMELIAS PARC 14</t>
  </si>
  <si>
    <t>/33.852511/70.766820</t>
  </si>
  <si>
    <t>/33.590960/71.217675</t>
  </si>
  <si>
    <t>RUTAG/144, SITIO 4</t>
  </si>
  <si>
    <t>33,22051;70,77739</t>
  </si>
  <si>
    <t>CAMINO INTERIOR SN PARCELA 34 LOTE 8</t>
  </si>
  <si>
    <t>33,22431;70,78264</t>
  </si>
  <si>
    <t>SANTA ROSA, PARCELA 9, LOTE 1, CASA 1</t>
  </si>
  <si>
    <t>33,25944;70,76043</t>
  </si>
  <si>
    <t>LOTE E/8, LOTE 2/A, PARCELA 2</t>
  </si>
  <si>
    <t>33,22310;70,79431</t>
  </si>
  <si>
    <t>ARZOBISPO DEL SANTIAGO 1691</t>
  </si>
  <si>
    <t>/33.751380,/70.746707</t>
  </si>
  <si>
    <t>CRUZ DEL SUR 326</t>
  </si>
  <si>
    <t>/33.747459,/70.677825</t>
  </si>
  <si>
    <t>MIGUEL CAMPESINO 320</t>
  </si>
  <si>
    <t>/33.817000,/70.739555</t>
  </si>
  <si>
    <t>LAGO VICHUQUEN 1231</t>
  </si>
  <si>
    <t>/33.288214,/70.876180</t>
  </si>
  <si>
    <t>JOSE SEPULVEDA 151</t>
  </si>
  <si>
    <t>/33.286429,/70.885255</t>
  </si>
  <si>
    <t>PASAJE SAUCE AMARGO 676</t>
  </si>
  <si>
    <t>/33.294650,/70.882151</t>
  </si>
  <si>
    <t>PASAJE JOSE SEPULVEDA 151</t>
  </si>
  <si>
    <t>/33.296454,/70.888426</t>
  </si>
  <si>
    <t>INES OVALLE MUÑOZ 97</t>
  </si>
  <si>
    <t>/33.2874389,/70.858708</t>
  </si>
  <si>
    <t>CAMPUSANO PARCELA 9B</t>
  </si>
  <si>
    <t>/33.852123,/70.741458</t>
  </si>
  <si>
    <t>LAS LILAS 29V</t>
  </si>
  <si>
    <t>/33.852445./70.854123</t>
  </si>
  <si>
    <t>VALLE DEL ACONCAGUA 741</t>
  </si>
  <si>
    <t>/33.282324,/70.882161</t>
  </si>
  <si>
    <t>LA VICTORIA 336</t>
  </si>
  <si>
    <t>/33.839868,/70.637381</t>
  </si>
  <si>
    <t>MANUEL MONTT S/N</t>
  </si>
  <si>
    <t>/33.275380,/70.887869</t>
  </si>
  <si>
    <t>HUELQUEN LA VICTORIA 33</t>
  </si>
  <si>
    <t>/33.840301,/70.634675</t>
  </si>
  <si>
    <t>TRICOLOR DE PAINE 208</t>
  </si>
  <si>
    <t>/33.802096,/70.739942</t>
  </si>
  <si>
    <t>HACIENDA SOL Y LUNA, CASA 32B</t>
  </si>
  <si>
    <t>33,24627;70,80359</t>
  </si>
  <si>
    <t>CAMINO LAMPA, PARCELA 2, LOTE 5</t>
  </si>
  <si>
    <t>33,22032;70,81165</t>
  </si>
  <si>
    <t>SANTA CAROLINA, PARCELA 28, SITIO 2</t>
  </si>
  <si>
    <t>33,22312;70,79441</t>
  </si>
  <si>
    <t>CAMINO LAMPA, PARCELA 2, LOTE 5, CASA 2</t>
  </si>
  <si>
    <t>33,220515;,811524</t>
  </si>
  <si>
    <t>HIJUELA 4, PARCELA 16,</t>
  </si>
  <si>
    <t>33,21931;70,80571</t>
  </si>
  <si>
    <t>SERVIDUMBRE, PARCELA 13</t>
  </si>
  <si>
    <t>33,22056;70,81331</t>
  </si>
  <si>
    <t>SERVIDUMBRE, PARCELA 3, CASA 1</t>
  </si>
  <si>
    <t>33,22071;70,81334</t>
  </si>
  <si>
    <t>SERVIDUMBRE, PARCELA 3, CASA 2</t>
  </si>
  <si>
    <t>33,22024;70,81282</t>
  </si>
  <si>
    <t>AVENIDA CHILE 605</t>
  </si>
  <si>
    <t>/33.806783/70.858654</t>
  </si>
  <si>
    <t>/33.722789/70.771409</t>
  </si>
  <si>
    <t>LAS CAMELIAS 26</t>
  </si>
  <si>
    <t>/33.844533/70.766478</t>
  </si>
  <si>
    <t>CALLE LOS MAITENES S/N</t>
  </si>
  <si>
    <t>/33.836926/70.71.365395</t>
  </si>
  <si>
    <t>SEGUNDA AVENIDA 1212</t>
  </si>
  <si>
    <t>/33.565174/70.791191</t>
  </si>
  <si>
    <t>FUNDO CUYUNCAVI  PARC A1</t>
  </si>
  <si>
    <t>/33.379016/71.104452</t>
  </si>
  <si>
    <t>LAS ARAUCARIAS 1164</t>
  </si>
  <si>
    <t>/33.680920/71.223824</t>
  </si>
  <si>
    <t>JUAN WILLIAMS R 451</t>
  </si>
  <si>
    <t>/33.675842/71.213097</t>
  </si>
  <si>
    <t>SEIS PONIENTE L/144</t>
  </si>
  <si>
    <t>/33.611149/70.820335</t>
  </si>
  <si>
    <t>CHOCALAN S/N CV23</t>
  </si>
  <si>
    <t>/33.747143/71.233892</t>
  </si>
  <si>
    <t>SAN LUIS 27 P14</t>
  </si>
  <si>
    <t>/33.212086/70.668549</t>
  </si>
  <si>
    <t>LA ALBORADA S/N</t>
  </si>
  <si>
    <t>/33.774280/70.826900</t>
  </si>
  <si>
    <t>PASAJE A 248</t>
  </si>
  <si>
    <t>/33.804163/70.737840</t>
  </si>
  <si>
    <t>/33.903050/70.751622</t>
  </si>
  <si>
    <t>SAN JOSE KM35 CASA 38</t>
  </si>
  <si>
    <t>/33.671362/70.897938</t>
  </si>
  <si>
    <t>LAS ARAUCARIAS 336</t>
  </si>
  <si>
    <t>/33.398300/71.122757</t>
  </si>
  <si>
    <t>LA VIRGEN 1864</t>
  </si>
  <si>
    <t>/33.407438/71.129850</t>
  </si>
  <si>
    <t>QUINCE 41</t>
  </si>
  <si>
    <t>/33.722256/70.735852</t>
  </si>
  <si>
    <t>CALLE SERRANO 131</t>
  </si>
  <si>
    <t>/33.732586/70.782540</t>
  </si>
  <si>
    <t>LOS ALMENDROS 2676</t>
  </si>
  <si>
    <t>/33.590949,/70.471779</t>
  </si>
  <si>
    <t>FRANCISCO JAVIER KRUGGER 3120 CASA 19</t>
  </si>
  <si>
    <t>/33.755470,/70734558</t>
  </si>
  <si>
    <t>MANUEL RODRIGUEZ 334</t>
  </si>
  <si>
    <t>/33.853631,/70.762406</t>
  </si>
  <si>
    <t>LOS ALMEDROS 2676</t>
  </si>
  <si>
    <t>LOMA DEL AGUILA 22</t>
  </si>
  <si>
    <t>/33.869183,/70.801165</t>
  </si>
  <si>
    <t>CONDOMINIO LA JAVIERA PARC 14</t>
  </si>
  <si>
    <t>/33.236698,/70.823976</t>
  </si>
  <si>
    <t xml:space="preserve">LOS JARDINES 0680 </t>
  </si>
  <si>
    <t>/33.762700,/70.726441</t>
  </si>
  <si>
    <t>TINAJAS 5</t>
  </si>
  <si>
    <t>/33.408471,/71.145390</t>
  </si>
  <si>
    <t>/33.366564,/70.843636</t>
  </si>
  <si>
    <t>CALLE INTERIOR S/N</t>
  </si>
  <si>
    <t>/33.310913,/70.851706</t>
  </si>
  <si>
    <t>PADRE SOTO 358 E</t>
  </si>
  <si>
    <t>/33.177717,/70.656070</t>
  </si>
  <si>
    <t>LA MANGA P/57</t>
  </si>
  <si>
    <t>/33.926372,/71.583409</t>
  </si>
  <si>
    <t>PADRE HURTADO SN</t>
  </si>
  <si>
    <t>/33.899648,/71.450378</t>
  </si>
  <si>
    <t>PJE EL PARRON 451</t>
  </si>
  <si>
    <t>/33.406694,/71.126776</t>
  </si>
  <si>
    <t>MANSEL 3</t>
  </si>
  <si>
    <t>/33.836448,/70.77749</t>
  </si>
  <si>
    <t>PAPA BEATO 433</t>
  </si>
  <si>
    <t>/33.574865,/70.834575</t>
  </si>
  <si>
    <t>LA MANRESA S/1</t>
  </si>
  <si>
    <t>/33.700210,/71.001608</t>
  </si>
  <si>
    <t>VILLA PALOMO C/23</t>
  </si>
  <si>
    <t>/33.628908,/70.801052</t>
  </si>
  <si>
    <t>DEL VILLAR 210</t>
  </si>
  <si>
    <t>/33.8077103,/70.73111714</t>
  </si>
  <si>
    <t>AVENIDA VICTOR TRONCOSO 121</t>
  </si>
  <si>
    <t>CAMINO PADRE HURTADO PARC 23</t>
  </si>
  <si>
    <t>/33.7987882,/70.6431160</t>
  </si>
  <si>
    <t>PASAJE UNO 1054</t>
  </si>
  <si>
    <t>/33.8169993,/70.7417126</t>
  </si>
  <si>
    <t>AV PRESIDENTE PINTO 360</t>
  </si>
  <si>
    <t>/33.8133726,/70.7470598</t>
  </si>
  <si>
    <t>/33.6562281,/71.0510294</t>
  </si>
  <si>
    <t>BLANCA LEYTON PERALTA 516</t>
  </si>
  <si>
    <t>/33.806238,/70.732154</t>
  </si>
  <si>
    <t>FRANCISCO COLONE 47</t>
  </si>
  <si>
    <t>/33.635241,/70.852741</t>
  </si>
  <si>
    <t>EL COIGUE 633</t>
  </si>
  <si>
    <t>/33.852413,/70.854123</t>
  </si>
  <si>
    <t>O´HIGGINS 1601</t>
  </si>
  <si>
    <t>/33.312548,/70.741852</t>
  </si>
  <si>
    <t>SERVIDUMBRE LOTE 6</t>
  </si>
  <si>
    <t>/33.241170,/70.911147</t>
  </si>
  <si>
    <t>5 NORTE B 478</t>
  </si>
  <si>
    <t>/33.810084,/70.737456</t>
  </si>
  <si>
    <t>BALMACEDA 501</t>
  </si>
  <si>
    <t>/33.289605,/70.297086</t>
  </si>
  <si>
    <t>/33.852963,/70.147258</t>
  </si>
  <si>
    <t>ARTURO PRAT 919</t>
  </si>
  <si>
    <t>/33.285793,/70.878525</t>
  </si>
  <si>
    <t>CONCEPCION 482</t>
  </si>
  <si>
    <t>/33.804644,/70.730080</t>
  </si>
  <si>
    <t>VALLE CHOAPA 693</t>
  </si>
  <si>
    <t>/33.741852,/70.852963</t>
  </si>
  <si>
    <t>CALLE LOS HEROES 972</t>
  </si>
  <si>
    <t>/33.809102,/70.733308</t>
  </si>
  <si>
    <t>BALMACEDA 521</t>
  </si>
  <si>
    <t>/33.824695,/70.456940</t>
  </si>
  <si>
    <t>/33.652413,/70.854126</t>
  </si>
  <si>
    <t>SEIS ORIENTE 678</t>
  </si>
  <si>
    <t>/33.810297,/70.737378</t>
  </si>
  <si>
    <t>EL ALTO CARDAL S/N</t>
  </si>
  <si>
    <t>/33.582900,/71.215796</t>
  </si>
  <si>
    <t>JUAN BAUTISTA 297</t>
  </si>
  <si>
    <t>/33.676529,/71.212188</t>
  </si>
  <si>
    <t>PARCELA 22 BAJO HUELQUEN</t>
  </si>
  <si>
    <t>/33.857829,/70.674994</t>
  </si>
  <si>
    <t>LOMAS DEL AGUILA 15</t>
  </si>
  <si>
    <t>/33.859365,/70.790487</t>
  </si>
  <si>
    <t>GUACOLDA 841</t>
  </si>
  <si>
    <t>/33.812005,/70.738375</t>
  </si>
  <si>
    <t>EDUARDO GARAY 260</t>
  </si>
  <si>
    <t>/33.514670,/71.124267</t>
  </si>
  <si>
    <t>LUMBRERA PUANQUE 5024</t>
  </si>
  <si>
    <t>/33.664087,/71.283001</t>
  </si>
  <si>
    <t>MIGUEL KAST 196</t>
  </si>
  <si>
    <t>/33.802894,/70.740533</t>
  </si>
  <si>
    <t>PEDRO MONTT 753</t>
  </si>
  <si>
    <t>/33.235177,/70.805093</t>
  </si>
  <si>
    <t>PLAZUELA PALPAICO S20</t>
  </si>
  <si>
    <t>/33.155860,/70.886560</t>
  </si>
  <si>
    <t>CHILE 0136</t>
  </si>
  <si>
    <t>/33.277408,/70.889795</t>
  </si>
  <si>
    <t>LIBERTAD 41A</t>
  </si>
  <si>
    <t>/33.293974,/70.887526</t>
  </si>
  <si>
    <t>CALLE CANELA DE CARRERA SITIO 25</t>
  </si>
  <si>
    <t>/33.294830,/70.884998</t>
  </si>
  <si>
    <t>/33.291083,/70.884903</t>
  </si>
  <si>
    <t>RIVERA DEL RIO</t>
  </si>
  <si>
    <t>/33.165067,/70.887073</t>
  </si>
  <si>
    <t>VALLE CHOAPA 701</t>
  </si>
  <si>
    <t>/33.281603,/70.881146</t>
  </si>
  <si>
    <t>SARA RODRIGUEZ 293</t>
  </si>
  <si>
    <t>/33.744800,/70.868686</t>
  </si>
  <si>
    <t>PJE LAS ARAUCARIAS 335</t>
  </si>
  <si>
    <t>/33.854123,/70.856341</t>
  </si>
  <si>
    <t>NUEVO HORIZONTE SITIO A</t>
  </si>
  <si>
    <t>/33.824753,/70.728078</t>
  </si>
  <si>
    <t>/33.286586,/70.871387</t>
  </si>
  <si>
    <t>CAMINO LIPANGE 13</t>
  </si>
  <si>
    <t>/33.328758,/70.847778</t>
  </si>
  <si>
    <t>LOS PERGAMINETOS 2784</t>
  </si>
  <si>
    <t>/33.297585,/70.870640</t>
  </si>
  <si>
    <t>EL RECURSO 53</t>
  </si>
  <si>
    <t>/33.690103/70.700608</t>
  </si>
  <si>
    <t>AV. EL RODEO 0280</t>
  </si>
  <si>
    <t>/33.725788/70.732933</t>
  </si>
  <si>
    <t>/34.029465/71.000595</t>
  </si>
  <si>
    <t>/34.0319241/71.0949860</t>
  </si>
  <si>
    <t>PEDRO VALENCIA 025</t>
  </si>
  <si>
    <t>/34.029302/71.101901</t>
  </si>
  <si>
    <t>/33.671319/70.894010</t>
  </si>
  <si>
    <t>SAN JOSE KM35 CASA 5</t>
  </si>
  <si>
    <t>/33.671214/70.890898</t>
  </si>
  <si>
    <t>SIETE ORIENTE 645</t>
  </si>
  <si>
    <t>/33.602908/70.882360</t>
  </si>
  <si>
    <t>ARMIJO 206</t>
  </si>
  <si>
    <t>/33.750360/70.899493</t>
  </si>
  <si>
    <t>LOS PALTOS 25</t>
  </si>
  <si>
    <t>/33.690280/70.704537</t>
  </si>
  <si>
    <t>/34.029495/71.000595</t>
  </si>
  <si>
    <t>SAN JOSE KM35 CASA 43</t>
  </si>
  <si>
    <t>/33.668987/70.898207</t>
  </si>
  <si>
    <t>LA FINCA 952 C/124</t>
  </si>
  <si>
    <t>/33.301155/70.881561</t>
  </si>
  <si>
    <t>PJE AJAMIL 3031</t>
  </si>
  <si>
    <t>/33.323917/70.752693</t>
  </si>
  <si>
    <t>LOICA CALLE PRINCIPAL</t>
  </si>
  <si>
    <t>/33.974316,/71.473933</t>
  </si>
  <si>
    <t>PJE EL TROTE 26B</t>
  </si>
  <si>
    <t>LOICA BAJO S/N</t>
  </si>
  <si>
    <t>/33.960224,/71.473186</t>
  </si>
  <si>
    <t>/33.4728393,/71.1044420</t>
  </si>
  <si>
    <t>EL RADIL S/N</t>
  </si>
  <si>
    <t>/33.472.8393,/71.1044420</t>
  </si>
  <si>
    <t>PAPA PIO XI 346</t>
  </si>
  <si>
    <t>/33.577871,/70.830915</t>
  </si>
  <si>
    <t>MANDINGA 49</t>
  </si>
  <si>
    <t>/33.796487,/71.299458</t>
  </si>
  <si>
    <t>/33.796850,/71.298380</t>
  </si>
  <si>
    <t>ALTOS DE POPETA LT 19</t>
  </si>
  <si>
    <t>/33.812381,/71.283194</t>
  </si>
  <si>
    <t>LAS GARZAS II 121</t>
  </si>
  <si>
    <t>/33.215858,/70.732506</t>
  </si>
  <si>
    <t>ALTOS DE POPETA LT19</t>
  </si>
  <si>
    <t>FRANCISCO LAYS C 493</t>
  </si>
  <si>
    <t>/33.6124265,/70.8639262</t>
  </si>
  <si>
    <t>/33.306201,/70.852810</t>
  </si>
  <si>
    <t>FLOR NEGRETE 1120</t>
  </si>
  <si>
    <t>/336114464,/70.8633290</t>
  </si>
  <si>
    <t>LA HERRADURA P/16</t>
  </si>
  <si>
    <t>/33.295048,/70.863604</t>
  </si>
  <si>
    <t>PAPA BRATO 424</t>
  </si>
  <si>
    <t>/33.575123,/70.834048</t>
  </si>
  <si>
    <t>CRUCERO PERECINO S/5</t>
  </si>
  <si>
    <t>/33.365706,/70.845940</t>
  </si>
  <si>
    <t>LOS MAITENES K22</t>
  </si>
  <si>
    <t>/33.835077,/71.362915</t>
  </si>
  <si>
    <t>CULIPRAN P/91</t>
  </si>
  <si>
    <t>/33.778439,/71.262979</t>
  </si>
  <si>
    <t>/33.829723,/71.344608</t>
  </si>
  <si>
    <t>LOYCA S/N</t>
  </si>
  <si>
    <t>/33.974325,/71.464092</t>
  </si>
  <si>
    <t>CAMINO CEMENTERIO</t>
  </si>
  <si>
    <t>/33.860088,/71.449159</t>
  </si>
  <si>
    <t>LA MANGA 957</t>
  </si>
  <si>
    <t>/33.912080,/71.608801</t>
  </si>
  <si>
    <t>/33.774650, /70.898651</t>
  </si>
  <si>
    <t>LAS LILLAS 17</t>
  </si>
  <si>
    <t>/33.804972, /70.851846</t>
  </si>
  <si>
    <t>LAS ROSAS 123</t>
  </si>
  <si>
    <t>/33.812695;/71.331904</t>
  </si>
  <si>
    <t>SAN LUIS 3860</t>
  </si>
  <si>
    <t>/33.741020;/70.864207</t>
  </si>
  <si>
    <t>PARCELA 12 CHOLLIN</t>
  </si>
  <si>
    <t>/33.782186;/71.137417</t>
  </si>
  <si>
    <t>/33.782378;/71.136653</t>
  </si>
  <si>
    <t>LOS CORRALEROS 278</t>
  </si>
  <si>
    <t>/33.217417;/70.680027</t>
  </si>
  <si>
    <t>LOS JARDINES</t>
  </si>
  <si>
    <t>/33.769922;/70.730724</t>
  </si>
  <si>
    <t>SAN LUIS 26</t>
  </si>
  <si>
    <t>/33.211048;/70.668026</t>
  </si>
  <si>
    <t>LAZARO HUERTA 42</t>
  </si>
  <si>
    <t>/33.733117,/70.763644</t>
  </si>
  <si>
    <t>LOS ESPINOS</t>
  </si>
  <si>
    <t>/33.737446;/70.680809</t>
  </si>
  <si>
    <t>LUMBRERA, P4</t>
  </si>
  <si>
    <t>/33.657383./71.279998</t>
  </si>
  <si>
    <t xml:space="preserve">CAM. CERRILLO </t>
  </si>
  <si>
    <t>/33.769565;/70.732087</t>
  </si>
  <si>
    <t>MEDIALUNA 849</t>
  </si>
  <si>
    <t>/33.809987;/70.859779</t>
  </si>
  <si>
    <t>SANTELICES 1865</t>
  </si>
  <si>
    <t>/33.749589;/70.914071</t>
  </si>
  <si>
    <t>CAM. CERRILLO 218</t>
  </si>
  <si>
    <t>/33.763447;/70.732066</t>
  </si>
  <si>
    <t>ERRAZURIZ 165 /3B</t>
  </si>
  <si>
    <t>/33.747515;/71.198669</t>
  </si>
  <si>
    <t>LOS CLAVELES CASA 63</t>
  </si>
  <si>
    <t>/33.620205;/70.813493</t>
  </si>
  <si>
    <t>PARAISO SUR 38</t>
  </si>
  <si>
    <t>CAM CERRILLOS 218</t>
  </si>
  <si>
    <t>/33.769864;/70.725660</t>
  </si>
  <si>
    <t>CAMINO LOS CUATRO SILOS 7</t>
  </si>
  <si>
    <t>/33.659932;/70.602825</t>
  </si>
  <si>
    <t>MELLY 790</t>
  </si>
  <si>
    <t>/33.194534:/70.684976</t>
  </si>
  <si>
    <t>LINDEROS</t>
  </si>
  <si>
    <t>/33.763767;/70.732487</t>
  </si>
  <si>
    <t>LA VILUMA SITIO 6 N°3</t>
  </si>
  <si>
    <t>/33.781808;/71.079642</t>
  </si>
  <si>
    <t>GERMAN HERNANDEZ 729</t>
  </si>
  <si>
    <t>/33.687512:/71.227660</t>
  </si>
  <si>
    <t>CONDOMINIO TERRANOVA P24</t>
  </si>
  <si>
    <t>/33.684356:/70/576263</t>
  </si>
  <si>
    <t>ISABEL RIQUELME</t>
  </si>
  <si>
    <t>/33.294257;/70.885714</t>
  </si>
  <si>
    <t>RUTA G78 P3</t>
  </si>
  <si>
    <t>/33.664254;/71.283034</t>
  </si>
  <si>
    <t>LA VILUMA SITIO 6</t>
  </si>
  <si>
    <t>/33.781923;/71.075311</t>
  </si>
  <si>
    <t>ENRIQUE ALCALDE 931</t>
  </si>
  <si>
    <t>/33.661943;/70.926988</t>
  </si>
  <si>
    <t>CERRO TORO 2480</t>
  </si>
  <si>
    <t>/33.602683;/70.525180</t>
  </si>
  <si>
    <t>PASAJE CINCO 19469</t>
  </si>
  <si>
    <t>/33.637704;/70.356782</t>
  </si>
  <si>
    <t>CULIPRAN SITIO 18</t>
  </si>
  <si>
    <t>/33.780838;/71.243422</t>
  </si>
  <si>
    <t>MIRADOR 292</t>
  </si>
  <si>
    <t>/33.789775;/71.299350</t>
  </si>
  <si>
    <t>LIRAY LOTE 17</t>
  </si>
  <si>
    <t>/33.252188;/70.726417</t>
  </si>
  <si>
    <t>E J KRUGGER 3120 CASA 33</t>
  </si>
  <si>
    <t>/33.754294/70.734626</t>
  </si>
  <si>
    <t>FUNDO CUYUNCAVI PARC A1</t>
  </si>
  <si>
    <t>/33.379391/71.103857</t>
  </si>
  <si>
    <t>/33.379377/71.103771</t>
  </si>
  <si>
    <t>EL ALMENDRAL 6608 PC27</t>
  </si>
  <si>
    <t>/33.577791/71.232979</t>
  </si>
  <si>
    <t>/33.746813/71.232800</t>
  </si>
  <si>
    <t>/33.577856/71.233225</t>
  </si>
  <si>
    <t>E J KRUGGER 3120 CASA 18</t>
  </si>
  <si>
    <t>/33.755581/70.734624</t>
  </si>
  <si>
    <t>EL NARANJO LOTE 16</t>
  </si>
  <si>
    <t>/33.401716/71.180007</t>
  </si>
  <si>
    <t>MANSEL 13</t>
  </si>
  <si>
    <t>/33.852812/70.779564</t>
  </si>
  <si>
    <t>AV. GERMAN RIESCO 813</t>
  </si>
  <si>
    <t>/33.395160/71.130485</t>
  </si>
  <si>
    <t>COND SAN FRANCISCO LOS TRICAHUES  PARC 23</t>
  </si>
  <si>
    <t>/33.035158/70.713669</t>
  </si>
  <si>
    <t>COND. LOS COMENDADORESP. 20</t>
  </si>
  <si>
    <t>/33.253029, /70.7913860</t>
  </si>
  <si>
    <t>OLEA 508 SITIO 3</t>
  </si>
  <si>
    <t>/33.774364, /70,896912</t>
  </si>
  <si>
    <t>WASHINGTON  GOMEZ 337</t>
  </si>
  <si>
    <t>/33.672688, /71.210420</t>
  </si>
  <si>
    <t>PARCELA 86 CAMINO EL DIBUJO</t>
  </si>
  <si>
    <t>/33.7957543, /71.2408286</t>
  </si>
  <si>
    <t>/33.652396, /71.151293</t>
  </si>
  <si>
    <t>SAN VICENTE DE LO ARCAYA PAR. 20D</t>
  </si>
  <si>
    <t>CAMINO INTERIOR O PARCELA 13</t>
  </si>
  <si>
    <t>332896816/707760930</t>
  </si>
  <si>
    <t>MARGARITA MELLA N 700</t>
  </si>
  <si>
    <t>/33,0035850/70,8845740</t>
  </si>
  <si>
    <t>PARCELA 15 CONDOMINIO TURQUELEN</t>
  </si>
  <si>
    <t>LO PEREZ 670</t>
  </si>
  <si>
    <t>/33.734530, /70.905988</t>
  </si>
  <si>
    <t>EL MOLINO CULIPRAN PARC 7</t>
  </si>
  <si>
    <t>/33,7715062, /71,2448087</t>
  </si>
  <si>
    <t>CAMINO LA PALMA PARCELA 11 LOTE 7</t>
  </si>
  <si>
    <t>/33705819/70,958253</t>
  </si>
  <si>
    <t>SARGENTO CANDELARIA 0460</t>
  </si>
  <si>
    <t>/33,1587685/71,212555</t>
  </si>
  <si>
    <t>/33,7346706/70,9056621</t>
  </si>
  <si>
    <t>PASAJE DIEZ 495</t>
  </si>
  <si>
    <t>LOS INGLESES 47</t>
  </si>
  <si>
    <t>FRANCISCO JAVIER  KRUGGER 2102</t>
  </si>
  <si>
    <t>/33,7429139/70,7350314</t>
  </si>
  <si>
    <t>TRIUNFADOR SUR PARCELA N3</t>
  </si>
  <si>
    <t>33,69507/70,84935</t>
  </si>
  <si>
    <t>LAS CALERIAS PARCELA 21/B</t>
  </si>
  <si>
    <t>/33,223956/70,813447</t>
  </si>
  <si>
    <t>DOCE SEPTIEMBRE 2424</t>
  </si>
  <si>
    <t>/33,602865/70876956</t>
  </si>
  <si>
    <t>PARCELACION MARIA HUALQUEN</t>
  </si>
  <si>
    <t>/33,816960, /70,671735</t>
  </si>
  <si>
    <t>ARRECIFE 1544</t>
  </si>
  <si>
    <t>33,819716/70,741230</t>
  </si>
  <si>
    <t>JOSE MIGUEL CARRERA 109 A</t>
  </si>
  <si>
    <t>33,682564/70,204010</t>
  </si>
  <si>
    <t>OLEA 508 SITIO 3 LA VILLITA</t>
  </si>
  <si>
    <t>CHOROMBO S/N SITIO A5</t>
  </si>
  <si>
    <t>33536650/7122631/</t>
  </si>
  <si>
    <t>TRIUNFADOR SUR PARCELA N4</t>
  </si>
  <si>
    <t>33.69525/7084949</t>
  </si>
  <si>
    <t>JUAN FERNANDEZ GONZALEZ 646</t>
  </si>
  <si>
    <t>33,656792/70,915406</t>
  </si>
  <si>
    <t>UGALDE 749</t>
  </si>
  <si>
    <t>33,683678/71,217167</t>
  </si>
  <si>
    <t>33656792/70915406</t>
  </si>
  <si>
    <t>LUDWING VAN BEETHOVEN 717</t>
  </si>
  <si>
    <t>33,682864/71198059</t>
  </si>
  <si>
    <t>LUIS PASTEUR 649</t>
  </si>
  <si>
    <t>33567684/70802782</t>
  </si>
  <si>
    <t>PRIMERA TRANVERSAL 1093</t>
  </si>
  <si>
    <t>33567989/70802436</t>
  </si>
  <si>
    <t>SAN RAFAEL SITIO E</t>
  </si>
  <si>
    <t>33,761249/71,294469</t>
  </si>
  <si>
    <t>ATACAMA 80</t>
  </si>
  <si>
    <t>CAMINO EL PARQUE S/N</t>
  </si>
  <si>
    <t>/33649904/71046557</t>
  </si>
  <si>
    <t>SANRA ROSA S/N CU 47</t>
  </si>
  <si>
    <t>33725964/71212405</t>
  </si>
  <si>
    <t>33683639/71217292</t>
  </si>
  <si>
    <t>AROMO 240</t>
  </si>
  <si>
    <t>33,632366/70756642</t>
  </si>
  <si>
    <t>EL NOGAL 01989</t>
  </si>
  <si>
    <t>/33,678491/71179321</t>
  </si>
  <si>
    <t>BRASILIA 1177</t>
  </si>
  <si>
    <t>/33.565659/70,804255</t>
  </si>
  <si>
    <t>/33,565659/70804255</t>
  </si>
  <si>
    <t>LUIS PASTEUR 662</t>
  </si>
  <si>
    <t>/33,56634/70802389</t>
  </si>
  <si>
    <t>PASAJE JUAN FERNANDEZ GONZALEZ 646</t>
  </si>
  <si>
    <t>33666792/70915406</t>
  </si>
  <si>
    <t>SARGENTO ALDEA 553</t>
  </si>
  <si>
    <t>ACEVEDO 188</t>
  </si>
  <si>
    <t>/33,753138/70,911844</t>
  </si>
  <si>
    <t>LUIS PASTEUR 663</t>
  </si>
  <si>
    <t>/33,567776/70,802091</t>
  </si>
  <si>
    <t>SAN ANTONIO 5034</t>
  </si>
  <si>
    <t>/33,733306/70,959430</t>
  </si>
  <si>
    <t>SANTIAGO BUERAS 536</t>
  </si>
  <si>
    <t>/33,657902/70,922049</t>
  </si>
  <si>
    <t>AV ESPAÑA 1720</t>
  </si>
  <si>
    <t>/93,900100</t>
  </si>
  <si>
    <t>PARADERO 5 BOLLENAR CASA 32</t>
  </si>
  <si>
    <t>/33,67760/71,18685</t>
  </si>
  <si>
    <t>LIPANGUE 11</t>
  </si>
  <si>
    <t>/33,19595/70,51409</t>
  </si>
  <si>
    <t>MARIANO LA TORRE 612</t>
  </si>
  <si>
    <t>/33,5661094/70,8015043</t>
  </si>
  <si>
    <t>GENERAL MARTIN S/N LOTE B</t>
  </si>
  <si>
    <t>/33,271820/70,702649</t>
  </si>
  <si>
    <t>ALGARROBO LOTE A /3</t>
  </si>
  <si>
    <t>LLAYLLAY</t>
  </si>
  <si>
    <t>32,891574/70,812255</t>
  </si>
  <si>
    <t>LOS MARQUIEZ 174 BOLLENAR</t>
  </si>
  <si>
    <t>/33,56858/71,21526</t>
  </si>
  <si>
    <t>EL RECURSO/CAMINO VECIANAL N5</t>
  </si>
  <si>
    <t>/3369647/7072553</t>
  </si>
  <si>
    <t>EL OLIVETO 2568/ 6</t>
  </si>
  <si>
    <t>/33,667285/70,870886</t>
  </si>
  <si>
    <t>PASAJE GUISSEPPI VERDI</t>
  </si>
  <si>
    <t>/33,566963/70,804054</t>
  </si>
  <si>
    <t>ACONCAGUA 2077</t>
  </si>
  <si>
    <t>/335759164/70,8044302</t>
  </si>
  <si>
    <t>ALTO NEHUEN 2584</t>
  </si>
  <si>
    <t>/33,58085/70,80768</t>
  </si>
  <si>
    <t>ESMERALDA 1483</t>
  </si>
  <si>
    <t>/33,666569/70,932869</t>
  </si>
  <si>
    <t>SOL DE SEPTIEMBRE / RUTA G 16 SITIO 100</t>
  </si>
  <si>
    <t>/33,30623/70,84931</t>
  </si>
  <si>
    <t>LOS ALMENDROS 811</t>
  </si>
  <si>
    <t>/33272185/70684361</t>
  </si>
  <si>
    <t>LAS DELICIAS 315 MAIPO</t>
  </si>
  <si>
    <t>/33.734227,/70,780365</t>
  </si>
  <si>
    <t>LOS JARDINES 0680 PAR 15B</t>
  </si>
  <si>
    <t>/33.762686,/70.726489</t>
  </si>
  <si>
    <t xml:space="preserve">LOS RIOS 570 </t>
  </si>
  <si>
    <t>/33.160347,/70.788108</t>
  </si>
  <si>
    <t>CAMINO INTERIOR LOTE 27</t>
  </si>
  <si>
    <t>/33.219577/70.836096</t>
  </si>
  <si>
    <t>AMBROSIO OHIGGINS 205</t>
  </si>
  <si>
    <t>/33.402026,/71.127706</t>
  </si>
  <si>
    <t>CULIPRAN PARC 2 B</t>
  </si>
  <si>
    <t>/33.809255,/71.234533</t>
  </si>
  <si>
    <t>PATAGUILLA S/N C/2</t>
  </si>
  <si>
    <t>/33.505874,/70,992742</t>
  </si>
  <si>
    <t>CULIPRAN S/N L J</t>
  </si>
  <si>
    <t>/33.790430,/71.248737</t>
  </si>
  <si>
    <t>LAS LOICAS 2537</t>
  </si>
  <si>
    <t>/33.605589,/70.883351</t>
  </si>
  <si>
    <t>PJE FORTALEZA 1539, VALDIVIA</t>
  </si>
  <si>
    <t>VALDIVIA</t>
  </si>
  <si>
    <t>39.47491, 73.13040</t>
  </si>
  <si>
    <t>FUERTE VILLOCURA 1489</t>
  </si>
  <si>
    <t>39.7977475, 73.2181903</t>
  </si>
  <si>
    <t>PJE FUERTE SAN DIEGO 1574, VALDIVIA</t>
  </si>
  <si>
    <t>36.7960567, 73.1172449</t>
  </si>
  <si>
    <t>TORREONES SUR 374, VALDIVIA</t>
  </si>
  <si>
    <t>39.47499, 73.13038</t>
  </si>
  <si>
    <t>GERARDO VERÁ 3787</t>
  </si>
  <si>
    <t>39.84031, 73.20606</t>
  </si>
  <si>
    <t>VILLA PARQUE TORREONES PSJ FUERTE NACIMIENTO 1590</t>
  </si>
  <si>
    <t>39,474635, 73.12588</t>
  </si>
  <si>
    <t>LUIS CARRERA VERDUGO 1477</t>
  </si>
  <si>
    <t>39.7977740, 73.2194148</t>
  </si>
  <si>
    <t>MARÍA ISABEL RIQUELME 490, VALDIVIA</t>
  </si>
  <si>
    <t>39.7965504, 73.2186511</t>
  </si>
  <si>
    <t>FUERTE BALLENAR 1586</t>
  </si>
  <si>
    <t>39.7959095, 73.2180904</t>
  </si>
  <si>
    <t>LOS TILOS P19</t>
  </si>
  <si>
    <t>/33.62051,/70.809341</t>
  </si>
  <si>
    <t>LOS LITRES</t>
  </si>
  <si>
    <t xml:space="preserve">/33.588707, /70.397821
</t>
  </si>
  <si>
    <t>LOS CLAVELES 057</t>
  </si>
  <si>
    <t>/33.619873, /70.813915</t>
  </si>
  <si>
    <t>CAMINO VECINAL 27626</t>
  </si>
  <si>
    <t>/33.702104, /70.333451</t>
  </si>
  <si>
    <t>PASAJE SEIS 422</t>
  </si>
  <si>
    <t>/33.637784;/70.356903</t>
  </si>
  <si>
    <t>CERRO TORO 2477</t>
  </si>
  <si>
    <t xml:space="preserve">/33.602555, /70.881019
</t>
  </si>
  <si>
    <t>PRINCIPAL 764</t>
  </si>
  <si>
    <t>/33.700684/71.219219</t>
  </si>
  <si>
    <t>SAN MANUEL 123</t>
  </si>
  <si>
    <t>/33.423839/71.138893</t>
  </si>
  <si>
    <t>POBLACION SAN JOSE 27</t>
  </si>
  <si>
    <t>/33.609537/71.220535</t>
  </si>
  <si>
    <t>/33.414494/71.139299</t>
  </si>
  <si>
    <t>/33.275669/70.879135</t>
  </si>
  <si>
    <t>/33.746575/71.232384</t>
  </si>
  <si>
    <t>BOLLENAR LOTE 9A</t>
  </si>
  <si>
    <t>/33.562923/71.207581</t>
  </si>
  <si>
    <t>MALLOQUITO 2617</t>
  </si>
  <si>
    <t>/33.603039/70.882273</t>
  </si>
  <si>
    <t>QUINCE 22</t>
  </si>
  <si>
    <t>/33.722397/70.736335</t>
  </si>
  <si>
    <t>/33.852579/70.778907</t>
  </si>
  <si>
    <t>AV. MIRAFLORES 1125 CASA E</t>
  </si>
  <si>
    <t>/33.605733/70.861636</t>
  </si>
  <si>
    <t>CALLEJON UNO S/N</t>
  </si>
  <si>
    <t>/33.697345/70.565348</t>
  </si>
  <si>
    <t>EL PRICIPAL 147</t>
  </si>
  <si>
    <t>/33.705442/70.550423</t>
  </si>
  <si>
    <t>/33.399182/71.178315</t>
  </si>
  <si>
    <t>LOS JARDINES P2</t>
  </si>
  <si>
    <t>/33.7637670;/70.7324870</t>
  </si>
  <si>
    <t>LAS CULEBRAS VERDES</t>
  </si>
  <si>
    <t>/33.567955, /71.214438</t>
  </si>
  <si>
    <t>SOFIA AHUMADA 208</t>
  </si>
  <si>
    <t>/33.652715, /71.147273</t>
  </si>
  <si>
    <t>/33.632068;/70.735531</t>
  </si>
  <si>
    <t>PJE AQUILESSTEVENSON ESPINOZA 081</t>
  </si>
  <si>
    <t>/33.717516,/70.744407</t>
  </si>
  <si>
    <t>IGNACIO CARRERA PINTO S/N CV6</t>
  </si>
  <si>
    <t>/34.026417,/71.084937</t>
  </si>
  <si>
    <t>IGNACIO CARRERA PINTO S/N CV10</t>
  </si>
  <si>
    <t>/34.023341,/71.081644</t>
  </si>
  <si>
    <t>LOS INGLESES SITIO 12 S/N</t>
  </si>
  <si>
    <t>/33.283715,/70.781263</t>
  </si>
  <si>
    <t>CALLE LAS VIOLETAS 51</t>
  </si>
  <si>
    <t>/33.684676,/71.007613</t>
  </si>
  <si>
    <t>ALBERTO BLEST GANA 647</t>
  </si>
  <si>
    <t>/33.564459,/70.798861</t>
  </si>
  <si>
    <t>AV. ESPAÑA 379</t>
  </si>
  <si>
    <t>/33245286,/70.827307</t>
  </si>
  <si>
    <t>HACIENDA ALHUE PARC 7B</t>
  </si>
  <si>
    <t>/34.047681,/71.221705</t>
  </si>
  <si>
    <t>PJE LAGO VILLARRICA 1285</t>
  </si>
  <si>
    <t>/33288558,/70.877466</t>
  </si>
  <si>
    <t>LOS ROSALES 534</t>
  </si>
  <si>
    <t>/34.035032,/71.094298</t>
  </si>
  <si>
    <t>SECTOR EL ZANJON S/N CV9</t>
  </si>
  <si>
    <t>/34.035480,/71.095825</t>
  </si>
  <si>
    <t>ONOFRE JARPA S/N CV2</t>
  </si>
  <si>
    <t>/34.032499,/71.099169</t>
  </si>
  <si>
    <t>/33.725202,/71.211057</t>
  </si>
  <si>
    <t>/34.034873,/71.095704</t>
  </si>
  <si>
    <t>/34.032761,/71.100662</t>
  </si>
  <si>
    <t>/34.047042,/71.236845</t>
  </si>
  <si>
    <t>HUGO ORTIZ CABEZAS 243</t>
  </si>
  <si>
    <t>/33.719492,/70.743139</t>
  </si>
  <si>
    <t>TALAMI 33 CA A MORRO</t>
  </si>
  <si>
    <t>/34.051671,/70.998678</t>
  </si>
  <si>
    <t>CO LA LINEA S/N CV3</t>
  </si>
  <si>
    <t>/34,059230,/71.234002</t>
  </si>
  <si>
    <t>VESPUCIO NORTE 2880 Y 907</t>
  </si>
  <si>
    <t>/32.967534,/70.837075</t>
  </si>
  <si>
    <t>LA HACIENDA 2221 C/34</t>
  </si>
  <si>
    <t>/33.293959,/70.871276</t>
  </si>
  <si>
    <t>CONDOMINIO MIRADOR DEL VALLA PARC 99</t>
  </si>
  <si>
    <t>/33.181896,/70.799560</t>
  </si>
  <si>
    <t>BOLLENAR S/N SITIO 6</t>
  </si>
  <si>
    <t>/33.569714/71.209900</t>
  </si>
  <si>
    <t>LO FONTECILLA PARC 26 C</t>
  </si>
  <si>
    <t>/33.219881/70.836075</t>
  </si>
  <si>
    <t>SANTA BERTA 267</t>
  </si>
  <si>
    <t>/33.6578036/70.9299852</t>
  </si>
  <si>
    <t>CAMINO LAS FLORES 2758</t>
  </si>
  <si>
    <t>/33.329925,/70.747958</t>
  </si>
  <si>
    <t>CAMINO SERVIDEUMBRE S/N LORE 27 SDECTOR G</t>
  </si>
  <si>
    <t>/33.191760,/70.810972</t>
  </si>
  <si>
    <t>LO FONTECILLA  S/N</t>
  </si>
  <si>
    <t>/33.216091,/70.838177</t>
  </si>
  <si>
    <t>LAS MERCEDES PAR 33</t>
  </si>
  <si>
    <t>/33.241961,/70.809868</t>
  </si>
  <si>
    <t>ABRAHAM GARCIA 53</t>
  </si>
  <si>
    <t>/33.289020,/70.883946</t>
  </si>
  <si>
    <t>SERVIDUMBRE S/N HIJ/ E/2NORTE LOTE 05/A</t>
  </si>
  <si>
    <t>33,24412, 70,79911</t>
  </si>
  <si>
    <t>SERVIDUMBRE LOTE 13</t>
  </si>
  <si>
    <t>33,219452; 70,807082</t>
  </si>
  <si>
    <t>CAMINO INTERIOR, VILLA EL SOL, CASA E</t>
  </si>
  <si>
    <t>33,23908;70,81561</t>
  </si>
  <si>
    <t>CAMINO INTERIOR S/N ST49</t>
  </si>
  <si>
    <t>33,959250:70,7476324</t>
  </si>
  <si>
    <t>SERVIDUMBRE , LOTE 12, CASA 1</t>
  </si>
  <si>
    <t>33,22007; 70,80731</t>
  </si>
  <si>
    <t>CALLE SERVIDUMBRE, LOTE 12, CASA 2</t>
  </si>
  <si>
    <t>CAMINO SAN JOSE KILOMETRO 35 RUTA 78 S/N</t>
  </si>
  <si>
    <t>33,6701367;70,8960325</t>
  </si>
  <si>
    <t>PAPUDO 918</t>
  </si>
  <si>
    <t>/33.3265047, /70.7646242</t>
  </si>
  <si>
    <t>SAN LORENZO 100</t>
  </si>
  <si>
    <t>/33.2916364, /70.8847879</t>
  </si>
  <si>
    <t>SAN LORENZO 136</t>
  </si>
  <si>
    <t>/33.6173815, /70.6296037</t>
  </si>
  <si>
    <t>LIBERTAD S/N</t>
  </si>
  <si>
    <t>/33 662 543, /70 934544</t>
  </si>
  <si>
    <t>/33.3806863, /70.5493265</t>
  </si>
  <si>
    <t>VIOLETA PARRA 966</t>
  </si>
  <si>
    <t>/33.7405071, /70.7422764</t>
  </si>
  <si>
    <t>CAMINO EL RECURSO 2636</t>
  </si>
  <si>
    <t>/33.6916253, /70.7000156</t>
  </si>
  <si>
    <t>CAMINO PADRE HURTADO 13</t>
  </si>
  <si>
    <t>/33.6774629, /70.6703803</t>
  </si>
  <si>
    <t>LA TURBINA S/N</t>
  </si>
  <si>
    <t>/33.8874433, /70.64722</t>
  </si>
  <si>
    <t>CARDONAL BAJO 20</t>
  </si>
  <si>
    <t>/33.8552013, /70.7439054</t>
  </si>
  <si>
    <t>LOS ACACIOS 571</t>
  </si>
  <si>
    <t>/33.7947523, /70.7323939</t>
  </si>
  <si>
    <t>EL ATARDECER 481</t>
  </si>
  <si>
    <t>/33.739393, /70.863417</t>
  </si>
  <si>
    <t>ALFREDO ECHAURREN 32</t>
  </si>
  <si>
    <t>/33.7209177, /70.7369066</t>
  </si>
  <si>
    <t>AGUILA SUR 61</t>
  </si>
  <si>
    <t>/33.913419, /70.726150</t>
  </si>
  <si>
    <t>CODEGUA 19 SAN JOSE</t>
  </si>
  <si>
    <t>/33.7527122, /71.3259367</t>
  </si>
  <si>
    <t>LOS CHACON SILVA 0333</t>
  </si>
  <si>
    <t>/33.7251233, /70.7338817</t>
  </si>
  <si>
    <t>/33.7227395, /71.1985057</t>
  </si>
  <si>
    <t>BIEN COMUN 200</t>
  </si>
  <si>
    <t>/33.7483578, /70.8674605</t>
  </si>
  <si>
    <t>EL ESFUERZO CODIGUA 2</t>
  </si>
  <si>
    <t>/33.5606371, /70.6528065</t>
  </si>
  <si>
    <t>CALLE OLEA 4160</t>
  </si>
  <si>
    <t>/33.5605971, /70.6528288</t>
  </si>
  <si>
    <t>QUEZADA 3107</t>
  </si>
  <si>
    <t>MONTE LAS MERCEDES</t>
  </si>
  <si>
    <t>/33.7977183, /70.8876719</t>
  </si>
  <si>
    <t>BALMACEDA 0500</t>
  </si>
  <si>
    <t>/33.5996754, /70.8473152</t>
  </si>
  <si>
    <t>EL ALBA 2919</t>
  </si>
  <si>
    <t>/33.7609413, /70.7393338</t>
  </si>
  <si>
    <t>DARIO PAVEZ PARCELA 16</t>
  </si>
  <si>
    <t>/33.8409852, /70.8070315</t>
  </si>
  <si>
    <t>EL CONDOR 2278</t>
  </si>
  <si>
    <t>COHEMBACH 183</t>
  </si>
  <si>
    <t>/33.6481579, /70.6396083</t>
  </si>
  <si>
    <t>BOCATOMA S/N</t>
  </si>
  <si>
    <t>33.6459298, /70.6352209</t>
  </si>
  <si>
    <t>/33.64637, /70.6365967</t>
  </si>
  <si>
    <t>LOS ACACCIO 551</t>
  </si>
  <si>
    <t>/33.7945927, /70.7326214</t>
  </si>
  <si>
    <t>PRESIDENTE FEDERICO ERRAZURIZ 1021</t>
  </si>
  <si>
    <t>/33.7421911, /70.7418201</t>
  </si>
  <si>
    <t>/33.4295665, /71.0349823</t>
  </si>
  <si>
    <t>GACITUA 295</t>
  </si>
  <si>
    <t>/33.7288473, /70.9133804</t>
  </si>
  <si>
    <t>/33.728625, /70.9132485</t>
  </si>
  <si>
    <t>CULLIPRAN PC 1095</t>
  </si>
  <si>
    <t>33.7984005, /71.2407062</t>
  </si>
  <si>
    <t>BALMACEDA 500</t>
  </si>
  <si>
    <t>/33.600017/70.846684</t>
  </si>
  <si>
    <t>ASENT EL PROGRESO P/2 S4</t>
  </si>
  <si>
    <t>/33.578408/70.808146</t>
  </si>
  <si>
    <t>EL PROGRESO S/N ST 3B</t>
  </si>
  <si>
    <t>/33.577475/70.808282</t>
  </si>
  <si>
    <t>/33.574826/70.807284</t>
  </si>
  <si>
    <t>LAS ARAUCARIAS 508</t>
  </si>
  <si>
    <t>/33.593955/70.812514</t>
  </si>
  <si>
    <t>LOS PALTOS 1861</t>
  </si>
  <si>
    <t>/33.602022/70.873166</t>
  </si>
  <si>
    <t>PJE LOS APOSTOLES 805</t>
  </si>
  <si>
    <t>/33.574054/70.807679</t>
  </si>
  <si>
    <t>SITIO 509 MANZANA 39</t>
  </si>
  <si>
    <t>/33.594160/70.811987</t>
  </si>
  <si>
    <t>GILDA DIAZ 284</t>
  </si>
  <si>
    <t>/33.824386/70.747818</t>
  </si>
  <si>
    <t>COLONIA PAINE 284</t>
  </si>
  <si>
    <t>/33.786935/70.732310</t>
  </si>
  <si>
    <t>NIÑO JESUS 1222</t>
  </si>
  <si>
    <t>/33.663936/70.917997</t>
  </si>
  <si>
    <t>RIO ACONCAGUA 446</t>
  </si>
  <si>
    <t>/33.089401/70.929156</t>
  </si>
  <si>
    <t>CAMINO EL VOLCAN 205203</t>
  </si>
  <si>
    <t>/33.64578/70.35582</t>
  </si>
  <si>
    <t>CAMINO PUBLICO S/N LOTE 6</t>
  </si>
  <si>
    <t>/34.027211/71.102989</t>
  </si>
  <si>
    <t>/34.029695/71.082703</t>
  </si>
  <si>
    <t>/34.032154/71.079413</t>
  </si>
  <si>
    <t>/34.037949/71.224438</t>
  </si>
  <si>
    <t>CLAUDINA ARRIAGADA 1108</t>
  </si>
  <si>
    <t>/33.407431/71.138684</t>
  </si>
  <si>
    <t>RAMON FREIRE 1037</t>
  </si>
  <si>
    <t>/33.394372/71.123686</t>
  </si>
  <si>
    <t>/34.037627/71.224249</t>
  </si>
  <si>
    <t>/34.037846/71.224605</t>
  </si>
  <si>
    <t>/34.039267/71.222264</t>
  </si>
  <si>
    <t>PANGAL 1824</t>
  </si>
  <si>
    <t>/33.406281/71.127200</t>
  </si>
  <si>
    <t>/33.408583/71.129207</t>
  </si>
  <si>
    <t>PJE NIZA 930</t>
  </si>
  <si>
    <t>/33.575066/70.807517</t>
  </si>
  <si>
    <t>CAMINO LA RINCONADA PARC 85</t>
  </si>
  <si>
    <t>/33.722287/70.573436</t>
  </si>
  <si>
    <t>/33.562736/70.891187</t>
  </si>
  <si>
    <t>FLOR NEGRETE LABRAÑA 1176</t>
  </si>
  <si>
    <t>/33.611032/70.863458</t>
  </si>
  <si>
    <t>PJE SIETE SUR 2598</t>
  </si>
  <si>
    <t>/33.605039/70.882195</t>
  </si>
  <si>
    <t>CANCHAS DE CARRERA SITIO 2</t>
  </si>
  <si>
    <t>/34.020380/71.053566</t>
  </si>
  <si>
    <t>SECTOR HIJUELA DE POLULO S/N</t>
  </si>
  <si>
    <t>SIGNADA 5 B</t>
  </si>
  <si>
    <t>LAS ARAUCARIAS 1368</t>
  </si>
  <si>
    <t>/33.615375/70.873739</t>
  </si>
  <si>
    <t>LOS GLADIOLOS 512</t>
  </si>
  <si>
    <t>/33.615646/70.872782</t>
  </si>
  <si>
    <t>/33.562776/70.891659</t>
  </si>
  <si>
    <t>/33.562761/70.891546</t>
  </si>
  <si>
    <t>COSTA RICA 1259</t>
  </si>
  <si>
    <t>/33.610528/70.895747</t>
  </si>
  <si>
    <t>EL MUELLE 146</t>
  </si>
  <si>
    <t>/34.044929/70.722074</t>
  </si>
  <si>
    <t>AV. DEL CERRO 20276</t>
  </si>
  <si>
    <t>/33.645244/70.341139</t>
  </si>
  <si>
    <t>AV. DEL CERRO 20274</t>
  </si>
  <si>
    <t>/33.645306/70.351174</t>
  </si>
  <si>
    <t>CAMINO A LAMPA P 103 LOTE A2</t>
  </si>
  <si>
    <t>/70.875610/33.286300</t>
  </si>
  <si>
    <t>CINCO DE ABRIL 3</t>
  </si>
  <si>
    <t>/34.620322/71.060067</t>
  </si>
  <si>
    <t>/34.03342/71.109541</t>
  </si>
  <si>
    <t>EL ASIENTO 6 LOTE 6</t>
  </si>
  <si>
    <t>/34.520122/71.022172</t>
  </si>
  <si>
    <t>/34.590722/71.054250</t>
  </si>
  <si>
    <t>/34.014952/71.050219</t>
  </si>
  <si>
    <t>/34.014728/71.051028</t>
  </si>
  <si>
    <t>LA ESTACION 350</t>
  </si>
  <si>
    <t>/33.6717780,/70.986754</t>
  </si>
  <si>
    <t>DOCTRINA DE INDIA 31</t>
  </si>
  <si>
    <t>/33.682880,/71.003475</t>
  </si>
  <si>
    <t>LAGO PEYEHUE 741</t>
  </si>
  <si>
    <t>/33.628292,/70.539952</t>
  </si>
  <si>
    <t>VILLA SAN MANUEL 49</t>
  </si>
  <si>
    <t>/33.712373,/70.549522</t>
  </si>
  <si>
    <t>LOS ANDES 444</t>
  </si>
  <si>
    <t>/33.753964,/70.889297</t>
  </si>
  <si>
    <t>FRANCISCO LEYTON LEST 345</t>
  </si>
  <si>
    <t>/33.666967,/70.915641</t>
  </si>
  <si>
    <t>NAGUAYAN  206</t>
  </si>
  <si>
    <t>/33.754310,/70.890271</t>
  </si>
  <si>
    <t>CO CARAMPANGUE PARCELA B S/N</t>
  </si>
  <si>
    <t>/33.711369,/70.869359</t>
  </si>
  <si>
    <t>BALMACEDA 458</t>
  </si>
  <si>
    <t>/33.752010,/70.887748</t>
  </si>
  <si>
    <t>EMILIANO ROJAS MAULEN 2807</t>
  </si>
  <si>
    <t>/33.680626,/70.944639</t>
  </si>
  <si>
    <t>EL RECREO 490</t>
  </si>
  <si>
    <t>/33.715237,/70.848078</t>
  </si>
  <si>
    <t>MIGUEL CAMPINO 470</t>
  </si>
  <si>
    <t>/33.816873,/70.737824</t>
  </si>
  <si>
    <t>MANUEL MALLEA 65</t>
  </si>
  <si>
    <t>/33.732489,/70.764751</t>
  </si>
  <si>
    <t>LA ARAUCARIA 532</t>
  </si>
  <si>
    <t>/33.751663,/70.861502</t>
  </si>
  <si>
    <t>CORTEZ 86</t>
  </si>
  <si>
    <t>/33.752981,/70.902980</t>
  </si>
  <si>
    <t>AV JAIME GUZMAN 3501/A</t>
  </si>
  <si>
    <t>/33.728614,/70.916517</t>
  </si>
  <si>
    <t>PADRE TARCICIO ERNOLI 0148</t>
  </si>
  <si>
    <t>LONQUEN SUR 1310</t>
  </si>
  <si>
    <t>/33.700849,/70.854968</t>
  </si>
  <si>
    <t>MARIA LUISA BOMBAL 3470</t>
  </si>
  <si>
    <t>/33.746167,/70.861701</t>
  </si>
  <si>
    <t>SAN ANTONIO NALTAHUA 6340</t>
  </si>
  <si>
    <t>/33.732489,/70.972630</t>
  </si>
  <si>
    <t>SANTELICES 258</t>
  </si>
  <si>
    <t>/33.756322,/70.898969</t>
  </si>
  <si>
    <t>DIEGO OSORIO 57</t>
  </si>
  <si>
    <t>/33.733260,/70.762432</t>
  </si>
  <si>
    <t>VINCULO 335</t>
  </si>
  <si>
    <t>/33.841427,/70.800936</t>
  </si>
  <si>
    <t>HECTOR BERRIOS 224</t>
  </si>
  <si>
    <t>/33.732749,/70.764332</t>
  </si>
  <si>
    <t>HECTOR BERRIOS 2212</t>
  </si>
  <si>
    <t>/33.732887,/70.764346</t>
  </si>
  <si>
    <t>SERRANO 92</t>
  </si>
  <si>
    <t>/33.732334,/70.782289</t>
  </si>
  <si>
    <t>CARAMPANGE PARCEL B S/N</t>
  </si>
  <si>
    <t>LUIS BARROS BORGOÑO 3206</t>
  </si>
  <si>
    <t>/33.685451,/70.953731</t>
  </si>
  <si>
    <t>LUIS BARROS BORGOÑO 3204</t>
  </si>
  <si>
    <t>/33.685379,/70.953686</t>
  </si>
  <si>
    <t>PA PEDRO HERRERA 477 VILLA BICENCIO</t>
  </si>
  <si>
    <t>/33.741669,/70868914</t>
  </si>
  <si>
    <t>SERGIO CORREA 260</t>
  </si>
  <si>
    <t>/33.745570,/70868252</t>
  </si>
  <si>
    <t>PA EL LITRE 505</t>
  </si>
  <si>
    <t>/33.750608,/70.861483</t>
  </si>
  <si>
    <t>SANTA INES 205</t>
  </si>
  <si>
    <t>/33.7346580:/70.8601860</t>
  </si>
  <si>
    <t>GACITUA 21.</t>
  </si>
  <si>
    <t>/33.727704:/709162650</t>
  </si>
  <si>
    <t>GACITUA 21</t>
  </si>
  <si>
    <t>33.727704:/709162650</t>
  </si>
  <si>
    <t>AV 18 DE SEPT 366 ALHUE</t>
  </si>
  <si>
    <t>/34.030764:/71.101491</t>
  </si>
  <si>
    <t>CALLEJON LOS SILVA</t>
  </si>
  <si>
    <t>/34.033041:/71.118031</t>
  </si>
  <si>
    <t>VICTORIA S/n</t>
  </si>
  <si>
    <t>/34.037735:/71.101661</t>
  </si>
  <si>
    <t>/34.037475:/71.10219</t>
  </si>
  <si>
    <t>/33.845160:/70.9546950</t>
  </si>
  <si>
    <t>/33.84574:/70.9543530</t>
  </si>
  <si>
    <t>/33.283287:/70.881943</t>
  </si>
  <si>
    <t>RUKAPILLAN 294</t>
  </si>
  <si>
    <t>/33.797279:/71.243890</t>
  </si>
  <si>
    <t>33.582456:/71.230601</t>
  </si>
  <si>
    <t>POETA OLEGARIO MENDEZ</t>
  </si>
  <si>
    <t>/33.753645:/70.903137</t>
  </si>
  <si>
    <t>CALLE CORTEZ N1</t>
  </si>
  <si>
    <t>/33.753643:/70.903137</t>
  </si>
  <si>
    <t>AV MICHEL BACHELET 533</t>
  </si>
  <si>
    <t>33.742973, /70.870556</t>
  </si>
  <si>
    <t>YERBAS BUENAS 4035</t>
  </si>
  <si>
    <t>/33.7494750:/70.9027930</t>
  </si>
  <si>
    <t>/33.029736:/71.083081</t>
  </si>
  <si>
    <t>IGNACIO CARRERA PINTO ALHUEB</t>
  </si>
  <si>
    <t>/34.031814:/71.079218</t>
  </si>
  <si>
    <t>QUILAPILUN ALTO</t>
  </si>
  <si>
    <t>/33.090199:/70.679337</t>
  </si>
  <si>
    <t>MANSO 702</t>
  </si>
  <si>
    <t>/33.691361:/61.217108</t>
  </si>
  <si>
    <t>POPETA SECTOR 4</t>
  </si>
  <si>
    <t>/33.805270:/71.306808</t>
  </si>
  <si>
    <t>/34.035212:/71.222458</t>
  </si>
  <si>
    <t>LAS PARRAS 2035</t>
  </si>
  <si>
    <t>/33.680052:/71.177393</t>
  </si>
  <si>
    <t>FARELLONES 246</t>
  </si>
  <si>
    <t>33.753771,/70.890117</t>
  </si>
  <si>
    <t>TAMARUGO 4523</t>
  </si>
  <si>
    <t>/33.735097:/70.861204</t>
  </si>
  <si>
    <t>AV SAN ANTONIO DE NALTAHUA</t>
  </si>
  <si>
    <t>/33.7299910:/70.9536000</t>
  </si>
  <si>
    <t>PSJ POETA OLEGARIO MENDEZ</t>
  </si>
  <si>
    <t>/33.7439660:/70.8696710</t>
  </si>
  <si>
    <t>/33.8754690:/70.7424240</t>
  </si>
  <si>
    <t>SECTOR HIJUELAS</t>
  </si>
  <si>
    <t>/34.022272:/71.116552</t>
  </si>
  <si>
    <t>EL ASIENTO</t>
  </si>
  <si>
    <t>/34.0298461, /71.0077068</t>
  </si>
  <si>
    <t>CARACAS 465</t>
  </si>
  <si>
    <t>/33.685342:/71.224877</t>
  </si>
  <si>
    <t>/34.030478,/71.008796</t>
  </si>
  <si>
    <t>RUTA 672</t>
  </si>
  <si>
    <t>/33.690032,/71.225772</t>
  </si>
  <si>
    <t>/33.676881,/71.210421</t>
  </si>
  <si>
    <t>EL MOLINO S/N PP</t>
  </si>
  <si>
    <t>/33.181258,/70.227410</t>
  </si>
  <si>
    <t>/33.131839,/70.471510</t>
  </si>
  <si>
    <t>CAMINI PICHI 11 SITIO C</t>
  </si>
  <si>
    <t>EL ASIENTO 19</t>
  </si>
  <si>
    <t>/34.027861,/71.116428</t>
  </si>
  <si>
    <t>LA PATAGUILLA S/N</t>
  </si>
  <si>
    <t>/34.020350,/71.054173</t>
  </si>
  <si>
    <t>LONGITUDINAL SUR S/N 216</t>
  </si>
  <si>
    <t>/33.882178,/70.737919</t>
  </si>
  <si>
    <t>ABRANTES3 FDO LAS TORCAZAS</t>
  </si>
  <si>
    <t>/33.857370,/70.844025</t>
  </si>
  <si>
    <t>CO. A PAINE 3109</t>
  </si>
  <si>
    <t>/33.799887,/70.773591</t>
  </si>
  <si>
    <t>LAS ACACIAS 102</t>
  </si>
  <si>
    <t>/33.805394,/70.853999</t>
  </si>
  <si>
    <t>P. FORESTAL 3427</t>
  </si>
  <si>
    <t>/33.566700,/70.833321</t>
  </si>
  <si>
    <t>/33.853965,/70.758528</t>
  </si>
  <si>
    <t>STA. CAROLINA P.32 C17</t>
  </si>
  <si>
    <t>/33.286301,/70.875616</t>
  </si>
  <si>
    <t>SAN MARTIN 99</t>
  </si>
  <si>
    <t>/33.050877,/70.555368</t>
  </si>
  <si>
    <t>GRAL. SAN MARTIN 13</t>
  </si>
  <si>
    <t>RUTA G/772/631</t>
  </si>
  <si>
    <t>/33.776200,/71.239476</t>
  </si>
  <si>
    <t>CULIPRAN PC 182</t>
  </si>
  <si>
    <t>/33.801015,/71.289105</t>
  </si>
  <si>
    <t>PJE. LUIS DELGADO VERGARA 2365</t>
  </si>
  <si>
    <t>/33.599474,/70.861230</t>
  </si>
  <si>
    <t>LO RIVERA 27</t>
  </si>
  <si>
    <t>/33.211551,/70.731970</t>
  </si>
  <si>
    <t>PSJE. UGALDE 4 S/N</t>
  </si>
  <si>
    <t>C. PICHI S/N 2 CARRERA PINTO</t>
  </si>
  <si>
    <t>C. UGALDE S/N</t>
  </si>
  <si>
    <t>CAMINO A PICHI II</t>
  </si>
  <si>
    <t>MANZANA 26</t>
  </si>
  <si>
    <t>/33.584591,/70.812969</t>
  </si>
  <si>
    <t>/33.849753,/70.765193</t>
  </si>
  <si>
    <t>LAS BRISAS 1010</t>
  </si>
  <si>
    <t>/33.242920,/70.679948</t>
  </si>
  <si>
    <t>PSJE. EL TRANQUE 0135</t>
  </si>
  <si>
    <t>/33.203400,/70.687586</t>
  </si>
  <si>
    <t>JUAN ANTONIO RIOS PARC. 68</t>
  </si>
  <si>
    <t>/33.829462,/70.772275</t>
  </si>
  <si>
    <t>LOS ALAMOS 109</t>
  </si>
  <si>
    <t>/33.861504,/70.752879</t>
  </si>
  <si>
    <t>LA UNION 250</t>
  </si>
  <si>
    <t>/33.560708,/70.795951</t>
  </si>
  <si>
    <t>PSJE. WASHINGTON 949</t>
  </si>
  <si>
    <t>/33.571938,/70.803583</t>
  </si>
  <si>
    <t>LAS MERCEDES 81</t>
  </si>
  <si>
    <t>/33.803058,/70.723789</t>
  </si>
  <si>
    <t>RADA HUELQUEN PARC. 36</t>
  </si>
  <si>
    <t>/33.815311,/70.649393</t>
  </si>
  <si>
    <t>LOS LINGUES LOTE 22 S7N</t>
  </si>
  <si>
    <t>/33,050022,/70,560027</t>
  </si>
  <si>
    <t>PUENTE LA PINTA 695</t>
  </si>
  <si>
    <t>/33.602889,/70.860654</t>
  </si>
  <si>
    <t>PARQUE HUASCO</t>
  </si>
  <si>
    <t>/33.573471,/70.800709</t>
  </si>
  <si>
    <t>LAS CAMELIAS ST4 P/6</t>
  </si>
  <si>
    <t>/33.156845,/70.213494</t>
  </si>
  <si>
    <t>CAMINO EL ROSARIO LOTE D</t>
  </si>
  <si>
    <t>/33.5088026,/71.1400818</t>
  </si>
  <si>
    <t>CUYUNCAVI S/N P/219/A</t>
  </si>
  <si>
    <t>/33.3735405,/71.0849433</t>
  </si>
  <si>
    <t>PARCELACION SANTA LUZ P/7</t>
  </si>
  <si>
    <t>/33.2863812,/70.6902946</t>
  </si>
  <si>
    <t>ALTO LA AGUILA P/9</t>
  </si>
  <si>
    <t>/33.4173008,/71.1473571</t>
  </si>
  <si>
    <t>MANUEL GANDARILLAS 2129</t>
  </si>
  <si>
    <t>/33.3984966,/71.1226622</t>
  </si>
  <si>
    <t>GONZALO BARROS 015</t>
  </si>
  <si>
    <t>/33.277327,/70.889670</t>
  </si>
  <si>
    <t>RUTA G 150 S/2C</t>
  </si>
  <si>
    <t>/33.281075,/70.853496</t>
  </si>
  <si>
    <t>EL TAQUERAL P/24</t>
  </si>
  <si>
    <t>/33.311812,/70.784225</t>
  </si>
  <si>
    <t>LO CASTRO P/4</t>
  </si>
  <si>
    <t>/33.300628,/70.795214</t>
  </si>
  <si>
    <t>GUILBERTO GONZALEZ 1912</t>
  </si>
  <si>
    <t>/33.281669,/70.870773</t>
  </si>
  <si>
    <t>ISABEL RIQUELME 2101</t>
  </si>
  <si>
    <t>/33.293792,/70.885593</t>
  </si>
  <si>
    <t>AV DIEGO PORTALES 46</t>
  </si>
  <si>
    <t>/33.87493,/70.746516</t>
  </si>
  <si>
    <t>LOS SAUCES 28A</t>
  </si>
  <si>
    <t>/33.868227,/70.693719</t>
  </si>
  <si>
    <t>ARRECIFE 1725</t>
  </si>
  <si>
    <t>/33.821423,/70.741871</t>
  </si>
  <si>
    <t>/33.797158,/70.737210</t>
  </si>
  <si>
    <t>SANTA VICTORIA 02</t>
  </si>
  <si>
    <t>/33.810823,/70.763040</t>
  </si>
  <si>
    <t>MANUEL ROJAS 230</t>
  </si>
  <si>
    <t>/33.084335,/70.923099</t>
  </si>
  <si>
    <t>PARCELA 47</t>
  </si>
  <si>
    <t>/33.099978,/70.761994</t>
  </si>
  <si>
    <t>LOS CAMINOS 238</t>
  </si>
  <si>
    <t>/33.161577,/70.787763</t>
  </si>
  <si>
    <t>LOS PINOS 305</t>
  </si>
  <si>
    <t>/33.851366,/70.767353</t>
  </si>
  <si>
    <t>LOMAS DEL AGUILAR</t>
  </si>
  <si>
    <t>/33.866158,/70.794933</t>
  </si>
  <si>
    <t>PAOLA FLORES REYES 204</t>
  </si>
  <si>
    <t>/33.806380,/70.732624</t>
  </si>
  <si>
    <t>ISLA TORAX 388</t>
  </si>
  <si>
    <t>/33.8070348,/70.7359200</t>
  </si>
  <si>
    <t>LOS HEROES 1616</t>
  </si>
  <si>
    <t>/33.821506,/70.736663</t>
  </si>
  <si>
    <t>CAMINO PADRE HURTADO 31A</t>
  </si>
  <si>
    <t>/33.794518,/70.654710</t>
  </si>
  <si>
    <t>CAMINO VERNAL CASA 3</t>
  </si>
  <si>
    <t>/34.673212,/71.435283</t>
  </si>
  <si>
    <t>PASAJE URUGUAY 341</t>
  </si>
  <si>
    <t>/33.820813,/70.739351</t>
  </si>
  <si>
    <t>/33.822164,/70.765046</t>
  </si>
  <si>
    <t>PASAJE LOS CEIBAS 1413</t>
  </si>
  <si>
    <t>/33.852435,/70.764691</t>
  </si>
  <si>
    <t>JORGE ALESSANDRI P/14</t>
  </si>
  <si>
    <t>/33.854331,/70.758931</t>
  </si>
  <si>
    <t>PAOLA FLORES REYES 86</t>
  </si>
  <si>
    <t>/33.804449,/70.733169</t>
  </si>
  <si>
    <t>HERNAN PRIETO 5550</t>
  </si>
  <si>
    <t>/33.675710,/70.583936</t>
  </si>
  <si>
    <t>LA ESCUELA P/13</t>
  </si>
  <si>
    <t>/33.720090,/70.548463</t>
  </si>
  <si>
    <t>CAMINO SAN VICENTE P/15B</t>
  </si>
  <si>
    <t>/33.684257,/70.618495</t>
  </si>
  <si>
    <t>24 DE ABRIL SITIO 92</t>
  </si>
  <si>
    <t>/33.799257,/70.683274</t>
  </si>
  <si>
    <t>SAN MIGUEL SITIO 17</t>
  </si>
  <si>
    <t>/33.803958,/70.698617</t>
  </si>
  <si>
    <t>O´HIGGINS 870</t>
  </si>
  <si>
    <t>/33.812525,/70.737192</t>
  </si>
  <si>
    <t>LOS HEROES 1627</t>
  </si>
  <si>
    <t>/33.821402,/70.736855</t>
  </si>
  <si>
    <t>GRAN AVENIDA 476</t>
  </si>
  <si>
    <t>/33.802759,/70.727311</t>
  </si>
  <si>
    <t>ECUADOR 378</t>
  </si>
  <si>
    <t>/33.820852,/70.739220</t>
  </si>
  <si>
    <t>AV LIBERTADORES 132</t>
  </si>
  <si>
    <t>/33.678522,/70.976701</t>
  </si>
  <si>
    <t>AVINMACULADA CONCEP 1155</t>
  </si>
  <si>
    <t>/33.203745,/70.687000</t>
  </si>
  <si>
    <t>El dibujo p 64</t>
  </si>
  <si>
    <t>/33.800862,/71.212633</t>
  </si>
  <si>
    <t>Camino el curato sitio 21</t>
  </si>
  <si>
    <t>/33.595223,/70.817446</t>
  </si>
  <si>
    <t>Camino el curato sitio 30 lote 1</t>
  </si>
  <si>
    <t>/33.593678,/70.817935</t>
  </si>
  <si>
    <t>/33.209158,/70.683507</t>
  </si>
  <si>
    <t>/33.377759,/71.105905</t>
  </si>
  <si>
    <t>LUIS CRUCHAGA 647 A2</t>
  </si>
  <si>
    <t>/33.396130,/71.126017</t>
  </si>
  <si>
    <t>Camino el curato parcela 30 lote 1</t>
  </si>
  <si>
    <t>/33.592917,/70.818736</t>
  </si>
  <si>
    <t>Montanas de angostura P 13</t>
  </si>
  <si>
    <t>/33.819033,70.773293</t>
  </si>
  <si>
    <t>Camino el curato sitio 16</t>
  </si>
  <si>
    <t>/33.593545,/70.818627</t>
  </si>
  <si>
    <t>Camino el curato sitio 3</t>
  </si>
  <si>
    <t>/33.594656,/70.821799</t>
  </si>
  <si>
    <t>San Alberto 0170</t>
  </si>
  <si>
    <t>/33.209678,/70.677780</t>
  </si>
  <si>
    <t>Pje. Los Establos Ote. 1241</t>
  </si>
  <si>
    <t>/33.218064,/70.684077</t>
  </si>
  <si>
    <t>Parcela 29A fundo San José</t>
  </si>
  <si>
    <t>/33.249478,/70.698469</t>
  </si>
  <si>
    <t>Camino el curato sitio 19</t>
  </si>
  <si>
    <t>/33.594706,/70.817661</t>
  </si>
  <si>
    <t>PARCELACION STA SARA PARCELA 34 LOTE A/10 SITIO 1</t>
  </si>
  <si>
    <t xml:space="preserve">LAMPA </t>
  </si>
  <si>
    <t>33.217870;70,773573</t>
  </si>
  <si>
    <t>08_12_2023</t>
  </si>
  <si>
    <t>SERVIDUMBRE S/N HIJ/4 LOTE 16</t>
  </si>
  <si>
    <t>33,219359;70,805729</t>
  </si>
  <si>
    <t>CAMINO INTERIOR STA SARA S/10 C</t>
  </si>
  <si>
    <t>33,224874;70,771185</t>
  </si>
  <si>
    <t>CAMINO INTERIOR S/N LOTE 10</t>
  </si>
  <si>
    <t>33,236163;70,776679</t>
  </si>
  <si>
    <t>CAMINO SERVIDUMBRE PARCELA B LOTE 20 S/N</t>
  </si>
  <si>
    <t>33,243563;70,809945</t>
  </si>
  <si>
    <t>CAMINO SERVIDUMBRE S/N PARCELA B LOTE 25 B1</t>
  </si>
  <si>
    <t>33,245877;70,808161</t>
  </si>
  <si>
    <t>/33.774612/70.898705</t>
  </si>
  <si>
    <t>LAS HORTENCIAS 1869</t>
  </si>
  <si>
    <t>/33.604004/70.873464</t>
  </si>
  <si>
    <t>RAMON SERRANO 2004</t>
  </si>
  <si>
    <t>/33.684216/71.231400</t>
  </si>
  <si>
    <t>LAS FLORES 56</t>
  </si>
  <si>
    <t>/33.604951/70.895066</t>
  </si>
  <si>
    <t>LAS CAMELIAS 33 C/9</t>
  </si>
  <si>
    <t>/33.832214/70.764428</t>
  </si>
  <si>
    <t>EL NARANJO PARC 16</t>
  </si>
  <si>
    <t>/33.400029/71.177529</t>
  </si>
  <si>
    <t>AMANECER 11</t>
  </si>
  <si>
    <t>/33.630200/70.822015</t>
  </si>
  <si>
    <t>CO A CHADA 44</t>
  </si>
  <si>
    <t>/33.897517/70.662671</t>
  </si>
  <si>
    <t>CO A CHADA 80</t>
  </si>
  <si>
    <t>/33.74634/70.696674</t>
  </si>
  <si>
    <t>PRINCIPAL SITIO 167 LOTE F</t>
  </si>
  <si>
    <t>/33.707013/70.536898</t>
  </si>
  <si>
    <t>PADRE HURTADO 5810 SIT 3C</t>
  </si>
  <si>
    <t>/33.682162/70.671189</t>
  </si>
  <si>
    <t>/33.774612/70.898765</t>
  </si>
  <si>
    <t>/33.806419/71.251564</t>
  </si>
  <si>
    <t>/33.784612/70.888705</t>
  </si>
  <si>
    <t>MANUEL RODRIGUEZ 598</t>
  </si>
  <si>
    <t>/33.275736,/70.885104</t>
  </si>
  <si>
    <t>CAM PAMENTO SOL DE SEPTIEMBRE C/ 669</t>
  </si>
  <si>
    <t>/33.3082269,/70.8624947</t>
  </si>
  <si>
    <t>GENERAL SAN MARTIN 57</t>
  </si>
  <si>
    <t>/33.2338835,/70.6952821</t>
  </si>
  <si>
    <t>ELIAS CONTRERAS 3225</t>
  </si>
  <si>
    <t>/33.7488088,/70.8716621</t>
  </si>
  <si>
    <t>CAMINO VECINAL 27618</t>
  </si>
  <si>
    <t>/33.7021978,/70.3360044</t>
  </si>
  <si>
    <t>CONDOMINIO STA TERESA</t>
  </si>
  <si>
    <t>/33.705694;/70.877819</t>
  </si>
  <si>
    <t>CANCHA CARRERA 357</t>
  </si>
  <si>
    <t>/33.748555;/70.861838</t>
  </si>
  <si>
    <t>CAM VALV PAINE 6</t>
  </si>
  <si>
    <t>/33.7608529,/70.8133676</t>
  </si>
  <si>
    <t>CAM EL ARRIERO P41</t>
  </si>
  <si>
    <t>/33.9075126,/70.7433299</t>
  </si>
  <si>
    <t>EGAÑA 443</t>
  </si>
  <si>
    <t>/33.6854932,/71.2117408</t>
  </si>
  <si>
    <t>LUMBRERAS 20</t>
  </si>
  <si>
    <t>/33.677771, /71.185722</t>
  </si>
  <si>
    <t>LAGUNILLAS 21244</t>
  </si>
  <si>
    <t>/33.6536374,/70.3529421</t>
  </si>
  <si>
    <t>DIEZ SUR 2675</t>
  </si>
  <si>
    <t>/33,6043800/70,8831370</t>
  </si>
  <si>
    <t>LEONIDAS POLITO FF 1280</t>
  </si>
  <si>
    <t>MARCELA PAZ SUR 2584, ALTO NEHUEN</t>
  </si>
  <si>
    <t>/33,581020/70,807592</t>
  </si>
  <si>
    <t>PASAJE CAMPOS VERDES 1159</t>
  </si>
  <si>
    <t>/33,203151/70,686894</t>
  </si>
  <si>
    <t>AMANDA LA BARCA 1624</t>
  </si>
  <si>
    <t>/33,577483/70,800577</t>
  </si>
  <si>
    <t>VALLE ACONCAGUA 2077</t>
  </si>
  <si>
    <t>/33.576046/70.804696</t>
  </si>
  <si>
    <t>MANUEL ABARCA 1284</t>
  </si>
  <si>
    <t>/33.575658/70804617</t>
  </si>
  <si>
    <t>VALPARAISOA/9 BOLLENAR</t>
  </si>
  <si>
    <t>/335646320/71.2072880</t>
  </si>
  <si>
    <t>CAMPAMENTO DEL SOL 516</t>
  </si>
  <si>
    <t>/33.3065659/70.8614245</t>
  </si>
  <si>
    <t>SAN ANDRES DE CHIÑIGUE 11 A</t>
  </si>
  <si>
    <t>/33,687562/70,070825</t>
  </si>
  <si>
    <t>ARQUITECTO ALBERTO MOREIRA 268</t>
  </si>
  <si>
    <t>/33,745169/70868260</t>
  </si>
  <si>
    <t>MARIA ELVA PEÑALOZA 130</t>
  </si>
  <si>
    <t>Padre Hurtado</t>
  </si>
  <si>
    <t>/33,565813/70,788309</t>
  </si>
  <si>
    <t>AV . LIBERTAD 151QUINTA AZUL</t>
  </si>
  <si>
    <t>/33.688598/71.209105</t>
  </si>
  <si>
    <t>HUALQUEN 6578 50</t>
  </si>
  <si>
    <t>/33,817189/70,671761</t>
  </si>
  <si>
    <t>PARCELA 56 EL BOSQUE</t>
  </si>
  <si>
    <t>/33,48791/71,14896</t>
  </si>
  <si>
    <t>BALDOMERO LILLO 818</t>
  </si>
  <si>
    <t>/33,569348/70,802390</t>
  </si>
  <si>
    <t>PASAJE EL MAQUI 1234</t>
  </si>
  <si>
    <t>/33,678464/70,943104</t>
  </si>
  <si>
    <t>VILLA PATRONAL 181</t>
  </si>
  <si>
    <t>/33,564840/70,806441</t>
  </si>
  <si>
    <t>/33,587918/70,806657</t>
  </si>
  <si>
    <t>CAMPUSANO 2400</t>
  </si>
  <si>
    <t>/33.</t>
  </si>
  <si>
    <t>VILLORIO SAN MANUEL 182</t>
  </si>
  <si>
    <t>/33.708571,/70.549586</t>
  </si>
  <si>
    <t>LEOPOLDO CASTEDO 1865</t>
  </si>
  <si>
    <t>/33.825065,/70.731313</t>
  </si>
  <si>
    <t>EL RECURSO 1147</t>
  </si>
  <si>
    <t>/33.698016,/70.710322</t>
  </si>
  <si>
    <t>IGNACIO SERRANO 1578</t>
  </si>
  <si>
    <t>/33.297297,/70.857704</t>
  </si>
  <si>
    <t>LUIS CRUZ 608</t>
  </si>
  <si>
    <t>/33.812371,/70.736204</t>
  </si>
  <si>
    <t>ALFONSO LETELIER SITIO 17</t>
  </si>
  <si>
    <t>/33.851558,/70.942893</t>
  </si>
  <si>
    <t>CAMINO INTERIOR PARCELA 4</t>
  </si>
  <si>
    <t>/33.253539 ,/70.882566</t>
  </si>
  <si>
    <t>CAMINO EL MOLINO 37</t>
  </si>
  <si>
    <t>/33.234647 ,/70.908028</t>
  </si>
  <si>
    <t>SAN JUAN DE DIOS 516</t>
  </si>
  <si>
    <t>/33.804701 ,/70.716620</t>
  </si>
  <si>
    <t>/34.034563 , /71.096030</t>
  </si>
  <si>
    <t>LOMAS DEL AGUILA CASA 5</t>
  </si>
  <si>
    <t>/33861696,/70.794250</t>
  </si>
  <si>
    <t>CORONEL 944</t>
  </si>
  <si>
    <t>/33.809357 ,/70.729264</t>
  </si>
  <si>
    <t>LAS TORCAZAS CAMINO INTERIOR 3</t>
  </si>
  <si>
    <t>/33.857298 ,/70.844083</t>
  </si>
  <si>
    <t>AV PORVENIR 1235 CASA 118</t>
  </si>
  <si>
    <t>/33.320302 ,/70.755403</t>
  </si>
  <si>
    <t>LO AGUILA 1A/ 1D</t>
  </si>
  <si>
    <t>/33.419173,/71.147241</t>
  </si>
  <si>
    <t>DARIO PAVES S/N</t>
  </si>
  <si>
    <t>/33.854561,/70.774209</t>
  </si>
  <si>
    <t>SECTOR EL ZANJON CV9</t>
  </si>
  <si>
    <t>/34.036291 ,/71.094801</t>
  </si>
  <si>
    <t>/34.030940, /71.087614</t>
  </si>
  <si>
    <t>CAMINO CHADA LOTE 8</t>
  </si>
  <si>
    <t>/33.874849 ,/70697640</t>
  </si>
  <si>
    <t>CHORRILLOS 508</t>
  </si>
  <si>
    <t>/34.034474 ,/71.093249</t>
  </si>
  <si>
    <t>/33.861673,/70.794156</t>
  </si>
  <si>
    <t>EX HACIENDA CURACAVI 92</t>
  </si>
  <si>
    <t>/33.401687,/71.175504</t>
  </si>
  <si>
    <t>CHADA S/N LOTE8</t>
  </si>
  <si>
    <t>/33.874793,/70.697294</t>
  </si>
  <si>
    <t>SECTOR UNION CODIGUA S/N</t>
  </si>
  <si>
    <t>/33.791137/71.390885</t>
  </si>
  <si>
    <t>SAN IGNACIO 19 A</t>
  </si>
  <si>
    <t>/33.580561/70/809718</t>
  </si>
  <si>
    <t>J NUÑEZ VARGAS 31</t>
  </si>
  <si>
    <t>/33.803635/70.731758</t>
  </si>
  <si>
    <t>SEC LOMA DE MELIPILLA P 34</t>
  </si>
  <si>
    <t>/33.643772/71.230461</t>
  </si>
  <si>
    <t>AV. FRANCISCO BILBAO 1093</t>
  </si>
  <si>
    <t>/33.608474/70.877770</t>
  </si>
  <si>
    <t>PRESBITERO MORAGA 780</t>
  </si>
  <si>
    <t>/33.394786/71.128241</t>
  </si>
  <si>
    <t>LA MONTAÑA SUR 3119</t>
  </si>
  <si>
    <t>/33.326840,/70.752321</t>
  </si>
  <si>
    <t>TRES SUR 035</t>
  </si>
  <si>
    <t>/33.141789,/70.803336</t>
  </si>
  <si>
    <t>DIEGO PORTALES 24 C</t>
  </si>
  <si>
    <t>/33.111500,/70.790168</t>
  </si>
  <si>
    <t xml:space="preserve">CA PANAMERICANA NTE KM28 </t>
  </si>
  <si>
    <t>/33.217169,/70.762368</t>
  </si>
  <si>
    <t xml:space="preserve">DOS OTE 221 B HUERTOS FAMILIARES </t>
  </si>
  <si>
    <t>/33.137861,/70.801754</t>
  </si>
  <si>
    <t>LA ALIANZA 27</t>
  </si>
  <si>
    <t>/33.7755548,/71.278549</t>
  </si>
  <si>
    <t>CUATRO 495</t>
  </si>
  <si>
    <t>/33.5845167,/70.4006736</t>
  </si>
  <si>
    <t>LAS LILAS 268</t>
  </si>
  <si>
    <t>/33.8063279,/70.871856</t>
  </si>
  <si>
    <t>LOS TILOS</t>
  </si>
  <si>
    <t>/33.6234801,/70.8204681</t>
  </si>
  <si>
    <t>LAS PATAGUAS 21041</t>
  </si>
  <si>
    <t>/33.6520071,/70.3562272</t>
  </si>
  <si>
    <t>EL BAJO SN</t>
  </si>
  <si>
    <t>/33.792883;/71.224390</t>
  </si>
  <si>
    <t>GALVEZ 1786</t>
  </si>
  <si>
    <t>/33.7728279,/70.9051121</t>
  </si>
  <si>
    <t>SAN MARCO 20</t>
  </si>
  <si>
    <t>/33.6284387,/70.7734795</t>
  </si>
  <si>
    <t>LOS TILOS 4010</t>
  </si>
  <si>
    <t>/33.7109902,/70.7033629</t>
  </si>
  <si>
    <t xml:space="preserve">PARCELA STA RAQUEL </t>
  </si>
  <si>
    <t>/33.670606,/71,234225</t>
  </si>
  <si>
    <t>CAM INTERIOR P2</t>
  </si>
  <si>
    <t>/33.2406671,/70.8212131</t>
  </si>
  <si>
    <t>TURBINA P9</t>
  </si>
  <si>
    <t>/33.7373751,/71.0168889</t>
  </si>
  <si>
    <t>EDUARDO CORTES 992</t>
  </si>
  <si>
    <t>/33.7412625,/70.7474512</t>
  </si>
  <si>
    <t>FIGUEROA 250</t>
  </si>
  <si>
    <t>/33.232733,/70.811895</t>
  </si>
  <si>
    <t>LIBERTAD 1182</t>
  </si>
  <si>
    <t>/33.291091,/70.888239</t>
  </si>
  <si>
    <t>PASAJE ISLA PICTON 107</t>
  </si>
  <si>
    <t>/33.805619,/70.737822</t>
  </si>
  <si>
    <t>LUMBRERAS /SN</t>
  </si>
  <si>
    <t>/33.664391,/71.283671</t>
  </si>
  <si>
    <t>VALDIVIA DE PAINE 142</t>
  </si>
  <si>
    <t>/33.810936,/70.858072</t>
  </si>
  <si>
    <t>LOS NARANJOS N°1 HOSPITAL</t>
  </si>
  <si>
    <t>/33.866572,/70.749111</t>
  </si>
  <si>
    <t>PJE NOCHE CAMPESINA 1774</t>
  </si>
  <si>
    <t>/33.289876,/70.877373</t>
  </si>
  <si>
    <t>LUIS CRUZ MARTINEZ</t>
  </si>
  <si>
    <t>/33.812328,/70.737513</t>
  </si>
  <si>
    <t>LUIS CRUZ MARTINEZ 486</t>
  </si>
  <si>
    <t>/33.812140,/70.737536</t>
  </si>
  <si>
    <t>LAGO VICHUQUEN 1239</t>
  </si>
  <si>
    <t>/33.288166,/70.876589</t>
  </si>
  <si>
    <t>CAMPUSANO 2813</t>
  </si>
  <si>
    <t>/33.780572,/70.814088</t>
  </si>
  <si>
    <t>RASGUE SITIO 48</t>
  </si>
  <si>
    <t>/33.851860,/70.968566</t>
  </si>
  <si>
    <t>BARROS N°48</t>
  </si>
  <si>
    <t>/33.681136,/71.213431</t>
  </si>
  <si>
    <t>LOS LAURELES 1541</t>
  </si>
  <si>
    <t>/33.285596,/70.865560</t>
  </si>
  <si>
    <t>EL RECURSO 1137</t>
  </si>
  <si>
    <t>/33.698104,/70.710548</t>
  </si>
  <si>
    <t>PASAJE 12 N°12</t>
  </si>
  <si>
    <t>/33.727975,/70.738607</t>
  </si>
  <si>
    <t>EL SOLAR SITIO 098</t>
  </si>
  <si>
    <t>/33.7213007,/70.7366319</t>
  </si>
  <si>
    <t>PASAJE LA CHABELA 1792</t>
  </si>
  <si>
    <t>/33.292915,/70.870844</t>
  </si>
  <si>
    <t>EL RESPLANDOR SITIO 3</t>
  </si>
  <si>
    <t>/33.271351,/70.891749</t>
  </si>
  <si>
    <t>PRESIDENTE PINTO 360</t>
  </si>
  <si>
    <t>/33.8131245,/70.7474272</t>
  </si>
  <si>
    <t>/33.802999,/71.227126</t>
  </si>
  <si>
    <t>RUTA G546, TISIO 2</t>
  </si>
  <si>
    <t>/33.512384,/70.553907</t>
  </si>
  <si>
    <t>CAM INTERIOR IGNACIO CARRERA PARC 5</t>
  </si>
  <si>
    <t>/33.285836,/70.840609</t>
  </si>
  <si>
    <t>GENERAL BACHELET 59</t>
  </si>
  <si>
    <t>/33.697450,/70.710805</t>
  </si>
  <si>
    <t>ELEUTERIO RAMIREZ 169</t>
  </si>
  <si>
    <t>/33.283412,/70.872930</t>
  </si>
  <si>
    <t>LOTE PERALILLO PARC27</t>
  </si>
  <si>
    <t>/33.366990,/70.847910</t>
  </si>
  <si>
    <t>IGNACION SERRANO 1578</t>
  </si>
  <si>
    <t>/33.290058,/70.878011</t>
  </si>
  <si>
    <t>CAMINO PAINE TALAGANTE 18888</t>
  </si>
  <si>
    <t>/33483405,/70.455215</t>
  </si>
  <si>
    <t>EL DIBUJO</t>
  </si>
  <si>
    <t>/33.791464,/71.242028</t>
  </si>
  <si>
    <t>/33.262392,/70.789340</t>
  </si>
  <si>
    <t>/33.698087,/70.710369</t>
  </si>
  <si>
    <t>ENRIQUE MORAN 909</t>
  </si>
  <si>
    <t>/33.824343,/70.732383</t>
  </si>
  <si>
    <t>RESERVA CORA 16 LOTE 3</t>
  </si>
  <si>
    <t>/33.848312,/70.963366</t>
  </si>
  <si>
    <t>ENRIQUE CARRASCO 1131</t>
  </si>
  <si>
    <t>/33.821687,/70.742159</t>
  </si>
  <si>
    <t>OLEA 3315</t>
  </si>
  <si>
    <t>/33.769226,/70.874722</t>
  </si>
  <si>
    <t>LONQUEN NORTE P12</t>
  </si>
  <si>
    <t>/33.361085,/70.470874</t>
  </si>
  <si>
    <t>ROBLE BLANCO 296</t>
  </si>
  <si>
    <t>/33.279588,/70.884049</t>
  </si>
  <si>
    <t>DOCTOR GARCIA 297</t>
  </si>
  <si>
    <t>/33.729592,/70.770832</t>
  </si>
  <si>
    <t>BENJAMIN MOLINA RAMOS 1032</t>
  </si>
  <si>
    <t>/33.811121,/70.856831</t>
  </si>
  <si>
    <t>/33.283241,/70.881859</t>
  </si>
  <si>
    <t>JOVINO NOVOA 761</t>
  </si>
  <si>
    <t>/33.285306,/70.883868</t>
  </si>
  <si>
    <t>SANTA TERESA 26</t>
  </si>
  <si>
    <t>/33.834503, /70.640827</t>
  </si>
  <si>
    <t>CALLE LA ROMANA 46</t>
  </si>
  <si>
    <t>/33.900163,/70.662911</t>
  </si>
  <si>
    <t>NOCHE CAMPESINA 1771</t>
  </si>
  <si>
    <t>/33.289876,/70.877973</t>
  </si>
  <si>
    <t>PASAJE FRANCISCO COLOANE 36</t>
  </si>
  <si>
    <t>/33.289515,/70.880375</t>
  </si>
  <si>
    <t>POBLACION MOREIRA CASTINO NORTE 306</t>
  </si>
  <si>
    <t>/33.811738,/70.739240</t>
  </si>
  <si>
    <t>ELIAS SANCHEZ ORTUZA 1841</t>
  </si>
  <si>
    <t>/33.824660,/70.731787</t>
  </si>
  <si>
    <t>/33.225225,/70.820805</t>
  </si>
  <si>
    <t>INGLATERRA 295</t>
  </si>
  <si>
    <t>/33.235955,/70.809886</t>
  </si>
  <si>
    <t>TRES ORIENTE 150</t>
  </si>
  <si>
    <t>/33.135135,/70.791061</t>
  </si>
  <si>
    <t xml:space="preserve">RANGUE </t>
  </si>
  <si>
    <t>/33.009009,/70.883032</t>
  </si>
  <si>
    <t>PADRE MATEO 932</t>
  </si>
  <si>
    <t>/33.823041,/70.731750</t>
  </si>
  <si>
    <t>/33.741555,/70.748965</t>
  </si>
  <si>
    <t>EL RECURSO 1133</t>
  </si>
  <si>
    <t>/33.698285,/70.710481</t>
  </si>
  <si>
    <t xml:space="preserve">VILUCO </t>
  </si>
  <si>
    <t>/33.799991,/70.769775</t>
  </si>
  <si>
    <t>RAMON SUBERCASEAUX 4602</t>
  </si>
  <si>
    <t>/33.619791,/70.532793</t>
  </si>
  <si>
    <t>QUILAPILUM 48</t>
  </si>
  <si>
    <t>/33.109387,/70.791218</t>
  </si>
  <si>
    <t>LOS AROMOS S/12 CAMINO PUBLICO</t>
  </si>
  <si>
    <t>/33.565305,/70.887426</t>
  </si>
  <si>
    <t>PAJARITOS P/3</t>
  </si>
  <si>
    <t>/33.594128,/70.845952</t>
  </si>
  <si>
    <t>LAS CABAÑAS 125</t>
  </si>
  <si>
    <t>/33.215669,/70.681781</t>
  </si>
  <si>
    <t>PEDRO GUSTAVO LEPAIGE 1776</t>
  </si>
  <si>
    <t>/33.577047,/70.830253</t>
  </si>
  <si>
    <t>CAMINO LAS FLORES 934 C/134</t>
  </si>
  <si>
    <t>/33.300050,/70.883466</t>
  </si>
  <si>
    <t>SANTA ROSA P/9</t>
  </si>
  <si>
    <t>/33.259220,/70.760076</t>
  </si>
  <si>
    <t>PERALILLO, OHIGGINS S/N</t>
  </si>
  <si>
    <t>/33.365807,/70.845377</t>
  </si>
  <si>
    <t>/33.594504,/70.846112</t>
  </si>
  <si>
    <t>LOS AROMOS S/12 CAM PUBLICO</t>
  </si>
  <si>
    <t>PASAJE LOS ESTABLOS ORIENTE 1243</t>
  </si>
  <si>
    <t>/33.218138,/70684221</t>
  </si>
  <si>
    <t>COÑARIPE S/N</t>
  </si>
  <si>
    <t>/33.611432,/70.866316</t>
  </si>
  <si>
    <t>ANA GONZALEZ 1116</t>
  </si>
  <si>
    <t>/33.192515,/70.673528</t>
  </si>
  <si>
    <t>SANTA CAROLINA 28864</t>
  </si>
  <si>
    <t>/33.236162,/70.776702</t>
  </si>
  <si>
    <t>AVENIDA EL MANZANO 299</t>
  </si>
  <si>
    <t>/33.568074,/70.808862</t>
  </si>
  <si>
    <t>PASAJE CORDILLERA DE NAHUELBUTA 81</t>
  </si>
  <si>
    <t>/33.610384,/70.888440</t>
  </si>
  <si>
    <t>PARQUE NAHUELBUTA 1146</t>
  </si>
  <si>
    <t>/33.572764,/70.800360</t>
  </si>
  <si>
    <t>CAMINO EL CURATO S/2</t>
  </si>
  <si>
    <t>/33.594980,/70.822306</t>
  </si>
  <si>
    <t>LOS ALERCES S/N</t>
  </si>
  <si>
    <t>/33.614191,/70.872680</t>
  </si>
  <si>
    <t>/33.7344130/70,9059568</t>
  </si>
  <si>
    <t>/33.73472/70,90530</t>
  </si>
  <si>
    <t>J.A. RIOS PARC 63</t>
  </si>
  <si>
    <t>/33.8330665/70.772355</t>
  </si>
  <si>
    <t>PANGUE CASA 125</t>
  </si>
  <si>
    <t>/33,665432/71,310352</t>
  </si>
  <si>
    <t>LOS PIMIENTOS 1976/3</t>
  </si>
  <si>
    <t>/33.668475/70.888718</t>
  </si>
  <si>
    <t>12/23/2023</t>
  </si>
  <si>
    <t>SAN ENRIQUE 336</t>
  </si>
  <si>
    <t>/33.469916/70114494</t>
  </si>
  <si>
    <t>ALCALDE 195</t>
  </si>
  <si>
    <t>/33,6830343/71,23070317</t>
  </si>
  <si>
    <t>12/21/2023</t>
  </si>
  <si>
    <t>LA VERDIMIA 1317</t>
  </si>
  <si>
    <t>/33,576036/70,804487</t>
  </si>
  <si>
    <t>CONDOMINIO MIRADOR APARICIAN SITIO 4</t>
  </si>
  <si>
    <t>/33,7818173/70,64011</t>
  </si>
  <si>
    <t>12/20/2023</t>
  </si>
  <si>
    <t>LAS TORRES 806</t>
  </si>
  <si>
    <t>/33,689333/71,226215</t>
  </si>
  <si>
    <t>BARROS 42</t>
  </si>
  <si>
    <t>/33,680664/71,212212</t>
  </si>
  <si>
    <t>12/26/2023</t>
  </si>
  <si>
    <t>CALLE PRINCIPAL 307</t>
  </si>
  <si>
    <t>/33.168989,/70.886104</t>
  </si>
  <si>
    <t>ZAPATA DIAZ 210</t>
  </si>
  <si>
    <t>/33.541236,/70.852146</t>
  </si>
  <si>
    <t>/33.851906,/70.968567</t>
  </si>
  <si>
    <t>/33.283206,/70.881856</t>
  </si>
  <si>
    <t>LOS INGLESES SITIO 50</t>
  </si>
  <si>
    <t>/33.283283, /70.681105</t>
  </si>
  <si>
    <t>CAMINO RASGUE ST33</t>
  </si>
  <si>
    <t>/33.844082,/70.954740</t>
  </si>
  <si>
    <t>LAGUNA BATUCO 44</t>
  </si>
  <si>
    <t>/33.288440,/70.864634</t>
  </si>
  <si>
    <t>MOREIRA CASTILLO, UNO NORTE 160</t>
  </si>
  <si>
    <t>/33.811278,/70.740708</t>
  </si>
  <si>
    <t>ARTURO PRAT 647</t>
  </si>
  <si>
    <t>/33.286344,/70.878257</t>
  </si>
  <si>
    <t>PASAJE OVAGUZ 1526</t>
  </si>
  <si>
    <t>/33.289804,/70.880562</t>
  </si>
  <si>
    <t>PAULA JARAQUEMADA 47</t>
  </si>
  <si>
    <t>/33.804469,/70.712822</t>
  </si>
  <si>
    <t>VALLE BATUCO SUR 2637</t>
  </si>
  <si>
    <t>/33.225225,/70.799265</t>
  </si>
  <si>
    <t>LAS ITIGUERAS 40</t>
  </si>
  <si>
    <t>/33.288499,/70.864150</t>
  </si>
  <si>
    <t>/33,521463,/70.852147</t>
  </si>
  <si>
    <t>CRUCE SUR N°20</t>
  </si>
  <si>
    <t>/32.973306, /70.839309</t>
  </si>
  <si>
    <t>AV ROMERO PARC 70</t>
  </si>
  <si>
    <t>/33.860165,/70.725689</t>
  </si>
  <si>
    <t>6 ORIENTE 121</t>
  </si>
  <si>
    <t>/33.128323,/70.795603</t>
  </si>
  <si>
    <t>SANTA CECILIA 817</t>
  </si>
  <si>
    <t>/33.279279,/70.886179</t>
  </si>
  <si>
    <t>CAMINO SAN VICENTE 718</t>
  </si>
  <si>
    <t>/33.669369,/70.618837</t>
  </si>
  <si>
    <t xml:space="preserve">LAS BANDURRIAS </t>
  </si>
  <si>
    <t>/33.709360,/70.584326</t>
  </si>
  <si>
    <t>LAGO VILLARICA 1276</t>
  </si>
  <si>
    <t>/33.288249,/70.877556</t>
  </si>
  <si>
    <t>FUNDO MANQUEHUE RUTO 68</t>
  </si>
  <si>
    <t>/33.407516,/71.204393</t>
  </si>
  <si>
    <t>ANTILLAS 1330</t>
  </si>
  <si>
    <t>/33.817135,/70.739966</t>
  </si>
  <si>
    <t xml:space="preserve">ESTERO DE CHACABUCO </t>
  </si>
  <si>
    <t>/33.119490,/70.824043</t>
  </si>
  <si>
    <t xml:space="preserve">CHICAUMA </t>
  </si>
  <si>
    <t>/33.278331,/70.873413</t>
  </si>
  <si>
    <t>ESPERANZA 184</t>
  </si>
  <si>
    <t>/33.279279,/70.735312</t>
  </si>
  <si>
    <t>POLPAICO 6077</t>
  </si>
  <si>
    <t>/33.158074,/70.885636</t>
  </si>
  <si>
    <t>CAMINO VECINA S/T</t>
  </si>
  <si>
    <t>/33.707394,/70.540431</t>
  </si>
  <si>
    <t>EL PRINCIPAL LOTE A1</t>
  </si>
  <si>
    <t>/33.713215,/70.563079</t>
  </si>
  <si>
    <t>BAQUEDANO 827</t>
  </si>
  <si>
    <t>/33.284286,/70.878117</t>
  </si>
  <si>
    <t>FUNDO LA LAGUNA PARC 45</t>
  </si>
  <si>
    <t>/33.226492,/70.817930</t>
  </si>
  <si>
    <t>PASAJE JACARANDA 0660</t>
  </si>
  <si>
    <t>/33.286248, /70.882882</t>
  </si>
  <si>
    <t>/33.655475,/70.569936</t>
  </si>
  <si>
    <t>PLAZUELA DE POLPAICO 20</t>
  </si>
  <si>
    <t>/33.156547,/70.886542</t>
  </si>
  <si>
    <t>LAGUNA DE BATUCO S/70</t>
  </si>
  <si>
    <t>/33.219555,/70.819510</t>
  </si>
  <si>
    <t xml:space="preserve">CAMINO PADRE HURTADO S/N </t>
  </si>
  <si>
    <t>/33.868361,/70.641099</t>
  </si>
  <si>
    <t>TOMAS ANIC 1962</t>
  </si>
  <si>
    <t>/33.61294,/70.88055</t>
  </si>
  <si>
    <t>PASAJE CANELA 0509</t>
  </si>
  <si>
    <t>/33.199692,/70.679558</t>
  </si>
  <si>
    <t>LOS TILOS 0367</t>
  </si>
  <si>
    <t>/33.28282/70.70719</t>
  </si>
  <si>
    <t>MARTA SANDOVAL 1039</t>
  </si>
  <si>
    <t>/33.610631,/70.863707</t>
  </si>
  <si>
    <t>CAMINO VECINAL STO.21</t>
  </si>
  <si>
    <t>EL PEUMO 568</t>
  </si>
  <si>
    <t>/33.18070,/70.66042</t>
  </si>
  <si>
    <t>JUAN ALLENDE DONOSO 510</t>
  </si>
  <si>
    <t>LOS TILOS 0386</t>
  </si>
  <si>
    <t>/33.28196,/70.70727</t>
  </si>
  <si>
    <t>CAM. CENTRAL 1 LOTE 1 PARC 3</t>
  </si>
  <si>
    <t>/33.59333,/70.8881</t>
  </si>
  <si>
    <t>LAS CABAÑAS 129</t>
  </si>
  <si>
    <t>/33.2156,/70.68185</t>
  </si>
  <si>
    <t>Camino el curato sitio 2</t>
  </si>
  <si>
    <t>/33.595178,/70.822117</t>
  </si>
  <si>
    <t>PAGUIACOMO PUCIINI 725</t>
  </si>
  <si>
    <t>/33.679280,/71.204890</t>
  </si>
  <si>
    <t>FELIPE II 409</t>
  </si>
  <si>
    <t>/33.19238,/70.66910</t>
  </si>
  <si>
    <t>CNO EL CURATO SITIO 3</t>
  </si>
  <si>
    <t>NARANJILLO 1002</t>
  </si>
  <si>
    <t>/33.19348,/70.68489</t>
  </si>
  <si>
    <t>CAMINO VECINAL STO. 21</t>
  </si>
  <si>
    <t>/33.595044,/70.817808</t>
  </si>
  <si>
    <t>CAMINO QULAMUTA S/N</t>
  </si>
  <si>
    <t>/33.8737757,/71.485025</t>
  </si>
  <si>
    <t>HIJUELAS PONIENTE S/N</t>
  </si>
  <si>
    <t>/33.887147,/71.455643</t>
  </si>
  <si>
    <t>/33596206,/70.883409</t>
  </si>
  <si>
    <t>TORIBIO LARRAIN 1595</t>
  </si>
  <si>
    <t>/33.613271/70.862276</t>
  </si>
  <si>
    <t>/33.911227/70.769099</t>
  </si>
  <si>
    <t>/33.405317/71.134933</t>
  </si>
  <si>
    <t>PROFESOR OSVALDO DAVID 499</t>
  </si>
  <si>
    <t>/33.285146/70.884954</t>
  </si>
  <si>
    <t>LA ENSENADA AGUILA SUR S/N</t>
  </si>
  <si>
    <t>/33.902991/70.766352</t>
  </si>
  <si>
    <t>/34.036537/71.099922</t>
  </si>
  <si>
    <t>/34.034340/71.092430</t>
  </si>
  <si>
    <t>/34.019703/71.212814</t>
  </si>
  <si>
    <t>/33.414163/71.142556</t>
  </si>
  <si>
    <t>CO SANTO TORIBIO S/N P2</t>
  </si>
  <si>
    <t>/33.629772/70.919006</t>
  </si>
  <si>
    <t>CAMINO INTERIOR SITIO 27</t>
  </si>
  <si>
    <t>/33.253605/70.884998</t>
  </si>
  <si>
    <t>/34.028870/71.082550</t>
  </si>
  <si>
    <t>INDEPENDENCIA 102</t>
  </si>
  <si>
    <t>/33.085279,/70.924338</t>
  </si>
  <si>
    <t>BRASIL 070</t>
  </si>
  <si>
    <t>/33.081075,/70.929434</t>
  </si>
  <si>
    <t>CAMNPAMENTO SOL DE SEPTIEMBRE TD 86845</t>
  </si>
  <si>
    <t>/33.308155,/70,863474</t>
  </si>
  <si>
    <t>PRINCIPAL 56</t>
  </si>
  <si>
    <t>/33.734163,/71.021094</t>
  </si>
  <si>
    <t>TRES OTE 236 HUERTOS FAMILIARES</t>
  </si>
  <si>
    <t>/33.142828,/70.800457</t>
  </si>
  <si>
    <t>SAN LUIS 4581 LA ISLITA</t>
  </si>
  <si>
    <t>/33.738456,/70.859279</t>
  </si>
  <si>
    <t>JOSE CANEPA 310</t>
  </si>
  <si>
    <t>/33.7490832,/70.8645358</t>
  </si>
  <si>
    <t>/33.747593,/70.8618591</t>
  </si>
  <si>
    <t>LAS VULEBRA VERDES</t>
  </si>
  <si>
    <t>/33.567453;/71.211588</t>
  </si>
  <si>
    <t>CAÑADA SUR 026</t>
  </si>
  <si>
    <t>/33.644493;/70.352970</t>
  </si>
  <si>
    <t xml:space="preserve">SAN ANTONIO </t>
  </si>
  <si>
    <t>/33.648645;/71.150375</t>
  </si>
  <si>
    <t>COMUNIDAD LAS PATAGUAS 32</t>
  </si>
  <si>
    <t>/33.646678;/70.355470</t>
  </si>
  <si>
    <t>PARCELA 6, PABELLON</t>
  </si>
  <si>
    <t>/33.753701;/71.194566</t>
  </si>
  <si>
    <t>SANTA CLARA SITIO 13</t>
  </si>
  <si>
    <t>/33.577090;/71.083064</t>
  </si>
  <si>
    <t>PADRE BERNARDO VALENZUELA 236</t>
  </si>
  <si>
    <t>/33.674391, /71.211336</t>
  </si>
  <si>
    <t>LAS GOLONDRINAS 286</t>
  </si>
  <si>
    <t>/33.612791, /71.225928</t>
  </si>
  <si>
    <t>3 SUR 70</t>
  </si>
  <si>
    <t>/33.139232,/70.798117</t>
  </si>
  <si>
    <t>ISABEL RIQUELME 215</t>
  </si>
  <si>
    <t>/33.277184,/70.888594</t>
  </si>
  <si>
    <t>BALMACEDA 248</t>
  </si>
  <si>
    <t>2 ORIENTE 289</t>
  </si>
  <si>
    <t>/33.138755,/70.800172</t>
  </si>
  <si>
    <t>LOS LINGUES 19</t>
  </si>
  <si>
    <t>/33.121900,/70.800018</t>
  </si>
  <si>
    <t xml:space="preserve">PARCELACION EL PRINCIPAL </t>
  </si>
  <si>
    <t>/33.724635,/70.544293</t>
  </si>
  <si>
    <t>CRUZ DEL SUR 23</t>
  </si>
  <si>
    <t>/33.750275,/70.675152</t>
  </si>
  <si>
    <t>CRUZ DEL SUR 32E</t>
  </si>
  <si>
    <t>/33.747375,/70.677035</t>
  </si>
  <si>
    <t>BIO BIO 746</t>
  </si>
  <si>
    <t>/33.081081,/70.941059</t>
  </si>
  <si>
    <t>PASAJE EL ALMENDRO 21</t>
  </si>
  <si>
    <t>/33.081081,/70.919555</t>
  </si>
  <si>
    <t>EL ROBLE 133</t>
  </si>
  <si>
    <t>2 ORIENTE 250</t>
  </si>
  <si>
    <t>/33.141013,/70.798705</t>
  </si>
  <si>
    <t>2 ORIENTE 325</t>
  </si>
  <si>
    <t>CRUZ DEL SUR 321</t>
  </si>
  <si>
    <t>/33.747343,/70.677066</t>
  </si>
  <si>
    <t>CAMINO SERVIDUMBRE S/N PARCELA 26</t>
  </si>
  <si>
    <t>/33.187547,/70.802024</t>
  </si>
  <si>
    <t>CAMINO INTERIOR 1 A20</t>
  </si>
  <si>
    <t>/33.723540,/70.902107</t>
  </si>
  <si>
    <t>CALLE LOS LINGUES SITIO 3</t>
  </si>
  <si>
    <t>/33.121329,/70.796560</t>
  </si>
  <si>
    <t>FRANCIA 710</t>
  </si>
  <si>
    <t>MANUEL RODRIGUEZ 746</t>
  </si>
  <si>
    <t>VECINAL 420</t>
  </si>
  <si>
    <t>/33.272369,/70.852870</t>
  </si>
  <si>
    <t>CALLE 1 HACIENDA SOL Y LUNA</t>
  </si>
  <si>
    <t>/33.245111,/70.796579</t>
  </si>
  <si>
    <t>GARIBALDI 1227</t>
  </si>
  <si>
    <t>/33.243243,/70.792312</t>
  </si>
  <si>
    <t>LOS ACACIOS 928</t>
  </si>
  <si>
    <t>/33.795718,/71.727842</t>
  </si>
  <si>
    <t>LOS MAQUIS P/31</t>
  </si>
  <si>
    <t>/33.384331,/71.143817</t>
  </si>
  <si>
    <t>CALLE EL LITIO 898</t>
  </si>
  <si>
    <t>/33.190243,/70.682499</t>
  </si>
  <si>
    <t>LOS MAGNOLIOS 211</t>
  </si>
  <si>
    <t>/33.728479,/70.775632</t>
  </si>
  <si>
    <t>VALLE ROCIO S/N</t>
  </si>
  <si>
    <t>/33.281876,/70.883711</t>
  </si>
  <si>
    <t>CAMINO LOS AROMOS S 4 CASA 5</t>
  </si>
  <si>
    <t>/33.561562,/70.884118</t>
  </si>
  <si>
    <t>31.193891,/70.679364</t>
  </si>
  <si>
    <t>CAMINO A VALPARAISO S/N</t>
  </si>
  <si>
    <t>/33.549540,/70.857563</t>
  </si>
  <si>
    <t>LA ESPERANZA LOTE 5</t>
  </si>
  <si>
    <t>/33.550395,/70.858075</t>
  </si>
  <si>
    <t>CAMINO LOS AROMOS S/4 C/5</t>
  </si>
  <si>
    <t>/33.561638,/70.884038</t>
  </si>
  <si>
    <t>LA ESPERANZA 4 LAS BRISAS</t>
  </si>
  <si>
    <t>/33.550580,/70.858675</t>
  </si>
  <si>
    <t>BRILLO DEL SOL P/62 L/18</t>
  </si>
  <si>
    <t>/33.729898./70.970676</t>
  </si>
  <si>
    <t>GACITUA S/N</t>
  </si>
  <si>
    <t>/33.376743,/71.154692</t>
  </si>
  <si>
    <t>LOS LAURELES 2605</t>
  </si>
  <si>
    <t>/33.758926,/70.728771</t>
  </si>
  <si>
    <t>CAMINO INTERIOR S/N S/18</t>
  </si>
  <si>
    <t>/33.520231,/70.675062</t>
  </si>
  <si>
    <t>4 SUR 120 HUERTOS FAMILIARES</t>
  </si>
  <si>
    <t>/33,1442583/70,79797</t>
  </si>
  <si>
    <t>LUIS CRUZ MARTINEZ N 45</t>
  </si>
  <si>
    <t>/33,677968/71,207337</t>
  </si>
  <si>
    <t>PA NUEVE 1148</t>
  </si>
  <si>
    <t>/33,695177/71,22268</t>
  </si>
  <si>
    <t>LOS MOLLES 2605  PARC 3032</t>
  </si>
  <si>
    <t>/33,818993/71,228773</t>
  </si>
  <si>
    <t>/33.741718, /70.743355</t>
  </si>
  <si>
    <t>Las petunias 035</t>
  </si>
  <si>
    <t>/33.728364, /70.739926</t>
  </si>
  <si>
    <t>DAMIAN NAVARRO 204</t>
  </si>
  <si>
    <t>/33.604427,/70.894694</t>
  </si>
  <si>
    <t>SANTA MARGARITA 3858</t>
  </si>
  <si>
    <t>/33.741046,/70.866660</t>
  </si>
  <si>
    <t>PASAJE 13 M/236</t>
  </si>
  <si>
    <t>/33.632541,/70.77050</t>
  </si>
  <si>
    <t>MANUEL RODRIGUEZ 261</t>
  </si>
  <si>
    <t>/33.277170142774324, /70.88716457554727</t>
  </si>
  <si>
    <t>LAS HIGUERAS 33 B LOTE 170</t>
  </si>
  <si>
    <t>/33.287272/70.866022</t>
  </si>
  <si>
    <t>LLAIMA 223</t>
  </si>
  <si>
    <t>/33.289634/70.876373</t>
  </si>
  <si>
    <t>CAMINO SERVIDUMBRE S/N PARCELA B LOTE B4</t>
  </si>
  <si>
    <t>/33.245576,/70.808184</t>
  </si>
  <si>
    <t>EL RESPLANDOR SITIO 4</t>
  </si>
  <si>
    <t>/33.270193,/70.892601</t>
  </si>
  <si>
    <t>LO ESPINO 132</t>
  </si>
  <si>
    <t>/33.452678,/70.770689</t>
  </si>
  <si>
    <t>EL ALGARROBO 3 9420000</t>
  </si>
  <si>
    <t>/33.089275,/70.922232</t>
  </si>
  <si>
    <t>INDEPÉNDENCIA 199 9420024</t>
  </si>
  <si>
    <t>/33.085552,/70.923211</t>
  </si>
  <si>
    <t>CHACABUCO 427</t>
  </si>
  <si>
    <t>/33.084458,/70.923928</t>
  </si>
  <si>
    <t>EL PRINCIPAL S/N LOTE</t>
  </si>
  <si>
    <t>/33.723438,/70.544065</t>
  </si>
  <si>
    <t>GABRIELA MISTRAL 366</t>
  </si>
  <si>
    <t>/33.650850,/70.569480</t>
  </si>
  <si>
    <t>CAMINO LA ESCUELA SITIO 75</t>
  </si>
  <si>
    <t>/33.724940,/70.544838</t>
  </si>
  <si>
    <t>CAMINO LAS MAJADAS 385</t>
  </si>
  <si>
    <t>/33.627130,/70.538908</t>
  </si>
  <si>
    <t>LOS AROMOS S/12</t>
  </si>
  <si>
    <t>/33.565448,/70.887669</t>
  </si>
  <si>
    <t>/33.561458,/70.884196</t>
  </si>
  <si>
    <t>EL CASTAÑO 2021</t>
  </si>
  <si>
    <t>/33.418627,/70.749994</t>
  </si>
  <si>
    <t>ITALIA 1825</t>
  </si>
  <si>
    <t>/33.418698,/70.750004</t>
  </si>
  <si>
    <t>PUERTA DEL INCA 023</t>
  </si>
  <si>
    <t>/33.630111,/70.776334</t>
  </si>
  <si>
    <t>CONDOMINIO DON RAFAEL 21</t>
  </si>
  <si>
    <t>/33,652557/71,286407</t>
  </si>
  <si>
    <t>JULIO ARANCIBIA 2067</t>
  </si>
  <si>
    <t>/33.670815, /70.936267</t>
  </si>
  <si>
    <t>AV LA PAZ 499</t>
  </si>
  <si>
    <t>/33,076012/70,927293</t>
  </si>
  <si>
    <t>JUAN A RIOS P63</t>
  </si>
  <si>
    <t>/33,833052/70,772722</t>
  </si>
  <si>
    <t>AV MARIA DE LA PAZ 497</t>
  </si>
  <si>
    <t>/33,07593/70,92724</t>
  </si>
  <si>
    <t>SAN MARCOS 2673</t>
  </si>
  <si>
    <t>/33,32740/70,74776</t>
  </si>
  <si>
    <t>DANIEL MOYA 248</t>
  </si>
  <si>
    <t>/33,454586/70,627202</t>
  </si>
  <si>
    <t>JAIME LABARCA 03</t>
  </si>
  <si>
    <t>/33,085612/70,932696</t>
  </si>
  <si>
    <t>LAS PATAHUAS 6878</t>
  </si>
  <si>
    <t>/33,819920/70,837075</t>
  </si>
  <si>
    <t>MARIA DE LA PAZ 200</t>
  </si>
  <si>
    <t>/33,080448/70,924396</t>
  </si>
  <si>
    <t>PJE PROFESOR OSVALDO DAVID 499</t>
  </si>
  <si>
    <t>/33.170659/70.885190</t>
  </si>
  <si>
    <t>CUATRO SUR 52</t>
  </si>
  <si>
    <t>/33.643910/70.352021</t>
  </si>
  <si>
    <t>AV. LOMAS DEL AGUILA 5</t>
  </si>
  <si>
    <t>/33.856676/70.791728</t>
  </si>
  <si>
    <t>AV. LOMA DEL AGUILA 5</t>
  </si>
  <si>
    <t>VICUÑA MACKENNA 1560</t>
  </si>
  <si>
    <t>/33.610819/70.875814</t>
  </si>
  <si>
    <t>CALLEJON VALENZUELA 062</t>
  </si>
  <si>
    <t>/33.733846/70.308711</t>
  </si>
  <si>
    <t>SANTA FILOMENA 2301</t>
  </si>
  <si>
    <t>/33.803303/70.801147</t>
  </si>
  <si>
    <t>/33.803304/70.801146</t>
  </si>
  <si>
    <t>SANTA JUANA 49</t>
  </si>
  <si>
    <t>/33.677921/71.015640</t>
  </si>
  <si>
    <t>PA LA GEMELA 0379</t>
  </si>
  <si>
    <t>/33.715264/70.737821</t>
  </si>
  <si>
    <t>PINTOR CAMILO MORI 0194</t>
  </si>
  <si>
    <t>/33.657677/70.916083</t>
  </si>
  <si>
    <t>4 ORIENTE 103</t>
  </si>
  <si>
    <t>/33.130541/70.800349</t>
  </si>
  <si>
    <t>CARDENAL CARO 309</t>
  </si>
  <si>
    <t>/33.605110/70.898149</t>
  </si>
  <si>
    <t>PJE RAYEN 2636</t>
  </si>
  <si>
    <t>/33.581523/70.808308</t>
  </si>
  <si>
    <t>LA ESPERANZA 16</t>
  </si>
  <si>
    <t>/33.583927/70.810806</t>
  </si>
  <si>
    <t>EL NARANJO LOTE 20</t>
  </si>
  <si>
    <t>/33.396999/71.166800</t>
  </si>
  <si>
    <t>CERRO LA VENTANA 41522</t>
  </si>
  <si>
    <t>/33.785414/70.232156</t>
  </si>
  <si>
    <t>POPETA 26 B</t>
  </si>
  <si>
    <t>/33.804382/71.294189</t>
  </si>
  <si>
    <t>MARIANO LATORRE 529</t>
  </si>
  <si>
    <t>/33.566137/70.802133</t>
  </si>
  <si>
    <t>LAS INDUSTRIAS NORTE 2136</t>
  </si>
  <si>
    <t>/33.677670/71.175415</t>
  </si>
  <si>
    <t>VICUÑA MACKENNA 1534</t>
  </si>
  <si>
    <t>/33.611283/70.875141</t>
  </si>
  <si>
    <t>SAN LUIS 27</t>
  </si>
  <si>
    <t>/33.211857/70.668564</t>
  </si>
  <si>
    <t>PARC 27 A SITIO 4</t>
  </si>
  <si>
    <t>/33.197265/70.682045</t>
  </si>
  <si>
    <t>LAS FLORES S/N</t>
  </si>
  <si>
    <t>/33.636543/70.812897</t>
  </si>
  <si>
    <t>CERRO LA VENTANA 0117</t>
  </si>
  <si>
    <t>/33.784257/70.236360</t>
  </si>
  <si>
    <t>PJE SAN JOSE 1400</t>
  </si>
  <si>
    <t>/33.747044/70.908730</t>
  </si>
  <si>
    <t>PA. DOS 645</t>
  </si>
  <si>
    <t>/35.604186/70.878916</t>
  </si>
  <si>
    <t>/33.636364/70.812960</t>
  </si>
  <si>
    <t>/33.734550,/70.905365</t>
  </si>
  <si>
    <t>SAN MARTIN 045</t>
  </si>
  <si>
    <t>/33.084200,/70.931480</t>
  </si>
  <si>
    <t>STA CAROLINA PARC 32 CASA 35</t>
  </si>
  <si>
    <t>/33.223080,/70.788331</t>
  </si>
  <si>
    <t>CAMINO INT SIT 40</t>
  </si>
  <si>
    <t>/33.255107,/70.879675</t>
  </si>
  <si>
    <t>EL MOLINO 6</t>
  </si>
  <si>
    <t>/33.201443,/70.652899</t>
  </si>
  <si>
    <t>EL AIENTO S/N SITIO2</t>
  </si>
  <si>
    <t>/34.030702,/71.010587</t>
  </si>
  <si>
    <t>STA. CLARA SITIO1 LOTE B</t>
  </si>
  <si>
    <t>/33.580428,/71.082835</t>
  </si>
  <si>
    <t>CULIPRAN SITIO 136</t>
  </si>
  <si>
    <t>/33.808970,/71.241393</t>
  </si>
  <si>
    <t>BOLLENAR, MELIPILLA</t>
  </si>
  <si>
    <t>/33.570133,71.216264</t>
  </si>
  <si>
    <t>PJE CUATRO 297</t>
  </si>
  <si>
    <t>/33.851132,/70.767311</t>
  </si>
  <si>
    <t>STA LUCIA 107</t>
  </si>
  <si>
    <t>/33.088194,/70.914552</t>
  </si>
  <si>
    <t>LOS ESPINOS 132</t>
  </si>
  <si>
    <t>/33.412491,/70.678315</t>
  </si>
  <si>
    <t>CAMINO SERVIDUMBRE S/N PARC B LOTE 84</t>
  </si>
  <si>
    <t>/33.412001,/70.677695</t>
  </si>
  <si>
    <t>EL SAUCE 668</t>
  </si>
  <si>
    <t>/33.095482,/70.929406</t>
  </si>
  <si>
    <t>EL ALGARROBO 29 9420120</t>
  </si>
  <si>
    <t>/33.089665,/70.922284</t>
  </si>
  <si>
    <t>LA MAÑANA 4181</t>
  </si>
  <si>
    <t>/33.739901,/70.863013</t>
  </si>
  <si>
    <t xml:space="preserve">CALLE DOS HORIENTE  357 /E O </t>
  </si>
  <si>
    <t>/33.141620,/70.797200</t>
  </si>
  <si>
    <t xml:space="preserve"> ALGARROBO N°9</t>
  </si>
  <si>
    <t>/33.089354,/70.922203</t>
  </si>
  <si>
    <t>CINCO OTE 125 HUERTOS FAMILIARES</t>
  </si>
  <si>
    <t>/33.129643,/70.797403</t>
  </si>
  <si>
    <t>CUATRO OTE 55 9420072 HUERTOS FAMILIARES</t>
  </si>
  <si>
    <t>/33.140377,/70.862997</t>
  </si>
  <si>
    <t>STA LUCIA 56</t>
  </si>
  <si>
    <t>/33,088664,/70.916883</t>
  </si>
  <si>
    <t>PJE BALDOMERO LILLO 13</t>
  </si>
  <si>
    <t>/33.089197,/70.917479</t>
  </si>
  <si>
    <t>EL ROBLE 114 9420135</t>
  </si>
  <si>
    <t>/33.089999,/70.923406</t>
  </si>
  <si>
    <t>SANTA TERESITA 18</t>
  </si>
  <si>
    <t>/33.090824,/70.916312</t>
  </si>
  <si>
    <t>STA LUCIA 10 9420000</t>
  </si>
  <si>
    <t>/33.088906,/70.918725</t>
  </si>
  <si>
    <t>ISABEL RIQUELME SITIO 3 LOTE 3</t>
  </si>
  <si>
    <t>/33.270328,/70.892858</t>
  </si>
  <si>
    <t>CALLE PERU 311</t>
  </si>
  <si>
    <t>/33.819244,/70.739379</t>
  </si>
  <si>
    <t>/33.874512,/70.963102</t>
  </si>
  <si>
    <t>PELLIN 492</t>
  </si>
  <si>
    <t>/33.297297,/70.879260</t>
  </si>
  <si>
    <t>ALCALDE CARREÑO CASA 25</t>
  </si>
  <si>
    <t>/33.288379,/70.880384</t>
  </si>
  <si>
    <t>CAMINO CRUZ DEL SUR 15</t>
  </si>
  <si>
    <t>/33.749769,/70.675057</t>
  </si>
  <si>
    <t>LAS ROSAS PARC 50</t>
  </si>
  <si>
    <t>/33.851654, /70.734070</t>
  </si>
  <si>
    <t>PASAJE EL TABO 1418</t>
  </si>
  <si>
    <t>/33.818389,/70.738952</t>
  </si>
  <si>
    <t>PASAJE LA NALCA 916</t>
  </si>
  <si>
    <t>/33.571947, /71.198857</t>
  </si>
  <si>
    <t>PADRE HURTADO 1785</t>
  </si>
  <si>
    <t>/33.751235,/70.673596</t>
  </si>
  <si>
    <t>CRUZ DEL SUR 1105</t>
  </si>
  <si>
    <t>/33.745749,/70.677177</t>
  </si>
  <si>
    <t>CRUZ DEL SUR 27</t>
  </si>
  <si>
    <t>/33.749417,/70.676785</t>
  </si>
  <si>
    <t>/33.750687,/70.675916</t>
  </si>
  <si>
    <t>CAMPUSANO 1270</t>
  </si>
  <si>
    <t>/33.731206,/70.762072</t>
  </si>
  <si>
    <t>SAN PABLO 4 SITIO 1</t>
  </si>
  <si>
    <t>/33.569362,/71.202834</t>
  </si>
  <si>
    <t>LAS MAJADAS 385</t>
  </si>
  <si>
    <t>/33.628285,/70.541181</t>
  </si>
  <si>
    <t>EL PRINCIPAL PARC40</t>
  </si>
  <si>
    <t>/33.701492,/70.567279</t>
  </si>
  <si>
    <t>/33.701488,/70.567270</t>
  </si>
  <si>
    <t>/33.745682,/70.677333</t>
  </si>
  <si>
    <t>CAMINO PADRE HURTADO 905</t>
  </si>
  <si>
    <t>/33.743657,/70.678889</t>
  </si>
  <si>
    <t>CAMINO PADRE HURTADO 743</t>
  </si>
  <si>
    <t>/33.744352,/70.678183</t>
  </si>
  <si>
    <t>ANIBAL PINTO 771</t>
  </si>
  <si>
    <t>/33.739108,/70.739815</t>
  </si>
  <si>
    <t>SAN FRANCISCO PARC 22</t>
  </si>
  <si>
    <t>/33.035170,/70.713924</t>
  </si>
  <si>
    <t>SAN FRANCISCO PARC 23</t>
  </si>
  <si>
    <t>LUIS ADVIS 7025</t>
  </si>
  <si>
    <t>/33.834307,/70.646410</t>
  </si>
  <si>
    <t>EUGENESIA CONTRERAS 290</t>
  </si>
  <si>
    <t>/33.733123,/70.756137</t>
  </si>
  <si>
    <t>DOCTOR GARCIA 243</t>
  </si>
  <si>
    <t>/33.730505,/70.771436</t>
  </si>
  <si>
    <t>LOS AROMOS 984</t>
  </si>
  <si>
    <t>/33.796906,/70.734009</t>
  </si>
  <si>
    <t>CARCAMO ROJAS 181</t>
  </si>
  <si>
    <t>/33.805609,/70.728847</t>
  </si>
  <si>
    <t>LETELIER LLENAS SITIO 55</t>
  </si>
  <si>
    <t>/33.856263,/70.929671</t>
  </si>
  <si>
    <t>FLAMENCOS 011</t>
  </si>
  <si>
    <t>/33.820500,/70.734226</t>
  </si>
  <si>
    <t>JUAN NUESTRO VARGAS 35</t>
  </si>
  <si>
    <t>/33.803760,/70.731700</t>
  </si>
  <si>
    <t>AV VIRGINIA SUBERCASEAUX 4163</t>
  </si>
  <si>
    <t>/33.649801,/70.613594</t>
  </si>
  <si>
    <t>PJE LOS BARRANCONES 11</t>
  </si>
  <si>
    <t>/33.290107,/70.871221</t>
  </si>
  <si>
    <t>LOS HORNOS RELEVANTES 5</t>
  </si>
  <si>
    <t>/33.870094,/70.915850</t>
  </si>
  <si>
    <t>VILLA SOR TERESA DE LOS ANDES 25</t>
  </si>
  <si>
    <t>/33.851218,/70.942849</t>
  </si>
  <si>
    <t>CALLE UNO NORTE 24</t>
  </si>
  <si>
    <t>/33.848195,/70.741888</t>
  </si>
  <si>
    <t>CALLE 24 DE ABRIL SITIO 88</t>
  </si>
  <si>
    <t>/33.800971,/70.683203</t>
  </si>
  <si>
    <t>CALETERA OTR GRAL SAN MARTIN 2800</t>
  </si>
  <si>
    <t>/33.184933,/70.654166</t>
  </si>
  <si>
    <t>PASAJE CUATRO 101</t>
  </si>
  <si>
    <t>/33.996976,/70.672035</t>
  </si>
  <si>
    <t>HERNAN PRIETO 5084</t>
  </si>
  <si>
    <t>/33.684296,/70.578020</t>
  </si>
  <si>
    <t>LA ROBLERIA 1571</t>
  </si>
  <si>
    <t>/33.291842,/70.873258</t>
  </si>
  <si>
    <t>BAQUEDANO 853</t>
  </si>
  <si>
    <t>/33.283273,/70.878009</t>
  </si>
  <si>
    <t>LAS BANDURRIAS PARCELA 25B</t>
  </si>
  <si>
    <t>/33.699266,/70.574734</t>
  </si>
  <si>
    <t>SARGENTO ALDEA 1057</t>
  </si>
  <si>
    <t>/33.285707,/70.874089</t>
  </si>
  <si>
    <t>PRINCIPAL 314</t>
  </si>
  <si>
    <t>/33.812276,/70.739270</t>
  </si>
  <si>
    <t xml:space="preserve">ESCORIAL LOS ALMENDROS </t>
  </si>
  <si>
    <t>/33.860339,/70.608197</t>
  </si>
  <si>
    <t>BARROS LUCOS</t>
  </si>
  <si>
    <t>/33.281284,/70.873928</t>
  </si>
  <si>
    <t>PABLO DE ROCK 263</t>
  </si>
  <si>
    <t>/33.27.9279,/70.864627</t>
  </si>
  <si>
    <t>BARROS LUCO SITIO 1</t>
  </si>
  <si>
    <t>/33.289843,/70.868023</t>
  </si>
  <si>
    <t>BARROS LUCOS SITIO 1</t>
  </si>
  <si>
    <t>LAGUNA DEL INCA 144</t>
  </si>
  <si>
    <t>CARLOS RODRIGUEZ 61</t>
  </si>
  <si>
    <t>/33.287397,/70.886098</t>
  </si>
  <si>
    <t>CAMINO PADRE HURTADO 1105</t>
  </si>
  <si>
    <t>/33.745752,/70.677174</t>
  </si>
  <si>
    <t>/33.745722,/70.677153</t>
  </si>
  <si>
    <t>LOS BARRIOS 11370</t>
  </si>
  <si>
    <t>/33.713433,/70.743288</t>
  </si>
  <si>
    <t>LA ROMANA PARCELA 26</t>
  </si>
  <si>
    <t>/33.903039,/70.659817</t>
  </si>
  <si>
    <t>AV DEL VILLAR 788</t>
  </si>
  <si>
    <t>/33.812289,/70.732005</t>
  </si>
  <si>
    <t>/33.279279,/70.756864</t>
  </si>
  <si>
    <t>BALMACEDA 1300</t>
  </si>
  <si>
    <t>/33.279279,/70.864627</t>
  </si>
  <si>
    <t>SANTA ROSA PARCELA 9</t>
  </si>
  <si>
    <t>/33.259150,/70.760414</t>
  </si>
  <si>
    <t>SAN LUIS 16</t>
  </si>
  <si>
    <t>/33.333615,/70.763820</t>
  </si>
  <si>
    <t>CAMINO SERVIDRUMBRE 49836</t>
  </si>
  <si>
    <t>/33.261261,/70.742266</t>
  </si>
  <si>
    <t>PASAJE ALVAREZ 280</t>
  </si>
  <si>
    <t>/33,673597/71,211168</t>
  </si>
  <si>
    <t>PASAJE ENSUEÑO 075 NUEVO BUIN</t>
  </si>
  <si>
    <t>/33,715659/70,741832</t>
  </si>
  <si>
    <t>GUAYACON 553</t>
  </si>
  <si>
    <t>/33,293861/70,883495</t>
  </si>
  <si>
    <t>VILLA ALEGRE P/24</t>
  </si>
  <si>
    <t>/33,38004/71,14454</t>
  </si>
  <si>
    <t>AV VALPARAISO KM14 MEDIO BELLENAR</t>
  </si>
  <si>
    <t>/33,564646/71,207295</t>
  </si>
  <si>
    <t>EL TRIGAL S/N CV4</t>
  </si>
  <si>
    <t>/33,606741/71,232276</t>
  </si>
  <si>
    <t>PASAJE BALDOMERO LILLO 17</t>
  </si>
  <si>
    <t>/33,0893300/70,9173528</t>
  </si>
  <si>
    <t>JOSE MIGUEL CARRERA 69</t>
  </si>
  <si>
    <t>/33,681856,71,203667</t>
  </si>
  <si>
    <t>VILLA ALEGRE P/28 CAMPO LINDO</t>
  </si>
  <si>
    <t>/33,63554/71,24674</t>
  </si>
  <si>
    <t>INDEPENDENCIA 214</t>
  </si>
  <si>
    <t>/33,08546/70,92446</t>
  </si>
  <si>
    <t>CALLE LO PINTO CONDOMINIO LOS CIRUELOS</t>
  </si>
  <si>
    <t>/33,2415890/70,7068501</t>
  </si>
  <si>
    <t>JAIME LABARCA N02</t>
  </si>
  <si>
    <t>/33,085732/70,932616</t>
  </si>
  <si>
    <t>LA CATAM 477</t>
  </si>
  <si>
    <t>/33,672725/70,987718</t>
  </si>
  <si>
    <t>LAS PRADERAS DOS</t>
  </si>
  <si>
    <t>/33,777581/71,303484</t>
  </si>
  <si>
    <t>RUTA G 774 340 LOTE 1D</t>
  </si>
  <si>
    <t>/33,807705/71,297547</t>
  </si>
  <si>
    <t>AV MARIA DE LA PAZ 449</t>
  </si>
  <si>
    <t>/33,077112/70,927032</t>
  </si>
  <si>
    <t>NORMA TAPIA QUIÑONES 949</t>
  </si>
  <si>
    <t>/33,728198/70,739923</t>
  </si>
  <si>
    <t>ALBANIA 353</t>
  </si>
  <si>
    <t>PARCELA 61 CASA 3 SECTOR LLAVERIA DE NALTAHUA</t>
  </si>
  <si>
    <t>/33,729146/70,972754</t>
  </si>
  <si>
    <t>CAMINO SANTA LUCIA PARC 7B LOTE4</t>
  </si>
  <si>
    <t>/33,2709044/70,6901306</t>
  </si>
  <si>
    <t>/33,308503/70,855139</t>
  </si>
  <si>
    <t>LOS ZORZALEZ 1003</t>
  </si>
  <si>
    <t>/33,569525/70,987566</t>
  </si>
  <si>
    <t>PASAJE SAN LUCAS N44</t>
  </si>
  <si>
    <t>/33,090739/70,917351</t>
  </si>
  <si>
    <t>POZO AL MONTE 780, VILLA SAN ANTONIO</t>
  </si>
  <si>
    <t>/33,183780/70,676250</t>
  </si>
  <si>
    <t>VILLA CARIÑO 3054</t>
  </si>
  <si>
    <t>/33,676986/70,848826</t>
  </si>
  <si>
    <t>LA RICONADA 1277</t>
  </si>
  <si>
    <t>/33,677662/71,186395</t>
  </si>
  <si>
    <t>JAIME LABARCA SITIO6</t>
  </si>
  <si>
    <t>/33.085718, /70.932727</t>
  </si>
  <si>
    <t>ACONCAGUA 274</t>
  </si>
  <si>
    <t>/33,199209/70,679102</t>
  </si>
  <si>
    <t>VILLA ALEGRE PARC 28</t>
  </si>
  <si>
    <t>/33,380055/71,44448</t>
  </si>
  <si>
    <t>VALLE DE LA LUNA PARCELA 32</t>
  </si>
  <si>
    <t>/33,2662045/70,8945464</t>
  </si>
  <si>
    <t>DINAMARCA 2089</t>
  </si>
  <si>
    <t>/33,674586/71,174115</t>
  </si>
  <si>
    <t>LO CASTRO PARCELA 13/LOTE7</t>
  </si>
  <si>
    <t>/33,294610/70,796715</t>
  </si>
  <si>
    <t>PARCELA 15, CHOCALAN</t>
  </si>
  <si>
    <t>/33,748444/71,216995</t>
  </si>
  <si>
    <t>ACONCAGUA PARC 16</t>
  </si>
  <si>
    <t>/33,198650/70,678890</t>
  </si>
  <si>
    <t>ESMERALDA S/N S/3 CV 17</t>
  </si>
  <si>
    <t>/33,666822/71,249428</t>
  </si>
  <si>
    <t>SAN MARTIN DE LA PUNTILLA S/N POMAIRE</t>
  </si>
  <si>
    <t>/33,643659/71,156687</t>
  </si>
  <si>
    <t>ACONCAGUA PARCELA 15 SITIO 11</t>
  </si>
  <si>
    <t>/33,198624/70,678931</t>
  </si>
  <si>
    <t>VILLA TEGUALDA</t>
  </si>
  <si>
    <t>/33,286610/70,771913</t>
  </si>
  <si>
    <t>/33,753077/70,911778</t>
  </si>
  <si>
    <t>LOS GUINDOS 359 PARCELA A 21</t>
  </si>
  <si>
    <t>/33,813935/71,292786</t>
  </si>
  <si>
    <t>ARRECIFE 1532</t>
  </si>
  <si>
    <t>/33,819485/70,741183</t>
  </si>
  <si>
    <t>LO VARGAS S/N LOTE 18</t>
  </si>
  <si>
    <t>/33,265561/70,875337</t>
  </si>
  <si>
    <t>PAPA JUAN PABLO SEGUNDO 1754</t>
  </si>
  <si>
    <t>/33,577633/70,8289</t>
  </si>
  <si>
    <t>NUEVO PORVENIR SITIO 16 CASA 2</t>
  </si>
  <si>
    <t>/33,2747218/70,8439459</t>
  </si>
  <si>
    <t>PARCELA 10CHICUREO</t>
  </si>
  <si>
    <t>/33,3023394/70,6891824</t>
  </si>
  <si>
    <t>BARROS ARANA CASA N 54</t>
  </si>
  <si>
    <t>/33,090850/70,918199</t>
  </si>
  <si>
    <t>EL MOLINO ST/28</t>
  </si>
  <si>
    <t>/33,261794/70,890995</t>
  </si>
  <si>
    <t>AMNDRES BELLO ,CAMINO LOS LITRES 060</t>
  </si>
  <si>
    <t>/33,092139/70,918213</t>
  </si>
  <si>
    <t>SAN MIGUEL 975</t>
  </si>
  <si>
    <t>/33,6891507/71,2210628</t>
  </si>
  <si>
    <t>LA BOMBA PARCELA 64B</t>
  </si>
  <si>
    <t>/33,190548/70,690849</t>
  </si>
  <si>
    <t>CALLE ALEMANIA 102 , VILLA INCA</t>
  </si>
  <si>
    <t>/33,675412/70,174690</t>
  </si>
  <si>
    <t>CARMEN 213</t>
  </si>
  <si>
    <t>/33,647806/71,148043</t>
  </si>
  <si>
    <t>EL PRINCIPAL</t>
  </si>
  <si>
    <t>/33.701493,/70.567267</t>
  </si>
  <si>
    <t>MAJADAS 10529</t>
  </si>
  <si>
    <t>/33.643718,/70.533641</t>
  </si>
  <si>
    <t>/33.643830,/70.533640</t>
  </si>
  <si>
    <t>EL PRINCIPAL PARCELA 40/1</t>
  </si>
  <si>
    <t>/33.700719,/70.566961</t>
  </si>
  <si>
    <t>SANTA RITA</t>
  </si>
  <si>
    <t>/33.649596,/70.534201</t>
  </si>
  <si>
    <t>SAN LUIS SITIO 13</t>
  </si>
  <si>
    <t>/33.630302,/70.821556</t>
  </si>
  <si>
    <t>/33.630355,/70.821536</t>
  </si>
  <si>
    <t>LAS ROSAS 33</t>
  </si>
  <si>
    <t>/33.802334,/70.704661</t>
  </si>
  <si>
    <t>CAMINO CERVIDUMBRE S/N LOTE</t>
  </si>
  <si>
    <t>CAMINO CERVIDUMBRE PARCELA B</t>
  </si>
  <si>
    <t>/33.207207,/70.806223</t>
  </si>
  <si>
    <t>CAMPAMENTO 25 DE NOVIEMBRE</t>
  </si>
  <si>
    <t>/33.262774,/70.894952</t>
  </si>
  <si>
    <t>RUBEN DARIO 18</t>
  </si>
  <si>
    <t>/33.288749, /70.881640</t>
  </si>
  <si>
    <t>SANTA ROSA DE MAIPO 2602</t>
  </si>
  <si>
    <t>/33.745975/70.920074</t>
  </si>
  <si>
    <t>CAMINO LAS FLORES 1024</t>
  </si>
  <si>
    <t>/33.2997830/70.8792847</t>
  </si>
  <si>
    <t>ARRAYAN 737</t>
  </si>
  <si>
    <t>/33.2101870/70.6893163</t>
  </si>
  <si>
    <t>PJE SANTA ROSA DE LAMPA S/N</t>
  </si>
  <si>
    <t>/33.261551/70.788971</t>
  </si>
  <si>
    <t>MATRONA ANA GONZALEZ 1116</t>
  </si>
  <si>
    <t>/33.192415,/70.673585</t>
  </si>
  <si>
    <t>SANTA EMILIA 183</t>
  </si>
  <si>
    <t>/33.471517,/71.110085</t>
  </si>
  <si>
    <t>LAS PARCELAS 19</t>
  </si>
  <si>
    <t>/33.495193,/71.159127</t>
  </si>
  <si>
    <t>ESPAÑA S/N</t>
  </si>
  <si>
    <t>/33.408181,/71.132703</t>
  </si>
  <si>
    <t>LONQUEN SUR P/22 S/10</t>
  </si>
  <si>
    <t>/33.6393320,/70.816540</t>
  </si>
  <si>
    <t>SECTOR CHIÑIGUE STA VICTORIA S/N</t>
  </si>
  <si>
    <t>/33.6799344,/71.137457</t>
  </si>
  <si>
    <t>SEC LA UNION DE CODIGUA S/N P/12 S/3</t>
  </si>
  <si>
    <t>/33.832384,/71.384117</t>
  </si>
  <si>
    <t>CATORCE 3765</t>
  </si>
  <si>
    <t>/33.418641,/70.749934</t>
  </si>
  <si>
    <t>JONATHAN BRAVO 3662</t>
  </si>
  <si>
    <t>/33.415711,/70.749952</t>
  </si>
  <si>
    <t>PERALILLO S/N</t>
  </si>
  <si>
    <t>/33.418838,/70.749868</t>
  </si>
  <si>
    <t>CAM LAMPA S/5</t>
  </si>
  <si>
    <t>/33.418512,/70.749709</t>
  </si>
  <si>
    <t>LAMPA S/N</t>
  </si>
  <si>
    <t>/33.418680,/70.750027</t>
  </si>
  <si>
    <t>CAM SERVIDUMBRE L/9 MANZ A</t>
  </si>
  <si>
    <t>/33.418672,/70.750037</t>
  </si>
  <si>
    <t>COLINA S/N</t>
  </si>
  <si>
    <t>/33.418638,/70.749859</t>
  </si>
  <si>
    <t>/33.418530,/70.749793</t>
  </si>
  <si>
    <t>SANTA INES DE MIRAFLORES S/20</t>
  </si>
  <si>
    <t>/33.421389,/70.750857</t>
  </si>
  <si>
    <t>MANZANA 38</t>
  </si>
  <si>
    <t>CAM SERVIDUNBRE LOTE B P/21</t>
  </si>
  <si>
    <t>/33.419127,/70.749370</t>
  </si>
  <si>
    <t>CAM SERVIDUMBRE L/39 MANZ A</t>
  </si>
  <si>
    <t>/33.421389,70.750857</t>
  </si>
  <si>
    <t>CAMINO SERVIDUMBRE S/N MANZ A</t>
  </si>
  <si>
    <t>/33.431835,/70.711978</t>
  </si>
  <si>
    <t>Cam. Interior, Batuco</t>
  </si>
  <si>
    <t>/33.400012,/71.698436</t>
  </si>
  <si>
    <t>CAMINO SERVICIO P/10</t>
  </si>
  <si>
    <t>/33.398821,/71.694218</t>
  </si>
  <si>
    <t>Camino servidumbre lote 39 A 1 MSN A</t>
  </si>
  <si>
    <t>/33.418783,/70.749909</t>
  </si>
  <si>
    <t>Camino interior sn MSN 32b</t>
  </si>
  <si>
    <t>/33.418811,/70.749893</t>
  </si>
  <si>
    <t>CAM SERVIDUMBRE 10</t>
  </si>
  <si>
    <t>/33.418654,/70.750015</t>
  </si>
  <si>
    <t>EL COMENDADOR 1116</t>
  </si>
  <si>
    <t>/33.608103,/70.881447</t>
  </si>
  <si>
    <t>EL ALTIPLANO 991</t>
  </si>
  <si>
    <t>/33.748053,/70.900214</t>
  </si>
  <si>
    <t>SANTA SARA S/N MANZ 34</t>
  </si>
  <si>
    <t>/33.400012,/71.698432</t>
  </si>
  <si>
    <t>MANUEL LARRAIN 803</t>
  </si>
  <si>
    <t>/33.394500,/71.127310</t>
  </si>
  <si>
    <t>LA UNION DE CODIGUA S/NP/13 SECTOR 2</t>
  </si>
  <si>
    <t>/33.827418,/71.382961</t>
  </si>
  <si>
    <t>AGUA MARINA 1009</t>
  </si>
  <si>
    <t>/33.673755,/70.941426</t>
  </si>
  <si>
    <t>DE SALAZAR 435</t>
  </si>
  <si>
    <t>/33.407079,/71.146440</t>
  </si>
  <si>
    <t>Camino Bajos de Sta. Cruz 1131, CASA 66, Santiago, Padre Hurtado, Región Metropolitana, Chile</t>
  </si>
  <si>
    <t>/33.571593, /70.835086</t>
  </si>
  <si>
    <t>LOS NOGALES 1069</t>
  </si>
  <si>
    <t>/33.215373, /70.680756</t>
  </si>
  <si>
    <t>Parcela 3 pasaje 1 casa 5</t>
  </si>
  <si>
    <t>/33.244348, /70.823480</t>
  </si>
  <si>
    <t>ALBERTO FELLEMBERG 1955</t>
  </si>
  <si>
    <t>/33.396747, /71.127846</t>
  </si>
  <si>
    <t>Alcalde Ramón Moya, El Monte, Región Metropolitana, Chile</t>
  </si>
  <si>
    <t>/33.675116, /70.983573</t>
  </si>
  <si>
    <t>SAN JOSE S/N HIJ 3 LOT C</t>
  </si>
  <si>
    <t>/33.248218, /70.703165</t>
  </si>
  <si>
    <t>Fidela Inostroza Prado 772, Buin, Región Metropolitana, Chile</t>
  </si>
  <si>
    <t>/33.741460, /70.748443</t>
  </si>
  <si>
    <t>Pajarito 96 D</t>
  </si>
  <si>
    <t>/33.597530, /70.848087</t>
  </si>
  <si>
    <t>Villorrio san pascual 17</t>
  </si>
  <si>
    <t>33,874666/70,686798</t>
  </si>
  <si>
    <t>CALLE HUELQUEN</t>
  </si>
  <si>
    <t>/33.875469,/70.658743</t>
  </si>
  <si>
    <t>CAMINO CHADA CAM. INT. COLONIA KENEDY LOTE 8</t>
  </si>
  <si>
    <t>/33.875064,/70.697447</t>
  </si>
  <si>
    <t>KENNEDY 1081</t>
  </si>
  <si>
    <t>/33.742524,/70744930</t>
  </si>
  <si>
    <t>CALLE SIN NUMERO LOTE 4</t>
  </si>
  <si>
    <t>/33.824360,/70.759844</t>
  </si>
  <si>
    <t>EDUARDO CAMPOS SITIO 17B</t>
  </si>
  <si>
    <t>/33.075792,/70.772637</t>
  </si>
  <si>
    <t>SANTA LUCIA 118</t>
  </si>
  <si>
    <t>/33.086271./70.924495</t>
  </si>
  <si>
    <t>LOS LITRES 1 CASA 7</t>
  </si>
  <si>
    <t>/33.094233,/70.913319</t>
  </si>
  <si>
    <t>ESTACION POLPAICO 217</t>
  </si>
  <si>
    <t>/33.168453,/70.888792</t>
  </si>
  <si>
    <t>ESTERO TILTIL</t>
  </si>
  <si>
    <t>/33.167360,/70.887931</t>
  </si>
  <si>
    <t>POBLACION ALGARROBO 24</t>
  </si>
  <si>
    <t>/33.172778,/70.889407</t>
  </si>
  <si>
    <t>ESTACION POLPAICO CASA 13</t>
  </si>
  <si>
    <t>/33.168351,/70.888567</t>
  </si>
  <si>
    <t>ESTACION POLPAICO CASA 12</t>
  </si>
  <si>
    <t>/33.168336,/70.888288</t>
  </si>
  <si>
    <t>EL SAUCE 0598</t>
  </si>
  <si>
    <t>/33.092878,/70.931314</t>
  </si>
  <si>
    <t>JOSE MANUEL AGUILAR 115</t>
  </si>
  <si>
    <t>/33.086711,/70.922164</t>
  </si>
  <si>
    <t>SAN JOSE N°180</t>
  </si>
  <si>
    <t>/33.336047,/70.799545</t>
  </si>
  <si>
    <t>PJE EL ESPINO 17</t>
  </si>
  <si>
    <t>/33.088879,/70.925144</t>
  </si>
  <si>
    <t>3 SUR 316, LOTE 8A</t>
  </si>
  <si>
    <t>/33.138402,/70.796053</t>
  </si>
  <si>
    <t>CALLE RIO BUENO N18</t>
  </si>
  <si>
    <t>/33.089245,/70.929602</t>
  </si>
  <si>
    <t>CALLE POLPAICO</t>
  </si>
  <si>
    <t>/33.157230,/70.886502</t>
  </si>
  <si>
    <t>CALLE RIO BUENO 16</t>
  </si>
  <si>
    <t>/33.089186,/70.929231</t>
  </si>
  <si>
    <t>SITIO DE TOMA N71 RIV RIO PLOPAICO</t>
  </si>
  <si>
    <t>/33.157658,/70.891332</t>
  </si>
  <si>
    <t>COELEMU 1343</t>
  </si>
  <si>
    <t>/33.293280,/70.888487</t>
  </si>
  <si>
    <t>COND. STA. TERESITA DE LISEAX</t>
  </si>
  <si>
    <t>/33.267708,/70.770926</t>
  </si>
  <si>
    <t>HACIENDA LAMPA PARC 29 LOTE 5D</t>
  </si>
  <si>
    <t>/33.293428,/70.849353</t>
  </si>
  <si>
    <t>EL PINO 103</t>
  </si>
  <si>
    <t>/33.089716,/70.919134</t>
  </si>
  <si>
    <t>PORTALES 86</t>
  </si>
  <si>
    <t>/33.087786,/70.919924</t>
  </si>
  <si>
    <t>CALLE LOS PINOS 7</t>
  </si>
  <si>
    <t>/33.173137,/70.890971</t>
  </si>
  <si>
    <t>TRES ORIENTE 284</t>
  </si>
  <si>
    <t>/33.1382209,/70.800564</t>
  </si>
  <si>
    <t>VILLA CRUZ DEL SUR</t>
  </si>
  <si>
    <t>/33.612442;/70.868569</t>
  </si>
  <si>
    <t>CAMINO EL CASTILLO 458</t>
  </si>
  <si>
    <t>/33.7119575,/70.8896599</t>
  </si>
  <si>
    <t>PASAJE LAS SALITRERAS 367</t>
  </si>
  <si>
    <t>/33.748578;/70.900116</t>
  </si>
  <si>
    <t>JOSE PEPE FUENTES 348</t>
  </si>
  <si>
    <t>/33.805584;/70.736893</t>
  </si>
  <si>
    <t>CAMINO INT P41</t>
  </si>
  <si>
    <t>/33.908602;/70.760703</t>
  </si>
  <si>
    <t>CARLOS SEEMAN 3356</t>
  </si>
  <si>
    <t>/33.747203;/70.862640</t>
  </si>
  <si>
    <t>CUATRO SUR</t>
  </si>
  <si>
    <t>/33.145042;/70.799493</t>
  </si>
  <si>
    <t>LAS LILAS 29</t>
  </si>
  <si>
    <t>/33.807391;/70.851712</t>
  </si>
  <si>
    <t>SANTUARIO SUR 612</t>
  </si>
  <si>
    <t>/33.6430856,/70.3516726</t>
  </si>
  <si>
    <t>CAMINO SANTA LUISA ST2</t>
  </si>
  <si>
    <t>/33.271632,/70.698463</t>
  </si>
  <si>
    <t>SAN LUIS ST28</t>
  </si>
  <si>
    <t>/33.211138;/70.668215</t>
  </si>
  <si>
    <t>CAM AL VOLCAN 12406</t>
  </si>
  <si>
    <t>/33.5923631,/70.3797075</t>
  </si>
  <si>
    <t>PUANGUE</t>
  </si>
  <si>
    <t>.33.667864,/71.323823</t>
  </si>
  <si>
    <t>BENJAMIN MOLINA 1248</t>
  </si>
  <si>
    <t>/33.813492;/70.857238</t>
  </si>
  <si>
    <t>PEDRO HERRERA DARDINAC</t>
  </si>
  <si>
    <t>/33.741248;/70.869419</t>
  </si>
  <si>
    <t>/33.849841;/70.749607</t>
  </si>
  <si>
    <t>FRANCISCO ENCINA 141</t>
  </si>
  <si>
    <t>/33.536267;/70.598635</t>
  </si>
  <si>
    <t>HIJUELA 1</t>
  </si>
  <si>
    <t>/33127586;/70.861009</t>
  </si>
  <si>
    <t>ACCESO 1, 116</t>
  </si>
  <si>
    <t>/33.789816;/70.739642</t>
  </si>
  <si>
    <t>4 ORIENTE P2</t>
  </si>
  <si>
    <t>/33.1329564;/70.7989058</t>
  </si>
  <si>
    <t>UNO ORIENTE 481</t>
  </si>
  <si>
    <t>/33.146786;/70.796044</t>
  </si>
  <si>
    <t>CALLE TALAGANTE</t>
  </si>
  <si>
    <t>/33.688978;/70.913158</t>
  </si>
  <si>
    <t>CUATRO ORIENTE 199</t>
  </si>
  <si>
    <t>/33.1334055,/70.8006949</t>
  </si>
  <si>
    <t>PSJ SAUCE</t>
  </si>
  <si>
    <t>/33.527719;/70.600234</t>
  </si>
  <si>
    <t>CAM CARAMPANGUE 4</t>
  </si>
  <si>
    <t>/33.683065;/70.918670</t>
  </si>
  <si>
    <t>/33.645845;/71.231637</t>
  </si>
  <si>
    <t>TAQUERAL P12</t>
  </si>
  <si>
    <t>/33.536183;/70.598673</t>
  </si>
  <si>
    <t>CAM INT BATUCO</t>
  </si>
  <si>
    <t>/33.527491;/70.600069</t>
  </si>
  <si>
    <t>COMINO CODIGUA 5320</t>
  </si>
  <si>
    <t>/33.763388;/71.302914</t>
  </si>
  <si>
    <t>SANTA JULIA P2</t>
  </si>
  <si>
    <t>/33.647664;/71.230961</t>
  </si>
  <si>
    <t>CAM EL RECURSO P55</t>
  </si>
  <si>
    <t>/33.693163;/70.708173</t>
  </si>
  <si>
    <t>PJE MATILDE ALFGARO 292</t>
  </si>
  <si>
    <t>/33.674649;/71.211040</t>
  </si>
  <si>
    <t>CAM EL RECURSO P56</t>
  </si>
  <si>
    <t>/33.693237;/70.708093</t>
  </si>
  <si>
    <t>VALLE LO FONTECILLA 11</t>
  </si>
  <si>
    <t>/33.937576;/70.680975</t>
  </si>
  <si>
    <t>DIEGO PORTALES 54</t>
  </si>
  <si>
    <t>/33.8673773,/70.7472101</t>
  </si>
  <si>
    <t>DARIO PAVEZ 130</t>
  </si>
  <si>
    <t>/33.855705;/70.762245</t>
  </si>
  <si>
    <t>CULIPRAN</t>
  </si>
  <si>
    <t>/33.810079;/71.242514</t>
  </si>
  <si>
    <t>BEETHOVEN 827</t>
  </si>
  <si>
    <t>/33.682483;/71.195774</t>
  </si>
  <si>
    <t>CAM SERVIDUMBRE P57</t>
  </si>
  <si>
    <t>/33.536211;/70.598749</t>
  </si>
  <si>
    <t>CAM VIEJO MANDINGA</t>
  </si>
  <si>
    <t>/33.789408, /71.284054</t>
  </si>
  <si>
    <t>AV BERNARDO OHIGGINS 133</t>
  </si>
  <si>
    <t>/33.806139;/70.736797</t>
  </si>
  <si>
    <t>LAS ARAUCARIAS 593</t>
  </si>
  <si>
    <t>/33.751864;/70.861004</t>
  </si>
  <si>
    <t>SAN LUIS P4</t>
  </si>
  <si>
    <t>/33.500231;/70.621869</t>
  </si>
  <si>
    <t>LAS LILAS 17</t>
  </si>
  <si>
    <t>/33.805066;/70.851788</t>
  </si>
  <si>
    <t>GALVARINO</t>
  </si>
  <si>
    <t>/33.7316955,/70.7814819</t>
  </si>
  <si>
    <t>EL RECURSO</t>
  </si>
  <si>
    <t>/33.692908,/70.7255202</t>
  </si>
  <si>
    <t>EL DUO REY SILVA</t>
  </si>
  <si>
    <t>/33.8043474,/70.742926</t>
  </si>
  <si>
    <t>INDEPENDENCIA 213</t>
  </si>
  <si>
    <t>/33.749601;/70.893066</t>
  </si>
  <si>
    <t>MONTE GRANDE 573</t>
  </si>
  <si>
    <t>/33.749552;/70.893088</t>
  </si>
  <si>
    <t>SANTA ROSA 76</t>
  </si>
  <si>
    <t>/33.751572, /71.321281</t>
  </si>
  <si>
    <t>CAMINO SANTA CAROLINA P18</t>
  </si>
  <si>
    <t>LUCILA GODOY 478</t>
  </si>
  <si>
    <t>/33.3662069,/70.7435063</t>
  </si>
  <si>
    <t>CLUB DE GOLF</t>
  </si>
  <si>
    <t>/33.1929997,/70.8053307</t>
  </si>
  <si>
    <t>/33.6430359,/70.3521001</t>
  </si>
  <si>
    <t>CARMEN BAJO</t>
  </si>
  <si>
    <t>/33.7244789,/71.199892</t>
  </si>
  <si>
    <t>PARAISO SUR</t>
  </si>
  <si>
    <t>/33.7599965,/70.8999075</t>
  </si>
  <si>
    <t>LAS PALMAS</t>
  </si>
  <si>
    <t>/33.7501767,/70.8628208</t>
  </si>
  <si>
    <t>PLAZUELA SITIO 20</t>
  </si>
  <si>
    <t>/33.156398,/70,886275</t>
  </si>
  <si>
    <t>AV ARTURO PRAT CHACON 90</t>
  </si>
  <si>
    <t>/33.086998,/70.929103</t>
  </si>
  <si>
    <t>VILLA SAN JOSE LT 11</t>
  </si>
  <si>
    <t>/33.285771,/70.863236</t>
  </si>
  <si>
    <t>FUNDO ALGARROBAL LOTE 85 MANZANA W</t>
  </si>
  <si>
    <t>/33.290467,/70.716475</t>
  </si>
  <si>
    <t>FABIOLA LETELIER 280</t>
  </si>
  <si>
    <t>/33.452148,/70.740311</t>
  </si>
  <si>
    <t>ARTURO PRAT M 6 S 22</t>
  </si>
  <si>
    <t>/33.235202,/70.803077</t>
  </si>
  <si>
    <t>CAMINO SERVIDUMBRE S/N PARCELA B LOTE 55</t>
  </si>
  <si>
    <t>/33.245356,/70.808333</t>
  </si>
  <si>
    <t>CAMNIO SERVIDUMBRE S/N PARCELA B LOTE 55</t>
  </si>
  <si>
    <t>/33.245344,/70.808350</t>
  </si>
  <si>
    <t>CAMINO EL ESCORIAL 2J 2H</t>
  </si>
  <si>
    <t>/33.874976,/70.934949</t>
  </si>
  <si>
    <t>CAM LINDEROS 2601</t>
  </si>
  <si>
    <t>/33.778228,/70.701484</t>
  </si>
  <si>
    <t>LA BANDERA18, POB MANUEL RODRIGUEZ</t>
  </si>
  <si>
    <t>/33279220,/70.890840</t>
  </si>
  <si>
    <t>LOS PUQUIOS 1702</t>
  </si>
  <si>
    <t>/33.7988118/70.7974099</t>
  </si>
  <si>
    <t>SANYA FILOMENA 1601 P7</t>
  </si>
  <si>
    <t>/33.7305896/70.7312083</t>
  </si>
  <si>
    <t>SANTA TERESA 0103</t>
  </si>
  <si>
    <t>/33.79522730/70.7777250</t>
  </si>
  <si>
    <t>GALVARINO 26</t>
  </si>
  <si>
    <t>/33.804646/70.858566</t>
  </si>
  <si>
    <t>VEINTICUATRO DE ABRIL SITIO 85</t>
  </si>
  <si>
    <t>Santa Victoria de Mallarauco 220, Melipilla, Región Metropolitana, Chile</t>
  </si>
  <si>
    <t>/33.679412, /71.137266</t>
  </si>
  <si>
    <t>FUNDO SANTA INES 202</t>
  </si>
  <si>
    <t>/33,262022/70,734336</t>
  </si>
  <si>
    <t>/33,260036/70,7601850</t>
  </si>
  <si>
    <t>CALLE 6 , CASA 259</t>
  </si>
  <si>
    <t>/33,631985/70,775469</t>
  </si>
  <si>
    <t>PIEDRA MOLINA PARCELA 147</t>
  </si>
  <si>
    <t>/33,864598/70,941203</t>
  </si>
  <si>
    <t>PANAMERICANA NORTE 359</t>
  </si>
  <si>
    <t>/33,081743/70,930610</t>
  </si>
  <si>
    <t>OHGGINS 330</t>
  </si>
  <si>
    <t>/33,0815712/70,9305903</t>
  </si>
  <si>
    <t>PARCELA 11 7 B CULIPRAN</t>
  </si>
  <si>
    <t>/33,8040282/71,2291436</t>
  </si>
  <si>
    <t>/33,56549/70,80427</t>
  </si>
  <si>
    <t>CALLE NUEVA 34C</t>
  </si>
  <si>
    <t>/33,706489/70,562794</t>
  </si>
  <si>
    <t>SANTA INES S/32</t>
  </si>
  <si>
    <t>/33,33,629993/70,801685</t>
  </si>
  <si>
    <t>CHACABUCO P18</t>
  </si>
  <si>
    <t>/33,262575/70,761229</t>
  </si>
  <si>
    <t>CAMINO INTERIOR PARCELA 58 LOTE 2</t>
  </si>
  <si>
    <t>/33,243888/70,753938</t>
  </si>
  <si>
    <t>LO PINTO 2014</t>
  </si>
  <si>
    <t>/33,27168/70,73200</t>
  </si>
  <si>
    <t>LA COPA N14 EL COLORADO</t>
  </si>
  <si>
    <t>/33,07056/70,71753</t>
  </si>
  <si>
    <t>PASAJE CUATRO CASA 032</t>
  </si>
  <si>
    <t>/33,728319/70,741614</t>
  </si>
  <si>
    <t>ISABEL 294 VILLA LAS PALMERAS</t>
  </si>
  <si>
    <t>/33,607833,70,888689</t>
  </si>
  <si>
    <t>RUBEN DARIO 26</t>
  </si>
  <si>
    <t>/33,28965/70,88148</t>
  </si>
  <si>
    <t>AV LO ARCAYA P9L</t>
  </si>
  <si>
    <t>/33,25197/70,69675</t>
  </si>
  <si>
    <t>PASAJE LAS PETUNIAS 2710</t>
  </si>
  <si>
    <t>/33,29747/70,86997</t>
  </si>
  <si>
    <t>JERUZALEN MARCHIWEI CASA 371</t>
  </si>
  <si>
    <t>/33,23741/70,81829</t>
  </si>
  <si>
    <t>CAMINO SERVIDUMBRE G 57</t>
  </si>
  <si>
    <t>/33,18782/7081153</t>
  </si>
  <si>
    <t>EL ATAJO 387</t>
  </si>
  <si>
    <t>/33,0872106/7093228222</t>
  </si>
  <si>
    <t>4 SUR 240</t>
  </si>
  <si>
    <t>/33,142974/70,795523</t>
  </si>
  <si>
    <t>INDEPENDENCIA 216</t>
  </si>
  <si>
    <t>/33,0851518/70,9245586</t>
  </si>
  <si>
    <t>PASAJE LAS AMAPOLAS 21</t>
  </si>
  <si>
    <t>/33,0898393/70,923395</t>
  </si>
  <si>
    <t>PARCELA REAL AUDIENCIA 761</t>
  </si>
  <si>
    <t>/33,659590/70,919684</t>
  </si>
  <si>
    <t>EL PIMIENTO PARCELA 12</t>
  </si>
  <si>
    <t>/33,574862/70,982607</t>
  </si>
  <si>
    <t>SANTA CAROLINA PARCELA 18 SITIO 2</t>
  </si>
  <si>
    <t>/33.2185267,/70.8056023,17</t>
  </si>
  <si>
    <t>SAN LUIS</t>
  </si>
  <si>
    <t>/33.63241,/70.8361187,15</t>
  </si>
  <si>
    <t>CALLE SAN LUIS PARCELA 4 B 3</t>
  </si>
  <si>
    <t>/33.6324247,/70.8202395,17</t>
  </si>
  <si>
    <t>PSJE CUATRO LOS CLAVELES 061</t>
  </si>
  <si>
    <t>/33.6245765,/70.8151566,14</t>
  </si>
  <si>
    <t>GUACOLDA 432</t>
  </si>
  <si>
    <t>/33.8043119,/70.860906,17</t>
  </si>
  <si>
    <t>CALLE PSJE 24 MANZANA 20 SITIO 3</t>
  </si>
  <si>
    <t>/33.5712813,/70.8343541,14</t>
  </si>
  <si>
    <t>SAN AGUSTIN 35</t>
  </si>
  <si>
    <t>/33.6867035,/71.2102479,17</t>
  </si>
  <si>
    <t>FERMIN VERGARA 412</t>
  </si>
  <si>
    <t>/33.5083181,/71.2981593,10</t>
  </si>
  <si>
    <t>GALVARINO 166</t>
  </si>
  <si>
    <t>/33.8045415,/70.8606729,17</t>
  </si>
  <si>
    <t>EL BAJO KM 1</t>
  </si>
  <si>
    <t>/33.704417,/71.213079,17</t>
  </si>
  <si>
    <t>CALLE CAMINO AL VOLCAN 22638</t>
  </si>
  <si>
    <t>/33.8154422,/70.1740735,16</t>
  </si>
  <si>
    <t>PSJE EL ARRAYAN MOSTAZAL O´HIGGINS</t>
  </si>
  <si>
    <t>/33.9685143,/70.7826817,12</t>
  </si>
  <si>
    <t>EL CARMEN 350 POMAIRE</t>
  </si>
  <si>
    <t>/33.646606,/71.1524056,17</t>
  </si>
  <si>
    <t>CAMINO AL VOLCAN</t>
  </si>
  <si>
    <t>/33.9208949,/70.9286541,9</t>
  </si>
  <si>
    <t>PARCELA 3 LOTE 2 PARCELACION ABRANTES</t>
  </si>
  <si>
    <t>/33.6799958,/71.0713234,10</t>
  </si>
  <si>
    <t>CALLE GALVARINO 161</t>
  </si>
  <si>
    <t>/33.7315578,/70.7816143,17</t>
  </si>
  <si>
    <t>LOS CLAVELES 146</t>
  </si>
  <si>
    <t>/33.6200237,/70.8162057,17</t>
  </si>
  <si>
    <t>CANADA NORTE 19603 BRISAS DEL MAIPO</t>
  </si>
  <si>
    <t>/33.6376309,/70.3598997,17z</t>
  </si>
  <si>
    <t>CALLE SANTUARIO OTE 19206</t>
  </si>
  <si>
    <t>/33.6427977,/70.3520035,17</t>
  </si>
  <si>
    <t>CAMINO AL VOLCAN 19450</t>
  </si>
  <si>
    <t>/33.6377015,/70.3554049,17</t>
  </si>
  <si>
    <t>CALLE CANADA NTE 153</t>
  </si>
  <si>
    <t>/33.6359429,/70.3559179,17</t>
  </si>
  <si>
    <t>CAMINO AL VOLCAN 26302</t>
  </si>
  <si>
    <t>/33.5790339,/70.4177174,17</t>
  </si>
  <si>
    <t>CALLE PIRQUE</t>
  </si>
  <si>
    <t>/33.549274,/70.7675445,17</t>
  </si>
  <si>
    <t>CALLE FCO GARATE GARCIA 733</t>
  </si>
  <si>
    <t>33.7251335,/70.7481624,17</t>
  </si>
  <si>
    <t>Gacitúa</t>
  </si>
  <si>
    <t>/33.479553, /70.758812</t>
  </si>
  <si>
    <t>El Atajo 383</t>
  </si>
  <si>
    <t>/33.086787, /70.932705</t>
  </si>
  <si>
    <t>El Almendro 180,</t>
  </si>
  <si>
    <t>/33.090225, /70.923769</t>
  </si>
  <si>
    <t>Mario rubio 745</t>
  </si>
  <si>
    <t>/33.293929,/70.867186</t>
  </si>
  <si>
    <t>Cam. Chicauma 3/3B</t>
  </si>
  <si>
    <t>/33.197365, /70.900918</t>
  </si>
  <si>
    <t>Con.las palmas parcela 86 lote 20</t>
  </si>
  <si>
    <t>/33.2836984,/70.9541752</t>
  </si>
  <si>
    <t>Campamento sol de septiembre c 656</t>
  </si>
  <si>
    <t>/33.309020, /70.862662</t>
  </si>
  <si>
    <t>Colonia Kennedy 109</t>
  </si>
  <si>
    <t>/33.870172, /70.724621</t>
  </si>
  <si>
    <t>San Francisco de Asís sitio 12</t>
  </si>
  <si>
    <t>/33.693632,/70.959324</t>
  </si>
  <si>
    <t>MANUEL CORNEJO IRIARTE 2625</t>
  </si>
  <si>
    <t>/33.670163, /70.556228</t>
  </si>
  <si>
    <t>BARROS LUCOS 866</t>
  </si>
  <si>
    <t>/33.276754,/70.875801</t>
  </si>
  <si>
    <t>LA ROMANA PARC 25</t>
  </si>
  <si>
    <t>/33.902075,/70.656178</t>
  </si>
  <si>
    <t>LONGITUD SUR 235</t>
  </si>
  <si>
    <t>/33.811305,/70.751783</t>
  </si>
  <si>
    <t>/33.739051,/70.740114</t>
  </si>
  <si>
    <t>ENSENADA AGUILA SUR 103</t>
  </si>
  <si>
    <t>/33.871620,/70.734131</t>
  </si>
  <si>
    <t>CACIQUE COLIN 366</t>
  </si>
  <si>
    <t>/33.276966,/70.750996</t>
  </si>
  <si>
    <t>QUINQUILA 1391</t>
  </si>
  <si>
    <t>/33.278230,/70.872502</t>
  </si>
  <si>
    <t>RINCONADA DE HUELQUEN 10</t>
  </si>
  <si>
    <t>/33.817411/70.628325</t>
  </si>
  <si>
    <t>MANUEL RODRIGUEZ</t>
  </si>
  <si>
    <t>/33.839785,/70.820655</t>
  </si>
  <si>
    <t>MANUEL ALTO P2</t>
  </si>
  <si>
    <t>/33.858555,/70.770559</t>
  </si>
  <si>
    <t>ROSARIO VIAL SITIO 32B</t>
  </si>
  <si>
    <t>/33.865895,/70.881168</t>
  </si>
  <si>
    <t>OHIGGINS 1015</t>
  </si>
  <si>
    <t>/33.406301,/71.139891</t>
  </si>
  <si>
    <t>PEDRO VARGAS BARRIENDO 713</t>
  </si>
  <si>
    <t>/33.805895,/70.729107</t>
  </si>
  <si>
    <t>LAS BAJADAS PONIENTE PARCELA B</t>
  </si>
  <si>
    <t>/33.646099,/70.547864</t>
  </si>
  <si>
    <t>AV SUBERCASEAUX 4770</t>
  </si>
  <si>
    <t>/33.616888,/70.531634</t>
  </si>
  <si>
    <t>CHALLITIPAI 391</t>
  </si>
  <si>
    <t>/33.406842,/71.130558</t>
  </si>
  <si>
    <t>PARCELA 6, LA VICTORIA 2121</t>
  </si>
  <si>
    <t>/33.240811,/70.909813</t>
  </si>
  <si>
    <t>LAS MAJADAS</t>
  </si>
  <si>
    <t>/33.625859,/70.539297</t>
  </si>
  <si>
    <t>COILEMU 107</t>
  </si>
  <si>
    <t>/33.290792,/70.889104</t>
  </si>
  <si>
    <t>SANTA RITA S/N</t>
  </si>
  <si>
    <t>/33.649671,/70.534248</t>
  </si>
  <si>
    <t>CARDONAL BAJO 17</t>
  </si>
  <si>
    <t>/33.859928,/70.669806</t>
  </si>
  <si>
    <t>CARDONAL BAJO SITIO 18</t>
  </si>
  <si>
    <t>/33.859992,/70.669903</t>
  </si>
  <si>
    <t>/33.859952,/70.669357</t>
  </si>
  <si>
    <t>LA COPA 201</t>
  </si>
  <si>
    <t>/33279438,/70.891450</t>
  </si>
  <si>
    <t>AV VIRGINIA 4</t>
  </si>
  <si>
    <t>/33.649796,/70.613580</t>
  </si>
  <si>
    <t>CAMINO INTERIOR SANTA CAROLINA SON</t>
  </si>
  <si>
    <t>/33.218553,/70.790005</t>
  </si>
  <si>
    <t>TEBO 2338</t>
  </si>
  <si>
    <t>/33.296198,/70.883144</t>
  </si>
  <si>
    <t>BARROS LUCO S/N SITIO 1</t>
  </si>
  <si>
    <t>HERNAN PICA 761</t>
  </si>
  <si>
    <t>CAMINO LAS MAJADAS 24630</t>
  </si>
  <si>
    <t>/33.626242,/70.539765</t>
  </si>
  <si>
    <t>/33.684244,/70.577933</t>
  </si>
  <si>
    <t>RUBEN DARIO 75</t>
  </si>
  <si>
    <t>/33.289263,/70.881703</t>
  </si>
  <si>
    <t>GABRIELA MISTRAL 75</t>
  </si>
  <si>
    <t>/33.289109,/70.882049</t>
  </si>
  <si>
    <t>/33.293004,/70.870803</t>
  </si>
  <si>
    <t>FREIRE 325</t>
  </si>
  <si>
    <t>/33.280334,/70.886029</t>
  </si>
  <si>
    <t>CAMINO SERVIDRMBRE PARCB</t>
  </si>
  <si>
    <t>/33.261261,/70.871554</t>
  </si>
  <si>
    <t>CAMINO SANTA ROSA PARCELA 5</t>
  </si>
  <si>
    <t>/33.261261,/70.893103</t>
  </si>
  <si>
    <t>VILLA ALEGRE S/N SITIO P</t>
  </si>
  <si>
    <t>/33.628199,/71.262654</t>
  </si>
  <si>
    <t>/33.412431,/71.127927</t>
  </si>
  <si>
    <t>CAMINO SERVIDRUMBRE LOTE 21</t>
  </si>
  <si>
    <t>/33.243767,/70.806489</t>
  </si>
  <si>
    <t>FRANCIA 70 PARCELA 70</t>
  </si>
  <si>
    <t>/33.236863,/70.806190</t>
  </si>
  <si>
    <t>CAMINO INTERIOR 3 PARCELA 91</t>
  </si>
  <si>
    <t>/33.311385,/70.863632</t>
  </si>
  <si>
    <t>VEINTICUATRO DE ABRIL 785</t>
  </si>
  <si>
    <t>/33.802226,/70.682350</t>
  </si>
  <si>
    <t>RACHUE 46</t>
  </si>
  <si>
    <t>/33.797343,/70.680877</t>
  </si>
  <si>
    <t>CAMINO PADRE HURTADO SITIO 8</t>
  </si>
  <si>
    <t>/33.866682,/70.640323</t>
  </si>
  <si>
    <t>SANTA TERESA 5</t>
  </si>
  <si>
    <t>/33.835414,/70.647245</t>
  </si>
  <si>
    <t>AV VIRGINIA SUBERCASEAUX 3971</t>
  </si>
  <si>
    <t>/33.649711,/70.608399</t>
  </si>
  <si>
    <t>PARCELACION EL CARMEN 9</t>
  </si>
  <si>
    <t>/33.629019,/70.538465</t>
  </si>
  <si>
    <t>PARCELACION EL C 9</t>
  </si>
  <si>
    <t>/33.627688,/70.551965</t>
  </si>
  <si>
    <t>PASAJE EL SALVADOR 715</t>
  </si>
  <si>
    <t>/33.229929,/70.802558</t>
  </si>
  <si>
    <t>CAMINO A LAMPA SITIO 102</t>
  </si>
  <si>
    <t>/33.306899,/70.848903</t>
  </si>
  <si>
    <t>GARIBALDI 1221</t>
  </si>
  <si>
    <t>PASAJE LAS ESPIGAS 2032</t>
  </si>
  <si>
    <t>/33.290441,/70.767615</t>
  </si>
  <si>
    <t>CALLE RIO BIO BIO 10</t>
  </si>
  <si>
    <t>/33.089678,/70.929463</t>
  </si>
  <si>
    <t>LAS MAJADAS 0385</t>
  </si>
  <si>
    <t>/33.626861,/70.537910</t>
  </si>
  <si>
    <t>BAJOS DE MATTE 0248</t>
  </si>
  <si>
    <t>/33.726991,/70.738222</t>
  </si>
  <si>
    <t>CARDONAL BAJO 17 LOTE 16</t>
  </si>
  <si>
    <t>/33.860079,/70.669285</t>
  </si>
  <si>
    <t>BAQUEDANO 1044</t>
  </si>
  <si>
    <t>/33.285189,/70.877554</t>
  </si>
  <si>
    <t>/33.207207,/70.784688</t>
  </si>
  <si>
    <t>CARLOS BRULL 1654</t>
  </si>
  <si>
    <t>/33.398259,/71.131870</t>
  </si>
  <si>
    <t>/33.860120,/70.669076</t>
  </si>
  <si>
    <t>CARDONAL BAJO 17 SITIO 4</t>
  </si>
  <si>
    <t>/33.859907,/70.669380</t>
  </si>
  <si>
    <t>/33.398449,/71.132078</t>
  </si>
  <si>
    <t>JAVIERA CARRERA 44</t>
  </si>
  <si>
    <t>/33.288270,/70.882407</t>
  </si>
  <si>
    <t>LA TURBINA PARCELA 7</t>
  </si>
  <si>
    <t>/33.895742,/70.645938</t>
  </si>
  <si>
    <t>PASAJE VOLCAN SAN FRANCISCO 15</t>
  </si>
  <si>
    <t>/33.088550,/70.930373</t>
  </si>
  <si>
    <t>BIO BIO 19</t>
  </si>
  <si>
    <t>/33.089719,/70.929960</t>
  </si>
  <si>
    <t>CALLE RIO BIO BIO 15</t>
  </si>
  <si>
    <t>/33.089806,/70.929920</t>
  </si>
  <si>
    <t>RIO ACONCAGUA 38</t>
  </si>
  <si>
    <t>/33.088966,/70.930566</t>
  </si>
  <si>
    <t>VICTORIA AGUIRRE 656</t>
  </si>
  <si>
    <t>/33.747676,/70.746510</t>
  </si>
  <si>
    <t>LAS TURBINAS PARCELA 17</t>
  </si>
  <si>
    <t>/33.895083,/70.646263</t>
  </si>
  <si>
    <t>HIJUELAS P299</t>
  </si>
  <si>
    <t>/33.380727,/71.100783</t>
  </si>
  <si>
    <t>VILUCO 6 VINA ORTIZ</t>
  </si>
  <si>
    <t>/33.795862,/70.778059</t>
  </si>
  <si>
    <t>CAMINO DEL MEDIO 100</t>
  </si>
  <si>
    <t>/33.172537,/70.887884</t>
  </si>
  <si>
    <t>CAMINO SERVIDRUMBRE S/N LOTE 13</t>
  </si>
  <si>
    <t>/33.375727,/71.088780</t>
  </si>
  <si>
    <t>TENIENTE BERNARDO ESCOBAR</t>
  </si>
  <si>
    <t>/33.407810,/71.133870</t>
  </si>
  <si>
    <t>COND TERRANOVA PARC 16</t>
  </si>
  <si>
    <t>/33.686321,/70.573190</t>
  </si>
  <si>
    <t>/33.832678,/70.648667</t>
  </si>
  <si>
    <t>EL ALAMO 42</t>
  </si>
  <si>
    <t>/33.837204,/70.641690</t>
  </si>
  <si>
    <t>CAMPAMENTO SOL DE SEPTIEMBRE C/528</t>
  </si>
  <si>
    <t>/33.306283,/70,861953</t>
  </si>
  <si>
    <t>CAMINO LAS FLORES 2759</t>
  </si>
  <si>
    <t>EL ESPINO 22</t>
  </si>
  <si>
    <t>/33.088058,/70.924291</t>
  </si>
  <si>
    <t>ALCALDE MARIO RIQUELME</t>
  </si>
  <si>
    <t>/33.287243,/70.879122</t>
  </si>
  <si>
    <t>PASAJE EL LAUREL 2</t>
  </si>
  <si>
    <t>/33.088528,/70.923316</t>
  </si>
  <si>
    <t>MANUEL RODRIGUEZ 325</t>
  </si>
  <si>
    <t>/33.277164,/70.886688</t>
  </si>
  <si>
    <t>LOS MAITENES S/N LOTE M</t>
  </si>
  <si>
    <t>ALCALDE MARIO RIQUELME 41</t>
  </si>
  <si>
    <t>/33.287850,/70.879202</t>
  </si>
  <si>
    <t>CONDOMINO VALLE HERMOSO PARCELA 9</t>
  </si>
  <si>
    <t>/33.207207,/70.849293</t>
  </si>
  <si>
    <t>SANTA LUCIA LOTE 13</t>
  </si>
  <si>
    <t>CAMINO SANTA ROSA</t>
  </si>
  <si>
    <t>/33.259207,/70.760300</t>
  </si>
  <si>
    <t>/33.226856,/70.796970</t>
  </si>
  <si>
    <t>VALLE DEL ACONCUAGUA 681</t>
  </si>
  <si>
    <t>LUMBRERAS 26126</t>
  </si>
  <si>
    <t>/33.664374,/71.283102</t>
  </si>
  <si>
    <t>AV HERNAN PRIETO</t>
  </si>
  <si>
    <t>/33.648139,/70.588244</t>
  </si>
  <si>
    <t>LOS LLANOS DE PIRQUE S/N</t>
  </si>
  <si>
    <t>/33.702810,/70.606860</t>
  </si>
  <si>
    <t>CARLOS VIAL INFANTE S/N</t>
  </si>
  <si>
    <t>/33.651910,/70.575124</t>
  </si>
  <si>
    <t>LO ARCAYA LOTE 2</t>
  </si>
  <si>
    <t>/33.691184,/70.594529</t>
  </si>
  <si>
    <t>CAMINO INTERIOR S/SN</t>
  </si>
  <si>
    <t>/33.872517,/70.675172</t>
  </si>
  <si>
    <t>SAN ANDRES 8</t>
  </si>
  <si>
    <t>/33.806439,/70.739725</t>
  </si>
  <si>
    <t>RIO ACONCAGUA 30</t>
  </si>
  <si>
    <t>EL SAUCE 585</t>
  </si>
  <si>
    <t>/33.092054,/70.929929</t>
  </si>
  <si>
    <t>/33.103839,/70.931053</t>
  </si>
  <si>
    <t>CALLE RIO BIO BIO 8</t>
  </si>
  <si>
    <t>/33.089576,/70.929447</t>
  </si>
  <si>
    <t>LAS CIMAS 185</t>
  </si>
  <si>
    <t>/33.163326,/70.791105</t>
  </si>
  <si>
    <t>PEDRO DE VALDIVIA 87</t>
  </si>
  <si>
    <t>LIBERTAD 41</t>
  </si>
  <si>
    <t>/33.294947,/70.887454</t>
  </si>
  <si>
    <t>/33.279279,/70.907732</t>
  </si>
  <si>
    <t>VICTOR MOYA 243</t>
  </si>
  <si>
    <t>/33.085475,/70.921966</t>
  </si>
  <si>
    <t>CAMINO SANTA RITA S/N</t>
  </si>
  <si>
    <t>/33.648696,/70.534869</t>
  </si>
  <si>
    <t>ISABEL RIQUELME 1401</t>
  </si>
  <si>
    <t>/33.291078,/70.886120</t>
  </si>
  <si>
    <t>CALLE LA RAMONA SITIO 31</t>
  </si>
  <si>
    <t>/33.901168,/70.658017</t>
  </si>
  <si>
    <t>UNO SUR 651C</t>
  </si>
  <si>
    <t>/33.099099,/70.848057</t>
  </si>
  <si>
    <t>CAUTRO ORIENTE S/N</t>
  </si>
  <si>
    <t>/33.132188,/70.799609</t>
  </si>
  <si>
    <t>CUATRO ORIENTE S/N</t>
  </si>
  <si>
    <t>/33.132199,/70.799525</t>
  </si>
  <si>
    <t>UNO SUR 652</t>
  </si>
  <si>
    <t>/33.126676,/70.794705</t>
  </si>
  <si>
    <t>24 DE ABRIL SITIO 85</t>
  </si>
  <si>
    <t>/33.802349,/70.682632</t>
  </si>
  <si>
    <t>CAMINO CULITRIN 5</t>
  </si>
  <si>
    <t>/33.875762,/70.663447</t>
  </si>
  <si>
    <t>CULITRIN PARCELA 7B</t>
  </si>
  <si>
    <t>/33.871977,/70.688576</t>
  </si>
  <si>
    <t>PALMAS DE MALLORCA 1810</t>
  </si>
  <si>
    <t>/33.703249,/70.815870</t>
  </si>
  <si>
    <t>CAMINO PADRE HURTADO PARCELA 17</t>
  </si>
  <si>
    <t>/33.895122,/70.646232</t>
  </si>
  <si>
    <t>CHACABUCO PARCELA 10</t>
  </si>
  <si>
    <t>/33.262627,/70.761197</t>
  </si>
  <si>
    <t>LOS MUERMOS 152</t>
  </si>
  <si>
    <t>/33.280679,/70.754195</t>
  </si>
  <si>
    <t>SECTOR SAN VALENTIN S/N</t>
  </si>
  <si>
    <t>/33.775939,/71.352368</t>
  </si>
  <si>
    <t>/33.279279/70,886179</t>
  </si>
  <si>
    <t>SECTOR SAN VALENTIN</t>
  </si>
  <si>
    <t>/33.775123,/71.351730</t>
  </si>
  <si>
    <t>AV. LA HACIENDA 3008</t>
  </si>
  <si>
    <t>/33.3004718/70.8724661</t>
  </si>
  <si>
    <t>CAMINO INTERIOR P2</t>
  </si>
  <si>
    <t>/33.335213/70.861366</t>
  </si>
  <si>
    <t>ALCALDE 235</t>
  </si>
  <si>
    <t>/33.683678/71.207520</t>
  </si>
  <si>
    <t>LA CAPILLA 5</t>
  </si>
  <si>
    <t>/33.289665/70.874367</t>
  </si>
  <si>
    <t>PJE LIENTUR 1451</t>
  </si>
  <si>
    <t>/33.280991/70.869850</t>
  </si>
  <si>
    <t>AV. DIECIOCHO DE SEPTIEMBRE 6010</t>
  </si>
  <si>
    <t>/33.803794/70.675505</t>
  </si>
  <si>
    <t>PASAJE SIETE 294</t>
  </si>
  <si>
    <t>/33.822024/70.740057</t>
  </si>
  <si>
    <t>EL ACACIO SITIO 49</t>
  </si>
  <si>
    <t>/33.612858/70.796928</t>
  </si>
  <si>
    <t>CAMINO INTERIOR PARC 1 N2</t>
  </si>
  <si>
    <t>/33.336006/70.862400</t>
  </si>
  <si>
    <t>1 SUR 215</t>
  </si>
  <si>
    <t>/33.2421608/70.8162458</t>
  </si>
  <si>
    <t>TALAMI 33</t>
  </si>
  <si>
    <t>/34.051907/70.998756</t>
  </si>
  <si>
    <t>ESMERALDA 138</t>
  </si>
  <si>
    <t>/34.031685/71.101212</t>
  </si>
  <si>
    <t>EL MOLINO 1 S/N</t>
  </si>
  <si>
    <t>/34.034885/71.094849</t>
  </si>
  <si>
    <t>/34.036800/71.099640</t>
  </si>
  <si>
    <t>AV ROSA fajardo 019</t>
  </si>
  <si>
    <t>/33,1137960/70,7908485</t>
  </si>
  <si>
    <t>EL LUCERO PARCELA 7</t>
  </si>
  <si>
    <t>/33,2722522/70,8849967</t>
  </si>
  <si>
    <t>CAMINO LIQUIDAMBA PAR 38 , L.U. COND COBIJO</t>
  </si>
  <si>
    <t>/33,183132/70,702295</t>
  </si>
  <si>
    <t>EL SAUCE PARCELA 1646</t>
  </si>
  <si>
    <t>/33,880009/70,722156</t>
  </si>
  <si>
    <t>LOS ALAMOS S/N LA LINEA</t>
  </si>
  <si>
    <t>/33,041146/71,222444</t>
  </si>
  <si>
    <t>CALLE LOS PIONEROS 9L LO ARCAYA</t>
  </si>
  <si>
    <t>/33,2520250/70,6967460</t>
  </si>
  <si>
    <t>REMBRANT 1062</t>
  </si>
  <si>
    <t>/33,19709/70,666977</t>
  </si>
  <si>
    <t>CALLE LIBERTAD 2137</t>
  </si>
  <si>
    <t>/33,294473/70,887375</t>
  </si>
  <si>
    <t>PASAJE UNO 296</t>
  </si>
  <si>
    <t>/33,803410/70,716109</t>
  </si>
  <si>
    <t>SAN VICENTE PAR. 10</t>
  </si>
  <si>
    <t>PASAJE NUEVE 283/A</t>
  </si>
  <si>
    <t>/33,193913/70,676094</t>
  </si>
  <si>
    <t>VILLA EDUARDO VELAZQUEZ SITIO 1 MANDIGA</t>
  </si>
  <si>
    <t>/33,7911669/71,2858465</t>
  </si>
  <si>
    <t>CONDOMINIO VOLCAN 41408</t>
  </si>
  <si>
    <t>/33,776761/70,251362</t>
  </si>
  <si>
    <t>AV SOL DE SEPTIEMBRE 601</t>
  </si>
  <si>
    <t>/33,305328/70,863903</t>
  </si>
  <si>
    <t>/33,7910081/71,2861593</t>
  </si>
  <si>
    <t>ACONCAGUA 271, SANTA CATALINA 10</t>
  </si>
  <si>
    <t>/33,196162/70,676635</t>
  </si>
  <si>
    <t>EL MAITEN 14 PAR 14 CAMINO INTERIOR</t>
  </si>
  <si>
    <t>/33,6872768/71,1717956</t>
  </si>
  <si>
    <t>CALLE LOS ALMENDROS 10</t>
  </si>
  <si>
    <t>TIL/TIL</t>
  </si>
  <si>
    <t>/33,128528/70,802331</t>
  </si>
  <si>
    <t>LO CASTRO PARC 16</t>
  </si>
  <si>
    <t>/33,292741/70,70,781755</t>
  </si>
  <si>
    <t>LOS ALCONES 1270 A</t>
  </si>
  <si>
    <t>/33,295246/70,876259</t>
  </si>
  <si>
    <t>cALLE MAMIÑA 2547</t>
  </si>
  <si>
    <t>/33,184054/70,676160</t>
  </si>
  <si>
    <t>EL GRANADO 397</t>
  </si>
  <si>
    <t>/33,6087470/70,8631957</t>
  </si>
  <si>
    <t>PARCELA 3 LOTE 2</t>
  </si>
  <si>
    <t>/33.8407555,/70.8217388,12</t>
  </si>
  <si>
    <t>LOS LILIMUS 23</t>
  </si>
  <si>
    <t>/33.6193521,/70.8146592,17</t>
  </si>
  <si>
    <t>LAS LOICAS PARCELA 26B</t>
  </si>
  <si>
    <t>/33.6081189,/71.2270401,17</t>
  </si>
  <si>
    <t>/33.6295362,/70.8224957,17</t>
  </si>
  <si>
    <t>AV. PDTA. MICHELLE BACHELET J. 393</t>
  </si>
  <si>
    <t>/33.6789506,/70.9571989,17</t>
  </si>
  <si>
    <t>EL MANZANO PARCELA 5</t>
  </si>
  <si>
    <t>/33.9269758,/71.6215293,10</t>
  </si>
  <si>
    <t>GACITUA 580</t>
  </si>
  <si>
    <t>/33.7303095,/70.9131149,17</t>
  </si>
  <si>
    <t>SANTA LAURA 331</t>
  </si>
  <si>
    <t>/33.5601089,/70.8005509,17</t>
  </si>
  <si>
    <t>CALLE MIRAFLORES S/N</t>
  </si>
  <si>
    <t>/33.4497885,/71.2118124,9</t>
  </si>
  <si>
    <t>/33.4470672,/71.2347872,9</t>
  </si>
  <si>
    <t>MANUEL RODRIGUEZ 667 VALDIVIA DE PAINE</t>
  </si>
  <si>
    <t>/33.809776, /70.868112</t>
  </si>
  <si>
    <t>/33.809792, /70.868009</t>
  </si>
  <si>
    <t>EL MAITEN 250</t>
  </si>
  <si>
    <t>/33.4528512,/70.6347008,12</t>
  </si>
  <si>
    <t>ISABEL ALLENDE 3282 AIRES DEL MAIPO</t>
  </si>
  <si>
    <t>/33.7461397,/70.8646183,17</t>
  </si>
  <si>
    <t>CALLE EL ALFALFAL</t>
  </si>
  <si>
    <t>/33.5050858,/70.2013091,17</t>
  </si>
  <si>
    <t>CALLE CAMINO EL SAUCE SITIO 3</t>
  </si>
  <si>
    <t>/33.6446901,/70.7945694,17</t>
  </si>
  <si>
    <t>LOS LILIMUS 25</t>
  </si>
  <si>
    <t>CALLE LOICA ARRIBA</t>
  </si>
  <si>
    <t>/33.9739097,/71.485037,14</t>
  </si>
  <si>
    <t>SECTOR POPETA PARCELA A4 c</t>
  </si>
  <si>
    <t>/33.9728633,/71.7941099,10</t>
  </si>
  <si>
    <t>MANDINGA 39</t>
  </si>
  <si>
    <t>/33.8013628,/71.3192138,14</t>
  </si>
  <si>
    <t>CALLE TRES LOS LIRIOS CASA 118</t>
  </si>
  <si>
    <t>/33.6304051,/70.7916269,14</t>
  </si>
  <si>
    <t>LONQUEN SUR PARCELA 4</t>
  </si>
  <si>
    <t>/33.4527733,/70.7517558,11</t>
  </si>
  <si>
    <t>CAM. A VALDIVIA DE PAINE 3450 LOTE 4</t>
  </si>
  <si>
    <t>/33.7815632,/70.8392912,17</t>
  </si>
  <si>
    <t>TANTEHUE SITIO #15</t>
  </si>
  <si>
    <t>/33.8858688,/71.2404546,17</t>
  </si>
  <si>
    <t>CALLE POMAIRE</t>
  </si>
  <si>
    <t>/33.6525863,/71.1719774,14</t>
  </si>
  <si>
    <t>EL MANZANO S/N LOS QUILLAYES</t>
  </si>
  <si>
    <t>/33.8144484,/71.3239574,17</t>
  </si>
  <si>
    <t>CALLE LECAROS 206</t>
  </si>
  <si>
    <t>/33.7503506,/71.1961145,17</t>
  </si>
  <si>
    <t>CAMINO SERVIDUMBRE PARCELA 53</t>
  </si>
  <si>
    <t>/33.2860048,/70.8977649,14</t>
  </si>
  <si>
    <t>CALLE BATUCO</t>
  </si>
  <si>
    <t>/33.230429,/70.805896,17</t>
  </si>
  <si>
    <t>CAMINO SERVIDUMBRE LAS HIGUERAS DE BATUCO C 2 PARCELA 57</t>
  </si>
  <si>
    <t>CAMINO SERVIDUMBRE PARCELA 53C</t>
  </si>
  <si>
    <t>COND. SANTA SARA PARCELA 53C</t>
  </si>
  <si>
    <t>33.2351881,/70.7798571,15</t>
  </si>
  <si>
    <t>CALLE CARLOS SEEMAN 3309</t>
  </si>
  <si>
    <t>/33.7474184,/70.8653987,17</t>
  </si>
  <si>
    <t>LOS PINTORES 361</t>
  </si>
  <si>
    <t>/33.6667821,/70.918697,17</t>
  </si>
  <si>
    <t>PASAJE CINCO 800</t>
  </si>
  <si>
    <t>/33.7466068,/70.9002954,17</t>
  </si>
  <si>
    <t>LAS ROSAS 706</t>
  </si>
  <si>
    <t>/33.7480759,/70.8998099,17</t>
  </si>
  <si>
    <t>AV. LOS HEROES 861</t>
  </si>
  <si>
    <t>/33.81247,/70.7369532,17</t>
  </si>
  <si>
    <t>AV. GRAL BAQUEDANO 3</t>
  </si>
  <si>
    <t>/33.8080298,/70.7448646,17</t>
  </si>
  <si>
    <t>LAS PARCELAS</t>
  </si>
  <si>
    <t>/33.667047,/70.603294</t>
  </si>
  <si>
    <t>RIO BIO BIO 6</t>
  </si>
  <si>
    <t>/33.089598,/70.929528</t>
  </si>
  <si>
    <t>SECTOR CHINIGUE LAS ROSAS S/N CV3</t>
  </si>
  <si>
    <t>/33.679828, /71.126384</t>
  </si>
  <si>
    <t>PJE. LA VENDIMIA 0129</t>
  </si>
  <si>
    <t>/33.203623, /70.685882</t>
  </si>
  <si>
    <t>RIO ACONCAGUA 25</t>
  </si>
  <si>
    <t>/33.089272,/70.930114</t>
  </si>
  <si>
    <t>RIO ACONCAGUA 29</t>
  </si>
  <si>
    <t>/33.089230,/70.930167</t>
  </si>
  <si>
    <t>24 DE ABRIL SUR</t>
  </si>
  <si>
    <t>/33.801032,/70.683172</t>
  </si>
  <si>
    <t>EL ABETO 0140</t>
  </si>
  <si>
    <t>/33.802633,/70.739979</t>
  </si>
  <si>
    <t>/33.800936,/70.683215</t>
  </si>
  <si>
    <t>CAMINO LAS FLORES 982</t>
  </si>
  <si>
    <t>/33.2997931/70.8800667</t>
  </si>
  <si>
    <t>CAMINO INTERIOR LOTE 1 PARC 15</t>
  </si>
  <si>
    <t>/33.352245/70.875159</t>
  </si>
  <si>
    <t>ULMEN 21 PARC 17</t>
  </si>
  <si>
    <t>/33.829773/71.354050</t>
  </si>
  <si>
    <t>LO CESPEDES 338 LOTE B</t>
  </si>
  <si>
    <t>/33.732750/70.911187</t>
  </si>
  <si>
    <t>HUGO ORTIZ CABEZAS 234</t>
  </si>
  <si>
    <t>/33.7189261/70.7434703</t>
  </si>
  <si>
    <t>ENSENADA AGUILA SUR 112</t>
  </si>
  <si>
    <t>/33.909513/70.736034</t>
  </si>
  <si>
    <t>CAM LA LECHERIA N1</t>
  </si>
  <si>
    <t>/33.335982/70.862428</t>
  </si>
  <si>
    <t>SANTA CAROLINA PARC 5</t>
  </si>
  <si>
    <t>/33.220377/70.802859</t>
  </si>
  <si>
    <t>IGNACIO CARRERA PINTO SITIO 23</t>
  </si>
  <si>
    <t>/33.031531/71.080355</t>
  </si>
  <si>
    <t>/34.039731/71.224988</t>
  </si>
  <si>
    <t>PSJE LAS PALDERAS 88</t>
  </si>
  <si>
    <t>/33.712409,/70.7394706,17</t>
  </si>
  <si>
    <t>GUACOLDA 695, CASA 1</t>
  </si>
  <si>
    <t>/33.8052841,/70.8623375,17</t>
  </si>
  <si>
    <t>CONDOMINIO EL ESCORIAL</t>
  </si>
  <si>
    <t>/33.805377,/70.761955,12</t>
  </si>
  <si>
    <t>TANTEHUE ALTO 13</t>
  </si>
  <si>
    <t>33.8564254,/71.2103381,17</t>
  </si>
  <si>
    <t>PORTICO SAN MANUEL #39</t>
  </si>
  <si>
    <t>/33.7634573,/71.2778655,16</t>
  </si>
  <si>
    <t>PORVENIR 123</t>
  </si>
  <si>
    <t>/33.609055, /70.884999</t>
  </si>
  <si>
    <t>CALLE REPUBLICA CHECA 156 BARRIO ORIENTE</t>
  </si>
  <si>
    <t>/33.6734141,/71.1754706,17</t>
  </si>
  <si>
    <t>/33.7634573,/71.2778655,16z</t>
  </si>
  <si>
    <t>/33.741454, /70.748477</t>
  </si>
  <si>
    <t>CUATRO LOS CLAVELES 058</t>
  </si>
  <si>
    <t>SANTA ANA SITIO 20</t>
  </si>
  <si>
    <t>/33.6607946,/70.8424062,17</t>
  </si>
  <si>
    <t>Calle Malaquías Concha 32, Penaflor, Peñaflor, Región Metropolitana,</t>
  </si>
  <si>
    <t>/33.603506, /70.852205</t>
  </si>
  <si>
    <t>Calle 19 DE AGOSTO S/N</t>
  </si>
  <si>
    <t>/34.0339625, /71.0976466</t>
  </si>
  <si>
    <t>CALLE BALMACEDA 3875, A 9800214 TALAGANTE, I.M, RM.</t>
  </si>
  <si>
    <t>/33.742748, /70.863582</t>
  </si>
  <si>
    <t>CALLE PADRE HURTADO 310. ALTO JAHUEL, BUIN, RM.</t>
  </si>
  <si>
    <t>/33.7292264,/70.6840385</t>
  </si>
  <si>
    <t>CALLE LA CAÑADA NORTE 19558</t>
  </si>
  <si>
    <t>/33.6373587, /703570047</t>
  </si>
  <si>
    <t>Calle Cam. Al Volcán 42377, San Gabriel, San José de Maipo, RM.</t>
  </si>
  <si>
    <t>/33.777951, /70.249225</t>
  </si>
  <si>
    <t>CALLE SANTUARIO OTE. 19116, SAN JOSE DE MAIPO, RM.</t>
  </si>
  <si>
    <t>/33.6423253,/70.3484608,17</t>
  </si>
  <si>
    <t>Calle camino las guías parcela 48, San Vicente de naltahua</t>
  </si>
  <si>
    <t>/33.738645, /70.956859</t>
  </si>
  <si>
    <t>Calle Camino Interior 99 PP576066 el melocoton</t>
  </si>
  <si>
    <t>/33.746569, /70.896203</t>
  </si>
  <si>
    <t>SAN ANTONIO PARCELA EL PRADO LOTE / B/N POSTE 584967</t>
  </si>
  <si>
    <t>Av. Santelices 1549, 9790258 Talagante, I.M, R.M.</t>
  </si>
  <si>
    <t>/33.75069,/70.9109</t>
  </si>
  <si>
    <t>Calle El Corcovado, Córdoba, Argentina</t>
  </si>
  <si>
    <t>/33.629895, /70.778691</t>
  </si>
  <si>
    <t>Calle Colo Colo 275</t>
  </si>
  <si>
    <t>/33.806929, /70.859759</t>
  </si>
  <si>
    <t>Calle Camino la estancilla 2120 sitio 17</t>
  </si>
  <si>
    <t>/33.500206, /70.621873</t>
  </si>
  <si>
    <t>Calle CREPÚSCULO 4182</t>
  </si>
  <si>
    <t>/33.7394199,/70.8641256</t>
  </si>
  <si>
    <t>Calle PORTICO SAN MANUEL #39</t>
  </si>
  <si>
    <t>/33.7635532. /71.2733228</t>
  </si>
  <si>
    <t>Calle Los Aromos 394, Valdivia de Paine, Buin, RM.</t>
  </si>
  <si>
    <t>/33.8082571, /70.8517352</t>
  </si>
  <si>
    <t>La Mañana 4275, 9800068 Talagante, Isla de Maipo, RM.</t>
  </si>
  <si>
    <t>/33.739064, /70.862542</t>
  </si>
  <si>
    <t>Calle Cam. Padre Hurtado 3844, RM.</t>
  </si>
  <si>
    <t>/33.6197192,/70.6816216</t>
  </si>
  <si>
    <t>CALLE BATALLÓN CHACABUCO</t>
  </si>
  <si>
    <t>/33.5908167_ /70.6182855</t>
  </si>
  <si>
    <t>#########</t>
  </si>
  <si>
    <t>LA MONTAÑA SUR</t>
  </si>
  <si>
    <t>/33.326814,/70.752314</t>
  </si>
  <si>
    <t>TRES OTE 380 B</t>
  </si>
  <si>
    <t>/33.141666,/70.795607</t>
  </si>
  <si>
    <t>FUNDO LOS BOLDOS SITIO 85</t>
  </si>
  <si>
    <t>/33.589195,/71.231944</t>
  </si>
  <si>
    <t>SANTELICES 1908 PC 11</t>
  </si>
  <si>
    <t>/33.412095,/70.677794</t>
  </si>
  <si>
    <t>EL PARRONAL 125</t>
  </si>
  <si>
    <t>/33.748831,/70.868654</t>
  </si>
  <si>
    <t>LOS EUCALIPTUS LOTE 7</t>
  </si>
  <si>
    <t>/33.700187,/70.851472</t>
  </si>
  <si>
    <t>/33.570307,/71.186923</t>
  </si>
  <si>
    <t>ISABEL RIQUELME 5</t>
  </si>
  <si>
    <t>/33.269575,/70.892776</t>
  </si>
  <si>
    <t>PASAJE EL POMELO 121 ALTOS DEL MAITEN IV</t>
  </si>
  <si>
    <t>/33,677707/70,176521</t>
  </si>
  <si>
    <t>PASAJE VIENA 2070</t>
  </si>
  <si>
    <t>/33,673399/71,175138</t>
  </si>
  <si>
    <t>HERNAN DIAZ ARRIETA 1503</t>
  </si>
  <si>
    <t>/33,298511/70,879410</t>
  </si>
  <si>
    <t>/33.741487, /70.748481</t>
  </si>
  <si>
    <t>LOS CASTAÑOS 494</t>
  </si>
  <si>
    <t>/33,305072/70,862381</t>
  </si>
  <si>
    <t>COND. STA LUISA DE CHICUREO 24A</t>
  </si>
  <si>
    <t>/33,270079/70,695177</t>
  </si>
  <si>
    <t>ESMERALDA 99</t>
  </si>
  <si>
    <t>/33,182209/70,651619</t>
  </si>
  <si>
    <t>SECTOR CULIPRAN PC17</t>
  </si>
  <si>
    <t>/33,790864/71,271936</t>
  </si>
  <si>
    <t>ALCALDE 234</t>
  </si>
  <si>
    <t>/33,683515/71,208295</t>
  </si>
  <si>
    <t>AV SERVIDUMBRE PARC 12 SITIO 2</t>
  </si>
  <si>
    <t>/33,313743/70,844800</t>
  </si>
  <si>
    <t>FIGUEROA 505</t>
  </si>
  <si>
    <t>/33,2326066/70,8090852</t>
  </si>
  <si>
    <t>CAPILLA CALEU S/N (RETEN CALEU)</t>
  </si>
  <si>
    <t>/33,00295/70,99511</t>
  </si>
  <si>
    <t>CRISTOBAL COLON 1057</t>
  </si>
  <si>
    <t>/33,193625/70,671786</t>
  </si>
  <si>
    <t>CALLE EL AVELLANO 325</t>
  </si>
  <si>
    <t>/33,608797/70,862261</t>
  </si>
  <si>
    <t>CONDOMINIO SANTA LUISA 24B</t>
  </si>
  <si>
    <t>/33,269674/70,695196</t>
  </si>
  <si>
    <t>PASAJE LOS CASTAÑOS 0942</t>
  </si>
  <si>
    <t>/33,286986/70,882592</t>
  </si>
  <si>
    <t>RODRIGO GONZALEZ MARMOLEJO 505</t>
  </si>
  <si>
    <t>/33,454609/70,627181</t>
  </si>
  <si>
    <t>CHOCALAN 1</t>
  </si>
  <si>
    <t>/33,735073/71,205048</t>
  </si>
  <si>
    <t>SOL DE SEPTIEMBRE CASA 569</t>
  </si>
  <si>
    <t>/33,305054/70,863541</t>
  </si>
  <si>
    <t>SIMON BOLIVAR S/N LOTE 10 CASA 2</t>
  </si>
  <si>
    <t>/33,226691/70,804359</t>
  </si>
  <si>
    <t>FONTT N 1042</t>
  </si>
  <si>
    <t>/33,19238/70,67460</t>
  </si>
  <si>
    <t>35 SUR 295 MANZANA Q LOTE 7B</t>
  </si>
  <si>
    <t>/33,13822/70,79700</t>
  </si>
  <si>
    <t>ENRIQUE BUDGE 203</t>
  </si>
  <si>
    <t>/33,471515/71,114408</t>
  </si>
  <si>
    <t>Campamento 25 de noviembre casa 6</t>
  </si>
  <si>
    <t>/33.263382, /70.894728</t>
  </si>
  <si>
    <t>Avda. La paz 474</t>
  </si>
  <si>
    <t>/33.076661, /70.926678</t>
  </si>
  <si>
    <t>Cam. Buin Maipo, Buin, Región Metropolitana, Chile</t>
  </si>
  <si>
    <t>/33.732340, /70.766210</t>
  </si>
  <si>
    <t>Mamiña 2467</t>
  </si>
  <si>
    <t>/33.184644, /70.676300</t>
  </si>
  <si>
    <t>Unión san José lt 14</t>
  </si>
  <si>
    <t>/33.437624, /71.033323</t>
  </si>
  <si>
    <t>Unión San José lote 14D</t>
  </si>
  <si>
    <t>/33.437671, /71.033492</t>
  </si>
  <si>
    <t>Santa Marta lote 34f</t>
  </si>
  <si>
    <t>0.000000, 0.000000</t>
  </si>
  <si>
    <t>Los silos parcela 15 lote F1 sitio 27</t>
  </si>
  <si>
    <t>/33.663545, /70.597235</t>
  </si>
  <si>
    <t>Ricardo latcham 1572</t>
  </si>
  <si>
    <t>/33.290072, /70.879840</t>
  </si>
  <si>
    <t>Nicomedes Guzmán 183</t>
  </si>
  <si>
    <t>/33.290395, /70.879931</t>
  </si>
  <si>
    <t>La Bramadora, Ecuador</t>
  </si>
  <si>
    <t>/33.011813, /70.998909</t>
  </si>
  <si>
    <t>Talagante, Región Metropolitana, Chile</t>
  </si>
  <si>
    <t>/33.649469, /70.889559</t>
  </si>
  <si>
    <t>Campamento sol de septiembre 499</t>
  </si>
  <si>
    <t>/33.305218, /70.862273</t>
  </si>
  <si>
    <t>Santa Marta, Magdalena, Colombia</t>
  </si>
  <si>
    <t>Pasaje Leonora la torre</t>
  </si>
  <si>
    <t>/33.702281, /71.221272</t>
  </si>
  <si>
    <t>Polpaico, Tiltil, Región Metropolitana, Chile</t>
  </si>
  <si>
    <t>/33.170097, /70.887515</t>
  </si>
  <si>
    <t>Maipo, Buin, Región Metropolitana, Chile</t>
  </si>
  <si>
    <t>/33.692936, /71.225797</t>
  </si>
  <si>
    <t>Col 28 DE MARZO, Tegucigalpa, Francisco Morazán, Honduras</t>
  </si>
  <si>
    <t>/33.650922, /70.903530</t>
  </si>
  <si>
    <t>Pedro de Valdivia 3</t>
  </si>
  <si>
    <t>/33.287138, /70.881683</t>
  </si>
  <si>
    <t>Graciela Mistral 365</t>
  </si>
  <si>
    <t>/33.739627, /70.742092</t>
  </si>
  <si>
    <t>San José, Costa Rica</t>
  </si>
  <si>
    <t>/33.673276, /70.894149</t>
  </si>
  <si>
    <t>Calle profesor Luis Hinostroza gatica 145</t>
  </si>
  <si>
    <t>/33.682097, /71.190608</t>
  </si>
  <si>
    <t>Santa emilia s/n lote2</t>
  </si>
  <si>
    <t>/33.466101, /71.102068</t>
  </si>
  <si>
    <t>Anibal Pinto 96, 4070248 Concepción, Bío Bío, Chile</t>
  </si>
  <si>
    <t>/33.679806, /70.985103</t>
  </si>
  <si>
    <t>Anibal Pinto 96a</t>
  </si>
  <si>
    <t>/33.679735, /70.985023</t>
  </si>
  <si>
    <t>Callejón Patico st58</t>
  </si>
  <si>
    <t>/33.495682, /71.077561</t>
  </si>
  <si>
    <t>El rosario casa 30</t>
  </si>
  <si>
    <t>/33.505851, /71.147773</t>
  </si>
  <si>
    <t>Apolo2356</t>
  </si>
  <si>
    <t>/33.608290, /70.881546</t>
  </si>
  <si>
    <t>Av. Vicuña Mackenna 1548</t>
  </si>
  <si>
    <t>/33.610847, /70.875599</t>
  </si>
  <si>
    <t>Los canelos santa Rita de casia 317</t>
  </si>
  <si>
    <t>/33.461845, /71.079681</t>
  </si>
  <si>
    <t>El redil s/cv3</t>
  </si>
  <si>
    <t>/33.477506, /71.126401</t>
  </si>
  <si>
    <t>Autopista del sol 7155 parc 35</t>
  </si>
  <si>
    <t>/33.657030, /71.324010</t>
  </si>
  <si>
    <t>/33.657007, /71.323949</t>
  </si>
  <si>
    <t>/33.656954, /71.324660</t>
  </si>
  <si>
    <t>Santa emilia cv2 parcela 16</t>
  </si>
  <si>
    <t>/33.470656, /71.108497</t>
  </si>
  <si>
    <t>Alameda del principal 14B</t>
  </si>
  <si>
    <t>/33.713968, /70.564481</t>
  </si>
  <si>
    <t>San Henrique s/n cv44</t>
  </si>
  <si>
    <t>/33.469427, /71.115113</t>
  </si>
  <si>
    <t>CAMINO LA BODEGA SITIO 13</t>
  </si>
  <si>
    <t>/33.530094, /70.660773</t>
  </si>
  <si>
    <t>Ibacache Alto Sn sitio 4</t>
  </si>
  <si>
    <t>/33.482739, /71.279317</t>
  </si>
  <si>
    <t>San pedro casa 13</t>
  </si>
  <si>
    <t>/33.914009, /71.442907</t>
  </si>
  <si>
    <t>Ibacache Alto Sn sitio 4 casa 130</t>
  </si>
  <si>
    <t>/33.482516, /71.279081</t>
  </si>
  <si>
    <t>El rosario 16</t>
  </si>
  <si>
    <t>/33.508837, /71.146744</t>
  </si>
  <si>
    <t>CALLEJON EL LLANO S/N</t>
  </si>
  <si>
    <t>/34.053866,/71.233705</t>
  </si>
  <si>
    <t>La cruz 0123</t>
  </si>
  <si>
    <t>/33.573426, /70.822433</t>
  </si>
  <si>
    <t>Av Miraflores 1367</t>
  </si>
  <si>
    <t>/33.599638, /70.865378</t>
  </si>
  <si>
    <t>Linderos altos 4860</t>
  </si>
  <si>
    <t>/33.739978, /70.687838</t>
  </si>
  <si>
    <t>/33.700855, /70.979250</t>
  </si>
  <si>
    <t>Camino quilapilun sitio1punta de peuco</t>
  </si>
  <si>
    <t>VEINTIUNO DE MAYO C/V 18</t>
  </si>
  <si>
    <t>/34.032126,/71.099810</t>
  </si>
  <si>
    <t>Los corrales sitio 12</t>
  </si>
  <si>
    <t>/33.530081, /70.660768</t>
  </si>
  <si>
    <t>LOS CORRALES SITIO 6</t>
  </si>
  <si>
    <t>/33.530105, /70.660748</t>
  </si>
  <si>
    <t>CO VECINAL LOS AROMOS SITIO 8</t>
  </si>
  <si>
    <t>/33.530107, /70.660728</t>
  </si>
  <si>
    <t>Quilapilún, Región Metropolitana, Chile</t>
  </si>
  <si>
    <t>/33.530227, /70.660811</t>
  </si>
  <si>
    <t>LAS VIOLETAS LT 73</t>
  </si>
  <si>
    <t>/33.530066, /70.660722</t>
  </si>
  <si>
    <t>El colorado ST 1</t>
  </si>
  <si>
    <t>/33.074533, /70.715801</t>
  </si>
  <si>
    <t>Guillermo García huidobro 716</t>
  </si>
  <si>
    <t>/33.725127, /70.745727</t>
  </si>
  <si>
    <t>Rio maule 2759 ca 40</t>
  </si>
  <si>
    <t>/33.071277, /70.736125</t>
  </si>
  <si>
    <t>Cam. Uno 25</t>
  </si>
  <si>
    <t>/33.913574, /71.442374</t>
  </si>
  <si>
    <t>/33.530117, /70.660753</t>
  </si>
  <si>
    <t>/33.530120, /70.660743</t>
  </si>
  <si>
    <t>Dirigente Social Soledad Giesen Palacios 665, Penaflor, Peñaflor, Región Metropolitana, Chile</t>
  </si>
  <si>
    <t>/33.530211, /70.660770</t>
  </si>
  <si>
    <t>/33.530178, /70.660738</t>
  </si>
  <si>
    <t>Flor Negrete Labraña, Penaflor, Peñaflor, Región Metropolitana, Chile</t>
  </si>
  <si>
    <t>/33.530184, /70.660744</t>
  </si>
  <si>
    <t>Pasaje seis 3306</t>
  </si>
  <si>
    <t>/33.530177, /70.660751</t>
  </si>
  <si>
    <t>Raquel Olguín Berrios, Penaflor, Peñaflor, Región Metropolitana, Chile</t>
  </si>
  <si>
    <t>/33.530172, /70.660745</t>
  </si>
  <si>
    <t>CONDOMINIO TRINIDAD PARCELA 31</t>
  </si>
  <si>
    <t>/33.530174, /70.660737</t>
  </si>
  <si>
    <t>Ignacio carrera pinto 14441</t>
  </si>
  <si>
    <t>Alameda 136A las encinas</t>
  </si>
  <si>
    <t>/33.716678, /70.564058</t>
  </si>
  <si>
    <t>/33.530289, /70.660822</t>
  </si>
  <si>
    <t>Dresden, Nueva York 14441, EE. UU.</t>
  </si>
  <si>
    <t>/33.530217, /70.660684</t>
  </si>
  <si>
    <t>Av. Libertador Bernardo O'Higgins 136, Santiago, Región Metropolitana, Chile</t>
  </si>
  <si>
    <t>/33.716832, /70.564179</t>
  </si>
  <si>
    <t>CAMINO QUILAPILUN LOTE 2</t>
  </si>
  <si>
    <t>/34.034537,/71.1000095</t>
  </si>
  <si>
    <t>Buin, Región Metropolitana, Chile</t>
  </si>
  <si>
    <t>/33.530262, /70.660803</t>
  </si>
  <si>
    <t>/34.053866,/71.233707</t>
  </si>
  <si>
    <t>/34.028617,/71.089216</t>
  </si>
  <si>
    <t>/34.031341,/71.081125</t>
  </si>
  <si>
    <t>CALLE NUEVA PINTUE S/N</t>
  </si>
  <si>
    <t>/33.873664, /70.889232</t>
  </si>
  <si>
    <t>Francisco campos 130</t>
  </si>
  <si>
    <t>/33.717627, /70.728349</t>
  </si>
  <si>
    <t>Benjamin Molina ramos 1089</t>
  </si>
  <si>
    <t>/33.811980, /70.857274</t>
  </si>
  <si>
    <t>4 ORIENTE 298</t>
  </si>
  <si>
    <t>/33.136694,/70.795739</t>
  </si>
  <si>
    <t>CALLE 4 ORIENTE 308 PARCELA Q LOTE 6F</t>
  </si>
  <si>
    <t>/33.137044,/70.795747</t>
  </si>
  <si>
    <t>5 ORIENTE PARCELA 6P</t>
  </si>
  <si>
    <t>/33.137065,/70.795731</t>
  </si>
  <si>
    <t>Pasaje b 49</t>
  </si>
  <si>
    <t>/33.728635, /70.774591</t>
  </si>
  <si>
    <t>PADRE MATEO 124</t>
  </si>
  <si>
    <t>/33.820893,/70.743277</t>
  </si>
  <si>
    <t>PEDRO AGUIRRE CERDA</t>
  </si>
  <si>
    <t>/33.821733,/70.767984</t>
  </si>
  <si>
    <t>CAMINO LA PRIMAVERA SITIO 8</t>
  </si>
  <si>
    <t>/33.351146,/70.811739</t>
  </si>
  <si>
    <t>LA COPA 5 CASA8</t>
  </si>
  <si>
    <t>/33.247785,/70.724854</t>
  </si>
  <si>
    <t>Camino vecinal dos el recurso sitio39</t>
  </si>
  <si>
    <t>/33.547994, /70.657742</t>
  </si>
  <si>
    <t>EL MONTE NUMERO 0116</t>
  </si>
  <si>
    <t>/33.201650,/70.673344</t>
  </si>
  <si>
    <t>El Recurso, Buin, Región Metropolitana, Chile</t>
  </si>
  <si>
    <t>/33.546164, /70.666290</t>
  </si>
  <si>
    <t>AGUILA SUR 32</t>
  </si>
  <si>
    <t>/33.905937,/70.749510</t>
  </si>
  <si>
    <t>CO LA OBRA 531 C</t>
  </si>
  <si>
    <t>/33.716979,/70.730411</t>
  </si>
  <si>
    <t>Sergio España Flores 90, Buin, Región Metropolitana, Chile</t>
  </si>
  <si>
    <t>/33.723175, /70.738479</t>
  </si>
  <si>
    <t>DIECIOCHO DE SEPTIEMBRE 1225</t>
  </si>
  <si>
    <t>/33.806423,/70.724240</t>
  </si>
  <si>
    <t>VILLA SECA 625</t>
  </si>
  <si>
    <t>/33.743864, /70.746441</t>
  </si>
  <si>
    <t>/34.030929,/71.082678</t>
  </si>
  <si>
    <t>JORGE SANATES 536</t>
  </si>
  <si>
    <t>/34.035259,/71.092248</t>
  </si>
  <si>
    <t>VILLA ALHUE CV3</t>
  </si>
  <si>
    <t>/34.036969,/71.092574</t>
  </si>
  <si>
    <t>EL SAUCE 197</t>
  </si>
  <si>
    <t>/33.883210,/70.726354</t>
  </si>
  <si>
    <t>LA VEGA 17</t>
  </si>
  <si>
    <t>/33.816274,/70.649662</t>
  </si>
  <si>
    <t>CALLE GONZALO BARROSO PARCELA 4</t>
  </si>
  <si>
    <t>/33.253446,/70.883031</t>
  </si>
  <si>
    <t>VILLARRICA 65 BAJOS DE MAIPO II</t>
  </si>
  <si>
    <t>/33.738908, /70.740348</t>
  </si>
  <si>
    <t>Av. Bernardo O'Higgins 11, Quilicura, Región Metropolitana, Chile</t>
  </si>
  <si>
    <t>/33.743234, /70.749664</t>
  </si>
  <si>
    <t>San Sebastián 266</t>
  </si>
  <si>
    <t>/33.739575, /70.740538</t>
  </si>
  <si>
    <t>/34.029570,/71.081486</t>
  </si>
  <si>
    <t>TALAMI SITIO 5</t>
  </si>
  <si>
    <t>/34.046009,/71.000640</t>
  </si>
  <si>
    <t>LA OBRA 23</t>
  </si>
  <si>
    <t>/33.716228,/70.731068</t>
  </si>
  <si>
    <t>/33.716186,/70.731046</t>
  </si>
  <si>
    <t>/33.716228,/70.731069</t>
  </si>
  <si>
    <t>AV. GONZALO BARROSO PARCELA 1 EL LUCERO</t>
  </si>
  <si>
    <t>/33.256211,/70.879790</t>
  </si>
  <si>
    <t>Av. Marathon 5300, Macul, Región Metropolitana, Chile</t>
  </si>
  <si>
    <t>/33.806102, /70.860209</t>
  </si>
  <si>
    <t>LA ESTANCILLA 3769</t>
  </si>
  <si>
    <t>/33.783511, /70.838031</t>
  </si>
  <si>
    <t>Estela Perez Navarro 956</t>
  </si>
  <si>
    <t>/33.825454, /70.749742</t>
  </si>
  <si>
    <t>Juan Antonio Río parcela 70</t>
  </si>
  <si>
    <t>/33.827125, /70.776569</t>
  </si>
  <si>
    <t>LAS COLONIAS DE PAINE 13 PARCELA 59</t>
  </si>
  <si>
    <t>/33.829786, /70.763310</t>
  </si>
  <si>
    <t>EL OLMO 35 POBLACION BAJOS DEL MATE</t>
  </si>
  <si>
    <t>/33.721550, /70.741443</t>
  </si>
  <si>
    <t>PARCELACION PORTALES S/N</t>
  </si>
  <si>
    <t>Cholqui, Melipilla, Región Metropolitana, Chile</t>
  </si>
  <si>
    <t>Camino el arriero pc 41, parcelación aguila sur</t>
  </si>
  <si>
    <t>/33.908617, /70.760894</t>
  </si>
  <si>
    <t>Calle tres sur 0137</t>
  </si>
  <si>
    <t>/33.642340, /70.354065</t>
  </si>
  <si>
    <t>Uno Nte.</t>
  </si>
  <si>
    <t>/33.640207, /70.351314</t>
  </si>
  <si>
    <t>Cam. a Valdivia de Paine 15, Buin, Región Metropolitana, Chile</t>
  </si>
  <si>
    <t>/33.590626, /70.540695</t>
  </si>
  <si>
    <t>Paine, Región Metropolitana, Chile</t>
  </si>
  <si>
    <t>/33.806669, /70.735775</t>
  </si>
  <si>
    <t>Co Valdivia de paine 3450</t>
  </si>
  <si>
    <t>/33.535761, /70.589864</t>
  </si>
  <si>
    <t>Campamento 25 de noviembre casa 96</t>
  </si>
  <si>
    <t>/33.263976, /70.893335</t>
  </si>
  <si>
    <t>Campamento 25 de noviembre casa 61</t>
  </si>
  <si>
    <t>/33.263490, /70.894555</t>
  </si>
  <si>
    <t>Unnamed Road,, Melipilla, Región Metropolitana, Chile</t>
  </si>
  <si>
    <t>Tiltil, Región Metropolitana, Chile</t>
  </si>
  <si>
    <t>/33.173721, /70.888316</t>
  </si>
  <si>
    <t>San José de Maipo, Región Metropolitana, Chile</t>
  </si>
  <si>
    <t>/33.696851, /70.333429</t>
  </si>
  <si>
    <t>Cuatro los claveles 056</t>
  </si>
  <si>
    <t>/33.696756, /70.333140</t>
  </si>
  <si>
    <t>Cuatro los claveles 055</t>
  </si>
  <si>
    <t>José Cánepa 183 isla de maipo</t>
  </si>
  <si>
    <t>/33.500270, /70.621899</t>
  </si>
  <si>
    <t>Dirección camino servidumbre parcela 57 sector G</t>
  </si>
  <si>
    <t>/33.500209, /70.621875</t>
  </si>
  <si>
    <t>Quilapilun alto S/N el arrayan sitio 2</t>
  </si>
  <si>
    <t>/33.500219, /70.621882</t>
  </si>
  <si>
    <t>Colina, Región Metropolitana, Chile</t>
  </si>
  <si>
    <t>/33.500208, /70.621870</t>
  </si>
  <si>
    <t>San Ignacio sitio 33 S/N</t>
  </si>
  <si>
    <t>/33.500264, /70.622017</t>
  </si>
  <si>
    <t>Campamento 25 de noviembre casa 38</t>
  </si>
  <si>
    <t>/33.528274, /70.589012</t>
  </si>
  <si>
    <t>Campamento 25 de noviembre casa 95</t>
  </si>
  <si>
    <t>/33.528250, /70.588679</t>
  </si>
  <si>
    <t>Cam. Padre Hurtado 6783, San Bernardo, Región Metropolitana, Chile</t>
  </si>
  <si>
    <t>/33.675178, /70.670273</t>
  </si>
  <si>
    <t>Cam. Padre Hurtado, Región Metropolitana, Chile</t>
  </si>
  <si>
    <t>/33.703262, /70.675944</t>
  </si>
  <si>
    <t>PASAJE SEIS CERRO HORCON DE PIEDRA 545</t>
  </si>
  <si>
    <t>/33.442070, /70.713163</t>
  </si>
  <si>
    <t>45870 Lillo, Toledo, España</t>
  </si>
  <si>
    <t>29937 Las Tazas, Chis., México</t>
  </si>
  <si>
    <t>/33.820767, /70.857243</t>
  </si>
  <si>
    <t>Peralillo, O'Higgins, Chile</t>
  </si>
  <si>
    <t>/33.820811, /70.857289</t>
  </si>
  <si>
    <t>SANTA ROSA DE CHOCALAN S/N</t>
  </si>
  <si>
    <t>LA ESTANCILLA 3680</t>
  </si>
  <si>
    <t>San Juan de Popeta, Melipilla, Región Metropolitana, Chile</t>
  </si>
  <si>
    <t>Batuco, Lampa, Región Metropolitana, Chile</t>
  </si>
  <si>
    <t>/33.211939, /70.809465</t>
  </si>
  <si>
    <t>/33.211941, /70.809451</t>
  </si>
  <si>
    <t>Fundó SN Gustavo parcela 30</t>
  </si>
  <si>
    <t>/33.133267, /70.866062</t>
  </si>
  <si>
    <t>/33.132800, /70.865168</t>
  </si>
  <si>
    <t>Lampa, Región Metropolitana, Chile</t>
  </si>
  <si>
    <t>/33.187480, /70.803131</t>
  </si>
  <si>
    <t>LA HIGUERA 340</t>
  </si>
  <si>
    <t>/32.967480,/70.837809</t>
  </si>
  <si>
    <t>PASAJE LAS HIGUERAS 340</t>
  </si>
  <si>
    <t>/32.967459,/70.837797</t>
  </si>
  <si>
    <t>DOCE DE FEBRERO 595</t>
  </si>
  <si>
    <t>/33.808661,/70.733875</t>
  </si>
  <si>
    <t>COLON 1385</t>
  </si>
  <si>
    <t>/33.817603,/70.741233</t>
  </si>
  <si>
    <t>MARIA DE LA PAZ 560</t>
  </si>
  <si>
    <t>/33.074887,/70.926886</t>
  </si>
  <si>
    <t>PJE PABLO NERUDA CASA 8</t>
  </si>
  <si>
    <t>GARIBALDI 447</t>
  </si>
  <si>
    <t>/33.230830,/70.810104</t>
  </si>
  <si>
    <t>AVENIDA LA PAZ 560</t>
  </si>
  <si>
    <t>/33.073216,/70.927444</t>
  </si>
  <si>
    <t>PUNTA PEUCO PARCELA 24A</t>
  </si>
  <si>
    <t>/33.117117,/70.841074</t>
  </si>
  <si>
    <t>PASAJE VILLA DE LA ESPERENZA 16</t>
  </si>
  <si>
    <t>/33.087269, /70.921142</t>
  </si>
  <si>
    <t>PJE BALDOMERO LILLO 12</t>
  </si>
  <si>
    <t>Pasaje tres 221</t>
  </si>
  <si>
    <t>/33.730122, /70.772605</t>
  </si>
  <si>
    <t>Las tazas de Peralillo sitio 4</t>
  </si>
  <si>
    <t>/33.824683, /70.859220</t>
  </si>
  <si>
    <t>PASAJE RIO CISNES 48</t>
  </si>
  <si>
    <t>/33.803357,/70.728270</t>
  </si>
  <si>
    <t>Ruiz Tagle, Estación Central, Región Metropolitana, Chile</t>
  </si>
  <si>
    <t>PSJ EL NOGAL 286</t>
  </si>
  <si>
    <t>/33.631855, /70.766978</t>
  </si>
  <si>
    <t>PJE DOMINGO JARA 452</t>
  </si>
  <si>
    <t>/33.290371,/70.881687</t>
  </si>
  <si>
    <t>CAMPINO BETANCOUR PARC 67</t>
  </si>
  <si>
    <t>/33.816494,/70.741564</t>
  </si>
  <si>
    <t>TRES PONIENTE I105</t>
  </si>
  <si>
    <t>/33.610375, /70.819497</t>
  </si>
  <si>
    <t>LOS MAITENES 343</t>
  </si>
  <si>
    <t>/33.803883,/70.735801</t>
  </si>
  <si>
    <t>SAN MARTIN 400</t>
  </si>
  <si>
    <t>/33.305392,/70.857618</t>
  </si>
  <si>
    <t>SAN MIGUEL PC28</t>
  </si>
  <si>
    <t>/33.809143,/70.697938</t>
  </si>
  <si>
    <t>HUMERO ALBORNOZ PRADO 14</t>
  </si>
  <si>
    <t>/33.803339,/70.731583</t>
  </si>
  <si>
    <t>LOS QUILLAYES 70</t>
  </si>
  <si>
    <t>/33.804190,/70.734964</t>
  </si>
  <si>
    <t>Dr. Mc/line 1, 9560033 Calera de Tango, Región Metropolitana, Chile</t>
  </si>
  <si>
    <t>/33.633432, /70.760319</t>
  </si>
  <si>
    <t>CINCO SUR 707</t>
  </si>
  <si>
    <t>/33.681279,/70.996486</t>
  </si>
  <si>
    <t>AV LOS CARRERA 711</t>
  </si>
  <si>
    <t>/33.678184./70.993391</t>
  </si>
  <si>
    <t>CAMINO LONQUEN PARCELA 10 SANTA SOFIA</t>
  </si>
  <si>
    <t>/33.596846, /70.783706</t>
  </si>
  <si>
    <t>EL CASTAÑO SECTOR RANGUE PARC95</t>
  </si>
  <si>
    <t>/33.869357,/70.905217</t>
  </si>
  <si>
    <t>RANGUE 107 PIEDRA DE MOLINO</t>
  </si>
  <si>
    <t>/33.863458,/70.938504</t>
  </si>
  <si>
    <t>DOS LILIUMS 120 NUEVA ESPERANZA</t>
  </si>
  <si>
    <t>/33.619145, /70.812742</t>
  </si>
  <si>
    <t>/33.627009,/70.537331</t>
  </si>
  <si>
    <t>PJE LOS MAITENES 334</t>
  </si>
  <si>
    <t>/33.803949,/70.736066</t>
  </si>
  <si>
    <t>PASAJE QUELENTARO S/N PARC19</t>
  </si>
  <si>
    <t>/33.580699,/70.811555</t>
  </si>
  <si>
    <t>SAN PABLO 1135</t>
  </si>
  <si>
    <t>/33.815214,/70.739145</t>
  </si>
  <si>
    <t>/33.286395,/70.878341</t>
  </si>
  <si>
    <t>LONQUEN SUR 5330</t>
  </si>
  <si>
    <t>/33.669793,/70.843119</t>
  </si>
  <si>
    <t>PJE FRANCISCO COLOANE 47</t>
  </si>
  <si>
    <t>/33.278435,/70.884611</t>
  </si>
  <si>
    <t>SANTA INES SITIO 30</t>
  </si>
  <si>
    <t>/33.629733, /70.802138</t>
  </si>
  <si>
    <t>/33.238802,/70.911017</t>
  </si>
  <si>
    <t>CAMINO INTERIOR S/N PARCELA 4</t>
  </si>
  <si>
    <t>/33.238708,/70.911496</t>
  </si>
  <si>
    <t>SIN CALLE S/N PARC LT1/4</t>
  </si>
  <si>
    <t>/33.855935,/70.836788</t>
  </si>
  <si>
    <t>ACULEO 4</t>
  </si>
  <si>
    <t>/33.855563,/70.837354</t>
  </si>
  <si>
    <t>/33.277037,/70.889675</t>
  </si>
  <si>
    <t>CAMINO LONQUEN NORTE PARCELA 9 PARADERO 8 SITIO 3 CASA 1</t>
  </si>
  <si>
    <t>/33.596162, /70.783025</t>
  </si>
  <si>
    <t>Lonquén Nte., Calera de Tango, Región Metropolitana, Chile</t>
  </si>
  <si>
    <t>/33.595579, /70.782730</t>
  </si>
  <si>
    <t>C. 2 Pte. 101, Libertad, 72130 Heroica Puebla de Zaragoza, Pue., México</t>
  </si>
  <si>
    <t>/33.609966, /70.819550</t>
  </si>
  <si>
    <t>Pasaje dos casa 2</t>
  </si>
  <si>
    <t>/33.627990, /70.771848</t>
  </si>
  <si>
    <t>Pasaje tres poniente 111</t>
  </si>
  <si>
    <t>/33.610242, /70.819941</t>
  </si>
  <si>
    <t>LOS MAGNOLIOS</t>
  </si>
  <si>
    <t>/33.723403,/70.544242</t>
  </si>
  <si>
    <t>/33.650839,/70.569551</t>
  </si>
  <si>
    <t>AV DARIO PAVEZ S/N</t>
  </si>
  <si>
    <t>/33.854636,/70.753883</t>
  </si>
  <si>
    <t>LOS INGLESES 170</t>
  </si>
  <si>
    <t>/33.282294,/70.680887</t>
  </si>
  <si>
    <t>FRANCISCO BILBAO 400</t>
  </si>
  <si>
    <t>/33.602216,/70.875744</t>
  </si>
  <si>
    <t>PASAJE EDUVIGIS OJEDA</t>
  </si>
  <si>
    <t>/33.673548,/71.209202</t>
  </si>
  <si>
    <t>V HERMOSA 567</t>
  </si>
  <si>
    <t>/33.201312,/70.667418</t>
  </si>
  <si>
    <t>Manuel Larraín 765, 9630271 Curacavi, Curacaví, Región Metropolitana, Chile</t>
  </si>
  <si>
    <t>/33.395187, /71.127261</t>
  </si>
  <si>
    <t>LO AGUILA L4</t>
  </si>
  <si>
    <t>/33.413178, /71.132783</t>
  </si>
  <si>
    <t>Cinco norte 1951</t>
  </si>
  <si>
    <t>/33.392345, /71.128989</t>
  </si>
  <si>
    <t>Lago Llanquihue 1369, Quilpué, Valparaíso, Chile</t>
  </si>
  <si>
    <t>/33.686211, /71.028477</t>
  </si>
  <si>
    <t>LOS JILGUEROS 1114</t>
  </si>
  <si>
    <t>/33.570492,/70.798321</t>
  </si>
  <si>
    <t>KM 8 PARCELA 43</t>
  </si>
  <si>
    <t>/33.698843, /70.587536</t>
  </si>
  <si>
    <t>LOS NOGALES PARCELA 9</t>
  </si>
  <si>
    <t>/33.640479, /70.591150</t>
  </si>
  <si>
    <t>LA RAMONA SITIO 51</t>
  </si>
  <si>
    <t>/33.900355,/70.665684</t>
  </si>
  <si>
    <t>TRICOLOR DE PAINE 425</t>
  </si>
  <si>
    <t>/33.802647,/70.739221</t>
  </si>
  <si>
    <t>EXEQUIEL MORAGA 0441</t>
  </si>
  <si>
    <t>/33.209190,/70.674293</t>
  </si>
  <si>
    <t>BALMACEDA LOTE 32</t>
  </si>
  <si>
    <t>/33.834736,/70.757601</t>
  </si>
  <si>
    <t>CAMPAMENTO 25 DE NOVIEMBRE CASA 59</t>
  </si>
  <si>
    <t>/33.261261,/70.914651</t>
  </si>
  <si>
    <t>/33.678198,/70.993429</t>
  </si>
  <si>
    <t>SAN ANTONIO 135</t>
  </si>
  <si>
    <t>/33.691876,/71.028811</t>
  </si>
  <si>
    <t>Gacitúa, Chillán, Chillán Viejo, Ñuble, Chile</t>
  </si>
  <si>
    <t>/33.728913, /70.913822</t>
  </si>
  <si>
    <t>Santa Cruz de la Sierra, Bolivia</t>
  </si>
  <si>
    <t>/33.748945, /70.899391</t>
  </si>
  <si>
    <t>SERVIDRUMBRE S/N</t>
  </si>
  <si>
    <t>/33.243513,/70.806623</t>
  </si>
  <si>
    <t>/33.235876,/70.806357</t>
  </si>
  <si>
    <t>CAMINO SERVIDRUMBRE S/N</t>
  </si>
  <si>
    <t>33.243570,/70.806557</t>
  </si>
  <si>
    <t>AV SANTELICES 729</t>
  </si>
  <si>
    <t>/33.7535245,/70.9062608,17</t>
  </si>
  <si>
    <t>Liray S/N manzana 10</t>
  </si>
  <si>
    <t>/33.247853, /70.742256</t>
  </si>
  <si>
    <t>Veinticuatro de abril s.88 M/279</t>
  </si>
  <si>
    <t>/33.801037, /70.683171</t>
  </si>
  <si>
    <t>Las acacias 229</t>
  </si>
  <si>
    <t>/33.760286, /70.733884</t>
  </si>
  <si>
    <t>Maria Guerrero 490 aires del maipo</t>
  </si>
  <si>
    <t>/33.747585, /70.859191</t>
  </si>
  <si>
    <t>Gonzalo barros l/b v/28</t>
  </si>
  <si>
    <t>/33.261261, /70.893103</t>
  </si>
  <si>
    <t>Camino interior miraflores de lipangue 20h</t>
  </si>
  <si>
    <t>/33.297297, /70.857704</t>
  </si>
  <si>
    <t>Pa Cartagena 1327C.H Americalll/4</t>
  </si>
  <si>
    <t>/33.817058, /70.739627</t>
  </si>
  <si>
    <t>Humberto Albornoz prado 54 JC Miranda l</t>
  </si>
  <si>
    <t>/33.804002, /70.731467</t>
  </si>
  <si>
    <t>Blanca leyton peralta 504</t>
  </si>
  <si>
    <t>/33.806480, /70.732439</t>
  </si>
  <si>
    <t>Lo Aguila 11 D</t>
  </si>
  <si>
    <t>/33.419236, /71.148246</t>
  </si>
  <si>
    <t>Las acacias 18</t>
  </si>
  <si>
    <t>/33.239739, /70.735241</t>
  </si>
  <si>
    <t>Santa Carolina s/n manzana 24 casa 4</t>
  </si>
  <si>
    <t>/33.220998, /70.783360</t>
  </si>
  <si>
    <t>Cmpamento 25 nov casa 62</t>
  </si>
  <si>
    <t>/33.263478, /70.894543</t>
  </si>
  <si>
    <t>Pje. Padre Javier 29, Alto Jahuel, Buin, Región Metropolitana, Chile</t>
  </si>
  <si>
    <t>/33.736316, /70.682426</t>
  </si>
  <si>
    <t>Campamento 25 de noviembre casa 57 a</t>
  </si>
  <si>
    <t>/33.261261, /70.914651</t>
  </si>
  <si>
    <t>Camp Hurtado743 alto jahuel</t>
  </si>
  <si>
    <t>/33.744284, /70.678196</t>
  </si>
  <si>
    <t>El altiplano 914</t>
  </si>
  <si>
    <t>/33.748023, /70.899348</t>
  </si>
  <si>
    <t>los laureles 10</t>
  </si>
  <si>
    <t>/33.282209, /70.864308</t>
  </si>
  <si>
    <t>PA calbuco 785</t>
  </si>
  <si>
    <t>/33.628459, /70.537751</t>
  </si>
  <si>
    <t>Calle la romana sitio61</t>
  </si>
  <si>
    <t>/33.902586, /70.654329</t>
  </si>
  <si>
    <t>Calbuco, Los Lagos, Chile</t>
  </si>
  <si>
    <t>/33.628459, /70.537752</t>
  </si>
  <si>
    <t>Campamento 25 de noviembre casa 25</t>
  </si>
  <si>
    <t>Ignacio serrano 1276</t>
  </si>
  <si>
    <t>/33.279279, /70.886179</t>
  </si>
  <si>
    <t>Los quillayes 41b</t>
  </si>
  <si>
    <t>/33.678517, /70.612139</t>
  </si>
  <si>
    <t>/33.678589, /70.612002</t>
  </si>
  <si>
    <t>Calle 3 manzana E número 091</t>
  </si>
  <si>
    <t>/33.630215, /70.774179</t>
  </si>
  <si>
    <t>Bolivia 354 América ll sector2</t>
  </si>
  <si>
    <t>/33.820663, /70.739149</t>
  </si>
  <si>
    <t>Reserva Camino de Las Flores, José Ingenieros, RP16 &amp;, Longchamps, Provincia de Buenos Aires, Argentina</t>
  </si>
  <si>
    <t>Francia 177</t>
  </si>
  <si>
    <t>/33.235791, /70.806489</t>
  </si>
  <si>
    <t>S/n calle s/n viluco parcela las delicias 2855</t>
  </si>
  <si>
    <t>/33.800775, /70.768552</t>
  </si>
  <si>
    <t>Los álamos 921 parcelacion la trilla</t>
  </si>
  <si>
    <t>/33.797395, /70.728311</t>
  </si>
  <si>
    <t>Co las Rosas PC/42 colonia kenedi LT AB</t>
  </si>
  <si>
    <t>/33.855564, /70.734952</t>
  </si>
  <si>
    <t>Camino al volcán 26100</t>
  </si>
  <si>
    <t>/33.690160, /70.335676</t>
  </si>
  <si>
    <t>Los corrales 94/A</t>
  </si>
  <si>
    <t>/33.729276, /70.554504</t>
  </si>
  <si>
    <t>/33.729274, /70.554503</t>
  </si>
  <si>
    <t>Los Maitenes 583, La Reina, Región Metropolitana, Chile</t>
  </si>
  <si>
    <t>/33.734334, /70.864943</t>
  </si>
  <si>
    <t>Hugo Corvalán izquierdo 340</t>
  </si>
  <si>
    <t>/33.745482, /70.869382</t>
  </si>
  <si>
    <t>Campamento 25 nov casa 63</t>
  </si>
  <si>
    <t>/33.263265, /70.894755</t>
  </si>
  <si>
    <t>Parcela los mantener sitio 3</t>
  </si>
  <si>
    <t>/33.832694, /70.648321</t>
  </si>
  <si>
    <t>Camoamento 25 nov casa 63</t>
  </si>
  <si>
    <t>/33.263475, /70.894571</t>
  </si>
  <si>
    <t>Los almendros 3346</t>
  </si>
  <si>
    <t>anastasio araya 38</t>
  </si>
  <si>
    <t>/33.255186, /70.879269</t>
  </si>
  <si>
    <t>/33.239686, /70.735459</t>
  </si>
  <si>
    <t>Unnamed Road, Santander de Quilichao, Cauca, Colombia</t>
  </si>
  <si>
    <t>/33.628715, /70.538140</t>
  </si>
  <si>
    <t>CERRO SAN JUAN 1020 PARCELACION EL PRINCIPAL</t>
  </si>
  <si>
    <t>/33.727266, /70.551974</t>
  </si>
  <si>
    <t>Parcelacion el carmen 9</t>
  </si>
  <si>
    <t>/33.628710, /70.538146</t>
  </si>
  <si>
    <t>CerroSan Juan2020 ParcelacionEl principal</t>
  </si>
  <si>
    <t>/33.727271, /70.551973</t>
  </si>
  <si>
    <t>CO Los sauces</t>
  </si>
  <si>
    <t>/33.659557, /70.598069</t>
  </si>
  <si>
    <t>Las Majadas</t>
  </si>
  <si>
    <t>/33.625871, /70.539285</t>
  </si>
  <si>
    <t>Campamento sol de septiembre C/330</t>
  </si>
  <si>
    <t>/33.302451, /70.858087</t>
  </si>
  <si>
    <t>LO MARTINEZ 1080 LOTE 23</t>
  </si>
  <si>
    <t>/33.745310, /70.914991</t>
  </si>
  <si>
    <t>El tránsito 218</t>
  </si>
  <si>
    <t>Errazuriz 125</t>
  </si>
  <si>
    <t>/33.234231, /70.812827</t>
  </si>
  <si>
    <t>La Alameda de principal 124B sep 152 Alameda8</t>
  </si>
  <si>
    <t>/33.718680, /70.555122</t>
  </si>
  <si>
    <t>Las Mercedes camino 1 84l sn</t>
  </si>
  <si>
    <t>/33.243243, /70.813855</t>
  </si>
  <si>
    <t>CALLE UNO 5035</t>
  </si>
  <si>
    <t>/33.744475, /70.902463</t>
  </si>
  <si>
    <t>CAMINO LAS FLORES</t>
  </si>
  <si>
    <t>/33.330207,/70.748111</t>
  </si>
  <si>
    <t>/33.793165,/71.263812</t>
  </si>
  <si>
    <t>BIEN COMUN 137</t>
  </si>
  <si>
    <t>/33.754278, /70.908250</t>
  </si>
  <si>
    <t>/33.528289, /70.588720</t>
  </si>
  <si>
    <t>JOSE CANEPA 177</t>
  </si>
  <si>
    <t>/33.748655, /70.863981</t>
  </si>
  <si>
    <t>UNO SUR HUERTOS FAMILIARES</t>
  </si>
  <si>
    <t>/33.129251,/70.800234</t>
  </si>
  <si>
    <t>VIÑA MONTAÑA 12 SEP 1559</t>
  </si>
  <si>
    <t>/33.625029,/70.535266</t>
  </si>
  <si>
    <t>CAMINO INTERIOR L/114 B FUNO LOS CERRILLOS S/N</t>
  </si>
  <si>
    <t>/33.287400,/70.799993</t>
  </si>
  <si>
    <t>VICTOR MOTA 383</t>
  </si>
  <si>
    <t>/33.084378,/70.922699</t>
  </si>
  <si>
    <t>LOS OLIVOS CNO RUNGU S/N</t>
  </si>
  <si>
    <t>/33.081782,/70.928021</t>
  </si>
  <si>
    <t>Villa O'higgins, O'Higgins, Aysén, Chile</t>
  </si>
  <si>
    <t>/33.749140, /70.894472</t>
  </si>
  <si>
    <t>Teresa Freire 179, 9800218 La Islita, Isla de Maipo, Región Metropolitana, Chile</t>
  </si>
  <si>
    <t>/33.426410, /70.738374</t>
  </si>
  <si>
    <t>Fundo santa Inés lote 202 colina</t>
  </si>
  <si>
    <t>/33.262309, /70.735162</t>
  </si>
  <si>
    <t>SANTELICES 1549</t>
  </si>
  <si>
    <t>/33.750852, /70.911051</t>
  </si>
  <si>
    <t>Pje. Madermo Rodríguez 66, Buin, Región Metropolitana, Chile</t>
  </si>
  <si>
    <t>/33.744366, /70.680436</t>
  </si>
  <si>
    <t>Fundo STA. Inés lote 202, Colina</t>
  </si>
  <si>
    <t>/33.358582, /70.707922</t>
  </si>
  <si>
    <t>Juan de Dios Marticorena, Lampa, Región Metropolitana, Chile</t>
  </si>
  <si>
    <t>/33.268209, /70.883312</t>
  </si>
  <si>
    <t>Lautario 125</t>
  </si>
  <si>
    <t>/33.805661, /70.859102</t>
  </si>
  <si>
    <t>Av. Santelices 1549, 9790258 Isla de Maipo, Región Metropolitana, Chile</t>
  </si>
  <si>
    <t>/33.750913, /70.911047</t>
  </si>
  <si>
    <t>El cáñamo sin hto 97 hospital</t>
  </si>
  <si>
    <t>/33.864061, /70.749308</t>
  </si>
  <si>
    <t>Cerro la ventana 0145</t>
  </si>
  <si>
    <t>/33.784300, /70.236005</t>
  </si>
  <si>
    <t>Co.san José km.35 ruta 78</t>
  </si>
  <si>
    <t>/33.671536, /70.894396</t>
  </si>
  <si>
    <t>Los vagones 0175</t>
  </si>
  <si>
    <t>/33.634617, /70.353446</t>
  </si>
  <si>
    <t>Condo.el parrón parcela c</t>
  </si>
  <si>
    <t>/33.635015, /70.839772</t>
  </si>
  <si>
    <t>PA ESTERO GACITUA 233</t>
  </si>
  <si>
    <t>/33.412047, /70.678411</t>
  </si>
  <si>
    <t>Río Clarillo, Pirque, Región Metropolitana, Chile</t>
  </si>
  <si>
    <t>/33.707423, /70.550358</t>
  </si>
  <si>
    <t>Cmo. Orilla del Río 162, Santiago, Pirque, Región Metropolitana, Chile</t>
  </si>
  <si>
    <t>/33.707356, /70.540969</t>
  </si>
  <si>
    <t>Camino interior bien s/n sit 7</t>
  </si>
  <si>
    <t>/33.307970, /70.856452</t>
  </si>
  <si>
    <t>El valle sn parcela 4 lote 4/f</t>
  </si>
  <si>
    <t>/33.237790, /70.916699</t>
  </si>
  <si>
    <t>Irene freí s/n</t>
  </si>
  <si>
    <t>/33.307930, /70.856506</t>
  </si>
  <si>
    <t>Cerro el paraguas 2350</t>
  </si>
  <si>
    <t>/33.294967, /70.874670</t>
  </si>
  <si>
    <t>Camino interior parc 8</t>
  </si>
  <si>
    <t>/33.273092, /70.852087</t>
  </si>
  <si>
    <t>/33.278857, /70.851762</t>
  </si>
  <si>
    <t>Camino interior bce S/N sit 7</t>
  </si>
  <si>
    <t>/33.494192, /70.668862</t>
  </si>
  <si>
    <t>Agila sur lot 4</t>
  </si>
  <si>
    <t>/33.494185, /70.668854</t>
  </si>
  <si>
    <t>Santamartaculitrin S/N</t>
  </si>
  <si>
    <t>Co el recurso 2561</t>
  </si>
  <si>
    <t>/33.690230, /70.700715</t>
  </si>
  <si>
    <t>Coquimbito 147 Tiltil, Región Metropolitana, Chile</t>
  </si>
  <si>
    <t>/33.147152, /70.795174</t>
  </si>
  <si>
    <t>Cam. Interior, Batuco, Lampa, Región Metropolitana, Chile</t>
  </si>
  <si>
    <t>/33.400012, /71.698432</t>
  </si>
  <si>
    <t>LOS LINGUES 17</t>
  </si>
  <si>
    <t>/33.124200, /70.799800</t>
  </si>
  <si>
    <t>Campamento sol de septiembre td 86845 c671</t>
  </si>
  <si>
    <t>/33.307972, /70.862690</t>
  </si>
  <si>
    <t>Av. Viluco 9351, Buin, Región Metropolitana, Chile</t>
  </si>
  <si>
    <t>/33.753163, /70.814875</t>
  </si>
  <si>
    <t>AVENIDA DEL VILLAR 237</t>
  </si>
  <si>
    <t>/33.807973, /70.730992</t>
  </si>
  <si>
    <t>SAN SEBASTIAN 625 VILLA PAININOS</t>
  </si>
  <si>
    <t>/33.808672, /70.732871</t>
  </si>
  <si>
    <t>TOMAS GONZÁLEZ 481</t>
  </si>
  <si>
    <t>/33.286155, /70.885103</t>
  </si>
  <si>
    <t>LOS MONTES 415</t>
  </si>
  <si>
    <t>/33.164066, /70.788338</t>
  </si>
  <si>
    <t>Villa alegre parcela 11</t>
  </si>
  <si>
    <t>/33.620513, /71.248597</t>
  </si>
  <si>
    <t>/33.330213,/70.748135</t>
  </si>
  <si>
    <t>Las Flores, Lampa, Región Metropolitana, Chile</t>
  </si>
  <si>
    <t>/33.330151, /70.748159</t>
  </si>
  <si>
    <t>Las acacias 4604 melipilla</t>
  </si>
  <si>
    <t>Cam. Las Flores, Lampa, Región Metropolitana, Chile</t>
  </si>
  <si>
    <t>/33.330214, /70.748140</t>
  </si>
  <si>
    <t>Culipran, Melipilla, Región Metropolitana, Chile</t>
  </si>
  <si>
    <t>/33.797189, /71.207362</t>
  </si>
  <si>
    <t>La ensenada 51 aguila sur</t>
  </si>
  <si>
    <t>/33.888684, /70.744167</t>
  </si>
  <si>
    <t>Rosario Vial parc 42</t>
  </si>
  <si>
    <t>/33.494170, /70.668844</t>
  </si>
  <si>
    <t>Los magnolios son lote 23 el principal</t>
  </si>
  <si>
    <t>/33.720886, /70.540641</t>
  </si>
  <si>
    <t>Camino interior S/N hij 22</t>
  </si>
  <si>
    <t>/33.307803, /70.856519</t>
  </si>
  <si>
    <t>Campamento sol de septiembre</t>
  </si>
  <si>
    <t>/33.308786, /70.864019</t>
  </si>
  <si>
    <t>CAMINO LAS FLORES 2744</t>
  </si>
  <si>
    <t>/33.329973, /70.747832</t>
  </si>
  <si>
    <t>Av. del Cerro, 31, 28224 Pozuelo de Alarcón, Madrid, España</t>
  </si>
  <si>
    <t>/33.554033, /70.668677</t>
  </si>
  <si>
    <t>Pintor camilo mori 0188</t>
  </si>
  <si>
    <t>/33.657739, /70.915142</t>
  </si>
  <si>
    <t>/33.329975, /70.747825</t>
  </si>
  <si>
    <t>Anselmo Alarcon 1256</t>
  </si>
  <si>
    <t>/33.571413, /71.193173</t>
  </si>
  <si>
    <t>Sec. Pallocable s/n</t>
  </si>
  <si>
    <t>/33.571410, /71.193177</t>
  </si>
  <si>
    <t>PAINE, UNION NORTE PARC 35/1A</t>
  </si>
  <si>
    <t>/33.843440, /70.741088</t>
  </si>
  <si>
    <t>Cam. Las Flores 2696, 9391115 Valle Grande, Lampa, Región Metropolitana, Chile</t>
  </si>
  <si>
    <t>/33.329887, /70.747341</t>
  </si>
  <si>
    <t>/33.330044, /70.747813</t>
  </si>
  <si>
    <t>Codigua, Melipilla, Región Metropolitana, Chile</t>
  </si>
  <si>
    <t>/33.429347, /70.686705</t>
  </si>
  <si>
    <t>Psj las amapolas oriente</t>
  </si>
  <si>
    <t>/33.325671, /70.745282</t>
  </si>
  <si>
    <t>Francia</t>
  </si>
  <si>
    <t>/33.225660, /70.808164</t>
  </si>
  <si>
    <t>Cam. Al Volcán 29239, San José de Maipo, Región Metropolitana, Chile</t>
  </si>
  <si>
    <t>/33.720861, /70.329209</t>
  </si>
  <si>
    <t>San Luis Sur 26, Centro, 63000 Tepic, Nay., México</t>
  </si>
  <si>
    <t>/33.211124, /70.667834</t>
  </si>
  <si>
    <t>/33.720710, /70.329138</t>
  </si>
  <si>
    <t>/33.211125, /70.667828</t>
  </si>
  <si>
    <t>San Luis S/26 BC</t>
  </si>
  <si>
    <t>/33.211123, /70.667828</t>
  </si>
  <si>
    <t>EL MAITEN 689</t>
  </si>
  <si>
    <t>Guillermo Barros 673, Pomaire, Melipilla, Región Metropolitana, Chile</t>
  </si>
  <si>
    <t>CNO. Interior parcela 7 condominio lo echevers</t>
  </si>
  <si>
    <t>/33.443296, /70.708627</t>
  </si>
  <si>
    <t>Fundó Abrante sitio 5</t>
  </si>
  <si>
    <t>/33.865916, /70.841702</t>
  </si>
  <si>
    <t>La alborada sitio 17 B</t>
  </si>
  <si>
    <t>/33.773602, /70.825585</t>
  </si>
  <si>
    <t>Manuel plaza 433</t>
  </si>
  <si>
    <t>Valparaíso, Chile</t>
  </si>
  <si>
    <t>Los Copihues, Villarrica, Araucanía, Chile</t>
  </si>
  <si>
    <t>Camino Santa Luisa sitio 2</t>
  </si>
  <si>
    <t>/33.773627, /70.825568</t>
  </si>
  <si>
    <t>Condominio la estancilla 4150</t>
  </si>
  <si>
    <t>/33.786321, /70.836443</t>
  </si>
  <si>
    <t>Av Miguel letelier parcela 4 sitio 2, paine</t>
  </si>
  <si>
    <t>/33.866580, /70.866048</t>
  </si>
  <si>
    <t>Parcela 3 los jelves</t>
  </si>
  <si>
    <t>/33.786330, /70.836431</t>
  </si>
  <si>
    <t>Las Maravillas Ote. 2577, 9380627 Lampa, Región Metropolitana, Chile</t>
  </si>
  <si>
    <t>LA ESTANCILLA 2775</t>
  </si>
  <si>
    <t>Pje. Isla Nueva 328, Paine, Región Metropolitana, Chile</t>
  </si>
  <si>
    <t>Carlos Rojas Villalon 298, Penaflor, Peñaflor, Región Metropolitana, Chile</t>
  </si>
  <si>
    <t>/33.613335, /70.877173</t>
  </si>
  <si>
    <t>Av Diego portales sur 29 A</t>
  </si>
  <si>
    <t>/33.875344, /70.741896</t>
  </si>
  <si>
    <t>El porvenir sitio 40</t>
  </si>
  <si>
    <t>/33.874428, /70.744306</t>
  </si>
  <si>
    <t>San Ignacio casa 3 paradero 11 y medio</t>
  </si>
  <si>
    <t>/33.606106, /70.791399</t>
  </si>
  <si>
    <t>SAN CARLOS DE CHOLQUI S/N CHOLQU</t>
  </si>
  <si>
    <t>Errazuriz 943, Pabellón, Melipilla, Región Metropolitana, Chile</t>
  </si>
  <si>
    <t>Galvarino 54, 9510489 Maipo, Buin, Región Metropolitana, Chile</t>
  </si>
  <si>
    <t>/33.805666, /70.856570</t>
  </si>
  <si>
    <t>Los nogales D55B</t>
  </si>
  <si>
    <t>/33.206263, /70.810823</t>
  </si>
  <si>
    <t>Ignacio Carrera Pinto, Llay Llay, Llaillay, Valparaíso, Chile</t>
  </si>
  <si>
    <t>/33.285624, /70.867919</t>
  </si>
  <si>
    <t>Malloquito 1766 villa san juan</t>
  </si>
  <si>
    <t>/33.604636, /70.872460</t>
  </si>
  <si>
    <t>Los laureles 225</t>
  </si>
  <si>
    <t>/33.283155, /70.866856</t>
  </si>
  <si>
    <t>Rio Aconcagua 23</t>
  </si>
  <si>
    <t>/33.089310, /70.930046</t>
  </si>
  <si>
    <t>Balmaceda 550 balloco</t>
  </si>
  <si>
    <t>/33.607087, /70.854619</t>
  </si>
  <si>
    <t>Arroyo 524</t>
  </si>
  <si>
    <t>/33.324928, /70.767180</t>
  </si>
  <si>
    <t>Doce 207</t>
  </si>
  <si>
    <t>/33.454665, /70.627029</t>
  </si>
  <si>
    <t>San Vicente parcela 13 b</t>
  </si>
  <si>
    <t>/33.686791, /70.615706</t>
  </si>
  <si>
    <t>Psje los claveles n#13</t>
  </si>
  <si>
    <t>/33.590996, /70.811231</t>
  </si>
  <si>
    <t>Simón bolivar 476</t>
  </si>
  <si>
    <t>/33.227630, /70.810618</t>
  </si>
  <si>
    <t>4 sur 120</t>
  </si>
  <si>
    <t>/33.144247, /70.797886</t>
  </si>
  <si>
    <t>Camino servidumbre lote 10 manzana 11</t>
  </si>
  <si>
    <t>/33.226612, /70.804356</t>
  </si>
  <si>
    <t>Orilla de río 161 sitio 2b</t>
  </si>
  <si>
    <t>/33.704874, /70.541099</t>
  </si>
  <si>
    <t>Las petunias 155</t>
  </si>
  <si>
    <t>/33.173679, /70.889222</t>
  </si>
  <si>
    <t>Los holandeses 705</t>
  </si>
  <si>
    <t>/33.686895, /71.228685</t>
  </si>
  <si>
    <t>Escritor nicomendez Guzmán 187</t>
  </si>
  <si>
    <t>/33.290380, /70.880067</t>
  </si>
  <si>
    <t>Víctor Troncoso Muñoz 1080</t>
  </si>
  <si>
    <t>/33.729372, /70.724719</t>
  </si>
  <si>
    <t>Av. 18 de Septiembre 1002, Paine, Región Metropolitana, Chile</t>
  </si>
  <si>
    <t>/33.807497, /70.728909</t>
  </si>
  <si>
    <t>Orilla del rio 161/2</t>
  </si>
  <si>
    <t>/33.704925, /70.541320</t>
  </si>
  <si>
    <t>El monte 0156</t>
  </si>
  <si>
    <t>/33.201340, /70.672502</t>
  </si>
  <si>
    <t>Fidela Inostroza Prado 808, Buin, Región Metropolitana, Chile</t>
  </si>
  <si>
    <t>/33.741349, /70.748937</t>
  </si>
  <si>
    <t>Rio Bio Bio, Rengo, O'Higgins, Chile</t>
  </si>
  <si>
    <t>/33.088549, /70.931105</t>
  </si>
  <si>
    <t>Francisco Javier Krugger 560, 9500887 Linderos, Buin, Región Metropolitana, Chile</t>
  </si>
  <si>
    <t>/33.769578, /70.736512</t>
  </si>
  <si>
    <t>Dos Sur 80, Batuco, Lampa, Región Metropolitana, Chile</t>
  </si>
  <si>
    <t>Parque Cantillana, Paine, Región Metropolitana, Chile</t>
  </si>
  <si>
    <t>Cam. Casas Viejas 10, Chicureo, Colina, Región Metropolitana, Chile</t>
  </si>
  <si>
    <t>/33.244347, /70.686709</t>
  </si>
  <si>
    <t>/33.628710, /70.537928</t>
  </si>
  <si>
    <t>campamento 25 de noviembre casa 51</t>
  </si>
  <si>
    <t>/33.263785, /70.893997</t>
  </si>
  <si>
    <t>Pje colliguay norte 498</t>
  </si>
  <si>
    <t>/33.297297, /70.879260</t>
  </si>
  <si>
    <t>san francisco parcela 15</t>
  </si>
  <si>
    <t>/33.036555, /70.711131</t>
  </si>
  <si>
    <t>Sam Francisco parcela 15</t>
  </si>
  <si>
    <t>/33.036527, /70.711113</t>
  </si>
  <si>
    <t>Manauss 225 Pob NACIMIENTO</t>
  </si>
  <si>
    <t>/33.815857, /70.740448</t>
  </si>
  <si>
    <t>Cam. El Aguila, Hualqui, Bío Bío, Chile</t>
  </si>
  <si>
    <t>/33.907456, /70.742248</t>
  </si>
  <si>
    <t>Las Compuertas 0368</t>
  </si>
  <si>
    <t>MANAUSS 225 POB NACIMIENTO</t>
  </si>
  <si>
    <t>/33.815856, /70.740451</t>
  </si>
  <si>
    <t>La Ensenada, Atlántida, Honduras</t>
  </si>
  <si>
    <t>/33.914459, /70.754971</t>
  </si>
  <si>
    <t>C. San Juan de Dios, Arequipa 04001, Perú</t>
  </si>
  <si>
    <t>/33.803744, /70.716314</t>
  </si>
  <si>
    <t>Cl el tránsito 219</t>
  </si>
  <si>
    <t>Camino interior santa carolina p 28</t>
  </si>
  <si>
    <t>/33.418657, /70.749961</t>
  </si>
  <si>
    <t>Chile 484, 9390065 Batuco, Lampa, Región Metropolitana, Chile</t>
  </si>
  <si>
    <t>/33.225353, /70.810190</t>
  </si>
  <si>
    <t>Cuyuncaví, Curacavi, Curacaví, Región Metropolitana, Chile</t>
  </si>
  <si>
    <t>/33.380421, /71.100841</t>
  </si>
  <si>
    <t>Los Boldos 132, Batuco, Lampa, Región Metropolitana, Chile</t>
  </si>
  <si>
    <t>/33.245670, /70.819615</t>
  </si>
  <si>
    <t>Santa Teresa 1</t>
  </si>
  <si>
    <t>/33.836183, /70.642998</t>
  </si>
  <si>
    <t>/33.803655, /70.716477</t>
  </si>
  <si>
    <t>CO INTERIOR DE PARCELACION S/N PC34</t>
  </si>
  <si>
    <t>/33.642859, /70.765732</t>
  </si>
  <si>
    <t>Garibaldi s/n hij 2 par 46</t>
  </si>
  <si>
    <t>/33.229925, /70.805683</t>
  </si>
  <si>
    <t>El Tránsito, Nicaragua</t>
  </si>
  <si>
    <t>La Română 2, Chada, Paine, Región Metropolitana, Chile</t>
  </si>
  <si>
    <t>/33.902720, /70.659397</t>
  </si>
  <si>
    <t>ecuador s/n parcela 67</t>
  </si>
  <si>
    <t>/33.226819, /70.806715</t>
  </si>
  <si>
    <t>Avenida España 2316</t>
  </si>
  <si>
    <t>/33.237869, /70.809144</t>
  </si>
  <si>
    <t>Cuatro los claveles 145</t>
  </si>
  <si>
    <t>/33.620270, /70.812994</t>
  </si>
  <si>
    <t>/33.235588, /70.806563</t>
  </si>
  <si>
    <t>Paine sin calle s/N parc9 culitrin</t>
  </si>
  <si>
    <t>/33.874658, /70.676059</t>
  </si>
  <si>
    <t>Sol de Septiembre, Rancagua, O'Higgins, Chile</t>
  </si>
  <si>
    <t>/33.307589, /70.852348</t>
  </si>
  <si>
    <t>Sol de septiembre 171</t>
  </si>
  <si>
    <t>/33.307632, /70.852337</t>
  </si>
  <si>
    <t>/33.307631, /70.852336</t>
  </si>
  <si>
    <t>El transito 200</t>
  </si>
  <si>
    <t>Francia 207 casa 2</t>
  </si>
  <si>
    <t>/33.235421, /70.806198</t>
  </si>
  <si>
    <t>SECTOR SANTA CLARA DE MALLARAUCO</t>
  </si>
  <si>
    <t>/33.580671, /71.082520</t>
  </si>
  <si>
    <t>/33.782516, /71.085793</t>
  </si>
  <si>
    <t>Riquelme 554, 9580808 Melipilla, Región Metropolitana, Chile</t>
  </si>
  <si>
    <t>/33.782156, /71.052562</t>
  </si>
  <si>
    <t>Villaseca, Buin, Región Metropolitana, Chile</t>
  </si>
  <si>
    <t>/33.743703, /70.740387</t>
  </si>
  <si>
    <t>/33.168014, /70.888670</t>
  </si>
  <si>
    <t>PASAJE COIRON 3849</t>
  </si>
  <si>
    <t>/33.580277, /70.828698</t>
  </si>
  <si>
    <t>/33.168309, /70.888677</t>
  </si>
  <si>
    <t>/33.173336, /70.890520</t>
  </si>
  <si>
    <t>Águila sur parcela 12</t>
  </si>
  <si>
    <t>/33.888154, /70.748052</t>
  </si>
  <si>
    <t>Sta cecilia pasaje interior 191</t>
  </si>
  <si>
    <t>/33.261153, /70.700857</t>
  </si>
  <si>
    <t>SANTA GABRIELA LOTE 5</t>
  </si>
  <si>
    <t>/33.621907, /70.757241</t>
  </si>
  <si>
    <t>AV. LA PAZ 057</t>
  </si>
  <si>
    <t>/33.079626, /70.927096</t>
  </si>
  <si>
    <t>Joaquín undurraga parcela 28 sitio 2</t>
  </si>
  <si>
    <t>/33.262425, /70.891473</t>
  </si>
  <si>
    <t>Pasaje diez 153</t>
  </si>
  <si>
    <t>/33.631082, /70.775186</t>
  </si>
  <si>
    <t>SECTOR SAN ANDRES DE CHINIGUE PARCELA 9A</t>
  </si>
  <si>
    <t>/33.455241, /70.739764</t>
  </si>
  <si>
    <t>Bajos de San Agustín lote C</t>
  </si>
  <si>
    <t>/33.628635, /70.772149</t>
  </si>
  <si>
    <t>Bajos de San Agustín Lote c</t>
  </si>
  <si>
    <t>/33.628836, /70.772230</t>
  </si>
  <si>
    <t>Joaquín undurruga parcela 28 b vivienda 3</t>
  </si>
  <si>
    <t>/33.261879, /70.891210</t>
  </si>
  <si>
    <t>El carmen lote 2</t>
  </si>
  <si>
    <t>/33.628395, /70.772247</t>
  </si>
  <si>
    <t>CALERA DE TANGO,CAMI.INT. L/4 S/N LT 4</t>
  </si>
  <si>
    <t>/33.626734, /70.774534</t>
  </si>
  <si>
    <t>Calera de Tango, Región Metropolitana, Chile</t>
  </si>
  <si>
    <t>/33.626734, /70.774513</t>
  </si>
  <si>
    <t>Isabel Riquelme ruta G 16 lote B viv 2 S/N Lote B</t>
  </si>
  <si>
    <t>/33.564200, /70.661697</t>
  </si>
  <si>
    <t>Avenida barros luco 2777</t>
  </si>
  <si>
    <t>/33.564650, /70.662886</t>
  </si>
  <si>
    <t>Isabel Riquelme lote 2 vivienda 2</t>
  </si>
  <si>
    <t>/33.564427, /70.662838</t>
  </si>
  <si>
    <t>Talagante pasaje Cortez 1490</t>
  </si>
  <si>
    <t>/33.698598, /70.853835</t>
  </si>
  <si>
    <t>Joaquin undurraga parcela 28</t>
  </si>
  <si>
    <t>ESTANCILLA 9045 RUTA G/502 ST12 VILUC</t>
  </si>
  <si>
    <t>/33.756202, /70.811605</t>
  </si>
  <si>
    <t>Calle pozo al monte 778</t>
  </si>
  <si>
    <t>/33.183730, /70.676138</t>
  </si>
  <si>
    <t>SAN PEDRO SANTA ROSA LO CHACON S/N /CV4</t>
  </si>
  <si>
    <t>/33.987276, /71.310924</t>
  </si>
  <si>
    <t>El Comendador 1139</t>
  </si>
  <si>
    <t>/33.608345, /70.881888</t>
  </si>
  <si>
    <t>Balmaseda 0124</t>
  </si>
  <si>
    <t>/33.602344, /70.849776</t>
  </si>
  <si>
    <t>Campamento sol de septiembre 553</t>
  </si>
  <si>
    <t>/33.306589, /70.863184</t>
  </si>
  <si>
    <t>Pje lomas de el capataz</t>
  </si>
  <si>
    <t>/33.290021, /70.871680</t>
  </si>
  <si>
    <t>Las Monjitas 074</t>
  </si>
  <si>
    <t>/33.573328, /70.821727</t>
  </si>
  <si>
    <t>Ruben dario 631</t>
  </si>
  <si>
    <t>/33.292198, /70.881471</t>
  </si>
  <si>
    <t>Alcalde Luis González, Lampa, Región Metropolitana, Chile</t>
  </si>
  <si>
    <t>/33.318655, /70.844043</t>
  </si>
  <si>
    <t>Pjs alcarde luis González</t>
  </si>
  <si>
    <t>/33.318657, /70.844040</t>
  </si>
  <si>
    <t>Juan Francisco González 617</t>
  </si>
  <si>
    <t>/33.656735, /70.915547</t>
  </si>
  <si>
    <t>Jamie Guzmán Errázuriz 179</t>
  </si>
  <si>
    <t>/33.664397, /70.915890</t>
  </si>
  <si>
    <t>P/A violeta Parra 1741</t>
  </si>
  <si>
    <t>/33.601486, /70.870850</t>
  </si>
  <si>
    <t>/33.656767, /70.915528</t>
  </si>
  <si>
    <t>Santa María 1477</t>
  </si>
  <si>
    <t>/33.566384, /70.806555</t>
  </si>
  <si>
    <t>PA Alfredo Valenzuela Puelma 569</t>
  </si>
  <si>
    <t>/33.656783, /70.918092</t>
  </si>
  <si>
    <t>/33.293123, /70.849615</t>
  </si>
  <si>
    <t>Pa los vagones 0167</t>
  </si>
  <si>
    <t>/33.634615, /70.353459</t>
  </si>
  <si>
    <t>Rosales 0533</t>
  </si>
  <si>
    <t>/33.606540, /70.859956</t>
  </si>
  <si>
    <t>Hidalgo s/n, Centro, Tlalpan Centro I, Tlalpan, 14000 Tlalpan, CDMX, México</t>
  </si>
  <si>
    <t>/33.705365, /70.550499</t>
  </si>
  <si>
    <t>San Martin 180</t>
  </si>
  <si>
    <t>/33.084832, /70.932008</t>
  </si>
  <si>
    <t>Camino interior C11 parc 75 lote A</t>
  </si>
  <si>
    <t>/33.305915, /70.841018</t>
  </si>
  <si>
    <t>Pje Pedro Peña P., Alto Jahuel, Buin, Región Metropolitana, Chile</t>
  </si>
  <si>
    <t>Jorge inostroza 1372</t>
  </si>
  <si>
    <t>/33.582704, /70.808836</t>
  </si>
  <si>
    <t>1 oriente 120/c</t>
  </si>
  <si>
    <t>/33.135656, /70.807105</t>
  </si>
  <si>
    <t>1 oriente s/n</t>
  </si>
  <si>
    <t>/33.135139, /70.807305</t>
  </si>
  <si>
    <t>4 ORIENTE PARCELA Q LOTE 6F</t>
  </si>
  <si>
    <t>/33.137345,/70.795563</t>
  </si>
  <si>
    <t>Mallarauco, Melipilla, Región Metropolitana, Chile</t>
  </si>
  <si>
    <t>/33.608924, /70.920578</t>
  </si>
  <si>
    <t>Paine ,sin calle s/n parcela 10a</t>
  </si>
  <si>
    <t>/33.841835, /70.770566</t>
  </si>
  <si>
    <t>San Lorenzo s/n</t>
  </si>
  <si>
    <t>/33.295437, /70.887129</t>
  </si>
  <si>
    <t>Villa la Esperanza mz3ST1</t>
  </si>
  <si>
    <t>/33.579854, /70.812059</t>
  </si>
  <si>
    <t>/33.318499, /70.844088</t>
  </si>
  <si>
    <t>Culipran s/n</t>
  </si>
  <si>
    <t>/33.791432, /71.250524</t>
  </si>
  <si>
    <t>Rafael sanzio968</t>
  </si>
  <si>
    <t>/33.608815, /70.869464</t>
  </si>
  <si>
    <t>Manuel España Cañas, Buin, Región Metropolitana, Chile</t>
  </si>
  <si>
    <t>/33.733769, /70.755748</t>
  </si>
  <si>
    <t>Doctor leopoldo moya camus</t>
  </si>
  <si>
    <t>/33.494119, /70.668932</t>
  </si>
  <si>
    <t>Las Camelias 27, Champa, Paine, Región Metropolitana, Chile</t>
  </si>
  <si>
    <t>/33.547955, /70.657516</t>
  </si>
  <si>
    <t>C. Guacolda, Quilicura, Región Metropolitana, Chile</t>
  </si>
  <si>
    <t>/33.548022, /70.657680</t>
  </si>
  <si>
    <t>Vicente García Huidobro, Padre Hurtado, Región Metropolitana, Chile</t>
  </si>
  <si>
    <t>/33.563926, /70.791571</t>
  </si>
  <si>
    <t>Av Jaime Guzmán Errázuriz 186</t>
  </si>
  <si>
    <t>/33.664759, /70.915780</t>
  </si>
  <si>
    <t>GONZALO BARROSOBIEN COMUN CASA 1</t>
  </si>
  <si>
    <t>/33.256190,/70.879687</t>
  </si>
  <si>
    <t>CODIGUA S/N CV/18</t>
  </si>
  <si>
    <t>/33.412085, /70.677948</t>
  </si>
  <si>
    <t>5 ORIENTE S/N PARCELA P</t>
  </si>
  <si>
    <t>/33.137029,/70.795751</t>
  </si>
  <si>
    <t>Primer Alcalde 55, Padre Hurtado, Región Metropolitana, Chile</t>
  </si>
  <si>
    <t>/33.581722, /70.814231</t>
  </si>
  <si>
    <t>Directora Sara Rodriguez Adasme 540, 9800397 La Islita, Isla de Maipo, Región Metropolitana, Chile</t>
  </si>
  <si>
    <t>/33.743791, /70.870964</t>
  </si>
  <si>
    <t>Balmaceda sitio 22 s/n</t>
  </si>
  <si>
    <t>/33.713281, /70.849524</t>
  </si>
  <si>
    <t>C. El Zorzal 504, Isla de Maipo, Región Metropolitana, Chile</t>
  </si>
  <si>
    <t>/33.757193, /70.902530</t>
  </si>
  <si>
    <t>Prof. Vicenta Monjes Muñoz 952, Melipilla, Región Metropolitana, Chile</t>
  </si>
  <si>
    <t>/33.682699, /71.188416</t>
  </si>
  <si>
    <t>Sector tantehue casa 4</t>
  </si>
  <si>
    <t>/33.747632, /71.231101</t>
  </si>
  <si>
    <t>/33.136777,/70.795703</t>
  </si>
  <si>
    <t>BRILLO DEL SOL PARC. 25</t>
  </si>
  <si>
    <t>/33.741659, /70.958547</t>
  </si>
  <si>
    <t>Calle mexico 1393</t>
  </si>
  <si>
    <t>/33.230499, /70.800018</t>
  </si>
  <si>
    <t>Las guías 5467</t>
  </si>
  <si>
    <t>/33.736165, /70.961000</t>
  </si>
  <si>
    <t>El almendro sitio A/8 180</t>
  </si>
  <si>
    <t>/33.090284, /70.923997</t>
  </si>
  <si>
    <t>QUILAPILUN SITIO 17</t>
  </si>
  <si>
    <t>/33.110354,/70.790825</t>
  </si>
  <si>
    <t>El almendro A16 100</t>
  </si>
  <si>
    <t>/33.090646, /70.923085</t>
  </si>
  <si>
    <t>CAMINO GERRILLERO SITIO 8</t>
  </si>
  <si>
    <t>/33.350989,/70.811711</t>
  </si>
  <si>
    <t>CARLOS ALBERTO PEREZ GONZALEZ</t>
  </si>
  <si>
    <t>/33.726807, /70.728270</t>
  </si>
  <si>
    <t>EL LUCERO SITIO 6</t>
  </si>
  <si>
    <t>/33.268248,/70.885014</t>
  </si>
  <si>
    <t>El zorzal 583</t>
  </si>
  <si>
    <t>/33.756669, /70.903261</t>
  </si>
  <si>
    <t>Lillo 358</t>
  </si>
  <si>
    <t>/33.754228, /70.893753</t>
  </si>
  <si>
    <t>Los libertadores</t>
  </si>
  <si>
    <t>/33.690174, /71.042353</t>
  </si>
  <si>
    <t>Dr. Humberto Jara Toro 28, 9590045 Melipilla, Región Metropolitana, Chile</t>
  </si>
  <si>
    <t>/33.680223, /71.205694</t>
  </si>
  <si>
    <t>Liras 4 sitio 4</t>
  </si>
  <si>
    <t>/33.241475, /70.735350</t>
  </si>
  <si>
    <t>Pasaje cuatro 309</t>
  </si>
  <si>
    <t>/33.851376, /70.767181</t>
  </si>
  <si>
    <t>El mantial 34</t>
  </si>
  <si>
    <t>/33.278302, /70.888501</t>
  </si>
  <si>
    <t>Yerbas Buenas, Maule, Chile</t>
  </si>
  <si>
    <t>/33.673444, /70.925521</t>
  </si>
  <si>
    <t>Pedro de valdivia 123</t>
  </si>
  <si>
    <t>/33.814706, /70.742862</t>
  </si>
  <si>
    <t>Los Robles 232</t>
  </si>
  <si>
    <t>/33.738841, /70.677745</t>
  </si>
  <si>
    <t>/33.530230, /70.660737</t>
  </si>
  <si>
    <t>El principal calle nueva parcela 8 C1</t>
  </si>
  <si>
    <t>/33.711032, /70.555677</t>
  </si>
  <si>
    <t>Raul Gajardo Gajardo 767, 9500000 Buin, Región Metropolitana, Chile</t>
  </si>
  <si>
    <t>/33.722787, /70.746369</t>
  </si>
  <si>
    <t>CALLE 2 MANZANA CA 034</t>
  </si>
  <si>
    <t>/33.629090, /70.775353</t>
  </si>
  <si>
    <t>CA DOS 033</t>
  </si>
  <si>
    <t>/33.629099, /70.775347</t>
  </si>
  <si>
    <t>Cam. Tanguito 4, Calera de Tango, Región Metropolitana, Chile</t>
  </si>
  <si>
    <t>/33.606378, /70.772979</t>
  </si>
  <si>
    <t>Ramón Subercaseaux, Pirque, Región Metropolitana, Chile</t>
  </si>
  <si>
    <t>/33.619830, /70.532042</t>
  </si>
  <si>
    <t>CO A VALPARAISO PARCELA 7</t>
  </si>
  <si>
    <t>/33.566146, /70.889419</t>
  </si>
  <si>
    <t>Camino servidumbres sn lote 19</t>
  </si>
  <si>
    <t>/33.259243, /70.760422</t>
  </si>
  <si>
    <t>SAN LUIS SITIO 9</t>
  </si>
  <si>
    <t>/33.556158, /70.897820</t>
  </si>
  <si>
    <t>Camino servidumbres parcela a lote 19</t>
  </si>
  <si>
    <t>/33.259230, /70.760315</t>
  </si>
  <si>
    <t>Camino servidumbres a lote 19</t>
  </si>
  <si>
    <t>/33.259237, /70.760338</t>
  </si>
  <si>
    <t>/33.555943, /70.897834</t>
  </si>
  <si>
    <t>Santa emilia s/n s/t 32</t>
  </si>
  <si>
    <t>10.217640, /67.950131</t>
  </si>
  <si>
    <t>PP el redil santa emilia pc 30</t>
  </si>
  <si>
    <t>10.217856, /67.950116</t>
  </si>
  <si>
    <t>EL PIMIENTO 43</t>
  </si>
  <si>
    <t>/33.088603, /70.921980</t>
  </si>
  <si>
    <t>Camino Bajos de Sta. Cruz 1500, Padre Hurtado, Región Metropolitana, Chile</t>
  </si>
  <si>
    <t>/33.572906, /70.838820</t>
  </si>
  <si>
    <t>Calle 1 Ote. 11,</t>
  </si>
  <si>
    <t>/33.136749, /70.807258</t>
  </si>
  <si>
    <t>Río Maule 2750</t>
  </si>
  <si>
    <t>/33.418847, /70.749817</t>
  </si>
  <si>
    <t>/33.418849, /70.749782</t>
  </si>
  <si>
    <t>Av.servidumbre de transito lote 11</t>
  </si>
  <si>
    <t>/33.198988, /70.646555</t>
  </si>
  <si>
    <t>Av. Independencia, Santiago, Región Metropolitana, Chile</t>
  </si>
  <si>
    <t>/33.749835, /70.893427</t>
  </si>
  <si>
    <t>LOS CORRALES SITIO 11</t>
  </si>
  <si>
    <t>/33.565978, /70.886853</t>
  </si>
  <si>
    <t>El yali 2 lote 43</t>
  </si>
  <si>
    <t>/33.913838, /71.441286</t>
  </si>
  <si>
    <t>/33.565945, /70.886865</t>
  </si>
  <si>
    <t>Servidumbre de transito lote 11a</t>
  </si>
  <si>
    <t>/33.200296, /70.652351</t>
  </si>
  <si>
    <t>Independencia 224</t>
  </si>
  <si>
    <t>/33.749756, /70.893350</t>
  </si>
  <si>
    <t>LAS BRISAS PARCELA 3A DITIO 4</t>
  </si>
  <si>
    <t>/33.562013, /70.885733</t>
  </si>
  <si>
    <t>Sta.filomena norte</t>
  </si>
  <si>
    <t>/33.193651, /70.642713</t>
  </si>
  <si>
    <t>Servidumbre de transito lote 11A</t>
  </si>
  <si>
    <t>/33.193705, /70.642548</t>
  </si>
  <si>
    <t>Camino interior sin número Parc 21</t>
  </si>
  <si>
    <t>/33.418864, /70.749784</t>
  </si>
  <si>
    <t>/33.418869, /70.749779</t>
  </si>
  <si>
    <t>Camino interior lote 18</t>
  </si>
  <si>
    <t>/33.418733, /70.747468</t>
  </si>
  <si>
    <t>El principal 144</t>
  </si>
  <si>
    <t>CO VECINAL 8B LOS AROMOS</t>
  </si>
  <si>
    <t>/33.564949, /70.887724</t>
  </si>
  <si>
    <t>/33.564767, /70.887789</t>
  </si>
  <si>
    <t>Av. 21 de Mayo, Región Metropolitana, Chile</t>
  </si>
  <si>
    <t>/33.754168, /70.898504</t>
  </si>
  <si>
    <t>CO VECINAL 8B SLOS AROMOS</t>
  </si>
  <si>
    <t>/33.564949, /70.887433</t>
  </si>
  <si>
    <t>5MC9+CG, Melipilla, Región Metropolitana, Chile</t>
  </si>
  <si>
    <t>/33.816860, /71.327107</t>
  </si>
  <si>
    <t>CO VECINAL SITIO 8B LOS AROMOS</t>
  </si>
  <si>
    <t>/33.564858, /70.887678</t>
  </si>
  <si>
    <t>Quincanque alto sn</t>
  </si>
  <si>
    <t>/33.806275, /71.421816</t>
  </si>
  <si>
    <t>Quilapilum lote 2</t>
  </si>
  <si>
    <t>/33.089680, /70.666202</t>
  </si>
  <si>
    <t>/33.092870, /70.692683</t>
  </si>
  <si>
    <t>Quilapilum parcela 7</t>
  </si>
  <si>
    <t>/33.093118, /70.692649</t>
  </si>
  <si>
    <t>/33.093128, /70.692732</t>
  </si>
  <si>
    <t>Las Rosas 019</t>
  </si>
  <si>
    <t>/33.171210, /70.637354</t>
  </si>
  <si>
    <t>CAMINO QUILAPILUN ALTO PARCELA 2 SITIO 1</t>
  </si>
  <si>
    <t>/33.530274, /70.660808</t>
  </si>
  <si>
    <t>Santa Carolina sn</t>
  </si>
  <si>
    <t>/33.259346, /70.760253</t>
  </si>
  <si>
    <t>ALTO ROSARIO PARCELA 116</t>
  </si>
  <si>
    <t>/33.573675, /70.924603</t>
  </si>
  <si>
    <t>/33.565012, /70.887552</t>
  </si>
  <si>
    <t>CO VECINAL LOS AROMOS</t>
  </si>
  <si>
    <t>CO VECINAL LOS AROMOS B8</t>
  </si>
  <si>
    <t>/33.564879, /70.887655</t>
  </si>
  <si>
    <t>Medalla de bronce 1322</t>
  </si>
  <si>
    <t>/33.187101, /70.662760</t>
  </si>
  <si>
    <t>Tegualda 1121</t>
  </si>
  <si>
    <t>/33.678207, /70.951508</t>
  </si>
  <si>
    <t>Pje Granito 965</t>
  </si>
  <si>
    <t>/33.190206, /70.683930</t>
  </si>
  <si>
    <t>/33.530268, /70.660805</t>
  </si>
  <si>
    <t>/33.530252, /70.660807</t>
  </si>
  <si>
    <t>Pje san juan 442</t>
  </si>
  <si>
    <t>/33.182763, /70.657068</t>
  </si>
  <si>
    <t>CAMINO QUILAPILUN ALTO PARCELA 2</t>
  </si>
  <si>
    <t>/33.530274, /70.660816</t>
  </si>
  <si>
    <t>El rodeo 1088</t>
  </si>
  <si>
    <t>/33.214668, /70.682773</t>
  </si>
  <si>
    <t>Platino 1220</t>
  </si>
  <si>
    <t>/33.530174, /70.660736</t>
  </si>
  <si>
    <t>Pje El granito 952</t>
  </si>
  <si>
    <t>/33.190362, /70.683529</t>
  </si>
  <si>
    <t>Pje el granito 965</t>
  </si>
  <si>
    <t>/33.190349, /70.683473</t>
  </si>
  <si>
    <t>Pje Granito 952</t>
  </si>
  <si>
    <t>/33.190339, /70.683612</t>
  </si>
  <si>
    <t>Pa interior</t>
  </si>
  <si>
    <t>/33.418827, /70.749785</t>
  </si>
  <si>
    <t>Calle 2 parcela 34 lote A1</t>
  </si>
  <si>
    <t>/33.219487, /70.774451</t>
  </si>
  <si>
    <t>/33.219490, /70.774473</t>
  </si>
  <si>
    <t>LOS ESPINOS PARCELA 37</t>
  </si>
  <si>
    <t>/33.279908, /70.798244</t>
  </si>
  <si>
    <t>LOS ESPINOS PARCELA 67</t>
  </si>
  <si>
    <t>/33.280679, /70.798096</t>
  </si>
  <si>
    <t>Cam. Interior Parcela, Puqueldón, Los Lagos, Chile</t>
  </si>
  <si>
    <t>/33.241381, /70.904448</t>
  </si>
  <si>
    <t>Pai interior</t>
  </si>
  <si>
    <t>/33.418843, /70.749785</t>
  </si>
  <si>
    <t>Camino interior parcela 4</t>
  </si>
  <si>
    <t>/33.090243, /70.666526</t>
  </si>
  <si>
    <t>Sta. Filomena, Recoleta, Región Metropolitana, Chile</t>
  </si>
  <si>
    <t>/33.191982, /70.651814</t>
  </si>
  <si>
    <t>/33.192038, /70.651750</t>
  </si>
  <si>
    <t>/33.192218, /70.651837</t>
  </si>
  <si>
    <t>Los corrales sitio 10</t>
  </si>
  <si>
    <t>/33.565489, /70.886927</t>
  </si>
  <si>
    <t>Pasaje ñirre 2089</t>
  </si>
  <si>
    <t>/33.685493, /71.233357</t>
  </si>
  <si>
    <t>LOS CORRALES SITIO 10</t>
  </si>
  <si>
    <t>/33.565503, /70.886934</t>
  </si>
  <si>
    <t>/33.530169, /70.660707</t>
  </si>
  <si>
    <t>/33.565671, /70.886646</t>
  </si>
  <si>
    <t>Ramón Antonio Romero 834, Buin, Región Metropolitana, Chile</t>
  </si>
  <si>
    <t>/33.723803, /70.746920</t>
  </si>
  <si>
    <t>MANUEL GONZALEZ 102</t>
  </si>
  <si>
    <t>/33.604257, /70.853689</t>
  </si>
  <si>
    <t>Santa Rosa parcela 9 lote 1</t>
  </si>
  <si>
    <t>/33.259239, /70.760331</t>
  </si>
  <si>
    <t>Santa roza parcela 9 lote 1</t>
  </si>
  <si>
    <t>/33.259215, /70.760337</t>
  </si>
  <si>
    <t>CAMINO SERVIDUMBRE PARCELA 55</t>
  </si>
  <si>
    <t>/33.206257, /70.810805</t>
  </si>
  <si>
    <t>LOS NOGALES D 55 CONDOMINIO GOLD SANTA SARA</t>
  </si>
  <si>
    <t>PUNTA ARENAS 35</t>
  </si>
  <si>
    <t>/33.294663,/70.886652</t>
  </si>
  <si>
    <t>Av ignacio carrera pinto 14441 casa 62</t>
  </si>
  <si>
    <t>/33.199468, /70.655782</t>
  </si>
  <si>
    <t>Av. Ignacio Carrera Pinto, Maule, Chile</t>
  </si>
  <si>
    <t>/33.199283, /70.655790</t>
  </si>
  <si>
    <t>Av. Ignacio carrera pinto 14441 casa 62</t>
  </si>
  <si>
    <t>/33.199316, /70.655883</t>
  </si>
  <si>
    <t>Av. Ignacio Carrera pinto 14441 casa 36</t>
  </si>
  <si>
    <t>/33.199279, /70.655933</t>
  </si>
  <si>
    <t>EL PORVENIR PARCELA 24</t>
  </si>
  <si>
    <t>/33.576620, /70.905150</t>
  </si>
  <si>
    <t>Carlos crovetto 370</t>
  </si>
  <si>
    <t>/33.676153, /70.990596</t>
  </si>
  <si>
    <t>Av ignacio carrera pinto 14441 casa 21</t>
  </si>
  <si>
    <t>/33.199762, /70.656194</t>
  </si>
  <si>
    <t>Manuel Rodríguez 654 casa 27</t>
  </si>
  <si>
    <t>/33.681049, /70.990188</t>
  </si>
  <si>
    <t>CAMINO INTERIOR LOTE 1</t>
  </si>
  <si>
    <t>/33.554486, /70.895775</t>
  </si>
  <si>
    <t>/33.554480, /70.895771</t>
  </si>
  <si>
    <t>/33.554704, /70.895637</t>
  </si>
  <si>
    <t>CAMINO VECINAL 8B LOS AROMOS</t>
  </si>
  <si>
    <t>/33.554471, /70.895753</t>
  </si>
  <si>
    <t>/33.294804,/70.887442</t>
  </si>
  <si>
    <t>PJE GUATEMALA 807</t>
  </si>
  <si>
    <t>/33.228900,/70.800806</t>
  </si>
  <si>
    <t>Villa padre Hurtado casa 6</t>
  </si>
  <si>
    <t>/33.899563, /71.450503</t>
  </si>
  <si>
    <t>El.prado verde 500</t>
  </si>
  <si>
    <t>/33.929580, /71.488884</t>
  </si>
  <si>
    <t>Orilla de Río 168B</t>
  </si>
  <si>
    <t>/33.707791, /70.535822</t>
  </si>
  <si>
    <t>Los corrales S/N</t>
  </si>
  <si>
    <t>/33.725832, /70.558841</t>
  </si>
  <si>
    <t>Camino servidumbres sin nimero lote 39</t>
  </si>
  <si>
    <t>/33.220106, /70.813770</t>
  </si>
  <si>
    <t>Camino servidumbres lote 39</t>
  </si>
  <si>
    <t>/33.220711, /70.813962</t>
  </si>
  <si>
    <t>Camino 1 534 p10B</t>
  </si>
  <si>
    <t>/33.245848, /70.801347</t>
  </si>
  <si>
    <t>CAMINO VECINAL SAN LUIS SITIO 3</t>
  </si>
  <si>
    <t>/33.553511, /70.893230</t>
  </si>
  <si>
    <t>La Lumbrera de Puangue, Melipilla, Región Metropolitana, Chile</t>
  </si>
  <si>
    <t>/33.660574, /71.284402</t>
  </si>
  <si>
    <t>CAMINO SAN LUIS SITIO 3 C</t>
  </si>
  <si>
    <t>/33.553541, /70.893313</t>
  </si>
  <si>
    <t>Verdi 1305</t>
  </si>
  <si>
    <t>/33.604158, /70.867795</t>
  </si>
  <si>
    <t>Calera de tango cuatro oriente D/ 034</t>
  </si>
  <si>
    <t>/33.435840, /70.733051</t>
  </si>
  <si>
    <t>Pa pintor Juan Francisco Gonzáles 214</t>
  </si>
  <si>
    <t>/33.678488, /71.234315</t>
  </si>
  <si>
    <t>PLAZUELA DE POLPAICO SITIO 20</t>
  </si>
  <si>
    <t>/33.153153,/70.891686</t>
  </si>
  <si>
    <t>PUNTA PEUCO PARCELA 24</t>
  </si>
  <si>
    <t>/33.116619,/70.820222</t>
  </si>
  <si>
    <t>/33.290343,/70.881674</t>
  </si>
  <si>
    <t>JUAN MAISONAVE 25</t>
  </si>
  <si>
    <t>/33.229337,/70.806398</t>
  </si>
  <si>
    <t>/33.238732./70.911612</t>
  </si>
  <si>
    <t>Parcela 3B El Almendral casa 8</t>
  </si>
  <si>
    <t>/33.244758, /70.822562</t>
  </si>
  <si>
    <t>Lo nogales D55</t>
  </si>
  <si>
    <t>/33.206476, /70.812372</t>
  </si>
  <si>
    <t>MANUEL MONTT 0240</t>
  </si>
  <si>
    <t>/33.726033, /70.742927</t>
  </si>
  <si>
    <t>Ruta G60, Región Metropolitana, Chile</t>
  </si>
  <si>
    <t>CALLE DEL RIO 20043</t>
  </si>
  <si>
    <t>/33.642753, /70.354846</t>
  </si>
  <si>
    <t>Los Silos, Santa Cruz de Tenerife, España</t>
  </si>
  <si>
    <t>El Parronal 186, La Islita, Isla de Maipo, Región Metropolitana, Chile</t>
  </si>
  <si>
    <t>/33.748517, /70.869779</t>
  </si>
  <si>
    <t>Ac balmacenda 3875</t>
  </si>
  <si>
    <t>/33.742653, /70.863610</t>
  </si>
  <si>
    <t>C. Pepe Araya 821, 9501830 Buin, Región Metropolitana, Chile</t>
  </si>
  <si>
    <t>/33.748795, /70.751318</t>
  </si>
  <si>
    <t>Cam. Al Volcán 29010, San José de Maipo, Región Metropolitana, Chile</t>
  </si>
  <si>
    <t>/33.725516, /70.318771</t>
  </si>
  <si>
    <t>PASAJE YUNGAY 5014</t>
  </si>
  <si>
    <t>/33.662673, /70.835802</t>
  </si>
  <si>
    <t>SECTOR LA LINEA S/N ,ALHUE</t>
  </si>
  <si>
    <t>San Pedro 439</t>
  </si>
  <si>
    <t>/33.574243, /70.814692</t>
  </si>
  <si>
    <t>EL PORVENIR HUERTO 26 A</t>
  </si>
  <si>
    <t>/33.874401, /70.744182</t>
  </si>
  <si>
    <t>11300 La Línea de la Concepción, Cádiz, España</t>
  </si>
  <si>
    <t>El porvenir parcela 55</t>
  </si>
  <si>
    <t>/33.573026, /70.914984</t>
  </si>
  <si>
    <t>HUERTO 75</t>
  </si>
  <si>
    <t>/33.858427, /70.746975</t>
  </si>
  <si>
    <t>Casa 4 el tránsito</t>
  </si>
  <si>
    <t>/33.773027, /70.666680</t>
  </si>
  <si>
    <t>CASA 4 EL TRANSITO</t>
  </si>
  <si>
    <t>/33.528537, /70.596370</t>
  </si>
  <si>
    <t>CO ACULEO 4</t>
  </si>
  <si>
    <t>/33.838461, /70.819092</t>
  </si>
  <si>
    <t>SAN MANUEL S/N PARCELA 4</t>
  </si>
  <si>
    <t>SITIO 4 CAMINO A VINCULO.</t>
  </si>
  <si>
    <t>/33.527524, /70.600198</t>
  </si>
  <si>
    <t>Cam. a Valdivia de Paine 2775, Buin, Región Metropolitana, Chile</t>
  </si>
  <si>
    <t>/33.783059, /70.837673</t>
  </si>
  <si>
    <t>LA ESTANCILLA 4155 LOTE 1</t>
  </si>
  <si>
    <t>/33.782282, /70.837281</t>
  </si>
  <si>
    <t>Independencia y, Santa Cruz de la Sierra, Bolivia</t>
  </si>
  <si>
    <t>/33.528274, /70.588654</t>
  </si>
  <si>
    <t>Camino la aparición 34B</t>
  </si>
  <si>
    <t>/33.528335, /70.588797</t>
  </si>
  <si>
    <t>Ensenada, B.C., México</t>
  </si>
  <si>
    <t>/33.913397, /70.754240</t>
  </si>
  <si>
    <t>BRISAS DEL MAIPO 4517</t>
  </si>
  <si>
    <t>Cerro, La Habana, Cuba</t>
  </si>
  <si>
    <t>/33.644345, /70.352678</t>
  </si>
  <si>
    <t>Errázuriz 360, Valdivia, Los Ríos, Chile</t>
  </si>
  <si>
    <t>Cañada norte s/n</t>
  </si>
  <si>
    <t>/33.644377, /70.352540</t>
  </si>
  <si>
    <t>SECTOR EL PABELLON S/N</t>
  </si>
  <si>
    <t>CAMINO A ACULEO SITIO 4</t>
  </si>
  <si>
    <t>/33.838485, /70.819073</t>
  </si>
  <si>
    <t>PARCELA 9 LAS MORERAS SITIO K</t>
  </si>
  <si>
    <t>/33.726495, /70.684809</t>
  </si>
  <si>
    <t>Manuel Pl., Buin, Región Metropolitana, Chile</t>
  </si>
  <si>
    <t>PARCELA LAS MORERAS SITIO 9</t>
  </si>
  <si>
    <t>/33.726566, /70.684801</t>
  </si>
  <si>
    <t>BENJAMIN MOLINA 1267</t>
  </si>
  <si>
    <t>/33.813347, /70.857420</t>
  </si>
  <si>
    <t>Servidumbre del tránsito s/n sector 2</t>
  </si>
  <si>
    <t>FUNDO LORETO 951</t>
  </si>
  <si>
    <t>Los Lilimus 23, Calera de Tango, Región Metropolitana, Chile</t>
  </si>
  <si>
    <t>/33.619494, /70.811707</t>
  </si>
  <si>
    <t>AGUILA SUR PARCELA 41</t>
  </si>
  <si>
    <t>/33.500203, /70.621888</t>
  </si>
  <si>
    <t>Sitio 4 Av Miguel Letelier el vinculo</t>
  </si>
  <si>
    <t>/33.426553, /70.738345</t>
  </si>
  <si>
    <t>DESIDERIO MOYA MANZANA 12 SITIO 6</t>
  </si>
  <si>
    <t>/33.582709, /70.811485</t>
  </si>
  <si>
    <t>CAMINO VALDIVIA DE PAINE S/N</t>
  </si>
  <si>
    <t>Jose Vega Contreras 107, Maipo, Buin, Región Metropolitana, Chile</t>
  </si>
  <si>
    <t>SEIS PONIENTE M/149</t>
  </si>
  <si>
    <t>/33.611082, /70.820483</t>
  </si>
  <si>
    <t>Cam. La Cruz 547, Pomaire, Melipilla, Región Metropolitana, Chile</t>
  </si>
  <si>
    <t>Aparición Paine parcela 40</t>
  </si>
  <si>
    <t>NUEVA INDEPENDENCIA SITIO 57</t>
  </si>
  <si>
    <t>/33.643580, /70.763612</t>
  </si>
  <si>
    <t>José Cánepa 202, Isla de Maipo, Región Metropolitana, Chile</t>
  </si>
  <si>
    <t>El Alba 215, Buin, Región Metropolitana, Chile</t>
  </si>
  <si>
    <t>/33.727016, /70.745798</t>
  </si>
  <si>
    <t>HUGO CORVALAN IZQUIERDO 340 BILLA BICENTENARIO</t>
  </si>
  <si>
    <t>PARCELA 9 SITIO LAS MORERAS</t>
  </si>
  <si>
    <t>/33.726657, /70.684785</t>
  </si>
  <si>
    <t>Pasaje a 229</t>
  </si>
  <si>
    <t>EL REFUGIO 88</t>
  </si>
  <si>
    <t>/33.216417, /70.683525</t>
  </si>
  <si>
    <t>P.º Peatonal El Mañío, Vitacura, Región Metropolitana, Chile</t>
  </si>
  <si>
    <t>/33.702873, /70.880185</t>
  </si>
  <si>
    <t>Cam. Carampangue 1270, 9580246 Isla de Maipo, Región Metropolitana, Chile</t>
  </si>
  <si>
    <t>/33.712864, /70.906358</t>
  </si>
  <si>
    <t>Pomaire, Melipilla, Región Metropolitana, Chile</t>
  </si>
  <si>
    <t>El Parronal 248, La Islita, Isla de Maipo, Región Metropolitana, Chile</t>
  </si>
  <si>
    <t>/33.748039, /70.870970</t>
  </si>
  <si>
    <t>Santa Carolina parc 32 casa 22</t>
  </si>
  <si>
    <t>/33.231828, /70.785794</t>
  </si>
  <si>
    <t>Chacra vida elite Lote 1</t>
  </si>
  <si>
    <t>/33.311276, /70.851991</t>
  </si>
  <si>
    <t>Camino interior lot 1, chacra vida elite</t>
  </si>
  <si>
    <t>/33.311257, /70.852003</t>
  </si>
  <si>
    <t>Fidela Inostroza Prado 816, Buin, Región Metropolitana, Chile</t>
  </si>
  <si>
    <t>/33.741363, /70.749004</t>
  </si>
  <si>
    <t>Cam. la Escuela, 74, 38710, Santa Cruz de Tenerife, España</t>
  </si>
  <si>
    <t>/33.724452, /70.543769</t>
  </si>
  <si>
    <t>Los solsales 1087</t>
  </si>
  <si>
    <t>/33.570293, /70.798592</t>
  </si>
  <si>
    <t>Gassowski, Q8300 Neuquén, Argentina</t>
  </si>
  <si>
    <t>/33.570294, /70.798627</t>
  </si>
  <si>
    <t>Lorenzo Aceitón 328, Melipilla, Región Metropolitana, Chile</t>
  </si>
  <si>
    <t>/33.675601, /71.204870</t>
  </si>
  <si>
    <t>General Baquedano 614</t>
  </si>
  <si>
    <t>/33.727752, /70.743676</t>
  </si>
  <si>
    <t>/33.887675, /70.645377</t>
  </si>
  <si>
    <t>Uno oriente</t>
  </si>
  <si>
    <t>/33.144183, /70.799063</t>
  </si>
  <si>
    <t>Nueva San Martin 195</t>
  </si>
  <si>
    <t>/33.132801, /70.807179</t>
  </si>
  <si>
    <t>Las chicas 121</t>
  </si>
  <si>
    <t>/33.796477, /71.244080</t>
  </si>
  <si>
    <t>Pasaje el ñire 2104</t>
  </si>
  <si>
    <t>/33.685233, /71.233616</t>
  </si>
  <si>
    <t>O'Higgins, Penco, Bío Bío, Chile</t>
  </si>
  <si>
    <t>/33.236720, /70.810551</t>
  </si>
  <si>
    <t>Río Biobio, Chile</t>
  </si>
  <si>
    <t>/33.089654, /70.929870</t>
  </si>
  <si>
    <t>Av sol de septiembre s/n</t>
  </si>
  <si>
    <t>/33.455667, /70.625745</t>
  </si>
  <si>
    <t>San ignacio parcela 14</t>
  </si>
  <si>
    <t>/33.454581, /70.627165</t>
  </si>
  <si>
    <t>C. de Miraflores, 28100 Alcobendas, Madrid, España</t>
  </si>
  <si>
    <t>/33.595021, /70.578592</t>
  </si>
  <si>
    <t>Los jilgueros 1105</t>
  </si>
  <si>
    <t>/33.454659, /70.626949</t>
  </si>
  <si>
    <t>San ignacio parcela 4</t>
  </si>
  <si>
    <t>/33.454577, /70.627143</t>
  </si>
  <si>
    <t>Los zorzales 1129</t>
  </si>
  <si>
    <t>/33.571093, /70.799705</t>
  </si>
  <si>
    <t>1 Ote. 399, 3473327 Talca, Maule, Chile</t>
  </si>
  <si>
    <t>/33.144078, /70.799024</t>
  </si>
  <si>
    <t>Orilla del río 179</t>
  </si>
  <si>
    <t>/33.708867, /70.558858</t>
  </si>
  <si>
    <t>Coiron 3897</t>
  </si>
  <si>
    <t>/33.580568, /70.829013</t>
  </si>
  <si>
    <t>Jardin del eden 35 villa la paz</t>
  </si>
  <si>
    <t>/33.087061, /70.920241</t>
  </si>
  <si>
    <t>Marchiwe 448</t>
  </si>
  <si>
    <t>/33.238289, /70.816641</t>
  </si>
  <si>
    <t>Ruta 5 4676, casa 10, Buin, Región Metropolitana, Chile</t>
  </si>
  <si>
    <t>Camino el volcán 26.100 el melocotón</t>
  </si>
  <si>
    <t>/33.690017, /70.336067</t>
  </si>
  <si>
    <t>Marichiweu</t>
  </si>
  <si>
    <t>/33.237158, /70.817480</t>
  </si>
  <si>
    <t>Camino el volcán 26100 el melocotón</t>
  </si>
  <si>
    <t>/33.689978, /70.336132</t>
  </si>
  <si>
    <t>/33.236781, /70.810576</t>
  </si>
  <si>
    <t>Teniente merino 481 villa los jardines</t>
  </si>
  <si>
    <t>/33.568850, /70.807095</t>
  </si>
  <si>
    <t>El arrayan de las lunas</t>
  </si>
  <si>
    <t>/33.012342, /70.975368</t>
  </si>
  <si>
    <t>Ines de olivetto 4866 parc 45</t>
  </si>
  <si>
    <t>/33.454586, /70.627177</t>
  </si>
  <si>
    <t>/33.454604, /70.626935</t>
  </si>
  <si>
    <t>Rio Malleco 574</t>
  </si>
  <si>
    <t>/33.572706, /70.810500</t>
  </si>
  <si>
    <t>San vicente parcela 13b</t>
  </si>
  <si>
    <t>/33.686999, /70.616023</t>
  </si>
  <si>
    <t>Los Morros, La Cisterna, Región Metropolitana, Chile</t>
  </si>
  <si>
    <t>/33.666202, /70.674994</t>
  </si>
  <si>
    <t>El chaleco 114</t>
  </si>
  <si>
    <t>/33.720659, /70.551377</t>
  </si>
  <si>
    <t>San ignacio 1a victoria st 30</t>
  </si>
  <si>
    <t>/33.454607, /70.627195</t>
  </si>
  <si>
    <t>Caupolicán 797</t>
  </si>
  <si>
    <t>/33.675223, /70.997883</t>
  </si>
  <si>
    <t>Cooperativa toesca pasaje 10 poniente 715</t>
  </si>
  <si>
    <t>/33.601287, /70.888203</t>
  </si>
  <si>
    <t>Del Campanero 14, Zona Centro, 36000 Guanajuato, Gto., México</t>
  </si>
  <si>
    <t>/33.774948, /70.663832</t>
  </si>
  <si>
    <t>Marta Letelier de Bernstein, Paine, Región Metropolitana, Chile</t>
  </si>
  <si>
    <t>/33.871361, /70.890094</t>
  </si>
  <si>
    <t>Los morros 20</t>
  </si>
  <si>
    <t>/33.631956, /70.594153</t>
  </si>
  <si>
    <t>/33.307634, /70.852339</t>
  </si>
  <si>
    <t>Arturo Prat manzana 4 sitio 27</t>
  </si>
  <si>
    <t>/33.236851, /70.807605</t>
  </si>
  <si>
    <t>lago calafquen parcela 3</t>
  </si>
  <si>
    <t>/33.240968, /70.789827</t>
  </si>
  <si>
    <t>Sector San Valentín, El Tigre 6050, Anzoátegui, Venezuela</t>
  </si>
  <si>
    <t>/33.781405, /71.358569</t>
  </si>
  <si>
    <t>VILLA ALEGRE S/N SITIOP</t>
  </si>
  <si>
    <t>Km 11 vía, Loma Del Escobero, Retiro, Antioquia, Colombia</t>
  </si>
  <si>
    <t>/33.307696, /70.852262</t>
  </si>
  <si>
    <t>Psj agua quieta</t>
  </si>
  <si>
    <t>/33.292162, /70.870847</t>
  </si>
  <si>
    <t>camino lampa lote 41</t>
  </si>
  <si>
    <t>/33.298200, /70.860825</t>
  </si>
  <si>
    <t>/33.292104, /70.870843</t>
  </si>
  <si>
    <t>Italia 12, Batuco, Lampa, Región Metropolitana, Chile</t>
  </si>
  <si>
    <t>/33.237283, /70.813126</t>
  </si>
  <si>
    <t>PA UNO 45 TERRA VERDE</t>
  </si>
  <si>
    <t>/33.730873, /70.773026</t>
  </si>
  <si>
    <t>Co berlin lote 3 s/n poste 281276</t>
  </si>
  <si>
    <t>/33.624659, /70.873108</t>
  </si>
  <si>
    <t>Deidamia Zelanda 2149</t>
  </si>
  <si>
    <t>HACIENDA S/N</t>
  </si>
  <si>
    <t>/33.393459, /71.173091</t>
  </si>
  <si>
    <t>Los Espinos 153, 9501622 Alto Jahuel, Buin, Región Metropolitana, Chile</t>
  </si>
  <si>
    <t>/33.737527, /70.680413</t>
  </si>
  <si>
    <t>Santa filomena sitio 3</t>
  </si>
  <si>
    <t>Cuyuncaví, Curacaví, Región Metropolitana, Chile pc320</t>
  </si>
  <si>
    <t>/33.380082, /71.101202</t>
  </si>
  <si>
    <t>Juan mac clean s/n</t>
  </si>
  <si>
    <t>/33.629903, /70.767348</t>
  </si>
  <si>
    <t>CAMINO LONQUEN 90 SITIO 13</t>
  </si>
  <si>
    <t>/33.640661, /70.817292</t>
  </si>
  <si>
    <t>San Sebastián 910</t>
  </si>
  <si>
    <t>/33.808594, /70.729597</t>
  </si>
  <si>
    <t>Peñaflor rosales 1600</t>
  </si>
  <si>
    <t>/33.603617, /70.870545</t>
  </si>
  <si>
    <t>Concepción 716</t>
  </si>
  <si>
    <t>/33.810787, /70.731999</t>
  </si>
  <si>
    <t>LOS POETAS 0226</t>
  </si>
  <si>
    <t>/33.654444, /70.588935</t>
  </si>
  <si>
    <t>/33.654439, /70.588933</t>
  </si>
  <si>
    <t>Lonquen, Talagante, Región Metropolitana, Chile</t>
  </si>
  <si>
    <t>/33.668742, /70.841936</t>
  </si>
  <si>
    <t>/33.654445, /70.588935</t>
  </si>
  <si>
    <t>Parcela 13 s/n lote 55</t>
  </si>
  <si>
    <t>/33.328828, /70.845664</t>
  </si>
  <si>
    <t>COND. TERRANOVA PARC. 16</t>
  </si>
  <si>
    <t>/33.686340, /70.573161</t>
  </si>
  <si>
    <t>COND. TERRANOVA PARC 16</t>
  </si>
  <si>
    <t>/33.686341, /70.573160</t>
  </si>
  <si>
    <t>Los espino 150</t>
  </si>
  <si>
    <t>/33.245964, /70.819078</t>
  </si>
  <si>
    <t>Jerusalén, Israel</t>
  </si>
  <si>
    <t>/33.236970, /70.820128</t>
  </si>
  <si>
    <t>Campamento Jerusalen marichiweu 308</t>
  </si>
  <si>
    <t>/33.236939, /70.819834</t>
  </si>
  <si>
    <t>CAMINO INTERIOR SN N1</t>
  </si>
  <si>
    <t>/33.221457, /70.777447</t>
  </si>
  <si>
    <t>Las Vertientes, Buin, Región Metropolitana, Chile</t>
  </si>
  <si>
    <t>/33.816004, /70.812604</t>
  </si>
  <si>
    <t>CAUPOLICAN 882POB.OHIGGINS</t>
  </si>
  <si>
    <t>/33.812443, /70.737900</t>
  </si>
  <si>
    <t>Pajaritos 136</t>
  </si>
  <si>
    <t>/33.598325, /70.848979</t>
  </si>
  <si>
    <t>Al volcán 21095</t>
  </si>
  <si>
    <t>Camino interior SN N1, LAMPA</t>
  </si>
  <si>
    <t>/33.221492, /70.777480</t>
  </si>
  <si>
    <t>Esmeralda 2976</t>
  </si>
  <si>
    <t>/33.674888, /70.948793</t>
  </si>
  <si>
    <t>PA ISLA CHILOE 143 BAQUEDANO III</t>
  </si>
  <si>
    <t>/33.806617, /70.735775</t>
  </si>
  <si>
    <t>Cam. Al Volcán 30, San José de Maipo, Región Metropolitana, Chile</t>
  </si>
  <si>
    <t>CAMP HURTADA6889</t>
  </si>
  <si>
    <t>/33.675736, /70.668948</t>
  </si>
  <si>
    <t>Juan peñaloza número 32</t>
  </si>
  <si>
    <t>/33.743938, /70.680237</t>
  </si>
  <si>
    <t>Sta. Sara, Lampa, Región Metropolitana, Chile</t>
  </si>
  <si>
    <t>/33.236964, /70.772959</t>
  </si>
  <si>
    <t>Camino santa luz s/n Lot 7</t>
  </si>
  <si>
    <t>/33.278069, /70.683135</t>
  </si>
  <si>
    <t>Isabel riquelme 737</t>
  </si>
  <si>
    <t>/33.285618, /70.887173</t>
  </si>
  <si>
    <t>LOS ACACIO 497 LA TRILLA</t>
  </si>
  <si>
    <t>/33.794958, /70.733240</t>
  </si>
  <si>
    <t>Santa Teresa 066</t>
  </si>
  <si>
    <t>Ex fundó santa margarita parcela 4</t>
  </si>
  <si>
    <t>/33.009009, /70.711142</t>
  </si>
  <si>
    <t>Camino interior mzn 28</t>
  </si>
  <si>
    <t>/33.260744, /70.891428</t>
  </si>
  <si>
    <t>LA MEDIA LUNA 207 C.KENEDY HOSPITAL LA MEDIALUNA PARC</t>
  </si>
  <si>
    <t>/33.890531, /70.722218</t>
  </si>
  <si>
    <t>Camino interior mzn28</t>
  </si>
  <si>
    <t>/33.260721, /70.891467</t>
  </si>
  <si>
    <t>Ex fundó santa margarita parcela 4b</t>
  </si>
  <si>
    <t>/33.009009, /70.689656</t>
  </si>
  <si>
    <t>ARTURO PRAT M 4 / S27 LAMPA</t>
  </si>
  <si>
    <t>/33.236862, /70.807613</t>
  </si>
  <si>
    <t>San Francisco lote 15 s/n</t>
  </si>
  <si>
    <t>pasaje las verónicas 2429</t>
  </si>
  <si>
    <t>/33.296111, /70.874575</t>
  </si>
  <si>
    <t>/33.027027, /70.704103</t>
  </si>
  <si>
    <t>Los Acacios 139, Batuco, Lampa, Región Metropolitana, Chile</t>
  </si>
  <si>
    <t>/33.244299, /70.820800</t>
  </si>
  <si>
    <t>camino interior parcela 10</t>
  </si>
  <si>
    <t>/33.290424, /70.863647</t>
  </si>
  <si>
    <t>Lampa 21801, Perú</t>
  </si>
  <si>
    <t>/33.235399, /70.803741</t>
  </si>
  <si>
    <t>ARTURO PRAT SN HIJ29 PAR6</t>
  </si>
  <si>
    <t>/33.235412, /70.803745</t>
  </si>
  <si>
    <t>AV SERVIDUMBRE S/N lOTE 15</t>
  </si>
  <si>
    <t>/33.330292, /70.849258</t>
  </si>
  <si>
    <t>Monte san Valentín 54</t>
  </si>
  <si>
    <t>/33.676091, /71.182424</t>
  </si>
  <si>
    <t>Camino la escuela 75</t>
  </si>
  <si>
    <t>/33.722036, /70.549997</t>
  </si>
  <si>
    <t>Los Arándanos, Neuquén, Argentina</t>
  </si>
  <si>
    <t>/33.203321, /70.693817</t>
  </si>
  <si>
    <t>Cjón. Lo Salinas, Buin, Región Metropolitana, Chile</t>
  </si>
  <si>
    <t>/33.729112, /70.757086</t>
  </si>
  <si>
    <t>Pasaje honras 800</t>
  </si>
  <si>
    <t>/33.229052, /70.802113</t>
  </si>
  <si>
    <t>Arza 94</t>
  </si>
  <si>
    <t>/33.683054, /71.207766</t>
  </si>
  <si>
    <t>Parque nacional cucao 1640</t>
  </si>
  <si>
    <t>/33.821891, /70.737077</t>
  </si>
  <si>
    <t>Viena 149</t>
  </si>
  <si>
    <t>/33.673722, /71.174968</t>
  </si>
  <si>
    <t>San ignacio m5 sitio 12</t>
  </si>
  <si>
    <t>/33.580651, /70.811346</t>
  </si>
  <si>
    <t>PEREZ CANTO 642 POB M CASTILLO</t>
  </si>
  <si>
    <t>/33.814193, /70.735731</t>
  </si>
  <si>
    <t>Camino interior Santa Carolina s/n parcela A</t>
  </si>
  <si>
    <t>/33.221671, /70.790468</t>
  </si>
  <si>
    <t>/33.721984, /70.550043</t>
  </si>
  <si>
    <t>A.v romero 70 LOT/A,COLONIA KENEDY,HOSPITAL SIT.7A,</t>
  </si>
  <si>
    <t>/33.860261, /70.726003</t>
  </si>
  <si>
    <t>Buin camino padre Hurtado 6889</t>
  </si>
  <si>
    <t>/33.675832, /70.668577</t>
  </si>
  <si>
    <t>pasaje cerro barón lampa</t>
  </si>
  <si>
    <t>/33.278761, /70.885875</t>
  </si>
  <si>
    <t>Pablo de Rokha 263, 9380065 Lampa, Región Metropolitana, Chile</t>
  </si>
  <si>
    <t>/33.283110, /70.873202</t>
  </si>
  <si>
    <t>Chile</t>
  </si>
  <si>
    <t>/33.581319, /70.814903</t>
  </si>
  <si>
    <t>CO LOS SAUCES</t>
  </si>
  <si>
    <t>/33.659494, /70.598050</t>
  </si>
  <si>
    <t>/33.659515, /70.598034</t>
  </si>
  <si>
    <t>EL TACO DEL VALLE S/N HIJ 5</t>
  </si>
  <si>
    <t>/33.243243, /70.921573</t>
  </si>
  <si>
    <t>RUTA G144 S/N LOTE B</t>
  </si>
  <si>
    <t>/33.225225, /70.777726</t>
  </si>
  <si>
    <t>RUTA G148 CAMINO A BATUCO PARC 7 LOTE 5</t>
  </si>
  <si>
    <t>/33.243243, /70.770768</t>
  </si>
  <si>
    <t>Av. España, Sitico 6Batuco, Lampa, Región Metropolitana, Chile</t>
  </si>
  <si>
    <t>/33.247792, /70.831100</t>
  </si>
  <si>
    <t>Los viñedos de paine</t>
  </si>
  <si>
    <t>ARRECIFE1328</t>
  </si>
  <si>
    <t>/33.816911, /70.740576</t>
  </si>
  <si>
    <t>Baquedano 100, 9380444 Lampa, Región Metropolitana, Chile</t>
  </si>
  <si>
    <t>/33.278374, /70.883022</t>
  </si>
  <si>
    <t>CHINIGUE EL CRISTO S/N CV3</t>
  </si>
  <si>
    <t>/33.685101, /71.102136</t>
  </si>
  <si>
    <t>Joaquín Undurraga 28, Lampa, Región Metropolitana, Chile</t>
  </si>
  <si>
    <t>CO INTERIOR S/N LECHO DEL RIO LT C/1COLONIA KENEDY</t>
  </si>
  <si>
    <t>/33.876765, /70.745589</t>
  </si>
  <si>
    <t>JOAQUIN UNDURRAGA 28 SITIO 14</t>
  </si>
  <si>
    <t>CO INTERIOR S/N LECHODEL RIO LT C/1 COLONIA KENEDI</t>
  </si>
  <si>
    <t>/33.876600, /70.745544</t>
  </si>
  <si>
    <t>Pje. Baldomero Lillo, Tiltil, Región Metropolitana, Chile</t>
  </si>
  <si>
    <t>/33.089293, /70.917482</t>
  </si>
  <si>
    <t>Av.general baquedano 1060</t>
  </si>
  <si>
    <t>/33.089246, /70.917468</t>
  </si>
  <si>
    <t>calle Río Bio Bio 21, Tiltil, Región Metropolitana, Chile</t>
  </si>
  <si>
    <t>/33.089768, /70.930070</t>
  </si>
  <si>
    <t>/33.235399, /70.803739</t>
  </si>
  <si>
    <t>Darío Ovalle 41, Polpaico, Tiltil, Región Metropolitana, Chile</t>
  </si>
  <si>
    <t>/33.168868, /70.890209</t>
  </si>
  <si>
    <t>camino la endesa casa sin número Tiltil, Región Metropolitana, Chile</t>
  </si>
  <si>
    <t>/33.171566, /70.887796</t>
  </si>
  <si>
    <t>Brisas del norte g 10</t>
  </si>
  <si>
    <t>/33.630909, /70.817973</t>
  </si>
  <si>
    <t>Santa berta 245</t>
  </si>
  <si>
    <t>/33.657412, /70.930041</t>
  </si>
  <si>
    <t>Los cipreses 103</t>
  </si>
  <si>
    <t>/33.632226, /70.763033</t>
  </si>
  <si>
    <t>EL PERAL 33B</t>
  </si>
  <si>
    <t>/33.864596, /70.879265</t>
  </si>
  <si>
    <t>Santa berta 392/ 2</t>
  </si>
  <si>
    <t>/33.657473, /70.930514</t>
  </si>
  <si>
    <t>Estela Perez Navarro 976, Paine, Región Metropolitana, Chile</t>
  </si>
  <si>
    <t>/33.823982, /70.731046</t>
  </si>
  <si>
    <t>Sta. Berta, Talagante, Región Metropolitana, Chile</t>
  </si>
  <si>
    <t>/33.657410, /70.930450</t>
  </si>
  <si>
    <t>DANIEL ARANCIBIA P 1368</t>
  </si>
  <si>
    <t>/33.290273, /70.881787</t>
  </si>
  <si>
    <t>QUINQUILLA 1257</t>
  </si>
  <si>
    <t>/33.278904, /70.873844</t>
  </si>
  <si>
    <t>Agus marina 882</t>
  </si>
  <si>
    <t>/33.671896, /70.942099</t>
  </si>
  <si>
    <t>AV ROSARIO VIAL 14</t>
  </si>
  <si>
    <t>/33.864420, /70.879730</t>
  </si>
  <si>
    <t>CI EL MANZANITO PARC.21 LOTE 9 PARCELACION EL MAZANITO</t>
  </si>
  <si>
    <t>/33.870999, /70.847001</t>
  </si>
  <si>
    <t>DIECIOCHO DE SEPTIEMBRE 3149</t>
  </si>
  <si>
    <t>/33.803589, /70.702167</t>
  </si>
  <si>
    <t>Rosario vial sn parcela 33</t>
  </si>
  <si>
    <t>/33.864749, /70.878541</t>
  </si>
  <si>
    <t>G/546, Región Metropolitana, Chile</t>
  </si>
  <si>
    <t>/33.850078, /70.947302</t>
  </si>
  <si>
    <t>/33.863883, /70.882638</t>
  </si>
  <si>
    <t>CALLE TRES ORIENTE 298 LOTE 6A</t>
  </si>
  <si>
    <t>/33.138688, /70.797815</t>
  </si>
  <si>
    <t>TRES ORIENTE 18 LOTE 1B 1B MZ/K</t>
  </si>
  <si>
    <t>/33.130829, /70.805308</t>
  </si>
  <si>
    <t>SANTA SARA S/17/B</t>
  </si>
  <si>
    <t>/33.224740, /70.774664</t>
  </si>
  <si>
    <t>Esmeralda 2332</t>
  </si>
  <si>
    <t>/33.672250, /70.942114</t>
  </si>
  <si>
    <t>AVD GENERAL SAN MARTIN 193 DP 103</t>
  </si>
  <si>
    <t>/33.326106, /70.744199</t>
  </si>
  <si>
    <t>EL OLMO 75</t>
  </si>
  <si>
    <t>/33.721593, /70.741920</t>
  </si>
  <si>
    <t>AV DARIO PAVEZ PARCELA 232A</t>
  </si>
  <si>
    <t>/33.856817, /70.759533</t>
  </si>
  <si>
    <t>Co. La estancilla 3450</t>
  </si>
  <si>
    <t>/33.786233, /70.835707</t>
  </si>
  <si>
    <t>PSJ 1 ORIENTE S/N HIJ 97</t>
  </si>
  <si>
    <t>/33.225328, /70.683980</t>
  </si>
  <si>
    <t>/33.225324, /70.683981</t>
  </si>
  <si>
    <t>/33.225322, /70.683988</t>
  </si>
  <si>
    <t>/33.803222, /70.702071</t>
  </si>
  <si>
    <t>AVENIDA MIGUEL LETELIER PC 12</t>
  </si>
  <si>
    <t>/33.873660, /70.873041</t>
  </si>
  <si>
    <t>CANCHA RAYADA S/N VILLA ALHUE</t>
  </si>
  <si>
    <t>/34.032794, /71.091921</t>
  </si>
  <si>
    <t>/34.037469, /71.223763</t>
  </si>
  <si>
    <t>/34.038501, /71.225139</t>
  </si>
  <si>
    <t>Santa berta 267</t>
  </si>
  <si>
    <t>/33.657762, /70.929784</t>
  </si>
  <si>
    <t>SERVIDUMBRE DEL TRÁNSITO PARC 16 LOTE 50/C S/N</t>
  </si>
  <si>
    <t>/33.268145, /70.680078</t>
  </si>
  <si>
    <t>CAMINO INTERIOR PARCELACION MIRAFLORES 22/22</t>
  </si>
  <si>
    <t>/33.338292, /70.816710</t>
  </si>
  <si>
    <t>El naranjal 014 lote 5</t>
  </si>
  <si>
    <t>/33.680426, /70.920611</t>
  </si>
  <si>
    <t>/33.680091, /70.921801</t>
  </si>
  <si>
    <t>Pasaje 3 PONIENTE CASA I 106</t>
  </si>
  <si>
    <t>/33.610356, /70.819464</t>
  </si>
  <si>
    <t>AVDA TRES ORIENTE 28 /F MZ KH</t>
  </si>
  <si>
    <t>/33.132286, /70.807388</t>
  </si>
  <si>
    <t>LAS BRISAS NORTE G/ 08</t>
  </si>
  <si>
    <t>/33.631003, /70.818407</t>
  </si>
  <si>
    <t>BRISAS NORTE I 06</t>
  </si>
  <si>
    <t>/33.631000, /70.818274</t>
  </si>
  <si>
    <t>PJE. TRES PONIENTE CASA I 108</t>
  </si>
  <si>
    <t>/33.610209, /70.819702</t>
  </si>
  <si>
    <t>C. Hda. de Los Ciprés, Cdad. Gral. Escobedo, N.L., México</t>
  </si>
  <si>
    <t>/33.632253, /70.762755</t>
  </si>
  <si>
    <t>LAS BRISAS NORTE G12</t>
  </si>
  <si>
    <t>/33.631154, /70.817758</t>
  </si>
  <si>
    <t>Los Eucaliptus, Quilmes Oeste, Provincia de Buenos Aires, Argentina</t>
  </si>
  <si>
    <t>/33.615105, /70.761166</t>
  </si>
  <si>
    <t>Uno oriente f/061villa jesus</t>
  </si>
  <si>
    <t>/33.610614, /70.817967</t>
  </si>
  <si>
    <t>EL CAOBO 5697</t>
  </si>
  <si>
    <t>/33.697782, /70.850858</t>
  </si>
  <si>
    <t>Arturo Prat, Santiago, Región Metropolitana, Chile</t>
  </si>
  <si>
    <t>/33.608579, /70.903943</t>
  </si>
  <si>
    <t>LONGOVILO S/N RUTA G/60</t>
  </si>
  <si>
    <t>/33.906108, /71.413053</t>
  </si>
  <si>
    <t>/33.308219, /70.863621</t>
  </si>
  <si>
    <t>Curacavi, Curacaví, Región Metropolitana, Chile</t>
  </si>
  <si>
    <t>/33.372687, /71.083259</t>
  </si>
  <si>
    <t>Co Los Rulos N83</t>
  </si>
  <si>
    <t>/33.456302, /70.967497</t>
  </si>
  <si>
    <t>Los Paltos 1861</t>
  </si>
  <si>
    <t>/33.602443, /70.873378</t>
  </si>
  <si>
    <t>CO Los Rulos 83</t>
  </si>
  <si>
    <t>/33.450249, /70.978270</t>
  </si>
  <si>
    <t>Los cipreses sit 12 #70</t>
  </si>
  <si>
    <t>/33.547954, /70.657522</t>
  </si>
  <si>
    <t>La gruta 34</t>
  </si>
  <si>
    <t>/33.631941, /70.761983</t>
  </si>
  <si>
    <t>V Palermo s/20 s/n</t>
  </si>
  <si>
    <t>/33.629312, /70.800897</t>
  </si>
  <si>
    <t>Diego de almagro 203</t>
  </si>
  <si>
    <t>/33.704114, /71.065200</t>
  </si>
  <si>
    <t>Tacna, Perú</t>
  </si>
  <si>
    <t>/33.757355, /71.322773</t>
  </si>
  <si>
    <t>Alsermo alancon</t>
  </si>
  <si>
    <t>/33.570919, /71.194290</t>
  </si>
  <si>
    <t>Hermanos carrera 0445</t>
  </si>
  <si>
    <t>/33.761389, /70.739583</t>
  </si>
  <si>
    <t>Parque Nacional Río Clarillo / Cmo. Orilla del Río S/N, Pirque, Región Metropolitana, Chile</t>
  </si>
  <si>
    <t>/33.707127, /70.549865</t>
  </si>
  <si>
    <t>/33.707499, /70.549900</t>
  </si>
  <si>
    <t>La ensenada aguila sur</t>
  </si>
  <si>
    <t>/33.907250, /70.762514</t>
  </si>
  <si>
    <t>Las Maravillas Ote. 2458, Lampa, Región Metropolitana, Chile</t>
  </si>
  <si>
    <t>/33.295736, /70.869672</t>
  </si>
  <si>
    <t>Lo Castro 0 ca 2</t>
  </si>
  <si>
    <t>/33.290817, /70.776216</t>
  </si>
  <si>
    <t>Hacienda lampa HDA el sol s/n lote 18</t>
  </si>
  <si>
    <t>/33.310867, /70.863125</t>
  </si>
  <si>
    <t>Parcela 4B miraflores lote 24</t>
  </si>
  <si>
    <t>/33.344036, /70.859848</t>
  </si>
  <si>
    <t>Puerto de palos 361</t>
  </si>
  <si>
    <t>/33.193276, /70.669444</t>
  </si>
  <si>
    <t>camino interior / El Colorado S/N, Colina, Región Metropolitana, Chile</t>
  </si>
  <si>
    <t>/33.302410, /70.837655</t>
  </si>
  <si>
    <t>Los Pozones 5201, Barinas, Venezuela</t>
  </si>
  <si>
    <t>/33.292772, /70.872478</t>
  </si>
  <si>
    <t>Gilda diaz jiron 380</t>
  </si>
  <si>
    <t>/33.817201, /70.745177</t>
  </si>
  <si>
    <t>Alegre 105, 9540700 Maipo, Paine, Región Metropolitana, Chile</t>
  </si>
  <si>
    <t>/33.494168, /70.668852</t>
  </si>
  <si>
    <t>Alfonso Suárez 1150</t>
  </si>
  <si>
    <t>/33.692701, /71.224122</t>
  </si>
  <si>
    <t>Los olmos 2021</t>
  </si>
  <si>
    <t>/33.704569, /71.219855</t>
  </si>
  <si>
    <t>El principal parc 34</t>
  </si>
  <si>
    <t>/33.709850, /70.543393</t>
  </si>
  <si>
    <t>Los aromos 984</t>
  </si>
  <si>
    <t>/33.796893, /70.734010</t>
  </si>
  <si>
    <t>4 oriente 140</t>
  </si>
  <si>
    <t>/33.131940, /70.799892</t>
  </si>
  <si>
    <t>Los tilos sitio 19</t>
  </si>
  <si>
    <t>/33.620126, /70.810046</t>
  </si>
  <si>
    <t>Pasaje martín jimenezy nendoza 1710</t>
  </si>
  <si>
    <t>/33.183755, /70.665990</t>
  </si>
  <si>
    <t>Cam. Chorombo Alto, María Pinto, Región Metropolitana, Chile</t>
  </si>
  <si>
    <t>/33.510618, /71.267291</t>
  </si>
  <si>
    <t>Chorombo, María Pinto, Región Metropolitana, Chile</t>
  </si>
  <si>
    <t>/33.510329, /71.265935</t>
  </si>
  <si>
    <t>Av. Manuel Rodríguez 240, Santiago, Región Metropolitana, Chile</t>
  </si>
  <si>
    <t>El Nuevo Porvenir, Cartagena, Cartagena Province, Bolivar, Colombia</t>
  </si>
  <si>
    <t>/33.278820, /70.846506</t>
  </si>
  <si>
    <t>Jaime Guzmán 378, Isla de Maipo, Región Metropolitana, Chile</t>
  </si>
  <si>
    <t>/33.748733, /70.906465</t>
  </si>
  <si>
    <t>L/141 villa jesus</t>
  </si>
  <si>
    <t>/33.611221, /70.820087</t>
  </si>
  <si>
    <t>Las mulas s/n calle lecho del rio</t>
  </si>
  <si>
    <t>/33.877707, /70.745345</t>
  </si>
  <si>
    <t>CAMINO INTERIOR S/N 2B</t>
  </si>
  <si>
    <t>/33.290306,/70.863681</t>
  </si>
  <si>
    <t>Sta. Adriana, Talagante, Región Metropolitana, Chile</t>
  </si>
  <si>
    <t>/33.701932, /70.965842</t>
  </si>
  <si>
    <t>Colchagua 61 vivienda 2</t>
  </si>
  <si>
    <t>/33.305168, /70.855618</t>
  </si>
  <si>
    <t>FUNDO SANTA BERNARDITA S/N CODIGUA</t>
  </si>
  <si>
    <t>/33.774163, /71.340559</t>
  </si>
  <si>
    <t>Camino servidumbre sn parcela 44 lote 4</t>
  </si>
  <si>
    <t>/33.295593, /70.855877</t>
  </si>
  <si>
    <t>Camino Los Maitenes, Pirque, Región Metropolitana, Chile</t>
  </si>
  <si>
    <t>/33.683768, /70.533816</t>
  </si>
  <si>
    <t>Joaquín Undurraga, Lampa, Región Metropolitana, Chile</t>
  </si>
  <si>
    <t>/33.256885, /70.881224</t>
  </si>
  <si>
    <t>DON LUIS 846</t>
  </si>
  <si>
    <t>/33.567561, /70.796993</t>
  </si>
  <si>
    <t>Naguayán 133, Isla de Maipo, Región Metropolitana, Chile</t>
  </si>
  <si>
    <t>/33.754176, /70.891248</t>
  </si>
  <si>
    <t>Coquimbo, Chile</t>
  </si>
  <si>
    <t>/33.183250, /70.649613</t>
  </si>
  <si>
    <t>Artero prat 662</t>
  </si>
  <si>
    <t>/33.201429, /70.665940</t>
  </si>
  <si>
    <t>Huelquen, Paine, Región Metropolitana, Chile</t>
  </si>
  <si>
    <t>/33.828337, /70.642229</t>
  </si>
  <si>
    <t>Sin calle fundó el naranjal</t>
  </si>
  <si>
    <t>/33.832394, /70.821909</t>
  </si>
  <si>
    <t>Santa filomena 3997</t>
  </si>
  <si>
    <t>/33.815692, /70.812114</t>
  </si>
  <si>
    <t>El Almendral, Batuco, Lampa, Región Metropolitana, Chile</t>
  </si>
  <si>
    <t>/33.244353, /70.823465</t>
  </si>
  <si>
    <t>SAN MANUEL PARCELA 4</t>
  </si>
  <si>
    <t>UGALDE 132</t>
  </si>
  <si>
    <t>Aparición de Paine parcela 40</t>
  </si>
  <si>
    <t>SANTA ESTER DE LIRAY LOTE 2 SITIO 18</t>
  </si>
  <si>
    <t>/33.228187, /70.712117</t>
  </si>
  <si>
    <t>Las camelias 2491</t>
  </si>
  <si>
    <t>/33.761778, /70.738615</t>
  </si>
  <si>
    <t>Madrid, España</t>
  </si>
  <si>
    <t>/33.426405, /70.738429</t>
  </si>
  <si>
    <t>Pje. Adán Guzmán 13, Alto Jahuel, Buin, Región Metropolitana, Chile</t>
  </si>
  <si>
    <t>/33.528272, /70.588918</t>
  </si>
  <si>
    <t>CAMINO EL VOLCÁN 19361 A</t>
  </si>
  <si>
    <t>/33.637040, /70.353350</t>
  </si>
  <si>
    <t>C. del Cerro 19286</t>
  </si>
  <si>
    <t>/33.636333, /70.350556</t>
  </si>
  <si>
    <t>CALLE DEL CERRO 19286</t>
  </si>
  <si>
    <t>/33.636389, /70.350633</t>
  </si>
  <si>
    <t>Pedro Morales Escobedo 761, Buin, Región Metropolitana, Chile</t>
  </si>
  <si>
    <t>/33.528260, /70.588960</t>
  </si>
  <si>
    <t>Pje. Gabriel González Jelvez 385, 9501711 Buin, Región Metropolitana, Chile</t>
  </si>
  <si>
    <t>/33.500220, /70.621891</t>
  </si>
  <si>
    <t>Comercio 18650/C</t>
  </si>
  <si>
    <t>/32.834206, /70.576434</t>
  </si>
  <si>
    <t>SEIS PONIENTE M150.</t>
  </si>
  <si>
    <t>/33.611121, /70.820353</t>
  </si>
  <si>
    <t>CINCO PONIENTE K134</t>
  </si>
  <si>
    <t>/33.610748, /70.820275</t>
  </si>
  <si>
    <t>C. Germán Riesco 968, Nueva Imperial, Araucanía, Chile</t>
  </si>
  <si>
    <t>/33.392960, /71.129183</t>
  </si>
  <si>
    <t>Toulouse, Francia</t>
  </si>
  <si>
    <t>Las Camelias, Champa, Paine, Región Metropolitana, Chile</t>
  </si>
  <si>
    <t>/33.852404, /70.763780</t>
  </si>
  <si>
    <t>José Valdebenito 3390</t>
  </si>
  <si>
    <t>/33.748106, /70.859232</t>
  </si>
  <si>
    <t>Anita Inostroza Wise 440, La Islita, Isla de Maipo, Región Metropolitana, Chile</t>
  </si>
  <si>
    <t>HUERTO 75 HOSPITAL</t>
  </si>
  <si>
    <t>/33.858241, /70.746871</t>
  </si>
  <si>
    <t>Thompson 1105</t>
  </si>
  <si>
    <t>/33.749468, /70.869985</t>
  </si>
  <si>
    <t>Isla de Maipo, Región Metropolitana, Chile</t>
  </si>
  <si>
    <t>/33.752057, /70.887002</t>
  </si>
  <si>
    <t>CAMINO INTERIOR S/NHIJCMZN 9</t>
  </si>
  <si>
    <t>/33.737239, /70.759446</t>
  </si>
  <si>
    <t>AUSTRAL 80</t>
  </si>
  <si>
    <t>/33.730497, /70.986273</t>
  </si>
  <si>
    <t>ARMIJO 206 H</t>
  </si>
  <si>
    <t>/33.443420, /70.708555</t>
  </si>
  <si>
    <t>SAN VICENTE SITIO 18</t>
  </si>
  <si>
    <t>/33.669381, /70.618796</t>
  </si>
  <si>
    <t>CAMINO LAS PARCELA 2826C</t>
  </si>
  <si>
    <t>/33.716761, /70.891632</t>
  </si>
  <si>
    <t>Montenegro, Quindío, Colombia</t>
  </si>
  <si>
    <t>/32.948400, /70.799150</t>
  </si>
  <si>
    <t>/33.639149, /70.866854</t>
  </si>
  <si>
    <t>Los Robles 191, Maipo, Buin, Región Metropolitana, Chile</t>
  </si>
  <si>
    <t>/33.726095, /70.775287</t>
  </si>
  <si>
    <t>CAMINO REINA NORTE PARCELA 22 LOTE 3</t>
  </si>
  <si>
    <t>/33.181804, /70.685083</t>
  </si>
  <si>
    <t>Cam. Buin Maipo 1491, 9510287 Buin, Región Metropolitana, Chile</t>
  </si>
  <si>
    <t>/33.734452, /70.756159</t>
  </si>
  <si>
    <t>Marta Duhalde 250, 9800300 Isla de Maipo, Región Metropolitana, Chile</t>
  </si>
  <si>
    <t>/33.747533, /70.862534</t>
  </si>
  <si>
    <t>Ruta 78 Santiago / San Antonio, Melipilla, Región Metropolitana, Chile</t>
  </si>
  <si>
    <t>/33.675885, /71.163198</t>
  </si>
  <si>
    <t>Ca vecinal 27672</t>
  </si>
  <si>
    <t>/33.698717, /70.330647</t>
  </si>
  <si>
    <t>CAMINO A EL VOLCAN 27197</t>
  </si>
  <si>
    <t>/33.693541, /70.335958</t>
  </si>
  <si>
    <t>Comerciante Miguel Chacoff 1549, Buin, Región Metropolitana, Chile</t>
  </si>
  <si>
    <t>/33.731199, /70.716137</t>
  </si>
  <si>
    <t>LOS INGLESES 46</t>
  </si>
  <si>
    <t>/33.253448, /70.677955</t>
  </si>
  <si>
    <t>Camino los ingleses sitio 26, colina</t>
  </si>
  <si>
    <t>/33.248768, /70.676519</t>
  </si>
  <si>
    <t>Los Ingleses 43, Chicureo, Colina, Región Metropolitana, Chile</t>
  </si>
  <si>
    <t>/33.252760, /70.678222</t>
  </si>
  <si>
    <t>Camino los ingleses 49, colina</t>
  </si>
  <si>
    <t>/33.254049, /70.677995</t>
  </si>
  <si>
    <t>LOS INGLESES S/94</t>
  </si>
  <si>
    <t>/33.443422, /70.708556</t>
  </si>
  <si>
    <t>San Luis, Argentina</t>
  </si>
  <si>
    <t>/33.636433, /70.813472</t>
  </si>
  <si>
    <t>Valdivia de Paine, Buin, Región Metropolitana, Chile</t>
  </si>
  <si>
    <t>/33.767207, /70.821282</t>
  </si>
  <si>
    <t>EL OLIVO 76</t>
  </si>
  <si>
    <t>/33.678582, /71.179958</t>
  </si>
  <si>
    <t>AV LONQUEN NORTE 53 A 2</t>
  </si>
  <si>
    <t>/33.618705, /70.796965</t>
  </si>
  <si>
    <t>TANTEHUE ALTO SITIO 13</t>
  </si>
  <si>
    <t>/33.862891, /71.207151</t>
  </si>
  <si>
    <t>Patriota Juan Martínez de Rozas 703, Colina, Región Metropolitana, Chile</t>
  </si>
  <si>
    <t>/33.189643, /70.675708</t>
  </si>
  <si>
    <t>Santo Domingo 495</t>
  </si>
  <si>
    <t>/33.741010, /70.744320</t>
  </si>
  <si>
    <t>Av. Vicuña Mackenna 412, Melipilla, Región Metropolitana, Chile</t>
  </si>
  <si>
    <t>/33.681353, /71.200244</t>
  </si>
  <si>
    <t>Cam. A Peralillo, Región Metropolitana, Chile</t>
  </si>
  <si>
    <t>/33.840089, /70.838639</t>
  </si>
  <si>
    <t>PAULA GARATE ROJAS 781</t>
  </si>
  <si>
    <t>/33.686555, /71.192650</t>
  </si>
  <si>
    <t>AV MIGUEL LETELIER 40 PINTUE</t>
  </si>
  <si>
    <t>/33.877569, /70.886021</t>
  </si>
  <si>
    <t>LONQUEN SUR PARADERO 19. VILLA PALERMO 32</t>
  </si>
  <si>
    <t>/33.628503, /70.802356</t>
  </si>
  <si>
    <t>La Estancilla, Ecuador</t>
  </si>
  <si>
    <t>/33.791366, /70.842072</t>
  </si>
  <si>
    <t>LONQUEN SUR PARADERO 19 VILLA PALERMO</t>
  </si>
  <si>
    <t>/33.628582, /70.802434</t>
  </si>
  <si>
    <t>Comercio 19975</t>
  </si>
  <si>
    <t>/33.642448, /70.352585</t>
  </si>
  <si>
    <t>ARMIJO 206 CASA H</t>
  </si>
  <si>
    <t>/33.750328, /70.899707</t>
  </si>
  <si>
    <t>PJE BENJAMIN ULLOA VALENZUELA 308</t>
  </si>
  <si>
    <t>/33.672904, /71.211319</t>
  </si>
  <si>
    <t>Roberto Bravo 519, Melipilla, Región Metropolitana, Chile</t>
  </si>
  <si>
    <t>/33.647463, /71.149688</t>
  </si>
  <si>
    <t>CAMPAMENTO 25 DE NOVIEMBRE CASA 48</t>
  </si>
  <si>
    <t>CAMINO SERVIDUMBRE SN LOTE D</t>
  </si>
  <si>
    <t>/33.206257, /70.810804</t>
  </si>
  <si>
    <t>Los Aromos 3, Viluco, Buin, Región Metropolitana, Chile</t>
  </si>
  <si>
    <t>/33.778096, /70.785420</t>
  </si>
  <si>
    <t>PJE JULIO MONTT 201....</t>
  </si>
  <si>
    <t>/33.675686, /70.980597</t>
  </si>
  <si>
    <t>Los Aromos 341, Valdivia de Paine, Buin, Región Metropolitana, Chile</t>
  </si>
  <si>
    <t>/33.807879, /70.852828</t>
  </si>
  <si>
    <t>SECTOR LUMBRERAS S/N PARCELA 8</t>
  </si>
  <si>
    <t>/33.649885, /71.282893</t>
  </si>
  <si>
    <t>CAMPAMENTO 25 DE NOVIEMBRE CASA 57</t>
  </si>
  <si>
    <t>AV BERNARDO O"HIGGINS 1115</t>
  </si>
  <si>
    <t>/33.743228, /70.749665</t>
  </si>
  <si>
    <t>NUEVO AMANECER 64</t>
  </si>
  <si>
    <t>/33.306022,/70.852635</t>
  </si>
  <si>
    <t>LA ESTANCILLA 4155.</t>
  </si>
  <si>
    <t>/33.782447, /70.837482</t>
  </si>
  <si>
    <t>Liliums 94</t>
  </si>
  <si>
    <t>/33.619929, /70.811261</t>
  </si>
  <si>
    <t>PJE EL MAIPO ..1231</t>
  </si>
  <si>
    <t>/33.694171, /71.224613</t>
  </si>
  <si>
    <t>Los Aromos, Viluco, Buin, Región Metropolitana, Chile</t>
  </si>
  <si>
    <t>/33.778090, /70.785397</t>
  </si>
  <si>
    <t>Tercera avenida 1775 lote 1</t>
  </si>
  <si>
    <t>/33.569854, /70.788039</t>
  </si>
  <si>
    <t>Las codornices 1246</t>
  </si>
  <si>
    <t>/33.695002, /71.225901</t>
  </si>
  <si>
    <t>Pje. Diputada Laura Allende G. 653, Colina, Región Metropolitana, Chile</t>
  </si>
  <si>
    <t>/33.190667, /70.673237</t>
  </si>
  <si>
    <t>El Acacio n9</t>
  </si>
  <si>
    <t>/33.087755, /70.922508</t>
  </si>
  <si>
    <t>Simón bolivar lot 10 casa 1</t>
  </si>
  <si>
    <t>/33.226958, /70.802920</t>
  </si>
  <si>
    <t>Plazuela parada 5 sitio 23</t>
  </si>
  <si>
    <t>/33.158386, /70.886127</t>
  </si>
  <si>
    <t>Santo tomas 5105 9b</t>
  </si>
  <si>
    <t>/33.702244, /70.928626</t>
  </si>
  <si>
    <t>Ote. 100, Ciudad de México, CDMX, México</t>
  </si>
  <si>
    <t>/33.133925, /70.804888</t>
  </si>
  <si>
    <t>Av. Los Silos 592, 9710657 Padre Hurtado, Región Metropolitana, Chile</t>
  </si>
  <si>
    <t>/33.573304, /70.810828</t>
  </si>
  <si>
    <t>La Arcaya L/9</t>
  </si>
  <si>
    <t>/33.252073, /70.697530</t>
  </si>
  <si>
    <t>Las Mercedes 29 camino el tranque</t>
  </si>
  <si>
    <t>/33.490804, /71.186892</t>
  </si>
  <si>
    <t>Los magnolio 47</t>
  </si>
  <si>
    <t>/33.723137, /70.543779</t>
  </si>
  <si>
    <t>Brisas del norte g10</t>
  </si>
  <si>
    <t>/33.630987, /70.817979</t>
  </si>
  <si>
    <t>Av. 18 de Septiembre 1980, 9541121 Maipo, Paine, Región Metropolitana, Chile</t>
  </si>
  <si>
    <t>/33.806707, /70.714803</t>
  </si>
  <si>
    <t>Manuel plaza 835</t>
  </si>
  <si>
    <t>/33.442354, /70.635267</t>
  </si>
  <si>
    <t>La escuela 13</t>
  </si>
  <si>
    <t>/33.722207, /70.545843</t>
  </si>
  <si>
    <t>Uribe 887</t>
  </si>
  <si>
    <t>/33.226179, /70.806464</t>
  </si>
  <si>
    <t>Los corrales 94</t>
  </si>
  <si>
    <t>/33.728399, /70.554273</t>
  </si>
  <si>
    <t>Parcela 22 casa p santa Carolina</t>
  </si>
  <si>
    <t>/33.218603, /70.788177</t>
  </si>
  <si>
    <t>El oliveto</t>
  </si>
  <si>
    <t>/33.710369, /70.851025</t>
  </si>
  <si>
    <t>Los acacios 452</t>
  </si>
  <si>
    <t>/33.710388, /70.850852</t>
  </si>
  <si>
    <t>Inglaterra 1244</t>
  </si>
  <si>
    <t>/33.227933, /70.811812</t>
  </si>
  <si>
    <t>Las Banderas, Nicaragua</t>
  </si>
  <si>
    <t>/33.697732, /70.577148</t>
  </si>
  <si>
    <t>Rio ñuble 561</t>
  </si>
  <si>
    <t>/33.572344, /70.810307</t>
  </si>
  <si>
    <t>Quebrada las Malvas 150</t>
  </si>
  <si>
    <t>/33.333509, /70.768045</t>
  </si>
  <si>
    <t>Luis Valdez Larraín 0591</t>
  </si>
  <si>
    <t>/33.720733, /70.737130</t>
  </si>
  <si>
    <t>Paula Gomez Canepa 2082, Buin, Región Metropolitana, Chile</t>
  </si>
  <si>
    <t>/33.731415, /70.761029</t>
  </si>
  <si>
    <t>Santo Tomás 5101 Lt11</t>
  </si>
  <si>
    <t>/33.723099, /70.868775</t>
  </si>
  <si>
    <t>Pasaje romeros</t>
  </si>
  <si>
    <t>/33.213064, /70.676936</t>
  </si>
  <si>
    <t>Aparición 9</t>
  </si>
  <si>
    <t>/33.521282, /70.598781</t>
  </si>
  <si>
    <t>El litre 137</t>
  </si>
  <si>
    <t>/33.454619, /70.627176</t>
  </si>
  <si>
    <t>Parcelación principal sitio 39</t>
  </si>
  <si>
    <t>/33.708424, /70.558841</t>
  </si>
  <si>
    <t>El molino interior 065</t>
  </si>
  <si>
    <t>/33.199619, /70.650858</t>
  </si>
  <si>
    <t>Carmen Bajo, Melipilla, Región Metropolitana, Chile</t>
  </si>
  <si>
    <t>/33.722153, /71.193360</t>
  </si>
  <si>
    <t>Calle queule 917</t>
  </si>
  <si>
    <t>/33.194412, /70.683632</t>
  </si>
  <si>
    <t>Cam. Padre Hurtado 605, San Bernardo, Región Metropolitana, Chile</t>
  </si>
  <si>
    <t>/33.739706, /70.681765</t>
  </si>
  <si>
    <t>Joaquín Undurraga casa 2 parcela 28</t>
  </si>
  <si>
    <t>/33.260035, /70.891835</t>
  </si>
  <si>
    <t>Carmen bajo s/n cv66</t>
  </si>
  <si>
    <t>/33.723053, /71.194648</t>
  </si>
  <si>
    <t>Santa berta 260</t>
  </si>
  <si>
    <t>/33.657581, /70.929743</t>
  </si>
  <si>
    <t>Bernardo ohiggins 0634</t>
  </si>
  <si>
    <t>/33.211043, /70.674200</t>
  </si>
  <si>
    <t>Los pinos 244</t>
  </si>
  <si>
    <t>/33.171453, /70.889499</t>
  </si>
  <si>
    <t>Liviana sitio 21</t>
  </si>
  <si>
    <t>/33.312761, /70.770782</t>
  </si>
  <si>
    <t>Media luna 5712</t>
  </si>
  <si>
    <t>/33.672449, /70.832611</t>
  </si>
  <si>
    <t>José flores casa 3 108</t>
  </si>
  <si>
    <t>/33.628466, /70.770698</t>
  </si>
  <si>
    <t>Mandinga, Melipilla, Región Metropolitana, Chile</t>
  </si>
  <si>
    <t>/33.795569, /71.299257</t>
  </si>
  <si>
    <t>Lonquén Nte. 12, Calera de Tango, Región Metropolitana, Chile</t>
  </si>
  <si>
    <t>/33.469996, /70.600940</t>
  </si>
  <si>
    <t>Padre hurtado 06501</t>
  </si>
  <si>
    <t>/33.675980, /70.669204</t>
  </si>
  <si>
    <t>Cuarta transversal 165</t>
  </si>
  <si>
    <t>/33.568676, /70.787682</t>
  </si>
  <si>
    <t>Italia 1457</t>
  </si>
  <si>
    <t>/33.230948, /70.761264</t>
  </si>
  <si>
    <t>Cuarta Transversal 165, 9710233 Padre Hurtado, Región Metropolitana, Chile</t>
  </si>
  <si>
    <t>/33.568857, /70.787489</t>
  </si>
  <si>
    <t>Luis Valdes Larrain 0605, Buin, Región Metropolitana, Chile</t>
  </si>
  <si>
    <t>/33.721171, /70.737151</t>
  </si>
  <si>
    <t>Ruta G84 157, El Prado, San Pedro, Región Metropolitana, Chile</t>
  </si>
  <si>
    <t>/33.937435, /71.485876</t>
  </si>
  <si>
    <t>El conductor 303</t>
  </si>
  <si>
    <t>/33.733632, /70.729187</t>
  </si>
  <si>
    <t>Pasaje los olmos casa 4</t>
  </si>
  <si>
    <t>/33.631836, /70.759878</t>
  </si>
  <si>
    <t>Sgto. Aldea, Chillán, Ñuble, Chile</t>
  </si>
  <si>
    <t>/33.653520, /70.930576</t>
  </si>
  <si>
    <t>Pte las vertientes 2300</t>
  </si>
  <si>
    <t>/33.294407, /70.874309</t>
  </si>
  <si>
    <t>Jaime atria 10761</t>
  </si>
  <si>
    <t>/33.834446, /70.647368</t>
  </si>
  <si>
    <t>Francisco Jofre, Curacavi, Curacaví, Región Metropolitana, Chile</t>
  </si>
  <si>
    <t>/33.411771, /71.153949</t>
  </si>
  <si>
    <t>La unión 145 santa rosa</t>
  </si>
  <si>
    <t>/33.568685, /70.787716</t>
  </si>
  <si>
    <t>Escritor Ricardo latham</t>
  </si>
  <si>
    <t>/33.454573, /70.627147</t>
  </si>
  <si>
    <t>Camino servidumbre lote 10</t>
  </si>
  <si>
    <t>/33.226569, /70.802152</t>
  </si>
  <si>
    <t>Rungue, Tiltil, Región Metropolitana, Chile</t>
  </si>
  <si>
    <t>/33.006534, /70.886776</t>
  </si>
  <si>
    <t>Orilla del Río, Provincia de Chiriquí, Panamá</t>
  </si>
  <si>
    <t>/33.708066, /70.543344</t>
  </si>
  <si>
    <t>Cuarta Transversal 316, Padre Hurtado, Región Metropolitana, Chile</t>
  </si>
  <si>
    <t>/33.568975, /70.787232</t>
  </si>
  <si>
    <t>Los Orquideas, Requinoa, Requínoa, O'Higgins, Chile</t>
  </si>
  <si>
    <t>/33.011572, /70.889000</t>
  </si>
  <si>
    <t>Pje. Manuel Contreras Mondaca 518, Buin, Región Metropolitana, Chile</t>
  </si>
  <si>
    <t>/33.720144, /70.744173</t>
  </si>
  <si>
    <t>El principal parcela 21</t>
  </si>
  <si>
    <t>/33.714513, /70.559156</t>
  </si>
  <si>
    <t>Acogedor 965</t>
  </si>
  <si>
    <t>/33.230940, /70.804545</t>
  </si>
  <si>
    <t>Gabriela Mistral 127</t>
  </si>
  <si>
    <t>/33.607488, /70.853828</t>
  </si>
  <si>
    <t>Fresia 98</t>
  </si>
  <si>
    <t>/33.608923, /70.854508</t>
  </si>
  <si>
    <t>SIN CALLE S/N PARC ABRANTES 2,</t>
  </si>
  <si>
    <t>/33.867167, /70.842738</t>
  </si>
  <si>
    <t>Lo Seco 948, Colina, Región Metropolitana, Chile</t>
  </si>
  <si>
    <t>/33.189189, /70.684003</t>
  </si>
  <si>
    <t>Pasaje plantaron 481</t>
  </si>
  <si>
    <t>/33.235761, /70.773696</t>
  </si>
  <si>
    <t>Lo seco 948</t>
  </si>
  <si>
    <t>Cam. Las Flores, Las Condes, Región Metropolitana, Chile</t>
  </si>
  <si>
    <t>/33.621566, /70.758826</t>
  </si>
  <si>
    <t>Hijuelas, Valparaíso, Chile</t>
  </si>
  <si>
    <t>/33.864328, /70.861985</t>
  </si>
  <si>
    <t>NUAÑES DE BALBOA 0270</t>
  </si>
  <si>
    <t>/33.207207, /70.677015</t>
  </si>
  <si>
    <t>Los maitenes sitio 3</t>
  </si>
  <si>
    <t>EL PRINCIPAL PARC 29/B</t>
  </si>
  <si>
    <t>/33.734198, /70.559410</t>
  </si>
  <si>
    <t>/33.734238, /70.559449</t>
  </si>
  <si>
    <t>Prof. Miguel Albrecht 425, 9380144 Lampa, Región Metropolitana, Chile</t>
  </si>
  <si>
    <t>/33.284037, /70.886205</t>
  </si>
  <si>
    <t>/33.734205, /70.559436</t>
  </si>
  <si>
    <t>Manuel Montt, Lampa, Región Metropolitana, Chile</t>
  </si>
  <si>
    <t>/33.275185, /70.888759</t>
  </si>
  <si>
    <t>Manuel montt sin número</t>
  </si>
  <si>
    <t>/33.274553, /70.887437</t>
  </si>
  <si>
    <t>CJ WL PWRAL 3 PINTUECALLEJ WL PERAL PARC 14 SITIO</t>
  </si>
  <si>
    <t>/33.863810, /70.879675</t>
  </si>
  <si>
    <t>Lo Arcaya 23, c, 9361152 Chacabuco, Colina, Región Metropolitana, Chile</t>
  </si>
  <si>
    <t>/33.243243, /70.706137</t>
  </si>
  <si>
    <t>Coelemu 107, Lampa, Región Metropolitana, Chile</t>
  </si>
  <si>
    <t>/33.290807, /70.889092</t>
  </si>
  <si>
    <t>Las Palmeras 2143</t>
  </si>
  <si>
    <t>Raul fuentes abarca 2053</t>
  </si>
  <si>
    <t>/33.573972, /70.806373</t>
  </si>
  <si>
    <t>Fundo san alfonso parcela 22</t>
  </si>
  <si>
    <t>AVENIDA DICIOCHO DE SEPTIEMBRE 1309</t>
  </si>
  <si>
    <t>AV VILUCO 4150 SITIO 1</t>
  </si>
  <si>
    <t>CAMINO INTERIOR S/N LOTE B 6</t>
  </si>
  <si>
    <t>/33.254384, /70.756916</t>
  </si>
  <si>
    <t>PANAMERICANA NORTE KM24 LOTE B6</t>
  </si>
  <si>
    <t>/33.253969, /70.755831</t>
  </si>
  <si>
    <t>ABENIDA DICIOCHO DE SEPTIEMBRE</t>
  </si>
  <si>
    <t>/33.806263, /70.723132</t>
  </si>
  <si>
    <t>Buin co. PAINE LONQUEN 9150 CASA 2</t>
  </si>
  <si>
    <t>/33.752938, /70.815671</t>
  </si>
  <si>
    <t>HERNAN PRIETO PARC. 28</t>
  </si>
  <si>
    <t>/33.684234, /70.577899</t>
  </si>
  <si>
    <t>HERNAN PRIETO PARC 28</t>
  </si>
  <si>
    <t>/33.684219, /70.577875</t>
  </si>
  <si>
    <t>SANTA ADELA 74 SN JOSE VILUCO</t>
  </si>
  <si>
    <t>/33.777679, /70.794280</t>
  </si>
  <si>
    <t>/33.684220, /70.577906</t>
  </si>
  <si>
    <t>/33.684213, /70.577896</t>
  </si>
  <si>
    <t>LAGO CALAFQUEN S/N PS 3</t>
  </si>
  <si>
    <t>/33.243243, /70.792312</t>
  </si>
  <si>
    <t>SERVIDUMBRE A 18 Región Metropolitana, Chile</t>
  </si>
  <si>
    <t>/33.217550, /70.772467</t>
  </si>
  <si>
    <t>BALMACEDA 374</t>
  </si>
  <si>
    <t>CAMINO COQUIMBO BIEN COMUN 1</t>
  </si>
  <si>
    <t>/33.226658, /70.808197</t>
  </si>
  <si>
    <t>CAMPAMENTO 25 DE NOVIEMBRE CASA 13</t>
  </si>
  <si>
    <t>Los Espinos 2761, 9460056 Cordillera, San José de Maipo, Región Metropolitana, Chile</t>
  </si>
  <si>
    <t>Francia 25, Batuco, Lampa, Región Metropolitana, Chile</t>
  </si>
  <si>
    <t>/33.226913, /70.808254</t>
  </si>
  <si>
    <t>CAMPAMENTO 25 DE NOVIEMBRE CASA 12</t>
  </si>
  <si>
    <t>CAMPAMENTO 25 DE NOVIEMBRE CASA 24</t>
  </si>
  <si>
    <t>Padre hurtado 75</t>
  </si>
  <si>
    <t>Pje. Hacienda Lampa, Lampa, Región Metropolitana, Chile</t>
  </si>
  <si>
    <t>/33.293121, /70.849299</t>
  </si>
  <si>
    <t>Blvd. San Cristobal 388, Lampa, Región Metropolitana, Chile</t>
  </si>
  <si>
    <t>/33.325445, /70.765999</t>
  </si>
  <si>
    <t>Cno int s/26 v/1 parc el lucero</t>
  </si>
  <si>
    <t>/33.255285, /70.881757</t>
  </si>
  <si>
    <t>MANUEL RODRIGUEZ 261 DEPTO 31</t>
  </si>
  <si>
    <t>Filomeno Cifuentes s 4</t>
  </si>
  <si>
    <t>/33.244030, /70.824314</t>
  </si>
  <si>
    <t>EL TACO DEL VALLE S/N 0</t>
  </si>
  <si>
    <t>CAMINO INTERIOR PARCELA 91Lampa, Región Metropolitana, Chile</t>
  </si>
  <si>
    <t>/33.313016, /70.862809</t>
  </si>
  <si>
    <t>Colombia</t>
  </si>
  <si>
    <t>/33.073754, /70.722202</t>
  </si>
  <si>
    <t>PAINE, MANCEL P1 SITIO 2</t>
  </si>
  <si>
    <t>/33.855994, /70.793552</t>
  </si>
  <si>
    <t>Cam. Interior Parcela 7 , lampa</t>
  </si>
  <si>
    <t>/33.313035, /70.862793</t>
  </si>
  <si>
    <t>CAMINO INTERIOR PARCELA 7 LAMPA</t>
  </si>
  <si>
    <t>/33.313027, /70.862796</t>
  </si>
  <si>
    <t>/33.856002, /70.793451</t>
  </si>
  <si>
    <t>CAMINO INTERIOR PARCELA 7Lampa, Región Metropolitana, Chile</t>
  </si>
  <si>
    <t>/33.312986, /70.862819</t>
  </si>
  <si>
    <t>Camimo inyerios hacienda el sol parcela 7A</t>
  </si>
  <si>
    <t>/33.313060, /70.862797</t>
  </si>
  <si>
    <t>Las Turbinas, La Turbina, Paine, Región Metropolitana, Chile</t>
  </si>
  <si>
    <t>/33.590124, /70.598769</t>
  </si>
  <si>
    <t>/33.313150, /70.862827</t>
  </si>
  <si>
    <t>Camino interior parcela9</t>
  </si>
  <si>
    <t>/33.313123, /70.862734</t>
  </si>
  <si>
    <t>Camino interior parcela 9</t>
  </si>
  <si>
    <t>/33.313178, /70.862973</t>
  </si>
  <si>
    <t>El Taco del Valle, Lampa, Región Metropolitana, Chile</t>
  </si>
  <si>
    <t>Longisur 250</t>
  </si>
  <si>
    <t>CJ EL MANZANO S/N CAMINO EL MANZANILLO LT/6</t>
  </si>
  <si>
    <t>/33.864422, /70.851118</t>
  </si>
  <si>
    <t>Co A lonquen norte parc 9 s/10 s/n santa sofia</t>
  </si>
  <si>
    <t>/33.596602, /70.782155</t>
  </si>
  <si>
    <t>PAINE ,MANSEL P 1 S.2</t>
  </si>
  <si>
    <t>/33.855885, /70.793609</t>
  </si>
  <si>
    <t>Cardonal bajo 28</t>
  </si>
  <si>
    <t>/33.855858, /70.793627</t>
  </si>
  <si>
    <t>JUAN MAISONAVE SN HIJ 46 PAR 55 LAMPA</t>
  </si>
  <si>
    <t>/33.241851, /70.819076</t>
  </si>
  <si>
    <t>Pajaritos 136 a</t>
  </si>
  <si>
    <t>/33.598234, /70.848658</t>
  </si>
  <si>
    <t>GILDA DIAZ JIRON 1216</t>
  </si>
  <si>
    <t>/33.818589, /70.745033</t>
  </si>
  <si>
    <t>Villa la salud pasaje el sauce n7</t>
  </si>
  <si>
    <t>/33.818535, /70.745342</t>
  </si>
  <si>
    <t>PASAJE SR. CARLOS RUZ VIERA 293</t>
  </si>
  <si>
    <t>/33.279701, /70.887086</t>
  </si>
  <si>
    <t>Tres Ote. 374, 9420279 Huertos Familiares, Tiltil, Región Metropolitana, Chile</t>
  </si>
  <si>
    <t>/33.141804, /70.796243</t>
  </si>
  <si>
    <t>CO OCHO PONIENTE 841VILUCO LT/8B</t>
  </si>
  <si>
    <t>/33.804096, /70.759675</t>
  </si>
  <si>
    <t>CAMINO LA ENDESA Tiltil, Región Metropolitana, Chile</t>
  </si>
  <si>
    <t>/33.173870, /70.886718</t>
  </si>
  <si>
    <t>LOTE 34 Sta. Sara, Lampa, Región Metropolitana, Chile</t>
  </si>
  <si>
    <t>/33.219049, /70.774093</t>
  </si>
  <si>
    <t>PARCELA STA SARA LOTE A4</t>
  </si>
  <si>
    <t>/33.219097, /70.774056</t>
  </si>
  <si>
    <t>Cuyuncaví pc 259</t>
  </si>
  <si>
    <t>/33.378512, /71.092618</t>
  </si>
  <si>
    <t>Balmaceda 521, Lampa, Región Metropolitana, Chile</t>
  </si>
  <si>
    <t>Pasaje cuatro 0296 v naranjos</t>
  </si>
  <si>
    <t>/33.851261, /70.767224</t>
  </si>
  <si>
    <t>CAMINO INTERIOR PARCELA B SANTA SARA LOTE 6 LAMPA</t>
  </si>
  <si>
    <t>/33.237158, /70.772975</t>
  </si>
  <si>
    <t>El carmen parcela 5 lote 1 8/n los jardines de tango</t>
  </si>
  <si>
    <t>ALCALDE HERNAN PRIETO 1501</t>
  </si>
  <si>
    <t>/33.653923, /70.587383</t>
  </si>
  <si>
    <t>HACIENDA LAMPA PARCELA 29 LOTE 5 E 0</t>
  </si>
  <si>
    <t>/33.293137, /70.849514</t>
  </si>
  <si>
    <t>/33.653852, /70.587346</t>
  </si>
  <si>
    <t>ALCALDE HERNAN PRIETO 150</t>
  </si>
  <si>
    <t>/33.653871, /70.587363</t>
  </si>
  <si>
    <t>HACIENDA LAMPA PARCELA 29</t>
  </si>
  <si>
    <t>/33.293131, /70.849327</t>
  </si>
  <si>
    <t>Río Aconcagua 51, Concón, Valparaíso, Chile</t>
  </si>
  <si>
    <t>/33.099099, /70.934089</t>
  </si>
  <si>
    <t>JUAN DE DIOS MARTICONERA S/N HIJO LOTE EL LUCWEO</t>
  </si>
  <si>
    <t>/33.261925, /70.883263</t>
  </si>
  <si>
    <t>CALLE RIO ACONCAGUA N 49</t>
  </si>
  <si>
    <t>Pje. Volcán San Pedro 4, Tiltil, Región Metropolitana, Chile</t>
  </si>
  <si>
    <t>Los pajaritos 0786</t>
  </si>
  <si>
    <t>/33.596956, /70.846421</t>
  </si>
  <si>
    <t>CHINIGUE EL CRISTO S/N ST 5</t>
  </si>
  <si>
    <t>/33.684511, /71.102012</t>
  </si>
  <si>
    <t>Santa Teresa villuco 027</t>
  </si>
  <si>
    <t>JUAN DE DIOS MARTICORENA LOTE EL LUCERO 236</t>
  </si>
  <si>
    <t>/33.261840, /70.882924</t>
  </si>
  <si>
    <t>CO A PAINE 4650 VILUCO CAM PAINE LONQUEN,BUIN</t>
  </si>
  <si>
    <t>/33.792382, /70.782218</t>
  </si>
  <si>
    <t>ERRAZURIZ S/N HIJ 6 PARC 36</t>
  </si>
  <si>
    <t>/33.792481, /70.782202</t>
  </si>
  <si>
    <t>ERRAZURIZ S/N HIJ 6 PAR 36</t>
  </si>
  <si>
    <t>PA LOS SILOS 039 STA TERESA VILUCO PA LOS SILOS LOTE /,BUIN</t>
  </si>
  <si>
    <t>/33.796518, /70.775770</t>
  </si>
  <si>
    <t>Marcela Paz 116</t>
  </si>
  <si>
    <t>/33.600887, /70.850397</t>
  </si>
  <si>
    <t>CAMINO LA PALMA S/N/ CV7 TALAGANTE, TALAGANTE, TALAGANTE</t>
  </si>
  <si>
    <t>/33.701333, /70.959602</t>
  </si>
  <si>
    <t>CO 8 PONIENTE 925 LT9F SECTOR VILUCO</t>
  </si>
  <si>
    <t>/33.805584, /70.760506</t>
  </si>
  <si>
    <t>LOS ACACIOS 115</t>
  </si>
  <si>
    <t>/33.864019, /70.729764</t>
  </si>
  <si>
    <t>/33.864027, /70.729780</t>
  </si>
  <si>
    <t>/33.864020, /70.729752</t>
  </si>
  <si>
    <t>RUTA G144 S N LOTE B C G SIT 1</t>
  </si>
  <si>
    <t>/33.225225, /70.799265</t>
  </si>
  <si>
    <t>AVDA EL HUMEDAL 3798</t>
  </si>
  <si>
    <t>Pje. Uno, Padre Hurtado, Región Metropolitana, Chile</t>
  </si>
  <si>
    <t>/33.569933, /70.814400</t>
  </si>
  <si>
    <t>PUENTE DE MAIPO VIEJO S/N RUTA 5 SUR</t>
  </si>
  <si>
    <t>/33.696981, /70.725798</t>
  </si>
  <si>
    <t>21440 Lepe, Huelva, España</t>
  </si>
  <si>
    <t>/33.404908, /71.128196</t>
  </si>
  <si>
    <t>CAMINO LONQUEN 236 SUR SITIO 38</t>
  </si>
  <si>
    <t>/33.693562, /70.853632</t>
  </si>
  <si>
    <t>Santa Teresa 047</t>
  </si>
  <si>
    <t>CO PAINE LONQUEN 5254 VILUCO ST 17,BUIN</t>
  </si>
  <si>
    <t>/33.786461, /70.788813</t>
  </si>
  <si>
    <t>Santa Teresa 043</t>
  </si>
  <si>
    <t>COLONIAS PAINE 75 PAINE COLONIAS PAINE PARC,PAINE</t>
  </si>
  <si>
    <t>/33.834827, /70.780734</t>
  </si>
  <si>
    <t>Málaga 312</t>
  </si>
  <si>
    <t>/33.569101, /70.810074</t>
  </si>
  <si>
    <t>Errázuriz 313, Batuco, Lampa, Región Metropolitana, Chile</t>
  </si>
  <si>
    <t>/33.234075, /70.810855</t>
  </si>
  <si>
    <t>Racahue 46 C</t>
  </si>
  <si>
    <t>Simon bolivar 668</t>
  </si>
  <si>
    <t>/33.227306, /70.808407</t>
  </si>
  <si>
    <t>Pedro Aguirre Cerda, Región Metropolitana, Chile</t>
  </si>
  <si>
    <t>/33.821165, /70.767679</t>
  </si>
  <si>
    <t>LA COLONIA 20 DE PAINE LOTE 2 PARC 20 DE PAINE LOTE 2</t>
  </si>
  <si>
    <t>/33.821594, /70.767559</t>
  </si>
  <si>
    <t>San Luis parcela 2 buin</t>
  </si>
  <si>
    <t>Camino servidumbre lote 17 B</t>
  </si>
  <si>
    <t>/33.245496, /70.805574</t>
  </si>
  <si>
    <t>Colonias de Paine 68, Paine, Región Metropolitana, Chile</t>
  </si>
  <si>
    <t>/33.830568, /70.771390</t>
  </si>
  <si>
    <t>Las Calerias 468, Batuco, Lampa, Región Metropolitana, Chile</t>
  </si>
  <si>
    <t>/33.234874, /70.808927</t>
  </si>
  <si>
    <t>Psj los nisperos 855</t>
  </si>
  <si>
    <t>/33.195503, /70.682796</t>
  </si>
  <si>
    <t>Psj san jose sn lot 1</t>
  </si>
  <si>
    <t>/33.245122, /70.700968</t>
  </si>
  <si>
    <t>San José, California, EE. UU.</t>
  </si>
  <si>
    <t>/33.245081, /70.701126</t>
  </si>
  <si>
    <t>Nicanor molinare 299</t>
  </si>
  <si>
    <t>/33.605676, /70.898838</t>
  </si>
  <si>
    <t>PASJ YOLANDA INESTROZA MOLINA 133</t>
  </si>
  <si>
    <t>/33.297297, /70.900817</t>
  </si>
  <si>
    <t>Av. Romero, Paine, Región Metropolitana, Chile</t>
  </si>
  <si>
    <t>/33.858935, /70.738350</t>
  </si>
  <si>
    <t>Pje. Patricio Elgueta 42, Cabildo, Valparaíso, Chile</t>
  </si>
  <si>
    <t>/33.680217, /71.219853</t>
  </si>
  <si>
    <t>Dos Ote. 270, Huertos Familiares, Tiltil, Región Metropolitana, Chile</t>
  </si>
  <si>
    <t>/33.139190, /70.800800</t>
  </si>
  <si>
    <t>PJE CURACAUTIN 1419</t>
  </si>
  <si>
    <t>CJ UNO SITIO B</t>
  </si>
  <si>
    <t>PATRICIO LARRAIN 149</t>
  </si>
  <si>
    <t>/33.674994, /71.214669</t>
  </si>
  <si>
    <t>Chorrillo 1 sitio 20</t>
  </si>
  <si>
    <t>/33.344238, /70.834294</t>
  </si>
  <si>
    <t>/33.344238, /70.834289</t>
  </si>
  <si>
    <t>PARCELA 13 LAS COLONIAS DE PAINE CALLE PEDRO AGUIRE CERDA</t>
  </si>
  <si>
    <t>/33.822024, /70.764179</t>
  </si>
  <si>
    <t>JOAQUIN UNDURRAGA PARCELA 28 B VIVIENDA 3</t>
  </si>
  <si>
    <t>Condominio Miraflores de Lipangue 20, Lampa, Región Metropolitana, Chile</t>
  </si>
  <si>
    <t>/33.344245, /70.834298</t>
  </si>
  <si>
    <t>Williams Rebolledo, Ñuñoa, Región Metropolitana, Chile</t>
  </si>
  <si>
    <t>/33.402302, /71.132801</t>
  </si>
  <si>
    <t>Juan Antonio Rios, Paine, Región Metropolitana, Chile</t>
  </si>
  <si>
    <t>/33.832449, /70.774351</t>
  </si>
  <si>
    <t>Au. Panamericana Nte. Km. 24.5, Puente Piedra 15121, Perú</t>
  </si>
  <si>
    <t>/33.254369, /70.756890</t>
  </si>
  <si>
    <t>CAMINO INTERIOR CASA 2 SITIO H PARCELA 11</t>
  </si>
  <si>
    <t>/33.253902, /70.755900</t>
  </si>
  <si>
    <t>San Judas Tadeo 19 santa María</t>
  </si>
  <si>
    <t>/33.806776, /70.739535</t>
  </si>
  <si>
    <t>/33.233079, /70.813462</t>
  </si>
  <si>
    <t>SIMON BOLIVAR S/N PARCELA 66</t>
  </si>
  <si>
    <t>/33.226990, /70.808533</t>
  </si>
  <si>
    <t>SIMON BOLIVAR S/N 31 PARCELA 66</t>
  </si>
  <si>
    <t>/33.226972, /70.808547</t>
  </si>
  <si>
    <t>J. J. Pérez, La Calera, Calera, Valparaíso, Chile</t>
  </si>
  <si>
    <t>/33.729486, /70.740727</t>
  </si>
  <si>
    <t>MARTIN ALONSO PINZON 1624</t>
  </si>
  <si>
    <t>/33.820499, /70.742160</t>
  </si>
  <si>
    <t>MANUEL CASTILLO 401 LOTE /5</t>
  </si>
  <si>
    <t>/33.608699, /70.852792</t>
  </si>
  <si>
    <t>Principal 193G</t>
  </si>
  <si>
    <t>/33.812051, /70.740529</t>
  </si>
  <si>
    <t>Los morros 3298</t>
  </si>
  <si>
    <t>/33.660441, /70.661597</t>
  </si>
  <si>
    <t>Zozimo 799errazuriz</t>
  </si>
  <si>
    <t>/33.590206, /70.672812</t>
  </si>
  <si>
    <t>Miraflores 7553 BuinRegión Metropolitana, Chile</t>
  </si>
  <si>
    <t>/33.662506, /70.669080</t>
  </si>
  <si>
    <t>LA ESCUELA SITIO 11</t>
  </si>
  <si>
    <t>/33.076426, /70.771343</t>
  </si>
  <si>
    <t>Mercedez 955</t>
  </si>
  <si>
    <t>/33.656756, /70.931343</t>
  </si>
  <si>
    <t>SANTA SARA S 17/B</t>
  </si>
  <si>
    <t>/33.224660, /70.774882</t>
  </si>
  <si>
    <t>HUILCO ALTO 2085 CALLE LOS OLMOS MELIPILLA,MELIPILLA</t>
  </si>
  <si>
    <t>/33.704608, /71.219470</t>
  </si>
  <si>
    <t>Mercedes 895</t>
  </si>
  <si>
    <t>/33.656300, /70.930416</t>
  </si>
  <si>
    <t>SAN MANUEL S/N HIJUELA EL BOSQUE KM4 LT1/B MELIPILLA</t>
  </si>
  <si>
    <t>/33.765532, /71.289204</t>
  </si>
  <si>
    <t>Carlos Condell 51 Talagante</t>
  </si>
  <si>
    <t>/33.653025, /70.930311</t>
  </si>
  <si>
    <t>CALLE CODIGUA LAS TINAJAS LOTE 1</t>
  </si>
  <si>
    <t>/33.835331, /71.369921</t>
  </si>
  <si>
    <t>JUAN ANTONIO RIOS PARC 71 SITIO 5</t>
  </si>
  <si>
    <t>/33.832469, /70.774354</t>
  </si>
  <si>
    <t>JUAN ANTONIO RIOS PARC 71</t>
  </si>
  <si>
    <t>/33.832455, /70.774344</t>
  </si>
  <si>
    <t>Cinco oriente B/015 villa Jesús</t>
  </si>
  <si>
    <t>/33.611873, /70.818464</t>
  </si>
  <si>
    <t>Callejón de los diaz sitio 40</t>
  </si>
  <si>
    <t>/33.095627, /70.930550</t>
  </si>
  <si>
    <t>El sarmiento 175</t>
  </si>
  <si>
    <t>/33.407489, /71.148307</t>
  </si>
  <si>
    <t>Campamento sol de septiembre 642</t>
  </si>
  <si>
    <t>/33.305418, /70.865807</t>
  </si>
  <si>
    <t>Sta. Sara, Batuco, Lampa, Región Metropolitana, Chile</t>
  </si>
  <si>
    <t>/33.237446, /70.772637</t>
  </si>
  <si>
    <t>San joaquin parc 4</t>
  </si>
  <si>
    <t>/33.461272, /71.036834</t>
  </si>
  <si>
    <t>Camino los ciruelos s/nlote 29</t>
  </si>
  <si>
    <t>/33.308365, /70.860512</t>
  </si>
  <si>
    <t>Fdo las achiras /5</t>
  </si>
  <si>
    <t>/33.397865, /71.229621</t>
  </si>
  <si>
    <t>Los tacones casa 10</t>
  </si>
  <si>
    <t>/33.309109, /70.859839</t>
  </si>
  <si>
    <t>San miguel s/n parc70</t>
  </si>
  <si>
    <t>/33.765430, /71.283773</t>
  </si>
  <si>
    <t>/33.765335, /71.283844</t>
  </si>
  <si>
    <t>Italia 259, 9390183 Chacabuco, Lampa, Región Metropolitana, Chile</t>
  </si>
  <si>
    <t>/33.237416, /70.812942</t>
  </si>
  <si>
    <t>Las camelias 73a</t>
  </si>
  <si>
    <t>/33.546115, /70.666229</t>
  </si>
  <si>
    <t>El maiten116</t>
  </si>
  <si>
    <t>/33.736561, /70.860371</t>
  </si>
  <si>
    <t>La Pataguilla sitio 41</t>
  </si>
  <si>
    <t>/33.494027, /71.005388</t>
  </si>
  <si>
    <t>Camino santa rosa parcela 9</t>
  </si>
  <si>
    <t>/33.259237, /70.760335</t>
  </si>
  <si>
    <t>/33.259162, /70.760376</t>
  </si>
  <si>
    <t>Challaco, Neuquén, Argentina</t>
  </si>
  <si>
    <t>/33.416583, /71.153753</t>
  </si>
  <si>
    <t>El maiten 467</t>
  </si>
  <si>
    <t>/33.734853, /70.863767</t>
  </si>
  <si>
    <t>Los rios 100</t>
  </si>
  <si>
    <t>/33.159942, /70.787855</t>
  </si>
  <si>
    <t>3 sur 359</t>
  </si>
  <si>
    <t>/33.137189, /70.796019</t>
  </si>
  <si>
    <t>/33.137135, /70.795981</t>
  </si>
  <si>
    <t>Presbítero Moraga 1802, 9630004 Melipilla, Curacaví, Región Metropolitana, Chile</t>
  </si>
  <si>
    <t>/33.405037, /71.128195</t>
  </si>
  <si>
    <t>Avnda San Antonio naltagua 7455</t>
  </si>
  <si>
    <t>/33.729702, /70.985530</t>
  </si>
  <si>
    <t>Gacitua 382</t>
  </si>
  <si>
    <t>/33.729438, /70.912611</t>
  </si>
  <si>
    <t>Psje San Antonio 3180</t>
  </si>
  <si>
    <t>/33.739783, /70.867461</t>
  </si>
  <si>
    <t>Sector la Unión de Codigua s/n lote 29</t>
  </si>
  <si>
    <t>/33.805763, /71.367782</t>
  </si>
  <si>
    <t>Alfonso Larrain Valdivieso 632</t>
  </si>
  <si>
    <t>/33.684245, /71.236651</t>
  </si>
  <si>
    <t>Diego Prado s/n</t>
  </si>
  <si>
    <t>/33.406945, /71.138112</t>
  </si>
  <si>
    <t>Pataguilla sitio 76 casa 3</t>
  </si>
  <si>
    <t>/33.498189, /70.997588</t>
  </si>
  <si>
    <t>Paj Granada 709</t>
  </si>
  <si>
    <t>/33.230057, /70.802683</t>
  </si>
  <si>
    <t>Lo Pérez 504, 9790362 Talagante, Isla de Maipo, Región Metropolitana, Chile</t>
  </si>
  <si>
    <t>/33.734784, /70.903709</t>
  </si>
  <si>
    <t>Pa las rosas 788</t>
  </si>
  <si>
    <t>/33.747456, /70.898081</t>
  </si>
  <si>
    <t>/33.237423, /70.813133</t>
  </si>
  <si>
    <t>HERMANOS CARRERA S/N HIJ46A</t>
  </si>
  <si>
    <t>/33.694647, /70.674409</t>
  </si>
  <si>
    <t>/33.636462, /70.862720</t>
  </si>
  <si>
    <t>LA FINCA 914 /C 155</t>
  </si>
  <si>
    <t>/33,294975/70,887197</t>
  </si>
  <si>
    <t>MOZART 343</t>
  </si>
  <si>
    <t>/33.602624, /70.867432</t>
  </si>
  <si>
    <t>Lo Martínez s/n lote23</t>
  </si>
  <si>
    <t>/33.743941, /70.915943</t>
  </si>
  <si>
    <t>Emilio balle 023</t>
  </si>
  <si>
    <t>/33.082464, /70.929129</t>
  </si>
  <si>
    <t>EL TANGUITO PARC 22</t>
  </si>
  <si>
    <t>/33.599775, /70.784648</t>
  </si>
  <si>
    <t>simon bolivar 668</t>
  </si>
  <si>
    <t>/33.226440, /70.809208</t>
  </si>
  <si>
    <t>Sta. Ana 605, 9390804 Valle Grande, Lampa, Región Metropolitana, Chile</t>
  </si>
  <si>
    <t>avenida argentina 1150</t>
  </si>
  <si>
    <t>/33.228679, /70.813132</t>
  </si>
  <si>
    <t>Av. Santelices 1265, 9790252 Isla de Maipo, Región Metropolitana, Chile</t>
  </si>
  <si>
    <t>/33.751539, /70.908765</t>
  </si>
  <si>
    <t>El Maitén, Chubut, Argentina</t>
  </si>
  <si>
    <t>/33.736678, /70.860520</t>
  </si>
  <si>
    <t>Cancha de Carreras 440, 9800238 La Islita, Isla de Maipo, Región Metropolitana, Chile</t>
  </si>
  <si>
    <t>UGALDE 7132B</t>
  </si>
  <si>
    <t>/33.684610, /71.205135</t>
  </si>
  <si>
    <t>Pasaje UNO 803</t>
  </si>
  <si>
    <t>CALLEJON DEL RIO SN</t>
  </si>
  <si>
    <t>/33.809008, /70.878621</t>
  </si>
  <si>
    <t>XWC9+JJ, Alhue, Alhué, Región Metropolitana, Chile</t>
  </si>
  <si>
    <t>/34.030058, /71.085994</t>
  </si>
  <si>
    <t>C1150 Cdad. Autónoma de Buenos Aires, Argentina</t>
  </si>
  <si>
    <t>/33.238822, /70.811014</t>
  </si>
  <si>
    <t>UGALDE 0132</t>
  </si>
  <si>
    <t>/33.684691, /71.205054</t>
  </si>
  <si>
    <t>Arquitecto Alberto Moreira Recchione 516, 9800397 La Islita, Isla de Maipo, Región Metropolitana, Chile</t>
  </si>
  <si>
    <t>Av. Lo Martínez 1021, El Bosque, Región Metropolitana, Chile</t>
  </si>
  <si>
    <t>Cam. Al Volcán 29442, El Melocotón, San José de Maipo, Región Metropolitana, Chile</t>
  </si>
  <si>
    <t>/33.714793, /70.331073</t>
  </si>
  <si>
    <t>Av. Santelices 940, 9790162 Talagante, Isla de Maipo, Región Metropolitana, Chile</t>
  </si>
  <si>
    <t>/33.753002, /70.906182</t>
  </si>
  <si>
    <t>Jaime Guzmán 1374, 9790347 Isla de Maipo, Región Metropolitana, Chile</t>
  </si>
  <si>
    <t>/33.740314, /70.904515</t>
  </si>
  <si>
    <t>1 oriente sitio 5 par B</t>
  </si>
  <si>
    <t>/33.137296, /70.805585</t>
  </si>
  <si>
    <t>PJE SAN JOSE 1330</t>
  </si>
  <si>
    <t>/33.746754, /70.907843</t>
  </si>
  <si>
    <t>Puangue, Melipilla, Región Metropolitana, Chile</t>
  </si>
  <si>
    <t>/33.656273, /71.280449</t>
  </si>
  <si>
    <t>LAS VIOLETAS 2498</t>
  </si>
  <si>
    <t>/33.761760, /70.738806</t>
  </si>
  <si>
    <t>Los Cespedes 406</t>
  </si>
  <si>
    <t>/33.732180, /70.911103</t>
  </si>
  <si>
    <t>Av. Lonquén, Región Metropolitana, Chile</t>
  </si>
  <si>
    <t>/33.598927, /70.784927</t>
  </si>
  <si>
    <t>LA VILUMA SITIO 15</t>
  </si>
  <si>
    <t>/33.781089, /71.085558</t>
  </si>
  <si>
    <t>Santa Inés 631</t>
  </si>
  <si>
    <t>/33.733249, /70.864820</t>
  </si>
  <si>
    <t>ESMERALDA 30 TALTAL B</t>
  </si>
  <si>
    <t>/33.680267, /71.193224</t>
  </si>
  <si>
    <t>/33.714795, /70.331080</t>
  </si>
  <si>
    <t>Av. España 1309, Batuco, Lampa, Región Metropolitana, Chile</t>
  </si>
  <si>
    <t>/33.241845, /70.819085</t>
  </si>
  <si>
    <t>Arturo Prat 475, 9500674 Maipo, Buin, Región Metropolitana, Chile</t>
  </si>
  <si>
    <t>/33.733458, /70.742558</t>
  </si>
  <si>
    <t>valle de la luna 693</t>
  </si>
  <si>
    <t>/33.282279, /70.881939</t>
  </si>
  <si>
    <t>Marcial Henríquez 332, 9680068 Talagante, Región Metropolitana, Chile</t>
  </si>
  <si>
    <t>/33.655033, /70.923397</t>
  </si>
  <si>
    <t>/33.596478, /70.782014</t>
  </si>
  <si>
    <t>Enrique Alcalde, Talagante, Región Metropolitana, Chile</t>
  </si>
  <si>
    <t>/33.740321, /70.864008</t>
  </si>
  <si>
    <t>San Agustín, Calera de Tango, Región Metropolitana, Chile</t>
  </si>
  <si>
    <t>/33.626269, /70.779928</t>
  </si>
  <si>
    <t>2 Ote. 260 lote 4 A.</t>
  </si>
  <si>
    <t>/33.139296, /70.801566</t>
  </si>
  <si>
    <t>G/494, Viluco, Buin, Región Metropolitana, Chile</t>
  </si>
  <si>
    <t>/33.542396, /70.635418</t>
  </si>
  <si>
    <t>CO LONQUEN 5249.</t>
  </si>
  <si>
    <t>/33.668895, /70.841971</t>
  </si>
  <si>
    <t>ROMERO 65 PARCELA 2 B</t>
  </si>
  <si>
    <t>/33.859947, /70.719707</t>
  </si>
  <si>
    <t>PEEDRO MARIN 105 CAMPO LINDO</t>
  </si>
  <si>
    <t>/33.675713, /71.215520</t>
  </si>
  <si>
    <t>Manuel Montt 130, Providencia, Región Metropolitana, Chile</t>
  </si>
  <si>
    <t>/33.727325, /70.742249</t>
  </si>
  <si>
    <t>PARCELA 22 EL MANZANITO</t>
  </si>
  <si>
    <t>/33.871806, /70.848561</t>
  </si>
  <si>
    <t>Los Lingues, lote 21</t>
  </si>
  <si>
    <t>/33.122347, /70.800953</t>
  </si>
  <si>
    <t>Los Lingues, sin número tiltil</t>
  </si>
  <si>
    <t>/33.124422, /70.800369</t>
  </si>
  <si>
    <t>/33.745542, /70.914960</t>
  </si>
  <si>
    <t>los lingues lote 21</t>
  </si>
  <si>
    <t>/33.108950, /70.793998</t>
  </si>
  <si>
    <t>Las Perdices 233, La Islita, Isla de Maipo, Región Metropolitana, Chile</t>
  </si>
  <si>
    <t>/33.521763, /70.597954</t>
  </si>
  <si>
    <t>/33.596072, /70.783240</t>
  </si>
  <si>
    <t>AV Santelices 2712.</t>
  </si>
  <si>
    <t>/33.746940, /70.921848</t>
  </si>
  <si>
    <t>Pedro Montt 90, Batuco, Lampa, Región Metropolitana, Chile</t>
  </si>
  <si>
    <t>/33.234798, /70.812947</t>
  </si>
  <si>
    <t>parcelacion santa ana sn parcela 39 lote 6</t>
  </si>
  <si>
    <t>/33.109102, /70.793955</t>
  </si>
  <si>
    <t>Av. Santelices 2712, Isla de Maipo, Región Metropolitana, Chile</t>
  </si>
  <si>
    <t>/33.747576, /70.922516</t>
  </si>
  <si>
    <t>LOS COPIHUES PARCELA 8</t>
  </si>
  <si>
    <t>/33.590378, /70.794134</t>
  </si>
  <si>
    <t>Simón Bolívar, Batuco, Lampa, Región Metropolitana, Chile</t>
  </si>
  <si>
    <t>/33.227426, /70.810929</t>
  </si>
  <si>
    <t>Av. Lo Martínez 1021, LOTE B/2, El Bosque, Región Metropolitana, Chile</t>
  </si>
  <si>
    <t>/33.301487, /70.728364</t>
  </si>
  <si>
    <t>/33.603661, /70.795488</t>
  </si>
  <si>
    <t>El comendadon 1116</t>
  </si>
  <si>
    <t>/33.608213, /70.881353</t>
  </si>
  <si>
    <t>Carmen bajos sn cv66</t>
  </si>
  <si>
    <t>/33.720419, /71.208159</t>
  </si>
  <si>
    <t>Psj romero 0866</t>
  </si>
  <si>
    <t>/33.213095, /70.676895</t>
  </si>
  <si>
    <t>Srta Inés sitio 5</t>
  </si>
  <si>
    <t>/33.276420, /70.835127</t>
  </si>
  <si>
    <t>Santa Aida p12</t>
  </si>
  <si>
    <t>/33.297693, /70.673629</t>
  </si>
  <si>
    <t>Servidumbre 57</t>
  </si>
  <si>
    <t>/33.454557, /70.627235</t>
  </si>
  <si>
    <t>Camino la represa sitio 3 lote B</t>
  </si>
  <si>
    <t>/33.454637, /70.627138</t>
  </si>
  <si>
    <t>VIÑA EL CAMPESINO 15</t>
  </si>
  <si>
    <t>/33.583559, /71.144438</t>
  </si>
  <si>
    <t>Rio ñuble 650</t>
  </si>
  <si>
    <t>/33.572817, /70.809369</t>
  </si>
  <si>
    <t>Lonquen norte parcela 13 sitio 2</t>
  </si>
  <si>
    <t>/33.612547, /70.793479</t>
  </si>
  <si>
    <t>Ostilazas 152</t>
  </si>
  <si>
    <t>/33.676628, /71.209757</t>
  </si>
  <si>
    <t>Camino lonquen norte paradero 13 sitio 2 lote2</t>
  </si>
  <si>
    <t>/33.612676, /70.794027</t>
  </si>
  <si>
    <t>Luis Valdez Larraín 0605</t>
  </si>
  <si>
    <t>/33.721171, /70.737150</t>
  </si>
  <si>
    <t>Lonquen norte parcela 13</t>
  </si>
  <si>
    <t>/33.612461, /70.793621</t>
  </si>
  <si>
    <t>Los Guindos 1326</t>
  </si>
  <si>
    <t>/33.821673, /71.266818</t>
  </si>
  <si>
    <t>Las Maravillas Pte. 2406, Lampa, Región Metropolitana, Chile</t>
  </si>
  <si>
    <t>/33.454691, /70.627187</t>
  </si>
  <si>
    <t>Camino lonquen poste 272329</t>
  </si>
  <si>
    <t>/33.612300, /70.793667</t>
  </si>
  <si>
    <t>Av Berlín parcela 35</t>
  </si>
  <si>
    <t>/33.628180, /70.900538</t>
  </si>
  <si>
    <t>Carmen bajo parcela 3</t>
  </si>
  <si>
    <t>/33.722910, /71.194640</t>
  </si>
  <si>
    <t>/33.597078, /70.783986</t>
  </si>
  <si>
    <t>Villa alegre campo lindo parcela 11</t>
  </si>
  <si>
    <t>/33.620458, /71.249083</t>
  </si>
  <si>
    <t>Cond el patrón par 8 s/n</t>
  </si>
  <si>
    <t>/33.634699, /70.839508</t>
  </si>
  <si>
    <t>Araucarias 0248</t>
  </si>
  <si>
    <t>/33.580098, /70.455230</t>
  </si>
  <si>
    <t>Cancha rayada 18</t>
  </si>
  <si>
    <t>/33.679393, /71.193406</t>
  </si>
  <si>
    <t>Villaseca 796</t>
  </si>
  <si>
    <t>/33.667797, /70.721369</t>
  </si>
  <si>
    <t>Quillay 1086</t>
  </si>
  <si>
    <t>/33.454723, /70.627182</t>
  </si>
  <si>
    <t>Psj los ciruelos 99</t>
  </si>
  <si>
    <t>/33.564691, /70.788619</t>
  </si>
  <si>
    <t>Los pinches pasaje 1 casa 27</t>
  </si>
  <si>
    <t>/33.629802, /70.765795</t>
  </si>
  <si>
    <t>C. Nueva 2, Pirque, Región Metropolitana, Chile</t>
  </si>
  <si>
    <t>/33.707482, /70.557518</t>
  </si>
  <si>
    <t>SIMON BOLIVAR 669 HIJ 20 PARCELA 59</t>
  </si>
  <si>
    <t>/33.227640, /70.808443</t>
  </si>
  <si>
    <t>/33.587611, /71.161532</t>
  </si>
  <si>
    <t>Santa victoria sitio 20 viluco</t>
  </si>
  <si>
    <t>Garibaldi 963</t>
  </si>
  <si>
    <t>/33.229977, /70.804734</t>
  </si>
  <si>
    <t>Lo Ovalle sitio 43</t>
  </si>
  <si>
    <t>/33.489753, /71.075943</t>
  </si>
  <si>
    <t>La laguna 8 lo arcaya</t>
  </si>
  <si>
    <t>/33.690205, /70.579912</t>
  </si>
  <si>
    <t>Av. España 2316, 9390083 Batuco, Lampa, Región Metropolitana, Chile</t>
  </si>
  <si>
    <t>/33.237840, /70.809076</t>
  </si>
  <si>
    <t>Jaime Labarca 5, 9420203 Tiltil, Región Metropolitana, Chile</t>
  </si>
  <si>
    <t>/33.081081, /70.941059</t>
  </si>
  <si>
    <t>EL ATAJO N 350 TIL TIL</t>
  </si>
  <si>
    <t>PA SAN MARCOS 130</t>
  </si>
  <si>
    <t>/33.406308, /71.135860</t>
  </si>
  <si>
    <t>CO EL TORO KM 4,5 KM 4 Y MEDIO</t>
  </si>
  <si>
    <t>/33.380499, /71.166583</t>
  </si>
  <si>
    <t>Playa Cartagena 2 lote 1 aculeo</t>
  </si>
  <si>
    <t>/33.845495, /70.892305</t>
  </si>
  <si>
    <t>RUTA 5 SUR 43</t>
  </si>
  <si>
    <t>/33.767785, /70.747040</t>
  </si>
  <si>
    <t>Ruta 5 SUR 43</t>
  </si>
  <si>
    <t>Bernardo O'Higgins 123</t>
  </si>
  <si>
    <t>/33.806068, /70.736938</t>
  </si>
  <si>
    <t>San Ignacio, Perú</t>
  </si>
  <si>
    <t>/33.606547, /70.790685</t>
  </si>
  <si>
    <t>/33.227011, /70.808286</t>
  </si>
  <si>
    <t>Los Acacios 16</t>
  </si>
  <si>
    <t>/33.587518, /70.874844</t>
  </si>
  <si>
    <t>Los Tilos parc 19/A s/n</t>
  </si>
  <si>
    <t>/33.620218, /70.810335</t>
  </si>
  <si>
    <t>Pje. Marta Brunet 1295</t>
  </si>
  <si>
    <t>/33.576810, /70.800516</t>
  </si>
  <si>
    <t>Patricio Becerra 295, 9800193 La Islita, Isla de Maipo, Región Metropolitana, Chile</t>
  </si>
  <si>
    <t>/33.738788, /70.856145</t>
  </si>
  <si>
    <t>Calle Camino Sargento Candelaria s/n lote 1</t>
  </si>
  <si>
    <t>/33.588398, /71.217232</t>
  </si>
  <si>
    <t>EDUVIGES OJEDA 325</t>
  </si>
  <si>
    <t>/33.673475,/71.209429</t>
  </si>
  <si>
    <t>Balmaceda 0612/C</t>
  </si>
  <si>
    <t>/33.598986, /70.847178</t>
  </si>
  <si>
    <t>Calle el Porvenir s/n</t>
  </si>
  <si>
    <t>/33.755965, /71.325049</t>
  </si>
  <si>
    <t>CAMINO LOS TILOS 2990</t>
  </si>
  <si>
    <t>/33.711221, /70.700322</t>
  </si>
  <si>
    <t>SECTOR ALTOS DE POPETA PC 375</t>
  </si>
  <si>
    <t>/33.820418, /71.332209</t>
  </si>
  <si>
    <t>Las parcelas 16</t>
  </si>
  <si>
    <t>/33.495184, /71.159161</t>
  </si>
  <si>
    <t>San Sebastián 894, 9540652 Maipo, Paine, Región Metropolitana, Chile</t>
  </si>
  <si>
    <t>/33.808484, /70.730013</t>
  </si>
  <si>
    <t>CAMINO LONQUEN NORTE PARADERO 8</t>
  </si>
  <si>
    <t>/33.596592, /70.782465</t>
  </si>
  <si>
    <t>SAN CARLOS DE CHOLQUI ,PARCELA 7A.</t>
  </si>
  <si>
    <t>/33.776206, /71.125986</t>
  </si>
  <si>
    <t>SITIO 3 LA ENSENADA AGUILA SUR</t>
  </si>
  <si>
    <t>/33.915196, /70.755237</t>
  </si>
  <si>
    <t>Carlos Vial Infante S/N parcela 14 lote 8</t>
  </si>
  <si>
    <t>/33.649273, /70.574016</t>
  </si>
  <si>
    <t>Los Daneses, Melipilla, Región Metropolitana, Chile</t>
  </si>
  <si>
    <t>/33.686758, /71.229091</t>
  </si>
  <si>
    <t>PP El REDIL SANTA EMILIA PC30</t>
  </si>
  <si>
    <t>10.227703, /67.953667</t>
  </si>
  <si>
    <t>Estela Perez Navarro 975, Paine, Región Metropolitana, Chile</t>
  </si>
  <si>
    <t>/33.823862, /70.731130</t>
  </si>
  <si>
    <t>Carlos Palacios Garcés 2056, Buin, Región Metropolitana, Chile</t>
  </si>
  <si>
    <t>/33.738238, /70.764978</t>
  </si>
  <si>
    <t>/34.033507, /71.015446</t>
  </si>
  <si>
    <t>PJE DESPERTAR CAMPESINO Y EL PORVENIR PC9</t>
  </si>
  <si>
    <t>/33.504898,/71.149995</t>
  </si>
  <si>
    <t>Capitán Ignacio Carrera Pinto, Santiago, Región Metropolitana, Chile</t>
  </si>
  <si>
    <t>/33.210028, /70.681929</t>
  </si>
  <si>
    <t>POPETA N 195 PARCELA</t>
  </si>
  <si>
    <t>/33.801769, /71.300739</t>
  </si>
  <si>
    <t>Av. Lonquén Sur, Región Metropolitana, Chile</t>
  </si>
  <si>
    <t>/33.628809, /70.802582</t>
  </si>
  <si>
    <t>Maria Pinto, María Pinto, Región Metropolitana, Chile</t>
  </si>
  <si>
    <t>/33.465971, /71.102048</t>
  </si>
  <si>
    <t>Cam. La Cervera, Linderos, Buin, Región Metropolitana, Chile</t>
  </si>
  <si>
    <t>/33.757418, /70.750988</t>
  </si>
  <si>
    <t>Los Aromos 139, Valparaíso, Chile</t>
  </si>
  <si>
    <t>/33.277229, /70.680209</t>
  </si>
  <si>
    <t>Carampangue, Arauco, Bío Bío, Chile</t>
  </si>
  <si>
    <t>/33.683114, /70.918677</t>
  </si>
  <si>
    <t>Av. Valparaíso, Melipilla, Región Metropolitana, Chile</t>
  </si>
  <si>
    <t>/33.657170, /71.218541</t>
  </si>
  <si>
    <t>El rosario 30</t>
  </si>
  <si>
    <t>/33.505972, /71.147879</t>
  </si>
  <si>
    <t>El manzanito parcela 22 lote a5</t>
  </si>
  <si>
    <t>/33.871393, /70.845746</t>
  </si>
  <si>
    <t>45H3+PQ, Paine, Región Metropolitana, Chile</t>
  </si>
  <si>
    <t>/33.871046, /70.846117</t>
  </si>
  <si>
    <t>Longisur Parc 235 a</t>
  </si>
  <si>
    <t>/33.811324, /70.751823</t>
  </si>
  <si>
    <t>Los Corrales, Callejón los gallineros #91</t>
  </si>
  <si>
    <t>/33.729227, /70.554196</t>
  </si>
  <si>
    <t>COLONIA ALEMANA 19EX FUNDO SANTA ANA</t>
  </si>
  <si>
    <t>/33.645578, /70.892653</t>
  </si>
  <si>
    <t>San Javier, Peñaflor, Región Metropolitana, Chile</t>
  </si>
  <si>
    <t>/33.626363, /70.847762</t>
  </si>
  <si>
    <t>Av vicuña mackena 0518</t>
  </si>
  <si>
    <t>/33.681420, /71.199510</t>
  </si>
  <si>
    <t>Lonquen 5160</t>
  </si>
  <si>
    <t>/33.786620, /70.787636</t>
  </si>
  <si>
    <t>Las estrella sitio 9</t>
  </si>
  <si>
    <t>/33.823552, /70.646959</t>
  </si>
  <si>
    <t>/33.834453, /70.647366</t>
  </si>
  <si>
    <t>Colonia Kennedy Calle uno norte, parcela 36</t>
  </si>
  <si>
    <t>/33.843642, /70.738826</t>
  </si>
  <si>
    <t>/33.906740, /70.739123</t>
  </si>
  <si>
    <t>Kennedy parcela 164</t>
  </si>
  <si>
    <t>/33.881122, /70.722195</t>
  </si>
  <si>
    <t>Poeta 36d</t>
  </si>
  <si>
    <t>/33.817587, /71.287049</t>
  </si>
  <si>
    <t>Melipilla, Región Metropolitana, Chile</t>
  </si>
  <si>
    <t>/33.790548, /71.266850</t>
  </si>
  <si>
    <t>Pangal 1818</t>
  </si>
  <si>
    <t>/33.406088, /71.127708</t>
  </si>
  <si>
    <t>Co santa Filomena 6010 st 21</t>
  </si>
  <si>
    <t>/33.817488, /70.814687</t>
  </si>
  <si>
    <t>Isabel Riquelme 2207, Chillán, Ñuble, Chile</t>
  </si>
  <si>
    <t>/33.294714, /70.885739</t>
  </si>
  <si>
    <t>Isabel Riquelme 2207, 9380948 Lampa, Región Metropolitana, Chile</t>
  </si>
  <si>
    <t>/33.294688, /70.885748</t>
  </si>
  <si>
    <t>Triunfo de Chile 5, 9710530 Talagante, Padre Hurtado, Región Metropolitana, Chile</t>
  </si>
  <si>
    <t>/33.580507, /70.811232</t>
  </si>
  <si>
    <t>LOTE SAN LUIS SITIO C2G</t>
  </si>
  <si>
    <t>/33.206196, /70.661794</t>
  </si>
  <si>
    <t>Valladares 130</t>
  </si>
  <si>
    <t>/33.408609, /71.140308</t>
  </si>
  <si>
    <t>PSJ SAN JOSE S H LO 2</t>
  </si>
  <si>
    <t>/33.245252, /70.701002</t>
  </si>
  <si>
    <t>AVDA MARIA DE LA PAZ N 42</t>
  </si>
  <si>
    <t>/33.080091, /70.926808</t>
  </si>
  <si>
    <t>ARTURO PRATT 651</t>
  </si>
  <si>
    <t>/33.095053, /70.930512</t>
  </si>
  <si>
    <t>El rosario s/n co principal</t>
  </si>
  <si>
    <t>/33.505762, /71.147436</t>
  </si>
  <si>
    <t>/33.473133, /71.118245</t>
  </si>
  <si>
    <t>Ignacio Carrera pinto 14441 casa 64</t>
  </si>
  <si>
    <t>/33.199914, /70.655851</t>
  </si>
  <si>
    <t>Ignacio carrerapinto 14441 casa 64</t>
  </si>
  <si>
    <t>/33.199612, /70.655834</t>
  </si>
  <si>
    <t>Villarrica 53, Isla de Maipo, Región Metropolitana, Chile</t>
  </si>
  <si>
    <t>/33.725616, /70.985440</t>
  </si>
  <si>
    <t>CAMINO VECINAL 8B</t>
  </si>
  <si>
    <t>/33.565016, /70.887598</t>
  </si>
  <si>
    <t>/33.564778, /70.887495</t>
  </si>
  <si>
    <t>El Melocoton Norte 795</t>
  </si>
  <si>
    <t>/33.195739, /70.681557</t>
  </si>
  <si>
    <t>Chinigue los quilos s/n s30</t>
  </si>
  <si>
    <t>/33.688215, /71.079592</t>
  </si>
  <si>
    <t>CAMINO INTERIOR SITIO 1</t>
  </si>
  <si>
    <t>/33.554638, /70.895770</t>
  </si>
  <si>
    <t>VECINAL SAN LUIS SITIO 3</t>
  </si>
  <si>
    <t>/33.553855, /70.892926</t>
  </si>
  <si>
    <t>Sector parcela seis s/n</t>
  </si>
  <si>
    <t>/33.659970, /71.288349</t>
  </si>
  <si>
    <t>Ignacio carrera pinto 14441casa 83</t>
  </si>
  <si>
    <t>/33.530145, /70.660709</t>
  </si>
  <si>
    <t>Ignacio Carrera Pinto 14441 casa 64</t>
  </si>
  <si>
    <t>/33.530151, /70.660757</t>
  </si>
  <si>
    <t>Lo aguila s/n lt2 b c5</t>
  </si>
  <si>
    <t>/33.417138, /71.147474</t>
  </si>
  <si>
    <t>MANUEL GONZÁLEZ 102</t>
  </si>
  <si>
    <t>/33.604215, /70.853586</t>
  </si>
  <si>
    <t>Manuel castillo 148</t>
  </si>
  <si>
    <t>/33.609990, /70.855187</t>
  </si>
  <si>
    <t>/33.604206, /70.853605</t>
  </si>
  <si>
    <t>/33.770394, /71.239676</t>
  </si>
  <si>
    <t>Prof.ª Nelly Yáñez 921, Melipilla, Región Metropolitana, Chile</t>
  </si>
  <si>
    <t>/33.681668, /71.189691</t>
  </si>
  <si>
    <t>Los portuarios lote 16</t>
  </si>
  <si>
    <t>/33.426622, /70.739618</t>
  </si>
  <si>
    <t>Potrerillo 92</t>
  </si>
  <si>
    <t>/33.220779, /70.680975</t>
  </si>
  <si>
    <t>CAMINO LONQUEN SITIO 15 LOTE 4</t>
  </si>
  <si>
    <t>/33.609786, /70.792362</t>
  </si>
  <si>
    <t>/33.200286, /70.655542</t>
  </si>
  <si>
    <t>INTERIOR NUEVE 7220</t>
  </si>
  <si>
    <t>/33.556863, /70.897611</t>
  </si>
  <si>
    <t>La Pataguilla, Las Cabras, O'Higgins, Chile</t>
  </si>
  <si>
    <t>/33.517638, /70.972872</t>
  </si>
  <si>
    <t>La pataguilla pc82 lta</t>
  </si>
  <si>
    <t>/33.517259, /70.972339</t>
  </si>
  <si>
    <t>La panguilla 82 lote a1</t>
  </si>
  <si>
    <t>/33.517638, /70.972871</t>
  </si>
  <si>
    <t>Javier Rojo Gomez 108, 77580 Puerto Morelos, Q.R., México</t>
  </si>
  <si>
    <t>/33.615507, /70.874838</t>
  </si>
  <si>
    <t>Dr. Mc/line 38, 9560040 Maipo, Calera de Tango, Región Metropolitana, Chile</t>
  </si>
  <si>
    <t>/33.637833, /70.753831</t>
  </si>
  <si>
    <t>Ignacio carrerapinto 14441 / casa 61</t>
  </si>
  <si>
    <t>/33.199551, /70.655728</t>
  </si>
  <si>
    <t>Ignacio carrera pinto 14441 / casa 61</t>
  </si>
  <si>
    <t>/33.199340, /70.655667</t>
  </si>
  <si>
    <t>Marta Letelier de Bernstein 47, Paine, Región Metropolitana, Chile</t>
  </si>
  <si>
    <t>/33.873713, /70.888571</t>
  </si>
  <si>
    <t>CULIPRAN LT 15</t>
  </si>
  <si>
    <t>/33.776871, /71.241244</t>
  </si>
  <si>
    <t>Ex fdo liray l/3 P/5</t>
  </si>
  <si>
    <t>/33.243708, /70.754338</t>
  </si>
  <si>
    <t>LAS MERCEDES 34</t>
  </si>
  <si>
    <t>/33.489089, /71.185287</t>
  </si>
  <si>
    <t>LA LADERA PARCELA 6 LOTE A</t>
  </si>
  <si>
    <t>/33.183129, /70.684321</t>
  </si>
  <si>
    <t>Edmundo warnker 0259</t>
  </si>
  <si>
    <t>/33.725157, /70.740744</t>
  </si>
  <si>
    <t>/33.547968, /70.657559</t>
  </si>
  <si>
    <t>Marta Letelier sitio 47</t>
  </si>
  <si>
    <t>/33.873855, /70.889102</t>
  </si>
  <si>
    <t>Los cerezos 455</t>
  </si>
  <si>
    <t>/33.592010, /70.810794</t>
  </si>
  <si>
    <t>El Rosario, Peñaflor, Región Metropolitana, Chile</t>
  </si>
  <si>
    <t>/33.689923, /70.972683</t>
  </si>
  <si>
    <t>/33.873933, /70.888891</t>
  </si>
  <si>
    <t>Santa Carolina sn parcela 22</t>
  </si>
  <si>
    <t>/33.218725, /70.788447</t>
  </si>
  <si>
    <t>Ignacio Serrano 760</t>
  </si>
  <si>
    <t>/33.653889, /70.930298</t>
  </si>
  <si>
    <t>Parcela 3b El Almendral casa 8b</t>
  </si>
  <si>
    <t>/33.243846, /70.822220</t>
  </si>
  <si>
    <t>Cam. Las Flores 996, Lampa, Región Metropolitana, Chile</t>
  </si>
  <si>
    <t>/33.301171, /70.883912</t>
  </si>
  <si>
    <t>La hacienda 3016</t>
  </si>
  <si>
    <t>/33.300965, /70.873903</t>
  </si>
  <si>
    <t>AV MIGUEL LETELIER S/N LOTE2</t>
  </si>
  <si>
    <t>/33.855219,/70.836664</t>
  </si>
  <si>
    <t>La red 19 antes del paso nivel</t>
  </si>
  <si>
    <t>/33.691048, /71.044762</t>
  </si>
  <si>
    <t>Sitio 4 entre nasario Araos y angel</t>
  </si>
  <si>
    <t>/33.692386, /71.051077</t>
  </si>
  <si>
    <t>Psj lago rapel 1359</t>
  </si>
  <si>
    <t>/33.685347, /71.027427</t>
  </si>
  <si>
    <t>Puangue 584 Región Metropolitana, Chile</t>
  </si>
  <si>
    <t>/33.407718, /71.129566</t>
  </si>
  <si>
    <t>Regidor Pedro Valenzuela 691, Curacavi, Curacaví, Región Metropolitana, Chile</t>
  </si>
  <si>
    <t>/33.395808, /71.130112</t>
  </si>
  <si>
    <t>El Tanguito 18, Calera de Tango, Región Metropolitana, Chile</t>
  </si>
  <si>
    <t>/33.418834, /70.749779</t>
  </si>
  <si>
    <t>Alamedas Del LLano 115, Pirque, Región Metropolitana, Chile</t>
  </si>
  <si>
    <t>/33.720268, /70.552920</t>
  </si>
  <si>
    <t>Los Libertadores 678</t>
  </si>
  <si>
    <t>/33.683723, /70.990041</t>
  </si>
  <si>
    <t>Ruben Darío 6 sitio A 9</t>
  </si>
  <si>
    <t>/33.287069, /70.882082</t>
  </si>
  <si>
    <t>Alegre 105</t>
  </si>
  <si>
    <t>/33.494172, /70.668797</t>
  </si>
  <si>
    <t>Nuevo porvenir lote 2</t>
  </si>
  <si>
    <t>/33.277923, /70.848961</t>
  </si>
  <si>
    <t>Villa Alegre S/N</t>
  </si>
  <si>
    <t>/33.628412, /71.260965</t>
  </si>
  <si>
    <t>Campamento sol de septiembre 688</t>
  </si>
  <si>
    <t>/33.308130, /70.863863</t>
  </si>
  <si>
    <t>Camino Interior S/N Parc 29</t>
  </si>
  <si>
    <t>/33.308466, /70.861342</t>
  </si>
  <si>
    <t>La Unión S/N</t>
  </si>
  <si>
    <t>/33.757045, /71.295085</t>
  </si>
  <si>
    <t>Central Labbé S/N PARC 18, Lampa, Región Metropolitana, Chile</t>
  </si>
  <si>
    <t>/33.333073, /70.850354</t>
  </si>
  <si>
    <t>/33.348011, /70.823701</t>
  </si>
  <si>
    <t>Camino interior lote 4 parc 22</t>
  </si>
  <si>
    <t>/33.278133, /70.853787</t>
  </si>
  <si>
    <t>Los Ciruelos Parc 29</t>
  </si>
  <si>
    <t>/33.308430, /70.861039</t>
  </si>
  <si>
    <t>SANTA MARIA 613</t>
  </si>
  <si>
    <t>/33.809525,/70.741017</t>
  </si>
  <si>
    <t>CAMINO EL RECREO SITIO 21</t>
  </si>
  <si>
    <t>/33.711976, /70.848501</t>
  </si>
  <si>
    <t>Luis Hinojosa Pascua 1740, casa 71, Buin, Región Metropolitana, Chile</t>
  </si>
  <si>
    <t>/33.725963, /70.714674</t>
  </si>
  <si>
    <t>AV DARIO PAVEZ PARC9</t>
  </si>
  <si>
    <t>/33.854820,/70.753777</t>
  </si>
  <si>
    <t>AV CHILE 482</t>
  </si>
  <si>
    <t>/33.806560, /70.856775</t>
  </si>
  <si>
    <t>ESMERALDA 2082</t>
  </si>
  <si>
    <t>/33.670244, /70.937528</t>
  </si>
  <si>
    <t>Av. Chile, Engativá, Bogotá, Colombia</t>
  </si>
  <si>
    <t>/33.803956, /70.854308</t>
  </si>
  <si>
    <t>Av Viluco 4881</t>
  </si>
  <si>
    <t>/33.787824, /70.785666</t>
  </si>
  <si>
    <t>PARCELACION CULITRIN S/N</t>
  </si>
  <si>
    <t>/33.874275,/70.676292</t>
  </si>
  <si>
    <t>Sta. Sofía, Calera de Tango, Región Metropolitana, Chile</t>
  </si>
  <si>
    <t>/33.500227, /70.621884</t>
  </si>
  <si>
    <t>Las Lilas 288, Valdivia de Paine, Buin, Región Metropolitana, Chile</t>
  </si>
  <si>
    <t>/33.806636, /70.853516</t>
  </si>
  <si>
    <t>Cam. Loreto, Región Metropolitana, Chile</t>
  </si>
  <si>
    <t>/33.647588, /70.846371</t>
  </si>
  <si>
    <t>SANTA JULIA PARCELA 2</t>
  </si>
  <si>
    <t>/33.647757, /71.230651</t>
  </si>
  <si>
    <t>San Luis 1297 lote 1</t>
  </si>
  <si>
    <t>/33.742987, /70.919370</t>
  </si>
  <si>
    <t>/33.802379, /70.682650</t>
  </si>
  <si>
    <t>El Caliche, Santo Domingo, República Dominicana</t>
  </si>
  <si>
    <t>/33.746369, /70.898472</t>
  </si>
  <si>
    <t>/33.595739, /70.783058</t>
  </si>
  <si>
    <t>San Juan de Dios 219</t>
  </si>
  <si>
    <t>/33.596076, /70.783235</t>
  </si>
  <si>
    <t>Cam. Al Volcan 2901, Pucón, Araucanía, Chile</t>
  </si>
  <si>
    <t>/33.715767, /70.331002</t>
  </si>
  <si>
    <t>Patriota Javiera Carrera 678, 9351302 Colina, Región Metropolitana, Chile</t>
  </si>
  <si>
    <t>/33.189984, /70.674789</t>
  </si>
  <si>
    <t>Los Acacios, Puente Alto, Región Metropolitana, Chile</t>
  </si>
  <si>
    <t>/33.872062, /70.730058</t>
  </si>
  <si>
    <t>Inmaculada 90</t>
  </si>
  <si>
    <t>/33.640225, /70.351356</t>
  </si>
  <si>
    <t>/33.837498, /70.642395</t>
  </si>
  <si>
    <t>/33.789477, /71.404066</t>
  </si>
  <si>
    <t>20000 Manantiales, Departamento de Maldonado, Uruguay</t>
  </si>
  <si>
    <t>/33.774549, /71.162273</t>
  </si>
  <si>
    <t>BALMACEDA 3156</t>
  </si>
  <si>
    <t>/33.747534, /70.865870</t>
  </si>
  <si>
    <t>Manuel Montt 380, Providencia, Región Metropolitana, Chile</t>
  </si>
  <si>
    <t>/33.724580, /70.743452</t>
  </si>
  <si>
    <t>LA VEGA PARCELA 3.</t>
  </si>
  <si>
    <t>/33.719464, /71.184699</t>
  </si>
  <si>
    <t>LAS VIOLETAS 1354</t>
  </si>
  <si>
    <t>/33.747158, /70.898062</t>
  </si>
  <si>
    <t>/33.747068, /70.898215</t>
  </si>
  <si>
    <t>Santa victoria de Viluco 71</t>
  </si>
  <si>
    <t>/33.811771, /70.763337</t>
  </si>
  <si>
    <t>/33.690801, /70.701176</t>
  </si>
  <si>
    <t>Nuestra Ilusión 0115, 9501072 Buin, Región Metropolitana, Chile</t>
  </si>
  <si>
    <t>/33.712887, /70.742466</t>
  </si>
  <si>
    <t>TANTEHUE SITIO 13</t>
  </si>
  <si>
    <t>/33.863689, /71.206778</t>
  </si>
  <si>
    <t>Av. 18 de Septiembre 116, Paine, Región Metropolitana, Chile</t>
  </si>
  <si>
    <t>/33.801072, /70.661190</t>
  </si>
  <si>
    <t>Olea 552</t>
  </si>
  <si>
    <t>/33.774657, /70.897176</t>
  </si>
  <si>
    <t>PARCELA SAN FRANCISCO LOS ARENALES PARCELA 15</t>
  </si>
  <si>
    <t>/33.902603, /70.879630</t>
  </si>
  <si>
    <t>Pje. Jade, Puente Alto, Región Metropolitana, Chile</t>
  </si>
  <si>
    <t>/33.656608, /71.280637</t>
  </si>
  <si>
    <t>EL MANZANITO 22</t>
  </si>
  <si>
    <t>/33.871796, /70.848564</t>
  </si>
  <si>
    <t>Inés Orellana Martínez 1779, Paine, Región Metropolitana, Chile</t>
  </si>
  <si>
    <t>/33.823414, /70.732292</t>
  </si>
  <si>
    <t>CAMINO INTERIOR S/N PARCELA 15 SITIO B</t>
  </si>
  <si>
    <t>/33.267801, /70.889853</t>
  </si>
  <si>
    <t>/33.267804, /70.889857</t>
  </si>
  <si>
    <t>SANTA ROSA DE LA SIERRA S/N</t>
  </si>
  <si>
    <t>/33.788678, /71.283450</t>
  </si>
  <si>
    <t>Las Tinajas, Pomaire, Melipilla, Región Metropolitana, Chile</t>
  </si>
  <si>
    <t>/33.651534, /71.154033</t>
  </si>
  <si>
    <t>Chinigue, El Monte, Región Metropolitana, Chile</t>
  </si>
  <si>
    <t>/33.685898, /71.113995</t>
  </si>
  <si>
    <t>Bernardo O'Higgins 135</t>
  </si>
  <si>
    <t>/33.806184, /70.736895</t>
  </si>
  <si>
    <t>LAS HORTENSIAS 431</t>
  </si>
  <si>
    <t>/33.614694,/70.871122</t>
  </si>
  <si>
    <t>Av. Hernán Prieto 5084, Pirque, Región Metropolitana, Chile</t>
  </si>
  <si>
    <t>/33.684236, /70.577909</t>
  </si>
  <si>
    <t>/33.684238, /70.577902</t>
  </si>
  <si>
    <t>/33.684229, /70.577858</t>
  </si>
  <si>
    <t>/33.684230, /70.577898</t>
  </si>
  <si>
    <t>Co interior parcelacion paula jaraquemada pc3</t>
  </si>
  <si>
    <t>Santa Teresa 051</t>
  </si>
  <si>
    <t>Buin.Av vírico st 21 B9197</t>
  </si>
  <si>
    <t>Los Paltos 286, 9510056 Maipo, Buin, Región Metropolitana, Chile</t>
  </si>
  <si>
    <t>/33.727982, /70.773404</t>
  </si>
  <si>
    <t>Callejón la playa parcela 35, sitio 5</t>
  </si>
  <si>
    <t>Camino interior s/n</t>
  </si>
  <si>
    <t>/33.248197, /70.897132</t>
  </si>
  <si>
    <t>Lo Aguila s/n 1</t>
  </si>
  <si>
    <t>/33.424051, /71.147163</t>
  </si>
  <si>
    <t>/33.654443, /70.589076</t>
  </si>
  <si>
    <t>LOA POETAS 0226</t>
  </si>
  <si>
    <t>/33.654439, /70.589035</t>
  </si>
  <si>
    <t>/33.654439, /70.589025</t>
  </si>
  <si>
    <t>/33.686520, /70.573081</t>
  </si>
  <si>
    <t>/33.757303, /71.290613</t>
  </si>
  <si>
    <t>Cordillera de Nahuelbuta, Nacimiento, Bío Bío, Chile</t>
  </si>
  <si>
    <t>/33.609855, /70.888556</t>
  </si>
  <si>
    <t>Av. Vicuña Mackenna 1572</t>
  </si>
  <si>
    <t>/33.610935, /70.875832</t>
  </si>
  <si>
    <t>Alberto Blest Gana, Ovalle, Coquimbo, Chile</t>
  </si>
  <si>
    <t>/33.564282, /70.798786</t>
  </si>
  <si>
    <t>FUNDO PANGALILLO S/N</t>
  </si>
  <si>
    <t>/33.608393, /71.037669</t>
  </si>
  <si>
    <t>PA Isabel tarrago 1291</t>
  </si>
  <si>
    <t>/33.576060, /70.799762</t>
  </si>
  <si>
    <t>ISABEL ALLENDE 3275</t>
  </si>
  <si>
    <t>/33.748460, /70.863462</t>
  </si>
  <si>
    <t>CAMINO VECINAL SITIO 19</t>
  </si>
  <si>
    <t>/33.530289, /70.660818</t>
  </si>
  <si>
    <t>LOS ZORZALES 1087</t>
  </si>
  <si>
    <t>/33.560667, /70.652758</t>
  </si>
  <si>
    <t>Diego de Almagro 0203 B</t>
  </si>
  <si>
    <t>/33.703685, /71.064689</t>
  </si>
  <si>
    <t>Alhue, Alhué, Región Metropolitana, Chile</t>
  </si>
  <si>
    <t>/34.029403, /71.100424</t>
  </si>
  <si>
    <t>Co pichi s/n</t>
  </si>
  <si>
    <t>/34.028414, /71.087516</t>
  </si>
  <si>
    <t>Las Pataguas, Valdivia de Paine, Buin, Región Metropolitana, Chile</t>
  </si>
  <si>
    <t>/33.813732, /70.846199</t>
  </si>
  <si>
    <t>EL ALGARROBO N? 18</t>
  </si>
  <si>
    <t>/33.089833, /70.922021</t>
  </si>
  <si>
    <t>/33.165571, /70.887259</t>
  </si>
  <si>
    <t>Monasterio de La Esperanza 130, Linderos, Buin, Región Metropolitana, Chile</t>
  </si>
  <si>
    <t>/33.766005, /70.734254</t>
  </si>
  <si>
    <t>CALLE R. VINTE E QUATRO L / CIUDADE JARDIM MANSOES, PIRAPORA / MG 39270/000. BRASIL. PH.</t>
  </si>
  <si>
    <t>/33.583553, /70.812742</t>
  </si>
  <si>
    <t>San lucas 2016</t>
  </si>
  <si>
    <t>/33.573163, /70.807286</t>
  </si>
  <si>
    <t>PASAJE MARIO ALVEAR JARPA 242</t>
  </si>
  <si>
    <t>/33.674700, /71.210492</t>
  </si>
  <si>
    <t>Campusano los paraguas 5651</t>
  </si>
  <si>
    <t>/33.814488, /70.808836</t>
  </si>
  <si>
    <t>Av. Viluco 4150, Buin, Región Metropolitana, Chile</t>
  </si>
  <si>
    <t>/33.792848, /70.781527</t>
  </si>
  <si>
    <t>La uva 915</t>
  </si>
  <si>
    <t>/33.747868, /70.867727</t>
  </si>
  <si>
    <t>/33.533669, /71.228909</t>
  </si>
  <si>
    <t>Psj gregorio las Heras 1023</t>
  </si>
  <si>
    <t>/33.396470, /71.125356</t>
  </si>
  <si>
    <t>Enrique Budge 239</t>
  </si>
  <si>
    <t>/33.471135, /71.114539</t>
  </si>
  <si>
    <t>Los Ciruelos Parc 29 sitio 3v</t>
  </si>
  <si>
    <t>/33.308494, /70.861036</t>
  </si>
  <si>
    <t>Campamento Sol de Septiembre c/ 686</t>
  </si>
  <si>
    <t>/33.494211, /70.668850</t>
  </si>
  <si>
    <t>Sector isla de chocaban s/n el carmen</t>
  </si>
  <si>
    <t>/33.748410, /71.231903</t>
  </si>
  <si>
    <t>Calle codigua s/n cv20</t>
  </si>
  <si>
    <t>/33.758049, /71.322928</t>
  </si>
  <si>
    <t>Camino. Novici .lote 94</t>
  </si>
  <si>
    <t>/33.301832, /70.857228</t>
  </si>
  <si>
    <t>Camino los ciruelos s/n lote 29</t>
  </si>
  <si>
    <t>/33.308081, /70.861494</t>
  </si>
  <si>
    <t>Los Parronales, Curacaví, Región Metropolitana, Chile</t>
  </si>
  <si>
    <t>/33.383843, /71.109491</t>
  </si>
  <si>
    <t>SANTA VIRGINIA</t>
  </si>
  <si>
    <t>/33.653170,/70.626517</t>
  </si>
  <si>
    <t>/33.811284, /71.244894</t>
  </si>
  <si>
    <t>Errázuriz 923</t>
  </si>
  <si>
    <t>/33.740014, /70.741136</t>
  </si>
  <si>
    <t>SECTOR SAN BERNARDO DE MALLARAUCO S/N</t>
  </si>
  <si>
    <t>/33.577188, /71.083772</t>
  </si>
  <si>
    <t>Ramón Subercaseaux 624, 9480045 Pirque, Región Metropolitana, Chile</t>
  </si>
  <si>
    <t>/33.630982, /70.574275</t>
  </si>
  <si>
    <t>Pje. Lilium, Monte Aguila, Cabrero, Bío Bío, Chile</t>
  </si>
  <si>
    <t>/33.686882, /71.223992</t>
  </si>
  <si>
    <t>San Vicente sitio 18D</t>
  </si>
  <si>
    <t>/33.669307, /70.618744</t>
  </si>
  <si>
    <t>camino interior S/N sitio 58</t>
  </si>
  <si>
    <t>/33.916780, /70.744188</t>
  </si>
  <si>
    <t>PARCELA 203 CALLE EL SAUCE</t>
  </si>
  <si>
    <t>/33.884443, /70.726235</t>
  </si>
  <si>
    <t>Parque de Ordesa 331, Los Angeles, Bío Bío, Chile</t>
  </si>
  <si>
    <t xml:space="preserve">LOS ÁNGELES </t>
  </si>
  <si>
    <t>/37.449609, /72.331850</t>
  </si>
  <si>
    <t>/37.449607, /72.331848</t>
  </si>
  <si>
    <t>Parcela 23, La Victoria 2121, Aragua, Venezuela</t>
  </si>
  <si>
    <t>/37.441640, /72.536466</t>
  </si>
  <si>
    <t>LOS ARRIEROS 2255</t>
  </si>
  <si>
    <t>/37.460264, /72.378398</t>
  </si>
  <si>
    <t>Praça Nossa Sra. do Carmo, 17 / Ponta da Praia, Santos / SP, 11030/270, Brasil</t>
  </si>
  <si>
    <t>/37.399409, /72.607910</t>
  </si>
  <si>
    <t>HUERTO 22 LA VICTORIA LA CANDELARIA</t>
  </si>
  <si>
    <t>/37.463783, /72.542416</t>
  </si>
  <si>
    <t>Pasaje Miguel Arteche 1239, LOS ANGELES</t>
  </si>
  <si>
    <t>/37.484020, /72.341679</t>
  </si>
  <si>
    <t>Miguel Arteche 1247, 4430752 Biobio, Los Angeles, Bío Bío, Chile</t>
  </si>
  <si>
    <t>/37.484253, /72.341478</t>
  </si>
  <si>
    <t>Salvador Reyes 571, 4430729 Los Angeles, Bío Bío, Chile</t>
  </si>
  <si>
    <t>/37.483500, /72.338589</t>
  </si>
  <si>
    <t>EL ACAMPAO SANTA FE PARCELA 2</t>
  </si>
  <si>
    <t>/37.453698, /72.560126</t>
  </si>
  <si>
    <t>SECTOR EL ACAMPADO SUR SITIO 2</t>
  </si>
  <si>
    <t>/37.464213, /72.560717</t>
  </si>
  <si>
    <t>Los Quimbayas 781, 4430993 Los Angeles, Bío Bío, Chile</t>
  </si>
  <si>
    <t>/37.486020, /72.334336</t>
  </si>
  <si>
    <t>EL ACAMPADO SUR SITIO 2</t>
  </si>
  <si>
    <t>/37.464211, /72.560715</t>
  </si>
  <si>
    <t>Sector 5, Rosario, Santa Fe, Argentina</t>
  </si>
  <si>
    <t>/37.466097, /72.575302</t>
  </si>
  <si>
    <t>CAMINO AL NATRE KM1 SITIO 610</t>
  </si>
  <si>
    <t>/37.434820, /72.326894</t>
  </si>
  <si>
    <t>C. Las Quilas 8, Temuco, Araucanía, Chile</t>
  </si>
  <si>
    <t>/37.479781, /72.554495</t>
  </si>
  <si>
    <t>Los Tilos, Cruz de Humilladero, Málaga, Spain</t>
  </si>
  <si>
    <t>/37.381348, /72.372653</t>
  </si>
  <si>
    <t>Bernardo O'Higgins 605, Los Angeles, Bío Bío, Chile</t>
  </si>
  <si>
    <t>/37.466593, /72.572015</t>
  </si>
  <si>
    <t>PARCELA 11 LOS SAUCES</t>
  </si>
  <si>
    <t>/37.455182, /72.587211</t>
  </si>
  <si>
    <t>SEVILLA 456</t>
  </si>
  <si>
    <t>/37.456969, /72.340535</t>
  </si>
  <si>
    <t>VICTORIA CANDELARIA SITIO 22,,,</t>
  </si>
  <si>
    <t>/37.463887, /72.542483</t>
  </si>
  <si>
    <t>LEONARDO DAVINCI 1244</t>
  </si>
  <si>
    <t>/37.454383, /72.331605</t>
  </si>
  <si>
    <t>Santa Fe, Santa Fe Province, Argentina</t>
  </si>
  <si>
    <t>/37.465719, /72.579792</t>
  </si>
  <si>
    <t>EL ACAMPADO NORTE S13</t>
  </si>
  <si>
    <t>/37.439048, /72.575504</t>
  </si>
  <si>
    <t>SITIO 3 LAS QUILAS</t>
  </si>
  <si>
    <t>/37.467029, /72.553170</t>
  </si>
  <si>
    <t>Santa Fe Province, Argentina</t>
  </si>
  <si>
    <t>/37.463590, /72.582303</t>
  </si>
  <si>
    <t>Parque Casa Blanca 225, Los Angeles, Bío Bío, Chile</t>
  </si>
  <si>
    <t>/37.449623, /72.332338</t>
  </si>
  <si>
    <t>Lago Caburga 1178, Los Angeles, Bío Bío, Chile</t>
  </si>
  <si>
    <t>/37.465709, /72.375238</t>
  </si>
  <si>
    <t>VICTORIA DE LA CANDELARIA SITIO 32</t>
  </si>
  <si>
    <t>/37.464047, /72.536052</t>
  </si>
  <si>
    <t>Lagos del sur 3503</t>
  </si>
  <si>
    <t>/33.628433, /70.540663</t>
  </si>
  <si>
    <t>Luis Cruz 600</t>
  </si>
  <si>
    <t>/33.812351, /70.736266</t>
  </si>
  <si>
    <t>/33.653960, /70.587446</t>
  </si>
  <si>
    <t>/33.653968, /70.587471</t>
  </si>
  <si>
    <t>Las Magnolias 47</t>
  </si>
  <si>
    <t>/33.723551, /70.540086</t>
  </si>
  <si>
    <t>Pirque ,orilla del río 162</t>
  </si>
  <si>
    <t>/33.707314, /70.540919</t>
  </si>
  <si>
    <t>LUIS PASTEUR 249</t>
  </si>
  <si>
    <t>/33.564565, /70.805024</t>
  </si>
  <si>
    <t>LOS ESPINO PARCELA 37</t>
  </si>
  <si>
    <t>/33.281797, /70.787652</t>
  </si>
  <si>
    <t>Av. Virginia Subercaseaux 1579, Pirque, Región Metropolitana, Chile</t>
  </si>
  <si>
    <t>/33.556455, /70.597634</t>
  </si>
  <si>
    <t>Benito del villar P7/S10</t>
  </si>
  <si>
    <t>/33.821227, /70.734210</t>
  </si>
  <si>
    <t>LOS ESPINOS PARCELA 72</t>
  </si>
  <si>
    <t>/33.280941, /70.796191</t>
  </si>
  <si>
    <t>Av. Manuel Rodríguez 812, Santiago, Región Metropolitana, Chile</t>
  </si>
  <si>
    <t>/33.728517, /70.746557</t>
  </si>
  <si>
    <t>Los clarines 431</t>
  </si>
  <si>
    <t>/33.614889, /70.873514</t>
  </si>
  <si>
    <t>PA D 48</t>
  </si>
  <si>
    <t>/33.728205, /70.774199</t>
  </si>
  <si>
    <t>Manuel España Cañas 180, Buin, Región Metropolitana, Chile</t>
  </si>
  <si>
    <t>/33.733990, /70.755820</t>
  </si>
  <si>
    <t>/33.873533, /70.888885</t>
  </si>
  <si>
    <t>Arenzana Ote. 313, Valle Grande, Lampa, Región Metropolitana, Chile</t>
  </si>
  <si>
    <t>/33.324373, /70.753992</t>
  </si>
  <si>
    <t>Francisco Bilbao, Santiago, Región Metropolitana, Chile</t>
  </si>
  <si>
    <t>/33.604340, /70.877024</t>
  </si>
  <si>
    <t>/33.281094, /70.796066</t>
  </si>
  <si>
    <t>Co pintura 10b aculeo</t>
  </si>
  <si>
    <t>/33.868786, /70.870707</t>
  </si>
  <si>
    <t>LAS ACASIAS 423</t>
  </si>
  <si>
    <t>/33.530261, /70.660791</t>
  </si>
  <si>
    <t>LOS GUINDOS S/N CV10</t>
  </si>
  <si>
    <t>/33.889706, /71.241502</t>
  </si>
  <si>
    <t>/33.756194, /71.318579</t>
  </si>
  <si>
    <t>/33.757386, /71.290173</t>
  </si>
  <si>
    <t>Manuel Rodríguez 654 casa 30</t>
  </si>
  <si>
    <t>/33.680743, /70.990185</t>
  </si>
  <si>
    <t>Camino los magnolios parc 47 lote 72</t>
  </si>
  <si>
    <t>/33.722174, /70.538931</t>
  </si>
  <si>
    <t>Raul Aylwin hernan 723 casa 17</t>
  </si>
  <si>
    <t>/33.678911, /70.994356</t>
  </si>
  <si>
    <t>Pasaje</t>
  </si>
  <si>
    <t>/33.597375, /70.851064</t>
  </si>
  <si>
    <t>/33.690005, /71.037155</t>
  </si>
  <si>
    <t>/33.677653, /71.036376</t>
  </si>
  <si>
    <t>EL NARANJILLO 1006</t>
  </si>
  <si>
    <t>/33.530278, /70.660822</t>
  </si>
  <si>
    <t>STA MARIA 666</t>
  </si>
  <si>
    <t>/33.530293, /70.660817</t>
  </si>
  <si>
    <t>Servidumbre Parcela 34</t>
  </si>
  <si>
    <t>/33.219811, /70.775007</t>
  </si>
  <si>
    <t>Campamento sol de Septiembre 102</t>
  </si>
  <si>
    <t>/33.307174, /70.859102</t>
  </si>
  <si>
    <t>Campamento sol de Septiembre 668</t>
  </si>
  <si>
    <t>/33.308516, /70.862396</t>
  </si>
  <si>
    <t>V.hermosa 597</t>
  </si>
  <si>
    <t>/33.201207, /70.667256</t>
  </si>
  <si>
    <t>Parcela s/n José cond sn Jaime parcela 26</t>
  </si>
  <si>
    <t>/33.237590, /70.697915</t>
  </si>
  <si>
    <t>Cam el taco p6 s1</t>
  </si>
  <si>
    <t>/33.245359, /70.911016</t>
  </si>
  <si>
    <t>Viluco, Buin, Región Metropolitana, Chile</t>
  </si>
  <si>
    <t>/33.798759, /70.774152</t>
  </si>
  <si>
    <t>Co paíne s/n st.25 PC</t>
  </si>
  <si>
    <t>/33.799082, /70.774443</t>
  </si>
  <si>
    <t>SE INSTALA EQUIPO EN DORMITORIO</t>
  </si>
  <si>
    <t>Juan Flores Suarez 418, Penaflor, Peñaflor, Región Metropolitana, Chile</t>
  </si>
  <si>
    <t>/33.614383, /70.876766</t>
  </si>
  <si>
    <t>JOSE MASOUD SITIO 17B</t>
  </si>
  <si>
    <t>/33.665516, /71.220412</t>
  </si>
  <si>
    <t>/33.530242, /70.660809</t>
  </si>
  <si>
    <t>CO LOS TILOS 089 NUEVA ESPERANZA</t>
  </si>
  <si>
    <t>/33.620904, /70.811556</t>
  </si>
  <si>
    <t>29016 Málaga, España</t>
  </si>
  <si>
    <t>/33.716158, /70.329187</t>
  </si>
  <si>
    <t>Pedro Lobos 139, Talagante, Región Metropolitana, Chile</t>
  </si>
  <si>
    <t>/33.657000, /70.916389</t>
  </si>
  <si>
    <t>EL PRADO S/N SAN PEDRO.</t>
  </si>
  <si>
    <t>/33.923222, /71.466108</t>
  </si>
  <si>
    <t>Bandera 44, 8340699 Santiago, Región Metropolitana, Chile</t>
  </si>
  <si>
    <t>/33.801487, /70.638743</t>
  </si>
  <si>
    <t>Raiquen 822</t>
  </si>
  <si>
    <t>/33.811791, /70.731053</t>
  </si>
  <si>
    <t>LA APARICION PARCELA 40. ..</t>
  </si>
  <si>
    <t>/33.802906, /70.655008</t>
  </si>
  <si>
    <t>Joaquín Undurraga 36</t>
  </si>
  <si>
    <t>/33.264140, /70.893680</t>
  </si>
  <si>
    <t>EL NOGAL 1977</t>
  </si>
  <si>
    <t>/33.678690, /71.179473</t>
  </si>
  <si>
    <t>Cam. Antiguo Coquimbo, Colina, Región Metropolitana, Chile</t>
  </si>
  <si>
    <t>/33.273762, /70.736814</t>
  </si>
  <si>
    <t>Sergio España Flores 94, 9501404 Buin, Región Metropolitana, Chile</t>
  </si>
  <si>
    <t>/33.723178, /70.738412</t>
  </si>
  <si>
    <t>MARCELA GONZÁLEZ 190</t>
  </si>
  <si>
    <t>/33.686619, /71.197352</t>
  </si>
  <si>
    <t>LOS JAZMINES 150</t>
  </si>
  <si>
    <t>/33.619743, /70.812697</t>
  </si>
  <si>
    <t>El Carmen, Pomaire, Melipilla, Región Metropolitana, Chile</t>
  </si>
  <si>
    <t>/33.788672, /71.283462</t>
  </si>
  <si>
    <t>PASAJE LOS BOLDOS 2928</t>
  </si>
  <si>
    <t>/33.751159, /70.862966</t>
  </si>
  <si>
    <t>El Chucao 415</t>
  </si>
  <si>
    <t>/33.535334, /70.570120</t>
  </si>
  <si>
    <t>Luis Hinojosa Pascua 1740, Buin, Región Metropolitana, Chile</t>
  </si>
  <si>
    <t>/33.521244, /70.595409</t>
  </si>
  <si>
    <t>QUEULE 295</t>
  </si>
  <si>
    <t>/33.530261, /70.660790</t>
  </si>
  <si>
    <t>EDUARDO CAMPOS 25B</t>
  </si>
  <si>
    <t>/33.075044, /70.773887</t>
  </si>
  <si>
    <t>Gonzalo Barros Ortuzar, Chicauma, Lampa, Región Metropolitana, Chile</t>
  </si>
  <si>
    <t>/33.277335, /70.889739</t>
  </si>
  <si>
    <t>EL YESO 1039</t>
  </si>
  <si>
    <t>/33.530271, /70.660828</t>
  </si>
  <si>
    <t>/33.530290, /70.660836</t>
  </si>
  <si>
    <t>Las Vertientes, Penaflor, Peñaflor, Región Metropolitana, Chile</t>
  </si>
  <si>
    <t>/33.630675, /70.919936</t>
  </si>
  <si>
    <t>Águila Nte. 65, Paine, Región Metropolitana, Chile</t>
  </si>
  <si>
    <t>/33.872620, /70.746730</t>
  </si>
  <si>
    <t>Av.Belen 24/s13</t>
  </si>
  <si>
    <t>/33.583870, /70.808071</t>
  </si>
  <si>
    <t>CALLE PLATINO 1220</t>
  </si>
  <si>
    <t>/33.530271, /70.660801</t>
  </si>
  <si>
    <t>Co la Escuela 86</t>
  </si>
  <si>
    <t>/33.727702, /70.539875</t>
  </si>
  <si>
    <t>Sta. Marta, Colina, Región Metropolitana, Chile</t>
  </si>
  <si>
    <t>CO RUTA G/660 6186 LT 84</t>
  </si>
  <si>
    <t>/33.796351, /71.236807</t>
  </si>
  <si>
    <t>San Felix 0327</t>
  </si>
  <si>
    <t>/33.209036, /70.682948</t>
  </si>
  <si>
    <t>LOS INGLESES 50</t>
  </si>
  <si>
    <t>/33.254565,/70.678121</t>
  </si>
  <si>
    <t>LOS ESPINOS S/N LOT 2 MZN 42</t>
  </si>
  <si>
    <t>/33.279683, /70.796260</t>
  </si>
  <si>
    <t>El redil s/n cv61</t>
  </si>
  <si>
    <t>/33.489285, /71.124984</t>
  </si>
  <si>
    <t>El colorado 29</t>
  </si>
  <si>
    <t>/33.074720, /70.712460</t>
  </si>
  <si>
    <t>Cam. Al Volcán, San José de Maipo, Región Metropolitana, Chile</t>
  </si>
  <si>
    <t>/33.708767, /70.332666</t>
  </si>
  <si>
    <t>/33.587426, /70.394384</t>
  </si>
  <si>
    <t>Servidumbre s/nparcela 34</t>
  </si>
  <si>
    <t>/33.219624, /70.774858</t>
  </si>
  <si>
    <t>Rio bio bio 99</t>
  </si>
  <si>
    <t>/33.088220, /70.931047</t>
  </si>
  <si>
    <t>Santa Ester sitio t</t>
  </si>
  <si>
    <t>/33.211686, /70.696490</t>
  </si>
  <si>
    <t>Aguila Sur 4 ensenada casa 2</t>
  </si>
  <si>
    <t>/33.906661, /70.748451</t>
  </si>
  <si>
    <t>La hacienda</t>
  </si>
  <si>
    <t>/33.299627, /70.873871</t>
  </si>
  <si>
    <t>/33.619298, /70.814438</t>
  </si>
  <si>
    <t>Calle 4 Los Claveles 169</t>
  </si>
  <si>
    <t>/33.619827, /70.813877</t>
  </si>
  <si>
    <t>El Roto Chileno, Talagante, Región Metropolitana, Chile</t>
  </si>
  <si>
    <t>/33.664265, /70.836732</t>
  </si>
  <si>
    <t>Benjamin Molina Ramos 1267, Valdivia de Paine, Buin, Región Metropolitana, Chile</t>
  </si>
  <si>
    <t>/33.813434, /70.857554</t>
  </si>
  <si>
    <t>La represa</t>
  </si>
  <si>
    <t>/33.070846, /70.721999</t>
  </si>
  <si>
    <t>EL TRANQUE 128</t>
  </si>
  <si>
    <t>/33.203521,/70.687417</t>
  </si>
  <si>
    <t>Av. Viluco s/n st 11/B</t>
  </si>
  <si>
    <t>/33.798259, /70.776526</t>
  </si>
  <si>
    <t>Chorrillos</t>
  </si>
  <si>
    <t>/34.036869, /71.093523</t>
  </si>
  <si>
    <t>O'Higgins, Chile</t>
  </si>
  <si>
    <t>/34.028585, /71.099957</t>
  </si>
  <si>
    <t>Pasaje once 191</t>
  </si>
  <si>
    <t>/33.631563, /70.774931</t>
  </si>
  <si>
    <t>AV VILUCO 2275</t>
  </si>
  <si>
    <t>/33.805699, /70.768186</t>
  </si>
  <si>
    <t>VILLASECA 480</t>
  </si>
  <si>
    <t>/33.744085, /70.747806</t>
  </si>
  <si>
    <t>Av. Viluco 4881, Buin, Región Metropolitana, Chile</t>
  </si>
  <si>
    <t>/33.787001, /70.785362</t>
  </si>
  <si>
    <t>Sector Parque Resid Jose Massoud S 38 CasaB, Melipilla</t>
  </si>
  <si>
    <t>/33.532425, /70.585975</t>
  </si>
  <si>
    <t>Chaiten 106</t>
  </si>
  <si>
    <t>/33.630868, /70.777237</t>
  </si>
  <si>
    <t>Melipilla, Valparaiso S/N KM 4</t>
  </si>
  <si>
    <t>/33.423360, /70.644531</t>
  </si>
  <si>
    <t>Miraflores, Perú</t>
  </si>
  <si>
    <t>/33.735731, /70.784308</t>
  </si>
  <si>
    <t>/33.787644, /70.785732</t>
  </si>
  <si>
    <t>C. Río Maipo 141, Región Metropolitana, Chile</t>
  </si>
  <si>
    <t>/33.631183, /70.778551</t>
  </si>
  <si>
    <t>Calle cuatro 279</t>
  </si>
  <si>
    <t>/33.804668, /70.737232</t>
  </si>
  <si>
    <t>Carlos Strutz 0339, 9500245 Maipo, Buin, Región Metropolitana, Chile</t>
  </si>
  <si>
    <t>/33.724724, /70.742476</t>
  </si>
  <si>
    <t>LOS PAJARITOS 704</t>
  </si>
  <si>
    <t>/33.813894, /70.733273</t>
  </si>
  <si>
    <t>21 de Mayo 3445, 9750705 Penaflor, Peñaflor, Región Metropolitana, Chile</t>
  </si>
  <si>
    <t>/33.604044, /70.891241</t>
  </si>
  <si>
    <t>Los Aromos 025</t>
  </si>
  <si>
    <t>/33.782323, /70.790000</t>
  </si>
  <si>
    <t>/33.772081, /71.275470</t>
  </si>
  <si>
    <t>Pedro Jesús Rodríguez, Lampa, Región Metropolitana, Chile</t>
  </si>
  <si>
    <t>/33.280224, /70.888535</t>
  </si>
  <si>
    <t>LOS AROMOS SITIO 25</t>
  </si>
  <si>
    <t>/33.781850, /70.789540</t>
  </si>
  <si>
    <t>Diego de Almagro, San Bernardo, Región Metropolitana, Chile</t>
  </si>
  <si>
    <t>/33.747650, /70.860960</t>
  </si>
  <si>
    <t>Av. Lo Martínez 1145, 8821066 Santiago, La Pintana, Región Metropolitana, Chile</t>
  </si>
  <si>
    <t>SANTA JULIA SITIO 3</t>
  </si>
  <si>
    <t>/33.788367, /70.777894</t>
  </si>
  <si>
    <t>SECTOR CULIPRAN PC311</t>
  </si>
  <si>
    <t>/33.813325, /71.263521</t>
  </si>
  <si>
    <t>Los Guzmán 45</t>
  </si>
  <si>
    <t>/33.697914, /70.710944</t>
  </si>
  <si>
    <t>Enrique Alcalde 512, 9800213 La Islita, Isla de Maipo, Región Metropolitana, Chile</t>
  </si>
  <si>
    <t>pasaje granito 961, Colina, Región Metropolitana, Chile</t>
  </si>
  <si>
    <t>Camino Interior 3, Ceiba 00735, Puerto Rico</t>
  </si>
  <si>
    <t>/33.223661, /70.803090</t>
  </si>
  <si>
    <t>Pirque, Región Metropolitana, Chile</t>
  </si>
  <si>
    <t>/33.726095, /70.541054</t>
  </si>
  <si>
    <t>Maximo valdes 4715</t>
  </si>
  <si>
    <t>/33.671822, /70.533811</t>
  </si>
  <si>
    <t>Maximo valdes 4715 santa rita</t>
  </si>
  <si>
    <t>/33.671747, /70.533656</t>
  </si>
  <si>
    <t>/33.655466, /71.154561</t>
  </si>
  <si>
    <t>Ostolazas 337, Melipilla, Región Metropolitana, Chile</t>
  </si>
  <si>
    <t>/33.673549, /71.208811</t>
  </si>
  <si>
    <t>LOS ESPINOS S/N MZN 71 CA</t>
  </si>
  <si>
    <t>/33.281058, /70.796450</t>
  </si>
  <si>
    <t>LOS ESPINOS S/N MZN 71 CA 2</t>
  </si>
  <si>
    <t>/33.280905, /70.796521</t>
  </si>
  <si>
    <t>Nuevo porvenir mzn 16 P10</t>
  </si>
  <si>
    <t>/33.279371, /70.849032</t>
  </si>
  <si>
    <t>CALLE LOS ESPINOS PARC 67</t>
  </si>
  <si>
    <t>/33.281082, /70.798026</t>
  </si>
  <si>
    <t>Sor Teresa de Calcuta, Colina, Región Metropolitana, Chile</t>
  </si>
  <si>
    <t>SANTA VICTORIA 22</t>
  </si>
  <si>
    <t>/33.809130, /70.766936</t>
  </si>
  <si>
    <t>/33.199350, /70.655695</t>
  </si>
  <si>
    <t>LO CASTRO S/N PARC 14 SIT/ 2/B</t>
  </si>
  <si>
    <t>/33.305532, /70.794223</t>
  </si>
  <si>
    <t>ESPERANZA 265</t>
  </si>
  <si>
    <t>/33.281635, /70.753500</t>
  </si>
  <si>
    <t>EL COMENDADOR 1117</t>
  </si>
  <si>
    <t>/33.608228, /70.881791</t>
  </si>
  <si>
    <t>C. Reina Sur, Colina, Región Metropolitana, Chile</t>
  </si>
  <si>
    <t>/33.188938, /70.698555</t>
  </si>
  <si>
    <t>Lo Márquez 257, 9750376 Penaflor, Peñaflor, Región Metropolitana, Chile</t>
  </si>
  <si>
    <t>/33.608594, /70.894383</t>
  </si>
  <si>
    <t>PINCHA PC/3</t>
  </si>
  <si>
    <t>/34.065496, /71.246635</t>
  </si>
  <si>
    <t>/34.041317, /71.223598</t>
  </si>
  <si>
    <t>Arturo Morales Taibo 273, Buin, Región Metropolitana, Chile</t>
  </si>
  <si>
    <t>/33.758457, /70.749291</t>
  </si>
  <si>
    <t>/34.037262, /71.106188</t>
  </si>
  <si>
    <t>Co Paine 4150 sitio 4</t>
  </si>
  <si>
    <t>/33.793264, /70.781329</t>
  </si>
  <si>
    <t>POBL.IGNACIO CARRERA PINTO S/N</t>
  </si>
  <si>
    <t>/34.028511, /71.081080</t>
  </si>
  <si>
    <t>El Carmen, Calera de Tango, Región Metropolitana, Chile</t>
  </si>
  <si>
    <t>/33.590112, /70.672853</t>
  </si>
  <si>
    <t>AVD GENERAL SAN MARTIN 193 DP 5</t>
  </si>
  <si>
    <t>/33.327404, /70.745217</t>
  </si>
  <si>
    <t>Deidamia Zelada 2153</t>
  </si>
  <si>
    <t>/33.732478, /70.763176</t>
  </si>
  <si>
    <t>Camí el llano</t>
  </si>
  <si>
    <t>/33.418772, /70.749732</t>
  </si>
  <si>
    <t>Camilo el llano</t>
  </si>
  <si>
    <t>/33.418758, /70.749722</t>
  </si>
  <si>
    <t>Concejala maria 2737</t>
  </si>
  <si>
    <t>/33.418755, /70.749716</t>
  </si>
  <si>
    <t>/33.421685, /70.746397</t>
  </si>
  <si>
    <t>Camino noviciado</t>
  </si>
  <si>
    <t>/33.419601, /70.746025</t>
  </si>
  <si>
    <t>Noviciado</t>
  </si>
  <si>
    <t>/33.418763, /70.749719</t>
  </si>
  <si>
    <t>/33.418756, /70.749717</t>
  </si>
  <si>
    <t>Cam. la Mina</t>
  </si>
  <si>
    <t>Padre lepaige</t>
  </si>
  <si>
    <t>/33.418761, /70.749725</t>
  </si>
  <si>
    <t>/33.418803, /70.749737</t>
  </si>
  <si>
    <t>Av Suecia 164</t>
  </si>
  <si>
    <t>/33.674455, /71.178428</t>
  </si>
  <si>
    <t>/33.494230, /70.668853</t>
  </si>
  <si>
    <t>Av. La Hacienda 3016, 9380000 Lampa, Región Metropolitana, Chile</t>
  </si>
  <si>
    <t>/33.301125, /70.873936</t>
  </si>
  <si>
    <t>Camino santa rosa par B</t>
  </si>
  <si>
    <t>/33.245732, /70.797489</t>
  </si>
  <si>
    <t>Pasaje las rosa 776</t>
  </si>
  <si>
    <t>/33.746346, /70.897576</t>
  </si>
  <si>
    <t>Quilapilún Alto, Colina, Región Metropolitana, Chile</t>
  </si>
  <si>
    <t>/33.530156, /70.660737</t>
  </si>
  <si>
    <t>José Maciel Zúñiga 268, La Islita, Isla de Maipo, Región Metropolitana, Chile</t>
  </si>
  <si>
    <t>/33.743750, /70.867403</t>
  </si>
  <si>
    <t>DOS LILIUM 27</t>
  </si>
  <si>
    <t>/33.619304, /70.812036</t>
  </si>
  <si>
    <t>AV CHILE 195</t>
  </si>
  <si>
    <t>/33.804298, /70.854733</t>
  </si>
  <si>
    <t>calle padre hurtado 34 D</t>
  </si>
  <si>
    <t>/33.633821, /70.761051</t>
  </si>
  <si>
    <t>LOS CLAVELES 064</t>
  </si>
  <si>
    <t>/33.620187, /70.813328</t>
  </si>
  <si>
    <t>Simon Reyes 1448, Buin, Región Metropolitana, Chile</t>
  </si>
  <si>
    <t>/33.745919, /70.747374</t>
  </si>
  <si>
    <t>Los GUZMAN 45...</t>
  </si>
  <si>
    <t>/33.698395, /70.710935</t>
  </si>
  <si>
    <t>VILLARRICA 171</t>
  </si>
  <si>
    <t>/33.727837, /70.987973</t>
  </si>
  <si>
    <t>Los Guzmán 49</t>
  </si>
  <si>
    <t>/33.697889, /70.710957</t>
  </si>
  <si>
    <t>/33.747645, /70.860748</t>
  </si>
  <si>
    <t>Padre Hurtado, Región Metropolitana, Chile</t>
  </si>
  <si>
    <t>/33.633713, /70.761144</t>
  </si>
  <si>
    <t>Francisco Vargas Soto 604, Penaflor, Peñaflor, Región Metropolitana, Chile</t>
  </si>
  <si>
    <t>/33.614997, /70.879726</t>
  </si>
  <si>
    <t>Cam. Los Perros, Talagante, Región Metropolitana, Chile</t>
  </si>
  <si>
    <t>/33.687616, /70.880873</t>
  </si>
  <si>
    <t>VEINTIUNO DE MAYO 3445 CASA 63</t>
  </si>
  <si>
    <t>/33.604633, /70.891117</t>
  </si>
  <si>
    <t>G/546 12822, Paine, Región Metropolitana, Chile</t>
  </si>
  <si>
    <t>/33.868140, /70.900250</t>
  </si>
  <si>
    <t>/33.866780, /70.891294</t>
  </si>
  <si>
    <t>/33.779618, /70.786970</t>
  </si>
  <si>
    <t>Condominio Antuhue, Chicureo, Colina, Región Metropolitana, Chile</t>
  </si>
  <si>
    <t>/33.275698, /70.685278</t>
  </si>
  <si>
    <t>PASAJE GABRIELA MISTRAL 382 VILLA GABRIELA</t>
  </si>
  <si>
    <t>/33.739620, /70.742171</t>
  </si>
  <si>
    <t>Emiliano Cabrera 766</t>
  </si>
  <si>
    <t>/33.743047, /70.748479</t>
  </si>
  <si>
    <t>Av Viluco, lote 1, 4881</t>
  </si>
  <si>
    <t>/33.787725, /70.785788</t>
  </si>
  <si>
    <t>San Andrés</t>
  </si>
  <si>
    <t>/33.781578, /70.788330</t>
  </si>
  <si>
    <t>Águila Nte. 9, 9540952 Maipo, Paine, Región Metropolitana, Chile</t>
  </si>
  <si>
    <t>/33.875887, /70.756051</t>
  </si>
  <si>
    <t>Los Lorca 31, Buin, Región Metropolitana, Chile</t>
  </si>
  <si>
    <t>/33.697663, /70.710411</t>
  </si>
  <si>
    <t>PASAJE MIGUEL ARTECHE 1239</t>
  </si>
  <si>
    <t>LOS ÁNGELES</t>
  </si>
  <si>
    <t>/37.484245, /72.341544</t>
  </si>
  <si>
    <t>Santa Fe</t>
  </si>
  <si>
    <t>/37.463267, /72.608958</t>
  </si>
  <si>
    <t>Pje. Miguel Arteche 1247</t>
  </si>
  <si>
    <t>/37.484158, /72.341547</t>
  </si>
  <si>
    <t>Cra. 108, Fontibón, Bogotá, Colombia</t>
  </si>
  <si>
    <t>/37.463255, /72.608216</t>
  </si>
  <si>
    <t>Av. Los Carrera 108, 4430107 Biobio, Los Ángeles, Bío Bío, Chile</t>
  </si>
  <si>
    <t>/37.463241, /72.608167</t>
  </si>
  <si>
    <t>Río duqueco 01212</t>
  </si>
  <si>
    <t>/37.487771, /72.347216</t>
  </si>
  <si>
    <t>Lago Lanalhue, Bío Bío, Chile</t>
  </si>
  <si>
    <t>/37.466908, /72.374362</t>
  </si>
  <si>
    <t>Río Trapa Trapa 145, Los Angeles, Los Ángeles, Bío Bío, Chile</t>
  </si>
  <si>
    <t>/37.486493, /72.346895</t>
  </si>
  <si>
    <t>R. Ver. Alberto L Júnior, 77 / Piratuba, SC, 89667/000, Brasil</t>
  </si>
  <si>
    <t>/37.449154, /72.357514</t>
  </si>
  <si>
    <t>Las encinas 4</t>
  </si>
  <si>
    <t>/37.451475, /72.486893</t>
  </si>
  <si>
    <t>Porvenir 7</t>
  </si>
  <si>
    <t>/37.434415, /72.592532</t>
  </si>
  <si>
    <t>Porvenir 8</t>
  </si>
  <si>
    <t>/37.435878, /72.592995</t>
  </si>
  <si>
    <t>Porvenir pc7</t>
  </si>
  <si>
    <t>/37.437599, /72.589051</t>
  </si>
  <si>
    <t>Las encinas. 8</t>
  </si>
  <si>
    <t>/37.457383, /72.482731</t>
  </si>
  <si>
    <t>HUERTO 15</t>
  </si>
  <si>
    <t>/37.466511, /72.578558</t>
  </si>
  <si>
    <t>LAURARO 868</t>
  </si>
  <si>
    <t>/37.470050, /72.357923</t>
  </si>
  <si>
    <t>Comite virquenco Santa Fe</t>
  </si>
  <si>
    <t>/37.460268, /72.560185</t>
  </si>
  <si>
    <t>HUERTO NUMERO 3 LAS QUILAS</t>
  </si>
  <si>
    <t>/37.466158, /72.553372</t>
  </si>
  <si>
    <t>/37.466179, /72.553432</t>
  </si>
  <si>
    <t>Santa Fe de la Vera Cruz, Santa Fe, Argentina</t>
  </si>
  <si>
    <t>/37.449864, /72.555395</t>
  </si>
  <si>
    <t>/37.464074, /72.566296</t>
  </si>
  <si>
    <t>HUERTO 3 LAS QUILAS</t>
  </si>
  <si>
    <t>/37.467308, /72.553070</t>
  </si>
  <si>
    <t>/37.467295, /72.553088</t>
  </si>
  <si>
    <t>Chacaico, Los Angeles, Los Ángeles, Bío Bío, Chile</t>
  </si>
  <si>
    <t>/37.467966, /72.552661</t>
  </si>
  <si>
    <t>/37.468009, /72.552709</t>
  </si>
  <si>
    <t>Los Tunebos, Los Angeles, Los Ángeles, Bío Bío, Chile</t>
  </si>
  <si>
    <t>/37.487235, /72.335681</t>
  </si>
  <si>
    <t>QUILLA SUR, 0000, Cochabamba, Bolivia</t>
  </si>
  <si>
    <t>/37.470440, /72.553611</t>
  </si>
  <si>
    <t>/37.467038, /72.567250</t>
  </si>
  <si>
    <t>Cl 54, Localidad de Chapinero, Bogotá, Colombia</t>
  </si>
  <si>
    <t>/37.467808, /72.552674</t>
  </si>
  <si>
    <t>Las encinas sitio 3</t>
  </si>
  <si>
    <t>/37.473663, /72.482076</t>
  </si>
  <si>
    <t>El trébol 681</t>
  </si>
  <si>
    <t>/37.477265, /72.369065</t>
  </si>
  <si>
    <t>PASADENA 1194</t>
  </si>
  <si>
    <t>/37.477682, /72.330788</t>
  </si>
  <si>
    <t>Cl. Monteaguila Ote. 1299, Los Angeles, Los Ángeles, Bío Bío, Chile</t>
  </si>
  <si>
    <t>/37.460511, /72.366878</t>
  </si>
  <si>
    <t>PALOS QUEMADOS 1248</t>
  </si>
  <si>
    <t>/37.462176, /72.354718</t>
  </si>
  <si>
    <t>LOS PASTORES 2405</t>
  </si>
  <si>
    <t>/37.462721, /72.355156</t>
  </si>
  <si>
    <t>ALBERTO URENDA RAMÍREZ 530</t>
  </si>
  <si>
    <t>/37.462682, /72.355112</t>
  </si>
  <si>
    <t>/37.462680, /72.355006</t>
  </si>
  <si>
    <t>Lote a, Hacienda San Pablo, 55714 San Francisco Coacalco, Méx., México</t>
  </si>
  <si>
    <t>/37.462533, /72.355067</t>
  </si>
  <si>
    <t>Pelador parcela 4</t>
  </si>
  <si>
    <t>/37.427198, /72.385222</t>
  </si>
  <si>
    <t>Peñaflor parcels 4</t>
  </si>
  <si>
    <t>/37.427192, /72.385216</t>
  </si>
  <si>
    <t>Tucapel 841, 4030317 Concepción, Bío Bío, Chile</t>
  </si>
  <si>
    <t>/33.448448, /70.714720</t>
  </si>
  <si>
    <t>ATLANTA 831</t>
  </si>
  <si>
    <t>/33.443380, /70.708575</t>
  </si>
  <si>
    <t>san pedro parcela 2</t>
  </si>
  <si>
    <t>/33.911246, /71.438113</t>
  </si>
  <si>
    <t>Callejón esperanza parcela 3</t>
  </si>
  <si>
    <t>/33.648827, /70.542904</t>
  </si>
  <si>
    <t>La Rinconada</t>
  </si>
  <si>
    <t>/33.903059, /71.354321</t>
  </si>
  <si>
    <t>Avenida España 1300</t>
  </si>
  <si>
    <t>/33.241820, /70.819241</t>
  </si>
  <si>
    <t>/33.715651, /70.328787</t>
  </si>
  <si>
    <t>Balmaceda lote 32</t>
  </si>
  <si>
    <t>/33.835147, /70.756742</t>
  </si>
  <si>
    <t>Canadá Nte., 25760 Monclova, Coah., México</t>
  </si>
  <si>
    <t>/33.636863, /70.356778</t>
  </si>
  <si>
    <t>PASAJE UNO 0352</t>
  </si>
  <si>
    <t>/33.638059, /70.356232</t>
  </si>
  <si>
    <t>Calle Chile 39</t>
  </si>
  <si>
    <t>/33.235482, /70.808374</t>
  </si>
  <si>
    <t>Lonquen sur sitio 23</t>
  </si>
  <si>
    <t>/33.669619, /70.842795</t>
  </si>
  <si>
    <t>uribe 425</t>
  </si>
  <si>
    <t>/33.234115, /70.808830</t>
  </si>
  <si>
    <t>Camino servidumbre parc A lot 27 A</t>
  </si>
  <si>
    <t>/33.242232, /70.805968</t>
  </si>
  <si>
    <t>camino servidumbre lote parcela 27</t>
  </si>
  <si>
    <t>/33.243441, /70.806573</t>
  </si>
  <si>
    <t>Camino servidumbre par A lot 27A</t>
  </si>
  <si>
    <t>/33.243169, /70.806949</t>
  </si>
  <si>
    <t>camino servidumbre lote 27 A 10</t>
  </si>
  <si>
    <t>/33.243402, /70.806656</t>
  </si>
  <si>
    <t>El quillay 8</t>
  </si>
  <si>
    <t>/33.087584, /70.922470</t>
  </si>
  <si>
    <t>/33.087635, /70.922389</t>
  </si>
  <si>
    <t>portales 082</t>
  </si>
  <si>
    <t>/33.088150, /70.920662</t>
  </si>
  <si>
    <t>pasaje el olivo villa san José</t>
  </si>
  <si>
    <t>/33.128499, /70.800989</t>
  </si>
  <si>
    <t>Psj los olivos 2</t>
  </si>
  <si>
    <t>/33.128410, /70.801097</t>
  </si>
  <si>
    <t>/33.714796, /70.331079</t>
  </si>
  <si>
    <t>CALLE DOS 248</t>
  </si>
  <si>
    <t>Av. San Antonio 511</t>
  </si>
  <si>
    <t>/33.707878, /71.027229</t>
  </si>
  <si>
    <t>Pasaje alfredro faldero 175</t>
  </si>
  <si>
    <t>/33.685863, /70.951464</t>
  </si>
  <si>
    <t>Los Rodados 41685, San Gabriel, San José de Maipo, Región Metropolitana, Chile</t>
  </si>
  <si>
    <t>/33.783380, /70.234493</t>
  </si>
  <si>
    <t>LA RED 46</t>
  </si>
  <si>
    <t>/33.695341, /71.048477</t>
  </si>
  <si>
    <t>Los campesinos s/n st 12</t>
  </si>
  <si>
    <t>/33.542678, /70.826710</t>
  </si>
  <si>
    <t>El tanguito</t>
  </si>
  <si>
    <t>/33.601832, /70.782448</t>
  </si>
  <si>
    <t>CAR Cacique COLIN 3/B</t>
  </si>
  <si>
    <t>/33.271899, /70.745431</t>
  </si>
  <si>
    <t>Cacique Colin 03, Lampa, Región Metropolitana, Chile</t>
  </si>
  <si>
    <t>/33.271993, /70.745089</t>
  </si>
  <si>
    <t>2 Ote. 260, Viña del Mar, Valparaíso, Chile</t>
  </si>
  <si>
    <t>/33.138703, /70.801005</t>
  </si>
  <si>
    <t>2 oriente 260 huertos familiares</t>
  </si>
  <si>
    <t>/33.138658, /70.800970</t>
  </si>
  <si>
    <t>Los Guindos, Penaflor, Peñaflor, Región Metropolitana, Chile</t>
  </si>
  <si>
    <t>/33.704869, /70.866653</t>
  </si>
  <si>
    <t>Calle 1 19</t>
  </si>
  <si>
    <t>/33.128803, /70.801873</t>
  </si>
  <si>
    <t>Chicureo, Colina, Región Metropolitana, Chile</t>
  </si>
  <si>
    <t>/33.217115, /70.672946</t>
  </si>
  <si>
    <t>/33.217105, /70.672948</t>
  </si>
  <si>
    <t>/33.261091, /70.882667</t>
  </si>
  <si>
    <t>LOS EUCALIPTUS</t>
  </si>
  <si>
    <t>/33.699667,/70.849811</t>
  </si>
  <si>
    <t>Camino paine 3360</t>
  </si>
  <si>
    <t>/33.797505, /70.776670</t>
  </si>
  <si>
    <t>Lonquen sur sitio 23s.n</t>
  </si>
  <si>
    <t>/33.573369, /70.603738</t>
  </si>
  <si>
    <t>/33.108913, /70.794015</t>
  </si>
  <si>
    <t>Cam. las Palmas, 16</t>
  </si>
  <si>
    <t>/33.693018, /70.963282</t>
  </si>
  <si>
    <t>PARCELACION SANTA ANA SN PARCELA 39 LOTE 6</t>
  </si>
  <si>
    <t>/33.108218, /70.794391</t>
  </si>
  <si>
    <t>Pasaje C, Talagante, Región Metropolitana, Chile</t>
  </si>
  <si>
    <t>/33.679624, /70.947341</t>
  </si>
  <si>
    <t>Callejón el peral P27/b C5</t>
  </si>
  <si>
    <t>/33.872032, /70.882683</t>
  </si>
  <si>
    <t>San Antonio de Naltagua 6340, Isla de Maipo, Región Metropolitana, Chile</t>
  </si>
  <si>
    <t>/33.731817, /70.971602</t>
  </si>
  <si>
    <t>/33.731811, /70.971623</t>
  </si>
  <si>
    <t>AVD GENERAL SAN MARTIN 193 DP42</t>
  </si>
  <si>
    <t>/33.327386, /70.744733</t>
  </si>
  <si>
    <t>Av. El Porvenir 681, 9391353 Valle Grande, Lampa, Región Metropolitana, Chile</t>
  </si>
  <si>
    <t>/33.326030, /70.754420</t>
  </si>
  <si>
    <t>Conjunto Urbano Ex Hacienda de Paula, Méx., México</t>
  </si>
  <si>
    <t>/33.594240, /70.677630</t>
  </si>
  <si>
    <t>Marta Letelier s/n pintura calle nueva sitio 47</t>
  </si>
  <si>
    <t>/33.590229, /70.672781</t>
  </si>
  <si>
    <t>PA MARIA PINO FAJARDO 444 MANZANA A</t>
  </si>
  <si>
    <t>/33.726421, /70.772965</t>
  </si>
  <si>
    <t>EL BOSQUE KM 4 PC 1B</t>
  </si>
  <si>
    <t>/33.765657, /71.289123</t>
  </si>
  <si>
    <t>PA D 48 MAIPO</t>
  </si>
  <si>
    <t>/33.728166, /70.774186</t>
  </si>
  <si>
    <t>CA EL CERRO 1308</t>
  </si>
  <si>
    <t>/33.691216, /71.227192</t>
  </si>
  <si>
    <t>CO PUBLICO S/N CV17</t>
  </si>
  <si>
    <t>/33.782667, /71.264460</t>
  </si>
  <si>
    <t>PASAJE LA ILUSION 46</t>
  </si>
  <si>
    <t>/33.700149, /71.220539</t>
  </si>
  <si>
    <t>AVENIDA JORGE INOSTROZA 1261</t>
  </si>
  <si>
    <t>/33.694020, /71.223802</t>
  </si>
  <si>
    <t>Cerro Chocalan, Melipilla, Región Metropolitana, Chile</t>
  </si>
  <si>
    <t>/33.686135, /71.196943</t>
  </si>
  <si>
    <t>PARDO 199 POR ARZA 780</t>
  </si>
  <si>
    <t>/33.682383, /71.217342</t>
  </si>
  <si>
    <t>Av. Independencia 141, 8380710 Santiago, Independencia, Región Metropolitana, Chile</t>
  </si>
  <si>
    <t>/33.749841, /70.892376</t>
  </si>
  <si>
    <t>LOS ROBLES 149</t>
  </si>
  <si>
    <t>/33.726385, /70.774634</t>
  </si>
  <si>
    <t>CMNO INT L/114 FUNDO LOS CERRILLOS S/N 0</t>
  </si>
  <si>
    <t>/33.288243, /70.804910</t>
  </si>
  <si>
    <t>/33.280778, /70.796579</t>
  </si>
  <si>
    <t>CO CAMPUSANO 7135 PARC 22</t>
  </si>
  <si>
    <t>/33.816626, /70.840574</t>
  </si>
  <si>
    <t>/33.280777, /70.796579</t>
  </si>
  <si>
    <t>COMNO INT L/114 B FUNDO LOS CERRILLOS S/N 0</t>
  </si>
  <si>
    <t>/33.288309, /70.804969</t>
  </si>
  <si>
    <t>Los libertadores 749</t>
  </si>
  <si>
    <t>/33.683048, /70.993373</t>
  </si>
  <si>
    <t>Pasj valle del Elqui 1964 norte los álamos</t>
  </si>
  <si>
    <t>/33.575255, /70.803550</t>
  </si>
  <si>
    <t>Recuerdo de belico 725</t>
  </si>
  <si>
    <t>/33.798960, /70.774400</t>
  </si>
  <si>
    <t>Parcela 3b pasaje 1 casa3</t>
  </si>
  <si>
    <t>/33.244308, /70.823175</t>
  </si>
  <si>
    <t>Pje CORINTO 291Paine</t>
  </si>
  <si>
    <t>/33.815670, /70.738854</t>
  </si>
  <si>
    <t>CHOCALAN 1171</t>
  </si>
  <si>
    <t>/33.727684, /71.204632</t>
  </si>
  <si>
    <t>EL YALI S/N</t>
  </si>
  <si>
    <t>/33.918108, /71.456486</t>
  </si>
  <si>
    <t>Pje Ramon Rubio Pezoa 49, Alto Jahuel, Buin, Región Metropolitana, Chile</t>
  </si>
  <si>
    <t>/33.737271, /70.682144</t>
  </si>
  <si>
    <t>Portal don Alberto s/N PARCELA 77</t>
  </si>
  <si>
    <t>/33.426404, /70.738416</t>
  </si>
  <si>
    <t>LA ENSENADA S/N SECTOR 5 LOTE 3/A AGUILA SUR</t>
  </si>
  <si>
    <t>/33.914545, /70.754961</t>
  </si>
  <si>
    <t>LA ENSENADA S N SECTOR 5 LOTE 3/A AGUILA SUR</t>
  </si>
  <si>
    <t>/33.914700, /70.754952</t>
  </si>
  <si>
    <t>PASAJE EL RAULI SN POSTE 570648</t>
  </si>
  <si>
    <t>/33.736462, /70.859203</t>
  </si>
  <si>
    <t>El CARMEN 217</t>
  </si>
  <si>
    <t>/33.647499, /71.148000</t>
  </si>
  <si>
    <t>Horacio Fernández 73</t>
  </si>
  <si>
    <t>/33.742847, /70.680282</t>
  </si>
  <si>
    <t>San Antonio de Naltagua 9, Isla de Maipo, Región Metropolitana, Chile</t>
  </si>
  <si>
    <t>/33.737386, /71.014224</t>
  </si>
  <si>
    <t>Huiticalán 31, Valdivia de Paine, Paine, Región Metropolitana, Chile</t>
  </si>
  <si>
    <t>/33.867126, /70.859022</t>
  </si>
  <si>
    <t>Nueva horizonte parcela Z/2</t>
  </si>
  <si>
    <t>/33.823672, /70.740364</t>
  </si>
  <si>
    <t>LOS MAITENES CAMINO RAPEL S/N</t>
  </si>
  <si>
    <t>/33.837189, /71.365087</t>
  </si>
  <si>
    <t>PADRE MATEO 984</t>
  </si>
  <si>
    <t>/33.823213, /70.730852</t>
  </si>
  <si>
    <t>Gaudelina Valdivia Naranjo 536, Penaflor, Peñaflor, Región Metropolitana, Chile</t>
  </si>
  <si>
    <t>/33.615291, /70.877319</t>
  </si>
  <si>
    <t>Santa Teresa de los Andes 1549, Padre Hurtado, Región Metropolitana, Chile</t>
  </si>
  <si>
    <t>/33.574450, /70.834523</t>
  </si>
  <si>
    <t>EUROPA ORIENTE 14A</t>
  </si>
  <si>
    <t>/33.772557, /71.275114</t>
  </si>
  <si>
    <t>EL ALBA 0350</t>
  </si>
  <si>
    <t>/33.725598, /70.746708</t>
  </si>
  <si>
    <t>Los Robles 202, 9501669 Alto Jahuel, Buin, Región Metropolitana, Chile</t>
  </si>
  <si>
    <t>/33.739288, /70.678570</t>
  </si>
  <si>
    <t>LAS TINAJAS DE ULMEN S/N</t>
  </si>
  <si>
    <t>/33.838874, /71.367202</t>
  </si>
  <si>
    <t>Pa los álamos 57</t>
  </si>
  <si>
    <t>/33.535135, /70.902901</t>
  </si>
  <si>
    <t>Av. Italia 1814, 11600 Montevideo, Departamento de Montevideo, Uruguay</t>
  </si>
  <si>
    <t>/33.674638, /71.180672</t>
  </si>
  <si>
    <t>Cam. de Miraflores, 113, San José, 50007 Zaragoza, España</t>
  </si>
  <si>
    <t>/33.600176, /70.862002</t>
  </si>
  <si>
    <t>Acevedo 136</t>
  </si>
  <si>
    <t>/33.232106, /70.813167</t>
  </si>
  <si>
    <t>El boldal</t>
  </si>
  <si>
    <t>Dieciocho septiembre</t>
  </si>
  <si>
    <t>/33.606131, /70.906033</t>
  </si>
  <si>
    <t>Camino la mina Lt10</t>
  </si>
  <si>
    <t>/33.902268, /71.470352</t>
  </si>
  <si>
    <t>El Boldal de Sta. Ester, Chicureo, Colina, Región Metropolitana, Chile</t>
  </si>
  <si>
    <t>/33.234630, /70.712305</t>
  </si>
  <si>
    <t>Camino mallenxo</t>
  </si>
  <si>
    <t>Florida 96</t>
  </si>
  <si>
    <t>/33.609171, /70.861777</t>
  </si>
  <si>
    <t>Condominio los cantaros parc 29</t>
  </si>
  <si>
    <t>/33.228942, /70.794884</t>
  </si>
  <si>
    <t>Marta Alvarez torres 1012</t>
  </si>
  <si>
    <t>/33.718927, /70.746448</t>
  </si>
  <si>
    <t>Sta. Delia, 67280 N.L., México</t>
  </si>
  <si>
    <t>/33.609985, /70.886635</t>
  </si>
  <si>
    <t>Vichuquén, Maule, Chile</t>
  </si>
  <si>
    <t>/33.811236, /70.735272</t>
  </si>
  <si>
    <t>/33.620527, /70.807291</t>
  </si>
  <si>
    <t>Rupanco 532</t>
  </si>
  <si>
    <t>/33.811428, /70.734662</t>
  </si>
  <si>
    <t>Alto Jahuel, Buin, Región Metropolitana, Chile</t>
  </si>
  <si>
    <t>/33.704651, /70.677158</t>
  </si>
  <si>
    <t>CAMINO SERVIDUMBRE S/N LOTE 2 MZN 112</t>
  </si>
  <si>
    <t>/33.314188, /70.844620</t>
  </si>
  <si>
    <t>Rivera nte estereo st 1</t>
  </si>
  <si>
    <t>/33.041105, /70.692964</t>
  </si>
  <si>
    <t>Guanaco s/n L1 c ,Penaflor, Peñaflor, Región Metropolitana, Chile</t>
  </si>
  <si>
    <t>/33.590804, /70.890638</t>
  </si>
  <si>
    <t>NOGERA 226</t>
  </si>
  <si>
    <t>/33.683613, /71.198354</t>
  </si>
  <si>
    <t>Santa ines 51</t>
  </si>
  <si>
    <t>RUTABG 74F PARC 10</t>
  </si>
  <si>
    <t>/33.629516, /71.232240</t>
  </si>
  <si>
    <t>La aparición sur 14</t>
  </si>
  <si>
    <t>LOS MAITENES LOTE M S71</t>
  </si>
  <si>
    <t>CAMINO EL TACO PARC 6 S5</t>
  </si>
  <si>
    <t>Paula jaraquemada sitio 2</t>
  </si>
  <si>
    <t>BELLAVISTA</t>
  </si>
  <si>
    <t>/33.735806, /70.784270</t>
  </si>
  <si>
    <t>Padre Soto 134, 9351594 Colina, Región Metropolitana, Chile</t>
  </si>
  <si>
    <t>/33.181237, /70.657844</t>
  </si>
  <si>
    <t>BELLAVISTA126</t>
  </si>
  <si>
    <t>/33.735705, /70.784278</t>
  </si>
  <si>
    <t>Calle chile 507</t>
  </si>
  <si>
    <t>/33.231643, /70.809314</t>
  </si>
  <si>
    <t>coquinbito norte parcela 39</t>
  </si>
  <si>
    <t>/33.109062, /70.794260</t>
  </si>
  <si>
    <t>Sgto. Aldea 830, Lampa, Región Metropolitana, Chile</t>
  </si>
  <si>
    <t>/33.229440, /70.792870</t>
  </si>
  <si>
    <t>Tres Ote. 14, Huertos Familiares, Tiltil, Región Mropolitana, Chile</t>
  </si>
  <si>
    <t>/33.130779, /70.805402</t>
  </si>
  <si>
    <t>Simón bolívar 1015</t>
  </si>
  <si>
    <t>/33.227177, /70.804683</t>
  </si>
  <si>
    <t>3 oriente 014</t>
  </si>
  <si>
    <t>/33.130516, /70.801891</t>
  </si>
  <si>
    <t>Manuel Figueroa 2039</t>
  </si>
  <si>
    <t>/33.407785, /71.135011</t>
  </si>
  <si>
    <t>Ca Ignacio carrera pinto 049</t>
  </si>
  <si>
    <t>/33.679941, /70.978709</t>
  </si>
  <si>
    <t>Argentina 1150, 9390268 Lampa, Región Metropolitana, Chile</t>
  </si>
  <si>
    <t>/33.229051, /70.813118</t>
  </si>
  <si>
    <t>Argentina 1150, 9390268 Chacabuco, Lampa, Región Metropolitana, Chile</t>
  </si>
  <si>
    <t>/33.229053, /70.813119</t>
  </si>
  <si>
    <t>psj leiter 1124</t>
  </si>
  <si>
    <t>/33.192703, /70.672797</t>
  </si>
  <si>
    <t>Alpatacal 340, Colina, Región Metropolitana, Chile</t>
  </si>
  <si>
    <t>/33.206217, /70.672841</t>
  </si>
  <si>
    <t>/33.206077, /70.672821</t>
  </si>
  <si>
    <t>calle B 212</t>
  </si>
  <si>
    <t>/33.197626, /70.673425</t>
  </si>
  <si>
    <t>pasaje cuatro 101</t>
  </si>
  <si>
    <t>/33.197162, /70.672121</t>
  </si>
  <si>
    <t>Pasaje cuatro 101</t>
  </si>
  <si>
    <t>/33.197329, /70.672061</t>
  </si>
  <si>
    <t>Cuatro 113, 9351355 Colina, Región Metropolitana, Chile</t>
  </si>
  <si>
    <t>/33.197133, /70.672232</t>
  </si>
  <si>
    <t>PTE LAS VERTIENTES 2311</t>
  </si>
  <si>
    <t>/33.294475, /70.874161</t>
  </si>
  <si>
    <t>1 ORIENTE 58 LOTE 3B/10 MZ A</t>
  </si>
  <si>
    <t>/33.134154, /70.808518</t>
  </si>
  <si>
    <t>EL ASIENTO S/N /S/N RCM</t>
  </si>
  <si>
    <t>/34.032567, /71.078516</t>
  </si>
  <si>
    <t>El principal sitio 142 lote A</t>
  </si>
  <si>
    <t>/33.712588, /70.567762</t>
  </si>
  <si>
    <t>SECTOR EL ALHUE S/N LT.1A</t>
  </si>
  <si>
    <t>/34.035332, /71.092255</t>
  </si>
  <si>
    <t>IGNACIO CARRERA PINTO S/N /CV42</t>
  </si>
  <si>
    <t>/34.029474, /71.086928</t>
  </si>
  <si>
    <t>CARRETERA PROY. PARCELACION STA. LUISA LOTE 5</t>
  </si>
  <si>
    <t>/33.272480, /70.688586</t>
  </si>
  <si>
    <t>AV VICTOR TRONCOSO MUÑOZ 1080 CASA 76 LOS PADROS DE BUIN</t>
  </si>
  <si>
    <t>/33.729543, /70.724025</t>
  </si>
  <si>
    <t>Los áromos sitio 64 lote 3 hospital</t>
  </si>
  <si>
    <t>/33.864708, /70.752864</t>
  </si>
  <si>
    <t>Fundó esmeralda s/n</t>
  </si>
  <si>
    <t>/33.646882, /71.254088</t>
  </si>
  <si>
    <t>Av. Vicuña Mackenna 929, Santiago, Ñuñoa, Región Metropolitana, Chile</t>
  </si>
  <si>
    <t>/33.679350, /71.189743</t>
  </si>
  <si>
    <t>Pa nuevo 532</t>
  </si>
  <si>
    <t>/33.605953, /70.860629</t>
  </si>
  <si>
    <t>Avda Principal 159</t>
  </si>
  <si>
    <t>/33.678607, /71.175754</t>
  </si>
  <si>
    <t>Santa Elena s/n cv8</t>
  </si>
  <si>
    <t>/33.567331, /71.133750</t>
  </si>
  <si>
    <t>Pje folclorista monica González 662</t>
  </si>
  <si>
    <t>/33.615658, /70.905038</t>
  </si>
  <si>
    <t>Co princincipal s/n</t>
  </si>
  <si>
    <t>/33.463712, /71.077774</t>
  </si>
  <si>
    <t>MANANTIALES S/N /CV50 LOTE 9 MANANTIALES, MELIPILLA</t>
  </si>
  <si>
    <t>/33.780865, /71.167065</t>
  </si>
  <si>
    <t>Paico alto sitio 7 parc. 7</t>
  </si>
  <si>
    <t>/33.656422, /71.043812</t>
  </si>
  <si>
    <t>MELIPILLA, SECTOR CAMPO LINDO S/N /CV18</t>
  </si>
  <si>
    <t>/33.634888, /71.245702</t>
  </si>
  <si>
    <t>El paico alto s/n</t>
  </si>
  <si>
    <t>/33.670335, /71.046002</t>
  </si>
  <si>
    <t>El ceibo 1008</t>
  </si>
  <si>
    <t>/33.680548, /71.220850</t>
  </si>
  <si>
    <t>Egaña 125</t>
  </si>
  <si>
    <t>/33.682040, /71.209312</t>
  </si>
  <si>
    <t>/33.191785, /70.823477</t>
  </si>
  <si>
    <t>Av el cerro 19818</t>
  </si>
  <si>
    <t>/33.640873, /70.351792</t>
  </si>
  <si>
    <t>Aracena y Monckeberg 860, Paine, Región Metropolitana, Chile</t>
  </si>
  <si>
    <t>/33.824814, /70.733497</t>
  </si>
  <si>
    <t>Precidente errazuriz 0110</t>
  </si>
  <si>
    <t>/33.727012, /70.739525</t>
  </si>
  <si>
    <t>Santa elena s/n poste 288576</t>
  </si>
  <si>
    <t>/33.710057, /70.856319</t>
  </si>
  <si>
    <t>Las tazas sta rosa sitio 6</t>
  </si>
  <si>
    <t>/33.823383, /70.859822</t>
  </si>
  <si>
    <t>Las dalias 344</t>
  </si>
  <si>
    <t>/33.761902, /70.736958</t>
  </si>
  <si>
    <t>Pje once 295</t>
  </si>
  <si>
    <t>/33.194823, /70.673630</t>
  </si>
  <si>
    <t>Pellin 56</t>
  </si>
  <si>
    <t>/33.572665, /70.819138</t>
  </si>
  <si>
    <t>Los corrales 1370 casa 19</t>
  </si>
  <si>
    <t>/33.222357, /70.685396</t>
  </si>
  <si>
    <t>/33.698461, /70.968687</t>
  </si>
  <si>
    <t>Santa andriana 1178</t>
  </si>
  <si>
    <t>/33.695389, /70.968240</t>
  </si>
  <si>
    <t>Los Libertadores 125</t>
  </si>
  <si>
    <t>/33.602624, /70.848889</t>
  </si>
  <si>
    <t>/33.696736, /70.968900</t>
  </si>
  <si>
    <t>El eden 3572 peñaflor</t>
  </si>
  <si>
    <t>/33.599125, /70.887314</t>
  </si>
  <si>
    <t>Callejon San Benito 252</t>
  </si>
  <si>
    <t>/33.775771, /71.257988</t>
  </si>
  <si>
    <t>Ruta g78 5522</t>
  </si>
  <si>
    <t>/33.661417, /71.293023</t>
  </si>
  <si>
    <t>Los abedules 1835</t>
  </si>
  <si>
    <t>/33.609357, /70.876081</t>
  </si>
  <si>
    <t>Virginal subercaseaux 4000</t>
  </si>
  <si>
    <t>/33.644136, /70.602653</t>
  </si>
  <si>
    <t>Larrain 1590</t>
  </si>
  <si>
    <t>/33.602744, /70.870005</t>
  </si>
  <si>
    <t>Las Hijuelas de pollo sn</t>
  </si>
  <si>
    <t>/34.023547, /71.118282</t>
  </si>
  <si>
    <t>Cam. Al Volcán, Región Metropolitana, Chile</t>
  </si>
  <si>
    <t>/33.580610, /70.460816</t>
  </si>
  <si>
    <t>Av. Chile</t>
  </si>
  <si>
    <t>/33.225223, /70.809940</t>
  </si>
  <si>
    <t>Los bosques de Miraflores parcela 39</t>
  </si>
  <si>
    <t>/33.397751, /71.048221</t>
  </si>
  <si>
    <t>Lo encantado s/n</t>
  </si>
  <si>
    <t>/33.493535, /70.594971</t>
  </si>
  <si>
    <t>Los rosales 1992</t>
  </si>
  <si>
    <t>/33.601277, /70.868432</t>
  </si>
  <si>
    <t>Carampang 5912 Parcela 24</t>
  </si>
  <si>
    <t>/33.708556, /70.867109</t>
  </si>
  <si>
    <t>Los lagos 1008</t>
  </si>
  <si>
    <t>/33.192777, /70.675568</t>
  </si>
  <si>
    <t>Dose de septiembre 2238 Talagante</t>
  </si>
  <si>
    <t>/33.602312, /70.877220</t>
  </si>
  <si>
    <t>Padre Benjamín Ulloa 212</t>
  </si>
  <si>
    <t>/33.746342, /70.868342</t>
  </si>
  <si>
    <t>Ignacio carrera pinto S/N</t>
  </si>
  <si>
    <t>/34.030594, /71.084590</t>
  </si>
  <si>
    <t>Santa rosa parcela 9</t>
  </si>
  <si>
    <t>/33.258291, /70.755974</t>
  </si>
  <si>
    <t>/33.258268, /70.755906</t>
  </si>
  <si>
    <t>/33.258285, /70.755951</t>
  </si>
  <si>
    <t>Santa rosa parcela 9 lot k</t>
  </si>
  <si>
    <t>/33.258286, /70.755987</t>
  </si>
  <si>
    <t>Santa rosa parcela 9 lote K</t>
  </si>
  <si>
    <t>/33.258282, /70.755968</t>
  </si>
  <si>
    <t>Santa rosa parcela lot K</t>
  </si>
  <si>
    <t>/33.258291, /70.756013</t>
  </si>
  <si>
    <t>Pje. San Carlos, Puno 21001, Perú</t>
  </si>
  <si>
    <t>/33.806374, /70.734783</t>
  </si>
  <si>
    <t>LOS ESPINOS PARC 71</t>
  </si>
  <si>
    <t>/33.279279, /70.778417</t>
  </si>
  <si>
    <t>Ruta G154 lote A sitio7</t>
  </si>
  <si>
    <t>/33.272019, /70.744533</t>
  </si>
  <si>
    <t>ruta g154b lote 7</t>
  </si>
  <si>
    <t>/33.271856, /70.744442</t>
  </si>
  <si>
    <t>ALCALDE JOSE NAVARRO 2570</t>
  </si>
  <si>
    <t>/33.595553, /70.853078</t>
  </si>
  <si>
    <t>Camino coquimbito 5/B</t>
  </si>
  <si>
    <t>/33.146310, /70.794969</t>
  </si>
  <si>
    <t>SIMON BOLIVAR S/N HIJ 28 PAR 57</t>
  </si>
  <si>
    <t>El Parron 406</t>
  </si>
  <si>
    <t>/33.403181, /71.127212</t>
  </si>
  <si>
    <t>Pasaje hispana 297</t>
  </si>
  <si>
    <t>JUAN FRANCISCO FRESNO 327</t>
  </si>
  <si>
    <t>/33.783239, /70.892315</t>
  </si>
  <si>
    <t>/33.081081, /70.919555</t>
  </si>
  <si>
    <t>Jorge montt 1575</t>
  </si>
  <si>
    <t>CAMPAMENTO 25 DE NOVIEMBRE CASA 97</t>
  </si>
  <si>
    <t>/33.261261, /70.871554</t>
  </si>
  <si>
    <t>Pasaje padre mateo #255</t>
  </si>
  <si>
    <t>Coronel Nicolás Maruri 2356, Colina, Región Metropolitana, Chile</t>
  </si>
  <si>
    <t>/33.185670, /70.669795</t>
  </si>
  <si>
    <t>Pasaje hunneus s/n casa F</t>
  </si>
  <si>
    <t>Pa isla picton 129 baquedano</t>
  </si>
  <si>
    <t>Larrain 579</t>
  </si>
  <si>
    <t>/33.737440, /71.208532</t>
  </si>
  <si>
    <t>Avenida Romero n' 70 Colonia Kennedy</t>
  </si>
  <si>
    <t>Co mallarauco par 6c</t>
  </si>
  <si>
    <t>/33.611638, /70.930765</t>
  </si>
  <si>
    <t>AVENIDA MIGUEL LETELIER 6</t>
  </si>
  <si>
    <t>/33.867232, /70.867293</t>
  </si>
  <si>
    <t>Manuel Castillo 1148 lote 2/c</t>
  </si>
  <si>
    <t>/33.610614, /70.843543</t>
  </si>
  <si>
    <t>CO ROSARIO PARC 23</t>
  </si>
  <si>
    <t>/33.872791, /70.880503</t>
  </si>
  <si>
    <t>CURACAVI, FUNDO ALHUE S/N</t>
  </si>
  <si>
    <t>/33.368401, /71.139974</t>
  </si>
  <si>
    <t>CULIPRAN 263 LT A/1</t>
  </si>
  <si>
    <t>/33.778775, /71.250331</t>
  </si>
  <si>
    <t>Rosales 166</t>
  </si>
  <si>
    <t>/33.609967, /70.843580</t>
  </si>
  <si>
    <t>LONGOVILO S/N</t>
  </si>
  <si>
    <t>/33.899035, /71.404851</t>
  </si>
  <si>
    <t>ARTURO PRAT 590</t>
  </si>
  <si>
    <t>/33.659631, /70.923382</t>
  </si>
  <si>
    <t>/33.369265, /71.140712</t>
  </si>
  <si>
    <t>Callejón el.peral par 27.b casa 5</t>
  </si>
  <si>
    <t>/33.872035, /70.882696</t>
  </si>
  <si>
    <t>CO PINTUE 8 ACULEO</t>
  </si>
  <si>
    <t>/33.874844, /70.880105</t>
  </si>
  <si>
    <t>/33.369964, /71.137982</t>
  </si>
  <si>
    <t>EL MOLINO 25</t>
  </si>
  <si>
    <t>/33.200354, /70.649408</t>
  </si>
  <si>
    <t>PJE LOS TUCANES 16/16</t>
  </si>
  <si>
    <t>/33.308337, /70.859838</t>
  </si>
  <si>
    <t>Av Eduardo Campos 38</t>
  </si>
  <si>
    <t>/33.075498, /70.769864</t>
  </si>
  <si>
    <t>RUTA G60 SITIO 7</t>
  </si>
  <si>
    <t>/33.719615, /71.212147</t>
  </si>
  <si>
    <t>EL MAITEN SIN NUMERO</t>
  </si>
  <si>
    <t>/33.682603, /71.174504</t>
  </si>
  <si>
    <t>PA MACARENA GUERRA 189</t>
  </si>
  <si>
    <t>/33.674036, /71.206621</t>
  </si>
  <si>
    <t>PASAJE EL PUELCHE 2679 1</t>
  </si>
  <si>
    <t>/33.323799, /70.748798</t>
  </si>
  <si>
    <t>PASAJE JULIA SANTANDER 159</t>
  </si>
  <si>
    <t>/33.673317, /71.205935</t>
  </si>
  <si>
    <t>NUEVO PORVENIR S/N HIJ 16</t>
  </si>
  <si>
    <t>/33.274670, /70.844235</t>
  </si>
  <si>
    <t>Co vecinal 27278</t>
  </si>
  <si>
    <t>/33.694068, /70.333870</t>
  </si>
  <si>
    <t>Santa Mónica</t>
  </si>
  <si>
    <t>/33.532412, /70.897313</t>
  </si>
  <si>
    <t>Parcela 2</t>
  </si>
  <si>
    <t>/33.532751, /70.897213</t>
  </si>
  <si>
    <t>/33.532753, /70.897212</t>
  </si>
  <si>
    <t>/33.532773, /70.897259</t>
  </si>
  <si>
    <t>Los rulos 175 pc 4 lotea</t>
  </si>
  <si>
    <t>/33.460262, /71.086023</t>
  </si>
  <si>
    <t>Los rulos 83 pc4</t>
  </si>
  <si>
    <t>/33.461023, /71.085418</t>
  </si>
  <si>
    <t>Santa Filomena s/n parc 90 hija 2/6</t>
  </si>
  <si>
    <t>/33.589009, /71.231694</t>
  </si>
  <si>
    <t>Jonatan bravo 3662</t>
  </si>
  <si>
    <t>/33.615046, /70.901885</t>
  </si>
  <si>
    <t>Pasaje catorce 3765</t>
  </si>
  <si>
    <t>/33.611881, /70.901550</t>
  </si>
  <si>
    <t>Sector unión de Codigua parcela 15</t>
  </si>
  <si>
    <t>/33.791138, /71.390444</t>
  </si>
  <si>
    <t>Co santa Victoria st5</t>
  </si>
  <si>
    <t>/33.810165, /70.765020</t>
  </si>
  <si>
    <t>Co a paine 1936 s5 sta viluco</t>
  </si>
  <si>
    <t>/33.809733, /70.764066</t>
  </si>
  <si>
    <t>Sta filomena 1340</t>
  </si>
  <si>
    <t>/33.793100, /70.797581</t>
  </si>
  <si>
    <t>Bicentenario 169</t>
  </si>
  <si>
    <t>/33.288371, /70.884730</t>
  </si>
  <si>
    <t>ESMERALDA s/n</t>
  </si>
  <si>
    <t>/34.031640, /71.101293</t>
  </si>
  <si>
    <t>/34.031650, /71.101416</t>
  </si>
  <si>
    <t>Ca dieciocho de septiembre s/n</t>
  </si>
  <si>
    <t>/34.031620, /71.101441</t>
  </si>
  <si>
    <t>Co las rosas s/n reserva cora n°4</t>
  </si>
  <si>
    <t>/33.709716, /70.544547</t>
  </si>
  <si>
    <t>Santa Victoria de viluco s/n</t>
  </si>
  <si>
    <t>/33.809838, /70.764191</t>
  </si>
  <si>
    <t>Co las rosas s/n reserva n4</t>
  </si>
  <si>
    <t>/33.709730, /70.544582</t>
  </si>
  <si>
    <t>Santa Victoria viluco sitio 5</t>
  </si>
  <si>
    <t>/33.809908, /70.764088</t>
  </si>
  <si>
    <t>Ca la escuela pc 13</t>
  </si>
  <si>
    <t>/33.722452, /70.545813</t>
  </si>
  <si>
    <t>Pasaje carlos rojas villalon 503</t>
  </si>
  <si>
    <t>/33.614875, /70.877682</t>
  </si>
  <si>
    <t>Los claveles 260</t>
  </si>
  <si>
    <t>/33.761878, /70.737721</t>
  </si>
  <si>
    <t>Francisco Javier krugger 144</t>
  </si>
  <si>
    <t>/33.759122, /70.735268</t>
  </si>
  <si>
    <t>Parcela doña amelia 39</t>
  </si>
  <si>
    <t>/33.621870, /70.915527</t>
  </si>
  <si>
    <t>El comendador 1056</t>
  </si>
  <si>
    <t>/33.607819, /70.881191</t>
  </si>
  <si>
    <t>Manuel silva 156</t>
  </si>
  <si>
    <t>/33.677366, /71.207152</t>
  </si>
  <si>
    <t>Tres oriente. 16norte 2790</t>
  </si>
  <si>
    <t>TALCA</t>
  </si>
  <si>
    <t>/35.404232, /71.657025</t>
  </si>
  <si>
    <t>POBLACIÓN 18 DE ABRIL 139</t>
  </si>
  <si>
    <t>/35.470680, /71.557687</t>
  </si>
  <si>
    <t>POBLACION 18 DE ABRIL 139</t>
  </si>
  <si>
    <t>/35.470702, /71.557674</t>
  </si>
  <si>
    <t>EL PORVENIR S/N LOTE 59 PASAJE B</t>
  </si>
  <si>
    <t>/35.482512, /71.553965</t>
  </si>
  <si>
    <t>15norte 735</t>
  </si>
  <si>
    <t>/35.403866, /71.660265</t>
  </si>
  <si>
    <t>CARLOS GONZÁLEZ 2 SECTOR MERCEDES LTO MONSEÑOR</t>
  </si>
  <si>
    <t>/35.469969, /71.555081</t>
  </si>
  <si>
    <t>POBLACIÓN 18 DE ABRIL 3</t>
  </si>
  <si>
    <t>/35.469545, /71.562436</t>
  </si>
  <si>
    <t>San Valentín. Casa 6</t>
  </si>
  <si>
    <t>/35.423571, /71.603926</t>
  </si>
  <si>
    <t>ESTACION LAS MERCEDES CALLE 5</t>
  </si>
  <si>
    <t>/35.469187, /71.555060</t>
  </si>
  <si>
    <t>PASAJE CUATRO CASA 15 LAS AZALEAS VILLA ESTACION MERCEDES</t>
  </si>
  <si>
    <t>/35.470328, /71.552800</t>
  </si>
  <si>
    <t>LA OBRA 9B</t>
  </si>
  <si>
    <t>/35.449993, /71.583549</t>
  </si>
  <si>
    <t>VENTITRES NORTE A 1012 DON ANDRES</t>
  </si>
  <si>
    <t>/35.394369, /71.653591</t>
  </si>
  <si>
    <t>NUEVA ESPERANZA LOTE 4</t>
  </si>
  <si>
    <t>/35.520170, /71.691240</t>
  </si>
  <si>
    <t>Cuatro y medio oriente 3461</t>
  </si>
  <si>
    <t>/35.395614, /71.651298</t>
  </si>
  <si>
    <t>AV DIEGO PORTALES 315</t>
  </si>
  <si>
    <t>/35.521582, /71.693335</t>
  </si>
  <si>
    <t>VEINTITRES NORTE A CASA 1010 DON ANDRES</t>
  </si>
  <si>
    <t>/35.394285, /71.653513</t>
  </si>
  <si>
    <t>BERNARDO OHIGGINS 040 LOTE 1</t>
  </si>
  <si>
    <t>/35.521861, /71.693039</t>
  </si>
  <si>
    <t>EL TRAPICHE SN</t>
  </si>
  <si>
    <t>/35.517534, /71.669827</t>
  </si>
  <si>
    <t>Diecinueve y medio 0206</t>
  </si>
  <si>
    <t>/35.443679, /71.674981</t>
  </si>
  <si>
    <t>Pasaje dos oriente 2859 población j.m.varrera</t>
  </si>
  <si>
    <t>/35.403490, /71.658185</t>
  </si>
  <si>
    <t>Tres oriente</t>
  </si>
  <si>
    <t>/35.403664, /71.656866</t>
  </si>
  <si>
    <t>POBLACION 18 DE ABRIL 92</t>
  </si>
  <si>
    <t>/35.470746, /71.558441</t>
  </si>
  <si>
    <t>POBLACION 18 DE ABRIL CASA 4</t>
  </si>
  <si>
    <t>/35.469659, /71.562405</t>
  </si>
  <si>
    <t>Paje diez 374</t>
  </si>
  <si>
    <t>/35.441980, /71.654447</t>
  </si>
  <si>
    <t>VILLA ESTACION LA ARAUCARIA CASA 114</t>
  </si>
  <si>
    <t>/35.469314, /71.552895</t>
  </si>
  <si>
    <t>PUERTAS NEGRAS HIJUELAS 1</t>
  </si>
  <si>
    <t>/35.475260, /71.592750</t>
  </si>
  <si>
    <t>Quince y media norte 1074</t>
  </si>
  <si>
    <t>/35.404915, /71.656689</t>
  </si>
  <si>
    <t>Veinticinco oriente 444</t>
  </si>
  <si>
    <t>/35.438080, /71.636553</t>
  </si>
  <si>
    <t>DIAGONAL SAMORE</t>
  </si>
  <si>
    <t>/35.521369, /71.679015</t>
  </si>
  <si>
    <t>diagonal samore sitio 4</t>
  </si>
  <si>
    <t>/35.521762, /71.682431</t>
  </si>
  <si>
    <t>Cinco y medio poniente A 0219</t>
  </si>
  <si>
    <t>/35.441941, /71.679363</t>
  </si>
  <si>
    <t>Chinigue el cristo</t>
  </si>
  <si>
    <t>/33.684407, /71.104733</t>
  </si>
  <si>
    <t>La alborada</t>
  </si>
  <si>
    <t>/33.773748, /70.826088</t>
  </si>
  <si>
    <t>Pasaje 226</t>
  </si>
  <si>
    <t>/33.682381, /71.221375</t>
  </si>
  <si>
    <t>Villa san José</t>
  </si>
  <si>
    <t>/33.286217, /70.863181</t>
  </si>
  <si>
    <t>Lote f1 parcela 15 sector los silos</t>
  </si>
  <si>
    <t>/33.662186, /70.596992</t>
  </si>
  <si>
    <t>Camino al volcan 4205</t>
  </si>
  <si>
    <t>/33.580659, /70.460938</t>
  </si>
  <si>
    <t>Uno Oriente 3575</t>
  </si>
  <si>
    <t>/33.599326, /70.886759</t>
  </si>
  <si>
    <t>Chinigue el cristo parcela 1 sitio 1</t>
  </si>
  <si>
    <t>/33.684742, /71.104845</t>
  </si>
  <si>
    <t>Carampage 5912</t>
  </si>
  <si>
    <t>/33.708630, /70.867033</t>
  </si>
  <si>
    <t>Los laureles 420</t>
  </si>
  <si>
    <t>/33.284265, /70.867648</t>
  </si>
  <si>
    <t>La araucaria de chile 790</t>
  </si>
  <si>
    <t>/33.192880, /70.681283</t>
  </si>
  <si>
    <t>La Manda Parcela 36</t>
  </si>
  <si>
    <t>/33.938355, /71.559417</t>
  </si>
  <si>
    <t>Sta Marta de liray parcela 13 c8</t>
  </si>
  <si>
    <t>/33.236733, /70.744495</t>
  </si>
  <si>
    <t>Jose Miguel carrera 114/120</t>
  </si>
  <si>
    <t>/33.682523, /71.204189</t>
  </si>
  <si>
    <t>Batalla de san Juan parc 11</t>
  </si>
  <si>
    <t>/33.459948, /71.026356</t>
  </si>
  <si>
    <t>San Luis PC 2p 48321</t>
  </si>
  <si>
    <t>CAMINO SANTA CAROLINA PARCELA 17</t>
  </si>
  <si>
    <t>/33.214527, /70.787405</t>
  </si>
  <si>
    <t>Lo cespedes 583 isla de maipo</t>
  </si>
  <si>
    <t>/33.731073, /70.910813</t>
  </si>
  <si>
    <t>CAMINO EL CARMEN PARCELA 11</t>
  </si>
  <si>
    <t>/33.253062, /70.754277</t>
  </si>
  <si>
    <t>Calle lecaro 410 pabellon</t>
  </si>
  <si>
    <t>/33.746284, /71.190828</t>
  </si>
  <si>
    <t>avenida pedro monnnt 594</t>
  </si>
  <si>
    <t>/33.234218, /70.807722</t>
  </si>
  <si>
    <t>Av. Pedro Montt 594, Santiago, Región Metropolitana, Chile</t>
  </si>
  <si>
    <t>/33.234216, /70.807724</t>
  </si>
  <si>
    <t>Carmen s/n parcela 7</t>
  </si>
  <si>
    <t>/33.785988, /71.100102</t>
  </si>
  <si>
    <t>Av Miguel Letelier par 23 Pintue</t>
  </si>
  <si>
    <t>Simon bolivar 528</t>
  </si>
  <si>
    <t>/33.227424, /70.809978</t>
  </si>
  <si>
    <t>Pasaje huneus</t>
  </si>
  <si>
    <t>Las camelias 17</t>
  </si>
  <si>
    <t>Pasaje larrain sn</t>
  </si>
  <si>
    <t>/33.730568, /71.214101</t>
  </si>
  <si>
    <t>La conquista calle auka 913</t>
  </si>
  <si>
    <t>Lecaros 767</t>
  </si>
  <si>
    <t>/33.743729, /71.191374</t>
  </si>
  <si>
    <t>Copiapo norte 030</t>
  </si>
  <si>
    <t>Las vertientes sitio 7</t>
  </si>
  <si>
    <t>María Luisa Bombal 3482</t>
  </si>
  <si>
    <t>/33.746154, /70.861702</t>
  </si>
  <si>
    <t>Las acacias 94</t>
  </si>
  <si>
    <t>Humberto albornoz #42</t>
  </si>
  <si>
    <t>Lo contador 0475</t>
  </si>
  <si>
    <t>/33.403237, /70.723671</t>
  </si>
  <si>
    <t>Francisco godoy casa 612</t>
  </si>
  <si>
    <t>Boris calderón soto 50</t>
  </si>
  <si>
    <t>/33.725824, /70.716242</t>
  </si>
  <si>
    <t>CO LA LÍNEA 8 S/N</t>
  </si>
  <si>
    <t>/34.016311, /71.215483</t>
  </si>
  <si>
    <t>/34.025737, /71.083194</t>
  </si>
  <si>
    <t>AV LOS PERALES S/N</t>
  </si>
  <si>
    <t>/34.036795, /71.093543</t>
  </si>
  <si>
    <t>Pasaje 11 0220</t>
  </si>
  <si>
    <t>/33.727047, /70.745564</t>
  </si>
  <si>
    <t>Av principal par 17 sitio10</t>
  </si>
  <si>
    <t>/33.730499, /71.024625</t>
  </si>
  <si>
    <t>LOS ESPINOS S/N MZN 72 CA 2</t>
  </si>
  <si>
    <t>/33.281354, /70.795823</t>
  </si>
  <si>
    <t>MELIPILLA, SAN MANUEL S/N KM 4 LT1/B</t>
  </si>
  <si>
    <t>/33.765441, /71.288909</t>
  </si>
  <si>
    <t>LOS MAITENES 178 LOTEO SANTA MONICA</t>
  </si>
  <si>
    <t>/33.535250, /70.905680</t>
  </si>
  <si>
    <t>CULIPRAN 1903 PC 106 F</t>
  </si>
  <si>
    <t>/33.807195, /71.211402</t>
  </si>
  <si>
    <t>CURACAVI, PA SAN MARCOS 211</t>
  </si>
  <si>
    <t>/33.406627, /71.135745</t>
  </si>
  <si>
    <t>Los tulipanes 1531</t>
  </si>
  <si>
    <t>/33.614913, /70.875372</t>
  </si>
  <si>
    <t>PATAGUILLA S/N /CV49</t>
  </si>
  <si>
    <t>/33.511598, /70.986710</t>
  </si>
  <si>
    <t>Estela Pérez Navarro # 904</t>
  </si>
  <si>
    <t>/33.435859, /70.733045</t>
  </si>
  <si>
    <t>Alberto moreira 368</t>
  </si>
  <si>
    <t>/33.744723, /70.869359</t>
  </si>
  <si>
    <t>/33.646872, /71.254021</t>
  </si>
  <si>
    <t>Arampange 12 70</t>
  </si>
  <si>
    <t>/33.418754, /70.749726</t>
  </si>
  <si>
    <t>Carampangue 1270</t>
  </si>
  <si>
    <t>/33.418750, /70.749721</t>
  </si>
  <si>
    <t>/33.418749, /70.749721</t>
  </si>
  <si>
    <t>Balmaceda 7200</t>
  </si>
  <si>
    <t>/33.418745, /70.749716</t>
  </si>
  <si>
    <t>/33.418749, /70.749725</t>
  </si>
  <si>
    <t>/33.418746, /70.749716</t>
  </si>
  <si>
    <t>El dibujo sin nimero p 70</t>
  </si>
  <si>
    <t>/33.418744, /70.749722</t>
  </si>
  <si>
    <t>Co el toro p14 parcela 36</t>
  </si>
  <si>
    <t>/33.385165, /71.162044</t>
  </si>
  <si>
    <t>Lo aguila sur s/n parcela 7</t>
  </si>
  <si>
    <t>/33.421994, /71.144148</t>
  </si>
  <si>
    <t>Avenida Pablo Neruda 180 casa 20</t>
  </si>
  <si>
    <t>/33.686185, /71.204253</t>
  </si>
  <si>
    <t>Los peumos 150</t>
  </si>
  <si>
    <t>/33.681127, /71.228860</t>
  </si>
  <si>
    <t>Ruta G60 KM27 Parcela 82 La Campiña / Los Maitenes</t>
  </si>
  <si>
    <t>/33.833895, /71.353724</t>
  </si>
  <si>
    <t>Manuel Rodríguez 281</t>
  </si>
  <si>
    <t>/33.684088, /71.206453</t>
  </si>
  <si>
    <t>Sector la unión de Codigua parcela 6</t>
  </si>
  <si>
    <t>/33.831087, /71.382888</t>
  </si>
  <si>
    <t>Sector unión de Codigua parcela 6</t>
  </si>
  <si>
    <t>Pasaje Anibal Valdes134</t>
  </si>
  <si>
    <t>/33.722503, /70.738008</t>
  </si>
  <si>
    <t>Aguila Sur 5659</t>
  </si>
  <si>
    <t>/33.914339, /70.731636</t>
  </si>
  <si>
    <t>Reforma agraria 102</t>
  </si>
  <si>
    <t>/33.799085, /70.767756</t>
  </si>
  <si>
    <t>Co talagante paine 1740</t>
  </si>
  <si>
    <t>/33.810318, /70.765096</t>
  </si>
  <si>
    <t>/33.914367, /70.731632</t>
  </si>
  <si>
    <t>Primavera Norte 211</t>
  </si>
  <si>
    <t>/33.755696, /70.893393</t>
  </si>
  <si>
    <t>Galvez 1839</t>
  </si>
  <si>
    <t>/33.773156, /70.903063</t>
  </si>
  <si>
    <t>Servidumbre s/n parcela 34 lote A1</t>
  </si>
  <si>
    <t>/33.219847, /70.774979</t>
  </si>
  <si>
    <t>Pje La Picada 1774</t>
  </si>
  <si>
    <t>/33.293538, /70.870823</t>
  </si>
  <si>
    <t>Camino a Lampa 37</t>
  </si>
  <si>
    <t>/33.293997, /70.865660</t>
  </si>
  <si>
    <t>Camino interior 75</t>
  </si>
  <si>
    <t>/33.308078, /70.840970</t>
  </si>
  <si>
    <t>Camino longitudinal 3751</t>
  </si>
  <si>
    <t>/33.757036, /70.753551</t>
  </si>
  <si>
    <t>Isabel riquelme 994</t>
  </si>
  <si>
    <t>/33.289143, /70.886533</t>
  </si>
  <si>
    <t>LOS OMAGUACAS 1639</t>
  </si>
  <si>
    <t>/37.485935, /72.332552</t>
  </si>
  <si>
    <t>JULIO BARNECHEA 471</t>
  </si>
  <si>
    <t>/37.482986, /72.340962</t>
  </si>
  <si>
    <t>Salto del leon 148</t>
  </si>
  <si>
    <t>/37.484263, /72.369391</t>
  </si>
  <si>
    <t>MANUEL RIOSECO 400 CASA 09</t>
  </si>
  <si>
    <t>/37.446562, /72.338447</t>
  </si>
  <si>
    <t>Toronto tres oriente 770</t>
  </si>
  <si>
    <t>/37.482358, /72.336362</t>
  </si>
  <si>
    <t>PJE LOS LUCEROS 2643</t>
  </si>
  <si>
    <t>/37.497843, /72.331223</t>
  </si>
  <si>
    <t>LOS LUCEROS 2515</t>
  </si>
  <si>
    <t>/37.496598, /72.331232</t>
  </si>
  <si>
    <t>COMANDANTE LUIS SOTO 812</t>
  </si>
  <si>
    <t>/37.463801, /72.337290</t>
  </si>
  <si>
    <t>Kilómetro 5.6 lote 1</t>
  </si>
  <si>
    <t>/37.486568, /72.266678</t>
  </si>
  <si>
    <t>ESTRELLA SOLITARIA 355</t>
  </si>
  <si>
    <t>/37.457089, /72.352822</t>
  </si>
  <si>
    <t>/37.463781, /72.337300</t>
  </si>
  <si>
    <t>PLAZA SAN MARCOS SITIO 28</t>
  </si>
  <si>
    <t>/37.417962, /72.325823</t>
  </si>
  <si>
    <t>Los atavalos 719</t>
  </si>
  <si>
    <t>/37.490092, /72.332693</t>
  </si>
  <si>
    <t>PLAZA SAN MARCO 28</t>
  </si>
  <si>
    <t>/37.417883, /72.325792</t>
  </si>
  <si>
    <t>Isla bequia 1832</t>
  </si>
  <si>
    <t>/37.489490, /72.336304</t>
  </si>
  <si>
    <t>JOSE MIGUEL INFANTE 235</t>
  </si>
  <si>
    <t>/37.474373, /72.359225</t>
  </si>
  <si>
    <t>San Francisco asis 90</t>
  </si>
  <si>
    <t>/33.202231, /70.704235</t>
  </si>
  <si>
    <t>General Bachelet 178</t>
  </si>
  <si>
    <t>/33.696562, /70.710145</t>
  </si>
  <si>
    <t>Alvares torres 1016</t>
  </si>
  <si>
    <t>/33.718900, /70.746472</t>
  </si>
  <si>
    <t>Federico errazuris</t>
  </si>
  <si>
    <t>PAINE LAS BELLOTAS 161</t>
  </si>
  <si>
    <t>/33.821816, /70.742166</t>
  </si>
  <si>
    <t>LAS CAMELIAS 30</t>
  </si>
  <si>
    <t>/33.851206, /70.763836</t>
  </si>
  <si>
    <t>RAMÓN ANTONIO 1004</t>
  </si>
  <si>
    <t>/33.719212, /70.746822</t>
  </si>
  <si>
    <t>CO EL RECURSO 1155, BUIN</t>
  </si>
  <si>
    <t>/33.697685, /70.710122</t>
  </si>
  <si>
    <t>San Ramón 1845</t>
  </si>
  <si>
    <t>/33.605903, /70.874477</t>
  </si>
  <si>
    <t>Ricardo lagos 1124</t>
  </si>
  <si>
    <t>/33.679778, /70.956085</t>
  </si>
  <si>
    <t>Av Miguel Letelier parl 17 pintue</t>
  </si>
  <si>
    <t>/33.871930, /70.875909</t>
  </si>
  <si>
    <t>Ca dos 3 lote 50 la mina</t>
  </si>
  <si>
    <t>/33.898946, /71.469238</t>
  </si>
  <si>
    <t>Lo Pérez 152</t>
  </si>
  <si>
    <t>/33.739178, /70.904143</t>
  </si>
  <si>
    <t>Pasaje tres 906</t>
  </si>
  <si>
    <t>/33.689985, /71.219952</t>
  </si>
  <si>
    <t>PA LAS PERDICES 641 / 101 K CH VALLE EL ESFUERZO CENTRO</t>
  </si>
  <si>
    <t>/33.396404, /71.127178</t>
  </si>
  <si>
    <t>Gregorio 1061</t>
  </si>
  <si>
    <t>/33.391672, /71.126275</t>
  </si>
  <si>
    <t>Campamento 15 de noviembre casa 1</t>
  </si>
  <si>
    <t>/33.264401, /70.893783</t>
  </si>
  <si>
    <t>Camino la Cervera 480</t>
  </si>
  <si>
    <t>/33.759281, /70.746968</t>
  </si>
  <si>
    <t>Las cerveras</t>
  </si>
  <si>
    <t>/33.759298, /70.746997</t>
  </si>
  <si>
    <t>Condominio don Fausto</t>
  </si>
  <si>
    <t>/33.693022, /70.963226</t>
  </si>
  <si>
    <t>CAMINO INTERIOR SITIO S/N los campesinos</t>
  </si>
  <si>
    <t>/33.542581, /70.826583</t>
  </si>
  <si>
    <t>Pasaje 2 303</t>
  </si>
  <si>
    <t>Gran avenida 616villa José Calderón miranda 1</t>
  </si>
  <si>
    <t>PASAJE CARLOS SANCHEZ VALANZUELA 984</t>
  </si>
  <si>
    <t>/33.554084, /70.590083</t>
  </si>
  <si>
    <t>Chile 307</t>
  </si>
  <si>
    <t>/33.235190, /70.808462</t>
  </si>
  <si>
    <t>Él molino #59</t>
  </si>
  <si>
    <t>ARTURO PRAT NORTE 76</t>
  </si>
  <si>
    <t>/33.288159, /70.885987</t>
  </si>
  <si>
    <t>Santa emilia p18</t>
  </si>
  <si>
    <t>/33.468831, /71.091560</t>
  </si>
  <si>
    <t>Camp jerusalen/marichiweu 472</t>
  </si>
  <si>
    <t>/33.240115, /70.814411</t>
  </si>
  <si>
    <t>LA FINCA 952 C</t>
  </si>
  <si>
    <t>/33.301166, /70.881073</t>
  </si>
  <si>
    <t>SECTOR CARME BAJO 15 LOTE 3 HUERTO N 15</t>
  </si>
  <si>
    <t>/33.729730, /71.169413</t>
  </si>
  <si>
    <t>CAMPAMENTO JERUSALEN MARICHIWEU CASA 437</t>
  </si>
  <si>
    <t>/33.237767, /70.816639</t>
  </si>
  <si>
    <t>CAMPAMENTO JERUSALEN MARICHIWEU CASA 436</t>
  </si>
  <si>
    <t>/33.237612, /70.816572</t>
  </si>
  <si>
    <t>CAMPAMENTO JERUSALEN MARICHIWEU CASA 436 A</t>
  </si>
  <si>
    <t>/33.237727, /70.816592</t>
  </si>
  <si>
    <t>Pasaje kuyen 902</t>
  </si>
  <si>
    <t>El cerezo 13</t>
  </si>
  <si>
    <t>Los presidentes 125 barrio modelo</t>
  </si>
  <si>
    <t>/33.678723, /70.954736</t>
  </si>
  <si>
    <t>La victoria casa 2 huelquen</t>
  </si>
  <si>
    <t>Camino la mina s/n sitio 10</t>
  </si>
  <si>
    <t>/33.902663, /71.470676</t>
  </si>
  <si>
    <t>Hispana 920</t>
  </si>
  <si>
    <t>CO CODIGUA SN CV 39 SAN MANUEL, MELIPILLA</t>
  </si>
  <si>
    <t>/33.792901, /71.378238</t>
  </si>
  <si>
    <t>CO CODIGUA SN CV40 SAN MIGUEL, MELIPILLA</t>
  </si>
  <si>
    <t>/33.792802, /71.378819</t>
  </si>
  <si>
    <t>GENERAL BAQUEDANO 212</t>
  </si>
  <si>
    <t>/33.648073, /71.148827</t>
  </si>
  <si>
    <t>PASAJE VIENA 155</t>
  </si>
  <si>
    <t>/33.673506, /71.175011</t>
  </si>
  <si>
    <t>AV. LOS HEROES #585</t>
  </si>
  <si>
    <t>/33.809683, /70.733337</t>
  </si>
  <si>
    <t>CALLE GABRIELA MISTRAL 86 EL MONTE EL MONTE</t>
  </si>
  <si>
    <t>/33.681898, /70.994392</t>
  </si>
  <si>
    <t>AVENIDA LOS HEROES #585</t>
  </si>
  <si>
    <t>/33.809697, /70.733492</t>
  </si>
  <si>
    <t>Independencia 267</t>
  </si>
  <si>
    <t>/33.749311, /70.893647</t>
  </si>
  <si>
    <t>/33.646848, /71.254101</t>
  </si>
  <si>
    <t>/33.789378, /71.250332</t>
  </si>
  <si>
    <t>Lo Martinez 1419</t>
  </si>
  <si>
    <t>/33.749237, /70.911516</t>
  </si>
  <si>
    <t>Manuel Rodríguez 16</t>
  </si>
  <si>
    <t>/33.632945, /70.761046</t>
  </si>
  <si>
    <t>Au ruta g/544345 sitio 10</t>
  </si>
  <si>
    <t>/33.772115, /71.169975</t>
  </si>
  <si>
    <t>CO san agustin parcela 3 lote 5A los ceibos</t>
  </si>
  <si>
    <t>/33.617787, /70.756755</t>
  </si>
  <si>
    <t>Calera de tango, camino interior lote 11/b</t>
  </si>
  <si>
    <t>/33.618053, /70.755660</t>
  </si>
  <si>
    <t>DOMINGO CONTRERAS 1189</t>
  </si>
  <si>
    <t>/37.459981, /72.367288</t>
  </si>
  <si>
    <t>Salto del leon 148 V. altos D</t>
  </si>
  <si>
    <t>Av padre hurtado 0312</t>
  </si>
  <si>
    <t>/37.475570, /72.369331</t>
  </si>
  <si>
    <t>Rosario gonzalez labarca 580</t>
  </si>
  <si>
    <t>/33.718759, /70.746484</t>
  </si>
  <si>
    <t>Isabel Riquelme 457</t>
  </si>
  <si>
    <t>/33.408302, /71.150140</t>
  </si>
  <si>
    <t>Los libertadores 791</t>
  </si>
  <si>
    <t>/33.682021, /70.997990</t>
  </si>
  <si>
    <t>Ruta g 550 s/n lote 4</t>
  </si>
  <si>
    <t>/33.880393, /70.743352</t>
  </si>
  <si>
    <t>Caminó interno</t>
  </si>
  <si>
    <t>/33.576248, /71.185631</t>
  </si>
  <si>
    <t>Calle uno 2044 población las posiciones</t>
  </si>
  <si>
    <t>/33.803723, /70.715359</t>
  </si>
  <si>
    <t>pasaje san lucas 266 pobl San Pedro</t>
  </si>
  <si>
    <t>/33.407239, /71.135326</t>
  </si>
  <si>
    <t>Pasaje maitencillo 348</t>
  </si>
  <si>
    <t>/33.819057, /70.738894</t>
  </si>
  <si>
    <t>Calle uno 2053 población las posiciones</t>
  </si>
  <si>
    <t>/33.803540, /70.715091</t>
  </si>
  <si>
    <t>ULISES LILLO 1162</t>
  </si>
  <si>
    <t>/33.390785, /71.123016</t>
  </si>
  <si>
    <t>LAS TURBINAS 6</t>
  </si>
  <si>
    <t>/33.850282, /70.766581</t>
  </si>
  <si>
    <t>Pje el parrón 468</t>
  </si>
  <si>
    <t>/33.407217, /71.126890</t>
  </si>
  <si>
    <t>Norte esquina Germán</t>
  </si>
  <si>
    <t>/33.394559, /71.126098</t>
  </si>
  <si>
    <t>Villa los ríos, pasaje río maule, 816</t>
  </si>
  <si>
    <t>SALVADOR SILVIA FRENTE 2402A</t>
  </si>
  <si>
    <t>/33.598450, /70.876371</t>
  </si>
  <si>
    <t>Tres sur 320</t>
  </si>
  <si>
    <t>/33.138133, /70.796101</t>
  </si>
  <si>
    <t>Campusano 3491</t>
  </si>
  <si>
    <t>Luis cruchaga 750</t>
  </si>
  <si>
    <t>Puente juan de Dios martivorena 116</t>
  </si>
  <si>
    <t>/33.276094, /70.883268</t>
  </si>
  <si>
    <t>Pte juan de Dios marticorena</t>
  </si>
  <si>
    <t>/33.276033, /70.883466</t>
  </si>
  <si>
    <t>Calle juan de dios marticorenaparcela 116</t>
  </si>
  <si>
    <t>/33.276856, /70.882887</t>
  </si>
  <si>
    <t>Camino Valparaíso s/n cv20</t>
  </si>
  <si>
    <t>/33.611317, /71.223895</t>
  </si>
  <si>
    <t>PASAJE AUGUSTO ALGUERNO 444</t>
  </si>
  <si>
    <t>/33.725444, /70.772188</t>
  </si>
  <si>
    <t>Melipilla ruta G/668</t>
  </si>
  <si>
    <t>/33.770311, /71.258016</t>
  </si>
  <si>
    <t>Jorge Inostroza 1205</t>
  </si>
  <si>
    <t>/33.693391, /71.223845</t>
  </si>
  <si>
    <t>PA MACARENA GUERRA 190</t>
  </si>
  <si>
    <t>/33.673931, /71.206564</t>
  </si>
  <si>
    <t>CAMINO VIEJO 164 LT C/3</t>
  </si>
  <si>
    <t>/33.703549, /71.209330</t>
  </si>
  <si>
    <t>AVENIDA SALVADOR ALLENDE GOSSENS 1223 PROYECTO TALAGANTE II</t>
  </si>
  <si>
    <t>/33.684752, /70.953283</t>
  </si>
  <si>
    <t>Camino a Melipilla s/n sitio 1</t>
  </si>
  <si>
    <t>/33.700016, /71.002288</t>
  </si>
  <si>
    <t>LUIS LEIVA CAMPOS 1169</t>
  </si>
  <si>
    <t>/33.732965, /70.720423</t>
  </si>
  <si>
    <t>Pa María Gonzalez Campos 502</t>
  </si>
  <si>
    <t>/33.718869, /70.744731</t>
  </si>
  <si>
    <t>CONCORDIA 0651 CASA I</t>
  </si>
  <si>
    <t>/33.601873, /70.895971</t>
  </si>
  <si>
    <t>El principal s/n sitio 142 lote A</t>
  </si>
  <si>
    <t>/33.592185, /70.668277</t>
  </si>
  <si>
    <t>EL MONTE, PA GOMEZ RAMIREZ 360</t>
  </si>
  <si>
    <t>/33.673654, /70.986188</t>
  </si>
  <si>
    <t>Clotario blest 234</t>
  </si>
  <si>
    <t>/33.401564, /71.133307</t>
  </si>
  <si>
    <t>AUKA # 870</t>
  </si>
  <si>
    <t>/33.812157, /70.730250</t>
  </si>
  <si>
    <t>Pje La Picada 1753</t>
  </si>
  <si>
    <t>/33.293684, /70.870798</t>
  </si>
  <si>
    <t>Colchagua 181 HIJ 97</t>
  </si>
  <si>
    <t>/33.305095, /70.856734</t>
  </si>
  <si>
    <t>CARDENAL RAUL SILVA 1566</t>
  </si>
  <si>
    <t>/33.748542, /70.746640</t>
  </si>
  <si>
    <t>Ines Ovalle Muñoz 137</t>
  </si>
  <si>
    <t>/33.287217, /70.885434</t>
  </si>
  <si>
    <t>/33.282859, /70.837598</t>
  </si>
  <si>
    <t>Pje Ester Huneeus de Claro 2205</t>
  </si>
  <si>
    <t>/33.184123, /70.673485</t>
  </si>
  <si>
    <t>SECTOR EL PRADO P 114947</t>
  </si>
  <si>
    <t>/33.920614, /71.507842</t>
  </si>
  <si>
    <t>LA TEMPORADA 1681</t>
  </si>
  <si>
    <t>/33.709969, /70.738560</t>
  </si>
  <si>
    <t>/33.930193, /71.466426</t>
  </si>
  <si>
    <t>/33.925042, /71.465292</t>
  </si>
  <si>
    <t>Camino el volcán 26251</t>
  </si>
  <si>
    <t>/33.616802, /70.354073</t>
  </si>
  <si>
    <t>Av del cerro 19328</t>
  </si>
  <si>
    <t>/33.638796, /70.352137</t>
  </si>
  <si>
    <t>SANTO DOMINGO 495 STA ROSA</t>
  </si>
  <si>
    <t>/33.741077, /70.744256</t>
  </si>
  <si>
    <t>Camino interior S/N</t>
  </si>
  <si>
    <t>/33.340534, /70.693675</t>
  </si>
  <si>
    <t>GUILLERMO GARCIA HUIDOBRO 0332 M 4 S 2POB M PLAZA</t>
  </si>
  <si>
    <t>/33.725945, /70.747380</t>
  </si>
  <si>
    <t>Pasaje Amayen 909 Los Copihues</t>
  </si>
  <si>
    <t>/33.582757, /70.714048</t>
  </si>
  <si>
    <t>EL TRANQUE LOTE 2, COOPERATIVA ABIONARTAR</t>
  </si>
  <si>
    <t>/33.550454, /70.898509</t>
  </si>
  <si>
    <t>JOSE JOAQUÍN PÉREZ 352</t>
  </si>
  <si>
    <t>/33.733320, /70.741448</t>
  </si>
  <si>
    <t>Sin calle S/N Parc águila sur 49</t>
  </si>
  <si>
    <t>/33.907429, /70.736410</t>
  </si>
  <si>
    <t>EL TRANQUE LOTE 2 C</t>
  </si>
  <si>
    <t>/33.549515, /70.900876</t>
  </si>
  <si>
    <t>Bolivia 252</t>
  </si>
  <si>
    <t>/33.823583, /70.752716</t>
  </si>
  <si>
    <t>Los Acacios 138</t>
  </si>
  <si>
    <t>/33.795320, /70.732183</t>
  </si>
  <si>
    <t>VALDES 9</t>
  </si>
  <si>
    <t>/33.687761, /71.206970</t>
  </si>
  <si>
    <t>PA 6 1030</t>
  </si>
  <si>
    <t>/33.693301, /71.222424</t>
  </si>
  <si>
    <t>LA VILUMA S/N</t>
  </si>
  <si>
    <t>/33.781328, /71.084374</t>
  </si>
  <si>
    <t>/33.781333, /71.084513</t>
  </si>
  <si>
    <t>EUROPA PONIENTE S/N</t>
  </si>
  <si>
    <t>/33.778982, /71.281655</t>
  </si>
  <si>
    <t>CO LO CHACÓN 1350 parcela 9</t>
  </si>
  <si>
    <t>/33.803437, /70.882596</t>
  </si>
  <si>
    <t>Camino interior huelquen S/N casa 7</t>
  </si>
  <si>
    <t>/33.785532, /70.658173</t>
  </si>
  <si>
    <t>CO LO CHACÓN 1350 PARCELA 9</t>
  </si>
  <si>
    <t>/33.805720, /70.873497</t>
  </si>
  <si>
    <t>CO CHACÓN 1350 PARCELA 9</t>
  </si>
  <si>
    <t>/33.864058, /71.487008</t>
  </si>
  <si>
    <t>San Sebastián 903</t>
  </si>
  <si>
    <t>/33.808321, /70.729757</t>
  </si>
  <si>
    <t>EL PRADO S/N SAN PEDRO</t>
  </si>
  <si>
    <t>/33.923285, /71.466220</t>
  </si>
  <si>
    <t>ULMEN 168</t>
  </si>
  <si>
    <t>/33.870240, /71.388065</t>
  </si>
  <si>
    <t>LIMA 623</t>
  </si>
  <si>
    <t>/33.570399, /70.806929</t>
  </si>
  <si>
    <t>Orlando Valdivia 56</t>
  </si>
  <si>
    <t>/33.741079, /70.738395</t>
  </si>
  <si>
    <t>Pasaje Once 156</t>
  </si>
  <si>
    <t>/33.631217, /70.775529</t>
  </si>
  <si>
    <t>ROBERTO BRAVO 469</t>
  </si>
  <si>
    <t>/33.648073, /71.149742</t>
  </si>
  <si>
    <t>GENERAL BAQUEDANO 228</t>
  </si>
  <si>
    <t>/33.647740, /71.148791</t>
  </si>
  <si>
    <t>Joaquín Undurraga parcela 13 S/N Lote F</t>
  </si>
  <si>
    <t>/33.263049, /70.887800</t>
  </si>
  <si>
    <t>Santa sara 81</t>
  </si>
  <si>
    <t>/33.243208, /70.791675</t>
  </si>
  <si>
    <t>Chorombo pc34 Lt1</t>
  </si>
  <si>
    <t>/33.533535, /71.229914</t>
  </si>
  <si>
    <t>Mariano latorre 158</t>
  </si>
  <si>
    <t>/33.612304, /70.876690</t>
  </si>
  <si>
    <t>Carlos condell 891</t>
  </si>
  <si>
    <t>/33.730647, /70.747822</t>
  </si>
  <si>
    <t>Alcalde 540</t>
  </si>
  <si>
    <t>/33.686957, /71.208608</t>
  </si>
  <si>
    <t>Loyca abajo 3</t>
  </si>
  <si>
    <t>/33.968063, /71.482636</t>
  </si>
  <si>
    <t>Lo encanado 2</t>
  </si>
  <si>
    <t>/33.864275, /71.492057</t>
  </si>
  <si>
    <t>Pa manuel contreras mondaca 466 Los puentes de Buin</t>
  </si>
  <si>
    <t>/33.720512, /70.743750</t>
  </si>
  <si>
    <t>Pasaje maria cruzat de madrid 2234</t>
  </si>
  <si>
    <t>/33.683970, /71.235646</t>
  </si>
  <si>
    <t>2 oriente 314</t>
  </si>
  <si>
    <t>/33.140990, /70.799589</t>
  </si>
  <si>
    <t>Pasaje maria cruzat de madrid 2242</t>
  </si>
  <si>
    <t>/33.683962, /71.235342</t>
  </si>
  <si>
    <t>Camino interior sitio 22</t>
  </si>
  <si>
    <t>/33.291904, /70.770660</t>
  </si>
  <si>
    <t>Campamento el esfuerzo 1</t>
  </si>
  <si>
    <t>/33.275562, /70.840167</t>
  </si>
  <si>
    <t>San Luis parcela 2</t>
  </si>
  <si>
    <t>/33.744119, /70.681848</t>
  </si>
  <si>
    <t>Pasaje Juan Toledo 219</t>
  </si>
  <si>
    <t>/33.729639, /70.773575</t>
  </si>
  <si>
    <t>Los aromos 470</t>
  </si>
  <si>
    <t>/33.570675, /70.787730</t>
  </si>
  <si>
    <t>Pasaje Laura michea 461</t>
  </si>
  <si>
    <t>PASAJE JUSTICA ACUÑA 1300</t>
  </si>
  <si>
    <t>/33.577221, /70.800775</t>
  </si>
  <si>
    <t>Rinconada de huelquen sitio 14</t>
  </si>
  <si>
    <t>BARROS LUCO SECTOR C 2901 LOTE 8</t>
  </si>
  <si>
    <t>/33.288310, /70.866206</t>
  </si>
  <si>
    <t>BARROS LUCO 2901 LOTE 8</t>
  </si>
  <si>
    <t>/33.288308, /70.866195</t>
  </si>
  <si>
    <t>11 de septiembre 1356 linderos lote 27/A</t>
  </si>
  <si>
    <t>SECTOR TRIGAL NORTE L54</t>
  </si>
  <si>
    <t>/33.608136, /71.239282</t>
  </si>
  <si>
    <t>Juan de Dios Marticorena s/n lote E sit 6</t>
  </si>
  <si>
    <t>/33.269122, /70.883272</t>
  </si>
  <si>
    <t>11 de septiembre 1356 lotes 27/A</t>
  </si>
  <si>
    <t>Pasaje lingue 153</t>
  </si>
  <si>
    <t>LIBERTAD 121</t>
  </si>
  <si>
    <t>/33.688953, /71.208777</t>
  </si>
  <si>
    <t>Cuatro norte 507</t>
  </si>
  <si>
    <t>La pataguilla s/n calle 4</t>
  </si>
  <si>
    <t>/33.493614, /70.993771</t>
  </si>
  <si>
    <t>AVENIDA MIRAFLORES 308</t>
  </si>
  <si>
    <t>/33.602514, /70.854242</t>
  </si>
  <si>
    <t>Las paraguas PC 28/69A</t>
  </si>
  <si>
    <t>/33.811715, /70.851093</t>
  </si>
  <si>
    <t>Los copihues 2492</t>
  </si>
  <si>
    <t>/33.762364, /70.737748</t>
  </si>
  <si>
    <t>Las pataguas PC 28 47/A</t>
  </si>
  <si>
    <t>/33.811718, /70.850351</t>
  </si>
  <si>
    <t>Manuel Gonzales 90</t>
  </si>
  <si>
    <t>/33.604297, /70.853629</t>
  </si>
  <si>
    <t>Psj las cañas 205</t>
  </si>
  <si>
    <t>/33.534956, /70.905809</t>
  </si>
  <si>
    <t>Co fundo cuyuncavi hj 2da A/85</t>
  </si>
  <si>
    <t>/33.369893, /71.082679</t>
  </si>
  <si>
    <t>Av Balmaceda 695 A</t>
  </si>
  <si>
    <t>/33.731801, /70.744922</t>
  </si>
  <si>
    <t>Las pataguas P28 sitio 44A</t>
  </si>
  <si>
    <t>/33.812631, /70.850897</t>
  </si>
  <si>
    <t>Ruben flores reinun 939</t>
  </si>
  <si>
    <t>/33.719372, /70.743999</t>
  </si>
  <si>
    <t>POPETA 12020</t>
  </si>
  <si>
    <t>/33.768059, /71.242923</t>
  </si>
  <si>
    <t>lA LIBERTAD S/N CV1 SITIO G</t>
  </si>
  <si>
    <t>/33.676832, /71.336224</t>
  </si>
  <si>
    <t>EL PRADO SIN NÚMERO</t>
  </si>
  <si>
    <t>/33.661010, /70.916030</t>
  </si>
  <si>
    <t>LA LIBERTAD S/N CV1 SITIO G</t>
  </si>
  <si>
    <t>/33.676854, /71.336199</t>
  </si>
  <si>
    <t>Tres 27</t>
  </si>
  <si>
    <t>/33.601035, /70.849343</t>
  </si>
  <si>
    <t>PP EL LLANO S/N PP 790766 SECT EL LLANO</t>
  </si>
  <si>
    <t>/33.651324, /70.574495</t>
  </si>
  <si>
    <t>LOS PENSAMIENTOS 2584</t>
  </si>
  <si>
    <t>/33.297045, /70.871686</t>
  </si>
  <si>
    <t>VILLA DOCTOR YAZIGI S/N S70 CV7</t>
  </si>
  <si>
    <t>/33.665257, /71.316308</t>
  </si>
  <si>
    <t>LA LIBERTAD S/N PARCELA 86</t>
  </si>
  <si>
    <t>/33.675133, /71.337592</t>
  </si>
  <si>
    <t>PADRE JOSE GREGORIO MEZA 2380</t>
  </si>
  <si>
    <t>/33.599183, /70.860953</t>
  </si>
  <si>
    <t>PASAJE WENCESLADO QUIROZ 149</t>
  </si>
  <si>
    <t>/33.675471, /71.214618</t>
  </si>
  <si>
    <t>ESMERALDA 3</t>
  </si>
  <si>
    <t>/33.666567, /71.250275</t>
  </si>
  <si>
    <t>El PUANGUE 1589 PARCELA 2</t>
  </si>
  <si>
    <t>/33.686402, /71.349697</t>
  </si>
  <si>
    <t>FUNDO ESMERALDA S/N CAMINO LAS FLORES</t>
  </si>
  <si>
    <t>/33.641659, /71.249508</t>
  </si>
  <si>
    <t>LOS PEUMOS 154 LA FORESTA</t>
  </si>
  <si>
    <t>/33.681161, /71.228838</t>
  </si>
  <si>
    <t>Villarica s/n parcela 56 lote 16</t>
  </si>
  <si>
    <t>/33.727567, /70.977470</t>
  </si>
  <si>
    <t>LA RINCONADA 1193</t>
  </si>
  <si>
    <t>/33.677700, /71.186926</t>
  </si>
  <si>
    <t>PROFESOR RICARDO LUENGO 0948</t>
  </si>
  <si>
    <t>/33.682365, /71.188673</t>
  </si>
  <si>
    <t>Las pataguas 9a</t>
  </si>
  <si>
    <t>/33.813801, /70.851836</t>
  </si>
  <si>
    <t>Camino las flores 1008c 38</t>
  </si>
  <si>
    <t>/33.299261, /70.879212</t>
  </si>
  <si>
    <t>Loteo el cruceral 1 parc 16 sn sep16664 parc 16</t>
  </si>
  <si>
    <t>/33.644812, /70.602866</t>
  </si>
  <si>
    <t>Los aromos 1032</t>
  </si>
  <si>
    <t>/33.796457, /70.734675</t>
  </si>
  <si>
    <t>El quillay 326</t>
  </si>
  <si>
    <t>/33.750313, /70.863207</t>
  </si>
  <si>
    <t>Pa tres 807</t>
  </si>
  <si>
    <t>/33.608537, /70.867109</t>
  </si>
  <si>
    <t>3 sur 281 Huertos Familiares</t>
  </si>
  <si>
    <t>/33.138703, /70.798766</t>
  </si>
  <si>
    <t>Paine pa los helecho sitio c1</t>
  </si>
  <si>
    <t>/33.887310, /70.743230</t>
  </si>
  <si>
    <t>UNION SAN JOSE S/N POSTE 261485</t>
  </si>
  <si>
    <t>/33.418553, /71.048559</t>
  </si>
  <si>
    <t>UNION SAN JOSE 29 LOTE B UNION SAN JOSE SITIO</t>
  </si>
  <si>
    <t>/33.418576, /71.047534</t>
  </si>
  <si>
    <t>FRANCISCO LIZAMA IRARRÁZAVAL 621</t>
  </si>
  <si>
    <t>/33.803625, /70.730921</t>
  </si>
  <si>
    <t>POPETA SECTOR 4 PARCELA 178A CALLEJON LA TORRE</t>
  </si>
  <si>
    <t>/33.799033, /71.284883</t>
  </si>
  <si>
    <t>EL ROBLE 585</t>
  </si>
  <si>
    <t>/33.733965, /70.864687</t>
  </si>
  <si>
    <t>/33.884259, /71.514572</t>
  </si>
  <si>
    <t>Camino las parcelas 2826/c parcela 14</t>
  </si>
  <si>
    <t>/33.718024, /70.893731</t>
  </si>
  <si>
    <t>El Maitén 452</t>
  </si>
  <si>
    <t>/33.734813, /70.863486</t>
  </si>
  <si>
    <t>CA DOS 19 LOTE 42</t>
  </si>
  <si>
    <t>/33.898699, /71.470300</t>
  </si>
  <si>
    <t>PA ESTERO GACITUA 802 GACITUA</t>
  </si>
  <si>
    <t>/33.733716, /70.904650</t>
  </si>
  <si>
    <t>CALLE CAMINO PUBLICO 363</t>
  </si>
  <si>
    <t>/34.026192, /71.104948</t>
  </si>
  <si>
    <t>/34.033498, /71.100886</t>
  </si>
  <si>
    <t>PA ONCE 194 VILLA LAS ARALIAS</t>
  </si>
  <si>
    <t>/33.591905, /70.813489</t>
  </si>
  <si>
    <t>IGNACIO CARRERA PINTO 1 A PASAJE LOS PAJARITOS</t>
  </si>
  <si>
    <t>/34.029893, /71.081722</t>
  </si>
  <si>
    <t>SECTOR LAS VERTIENTES S/N</t>
  </si>
  <si>
    <t>/33.917010, /71.418248</t>
  </si>
  <si>
    <t>SECTOR LAS VERTIENTES S/N SANPEDRO</t>
  </si>
  <si>
    <t>/33.999217, /71.434918</t>
  </si>
  <si>
    <t>Nueva florida 986</t>
  </si>
  <si>
    <t>/33.607271, /70.866437</t>
  </si>
  <si>
    <t>LONGOVILO S/N SAN PEDRO</t>
  </si>
  <si>
    <t>/33.902280, /71.406531</t>
  </si>
  <si>
    <t>KM 22 LOS MAITENES SAN PEDRO</t>
  </si>
  <si>
    <t>/33.845709, /71.371449</t>
  </si>
  <si>
    <t>CIRCUNVALACION. 1639</t>
  </si>
  <si>
    <t>/33.408401, /71.132256</t>
  </si>
  <si>
    <t>LOS BOLDOS 316 SOL DE SEPTIEMBRE</t>
  </si>
  <si>
    <t>/33.301868, /70.859396</t>
  </si>
  <si>
    <t>SECTOR LOICA ARRIBA S/N</t>
  </si>
  <si>
    <t>/33.999771, /71.434841</t>
  </si>
  <si>
    <t>Santelices 222/B Lote A/1</t>
  </si>
  <si>
    <t>/33.756834, /70.899096</t>
  </si>
  <si>
    <t>SECTOR LAS VERTIENTES S/N SAN PEDRO</t>
  </si>
  <si>
    <t>/33.999857, /71.434920</t>
  </si>
  <si>
    <t>CAMPAMENTO 25 DE NOVIEMBRE CASA 37</t>
  </si>
  <si>
    <t>/33.264133, /70.893635</t>
  </si>
  <si>
    <t>La vendimia 810</t>
  </si>
  <si>
    <t>/33.748544, /70.868182</t>
  </si>
  <si>
    <t>FRANCISCO VARGAS SOTO 612</t>
  </si>
  <si>
    <t>/33.615022, /70.879754</t>
  </si>
  <si>
    <t>Alerce Andino 2256</t>
  </si>
  <si>
    <t>/33.600282, /70.852495</t>
  </si>
  <si>
    <t>Orilla del rio 14</t>
  </si>
  <si>
    <t>/33.710673, /70.530165</t>
  </si>
  <si>
    <t>Campusano 3940</t>
  </si>
  <si>
    <t>/33.790602, /70.820627</t>
  </si>
  <si>
    <t>Bernardo O'Higgins 148</t>
  </si>
  <si>
    <t>/33.730220, /70.747850</t>
  </si>
  <si>
    <t>Camino al volcán 29965</t>
  </si>
  <si>
    <t>/33.722908, /70.327827</t>
  </si>
  <si>
    <t>Lo Marcias 608</t>
  </si>
  <si>
    <t>/33.747028, /70.928882</t>
  </si>
  <si>
    <t>Don Belio 74 Tierras del Maipo</t>
  </si>
  <si>
    <t>/33.725091, /70.771908</t>
  </si>
  <si>
    <t>El yali</t>
  </si>
  <si>
    <t>/33.929282, /71.466321</t>
  </si>
  <si>
    <t>Ignacio Carrera Pinto 680</t>
  </si>
  <si>
    <t>/33.813626, /70.735805</t>
  </si>
  <si>
    <t>Ignacio carrera pinto 650</t>
  </si>
  <si>
    <t>/33.563877, /70.800978</t>
  </si>
  <si>
    <t>Santa Elena 415</t>
  </si>
  <si>
    <t>/33.377880, /70.695058</t>
  </si>
  <si>
    <t>Rapel 485</t>
  </si>
  <si>
    <t>/33.568048, /70.791008</t>
  </si>
  <si>
    <t>Ricardo ariztia 665</t>
  </si>
  <si>
    <t>/33.688612, /71.207866</t>
  </si>
  <si>
    <t>Ararat 2820</t>
  </si>
  <si>
    <t>El recurso 4b (El Recurso 1792, Buin, Maipo, Chile)</t>
  </si>
  <si>
    <t>/33.693205, /70.706473</t>
  </si>
  <si>
    <t>El principal parcela 46 (Los Magnolios 47, lote 73, Pirque, Chile)</t>
  </si>
  <si>
    <t>/33.722481, /70.538650</t>
  </si>
  <si>
    <t>LAS PATAGUAS 28 sitio 69</t>
  </si>
  <si>
    <t>/33.811546, /70.850994</t>
  </si>
  <si>
    <t>Uribe 628</t>
  </si>
  <si>
    <t>/33.226474, /70.809105</t>
  </si>
  <si>
    <t>Presidente Federico Errázuriz 0170</t>
  </si>
  <si>
    <t>/33.726318, /70.739902</t>
  </si>
  <si>
    <t>Los cipreses 757</t>
  </si>
  <si>
    <t>/33.606491, /70.873440</t>
  </si>
  <si>
    <t>/33.606439, /70.873714</t>
  </si>
  <si>
    <t>Mirasol 1423 villa las Américas</t>
  </si>
  <si>
    <t>Pasaje picton 3042</t>
  </si>
  <si>
    <t>/33.600872, /70.886795</t>
  </si>
  <si>
    <t>La trilla calle el bosque 1025</t>
  </si>
  <si>
    <t>CHADA SECTOR CENTRAL, La romana sitio 29 chada</t>
  </si>
  <si>
    <t>/33.901578, /70.655147</t>
  </si>
  <si>
    <t>Tricolor de paine 264</t>
  </si>
  <si>
    <t>/33.801189, /70.739579</t>
  </si>
  <si>
    <t>Tricolor de paine 374</t>
  </si>
  <si>
    <t>/33.801327, /70.739033</t>
  </si>
  <si>
    <t>PASAJE GABRIELA MISTRAL 334</t>
  </si>
  <si>
    <t>/33.739789, /70.741851</t>
  </si>
  <si>
    <t>Las camelias sitio 9</t>
  </si>
  <si>
    <t>/33.850975, /70.764139</t>
  </si>
  <si>
    <t>El naranjo lote 71</t>
  </si>
  <si>
    <t>/33.355742, /71.144720</t>
  </si>
  <si>
    <t>FIDELA INOSTROZA PRADO 776</t>
  </si>
  <si>
    <t>/33.741393, /70.748581</t>
  </si>
  <si>
    <t>Domingo santa María 348 B</t>
  </si>
  <si>
    <t>/33.677036, /70.992464</t>
  </si>
  <si>
    <t>EL SAUSE ORIENTE 110 B</t>
  </si>
  <si>
    <t>/33.101031, /70.928811</t>
  </si>
  <si>
    <t>Manuel Figueroa 2043</t>
  </si>
  <si>
    <t>/33.403357, /71.127343</t>
  </si>
  <si>
    <t>El principal 95</t>
  </si>
  <si>
    <t>/33.727883, /70.555366</t>
  </si>
  <si>
    <t>Camino Los tulipanes 1444</t>
  </si>
  <si>
    <t>/33.297124, /70.873702</t>
  </si>
  <si>
    <t>Presidente federico errazuriz 0610</t>
  </si>
  <si>
    <t>/33.722282, /70.741912</t>
  </si>
  <si>
    <t>Pasaje eden 3562</t>
  </si>
  <si>
    <t>/33.598824, /70.887354</t>
  </si>
  <si>
    <t>Del cerro 19762</t>
  </si>
  <si>
    <t>Lo encañada s/n</t>
  </si>
  <si>
    <t>/33.869536, /71.498007</t>
  </si>
  <si>
    <t>Manuel Rodríguez 96</t>
  </si>
  <si>
    <t>/33.632634, /70.762359</t>
  </si>
  <si>
    <t>CAMINO LA MINA S/N CV 11</t>
  </si>
  <si>
    <t>/33.906695, /71.469609</t>
  </si>
  <si>
    <t>/33.774987, /71.350232</t>
  </si>
  <si>
    <t>TRICOLOR DE PAINE 264</t>
  </si>
  <si>
    <t>SECTOR EL DIBUJO 64</t>
  </si>
  <si>
    <t>/33.800304, /71.212150</t>
  </si>
  <si>
    <t>LUMBRERA PARCELA 3 LT1</t>
  </si>
  <si>
    <t>SECTOR LOYCA S/N CV12</t>
  </si>
  <si>
    <t>/33.966532, /71.494279</t>
  </si>
  <si>
    <t>3 ORIENTE 280 B</t>
  </si>
  <si>
    <t>/33.138166, /70.798483</t>
  </si>
  <si>
    <t>Chorombo alto sn</t>
  </si>
  <si>
    <t>/33.504668, /71.255674</t>
  </si>
  <si>
    <t>4 oriente s/n m/m 6</t>
  </si>
  <si>
    <t>/33.137967, /70.798246</t>
  </si>
  <si>
    <t>Camino quilapilun parc 49 lot b 8 santa matilde</t>
  </si>
  <si>
    <t>/33.109057, /70.788180</t>
  </si>
  <si>
    <t>/34.025905, /71.081440</t>
  </si>
  <si>
    <t>ECHEGARAY S/N</t>
  </si>
  <si>
    <t>/33.921905, /71.466486</t>
  </si>
  <si>
    <t>VILUCO LAS ACACIAS ADMOR S/N</t>
  </si>
  <si>
    <t>/33.783211, /70.801053</t>
  </si>
  <si>
    <t>GONZALO BARROSO EL LUCERO PARCE 8 LOTE VALLE AGRESTE</t>
  </si>
  <si>
    <t>/33.252948, /70.886820</t>
  </si>
  <si>
    <t>RUTA G/668 2339 CODIGUA MELIPILLA</t>
  </si>
  <si>
    <t>/33.767853, /71.286622</t>
  </si>
  <si>
    <t>PSJ SANTA ROSA DE LAMPA PARC 171</t>
  </si>
  <si>
    <t>/33.260478, /70.787573</t>
  </si>
  <si>
    <t>Co al volcán 10703 P14</t>
  </si>
  <si>
    <t>/33.585785, /70.401731</t>
  </si>
  <si>
    <t>EL BOSQUE S/N /CV1</t>
  </si>
  <si>
    <t>/33.512056, /70.985938</t>
  </si>
  <si>
    <t>PASAJE SAN JUAN 291</t>
  </si>
  <si>
    <t>/33.407449, /71.134869</t>
  </si>
  <si>
    <t>/33.719360, /70.743990</t>
  </si>
  <si>
    <t>CONCORDIA 651 CASA J</t>
  </si>
  <si>
    <t>/33.601865, /70.895960</t>
  </si>
  <si>
    <t>Psj María Gonzalez Campos 486</t>
  </si>
  <si>
    <t>ISABEL RIQUELME 056</t>
  </si>
  <si>
    <t>/33.276790, /70.889152</t>
  </si>
  <si>
    <t>CO. PADRE HURTADO SITIO 6</t>
  </si>
  <si>
    <t>/33.741886, /70.679575</t>
  </si>
  <si>
    <t>PSJ DEDAL DE ORO NRO 11</t>
  </si>
  <si>
    <t>/33.089567, /70.923021</t>
  </si>
  <si>
    <t>CALLE LOS PINOS SITIO 13 LOTE 13C</t>
  </si>
  <si>
    <t>/33.172011, /70.888803</t>
  </si>
  <si>
    <t>CAMINO INTER S/N lote 99</t>
  </si>
  <si>
    <t>/33.418742, /70.749721</t>
  </si>
  <si>
    <t>/33.418743, /70.749714</t>
  </si>
  <si>
    <t>POPETA 165</t>
  </si>
  <si>
    <t>/33.418745, /70.749712</t>
  </si>
  <si>
    <t>HIJUELA PONIENTE S/N</t>
  </si>
  <si>
    <t>/33.418737, /70.749706</t>
  </si>
  <si>
    <t>SANTA EMILIA S/N LT B LT2</t>
  </si>
  <si>
    <t>/33.466122, /71.102065</t>
  </si>
  <si>
    <t>P34A Lote 1</t>
  </si>
  <si>
    <t>/33.533671, /71.228910</t>
  </si>
  <si>
    <t>HIJUELA S/N</t>
  </si>
  <si>
    <t>/33.418743, /70.749709</t>
  </si>
  <si>
    <t>HIJUELA sn</t>
  </si>
  <si>
    <t>/33.418732, /70.749708</t>
  </si>
  <si>
    <t>EL TANGUITO 18</t>
  </si>
  <si>
    <t>/33.418745, /70.749713</t>
  </si>
  <si>
    <t>BRILLO DEL SOL PARVELA 56</t>
  </si>
  <si>
    <t>/33.418743, /70.749719</t>
  </si>
  <si>
    <t>/33.418745, /70.749714</t>
  </si>
  <si>
    <t>ELOISA DIAZ INSULSA CASA 001 MZ 4</t>
  </si>
  <si>
    <t>/33.614050, /70.882394</t>
  </si>
  <si>
    <t>SANTA EMILIA S/N SITIO21</t>
  </si>
  <si>
    <t>/33.465466, /71.105044</t>
  </si>
  <si>
    <t>LOS PUQUIOS 1581</t>
  </si>
  <si>
    <t>/33.548000, /70.657714</t>
  </si>
  <si>
    <t>CAMINO VECINAL 27512</t>
  </si>
  <si>
    <t>/33.696720, /70.332452</t>
  </si>
  <si>
    <t>CO.INTERIOR PC/41.19PARCELACION AGUILA SUR MZA919</t>
  </si>
  <si>
    <t>/33.904125, /70.763949</t>
  </si>
  <si>
    <t>CO LAS GUIAS INTERIOR L / 15 PARC S/N</t>
  </si>
  <si>
    <t>/33.743479, /70.969019</t>
  </si>
  <si>
    <t>CO. INTERIOR PC41.19 PARCELACION AGUILA SUR MANZ 919</t>
  </si>
  <si>
    <t>/33.904125, /70.763948</t>
  </si>
  <si>
    <t>CO AGUILA SUR PARC 28 A</t>
  </si>
  <si>
    <t>/33.892884, /70.754712</t>
  </si>
  <si>
    <t>AVENIDA TENIENTE MERINO 500</t>
  </si>
  <si>
    <t>/33.760404, /70.729045</t>
  </si>
  <si>
    <t>LOS SILOS PARC 15 F 1</t>
  </si>
  <si>
    <t>/33.663359, /70.596962</t>
  </si>
  <si>
    <t>SECTOR CAMINO A PICHI S/N. POBL IGNACIO CARRERA PINTO</t>
  </si>
  <si>
    <t>/34.026077, /71.084936</t>
  </si>
  <si>
    <t>/34.034250, /71.092014</t>
  </si>
  <si>
    <t>LA VICTORIA PARC C/17 2166 POSTE 244333</t>
  </si>
  <si>
    <t>/33.610132, /70.793134</t>
  </si>
  <si>
    <t>SERRANO 131 C/S</t>
  </si>
  <si>
    <t>/33.732897, /70.782758</t>
  </si>
  <si>
    <t>LAS ACACIAS 7</t>
  </si>
  <si>
    <t>/33.779181, /70.795854</t>
  </si>
  <si>
    <t>VEINTIUNO DE MAYO 2643</t>
  </si>
  <si>
    <t>/33.604936, /70.883831</t>
  </si>
  <si>
    <t>CAPERANA 4546</t>
  </si>
  <si>
    <t>/33.735584, /70.859698</t>
  </si>
  <si>
    <t>PASAJE UNIVERZO 1121</t>
  </si>
  <si>
    <t>/33.608487, /70.877880</t>
  </si>
  <si>
    <t>SILVA CHAVEZ 1603</t>
  </si>
  <si>
    <t>/33.700396, /71.217699</t>
  </si>
  <si>
    <t>Sitio 49 aguila azul</t>
  </si>
  <si>
    <t>Kennedy 1008</t>
  </si>
  <si>
    <t>/33.741577, /70.744583</t>
  </si>
  <si>
    <t>Blanca leiton peralta 448</t>
  </si>
  <si>
    <t>Los copaghues norte 0170</t>
  </si>
  <si>
    <t>/33.713277, /70.741572</t>
  </si>
  <si>
    <t>OSVALDO VALDERRAMA 2834</t>
  </si>
  <si>
    <t>/33.726445, /70.768248</t>
  </si>
  <si>
    <t>CURACAVI, SECTOR LA GLORIA PC 4</t>
  </si>
  <si>
    <t>/33.490834, /71.034389</t>
  </si>
  <si>
    <t>MONSEÑOR SERGIO VALECH 656</t>
  </si>
  <si>
    <t>/33.748528, /70.747190</t>
  </si>
  <si>
    <t>SAN PEDRO SECTOR LAS VERTIENTES S/N</t>
  </si>
  <si>
    <t>38.343091, 38.321917</t>
  </si>
  <si>
    <t>Psje san Marcos 460</t>
  </si>
  <si>
    <t>/33.407794, /71.135505</t>
  </si>
  <si>
    <t>SAN PEDRO SECTOR LOICA S/N</t>
  </si>
  <si>
    <t>/33.995343, /71.424556</t>
  </si>
  <si>
    <t>SECTOR LAS VERTIENTES S/N SAN PEDRO LOICA ABAJO</t>
  </si>
  <si>
    <t>/33.999772, /71.434854</t>
  </si>
  <si>
    <t>Av Santelices 222B LOTE A1</t>
  </si>
  <si>
    <t>/33.756825, /70.899070</t>
  </si>
  <si>
    <t>MANUEL RODRÍGUEZ 370</t>
  </si>
  <si>
    <t>/33.729526, /70.740521</t>
  </si>
  <si>
    <t>Quilspilun alto parcela 2 sitio s1</t>
  </si>
  <si>
    <t>/33.094911, /70.665741</t>
  </si>
  <si>
    <t>JUAN PIZARRO GONZÁLES 0233</t>
  </si>
  <si>
    <t>/33.724038, /70.738796</t>
  </si>
  <si>
    <t>SECTOR SANTA CECILIA SIN NUMERO PARCELA 25</t>
  </si>
  <si>
    <t>/33.785108, /71.302162</t>
  </si>
  <si>
    <t>SANTA CECILIA PARCELA 25</t>
  </si>
  <si>
    <t>Los robles 01589</t>
  </si>
  <si>
    <t>/33.712281, /70.741129</t>
  </si>
  <si>
    <t>PJE REAL AUDIENCIA 1030 EX PA SEIS 1030</t>
  </si>
  <si>
    <t>PJE LOS FRANCESES 746 CHACRA MARÍN</t>
  </si>
  <si>
    <t>MANUEL CASTILLO 876</t>
  </si>
  <si>
    <t>Ramón Antonio Romero 1015</t>
  </si>
  <si>
    <t>/33.719033, /70.746689</t>
  </si>
  <si>
    <t>ENRIQUE AVILA MEJÍAS 1746</t>
  </si>
  <si>
    <t>/33.735819, /70.757880</t>
  </si>
  <si>
    <t>LONGOVILO PARCELA 1 SAN PEDRO</t>
  </si>
  <si>
    <t>Pasaje Once 194</t>
  </si>
  <si>
    <t>/33.591895, /70.813466</t>
  </si>
  <si>
    <t>CALLE UNO NORTE PARCELA 33</t>
  </si>
  <si>
    <t>/33.847673, /70.741437</t>
  </si>
  <si>
    <t>PADRE MIGUEL URRUTIA 379</t>
  </si>
  <si>
    <t>Campusano Parcela 9B sitio 28B</t>
  </si>
  <si>
    <t>/33.780512, /70.813928</t>
  </si>
  <si>
    <t>CALLE VOLCAN 20365</t>
  </si>
  <si>
    <t>/33.645899, /70.353679</t>
  </si>
  <si>
    <t>CAMINO LONQUEN NORTE 8</t>
  </si>
  <si>
    <t>/33.598088, /70.785338</t>
  </si>
  <si>
    <t>Teniente Merino 422</t>
  </si>
  <si>
    <t>/33.761317, /70.728243</t>
  </si>
  <si>
    <t>AV ALFREDO BARRIA QUINTANA 0110</t>
  </si>
  <si>
    <t>/33.710738, /70.745397</t>
  </si>
  <si>
    <t>RUTA G60 KM21 VALLE ALTOS DE ULMEN</t>
  </si>
  <si>
    <t>/33.821626, /71.357739</t>
  </si>
  <si>
    <t>CALLE BIO BIO 19</t>
  </si>
  <si>
    <t>/3.132810, /0.174312</t>
  </si>
  <si>
    <t>LA APARICION SITIO 3</t>
  </si>
  <si>
    <t>/33.791955, /70.644183</t>
  </si>
  <si>
    <t>SECTOR LAS VERTIENTES S/N LOICA ARRIBA</t>
  </si>
  <si>
    <t>/34.000278, /71.435650</t>
  </si>
  <si>
    <t>CO a Paine S/N lote B Las Delicias</t>
  </si>
  <si>
    <t>/33.802394, /70.770674</t>
  </si>
  <si>
    <t>CAMINO INTERIOR LO VARGAS PARCELA 8</t>
  </si>
  <si>
    <t>/33.269531, /70.875904</t>
  </si>
  <si>
    <t>AV LIBERTAD 1421</t>
  </si>
  <si>
    <t>/33.686776, /71.226880</t>
  </si>
  <si>
    <t>Gobernador Carlos avilés 120, (benjamin ulloa 2 etapa )</t>
  </si>
  <si>
    <t>/33.680198, /71.228957</t>
  </si>
  <si>
    <t>CNO SANTA ROSA PARCELA LAS MARGARITAS LOTE 8</t>
  </si>
  <si>
    <t>/33.265762, /70.753664</t>
  </si>
  <si>
    <t>RUMAY ALTO EX HACIENDA RUMAY PARCELA 22</t>
  </si>
  <si>
    <t>/33.635427, /71.212748</t>
  </si>
  <si>
    <t>Olea s/n</t>
  </si>
  <si>
    <t>/33.764229, /70.871756</t>
  </si>
  <si>
    <t>Las turbinas 365</t>
  </si>
  <si>
    <t>/33.688020, /71.206464</t>
  </si>
  <si>
    <t>Atacameño 182</t>
  </si>
  <si>
    <t>/33.679014, /71.175416</t>
  </si>
  <si>
    <t>Laura michea 440</t>
  </si>
  <si>
    <t>/33.804251, /70.733963</t>
  </si>
  <si>
    <t>Oilium614</t>
  </si>
  <si>
    <t>/33.686942, /71.224048</t>
  </si>
  <si>
    <t>Mallarauco</t>
  </si>
  <si>
    <t>/33.592632, /71.132389</t>
  </si>
  <si>
    <t>El tránsito</t>
  </si>
  <si>
    <t>/33.652564, /71.170582</t>
  </si>
  <si>
    <t>Santa victoria 11 viluco 2104</t>
  </si>
  <si>
    <t>/33.806956, /70.766147</t>
  </si>
  <si>
    <t>Llanos de cultrin sitio1 huelquen</t>
  </si>
  <si>
    <t>/33.861452, /70.637577</t>
  </si>
  <si>
    <t>Chorrillos 1784</t>
  </si>
  <si>
    <t>/33.701258, /71.222451</t>
  </si>
  <si>
    <t>Chorrillos 1780</t>
  </si>
  <si>
    <t>Pedro Ibarra 691</t>
  </si>
  <si>
    <t>/33.460285, /71.034833</t>
  </si>
  <si>
    <t>Estanislao loyza</t>
  </si>
  <si>
    <t>/33.569203, /70.798823</t>
  </si>
  <si>
    <t>PASAJE KENNEDY PARCELA 51</t>
  </si>
  <si>
    <t>/33.851272, /70.726349</t>
  </si>
  <si>
    <t>Pasaje cartagena 1327 villa las Américas paine</t>
  </si>
  <si>
    <t>/33.817340, /70.739650</t>
  </si>
  <si>
    <t>CAUPOLICAN 2986</t>
  </si>
  <si>
    <t>/33.597006, /70.882394</t>
  </si>
  <si>
    <t>AVENIDA 18 DE SEPTIEMBRE 1149</t>
  </si>
  <si>
    <t>/33.806179, /70.725218</t>
  </si>
  <si>
    <t>POLICARPO TORO 1259</t>
  </si>
  <si>
    <t>/33.682256, /71.224616</t>
  </si>
  <si>
    <t>LAS PRADESRAS 2 S/N</t>
  </si>
  <si>
    <t>/33.779885, /71.301548</t>
  </si>
  <si>
    <t>MANDINGA S/N</t>
  </si>
  <si>
    <t>COSTANERA 236</t>
  </si>
  <si>
    <t>/33.276629, /70.873384</t>
  </si>
  <si>
    <t>LA RED S/N</t>
  </si>
  <si>
    <t>AGUAS SANTA, CULIPRAN</t>
  </si>
  <si>
    <t>LIMITE URBANO 489</t>
  </si>
  <si>
    <t>/33.718037, /70.745094</t>
  </si>
  <si>
    <t>NUEVA BOLLENAR SN CV6 LOTE 5 (LAS PATAGUAS)</t>
  </si>
  <si>
    <t>/33.570631, /71.215068</t>
  </si>
  <si>
    <t>LOS MAITENES S/N HIJ 71LOT M</t>
  </si>
  <si>
    <t>/33.275080, /70.872841</t>
  </si>
  <si>
    <t>/33.283204, /70.881837</t>
  </si>
  <si>
    <t>/33.282997, /70.881890</t>
  </si>
  <si>
    <t>Javiera Carrera 1153</t>
  </si>
  <si>
    <t>/33.391635, /71.126841</t>
  </si>
  <si>
    <t>LIMITE URBANO 477</t>
  </si>
  <si>
    <t>/33.717897, /70.744867</t>
  </si>
  <si>
    <t>Avenida Miguel letelier parcela 23</t>
  </si>
  <si>
    <t>Las flores sitio 24b</t>
  </si>
  <si>
    <t>GONZALO BARROS L/B V /28</t>
  </si>
  <si>
    <t>/33.275094, /70.872847</t>
  </si>
  <si>
    <t>/33.275360, /70.872866</t>
  </si>
  <si>
    <t>AVD JOSE FILOMENO CIFUENTES S/N PAR3 BATUCO</t>
  </si>
  <si>
    <t>LOS LAURELES 1541 VIVIENDA 3</t>
  </si>
  <si>
    <t>/33.275370, /70.872853</t>
  </si>
  <si>
    <t>EL TORIL 64</t>
  </si>
  <si>
    <t>/33.514503, /71.117217</t>
  </si>
  <si>
    <t>BUIN CO CAMPUSANO 8493 PARC 27</t>
  </si>
  <si>
    <t>/33.812558, /70.850323</t>
  </si>
  <si>
    <t>28/08/2024</t>
  </si>
  <si>
    <t>TRICOLOR DE PAINE 406</t>
  </si>
  <si>
    <t>/33.802427, /70.739103</t>
  </si>
  <si>
    <t>EL LUCERO SN SIT/3</t>
  </si>
  <si>
    <t>/33.267269, /70.886567</t>
  </si>
  <si>
    <t>SANTA VICTORIA 11 VILUCO</t>
  </si>
  <si>
    <t>/33.806615, /70.765646</t>
  </si>
  <si>
    <t>ARTURO PRAT SN HIJ 27 PAR 4 LAMPA</t>
  </si>
  <si>
    <t>LA MONTAÑA 3650 CASA 116F</t>
  </si>
  <si>
    <t>/33.322732, /70.757656</t>
  </si>
  <si>
    <t>/33.741383, /70.748598</t>
  </si>
  <si>
    <t>SAN PEDRO CALLE LOS MAQUIS SN</t>
  </si>
  <si>
    <t>/33.572578, /71.225610</t>
  </si>
  <si>
    <t>LOS ABEDULES 736</t>
  </si>
  <si>
    <t>/33.605869, /70.876349</t>
  </si>
  <si>
    <t>/33.556986, /71.223011</t>
  </si>
  <si>
    <t>RUTA G/650 2466 HJ LT 2</t>
  </si>
  <si>
    <t>/33.877644, /71.221200</t>
  </si>
  <si>
    <t>30/08/2024</t>
  </si>
  <si>
    <t>IGNACIO CARRERA PINTO S/N S/N</t>
  </si>
  <si>
    <t>/34.025491, /71.082726</t>
  </si>
  <si>
    <t>CALLE EL RECURSO # 5161</t>
  </si>
  <si>
    <t>/33.600910, /71.240327</t>
  </si>
  <si>
    <t>PASAJE COLON # 902</t>
  </si>
  <si>
    <t>/33.702148, /71.222168</t>
  </si>
  <si>
    <t>SECTOR SANTA LAURA 4</t>
  </si>
  <si>
    <t>/33.757098, /71.323268</t>
  </si>
  <si>
    <t>LA ESTRELLA 10500</t>
  </si>
  <si>
    <t>/33.473869, /71.119661</t>
  </si>
  <si>
    <t>COMUNIDAD LOS RULOS CV 19</t>
  </si>
  <si>
    <t>/33.483313, /71.123499</t>
  </si>
  <si>
    <t>/33.477353, /71.128181</t>
  </si>
  <si>
    <t>BARROS ARANA NRO 202</t>
  </si>
  <si>
    <t>/33.084220, /70.922236</t>
  </si>
  <si>
    <t>MIGUEL LETELIER 6 PINTUE PARC B</t>
  </si>
  <si>
    <t>/33.867268, /70.867301</t>
  </si>
  <si>
    <t>AV SALVADOR ALLENDE GOSSENS 1223 TALAGANTE</t>
  </si>
  <si>
    <t>/33.684693, /70.953258</t>
  </si>
  <si>
    <t>San José S/N cv11 San José</t>
  </si>
  <si>
    <t>/33.612296, /71.222398</t>
  </si>
  <si>
    <t>LOS ROBLES 5</t>
  </si>
  <si>
    <t>/33.568324, /71.218102</t>
  </si>
  <si>
    <t>PAICO ALTO 17 SITIO 10 EL PAICO</t>
  </si>
  <si>
    <t>/33.661943, /71.050234</t>
  </si>
  <si>
    <t>29/08/2024</t>
  </si>
  <si>
    <t>PAICO ALTO 17SITIO 10 EL PAICO</t>
  </si>
  <si>
    <t>/33.661943, /71.050238</t>
  </si>
  <si>
    <t>Los pensamientos 2584</t>
  </si>
  <si>
    <t>/33.294298, /70.865383</t>
  </si>
  <si>
    <t>/33.418743, /70.749704</t>
  </si>
  <si>
    <t>MARLEN BOZAN RAMOS 401</t>
  </si>
  <si>
    <t>/33.735046, /70.716367</t>
  </si>
  <si>
    <t>QUELTEHUE INTERIOR 699</t>
  </si>
  <si>
    <t>/33.516987, /70.717209</t>
  </si>
  <si>
    <t>Los TULIPANES 1606</t>
  </si>
  <si>
    <t>/33.418740, /70.749712</t>
  </si>
  <si>
    <t>LOS TULIPANES 1606</t>
  </si>
  <si>
    <t>/33.418738, /70.749705</t>
  </si>
  <si>
    <t>QUINCE DE NOVIEMBRE 2764</t>
  </si>
  <si>
    <t>/33.600933, /70.882883</t>
  </si>
  <si>
    <t>LAS VERTIENTES 3602 VILUCO LAS VERTIENTES E/F2 CASA BUIN</t>
  </si>
  <si>
    <t>/33.812035, /70.805793</t>
  </si>
  <si>
    <t>LINDEROS ALTO JAHUEL 422 LOTE 2B PC 5 TENIENTE MERINO</t>
  </si>
  <si>
    <t>/33.760247, /70.728601</t>
  </si>
  <si>
    <t>AVENIDA TENIENTE MERINO 500 PC 5</t>
  </si>
  <si>
    <t>/33.760457, /70.729182</t>
  </si>
  <si>
    <t>/33.760451, /70.729142</t>
  </si>
  <si>
    <t>CAMINO INTERIOR SITIO 5 B</t>
  </si>
  <si>
    <t>/33.225357, /70.803957</t>
  </si>
  <si>
    <t>LOS AROMOS 134</t>
  </si>
  <si>
    <t>/33.409492, /71.144645</t>
  </si>
  <si>
    <t>NUEVO PORVENIR LOTE 2</t>
  </si>
  <si>
    <t>/33.283365, /70.833261</t>
  </si>
  <si>
    <t>MIRAFLORES 523 ALTO JAHUEL BUIN</t>
  </si>
  <si>
    <t>/33.739530, /70.681510</t>
  </si>
  <si>
    <t>PADRE HURTADO 485 SITIO 1 CRUZ DEL SUR BUIN</t>
  </si>
  <si>
    <t>/33.739607, /70.681567</t>
  </si>
  <si>
    <t>UNION CHILENA S/3 S/N POSTE POSTE 284195</t>
  </si>
  <si>
    <t>/33.445111, /71.027931</t>
  </si>
  <si>
    <t>CUESTA VIEJA PARCELA 6 S/N POSTE 284447</t>
  </si>
  <si>
    <t>/33.462445, /71.027883</t>
  </si>
  <si>
    <t>ADRIANA MADRID 216 MARIA PINTO</t>
  </si>
  <si>
    <t>/33.514543, /71.122267</t>
  </si>
  <si>
    <t>AV CALERA DE TANGO 12 ,CALERA DE TANGO</t>
  </si>
  <si>
    <t>/33.627204, /70.772618</t>
  </si>
  <si>
    <t>Los Patronales 01362</t>
  </si>
  <si>
    <t>/33.715635, /70.738794</t>
  </si>
  <si>
    <t>AVENIDA ROMERO LOTE A PARCELA 128</t>
  </si>
  <si>
    <t>/33.858385, /70.736691</t>
  </si>
  <si>
    <t>LONGOVILO S/N LOTE 1 SAN PEDRO</t>
  </si>
  <si>
    <t>/33.900136, /71.407115</t>
  </si>
  <si>
    <t>CO ÁGUILA NORTE 8</t>
  </si>
  <si>
    <t>/33.875025, /70.756342</t>
  </si>
  <si>
    <t>PJE INES CAMPOS ARENAS 1003</t>
  </si>
  <si>
    <t>/33.718993, /70.745885</t>
  </si>
  <si>
    <t>Camino al Volcán 4205</t>
  </si>
  <si>
    <t>/33.580524, /70.460939</t>
  </si>
  <si>
    <t>EL SAUCE S/N SAN PEDRO</t>
  </si>
  <si>
    <t>/33.883152, /71.382407</t>
  </si>
  <si>
    <t>/33.580529, /70.460919</t>
  </si>
  <si>
    <t>ESTACIÓN POLPAICO CASA50</t>
  </si>
  <si>
    <t>/33.166921, /70.885374</t>
  </si>
  <si>
    <t>21 DE MAYO S/N ALHUE</t>
  </si>
  <si>
    <t>/34.030450, /71.096414</t>
  </si>
  <si>
    <t>QUINQUILA 1233</t>
  </si>
  <si>
    <t>/33.279068, /70.874147</t>
  </si>
  <si>
    <t>JUAN BAUTISTA SALINAS 596 POMAIRE</t>
  </si>
  <si>
    <t>/33.652128, /71.154310</t>
  </si>
  <si>
    <t>PJE LONCOCHE 1439</t>
  </si>
  <si>
    <t>/33.279895, /70.871133</t>
  </si>
  <si>
    <t>PASAJE TEÓFILO CID 1523</t>
  </si>
  <si>
    <t>/33.289659, /70.880957</t>
  </si>
  <si>
    <t>EL PERAL 25</t>
  </si>
  <si>
    <t>/33.464047, /71.083747</t>
  </si>
  <si>
    <t>EL HURACÁN 815</t>
  </si>
  <si>
    <t>/33.514316, /71.116633</t>
  </si>
  <si>
    <t>María pinto, María pinto s/n</t>
  </si>
  <si>
    <t>/33.474950, /71.119399</t>
  </si>
  <si>
    <t>El redil S/n/ Cv55</t>
  </si>
  <si>
    <t>/33.485623, /71.140676</t>
  </si>
  <si>
    <t>CAMINO LOS RULOS S/N MARIA PINTO</t>
  </si>
  <si>
    <t>/33.469109, /71.101038</t>
  </si>
  <si>
    <t>PA CUATRO 700 VILLORIO PATAGUILLA, LUIS GONZÁLEZ 700</t>
  </si>
  <si>
    <t>/33.460896, /71.035110</t>
  </si>
  <si>
    <t>SAN ANDRES 24 VILUCO</t>
  </si>
  <si>
    <t>/33.781650, /70.789536</t>
  </si>
  <si>
    <t>Pasaje Isla Lenox 328</t>
  </si>
  <si>
    <t>/33.807175, /70.737042</t>
  </si>
  <si>
    <t>LECHO DEL RIO SITIO 2A, SECTOR HOSPITAL</t>
  </si>
  <si>
    <t>/33.879525, /70.745680</t>
  </si>
  <si>
    <t>LAS VERTIENTES S/N BUIN</t>
  </si>
  <si>
    <t>/33.821626, /70.816345</t>
  </si>
  <si>
    <t>PASAJE SAN FELIPE 116</t>
  </si>
  <si>
    <t>/33.806137, /70.739221</t>
  </si>
  <si>
    <t>El sauce 0710</t>
  </si>
  <si>
    <t>/33.210978, /70.677644</t>
  </si>
  <si>
    <t>PJE ANDALUCITA 790D</t>
  </si>
  <si>
    <t>/33.685406, /70.997947</t>
  </si>
  <si>
    <t>GUAYACÁN ORIENTE 2115</t>
  </si>
  <si>
    <t>/33.293634, /70.882537</t>
  </si>
  <si>
    <t>Vecinal 0201</t>
  </si>
  <si>
    <t>/33.694323, /70.701909</t>
  </si>
  <si>
    <t>Santa victoria 2104</t>
  </si>
  <si>
    <t>/33.807004, /70.765969</t>
  </si>
  <si>
    <t>Roberto bravo 1436</t>
  </si>
  <si>
    <t>/33.654533, /71.148521</t>
  </si>
  <si>
    <t>Berlin l26</t>
  </si>
  <si>
    <t>/33.629113, /70.896276</t>
  </si>
  <si>
    <t>SOL DE SEPTIEMBRE 302</t>
  </si>
  <si>
    <t>/33.302756, /70.858770</t>
  </si>
  <si>
    <t>Manuel plaza 1147</t>
  </si>
  <si>
    <t>/33.569841, /70.798822</t>
  </si>
  <si>
    <t>Pje Jesús de nazareno</t>
  </si>
  <si>
    <t>/33.461377, /71.081047</t>
  </si>
  <si>
    <t>San Antonio 60</t>
  </si>
  <si>
    <t>/33.654623, /71.150782</t>
  </si>
  <si>
    <t>Juan Francisco Fresno 53</t>
  </si>
  <si>
    <t>/33.783484, /70.895051</t>
  </si>
  <si>
    <t>Unión chilena s/3s/n poste 284195</t>
  </si>
  <si>
    <t>/33.445020, /71.027856</t>
  </si>
  <si>
    <t>CONCORDIA 0100 B</t>
  </si>
  <si>
    <t>/33.601921, /70.895734</t>
  </si>
  <si>
    <t>LAS PALMERAS 735</t>
  </si>
  <si>
    <t>/33.811001, /70.742027</t>
  </si>
  <si>
    <t>Los espinos sitio 7</t>
  </si>
  <si>
    <t>/33.457610, /71.095701</t>
  </si>
  <si>
    <t>La unión 391</t>
  </si>
  <si>
    <t>EL BOSQUE SN 64</t>
  </si>
  <si>
    <t>/33.485499, /71.141797</t>
  </si>
  <si>
    <t>EL LUCADOR 64</t>
  </si>
  <si>
    <t>/33.485562, /71.141788</t>
  </si>
  <si>
    <t>Trebulco 1313</t>
  </si>
  <si>
    <t>/33.681868, /70.936971</t>
  </si>
  <si>
    <t>El redil cv40</t>
  </si>
  <si>
    <t>/33.483525, /71.137483</t>
  </si>
  <si>
    <t>Avenida Balmaceda 3317</t>
  </si>
  <si>
    <t>/33.746158, /70.865668</t>
  </si>
  <si>
    <t>Roberto bravo 252</t>
  </si>
  <si>
    <t>/33.652456, /71.150307</t>
  </si>
  <si>
    <t>PEDRO BARRA 721</t>
  </si>
  <si>
    <t>/33.460296, /71.035011</t>
  </si>
  <si>
    <t>Santa victoria, 2104</t>
  </si>
  <si>
    <t>/33.806819, /70.765831</t>
  </si>
  <si>
    <t>Sta victoria 2104 viluco</t>
  </si>
  <si>
    <t>/33.807097, /70.766271</t>
  </si>
  <si>
    <t>/33.263510, /70.894214</t>
  </si>
  <si>
    <t>/33.263842, /70.894093</t>
  </si>
  <si>
    <t>CAMINO INTERIOR 5 PARCELA 9 LOTE 1</t>
  </si>
  <si>
    <t>/33.267369, /70.887392</t>
  </si>
  <si>
    <t>HUITICALAN SITIO 24B</t>
  </si>
  <si>
    <t>/33.861269, /70.853499</t>
  </si>
  <si>
    <t>TOMAS GONZALEZ 598</t>
  </si>
  <si>
    <t>/33.285708, /70.884132</t>
  </si>
  <si>
    <t>JOSE MIGUEL LETELIER PARCEL 23</t>
  </si>
  <si>
    <t>/33.872842, /70.909447</t>
  </si>
  <si>
    <t>EL HURACÁN 814</t>
  </si>
  <si>
    <t>/33.514062, /71.116770</t>
  </si>
  <si>
    <t>/33.861306, /70.853488</t>
  </si>
  <si>
    <t>PEDRO MONTT PAR 27</t>
  </si>
  <si>
    <t>/33.234295, /70.809327</t>
  </si>
  <si>
    <t>Hermanas orellana 947</t>
  </si>
  <si>
    <t>PASAJE MARIO CALDERON 532</t>
  </si>
  <si>
    <t>/33.724890, /70.770710</t>
  </si>
  <si>
    <t>CAMINO COQUIMBITO 5 /B 0</t>
  </si>
  <si>
    <t>/33.146307, /70.794958</t>
  </si>
  <si>
    <t>/33.238315, /70.819224</t>
  </si>
  <si>
    <t>JOSE MIGUEL LETELIER PARCELA 23</t>
  </si>
  <si>
    <t>CAMINO SERVIDUMBRE P/B SITIO 28B (UNO)</t>
  </si>
  <si>
    <t>/33.242640, /70.806655</t>
  </si>
  <si>
    <t>CAMINO SERVIDUMBRE PARCELA B 28B (UNO)</t>
  </si>
  <si>
    <t>/33.242649, /70.806662</t>
  </si>
  <si>
    <t>/33.281576, /70.754498</t>
  </si>
  <si>
    <t>GUACOLDA 909</t>
  </si>
  <si>
    <t>/33.701747, /71.220179</t>
  </si>
  <si>
    <t>ASENT LO VARGAS P/1 VARGAS LAMPA</t>
  </si>
  <si>
    <t>IGNACIO SERRANO 1139 LAMPA</t>
  </si>
  <si>
    <t>/33.286957, /70.877692</t>
  </si>
  <si>
    <t>/33.215840, /70.779777</t>
  </si>
  <si>
    <t>EL TACO DEL VALLE SN 0</t>
  </si>
  <si>
    <t>/33.238725, /70.912035</t>
  </si>
  <si>
    <t>AVD JOSE FILOMENO CIFUENTES S/N HIJ 4 PAR 3</t>
  </si>
  <si>
    <t>MARGARITA CATALAN JIMENEZ 1764</t>
  </si>
  <si>
    <t>/33.823339, /70.730652</t>
  </si>
  <si>
    <t>MARGARITA CATALAN JIMENEZ1760</t>
  </si>
  <si>
    <t>/33.823616, /70.730773</t>
  </si>
  <si>
    <t>CUYUNCAVI P 199</t>
  </si>
  <si>
    <t>/33.405116, /71.081533</t>
  </si>
  <si>
    <t>LUIS CRUCHAGA 750</t>
  </si>
  <si>
    <t>AV. HERMOSILLA S/N</t>
  </si>
  <si>
    <t>/33.899994, /71.446695</t>
  </si>
  <si>
    <t>CMNO INT L/114 FUNDO LOS CERRILOS S/N 0</t>
  </si>
  <si>
    <t>/33.286194, /70.803723</t>
  </si>
  <si>
    <t>14/09/2024</t>
  </si>
  <si>
    <t>CALLE LOS ESPINOS MANZANA C73</t>
  </si>
  <si>
    <t>/33.281124, /70.796019</t>
  </si>
  <si>
    <t>CMNO INT L/114 FUNDO LOS CERRILOS S/N</t>
  </si>
  <si>
    <t>/33.288525, /70.804260</t>
  </si>
  <si>
    <t>15/09/2024</t>
  </si>
  <si>
    <t>CMNO INT L/114 B FUNDO LOS CERRILOS S/N 0</t>
  </si>
  <si>
    <t>/33.286238, /70.803760</t>
  </si>
  <si>
    <t>JOVINO NOVOA 449</t>
  </si>
  <si>
    <t>/33.418747, /70.749711</t>
  </si>
  <si>
    <t>/33.920305, /71.510618</t>
  </si>
  <si>
    <t>EL PRASO SN ST 4</t>
  </si>
  <si>
    <t>/33.418742, /70.749704</t>
  </si>
  <si>
    <t>EL PRADO S/N ST 4</t>
  </si>
  <si>
    <t>/33.293687, /70.865063</t>
  </si>
  <si>
    <t>Camino Inter lote 27 lampa</t>
  </si>
  <si>
    <t>/33.418926, /70.745132</t>
  </si>
  <si>
    <t>13/09/2024</t>
  </si>
  <si>
    <t>Camino Inter lote 27</t>
  </si>
  <si>
    <t>/33.418743, /70.749706</t>
  </si>
  <si>
    <t>DEL ESTERO SUR 1182 / CASA 14</t>
  </si>
  <si>
    <t>/33.218654, /70.679872</t>
  </si>
  <si>
    <t>MAULE 1307</t>
  </si>
  <si>
    <t>/33.608790, /70.871212</t>
  </si>
  <si>
    <t>LAS ARAUCARIAS 1149 MELIPILLA</t>
  </si>
  <si>
    <t>/33.681091, /71.223519</t>
  </si>
  <si>
    <t>LA ENSENADA 51 AGUILA SUR</t>
  </si>
  <si>
    <t>/33.897581, /70.749370</t>
  </si>
  <si>
    <t>IRENE FREI180 SITIO 108 lampa</t>
  </si>
  <si>
    <t>/33.306290, /70.856226</t>
  </si>
  <si>
    <t>CUATRO NORTE 93</t>
  </si>
  <si>
    <t>/33.637420, /70.351008</t>
  </si>
  <si>
    <t>PJE LOS JARDINEROS 562</t>
  </si>
  <si>
    <t>/33.666645, /70.918592</t>
  </si>
  <si>
    <t>Av viluco 4881</t>
  </si>
  <si>
    <t>/33.787258, /70.785538</t>
  </si>
  <si>
    <t>CO A PAINE 4881</t>
  </si>
  <si>
    <t>/33.787570, /70.785583</t>
  </si>
  <si>
    <t>PJE CERRL PERALILLO 4576</t>
  </si>
  <si>
    <t>/33.735245, /70.860010</t>
  </si>
  <si>
    <t>MARIA PINTO CALLEJON LIRANO 6738 , PJE EL PERAL VILLA LOS ALMENDROS CASA 27</t>
  </si>
  <si>
    <t>/33.464212, /71.083929</t>
  </si>
  <si>
    <t>Santa Cruz de Loreto S/N parcela 23</t>
  </si>
  <si>
    <t>/33.647307, /70.841045</t>
  </si>
  <si>
    <t>SANTO DOMINGO 395</t>
  </si>
  <si>
    <t>/33.741122, /70.742598</t>
  </si>
  <si>
    <t>FIDELA INOSTROZA PRADO 768 BUIN</t>
  </si>
  <si>
    <t>/33.741395, /70.748464</t>
  </si>
  <si>
    <t>/33.741392, /70.748447</t>
  </si>
  <si>
    <t>FIDELA INOSTROZA PRADO 768</t>
  </si>
  <si>
    <t>/33.741408, /70.748456</t>
  </si>
  <si>
    <t>CALLE CAMINO PUBLICO LTE 28</t>
  </si>
  <si>
    <t>/33.904895, /71.409835</t>
  </si>
  <si>
    <t>SAN JOSE SITIO 4 MELIPILLA</t>
  </si>
  <si>
    <t>/33.596945, /71.219174</t>
  </si>
  <si>
    <t>Francisco Godoy Román 609</t>
  </si>
  <si>
    <t>/33.803307, /70.731192</t>
  </si>
  <si>
    <t>MARTA ALVAREZ TORRES 1019</t>
  </si>
  <si>
    <t>/33.718812, /70.746242</t>
  </si>
  <si>
    <t>SIMON REYES</t>
  </si>
  <si>
    <t>/33.748873, /70.748235</t>
  </si>
  <si>
    <t>SANTA ADRIANA 33 B ,EL MONTE</t>
  </si>
  <si>
    <t>/33.706815, /70.966011</t>
  </si>
  <si>
    <t>MARGARITA CATALAN JIMENEZ 1744</t>
  </si>
  <si>
    <t>/33.823631, /70.730789</t>
  </si>
  <si>
    <t>PASAJE LA CATAM 367</t>
  </si>
  <si>
    <t>/33.673706, /70.987667</t>
  </si>
  <si>
    <t>LA CAÑADA DEL CARMEN 18</t>
  </si>
  <si>
    <t>/33.253155, /70.757065</t>
  </si>
  <si>
    <t>CAMINO EL CARMEN PARCELA 11 CASA D</t>
  </si>
  <si>
    <t>/33.252837, /70.753883</t>
  </si>
  <si>
    <t>CALLE LECAROS 767</t>
  </si>
  <si>
    <t>/33.744140, /71.191593</t>
  </si>
  <si>
    <t>INES ORELLANA MARTINEZ 916</t>
  </si>
  <si>
    <t>/33.823490, /70.732210</t>
  </si>
  <si>
    <t>Camino interior lote 23 parcela 12</t>
  </si>
  <si>
    <t>/33.220088, /70.811696</t>
  </si>
  <si>
    <t>CAMINO INTERIOR LOTE 23 PARCELA 12 LAMPA</t>
  </si>
  <si>
    <t>/33.220241, /70.811635</t>
  </si>
  <si>
    <t>Luis bahamondes 0151</t>
  </si>
  <si>
    <t>Camino interior lote 23 parc 120</t>
  </si>
  <si>
    <t>/33.220345, /70.812878</t>
  </si>
  <si>
    <t>Tricolor de Paine 377</t>
  </si>
  <si>
    <t>Luis BAHAMONDES 0187</t>
  </si>
  <si>
    <t>CUYUNCAVI PC 168</t>
  </si>
  <si>
    <t>/33.383406, /71.115329</t>
  </si>
  <si>
    <t>SENADOR JAIME GUZMÁN 264</t>
  </si>
  <si>
    <t>/33.297003, /70.871778</t>
  </si>
  <si>
    <t>16/09/2024</t>
  </si>
  <si>
    <t>CAMINO INTERIOR 221</t>
  </si>
  <si>
    <t>/33.418751, /70.749706</t>
  </si>
  <si>
    <t>CALLE EL YESO 1039</t>
  </si>
  <si>
    <t>/33.191311, /70.682669</t>
  </si>
  <si>
    <t>17/09/2024</t>
  </si>
  <si>
    <t>Camino Inter 221</t>
  </si>
  <si>
    <t>/33.827515, /71.329836</t>
  </si>
  <si>
    <t>19/09/2024</t>
  </si>
  <si>
    <t>PAINE SIN CALLE S/N</t>
  </si>
  <si>
    <t>/33.903671, /70.749881</t>
  </si>
  <si>
    <t>CALLE REPÚBLICA CHECA 139 RINCONADA ORIENTE</t>
  </si>
  <si>
    <t>/33.673913, /71.172669</t>
  </si>
  <si>
    <t>/33.673902, /71.172649</t>
  </si>
  <si>
    <t>ADRIANA MADRID SN</t>
  </si>
  <si>
    <t>/33.514594, /71.123430</t>
  </si>
  <si>
    <t>/33.514603, /71.123412</t>
  </si>
  <si>
    <t>LAGO CABURGA 1574</t>
  </si>
  <si>
    <t>/33.611705, /70.881558</t>
  </si>
  <si>
    <t>Lolenco S/9 L/D S/N</t>
  </si>
  <si>
    <t>/33.433693, /71.030660</t>
  </si>
  <si>
    <t>JOSE LUIS CARO 663</t>
  </si>
  <si>
    <t>/33.563520, /70.820303</t>
  </si>
  <si>
    <t>PAICO ALTO S/N EL MONTE</t>
  </si>
  <si>
    <t>/33.663741, /71.031711</t>
  </si>
  <si>
    <t>MADRE MARIANA SOTO 502, VIÑA 3</t>
  </si>
  <si>
    <t>/33.724074, /70.773429</t>
  </si>
  <si>
    <t>/33.803336, /70.731208</t>
  </si>
  <si>
    <t>PASAJE DIECISIETE 26</t>
  </si>
  <si>
    <t>/33.722023, /70.736622</t>
  </si>
  <si>
    <t>FUNDO EL TRIGAL S/N  SAN MANUEL</t>
  </si>
  <si>
    <t>/33.760747, /71.291708</t>
  </si>
  <si>
    <t>EL TRIGAL SAN MIGUEL SN</t>
  </si>
  <si>
    <t>/33.760888, /71.291589</t>
  </si>
  <si>
    <t>LOS ALERCES 328</t>
  </si>
  <si>
    <t>/33.398337, /71.121951</t>
  </si>
  <si>
    <t>LAS MULAS , PARCELA 4</t>
  </si>
  <si>
    <t>/33.880507, /70.743975</t>
  </si>
  <si>
    <t>VICENTE PEREZ ROSALES 592</t>
  </si>
  <si>
    <t>/33.655756, /70.914669</t>
  </si>
  <si>
    <t>PJE OJEDA 1198</t>
  </si>
  <si>
    <t>/33.694599, /71.219723</t>
  </si>
  <si>
    <t>VISTA ESPERANZA 1105</t>
  </si>
  <si>
    <t>/33.394063, /71.121048</t>
  </si>
  <si>
    <t>LAS BANDURRIAS 5</t>
  </si>
  <si>
    <t>/33.703043, /70.587076</t>
  </si>
  <si>
    <t>EL MOLINO S/N PARC/7</t>
  </si>
  <si>
    <t>/33.772756, /71.240697</t>
  </si>
  <si>
    <t>24/09/2024</t>
  </si>
  <si>
    <t>PA EL ARRAYAN # 321</t>
  </si>
  <si>
    <t>/33.533139, /70.904392</t>
  </si>
  <si>
    <t>25/09/2024</t>
  </si>
  <si>
    <t>LOS ESPINOS PAR/67 CASA 1</t>
  </si>
  <si>
    <t>/33.280862, /70.798213</t>
  </si>
  <si>
    <t>26/09/2024</t>
  </si>
  <si>
    <t>LAS HIGUERAS HIJ 26A</t>
  </si>
  <si>
    <t>/33.287596, /70.866079</t>
  </si>
  <si>
    <t>27/09/2024</t>
  </si>
  <si>
    <t>CJ EL RECURSO 5161</t>
  </si>
  <si>
    <t>/33.600953, /71.239341</t>
  </si>
  <si>
    <t>28/09/2024</t>
  </si>
  <si>
    <t>CO VIEJO EL BAJO 8 MZ 6 LOTE A</t>
  </si>
  <si>
    <t>/33.701917, /71.207648</t>
  </si>
  <si>
    <t>Manuel Rodríguez 142</t>
  </si>
  <si>
    <t>/33.811702, /70.861716</t>
  </si>
  <si>
    <t>LAS OS OSTAZAS 321 A PC 2 LT 21</t>
  </si>
  <si>
    <t>/33.676846, /71.210777</t>
  </si>
  <si>
    <t>BAQUEDANO #689</t>
  </si>
  <si>
    <t>/33.674536, /70.976063</t>
  </si>
  <si>
    <t>NUEVA COLINA 0447</t>
  </si>
  <si>
    <t>/33.199151, /70.680983</t>
  </si>
  <si>
    <t>JULIO SILVA LOT9 ST 43CONJUNTO EL NARANJO</t>
  </si>
  <si>
    <t>/33.391551, /71.163466</t>
  </si>
  <si>
    <t>JULIO SILVIA LOT9 ST43 CONJUNTO EL NARANJO</t>
  </si>
  <si>
    <t>/33.391329, /71.163024</t>
  </si>
  <si>
    <t>/33.199169, /70.680987</t>
  </si>
  <si>
    <t>ESPERANZA 123</t>
  </si>
  <si>
    <t>/33.280881, /70.754832</t>
  </si>
  <si>
    <t>Las Araucarias 473</t>
  </si>
  <si>
    <t>AVENIDA KENNEDY 1190 CASA 1</t>
  </si>
  <si>
    <t>/33.743664, /70.744615</t>
  </si>
  <si>
    <t>AV BERLIN 26A PEÑAFLOR</t>
  </si>
  <si>
    <t>/33.629211, /70.896847</t>
  </si>
  <si>
    <t>23/09/2024</t>
  </si>
  <si>
    <t>EMBAJADOR CARLOS VASALLO 956</t>
  </si>
  <si>
    <t>/33.722538, /70.770972</t>
  </si>
  <si>
    <t>La Ribero pasaje 3 sur 254</t>
  </si>
  <si>
    <t>/33.199804, /70.664514</t>
  </si>
  <si>
    <t>GACITUA 406 ISLA DE MAIPO</t>
  </si>
  <si>
    <t>/33.729896, /70.913461</t>
  </si>
  <si>
    <t>Manuel Contreras Mondaca 474</t>
  </si>
  <si>
    <t>/33.720620, /70.743959</t>
  </si>
  <si>
    <t>PA CINCO 701</t>
  </si>
  <si>
    <t>/33.460276, /71.034961</t>
  </si>
  <si>
    <t>Vicuña Mackenna 1572</t>
  </si>
  <si>
    <t>/33.610770, /70.875689</t>
  </si>
  <si>
    <t>CALERA DE TANGO ,LONQUEN SUR 3</t>
  </si>
  <si>
    <t>/33.625866, /70.801798</t>
  </si>
  <si>
    <t>LA MEDIALUNA 0885 CHACRA SAN PEDRO</t>
  </si>
  <si>
    <t>/33.690203, /71.204070</t>
  </si>
  <si>
    <t>CO Paine 2855 Lonquen sitio 15</t>
  </si>
  <si>
    <t>/33.801125, /70.770478</t>
  </si>
  <si>
    <t>REGIDOR ERNESTO TITO JIMÉNEZ 269</t>
  </si>
  <si>
    <t>/33.744495, /70.867835</t>
  </si>
  <si>
    <t>EL PRINCIPAL PARCELA 119</t>
  </si>
  <si>
    <t>/33.723018, /70.555158</t>
  </si>
  <si>
    <t>PA INTERIOR P/11 S/N POSTE 272910</t>
  </si>
  <si>
    <t>/33.682986, /70.934827</t>
  </si>
  <si>
    <t>LAS ARAUCARIAS 444</t>
  </si>
  <si>
    <t>/33.396791, /71.122644</t>
  </si>
  <si>
    <t>EL QUILLAY 823</t>
  </si>
  <si>
    <t>/33.707143, /70.556145</t>
  </si>
  <si>
    <t>ITALIA 035 , LAS PETUNIAS</t>
  </si>
  <si>
    <t>LUIS CRUZ MARTINEZ 45</t>
  </si>
  <si>
    <t>/33.677968, /71.207337</t>
  </si>
  <si>
    <t>PASAJE NUEVE 1148</t>
  </si>
  <si>
    <t>/33.679487, /71.237971</t>
  </si>
  <si>
    <t>ARRECIFE 1532 , VILLA AMERICA</t>
  </si>
  <si>
    <t>/33.819582, /70.741174</t>
  </si>
  <si>
    <t>EL REMANSO 38 , SANTA ELENA</t>
  </si>
  <si>
    <t>/33.213150, /70.729260</t>
  </si>
  <si>
    <t>SANTA CAROLINA SITIO 42 , vivienda 3</t>
  </si>
  <si>
    <t>/33.225060, /70.775748</t>
  </si>
  <si>
    <t>/33.193625, /70.671786</t>
  </si>
  <si>
    <t>GENERAL SAN MARTIN S/N LOTE 24 (CONDOMINIO SANTA LUISA  24/B)</t>
  </si>
  <si>
    <t>/33.269673, /70.695195</t>
  </si>
  <si>
    <t>GENERAL SAN MARTIN S/N LOTE 24 (CONDOMINIO SANTA LUISA 24B)</t>
  </si>
  <si>
    <t>SEGUNDA TRANSVERSAL 983 , VALLE EL TREBOL</t>
  </si>
  <si>
    <t>/33.569990, /70.796629</t>
  </si>
  <si>
    <t>/33.570170, /70.798560</t>
  </si>
  <si>
    <t>CAMP JERUSALEN MARICHIWEU CASA 494</t>
  </si>
  <si>
    <t>/33.237323, /70.817473</t>
  </si>
  <si>
    <t>CAMINO INTERIOR SITIO 7</t>
  </si>
  <si>
    <t>/33.240294, /70.817064</t>
  </si>
  <si>
    <t>VILLORRIO HUINGA 2949 CAMINO INTERIOR ( LORENZO CAMUS 2949)</t>
  </si>
  <si>
    <t>/33.627310, /70.547569</t>
  </si>
  <si>
    <t>ORILLA DEL RIO 14/2A2 LOTE 2 ,EL PRINCIPAL</t>
  </si>
  <si>
    <t>/33.711968, /70.530762</t>
  </si>
  <si>
    <t>ORILLA DEL RIO PARC 14 /2A LOTE 2 EL PRINCIPAL</t>
  </si>
  <si>
    <t>PASAJE ISLA DE PASCUA 387 , BAQUEDANO III</t>
  </si>
  <si>
    <t>/33.806223, /70.736178</t>
  </si>
  <si>
    <t>AVENIDA SOL DE SEPTIEMBRE S/N CA 515</t>
  </si>
  <si>
    <t>/33.306336, /70.861177</t>
  </si>
  <si>
    <t>AV BERNARDO OHIGGINS 1711</t>
  </si>
  <si>
    <t>/33.666702, /70.935907</t>
  </si>
  <si>
    <t>CAMINO LAS CALABERAS S/N SITIO 9 , SAN FRANCISCO</t>
  </si>
  <si>
    <t>/33.037982, /70.711517</t>
  </si>
  <si>
    <t>PASAJE UNO ST 17 PA 1 S/N</t>
  </si>
  <si>
    <t>/33.629443, /70.766208</t>
  </si>
  <si>
    <t>SANTA MARTA DE LIRAY S/N MZN 13 CA 8</t>
  </si>
  <si>
    <t>/33.236782, /70.744438</t>
  </si>
  <si>
    <t>BAJOS DE MATTE 761</t>
  </si>
  <si>
    <t>/33.720551, /70.741188</t>
  </si>
  <si>
    <t>PASAJE CARLOS ANFRUNS PEQALOZA 614</t>
  </si>
  <si>
    <t>/33.684770, /71.199411</t>
  </si>
  <si>
    <t>CAMINO EL VOLCAN 1150</t>
  </si>
  <si>
    <t>/33.587919, /70.480971</t>
  </si>
  <si>
    <t>LA ESPERANZA LOT F S/N</t>
  </si>
  <si>
    <t>/33.654077, /70.543972</t>
  </si>
  <si>
    <t>GUAYACAN 1665 , (CAMINO AL VOLCAN 17681)</t>
  </si>
  <si>
    <t>/33.621197, /70.349632</t>
  </si>
  <si>
    <t>CARDENAL DEL PUEBLO 577 CARDENAL RAIL SILVA HENRIQUEZ</t>
  </si>
  <si>
    <t>/33.750710, /70.744930</t>
  </si>
  <si>
    <t>ADELAIDA MEMDOZA SERRANO 828 , VILLA EL AÑTO ETAPA A SECTOR ORIENTE</t>
  </si>
  <si>
    <t>/33.687425, /71.193720</t>
  </si>
  <si>
    <t>RUMAY 1324</t>
  </si>
  <si>
    <t>/33.631947, /71.219398</t>
  </si>
  <si>
    <t>/33.631841, /71.219342</t>
  </si>
  <si>
    <t>CAMPAMENTO SOL DE SEPTIEMBRE 521</t>
  </si>
  <si>
    <t>/33.306590, /70.861349</t>
  </si>
  <si>
    <t>LAS CHIRCAS 259</t>
  </si>
  <si>
    <t>/33.681939, /70.936818</t>
  </si>
  <si>
    <t>SANTA TERESA 1 LOTE A HUALQUEN STA TERESA PARCELA</t>
  </si>
  <si>
    <t>/33.836225, /70.642924</t>
  </si>
  <si>
    <t>Psje Juan allende donoso 466</t>
  </si>
  <si>
    <t>El recurso 25</t>
  </si>
  <si>
    <t>/33.691882, /70.702035</t>
  </si>
  <si>
    <t>Calle el bosque 1025 la trilla</t>
  </si>
  <si>
    <t>Alejandro ramirez olea298</t>
  </si>
  <si>
    <t>/33.288254, /70.885418</t>
  </si>
  <si>
    <t>/33.287873, /70.885565</t>
  </si>
  <si>
    <t>EL LINGUE 7931 VILLORRIO EL OLIVAR</t>
  </si>
  <si>
    <t>/33.707311, /70.555443</t>
  </si>
  <si>
    <t>AMANDA BRICEÑO SOLOHAGA 131</t>
  </si>
  <si>
    <t>AV.IGNACIO CARRERA PINTO 14441 /65</t>
  </si>
  <si>
    <t>/33.218334, /70.678373</t>
  </si>
  <si>
    <t>/33.215095, /70.733483</t>
  </si>
  <si>
    <t>LOS PASTOS 97</t>
  </si>
  <si>
    <t>/33.215129, /70.733091</t>
  </si>
  <si>
    <t>NUEVO PORVENIR S/N PARC 14/A1</t>
  </si>
  <si>
    <t>/33.283480, /70.833130</t>
  </si>
  <si>
    <t>30/09/2024</t>
  </si>
  <si>
    <t>MANUEL DE SALAS 2139</t>
  </si>
  <si>
    <t>/33.392886, /71.123396</t>
  </si>
  <si>
    <t>CO AGUILA SUR S/ N</t>
  </si>
  <si>
    <t>/33.906809, /70.742938</t>
  </si>
  <si>
    <t>LOS AGUILUCHOS 794 PARCELACION BRILLO DEL SOL PC 17 LOTE 3</t>
  </si>
  <si>
    <t>/33.676579, /70.926258</t>
  </si>
  <si>
    <t>/33.283498, /70.833146</t>
  </si>
  <si>
    <t>AV PDTE KENNEDY 1190 CASA 3, BUIN</t>
  </si>
  <si>
    <t>/33.743529, /70.744280</t>
  </si>
  <si>
    <t>SAN MARTIRIAN 763</t>
  </si>
  <si>
    <t>/33.785263, /70.887176</t>
  </si>
  <si>
    <t>Los Montes 520</t>
  </si>
  <si>
    <t>/33.161565, /70.787186</t>
  </si>
  <si>
    <t>HUGO EDUARDO ASTORGA MACIAS 0229</t>
  </si>
  <si>
    <t>/33.710873, /70.747664</t>
  </si>
  <si>
    <t>DIRECTORA SARA RODRÍGUEZ 532</t>
  </si>
  <si>
    <t>/33.743780, /70.870964</t>
  </si>
  <si>
    <t>Las turbinas parcela 42</t>
  </si>
  <si>
    <t>/33.363041, /70.819719</t>
  </si>
  <si>
    <t>PASAJE HECTOR MOLINA PAREDES 2346, LOS PORTALES DE BUIN</t>
  </si>
  <si>
    <t>/33.710683, /70.748385</t>
  </si>
  <si>
    <t>PASAJE JUAN PARRA SAAVEDRA 2347</t>
  </si>
  <si>
    <t>/33.710175, /70.746961</t>
  </si>
  <si>
    <t>Santa Carolina s/n lote  2 i</t>
  </si>
  <si>
    <t>/33.213666, /70.798399</t>
  </si>
  <si>
    <t>SANTA CAROLINA S/N  LOTE 2 i</t>
  </si>
  <si>
    <t>/33.213679, /70.798458</t>
  </si>
  <si>
    <t>CO VECINAL S/N SAN PEDRO</t>
  </si>
  <si>
    <t>/33.864321, /71.486235</t>
  </si>
  <si>
    <t>ÁGUILA NORTE SITIO 8</t>
  </si>
  <si>
    <t>/33.875043, /70.756277</t>
  </si>
  <si>
    <t>LUDWIN VAN BEETHOVEN 0885</t>
  </si>
  <si>
    <t>/33.682358, /71.195333</t>
  </si>
  <si>
    <t>HUGO ASTORGA MACIAS 133</t>
  </si>
  <si>
    <t>/33.710493, /70.746272</t>
  </si>
  <si>
    <t>PASAJE SAN JUAN 67739</t>
  </si>
  <si>
    <t>/33.803885, /70.758037</t>
  </si>
  <si>
    <t>EL PRINCIPAL PARCELA 34MZ A SECTOR 1 RESERVA CORA 4 PIRQUE</t>
  </si>
  <si>
    <t>ASENT LO VARGAS P/1 LAMPA</t>
  </si>
  <si>
    <t>EL PRINCIPAL S/NSECTOE EL PRINCIPAL RESERVA CORA N*4MZ</t>
  </si>
  <si>
    <t>COSTANERA 236 LAMPA</t>
  </si>
  <si>
    <t>CHILE S/N HIJ 16 Y 17 PAR 34 LAMPA</t>
  </si>
  <si>
    <t>Camino servidumbre parcela 19</t>
  </si>
  <si>
    <t>/33.295744, /70.887259</t>
  </si>
  <si>
    <t>Campamento 25 de noviembre casa 62 62</t>
  </si>
  <si>
    <t>/33.295707, /70.887322</t>
  </si>
  <si>
    <t>EXEQUIEL MORAGA 201</t>
  </si>
  <si>
    <t>/33.207187, /70.672902</t>
  </si>
  <si>
    <t>FRESIA 077</t>
  </si>
  <si>
    <t>/33.206200, /70.682147</t>
  </si>
  <si>
    <t>MARIA PINTO EL BOSQUE S/N</t>
  </si>
  <si>
    <t>/33.503665, /71.154309</t>
  </si>
  <si>
    <t>CERRO EL COPADO 1839</t>
  </si>
  <si>
    <t>/33.314857, /70.762858</t>
  </si>
  <si>
    <t>AV. EL PARQUE 1143</t>
  </si>
  <si>
    <t>/33.303773, /70.740682</t>
  </si>
  <si>
    <t>MARIA PINTO CALLE LAS PARCELAS 19</t>
  </si>
  <si>
    <t>/33.495160, /71.159113</t>
  </si>
  <si>
    <t>BUIN SIN CALLE , SECTOR CAMPUSANO</t>
  </si>
  <si>
    <t>/33.801838, /70.826681</t>
  </si>
  <si>
    <t>LIMITE URBANO 441</t>
  </si>
  <si>
    <t>/33.717754, /70.744199</t>
  </si>
  <si>
    <t>SAN MARTIRIAN 553 ISLA DE MAIPO</t>
  </si>
  <si>
    <t>/33.785654, /70.889879</t>
  </si>
  <si>
    <t>Gabriel Mistral 28 villa los poetas</t>
  </si>
  <si>
    <t>/33.803767, /70.729861</t>
  </si>
  <si>
    <t>FRANCISCO LAS CORVALAN 461</t>
  </si>
  <si>
    <t>/33.612324, /70.863345</t>
  </si>
  <si>
    <t>LA MANGA N 5</t>
  </si>
  <si>
    <t>/33.944769, /71.561233</t>
  </si>
  <si>
    <t>VILLA ALEGRA S/N</t>
  </si>
  <si>
    <t>/33.628140, /71.261510</t>
  </si>
  <si>
    <t>CERRO SAN JUAN 2010</t>
  </si>
  <si>
    <t>/33.722881, /70.548246</t>
  </si>
  <si>
    <t>Barros luco 1710</t>
  </si>
  <si>
    <t>/33.281145, /70.876063</t>
  </si>
  <si>
    <t>CAMINO LAMPA BARROS LUCO 1710</t>
  </si>
  <si>
    <t>/33.280232, /70.866808</t>
  </si>
  <si>
    <t>Camino servidumbre s/n parc B lote 26</t>
  </si>
  <si>
    <t>/33.273309, /70.838195</t>
  </si>
  <si>
    <t>CAMINO SERVIDUMBRE s n PARCELA B LOTE 26</t>
  </si>
  <si>
    <t>/33.244621, /70.821472</t>
  </si>
  <si>
    <t>Isabel riquelme 1020</t>
  </si>
  <si>
    <t>/33.289377, /70.886470</t>
  </si>
  <si>
    <t>5 oriente 125</t>
  </si>
  <si>
    <t>/33.129532, /70.797401</t>
  </si>
  <si>
    <t>5 oriente</t>
  </si>
  <si>
    <t>/33.129554, /70.797358</t>
  </si>
  <si>
    <t>AV.GENERAL BAQUEDANO 4440</t>
  </si>
  <si>
    <t>Linderos Del cerrillo 22/37</t>
  </si>
  <si>
    <t>/33.772705, /70.700099</t>
  </si>
  <si>
    <t>CAMINO PADRE HURTADO PARCEL 47</t>
  </si>
  <si>
    <t>DARIO HUMBERTO JUZMAN LOPEZ 884</t>
  </si>
  <si>
    <t>/33.740345, /70.746450</t>
  </si>
  <si>
    <t>/33.740356, /70.746461</t>
  </si>
  <si>
    <t>Campusano 3950 parc 32</t>
  </si>
  <si>
    <t>/33.791773, /70.821262</t>
  </si>
  <si>
    <t>Luis BAHAMONDES</t>
  </si>
  <si>
    <t>/33.288366, /70.884705</t>
  </si>
  <si>
    <t>IGNACIO SERRANO 1276</t>
  </si>
  <si>
    <t>/33.290141, /70.878130</t>
  </si>
  <si>
    <t>/33.229533, /70.802046</t>
  </si>
  <si>
    <t>SANTA CAROLINA S/N</t>
  </si>
  <si>
    <t>/33.221858, /70.790940</t>
  </si>
  <si>
    <t>TRICOLOR DE PAINE 410</t>
  </si>
  <si>
    <t>/33.802382, /70.739071</t>
  </si>
  <si>
    <t>RUTA G74 F S/N SECTOR BOLLENAR MELIPILLA</t>
  </si>
  <si>
    <t>/33.551631, /71.211024</t>
  </si>
  <si>
    <t>PA UNO 20</t>
  </si>
  <si>
    <t>/33.412349, /71.152740</t>
  </si>
  <si>
    <t>Av Primera transversal 2593</t>
  </si>
  <si>
    <t>/33.576156, /70.812598</t>
  </si>
  <si>
    <t>PSJ RUPERTO VILLAVICENCIO 184</t>
  </si>
  <si>
    <t>/33.286740, /70.884973</t>
  </si>
  <si>
    <t>PSJ PARROCO FRANCISCO BELMAR 768</t>
  </si>
  <si>
    <t>/33.284406, /70.881300</t>
  </si>
  <si>
    <t>5 de abril s/n ALHUE</t>
  </si>
  <si>
    <t>/34.032330, /71.091060</t>
  </si>
  <si>
    <t>CANCHA RAYADA S/N ALHUE</t>
  </si>
  <si>
    <t>/34.032081, /71.091278</t>
  </si>
  <si>
    <t>Ruta g74 fundo san juaquin,Melipilla</t>
  </si>
  <si>
    <t>/33.551636, /71.211008</t>
  </si>
  <si>
    <t>Sector santa rosa s/n ,Chocalan , Melipilla</t>
  </si>
  <si>
    <t>/33.721296, /71.209883</t>
  </si>
  <si>
    <t>5 DE ABRIL S/N ALHUE</t>
  </si>
  <si>
    <t>/34.032331, /71.091059</t>
  </si>
  <si>
    <t>CHORRILLOS 475 ALHUE</t>
  </si>
  <si>
    <t>/34.037042, /71.093562</t>
  </si>
  <si>
    <t>MALLA ARAUCARIAS SANTA TERESA</t>
  </si>
  <si>
    <t>/33.580346, /71.034719</t>
  </si>
  <si>
    <t>Víctor vera Letelier 2566y</t>
  </si>
  <si>
    <t>/33.752431, /70.738090</t>
  </si>
  <si>
    <t>LAS VERTIENTES 252</t>
  </si>
  <si>
    <t>/33.613254, /70.873433</t>
  </si>
  <si>
    <t>Miguel letelier</t>
  </si>
  <si>
    <t>/33.874487, /70.876473</t>
  </si>
  <si>
    <t>COA MELIPILLA S/N KM/43 /</t>
  </si>
  <si>
    <t>/33.687649, /70.973785</t>
  </si>
  <si>
    <t>Manuel 6 sitio 6</t>
  </si>
  <si>
    <t>/33.855649, /70.778628</t>
  </si>
  <si>
    <t>LOS FLAMENCOS 708</t>
  </si>
  <si>
    <t>/33.600578, /70.857136</t>
  </si>
  <si>
    <t>Dario parezca 124</t>
  </si>
  <si>
    <t>/33.854992, /70.752066</t>
  </si>
  <si>
    <t>Sector culipran par 77/B</t>
  </si>
  <si>
    <t>/33.809859, /71.208803</t>
  </si>
  <si>
    <t>Colonia Kennedy parcela 8</t>
  </si>
  <si>
    <t>/33.850915, /70.754796</t>
  </si>
  <si>
    <t>Silva chavez 862</t>
  </si>
  <si>
    <t>/33.690533, /71.216956</t>
  </si>
  <si>
    <t>Libertadores 896B</t>
  </si>
  <si>
    <t>/33.684112, /71.007627</t>
  </si>
  <si>
    <t>Del villar 375</t>
  </si>
  <si>
    <t>/33.808717, /70.730810</t>
  </si>
  <si>
    <t>MANUEL RODRIGUEZ 135</t>
  </si>
  <si>
    <t>CAMINO CENTRAL LABBE 14 SIRIO B1 S/N 0</t>
  </si>
  <si>
    <t>RINCON DE LOS PERALES 83</t>
  </si>
  <si>
    <t>TRIUNFO DE CHILE 23 SITIO 13 EL TRIUNFO DE CHILE LOTE SIT 13</t>
  </si>
  <si>
    <t>EL NARANJO PARC. 12</t>
  </si>
  <si>
    <t>/33.375660, /71.098812</t>
  </si>
  <si>
    <t>LOS ESPINOS S/N MZN 71</t>
  </si>
  <si>
    <t>/33.297929, /70.883910</t>
  </si>
  <si>
    <t>SIMON BOLIVAR M57 ST 28</t>
  </si>
  <si>
    <t>/33.274549, /70.875974</t>
  </si>
  <si>
    <t>TENIENTE BERNARDO ESCOBAR 201 LT F/3</t>
  </si>
  <si>
    <t>/33.405800, /71.133963</t>
  </si>
  <si>
    <t>CUYUNCAVI 580</t>
  </si>
  <si>
    <t>/33.397277, /71.124654</t>
  </si>
  <si>
    <t>/33.380005, /71.164749</t>
  </si>
  <si>
    <t>ACCESO INTERIOR LOTE 7 PARC 11 A S/N 0/LAMPA</t>
  </si>
  <si>
    <t>/33.239776, /70.817403</t>
  </si>
  <si>
    <t>FIGUEROA S/N HIJ 4 PAR 37 /LAMPA</t>
  </si>
  <si>
    <t>/33.232696, /70.808319</t>
  </si>
  <si>
    <t>ACEVEDO S/N HIJ 40 PAR 31/ LAMPA</t>
  </si>
  <si>
    <t>/33.231251, /70.808601</t>
  </si>
  <si>
    <t>SAN JOSE DE MAIPO, CO AL VOLCAN 11001</t>
  </si>
  <si>
    <t>/33.584965, /70.395217</t>
  </si>
  <si>
    <t>JOAQUIN UNDURRAGA ST 17 VIVIENDA 3</t>
  </si>
  <si>
    <t>/33.259217, /70.881300</t>
  </si>
  <si>
    <t>PSJ R/RUPERTO VILLAVICENCIO 184</t>
  </si>
  <si>
    <t>/33.286749, /70.884972</t>
  </si>
  <si>
    <t>/33.779004, /71.249866</t>
  </si>
  <si>
    <t>Quilapilum lote 10</t>
  </si>
  <si>
    <t>/33.530208, /70.660704</t>
  </si>
  <si>
    <t>Bonilla 513</t>
  </si>
  <si>
    <t>/33.530232, /70.660730</t>
  </si>
  <si>
    <t>CA El Muelle S/N PC 12A</t>
  </si>
  <si>
    <t>/33.594061, /70.884222</t>
  </si>
  <si>
    <t>Países Bajos 215</t>
  </si>
  <si>
    <t>/33.675720, /71.180322</t>
  </si>
  <si>
    <t>UNION CHILENA LOTE 8 PARC 15 SITIO 5</t>
  </si>
  <si>
    <t>/33.442981, /71.038957</t>
  </si>
  <si>
    <t>UNION CHILENA LOTE 8 PARCELA 15 SITIO 5</t>
  </si>
  <si>
    <t>/33.442876, /71.038869</t>
  </si>
  <si>
    <t>Carbenet 1539</t>
  </si>
  <si>
    <t>/33.572276, /70.795392</t>
  </si>
  <si>
    <t>UNIÓN NORTE PCA 27A LOTE 8 COLONIA KENNEDY PAINE</t>
  </si>
  <si>
    <t>/33.850983, /70.745443</t>
  </si>
  <si>
    <t>UNIÓN NORTE PARC 27_A  PAINE</t>
  </si>
  <si>
    <t>/33.494168, /70.668815</t>
  </si>
  <si>
    <t>CO PADRE HURTADO S/N PARCELA 4</t>
  </si>
  <si>
    <t>/33.891485, /70.644716</t>
  </si>
  <si>
    <t>DIEGO DE PRADO 1326</t>
  </si>
  <si>
    <t>/33.406675, /71.136082</t>
  </si>
  <si>
    <t>LONGOVILO S/N SECTOR LOS CULENES SAN PEDRO</t>
  </si>
  <si>
    <t>/33.902259, /71.406569</t>
  </si>
  <si>
    <t>RUTA G 150 CENTRAL LO VARGAS SITIO 8 VIV2</t>
  </si>
  <si>
    <t>/33.280205, /70.855858</t>
  </si>
  <si>
    <t>BALMACEDA S/N ISLA DE MAIPO</t>
  </si>
  <si>
    <t>/33.788692, /71.283456</t>
  </si>
  <si>
    <t>CAMINO INTERIOR HACIENDA LAMPA BIEN COMÚN ESPECIAL 5 S/T/5</t>
  </si>
  <si>
    <t>/33.286353, /70.840127</t>
  </si>
  <si>
    <t>CAMINO INTERIOR HACIENDA LAMPA BIEN COMÚN ESPECIAL 5 S T/5</t>
  </si>
  <si>
    <t>/33.286303, /70.840047</t>
  </si>
  <si>
    <t>Parc.el manzanillo 7 abrantes</t>
  </si>
  <si>
    <t>/33.867052, /70.843149</t>
  </si>
  <si>
    <t>SECTOR LUMBRERAS DE PUANGUE 681</t>
  </si>
  <si>
    <t>/33.654937, /71.292108</t>
  </si>
  <si>
    <t>Jose joaquin perez 869</t>
  </si>
  <si>
    <t>/33.718752, /70.743693</t>
  </si>
  <si>
    <t>Sector culipran</t>
  </si>
  <si>
    <t>PA QUINCE 15 EL SOLAR DE BUIN PA 15</t>
  </si>
  <si>
    <t>/33.722458, /70.736590</t>
  </si>
  <si>
    <t>La rinconada 5 huelquen</t>
  </si>
  <si>
    <t>/33.829161, /70.640891</t>
  </si>
  <si>
    <t>San Antonio  parcela 53</t>
  </si>
  <si>
    <t>/33.725756, /70.986151</t>
  </si>
  <si>
    <t>CO BUIN MAIPO CASA 35 LOTE 5 A 1C</t>
  </si>
  <si>
    <t>/33.732413, /70.765855</t>
  </si>
  <si>
    <t>PEDRO AGUIRRE CERDA 137 EX 52 V DE PAINE</t>
  </si>
  <si>
    <t>/33.811168, /70.858428</t>
  </si>
  <si>
    <t>Knaut 556</t>
  </si>
  <si>
    <t>/33.723216, /70.773577</t>
  </si>
  <si>
    <t>Chardonnay 24</t>
  </si>
  <si>
    <t>/33.739581, /70.680783</t>
  </si>
  <si>
    <t>Las camelias 5</t>
  </si>
  <si>
    <t>/33.844384, /70.760200</t>
  </si>
  <si>
    <t>R molina 718</t>
  </si>
  <si>
    <t>/33.734268, /70.787015</t>
  </si>
  <si>
    <t>Los Carneros s/n</t>
  </si>
  <si>
    <t>/34.043915, /71.220065</t>
  </si>
  <si>
    <t>QUILAPILUM ALTO LOTE2</t>
  </si>
  <si>
    <t>/33.530237, /70.660738</t>
  </si>
  <si>
    <t>/33.630243, /70.766275</t>
  </si>
  <si>
    <t>El gomero 0477</t>
  </si>
  <si>
    <t>/33.606314, /70.859445</t>
  </si>
  <si>
    <t>Hijuela 44</t>
  </si>
  <si>
    <t>/33.036795, /70.880601</t>
  </si>
  <si>
    <t>PJE CARACARAS 459 ..MELIPILLA</t>
  </si>
  <si>
    <t>/33.685106, /71.225216</t>
  </si>
  <si>
    <t>Buin, García 501</t>
  </si>
  <si>
    <t>/33.725887, /70.770419</t>
  </si>
  <si>
    <t>Chillan 1309</t>
  </si>
  <si>
    <t>/33.607472, /70.871898</t>
  </si>
  <si>
    <t>San Ignacio sitio 28</t>
  </si>
  <si>
    <t>/33.604877, /70.793574</t>
  </si>
  <si>
    <t>El aguilucho 2178</t>
  </si>
  <si>
    <t>/33.735147, /70.960067</t>
  </si>
  <si>
    <t>Manuel Rodriguez 21</t>
  </si>
  <si>
    <t>/33.651348, /70.929999</t>
  </si>
  <si>
    <t>Segunda avenida</t>
  </si>
  <si>
    <t>/33.565669, /70.791181</t>
  </si>
  <si>
    <t>Pajarito 96</t>
  </si>
  <si>
    <t>/33.597585, /70.847983</t>
  </si>
  <si>
    <t>MERCED 1225</t>
  </si>
  <si>
    <t>/33.684392, /71.224566</t>
  </si>
  <si>
    <t>Camino buin maipo 2852</t>
  </si>
  <si>
    <t>/33.732661, /70.772457</t>
  </si>
  <si>
    <t>/33.732620, /70.772467</t>
  </si>
  <si>
    <t>Camino viejo sitio 2 mandinga Melipilla</t>
  </si>
  <si>
    <t>/33.790678, /71.286070</t>
  </si>
  <si>
    <t>Cam. a Valdivia de Paine 2250, Buin, Región Metropolitana, Chile</t>
  </si>
  <si>
    <t>/33.773058, /70.825069</t>
  </si>
  <si>
    <t>/33.773105, /70.825071</t>
  </si>
  <si>
    <t>FECHA DE EJECUCIÓN</t>
  </si>
  <si>
    <t>CO LOS CORRALEROS S/N</t>
  </si>
  <si>
    <t>-33.723988, -70.556664</t>
  </si>
  <si>
    <t>EL PANGAL PARC 55</t>
  </si>
  <si>
    <t>-33.384470, -71.142278</t>
  </si>
  <si>
    <t>Pasaje rio cisnes 132</t>
  </si>
  <si>
    <t>-33.804676, -70.728160</t>
  </si>
  <si>
    <t>SIN CALLE S/N PARC LAS CAMELIAS 5 CHAMPA LT 27</t>
  </si>
  <si>
    <t>-33.844243, -70.760165</t>
  </si>
  <si>
    <t>LA ESTRELLA 6 HUELQUEN LA ESTRELLA SITIO</t>
  </si>
  <si>
    <t>Pasaje saulo</t>
  </si>
  <si>
    <t>-33.816052, -70.739905</t>
  </si>
  <si>
    <t>-33.816049, -70.739897</t>
  </si>
  <si>
    <t>-33.824312, -70.645679</t>
  </si>
  <si>
    <t>UNION CHILENA S-3 S/N POSTE 284195</t>
  </si>
  <si>
    <t>-33.444948, -71.027920</t>
  </si>
  <si>
    <t>LA ESTRELLA SITIO 6 HUELQUEN  PAINE</t>
  </si>
  <si>
    <t>-33.824205, -70.645733</t>
  </si>
  <si>
    <t>MARIA PINTO SANTA EMILIA SN</t>
  </si>
  <si>
    <t>-33.471488, -71.104947</t>
  </si>
  <si>
    <t>MARIA PINTO SANTA EMILIA S/N</t>
  </si>
  <si>
    <t>-33.471554, -71.105297</t>
  </si>
  <si>
    <t>CAMINO PADRE HURTADO LA VEGA HUELQUEN ST 9</t>
  </si>
  <si>
    <t>-33.820105, -70.648050</t>
  </si>
  <si>
    <t>LUIS LEIVA PACHECO 1097</t>
  </si>
  <si>
    <t>-33.730981, -70.722074</t>
  </si>
  <si>
    <t>Av. Viluco 4198 Buin</t>
  </si>
  <si>
    <t>JUAN DE DIOS MARTICORENA S/N LOT D MZN 15</t>
  </si>
  <si>
    <t>-33.528404, -70.588593</t>
  </si>
  <si>
    <t>PJE MAITEN  Parcela 4s</t>
  </si>
  <si>
    <t>-33.530215, -70.660756</t>
  </si>
  <si>
    <t>PJE MAITEN PARCELA 4S</t>
  </si>
  <si>
    <t>-33.530293, -70.660892</t>
  </si>
  <si>
    <t>LAS ROSAS 019</t>
  </si>
  <si>
    <t>-33.530042, -70.660837</t>
  </si>
  <si>
    <t>PJE SILICE 1981</t>
  </si>
  <si>
    <t>-33.530208, -70.660716</t>
  </si>
  <si>
    <t>-33.530222, -70.660729</t>
  </si>
  <si>
    <t>PA LOS CLAVELES 2447</t>
  </si>
  <si>
    <t>-33.562989, -70.821878</t>
  </si>
  <si>
    <t>Tres oriente 341</t>
  </si>
  <si>
    <t>-33.139976, -70.795846</t>
  </si>
  <si>
    <t>ALFARERA TERESA CASTRO BARRALES SUR 296</t>
  </si>
  <si>
    <t>-33.598264, -70.850685</t>
  </si>
  <si>
    <t>PRESIDENTE BALMACEDA 45</t>
  </si>
  <si>
    <t>-33.408919, -71.147778</t>
  </si>
  <si>
    <t>Peralillo sn</t>
  </si>
  <si>
    <t>-33.841775, -70.853261</t>
  </si>
  <si>
    <t>PA MARIA GONZALEZ CAMPOS 514 LOS PUENTES DE BUIN</t>
  </si>
  <si>
    <t>-33.718696, -70.744638</t>
  </si>
  <si>
    <t>Calle Padre Gustavo LE Paige</t>
  </si>
  <si>
    <t>-33.576737, -70.829639</t>
  </si>
  <si>
    <t>Campo lindo parcela 43</t>
  </si>
  <si>
    <t>-33.414489, -71.094853</t>
  </si>
  <si>
    <t>Co la aurora s/n crt</t>
  </si>
  <si>
    <t>-33.416285, -71.006190</t>
  </si>
  <si>
    <t>Luis cruchaga 536</t>
  </si>
  <si>
    <t>-33.399067, -71.126327</t>
  </si>
  <si>
    <t>Luis Cruchaga 436</t>
  </si>
  <si>
    <t>-33.398928, -71.126033</t>
  </si>
  <si>
    <t>FIGUEROA  M41 SITIO 8</t>
  </si>
  <si>
    <t>-33.235750, -70.806325</t>
  </si>
  <si>
    <t>PA MIGUEL FERNANDEZ 502</t>
  </si>
  <si>
    <t>-33.417823, -70.656348</t>
  </si>
  <si>
    <t>SAN LUIS 927A</t>
  </si>
  <si>
    <t>-33.739237, -70.916206</t>
  </si>
  <si>
    <t>SAN IGNACIO 172</t>
  </si>
  <si>
    <t>-33.585911, -70.811393</t>
  </si>
  <si>
    <t>LOTEO SAN LUIS P-18 S/N POSTE 566125</t>
  </si>
  <si>
    <t>-33.633401, -70.822399</t>
  </si>
  <si>
    <t>COLONIA ALEMANA 19 EX FUNDO SANTA ADRIANA</t>
  </si>
  <si>
    <t>-33.640709, -70.893989</t>
  </si>
  <si>
    <t>El castaño parcela 127</t>
  </si>
  <si>
    <t>-33.866774, -70.909010</t>
  </si>
  <si>
    <t>CO EL SAUCE S/N</t>
  </si>
  <si>
    <t>-33.643858, -70.793925</t>
  </si>
  <si>
    <t>Loteo San Luis parcela 18. Calera de tango</t>
  </si>
  <si>
    <t>-33.633411, -70.822475</t>
  </si>
  <si>
    <t>San Vicente 15A</t>
  </si>
  <si>
    <t>-33.684283, -70.617138</t>
  </si>
  <si>
    <t>-33.868701, -70.912139</t>
  </si>
  <si>
    <t>-33.640713, -70.893988</t>
  </si>
  <si>
    <t>Casa nueva 39</t>
  </si>
  <si>
    <t>-33.708886, -70.558651</t>
  </si>
  <si>
    <t>MEDIA LUNA 843 VALD DE PAINE</t>
  </si>
  <si>
    <t>-33.809846, -70.857834</t>
  </si>
  <si>
    <t>PA SANTA JULIA 212</t>
  </si>
  <si>
    <t>-33.745887, -70.867138</t>
  </si>
  <si>
    <t>Parcela el castaño 127</t>
  </si>
  <si>
    <t>-33.866775, -70.909015</t>
  </si>
  <si>
    <t>Los libertadores 233</t>
  </si>
  <si>
    <t>-33.678682, -70.978723</t>
  </si>
  <si>
    <t>LA PATAGUILLA S/N SITIO 47 LOTE 3A</t>
  </si>
  <si>
    <t>-33.499411, -70.997071</t>
  </si>
  <si>
    <t>LOS LIBERTADORES 233</t>
  </si>
  <si>
    <t>-33.678831, -70.978620</t>
  </si>
  <si>
    <t>LOS INGLESES SITIO 50 S/N</t>
  </si>
  <si>
    <t>-33.254443, -70.678108</t>
  </si>
  <si>
    <t>Maipo 1146</t>
  </si>
  <si>
    <t>-33.693562, -71.225265</t>
  </si>
  <si>
    <t>Estero Chacabuco 1661</t>
  </si>
  <si>
    <t>-33.581929, -70.805751</t>
  </si>
  <si>
    <t>Hiticalan sitio 19</t>
  </si>
  <si>
    <t>-33.864697, -70.853380</t>
  </si>
  <si>
    <t>BENJAMIN MOLINA RAMOS 1276 V DE PAINE</t>
  </si>
  <si>
    <t>-33.813526, -70.857165</t>
  </si>
  <si>
    <t>BUIN , SIN CALLE SITIO 28. BUIN</t>
  </si>
  <si>
    <t>-33.799836, -70.772571</t>
  </si>
  <si>
    <t>BUIN , SIN CALLE SITIO 28. BUIN..</t>
  </si>
  <si>
    <t>-33.799929, -70.772522</t>
  </si>
  <si>
    <t>BUIN SIN CALLE SITIO 28 ..</t>
  </si>
  <si>
    <t>-33.799842, -70.772577</t>
  </si>
  <si>
    <t>LEOPOLDO CASTERO 1865</t>
  </si>
  <si>
    <t>-33.825107, -70.731281</t>
  </si>
  <si>
    <t>-33.844501, -70.760261</t>
  </si>
  <si>
    <t>BALMACEDA311-LAMPA</t>
  </si>
  <si>
    <t>BALMACEDA 311-LAMPA</t>
  </si>
  <si>
    <t>CAMINO INTERIOR S/N MZN 9</t>
  </si>
  <si>
    <t>-33.276001, -70.863846</t>
  </si>
  <si>
    <t xml:space="preserve">FECHA DE EJECUCIÓN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</si>
</sst>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m/yyyy"/>
    <numFmt numFmtId="165" formatCode="d/m/yyyy"/>
    <numFmt numFmtId="168" formatCode="d&quot; DE &quot;mmmm\ yy"/>
    <numFmt numFmtId="169" formatCode="dd\-mm\-yyyy"/>
    <numFmt numFmtId="170" formatCode="d&quot; DE &quot;mmmm\ yyyy"/>
    <numFmt numFmtId="171" formatCode="d&quot; DE &quot;mmmm"/>
  </numFmts>
  <fonts count="21">
    <font>
      <sz val="11"/>
      <color theme="1"/>
      <name val="Aptos Narrow"/>
      <family val="2"/>
      <scheme val="minor"/>
    </font>
    <font>
      <b/>
      <sz val="10"/>
      <color rgb="FFFFFFFF"/>
      <name val="Montserrat"/>
    </font>
    <font>
      <b/>
      <sz val="10"/>
      <color theme="0"/>
      <name val="Montserrat"/>
    </font>
    <font>
      <sz val="10"/>
      <color theme="1"/>
      <name val="Aptos Narrow"/>
      <family val="2"/>
      <scheme val="minor"/>
    </font>
    <font>
      <sz val="9"/>
      <color theme="1"/>
      <name val="Calibri"/>
      <family val="2"/>
    </font>
    <font>
      <sz val="9"/>
      <color rgb="FF2C2C4D"/>
      <name val="Calibri"/>
      <family val="2"/>
    </font>
    <font>
      <sz val="9"/>
      <color rgb="FF000000"/>
      <name val="Calibri"/>
      <family val="2"/>
    </font>
    <font>
      <sz val="10"/>
      <color theme="1"/>
      <name val="Calibri"/>
      <family val="2"/>
    </font>
    <font>
      <sz val="11"/>
      <color theme="1"/>
      <name val="Calibri"/>
      <family val="2"/>
    </font>
    <font>
      <sz val="10"/>
      <color rgb="FF2C2C4D"/>
      <name val="Calibri"/>
      <family val="2"/>
    </font>
    <font>
      <sz val="10"/>
      <color rgb="FF000000"/>
      <name val="Calibri"/>
      <family val="2"/>
    </font>
    <font>
      <sz val="10"/>
      <color rgb="FF2C2C4D"/>
      <name val="Docs-Calibri"/>
    </font>
    <font>
      <sz val="10"/>
      <color rgb="FF2C2C4D"/>
      <name val="Verdana"/>
      <family val="2"/>
    </font>
    <font>
      <sz val="10"/>
      <color rgb="FF000000"/>
      <name val="Arial"/>
      <family val="2"/>
    </font>
    <font>
      <sz val="12"/>
      <color rgb="FF3C4043"/>
      <name val="Roboto"/>
    </font>
    <font>
      <sz val="10"/>
      <color rgb="FF3C4043"/>
      <name val="Roboto"/>
    </font>
    <font>
      <sz val="11"/>
      <color rgb="FF000000"/>
      <name val="Calibri"/>
      <family val="2"/>
    </font>
    <font>
      <sz val="9"/>
      <color rgb="FF1F1F1F"/>
      <name val="&quot;Google Sans&quot;"/>
    </font>
    <font>
      <b/>
      <sz val="11"/>
      <color theme="1"/>
      <name val="Calibri"/>
      <family val="2"/>
    </font>
    <font>
      <sz val="8"/>
      <color rgb="FF2C2C4D"/>
      <name val="Calibri"/>
      <family val="2"/>
    </font>
    <font>
      <sz val="10"/>
      <name val="Arial Narrow"/>
      <family val="2"/>
    </font>
  </fonts>
  <fills count="7">
    <fill>
      <patternFill patternType="none"/>
    </fill>
    <fill>
      <patternFill patternType="gray125"/>
    </fill>
    <fill>
      <patternFill patternType="solid">
        <fgColor rgb="FF6A00B1"/>
        <bgColor rgb="FF6A00B1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rgb="FFD9D2E9"/>
      </left>
      <right style="thin">
        <color rgb="FFD9D2E9"/>
      </right>
      <top/>
      <bottom style="thin">
        <color rgb="FFD9D2E9"/>
      </bottom>
      <diagonal/>
    </border>
    <border>
      <left style="thin">
        <color rgb="FFD9D2E9"/>
      </left>
      <right style="thin">
        <color rgb="FFD9D2E9"/>
      </right>
      <top style="thin">
        <color rgb="FFD9D2E9"/>
      </top>
      <bottom style="thin">
        <color rgb="FFD9D2E9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4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/>
    </xf>
    <xf numFmtId="49" fontId="4" fillId="0" borderId="0" xfId="0" applyNumberFormat="1" applyFont="1" applyAlignment="1">
      <alignment horizontal="left" vertical="center"/>
    </xf>
    <xf numFmtId="170" fontId="4" fillId="0" borderId="0" xfId="0" applyNumberFormat="1" applyFont="1" applyAlignment="1">
      <alignment horizontal="left" vertical="center"/>
    </xf>
    <xf numFmtId="171" fontId="4" fillId="0" borderId="0" xfId="0" applyNumberFormat="1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9" fillId="0" borderId="0" xfId="0" quotePrefix="1" applyFont="1" applyAlignment="1">
      <alignment horizontal="left" vertical="center"/>
    </xf>
    <xf numFmtId="165" fontId="9" fillId="0" borderId="0" xfId="0" applyNumberFormat="1" applyFont="1" applyAlignment="1">
      <alignment horizontal="left" vertical="center"/>
    </xf>
    <xf numFmtId="0" fontId="7" fillId="0" borderId="0" xfId="0" applyFont="1"/>
    <xf numFmtId="169" fontId="8" fillId="0" borderId="0" xfId="0" applyNumberFormat="1" applyFont="1" applyAlignment="1">
      <alignment horizontal="left"/>
    </xf>
    <xf numFmtId="0" fontId="7" fillId="0" borderId="0" xfId="0" quotePrefix="1" applyFont="1" applyAlignment="1">
      <alignment horizontal="left"/>
    </xf>
    <xf numFmtId="14" fontId="7" fillId="0" borderId="0" xfId="0" applyNumberFormat="1" applyFont="1" applyAlignment="1">
      <alignment horizontal="left"/>
    </xf>
    <xf numFmtId="16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1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14" fontId="7" fillId="5" borderId="0" xfId="0" applyNumberFormat="1" applyFont="1" applyFill="1" applyAlignment="1">
      <alignment horizontal="left"/>
    </xf>
    <xf numFmtId="0" fontId="11" fillId="3" borderId="0" xfId="0" applyFont="1" applyFill="1" applyAlignment="1">
      <alignment horizontal="left"/>
    </xf>
    <xf numFmtId="0" fontId="12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0" fontId="9" fillId="5" borderId="0" xfId="0" applyFont="1" applyFill="1" applyAlignment="1">
      <alignment horizontal="left"/>
    </xf>
    <xf numFmtId="0" fontId="14" fillId="3" borderId="0" xfId="0" applyFont="1" applyFill="1"/>
    <xf numFmtId="0" fontId="15" fillId="3" borderId="0" xfId="0" applyFont="1" applyFill="1" applyAlignment="1">
      <alignment horizontal="left"/>
    </xf>
    <xf numFmtId="0" fontId="15" fillId="3" borderId="0" xfId="0" applyFont="1" applyFill="1"/>
    <xf numFmtId="0" fontId="4" fillId="0" borderId="0" xfId="0" quotePrefix="1" applyFont="1" applyAlignment="1">
      <alignment horizontal="left" vertical="center"/>
    </xf>
    <xf numFmtId="0" fontId="10" fillId="0" borderId="0" xfId="0" applyFont="1"/>
    <xf numFmtId="0" fontId="17" fillId="3" borderId="0" xfId="0" applyFont="1" applyFill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6" fillId="0" borderId="0" xfId="0" applyFont="1"/>
    <xf numFmtId="14" fontId="9" fillId="0" borderId="0" xfId="0" applyNumberFormat="1" applyFont="1" applyAlignment="1">
      <alignment horizontal="right"/>
    </xf>
    <xf numFmtId="0" fontId="14" fillId="3" borderId="0" xfId="0" applyFont="1" applyFill="1" applyAlignment="1">
      <alignment horizontal="left"/>
    </xf>
    <xf numFmtId="171" fontId="9" fillId="0" borderId="0" xfId="0" applyNumberFormat="1" applyFont="1" applyAlignment="1">
      <alignment horizontal="left"/>
    </xf>
    <xf numFmtId="0" fontId="19" fillId="3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14" fontId="8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wrapText="1"/>
    </xf>
    <xf numFmtId="14" fontId="9" fillId="0" borderId="0" xfId="0" applyNumberFormat="1" applyFont="1" applyAlignment="1">
      <alignment horizontal="left"/>
    </xf>
    <xf numFmtId="14" fontId="9" fillId="0" borderId="0" xfId="0" applyNumberFormat="1" applyFont="1" applyAlignment="1">
      <alignment horizontal="left" vertical="center"/>
    </xf>
    <xf numFmtId="14" fontId="7" fillId="0" borderId="1" xfId="0" applyNumberFormat="1" applyFont="1" applyBorder="1" applyAlignment="1">
      <alignment horizontal="left"/>
    </xf>
    <xf numFmtId="14" fontId="7" fillId="0" borderId="0" xfId="0" applyNumberFormat="1" applyFont="1"/>
    <xf numFmtId="14" fontId="10" fillId="0" borderId="0" xfId="0" applyNumberFormat="1" applyFont="1" applyAlignment="1">
      <alignment horizontal="left" vertical="center"/>
    </xf>
    <xf numFmtId="14" fontId="13" fillId="0" borderId="2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4" fontId="9" fillId="6" borderId="0" xfId="0" applyNumberFormat="1" applyFont="1" applyFill="1" applyAlignment="1">
      <alignment horizontal="left" vertical="center"/>
    </xf>
    <xf numFmtId="14" fontId="10" fillId="0" borderId="0" xfId="0" applyNumberFormat="1" applyFont="1" applyAlignment="1">
      <alignment horizontal="right"/>
    </xf>
    <xf numFmtId="14" fontId="8" fillId="0" borderId="0" xfId="0" applyNumberFormat="1" applyFont="1" applyAlignment="1">
      <alignment horizontal="left"/>
    </xf>
    <xf numFmtId="14" fontId="9" fillId="3" borderId="0" xfId="0" applyNumberFormat="1" applyFont="1" applyFill="1" applyAlignment="1">
      <alignment horizontal="left"/>
    </xf>
    <xf numFmtId="14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4D087-523B-44D9-928C-998009F46E66}">
  <dimension ref="A1:D10764"/>
  <sheetViews>
    <sheetView workbookViewId="0">
      <selection sqref="A1:D1"/>
    </sheetView>
  </sheetViews>
  <sheetFormatPr baseColWidth="10" defaultColWidth="11.42578125" defaultRowHeight="15"/>
  <cols>
    <col min="1" max="1" width="17" customWidth="1"/>
    <col min="2" max="2" width="35.5703125" bestFit="1" customWidth="1"/>
    <col min="3" max="3" width="68.28515625" bestFit="1" customWidth="1"/>
    <col min="4" max="4" width="16.140625" bestFit="1" customWidth="1"/>
  </cols>
  <sheetData>
    <row r="1" spans="1:4" ht="45">
      <c r="A1" s="1" t="s">
        <v>2</v>
      </c>
      <c r="B1" s="2" t="s">
        <v>3</v>
      </c>
      <c r="C1" s="2" t="s">
        <v>0</v>
      </c>
      <c r="D1" s="2" t="s">
        <v>1</v>
      </c>
    </row>
    <row r="2" spans="1:4">
      <c r="A2" s="4">
        <f ca="1">IFERROR(__xludf.DUMMYFUNCTION("""COMPUTED_VALUE"""),43906)</f>
        <v>43906</v>
      </c>
      <c r="B2" s="5" t="str">
        <f ca="1">IFERROR(__xludf.DUMMYFUNCTION("""COMPUTED_VALUE"""),"-33.726713-70.732642")</f>
        <v>-33.726713-70.732642</v>
      </c>
      <c r="C2" s="3" t="str">
        <f ca="1">IFERROR(__xludf.DUMMYFUNCTION("""COMPUTED_VALUE"""),"HAMUT KOEHN 0155")</f>
        <v>HAMUT KOEHN 0155</v>
      </c>
      <c r="D2" s="3" t="str">
        <f ca="1">IFERROR(__xludf.DUMMYFUNCTION("""COMPUTED_VALUE"""),"BUIN")</f>
        <v>BUIN</v>
      </c>
    </row>
    <row r="3" spans="1:4">
      <c r="A3" s="7">
        <f ca="1">IFERROR(__xludf.DUMMYFUNCTION("""COMPUTED_VALUE"""),43906)</f>
        <v>43906</v>
      </c>
      <c r="B3" s="8" t="str">
        <f ca="1">IFERROR(__xludf.DUMMYFUNCTION("""COMPUTED_VALUE"""),"-33.715687,-70.739013")</f>
        <v>-33.715687,-70.739013</v>
      </c>
      <c r="C3" s="6" t="str">
        <f ca="1">IFERROR(__xludf.DUMMYFUNCTION("""COMPUTED_VALUE"""),"PASAJE EL COLOSO 0327")</f>
        <v>PASAJE EL COLOSO 0327</v>
      </c>
      <c r="D3" s="6" t="str">
        <f ca="1">IFERROR(__xludf.DUMMYFUNCTION("""COMPUTED_VALUE"""),"BUIN")</f>
        <v>BUIN</v>
      </c>
    </row>
    <row r="4" spans="1:4">
      <c r="A4" s="7">
        <f ca="1">IFERROR(__xludf.DUMMYFUNCTION("""COMPUTED_VALUE"""),43906)</f>
        <v>43906</v>
      </c>
      <c r="B4" s="8" t="str">
        <f ca="1">IFERROR(__xludf.DUMMYFUNCTION("""COMPUTED_VALUE"""),"-33.713771,-70.737525")</f>
        <v>-33.713771,-70.737525</v>
      </c>
      <c r="C4" s="6" t="str">
        <f ca="1">IFERROR(__xludf.DUMMYFUNCTION("""COMPUTED_VALUE"""),"PASAJE LA SIEMBRA 0472")</f>
        <v>PASAJE LA SIEMBRA 0472</v>
      </c>
      <c r="D4" s="6" t="str">
        <f ca="1">IFERROR(__xludf.DUMMYFUNCTION("""COMPUTED_VALUE"""),"BUIN")</f>
        <v>BUIN</v>
      </c>
    </row>
    <row r="5" spans="1:4">
      <c r="A5" s="7">
        <f ca="1">IFERROR(__xludf.DUMMYFUNCTION("""COMPUTED_VALUE"""),43906)</f>
        <v>43906</v>
      </c>
      <c r="B5" s="8" t="str">
        <f ca="1">IFERROR(__xludf.DUMMYFUNCTION("""COMPUTED_VALUE"""),"-33.691244,-70.699863")</f>
        <v>-33.691244,-70.699863</v>
      </c>
      <c r="C5" s="6" t="str">
        <f ca="1">IFERROR(__xludf.DUMMYFUNCTION("""COMPUTED_VALUE"""),"CAMINO EL RECURSO SIT37 CASA8 ( CERCA DEL COLEGIO LOS AROMOS DEL RECURSO)")</f>
        <v>CAMINO EL RECURSO SIT37 CASA8 ( CERCA DEL COLEGIO LOS AROMOS DEL RECURSO)</v>
      </c>
      <c r="D5" s="6" t="str">
        <f ca="1">IFERROR(__xludf.DUMMYFUNCTION("""COMPUTED_VALUE"""),"BUIN")</f>
        <v>BUIN</v>
      </c>
    </row>
    <row r="6" spans="1:4">
      <c r="A6" s="7">
        <f ca="1">IFERROR(__xludf.DUMMYFUNCTION("""COMPUTED_VALUE"""),43906)</f>
        <v>43906</v>
      </c>
      <c r="B6" s="8" t="str">
        <f ca="1">IFERROR(__xludf.DUMMYFUNCTION("""COMPUTED_VALUE"""),"-33.734184,-70.779813")</f>
        <v>-33.734184,-70.779813</v>
      </c>
      <c r="C6" s="6" t="str">
        <f ca="1">IFERROR(__xludf.DUMMYFUNCTION("""COMPUTED_VALUE"""),"LAS DELICIAS 286")</f>
        <v>LAS DELICIAS 286</v>
      </c>
      <c r="D6" s="6" t="str">
        <f ca="1">IFERROR(__xludf.DUMMYFUNCTION("""COMPUTED_VALUE"""),"BUIN")</f>
        <v>BUIN</v>
      </c>
    </row>
    <row r="7" spans="1:4">
      <c r="A7" s="7">
        <f ca="1">IFERROR(__xludf.DUMMYFUNCTION("""COMPUTED_VALUE"""),43906)</f>
        <v>43906</v>
      </c>
      <c r="B7" s="8" t="str">
        <f ca="1">IFERROR(__xludf.DUMMYFUNCTION("""COMPUTED_VALUE"""),"-33.7223143,-70.7719460")</f>
        <v>-33.7223143,-70.7719460</v>
      </c>
      <c r="C7" s="6" t="str">
        <f ca="1">IFERROR(__xludf.DUMMYFUNCTION("""COMPUTED_VALUE"""),"PASAJE MIGUEL DIAZ RAMOS 638")</f>
        <v>PASAJE MIGUEL DIAZ RAMOS 638</v>
      </c>
      <c r="D7" s="6" t="str">
        <f ca="1">IFERROR(__xludf.DUMMYFUNCTION("""COMPUTED_VALUE"""),"BUIN")</f>
        <v>BUIN</v>
      </c>
    </row>
    <row r="8" spans="1:4">
      <c r="A8" s="7">
        <f ca="1">IFERROR(__xludf.DUMMYFUNCTION("""COMPUTED_VALUE"""),43906)</f>
        <v>43906</v>
      </c>
      <c r="B8" s="8" t="str">
        <f ca="1">IFERROR(__xludf.DUMMYFUNCTION("""COMPUTED_VALUE"""),"-33.726658, -70.775237")</f>
        <v>-33.726658, -70.775237</v>
      </c>
      <c r="C8" s="6" t="str">
        <f ca="1">IFERROR(__xludf.DUMMYFUNCTION("""COMPUTED_VALUE"""),"EL NOGAL 160")</f>
        <v>EL NOGAL 160</v>
      </c>
      <c r="D8" s="6" t="str">
        <f ca="1">IFERROR(__xludf.DUMMYFUNCTION("""COMPUTED_VALUE"""),"BUIN")</f>
        <v>BUIN</v>
      </c>
    </row>
    <row r="9" spans="1:4">
      <c r="A9" s="7">
        <f ca="1">IFERROR(__xludf.DUMMYFUNCTION("""COMPUTED_VALUE"""),43906)</f>
        <v>43906</v>
      </c>
      <c r="B9" s="8" t="str">
        <f ca="1">IFERROR(__xludf.DUMMYFUNCTION("""COMPUTED_VALUE"""),"-33.735640,-70.757828")</f>
        <v>-33.735640,-70.757828</v>
      </c>
      <c r="C9" s="6" t="str">
        <f ca="1">IFERROR(__xludf.DUMMYFUNCTION("""COMPUTED_VALUE"""),"PASAJE ENRIQUE AVILA 1747 ( LOS TULIPEROS DE BUIN)")</f>
        <v>PASAJE ENRIQUE AVILA 1747 ( LOS TULIPEROS DE BUIN)</v>
      </c>
      <c r="D9" s="6" t="str">
        <f ca="1">IFERROR(__xludf.DUMMYFUNCTION("""COMPUTED_VALUE"""),"BUIN")</f>
        <v>BUIN</v>
      </c>
    </row>
    <row r="10" spans="1:4">
      <c r="A10" s="7">
        <f ca="1">IFERROR(__xludf.DUMMYFUNCTION("""COMPUTED_VALUE"""),43906)</f>
        <v>43906</v>
      </c>
      <c r="B10" s="8" t="str">
        <f ca="1">IFERROR(__xludf.DUMMYFUNCTION("""COMPUTED_VALUE"""),"-33.7340859,-70.7603779")</f>
        <v>-33.7340859,-70.7603779</v>
      </c>
      <c r="C10" s="6" t="str">
        <f ca="1">IFERROR(__xludf.DUMMYFUNCTION("""COMPUTED_VALUE"""),"CAMINO BUIN MAIPO 1967 CASA 58")</f>
        <v>CAMINO BUIN MAIPO 1967 CASA 58</v>
      </c>
      <c r="D10" s="6" t="str">
        <f ca="1">IFERROR(__xludf.DUMMYFUNCTION("""COMPUTED_VALUE"""),"BUIN")</f>
        <v>BUIN</v>
      </c>
    </row>
    <row r="11" spans="1:4">
      <c r="A11" s="7">
        <f ca="1">IFERROR(__xludf.DUMMYFUNCTION("""COMPUTED_VALUE"""),43906)</f>
        <v>43906</v>
      </c>
      <c r="B11" s="8" t="str">
        <f ca="1">IFERROR(__xludf.DUMMYFUNCTION("""COMPUTED_VALUE"""),"-33.722723,-70.738197")</f>
        <v>-33.722723,-70.738197</v>
      </c>
      <c r="C11" s="6" t="str">
        <f ca="1">IFERROR(__xludf.DUMMYFUNCTION("""COMPUTED_VALUE"""),"SERGIO ESPAÑA FLORES 23")</f>
        <v>SERGIO ESPAÑA FLORES 23</v>
      </c>
      <c r="D11" s="6" t="str">
        <f ca="1">IFERROR(__xludf.DUMMYFUNCTION("""COMPUTED_VALUE"""),"BUIN")</f>
        <v>BUIN</v>
      </c>
    </row>
    <row r="12" spans="1:4">
      <c r="A12" s="7">
        <f ca="1">IFERROR(__xludf.DUMMYFUNCTION("""COMPUTED_VALUE"""),43907)</f>
        <v>43907</v>
      </c>
      <c r="B12" s="8" t="str">
        <f ca="1">IFERROR(__xludf.DUMMYFUNCTION("""COMPUTED_VALUE"""),"-33.728062,-70.741442")</f>
        <v>-33.728062,-70.741442</v>
      </c>
      <c r="C12" s="6" t="str">
        <f ca="1">IFERROR(__xludf.DUMMYFUNCTION("""COMPUTED_VALUE"""),"PASAJE TRES 491 (LOS JASMINEZ)")</f>
        <v>PASAJE TRES 491 (LOS JASMINEZ)</v>
      </c>
      <c r="D12" s="6" t="str">
        <f ca="1">IFERROR(__xludf.DUMMYFUNCTION("""COMPUTED_VALUE"""),"BUIN")</f>
        <v>BUIN</v>
      </c>
    </row>
    <row r="13" spans="1:4">
      <c r="A13" s="7">
        <f ca="1">IFERROR(__xludf.DUMMYFUNCTION("""COMPUTED_VALUE"""),43907)</f>
        <v>43907</v>
      </c>
      <c r="B13" s="8" t="str">
        <f ca="1">IFERROR(__xludf.DUMMYFUNCTION("""COMPUTED_VALUE"""),"-33.698198,-70.710838")</f>
        <v>-33.698198,-70.710838</v>
      </c>
      <c r="C13" s="6" t="str">
        <f ca="1">IFERROR(__xludf.DUMMYFUNCTION("""COMPUTED_VALUE"""),"PASAJE LOS GALVEZ 30 ( EL RECURSO )")</f>
        <v>PASAJE LOS GALVEZ 30 ( EL RECURSO )</v>
      </c>
      <c r="D13" s="6" t="str">
        <f ca="1">IFERROR(__xludf.DUMMYFUNCTION("""COMPUTED_VALUE"""),"BUIN")</f>
        <v>BUIN</v>
      </c>
    </row>
    <row r="14" spans="1:4">
      <c r="A14" s="7">
        <f ca="1">IFERROR(__xludf.DUMMYFUNCTION("""COMPUTED_VALUE"""),43907)</f>
        <v>43907</v>
      </c>
      <c r="B14" s="8" t="str">
        <f ca="1">IFERROR(__xludf.DUMMYFUNCTION("""COMPUTED_VALUE"""),"-33.807791,-70.851344")</f>
        <v>-33.807791,-70.851344</v>
      </c>
      <c r="C14" s="6" t="str">
        <f ca="1">IFERROR(__xludf.DUMMYFUNCTION("""COMPUTED_VALUE"""),"LAS LILAS 354")</f>
        <v>LAS LILAS 354</v>
      </c>
      <c r="D14" s="6" t="str">
        <f ca="1">IFERROR(__xludf.DUMMYFUNCTION("""COMPUTED_VALUE"""),"BUIN")</f>
        <v>BUIN</v>
      </c>
    </row>
    <row r="15" spans="1:4">
      <c r="A15" s="7">
        <f ca="1">IFERROR(__xludf.DUMMYFUNCTION("""COMPUTED_VALUE"""),43907)</f>
        <v>43907</v>
      </c>
      <c r="B15" s="8" t="str">
        <f ca="1">IFERROR(__xludf.DUMMYFUNCTION("""COMPUTED_VALUE"""),"-33.725491, -70.736239")</f>
        <v>-33.725491, -70.736239</v>
      </c>
      <c r="C15" s="6" t="str">
        <f ca="1">IFERROR(__xludf.DUMMYFUNCTION("""COMPUTED_VALUE"""),"JULIO GODOY MONTECINOS 0161")</f>
        <v>JULIO GODOY MONTECINOS 0161</v>
      </c>
      <c r="D15" s="6" t="str">
        <f ca="1">IFERROR(__xludf.DUMMYFUNCTION("""COMPUTED_VALUE"""),"BUIN")</f>
        <v>BUIN</v>
      </c>
    </row>
    <row r="16" spans="1:4">
      <c r="A16" s="7">
        <f ca="1">IFERROR(__xludf.DUMMYFUNCTION("""COMPUTED_VALUE"""),43907)</f>
        <v>43907</v>
      </c>
      <c r="B16" s="8" t="str">
        <f ca="1">IFERROR(__xludf.DUMMYFUNCTION("""COMPUTED_VALUE"""),"-33.698244,-70.710871")</f>
        <v>-33.698244,-70.710871</v>
      </c>
      <c r="C16" s="6" t="str">
        <f ca="1">IFERROR(__xludf.DUMMYFUNCTION("""COMPUTED_VALUE"""),"PASAJE LOS GUZMAN 34 ( EL RECURSO)")</f>
        <v>PASAJE LOS GUZMAN 34 ( EL RECURSO)</v>
      </c>
      <c r="D16" s="6" t="str">
        <f ca="1">IFERROR(__xludf.DUMMYFUNCTION("""COMPUTED_VALUE"""),"BUIN")</f>
        <v>BUIN</v>
      </c>
    </row>
    <row r="17" spans="1:4">
      <c r="A17" s="7">
        <f ca="1">IFERROR(__xludf.DUMMYFUNCTION("""COMPUTED_VALUE"""),43907)</f>
        <v>43907</v>
      </c>
      <c r="B17" s="8" t="str">
        <f ca="1">IFERROR(__xludf.DUMMYFUNCTION("""COMPUTED_VALUE"""),"-33.7253750,-70.7321323")</f>
        <v>-33.7253750,-70.7321323</v>
      </c>
      <c r="C17" s="6" t="str">
        <f ca="1">IFERROR(__xludf.DUMMYFUNCTION("""COMPUTED_VALUE"""),"ARMANDO HERNANDEZ 258")</f>
        <v>ARMANDO HERNANDEZ 258</v>
      </c>
      <c r="D17" s="6" t="str">
        <f ca="1">IFERROR(__xludf.DUMMYFUNCTION("""COMPUTED_VALUE"""),"BUIN")</f>
        <v>BUIN</v>
      </c>
    </row>
    <row r="18" spans="1:4">
      <c r="A18" s="7">
        <f ca="1">IFERROR(__xludf.DUMMYFUNCTION("""COMPUTED_VALUE"""),43907)</f>
        <v>43907</v>
      </c>
      <c r="B18" s="8" t="str">
        <f ca="1">IFERROR(__xludf.DUMMYFUNCTION("""COMPUTED_VALUE"""),"-33.724413,-70.7732")</f>
        <v>-33.724413,-70.7732</v>
      </c>
      <c r="C18" s="6" t="str">
        <f ca="1">IFERROR(__xludf.DUMMYFUNCTION("""COMPUTED_VALUE"""),"RAMIRO MANZOR SOTO 132")</f>
        <v>RAMIRO MANZOR SOTO 132</v>
      </c>
      <c r="D18" s="6" t="str">
        <f ca="1">IFERROR(__xludf.DUMMYFUNCTION("""COMPUTED_VALUE"""),"BUIN")</f>
        <v>BUIN</v>
      </c>
    </row>
    <row r="19" spans="1:4">
      <c r="A19" s="7">
        <f ca="1">IFERROR(__xludf.DUMMYFUNCTION("""COMPUTED_VALUE"""),43907)</f>
        <v>43907</v>
      </c>
      <c r="B19" s="8" t="str">
        <f ca="1">IFERROR(__xludf.DUMMYFUNCTION("""COMPUTED_VALUE"""),"-33.738997, -70.741046")</f>
        <v>-33.738997, -70.741046</v>
      </c>
      <c r="C19" s="6" t="str">
        <f ca="1">IFERROR(__xludf.DUMMYFUNCTION("""COMPUTED_VALUE"""),"GUACOLDA 266")</f>
        <v>GUACOLDA 266</v>
      </c>
      <c r="D19" s="6" t="str">
        <f ca="1">IFERROR(__xludf.DUMMYFUNCTION("""COMPUTED_VALUE"""),"BUIN")</f>
        <v>BUIN</v>
      </c>
    </row>
    <row r="20" spans="1:4">
      <c r="A20" s="7">
        <f ca="1">IFERROR(__xludf.DUMMYFUNCTION("""COMPUTED_VALUE"""),43907)</f>
        <v>43907</v>
      </c>
      <c r="B20" s="8" t="str">
        <f ca="1">IFERROR(__xludf.DUMMYFUNCTION("""COMPUTED_VALUE"""),"-33.730119,-70.7348")</f>
        <v>-33.730119,-70.7348</v>
      </c>
      <c r="C20" s="6" t="str">
        <f ca="1">IFERROR(__xludf.DUMMYFUNCTION("""COMPUTED_VALUE"""),"AV SAN MARTIN 66 CASA 20")</f>
        <v>AV SAN MARTIN 66 CASA 20</v>
      </c>
      <c r="D20" s="6" t="str">
        <f ca="1">IFERROR(__xludf.DUMMYFUNCTION("""COMPUTED_VALUE"""),"BUIN")</f>
        <v>BUIN</v>
      </c>
    </row>
    <row r="21" spans="1:4">
      <c r="A21" s="7">
        <f ca="1">IFERROR(__xludf.DUMMYFUNCTION("""COMPUTED_VALUE"""),43907)</f>
        <v>43907</v>
      </c>
      <c r="B21" s="6" t="str">
        <f ca="1">IFERROR(__xludf.DUMMYFUNCTION("""COMPUTED_VALUE"""),"-33.573037-70.809537")</f>
        <v>-33.573037-70.809537</v>
      </c>
      <c r="C21" s="6" t="str">
        <f ca="1">IFERROR(__xludf.DUMMYFUNCTION("""COMPUTED_VALUE"""),"RIO LOA 2208")</f>
        <v>RIO LOA 2208</v>
      </c>
      <c r="D21" s="6" t="str">
        <f ca="1">IFERROR(__xludf.DUMMYFUNCTION("""COMPUTED_VALUE"""),"PADRE HURTADO")</f>
        <v>PADRE HURTADO</v>
      </c>
    </row>
    <row r="22" spans="1:4">
      <c r="A22" s="7">
        <f ca="1">IFERROR(__xludf.DUMMYFUNCTION("""COMPUTED_VALUE"""),43907)</f>
        <v>43907</v>
      </c>
      <c r="B22" s="6" t="str">
        <f ca="1">IFERROR(__xludf.DUMMYFUNCTION("""COMPUTED_VALUE"""),"-33.613973-70.873728")</f>
        <v>-33.613973-70.873728</v>
      </c>
      <c r="C22" s="6" t="str">
        <f ca="1">IFERROR(__xludf.DUMMYFUNCTION("""COMPUTED_VALUE"""),"ALONSO DE ERCILLA 1342")</f>
        <v>ALONSO DE ERCILLA 1342</v>
      </c>
      <c r="D22" s="6" t="str">
        <f ca="1">IFERROR(__xludf.DUMMYFUNCTION("""COMPUTED_VALUE"""),"PEÑAFLOR")</f>
        <v>PEÑAFLOR</v>
      </c>
    </row>
    <row r="23" spans="1:4">
      <c r="A23" s="7">
        <f ca="1">IFERROR(__xludf.DUMMYFUNCTION("""COMPUTED_VALUE"""),43907)</f>
        <v>43907</v>
      </c>
      <c r="B23" s="6" t="str">
        <f ca="1">IFERROR(__xludf.DUMMYFUNCTION("""COMPUTED_VALUE"""),"-33.630690,-70.775291")</f>
        <v>-33.630690,-70.775291</v>
      </c>
      <c r="C23" s="6" t="str">
        <f ca="1">IFERROR(__xludf.DUMMYFUNCTION("""COMPUTED_VALUE"""),"LAGO VIVHUQUEN 137 PASAJE 8")</f>
        <v>LAGO VIVHUQUEN 137 PASAJE 8</v>
      </c>
      <c r="D23" s="6" t="str">
        <f ca="1">IFERROR(__xludf.DUMMYFUNCTION("""COMPUTED_VALUE"""),"CALERA DE TANGO")</f>
        <v>CALERA DE TANGO</v>
      </c>
    </row>
    <row r="24" spans="1:4">
      <c r="A24" s="7">
        <f ca="1">IFERROR(__xludf.DUMMYFUNCTION("""COMPUTED_VALUE"""),43907)</f>
        <v>43907</v>
      </c>
      <c r="B24" s="6" t="str">
        <f ca="1">IFERROR(__xludf.DUMMYFUNCTION("""COMPUTED_VALUE"""),"-33.632295,-70.761186")</f>
        <v>-33.632295,-70.761186</v>
      </c>
      <c r="C24" s="6" t="str">
        <f ca="1">IFERROR(__xludf.DUMMYFUNCTION("""COMPUTED_VALUE"""),"LOS CIPRESES #58")</f>
        <v>LOS CIPRESES #58</v>
      </c>
      <c r="D24" s="6" t="str">
        <f ca="1">IFERROR(__xludf.DUMMYFUNCTION("""COMPUTED_VALUE"""),"CALERA DE TANGO")</f>
        <v>CALERA DE TANGO</v>
      </c>
    </row>
    <row r="25" spans="1:4">
      <c r="A25" s="7">
        <f ca="1">IFERROR(__xludf.DUMMYFUNCTION("""COMPUTED_VALUE"""),43908)</f>
        <v>43908</v>
      </c>
      <c r="B25" s="8" t="str">
        <f ca="1">IFERROR(__xludf.DUMMYFUNCTION("""COMPUTED_VALUE"""),"-33.726599,-70.771715")</f>
        <v>-33.726599,-70.771715</v>
      </c>
      <c r="C25" s="6" t="str">
        <f ca="1">IFERROR(__xludf.DUMMYFUNCTION("""COMPUTED_VALUE"""),"VILLARICA 11")</f>
        <v>VILLARICA 11</v>
      </c>
      <c r="D25" s="6" t="str">
        <f ca="1">IFERROR(__xludf.DUMMYFUNCTION("""COMPUTED_VALUE"""),"BUIN")</f>
        <v>BUIN</v>
      </c>
    </row>
    <row r="26" spans="1:4">
      <c r="A26" s="7">
        <f ca="1">IFERROR(__xludf.DUMMYFUNCTION("""COMPUTED_VALUE"""),43908)</f>
        <v>43908</v>
      </c>
      <c r="B26" s="8" t="str">
        <f ca="1">IFERROR(__xludf.DUMMYFUNCTION("""COMPUTED_VALUE"""),"-33.7306388,-70.7796717")</f>
        <v>-33.7306388,-70.7796717</v>
      </c>
      <c r="C26" s="6" t="str">
        <f ca="1">IFERROR(__xludf.DUMMYFUNCTION("""COMPUTED_VALUE"""),"COLO COLO 0165")</f>
        <v>COLO COLO 0165</v>
      </c>
      <c r="D26" s="6" t="str">
        <f ca="1">IFERROR(__xludf.DUMMYFUNCTION("""COMPUTED_VALUE"""),"BUIN")</f>
        <v>BUIN</v>
      </c>
    </row>
    <row r="27" spans="1:4">
      <c r="A27" s="7">
        <f ca="1">IFERROR(__xludf.DUMMYFUNCTION("""COMPUTED_VALUE"""),43908)</f>
        <v>43908</v>
      </c>
      <c r="B27" s="8" t="str">
        <f ca="1">IFERROR(__xludf.DUMMYFUNCTION("""COMPUTED_VALUE"""),"-33.724569,-70.730481")</f>
        <v>-33.724569,-70.730481</v>
      </c>
      <c r="C27" s="6" t="str">
        <f ca="1">IFERROR(__xludf.DUMMYFUNCTION("""COMPUTED_VALUE"""),"HUGO LEIVA VENEGAS 0342")</f>
        <v>HUGO LEIVA VENEGAS 0342</v>
      </c>
      <c r="D27" s="6" t="str">
        <f ca="1">IFERROR(__xludf.DUMMYFUNCTION("""COMPUTED_VALUE"""),"BUIN")</f>
        <v>BUIN</v>
      </c>
    </row>
    <row r="28" spans="1:4">
      <c r="A28" s="7">
        <f ca="1">IFERROR(__xludf.DUMMYFUNCTION("""COMPUTED_VALUE"""),43908)</f>
        <v>43908</v>
      </c>
      <c r="B28" s="6" t="str">
        <f ca="1">IFERROR(__xludf.DUMMYFUNCTION("""COMPUTED_VALUE"""),"-33.604209-70.885627")</f>
        <v>-33.604209-70.885627</v>
      </c>
      <c r="C28" s="6" t="str">
        <f ca="1">IFERROR(__xludf.DUMMYFUNCTION("""COMPUTED_VALUE"""),"PASAJE TREINTA Y SEIS 741")</f>
        <v>PASAJE TREINTA Y SEIS 741</v>
      </c>
      <c r="D28" s="6" t="str">
        <f ca="1">IFERROR(__xludf.DUMMYFUNCTION("""COMPUTED_VALUE"""),"PEÑAFLOR")</f>
        <v>PEÑAFLOR</v>
      </c>
    </row>
    <row r="29" spans="1:4">
      <c r="A29" s="7">
        <f ca="1">IFERROR(__xludf.DUMMYFUNCTION("""COMPUTED_VALUE"""),43908)</f>
        <v>43908</v>
      </c>
      <c r="B29" s="6" t="str">
        <f ca="1">IFERROR(__xludf.DUMMYFUNCTION("""COMPUTED_VALUE"""),"-33.614006-70.890418")</f>
        <v>-33.614006-70.890418</v>
      </c>
      <c r="C29" s="6" t="str">
        <f ca="1">IFERROR(__xludf.DUMMYFUNCTION("""COMPUTED_VALUE"""),"AV. CENTRAL 306 CASA 43")</f>
        <v>AV. CENTRAL 306 CASA 43</v>
      </c>
      <c r="D29" s="6" t="str">
        <f ca="1">IFERROR(__xludf.DUMMYFUNCTION("""COMPUTED_VALUE"""),"PEÑAFLOR")</f>
        <v>PEÑAFLOR</v>
      </c>
    </row>
    <row r="30" spans="1:4">
      <c r="A30" s="7">
        <f ca="1">IFERROR(__xludf.DUMMYFUNCTION("""COMPUTED_VALUE"""),43908)</f>
        <v>43908</v>
      </c>
      <c r="B30" s="6" t="str">
        <f ca="1">IFERROR(__xludf.DUMMYFUNCTION("""COMPUTED_VALUE"""),"-33.612333-70.871866")</f>
        <v>-33.612333-70.871866</v>
      </c>
      <c r="C30" s="6" t="str">
        <f ca="1">IFERROR(__xludf.DUMMYFUNCTION("""COMPUTED_VALUE"""),"RAFAEL MALUENDA 1136")</f>
        <v>RAFAEL MALUENDA 1136</v>
      </c>
      <c r="D30" s="6" t="str">
        <f ca="1">IFERROR(__xludf.DUMMYFUNCTION("""COMPUTED_VALUE"""),"PEÑAFLOR")</f>
        <v>PEÑAFLOR</v>
      </c>
    </row>
    <row r="31" spans="1:4">
      <c r="A31" s="7">
        <f ca="1">IFERROR(__xludf.DUMMYFUNCTION("""COMPUTED_VALUE"""),43908)</f>
        <v>43908</v>
      </c>
      <c r="B31" s="6" t="str">
        <f ca="1">IFERROR(__xludf.DUMMYFUNCTION("""COMPUTED_VALUE"""),"-33.602110-70.8712")</f>
        <v>-33.602110-70.8712</v>
      </c>
      <c r="C31" s="6" t="str">
        <f ca="1">IFERROR(__xludf.DUMMYFUNCTION("""COMPUTED_VALUE"""),"AV. LARRAIN 1721")</f>
        <v>AV. LARRAIN 1721</v>
      </c>
      <c r="D31" s="6" t="str">
        <f ca="1">IFERROR(__xludf.DUMMYFUNCTION("""COMPUTED_VALUE"""),"PEÑAFLOR")</f>
        <v>PEÑAFLOR</v>
      </c>
    </row>
    <row r="32" spans="1:4">
      <c r="A32" s="7">
        <f ca="1">IFERROR(__xludf.DUMMYFUNCTION("""COMPUTED_VALUE"""),43908)</f>
        <v>43908</v>
      </c>
      <c r="B32" s="6" t="str">
        <f ca="1">IFERROR(__xludf.DUMMYFUNCTION("""COMPUTED_VALUE"""),"-33.572808-70.809523")</f>
        <v>-33.572808-70.809523</v>
      </c>
      <c r="C32" s="6" t="str">
        <f ca="1">IFERROR(__xludf.DUMMYFUNCTION("""COMPUTED_VALUE"""),"RIO ÑUBLE 638")</f>
        <v>RIO ÑUBLE 638</v>
      </c>
      <c r="D32" s="6" t="str">
        <f ca="1">IFERROR(__xludf.DUMMYFUNCTION("""COMPUTED_VALUE"""),"PEÑAFLOR")</f>
        <v>PEÑAFLOR</v>
      </c>
    </row>
    <row r="33" spans="1:4">
      <c r="A33" s="7">
        <f ca="1">IFERROR(__xludf.DUMMYFUNCTION("""COMPUTED_VALUE"""),43908)</f>
        <v>43908</v>
      </c>
      <c r="B33" s="6" t="str">
        <f ca="1">IFERROR(__xludf.DUMMYFUNCTION("""COMPUTED_VALUE"""),"-33.629775,-70.769117")</f>
        <v>-33.629775,-70.769117</v>
      </c>
      <c r="C33" s="6" t="str">
        <f ca="1">IFERROR(__xludf.DUMMYFUNCTION("""COMPUTED_VALUE"""),"PASAJE PEDRO NEGRO N° 11 VALLE LOS PORTAS")</f>
        <v>PASAJE PEDRO NEGRO N° 11 VALLE LOS PORTAS</v>
      </c>
      <c r="D33" s="6" t="str">
        <f ca="1">IFERROR(__xludf.DUMMYFUNCTION("""COMPUTED_VALUE"""),"CALERA DE TANGO")</f>
        <v>CALERA DE TANGO</v>
      </c>
    </row>
    <row r="34" spans="1:4">
      <c r="A34" s="7">
        <f ca="1">IFERROR(__xludf.DUMMYFUNCTION("""COMPUTED_VALUE"""),43908)</f>
        <v>43908</v>
      </c>
      <c r="B34" s="6" t="str">
        <f ca="1">IFERROR(__xludf.DUMMYFUNCTION("""COMPUTED_VALUE"""),"-33.629897,-70.767674")</f>
        <v>-33.629897,-70.767674</v>
      </c>
      <c r="C34" s="6" t="str">
        <f ca="1">IFERROR(__xludf.DUMMYFUNCTION("""COMPUTED_VALUE"""),"EL CARMEN S/N C 8 CONDOMINIO LOS JESUITAS")</f>
        <v>EL CARMEN S/N C 8 CONDOMINIO LOS JESUITAS</v>
      </c>
      <c r="D34" s="6" t="str">
        <f ca="1">IFERROR(__xludf.DUMMYFUNCTION("""COMPUTED_VALUE"""),"CALERA DE TANGO")</f>
        <v>CALERA DE TANGO</v>
      </c>
    </row>
    <row r="35" spans="1:4">
      <c r="A35" s="7">
        <f ca="1">IFERROR(__xludf.DUMMYFUNCTION("""COMPUTED_VALUE"""),43909)</f>
        <v>43909</v>
      </c>
      <c r="B35" s="6" t="str">
        <f ca="1">IFERROR(__xludf.DUMMYFUNCTION("""COMPUTED_VALUE"""),"-33.607977-70.879401")</f>
        <v>-33.607977-70.879401</v>
      </c>
      <c r="C35" s="6" t="str">
        <f ca="1">IFERROR(__xludf.DUMMYFUNCTION("""COMPUTED_VALUE"""),"FRANCISCO DE BILBAO 1083")</f>
        <v>FRANCISCO DE BILBAO 1083</v>
      </c>
      <c r="D35" s="6" t="str">
        <f ca="1">IFERROR(__xludf.DUMMYFUNCTION("""COMPUTED_VALUE"""),"PEÑAFLOR")</f>
        <v>PEÑAFLOR</v>
      </c>
    </row>
    <row r="36" spans="1:4">
      <c r="A36" s="7">
        <f ca="1">IFERROR(__xludf.DUMMYFUNCTION("""COMPUTED_VALUE"""),43909)</f>
        <v>43909</v>
      </c>
      <c r="B36" s="6" t="str">
        <f ca="1">IFERROR(__xludf.DUMMYFUNCTION("""COMPUTED_VALUE"""),"-33.604427-70.885447")</f>
        <v>-33.604427-70.885447</v>
      </c>
      <c r="C36" s="6" t="str">
        <f ca="1">IFERROR(__xludf.DUMMYFUNCTION("""COMPUTED_VALUE"""),"PASAJE TREINTA Y SIETE 755")</f>
        <v>PASAJE TREINTA Y SIETE 755</v>
      </c>
      <c r="D36" s="6" t="str">
        <f ca="1">IFERROR(__xludf.DUMMYFUNCTION("""COMPUTED_VALUE"""),"PEÑAFLOR")</f>
        <v>PEÑAFLOR</v>
      </c>
    </row>
    <row r="37" spans="1:4">
      <c r="A37" s="7">
        <f ca="1">IFERROR(__xludf.DUMMYFUNCTION("""COMPUTED_VALUE"""),43909)</f>
        <v>43909</v>
      </c>
      <c r="B37" s="6" t="str">
        <f ca="1">IFERROR(__xludf.DUMMYFUNCTION("""COMPUTED_VALUE"""),"-33.604191, -70.885554")</f>
        <v>-33.604191, -70.885554</v>
      </c>
      <c r="C37" s="6" t="str">
        <f ca="1">IFERROR(__xludf.DUMMYFUNCTION("""COMPUTED_VALUE"""),"PASAJE TREINTA Y SIETE 747")</f>
        <v>PASAJE TREINTA Y SIETE 747</v>
      </c>
      <c r="D37" s="6" t="str">
        <f ca="1">IFERROR(__xludf.DUMMYFUNCTION("""COMPUTED_VALUE"""),"PEÑAFLOR")</f>
        <v>PEÑAFLOR</v>
      </c>
    </row>
    <row r="38" spans="1:4">
      <c r="A38" s="7">
        <f ca="1">IFERROR(__xludf.DUMMYFUNCTION("""COMPUTED_VALUE"""),43909)</f>
        <v>43909</v>
      </c>
      <c r="B38" s="6" t="str">
        <f ca="1">IFERROR(__xludf.DUMMYFUNCTION("""COMPUTED_VALUE"""),"-33.604039-70.885623")</f>
        <v>-33.604039-70.885623</v>
      </c>
      <c r="C38" s="6" t="str">
        <f ca="1">IFERROR(__xludf.DUMMYFUNCTION("""COMPUTED_VALUE"""),"UNO PONIENTE 725")</f>
        <v>UNO PONIENTE 725</v>
      </c>
      <c r="D38" s="6" t="str">
        <f ca="1">IFERROR(__xludf.DUMMYFUNCTION("""COMPUTED_VALUE"""),"PEÑAFLOR")</f>
        <v>PEÑAFLOR</v>
      </c>
    </row>
    <row r="39" spans="1:4">
      <c r="A39" s="7">
        <f ca="1">IFERROR(__xludf.DUMMYFUNCTION("""COMPUTED_VALUE"""),43909)</f>
        <v>43909</v>
      </c>
      <c r="B39" s="6" t="str">
        <f ca="1">IFERROR(__xludf.DUMMYFUNCTION("""COMPUTED_VALUE"""),"-33.602544-70.849211")</f>
        <v>-33.602544-70.849211</v>
      </c>
      <c r="C39" s="6" t="str">
        <f ca="1">IFERROR(__xludf.DUMMYFUNCTION("""COMPUTED_VALUE"""),"SAN MARTIN 104")</f>
        <v>SAN MARTIN 104</v>
      </c>
      <c r="D39" s="6" t="str">
        <f ca="1">IFERROR(__xludf.DUMMYFUNCTION("""COMPUTED_VALUE"""),"PEÑAFLOR")</f>
        <v>PEÑAFLOR</v>
      </c>
    </row>
    <row r="40" spans="1:4">
      <c r="A40" s="7">
        <f ca="1">IFERROR(__xludf.DUMMYFUNCTION("""COMPUTED_VALUE"""),43909)</f>
        <v>43909</v>
      </c>
      <c r="B40" s="6" t="str">
        <f ca="1">IFERROR(__xludf.DUMMYFUNCTION("""COMPUTED_VALUE"""),"-33.626168,-70.776080")</f>
        <v>-33.626168,-70.776080</v>
      </c>
      <c r="C40" s="6" t="str">
        <f ca="1">IFERROR(__xludf.DUMMYFUNCTION("""COMPUTED_VALUE"""),"LOS JESUITAS N° 9")</f>
        <v>LOS JESUITAS N° 9</v>
      </c>
      <c r="D40" s="6" t="str">
        <f ca="1">IFERROR(__xludf.DUMMYFUNCTION("""COMPUTED_VALUE"""),"CALERA DE TANGO")</f>
        <v>CALERA DE TANGO</v>
      </c>
    </row>
    <row r="41" spans="1:4">
      <c r="A41" s="7">
        <f ca="1">IFERROR(__xludf.DUMMYFUNCTION("""COMPUTED_VALUE"""),43909)</f>
        <v>43909</v>
      </c>
      <c r="B41" s="6" t="str">
        <f ca="1">IFERROR(__xludf.DUMMYFUNCTION("""COMPUTED_VALUE"""),"-33.630619,-70.763070")</f>
        <v>-33.630619,-70.763070</v>
      </c>
      <c r="C41" s="6" t="str">
        <f ca="1">IFERROR(__xludf.DUMMYFUNCTION("""COMPUTED_VALUE"""),"PASAJE LOS ATACAMEÑOS 3 C/B")</f>
        <v>PASAJE LOS ATACAMEÑOS 3 C/B</v>
      </c>
      <c r="D41" s="6" t="str">
        <f ca="1">IFERROR(__xludf.DUMMYFUNCTION("""COMPUTED_VALUE"""),"CALERA DE TANGO")</f>
        <v>CALERA DE TANGO</v>
      </c>
    </row>
    <row r="42" spans="1:4">
      <c r="A42" s="7">
        <f ca="1">IFERROR(__xludf.DUMMYFUNCTION("""COMPUTED_VALUE"""),43909)</f>
        <v>43909</v>
      </c>
      <c r="B42" s="6" t="str">
        <f ca="1">IFERROR(__xludf.DUMMYFUNCTION("""COMPUTED_VALUE"""),"-33.629834,-70.767869")</f>
        <v>-33.629834,-70.767869</v>
      </c>
      <c r="C42" s="6" t="str">
        <f ca="1">IFERROR(__xludf.DUMMYFUNCTION("""COMPUTED_VALUE"""),"EL CARMEN S/N C-10 SN")</f>
        <v>EL CARMEN S/N C-10 SN</v>
      </c>
      <c r="D42" s="6" t="str">
        <f ca="1">IFERROR(__xludf.DUMMYFUNCTION("""COMPUTED_VALUE"""),"CALERA DE TANGO")</f>
        <v>CALERA DE TANGO</v>
      </c>
    </row>
    <row r="43" spans="1:4">
      <c r="A43" s="7">
        <f ca="1">IFERROR(__xludf.DUMMYFUNCTION("""COMPUTED_VALUE"""),43909)</f>
        <v>43909</v>
      </c>
      <c r="B43" s="6" t="str">
        <f ca="1">IFERROR(__xludf.DUMMYFUNCTION("""COMPUTED_VALUE"""),"-33.631812,-70.766669")</f>
        <v>-33.631812,-70.766669</v>
      </c>
      <c r="C43" s="6" t="str">
        <f ca="1">IFERROR(__xludf.DUMMYFUNCTION("""COMPUTED_VALUE"""),"PASAJE EL NOGAL N° 278")</f>
        <v>PASAJE EL NOGAL N° 278</v>
      </c>
      <c r="D43" s="6" t="str">
        <f ca="1">IFERROR(__xludf.DUMMYFUNCTION("""COMPUTED_VALUE"""),"CALERA DE TANGO")</f>
        <v>CALERA DE TANGO</v>
      </c>
    </row>
    <row r="44" spans="1:4">
      <c r="A44" s="7">
        <f ca="1">IFERROR(__xludf.DUMMYFUNCTION("""COMPUTED_VALUE"""),43910)</f>
        <v>43910</v>
      </c>
      <c r="B44" s="6" t="str">
        <f ca="1">IFERROR(__xludf.DUMMYFUNCTION("""COMPUTED_VALUE"""),"-33.603730, -70.885399")</f>
        <v>-33.603730, -70.885399</v>
      </c>
      <c r="C44" s="6" t="str">
        <f ca="1">IFERROR(__xludf.DUMMYFUNCTION("""COMPUTED_VALUE"""),"PASAJE TREINTA Y SEIS 699")</f>
        <v>PASAJE TREINTA Y SEIS 699</v>
      </c>
      <c r="D44" s="6" t="str">
        <f ca="1">IFERROR(__xludf.DUMMYFUNCTION("""COMPUTED_VALUE"""),"PEÑAFLOR")</f>
        <v>PEÑAFLOR</v>
      </c>
    </row>
    <row r="45" spans="1:4">
      <c r="A45" s="7">
        <f ca="1">IFERROR(__xludf.DUMMYFUNCTION("""COMPUTED_VALUE"""),43910)</f>
        <v>43910</v>
      </c>
      <c r="B45" s="6" t="str">
        <f ca="1">IFERROR(__xludf.DUMMYFUNCTION("""COMPUTED_VALUE"""),"-33.604649-70.8855449")</f>
        <v>-33.604649-70.8855449</v>
      </c>
      <c r="C45" s="6" t="str">
        <f ca="1">IFERROR(__xludf.DUMMYFUNCTION("""COMPUTED_VALUE"""),"VEINTIUNO DE MAYO 277")</f>
        <v>VEINTIUNO DE MAYO 277</v>
      </c>
      <c r="D45" s="6" t="str">
        <f ca="1">IFERROR(__xludf.DUMMYFUNCTION("""COMPUTED_VALUE"""),"PEÑAFLOR")</f>
        <v>PEÑAFLOR</v>
      </c>
    </row>
    <row r="46" spans="1:4">
      <c r="A46" s="7">
        <f ca="1">IFERROR(__xludf.DUMMYFUNCTION("""COMPUTED_VALUE"""),43910)</f>
        <v>43910</v>
      </c>
      <c r="B46" s="6" t="str">
        <f ca="1">IFERROR(__xludf.DUMMYFUNCTION("""COMPUTED_VALUE"""),"-33.615750-70.904673")</f>
        <v>-33.615750-70.904673</v>
      </c>
      <c r="C46" s="6" t="str">
        <f ca="1">IFERROR(__xludf.DUMMYFUNCTION("""COMPUTED_VALUE"""),"TOMAS BATA 680")</f>
        <v>TOMAS BATA 680</v>
      </c>
      <c r="D46" s="6" t="str">
        <f ca="1">IFERROR(__xludf.DUMMYFUNCTION("""COMPUTED_VALUE"""),"PEÑAFLOR")</f>
        <v>PEÑAFLOR</v>
      </c>
    </row>
    <row r="47" spans="1:4">
      <c r="A47" s="7">
        <f ca="1">IFERROR(__xludf.DUMMYFUNCTION("""COMPUTED_VALUE"""),43910)</f>
        <v>43910</v>
      </c>
      <c r="B47" s="6" t="str">
        <f ca="1">IFERROR(__xludf.DUMMYFUNCTION("""COMPUTED_VALUE"""),"-33.631480,-70.765537")</f>
        <v>-33.631480,-70.765537</v>
      </c>
      <c r="C47" s="6" t="str">
        <f ca="1">IFERROR(__xludf.DUMMYFUNCTION("""COMPUTED_VALUE"""),"EL VIÑEDO N° 224")</f>
        <v>EL VIÑEDO N° 224</v>
      </c>
      <c r="D47" s="6" t="str">
        <f ca="1">IFERROR(__xludf.DUMMYFUNCTION("""COMPUTED_VALUE"""),"CALERA DE TANGO")</f>
        <v>CALERA DE TANGO</v>
      </c>
    </row>
    <row r="48" spans="1:4">
      <c r="A48" s="7">
        <f ca="1">IFERROR(__xludf.DUMMYFUNCTION("""COMPUTED_VALUE"""),43911)</f>
        <v>43911</v>
      </c>
      <c r="B48" s="6" t="str">
        <f ca="1">IFERROR(__xludf.DUMMYFUNCTION("""COMPUTED_VALUE"""),"-33.598694-70.887087")</f>
        <v>-33.598694-70.887087</v>
      </c>
      <c r="C48" s="6" t="str">
        <f ca="1">IFERROR(__xludf.DUMMYFUNCTION("""COMPUTED_VALUE"""),"PASAJE EDEN 3522")</f>
        <v>PASAJE EDEN 3522</v>
      </c>
      <c r="D48" s="6" t="str">
        <f ca="1">IFERROR(__xludf.DUMMYFUNCTION("""COMPUTED_VALUE"""),"PEÑAFLOR")</f>
        <v>PEÑAFLOR</v>
      </c>
    </row>
    <row r="49" spans="1:4">
      <c r="A49" s="7">
        <f ca="1">IFERROR(__xludf.DUMMYFUNCTION("""COMPUTED_VALUE"""),43913)</f>
        <v>43913</v>
      </c>
      <c r="B49" s="6" t="str">
        <f ca="1">IFERROR(__xludf.DUMMYFUNCTION("""COMPUTED_VALUE"""),"-33.603975-70.884558")</f>
        <v>-33.603975-70.884558</v>
      </c>
      <c r="C49" s="6" t="str">
        <f ca="1">IFERROR(__xludf.DUMMYFUNCTION("""COMPUTED_VALUE"""),"PROGRESO 685")</f>
        <v>PROGRESO 685</v>
      </c>
      <c r="D49" s="6" t="str">
        <f ca="1">IFERROR(__xludf.DUMMYFUNCTION("""COMPUTED_VALUE"""),"PEÑAFLOR")</f>
        <v>PEÑAFLOR</v>
      </c>
    </row>
    <row r="50" spans="1:4">
      <c r="A50" s="7">
        <f ca="1">IFERROR(__xludf.DUMMYFUNCTION("""COMPUTED_VALUE"""),43913)</f>
        <v>43913</v>
      </c>
      <c r="B50" s="6" t="str">
        <f ca="1">IFERROR(__xludf.DUMMYFUNCTION("""COMPUTED_VALUE"""),"-33.596521-70.846855")</f>
        <v>-33.596521-70.846855</v>
      </c>
      <c r="C50" s="6" t="str">
        <f ca="1">IFERROR(__xludf.DUMMYFUNCTION("""COMPUTED_VALUE"""),"PAJARITOS 98")</f>
        <v>PAJARITOS 98</v>
      </c>
      <c r="D50" s="6" t="str">
        <f ca="1">IFERROR(__xludf.DUMMYFUNCTION("""COMPUTED_VALUE"""),"PEÑAFLOR")</f>
        <v>PEÑAFLOR</v>
      </c>
    </row>
    <row r="51" spans="1:4">
      <c r="A51" s="7">
        <f ca="1">IFERROR(__xludf.DUMMYFUNCTION("""COMPUTED_VALUE"""),43913)</f>
        <v>43913</v>
      </c>
      <c r="B51" s="6" t="str">
        <f ca="1">IFERROR(__xludf.DUMMYFUNCTION("""COMPUTED_VALUE"""),"-33.596563-70.846780")</f>
        <v>-33.596563-70.846780</v>
      </c>
      <c r="C51" s="6" t="str">
        <f ca="1">IFERROR(__xludf.DUMMYFUNCTION("""COMPUTED_VALUE"""),"PAJARITOS 98")</f>
        <v>PAJARITOS 98</v>
      </c>
      <c r="D51" s="6" t="str">
        <f ca="1">IFERROR(__xludf.DUMMYFUNCTION("""COMPUTED_VALUE"""),"PEÑAFLOR")</f>
        <v>PEÑAFLOR</v>
      </c>
    </row>
    <row r="52" spans="1:4">
      <c r="A52" s="7">
        <f ca="1">IFERROR(__xludf.DUMMYFUNCTION("""COMPUTED_VALUE"""),43914)</f>
        <v>43914</v>
      </c>
      <c r="B52" s="8" t="str">
        <f ca="1">IFERROR(__xludf.DUMMYFUNCTION("""COMPUTED_VALUE"""),"-33.740307,-70.680019")</f>
        <v>-33.740307,-70.680019</v>
      </c>
      <c r="C52" s="6" t="str">
        <f ca="1">IFERROR(__xludf.DUMMYFUNCTION("""COMPUTED_VALUE"""),"PASAJE RIESLING 48")</f>
        <v>PASAJE RIESLING 48</v>
      </c>
      <c r="D52" s="6" t="str">
        <f ca="1">IFERROR(__xludf.DUMMYFUNCTION("""COMPUTED_VALUE"""),"BUIN")</f>
        <v>BUIN</v>
      </c>
    </row>
    <row r="53" spans="1:4">
      <c r="A53" s="7">
        <f ca="1">IFERROR(__xludf.DUMMYFUNCTION("""COMPUTED_VALUE"""),43914)</f>
        <v>43914</v>
      </c>
      <c r="B53" s="8" t="str">
        <f ca="1">IFERROR(__xludf.DUMMYFUNCTION("""COMPUTED_VALUE"""),"-33.728340, -70.748457")</f>
        <v>-33.728340, -70.748457</v>
      </c>
      <c r="C53" s="6" t="str">
        <f ca="1">IFERROR(__xludf.DUMMYFUNCTION("""COMPUTED_VALUE"""),"MANUEL RODRIGUEZ 932")</f>
        <v>MANUEL RODRIGUEZ 932</v>
      </c>
      <c r="D53" s="6" t="str">
        <f ca="1">IFERROR(__xludf.DUMMYFUNCTION("""COMPUTED_VALUE"""),"BUIN")</f>
        <v>BUIN</v>
      </c>
    </row>
    <row r="54" spans="1:4">
      <c r="A54" s="7">
        <f ca="1">IFERROR(__xludf.DUMMYFUNCTION("""COMPUTED_VALUE"""),43914)</f>
        <v>43914</v>
      </c>
      <c r="B54" s="8" t="str">
        <f ca="1">IFERROR(__xludf.DUMMYFUNCTION("""COMPUTED_VALUE"""),"-33.722355,-70.771854")</f>
        <v>-33.722355,-70.771854</v>
      </c>
      <c r="C54" s="6" t="str">
        <f ca="1">IFERROR(__xludf.DUMMYFUNCTION("""COMPUTED_VALUE"""),"MIGUEL DIAZ RAMOS 641")</f>
        <v>MIGUEL DIAZ RAMOS 641</v>
      </c>
      <c r="D54" s="6" t="str">
        <f ca="1">IFERROR(__xludf.DUMMYFUNCTION("""COMPUTED_VALUE"""),"BUIN")</f>
        <v>BUIN</v>
      </c>
    </row>
    <row r="55" spans="1:4">
      <c r="A55" s="7">
        <f ca="1">IFERROR(__xludf.DUMMYFUNCTION("""COMPUTED_VALUE"""),43914)</f>
        <v>43914</v>
      </c>
      <c r="B55" s="8" t="str">
        <f ca="1">IFERROR(__xludf.DUMMYFUNCTION("""COMPUTED_VALUE"""),"-33.773215,-70.827113")</f>
        <v>-33.773215,-70.827113</v>
      </c>
      <c r="C55" s="6" t="str">
        <f ca="1">IFERROR(__xludf.DUMMYFUNCTION("""COMPUTED_VALUE"""),"C ESTANCILLA 2120 SITIO 13 ( LA ALBORADA)")</f>
        <v>C ESTANCILLA 2120 SITIO 13 ( LA ALBORADA)</v>
      </c>
      <c r="D55" s="6" t="str">
        <f ca="1">IFERROR(__xludf.DUMMYFUNCTION("""COMPUTED_VALUE"""),"BUIN")</f>
        <v>BUIN</v>
      </c>
    </row>
    <row r="56" spans="1:4">
      <c r="A56" s="7">
        <f ca="1">IFERROR(__xludf.DUMMYFUNCTION("""COMPUTED_VALUE"""),43914)</f>
        <v>43914</v>
      </c>
      <c r="B56" s="8" t="str">
        <f ca="1">IFERROR(__xludf.DUMMYFUNCTION("""COMPUTED_VALUE"""),"-33.728456,-70.717512")</f>
        <v>-33.728456,-70.717512</v>
      </c>
      <c r="C56" s="6" t="str">
        <f ca="1">IFERROR(__xludf.DUMMYFUNCTION("""COMPUTED_VALUE"""),"NELSON STOCK OCARANZA 1565")</f>
        <v>NELSON STOCK OCARANZA 1565</v>
      </c>
      <c r="D56" s="6" t="str">
        <f ca="1">IFERROR(__xludf.DUMMYFUNCTION("""COMPUTED_VALUE"""),"BUIN")</f>
        <v>BUIN</v>
      </c>
    </row>
    <row r="57" spans="1:4">
      <c r="A57" s="7">
        <f ca="1">IFERROR(__xludf.DUMMYFUNCTION("""COMPUTED_VALUE"""),43914)</f>
        <v>43914</v>
      </c>
      <c r="B57" s="8" t="str">
        <f ca="1">IFERROR(__xludf.DUMMYFUNCTION("""COMPUTED_VALUE"""),"-33.743120,-70.746120")</f>
        <v>-33.743120,-70.746120</v>
      </c>
      <c r="C57" s="6" t="str">
        <f ca="1">IFERROR(__xludf.DUMMYFUNCTION("""COMPUTED_VALUE"""),"VILLASECA 555 CASA 10")</f>
        <v>VILLASECA 555 CASA 10</v>
      </c>
      <c r="D57" s="6" t="str">
        <f ca="1">IFERROR(__xludf.DUMMYFUNCTION("""COMPUTED_VALUE"""),"BUIN")</f>
        <v>BUIN</v>
      </c>
    </row>
    <row r="58" spans="1:4">
      <c r="A58" s="7">
        <f ca="1">IFERROR(__xludf.DUMMYFUNCTION("""COMPUTED_VALUE"""),43914)</f>
        <v>43914</v>
      </c>
      <c r="B58" s="8" t="str">
        <f ca="1">IFERROR(__xludf.DUMMYFUNCTION("""COMPUTED_VALUE"""),"-33.664115, -70.919072")</f>
        <v>-33.664115, -70.919072</v>
      </c>
      <c r="C58" s="6" t="str">
        <f ca="1">IFERROR(__xludf.DUMMYFUNCTION("""COMPUTED_VALUE"""),"ALFEREZ REAL 1181")</f>
        <v>ALFEREZ REAL 1181</v>
      </c>
      <c r="D58" s="6" t="str">
        <f ca="1">IFERROR(__xludf.DUMMYFUNCTION("""COMPUTED_VALUE"""),"TALAGANTE")</f>
        <v>TALAGANTE</v>
      </c>
    </row>
    <row r="59" spans="1:4">
      <c r="A59" s="7">
        <f ca="1">IFERROR(__xludf.DUMMYFUNCTION("""COMPUTED_VALUE"""),43914)</f>
        <v>43914</v>
      </c>
      <c r="B59" s="6" t="str">
        <f ca="1">IFERROR(__xludf.DUMMYFUNCTION("""COMPUTED_VALUE"""),"-33.614687-70.903386")</f>
        <v>-33.614687-70.903386</v>
      </c>
      <c r="C59" s="6" t="str">
        <f ca="1">IFERROR(__xludf.DUMMYFUNCTION("""COMPUTED_VALUE"""),"DIRIGENTE CARLOS LEYTON MORI 657")</f>
        <v>DIRIGENTE CARLOS LEYTON MORI 657</v>
      </c>
      <c r="D59" s="6" t="str">
        <f ca="1">IFERROR(__xludf.DUMMYFUNCTION("""COMPUTED_VALUE"""),"PEÑAFLOR")</f>
        <v>PEÑAFLOR</v>
      </c>
    </row>
    <row r="60" spans="1:4">
      <c r="A60" s="7">
        <f ca="1">IFERROR(__xludf.DUMMYFUNCTION("""COMPUTED_VALUE"""),43914)</f>
        <v>43914</v>
      </c>
      <c r="B60" s="6" t="str">
        <f ca="1">IFERROR(__xludf.DUMMYFUNCTION("""COMPUTED_VALUE"""),"-33.611816-70.867465")</f>
        <v>-33.611816-70.867465</v>
      </c>
      <c r="C60" s="6" t="str">
        <f ca="1">IFERROR(__xludf.DUMMYFUNCTION("""COMPUTED_VALUE"""),"CALLE UNO 1136")</f>
        <v>CALLE UNO 1136</v>
      </c>
      <c r="D60" s="6" t="str">
        <f ca="1">IFERROR(__xludf.DUMMYFUNCTION("""COMPUTED_VALUE"""),"PEÑAFLOR")</f>
        <v>PEÑAFLOR</v>
      </c>
    </row>
    <row r="61" spans="1:4">
      <c r="A61" s="7">
        <f ca="1">IFERROR(__xludf.DUMMYFUNCTION("""COMPUTED_VALUE"""),43914)</f>
        <v>43914</v>
      </c>
      <c r="B61" s="6" t="str">
        <f ca="1">IFERROR(__xludf.DUMMYFUNCTION("""COMPUTED_VALUE"""),"-33.614861-70.903326")</f>
        <v>-33.614861-70.903326</v>
      </c>
      <c r="C61" s="6" t="str">
        <f ca="1">IFERROR(__xludf.DUMMYFUNCTION("""COMPUTED_VALUE"""),"DIRIGENTE CARLOS LEYTON MORI 675")</f>
        <v>DIRIGENTE CARLOS LEYTON MORI 675</v>
      </c>
      <c r="D61" s="6" t="str">
        <f ca="1">IFERROR(__xludf.DUMMYFUNCTION("""COMPUTED_VALUE"""),"PEÑAFLOR")</f>
        <v>PEÑAFLOR</v>
      </c>
    </row>
    <row r="62" spans="1:4">
      <c r="A62" s="7">
        <f ca="1">IFERROR(__xludf.DUMMYFUNCTION("""COMPUTED_VALUE"""),43914)</f>
        <v>43914</v>
      </c>
      <c r="B62" s="6" t="str">
        <f ca="1">IFERROR(__xludf.DUMMYFUNCTION("""COMPUTED_VALUE"""),"-33.612797-70.868891")</f>
        <v>-33.612797-70.868891</v>
      </c>
      <c r="C62" s="6" t="str">
        <f ca="1">IFERROR(__xludf.DUMMYFUNCTION("""COMPUTED_VALUE"""),"CUATRO SUR 1079")</f>
        <v>CUATRO SUR 1079</v>
      </c>
      <c r="D62" s="6" t="str">
        <f ca="1">IFERROR(__xludf.DUMMYFUNCTION("""COMPUTED_VALUE"""),"PEÑAFLOR")</f>
        <v>PEÑAFLOR</v>
      </c>
    </row>
    <row r="63" spans="1:4">
      <c r="A63" s="7">
        <f ca="1">IFERROR(__xludf.DUMMYFUNCTION("""COMPUTED_VALUE"""),43914)</f>
        <v>43914</v>
      </c>
      <c r="B63" s="6" t="str">
        <f ca="1">IFERROR(__xludf.DUMMYFUNCTION("""COMPUTED_VALUE"""),"-33.598577-70.887225")</f>
        <v>-33.598577-70.887225</v>
      </c>
      <c r="C63" s="6" t="str">
        <f ca="1">IFERROR(__xludf.DUMMYFUNCTION("""COMPUTED_VALUE"""),"PASAJE EDEN 3513")</f>
        <v>PASAJE EDEN 3513</v>
      </c>
      <c r="D63" s="6" t="str">
        <f ca="1">IFERROR(__xludf.DUMMYFUNCTION("""COMPUTED_VALUE"""),"PEÑAFLOR")</f>
        <v>PEÑAFLOR</v>
      </c>
    </row>
    <row r="64" spans="1:4">
      <c r="A64" s="7">
        <f ca="1">IFERROR(__xludf.DUMMYFUNCTION("""COMPUTED_VALUE"""),43914)</f>
        <v>43914</v>
      </c>
      <c r="B64" s="6" t="str">
        <f ca="1">IFERROR(__xludf.DUMMYFUNCTION("""COMPUTED_VALUE"""),"-33.598637-70.887306")</f>
        <v>-33.598637-70.887306</v>
      </c>
      <c r="C64" s="6" t="str">
        <f ca="1">IFERROR(__xludf.DUMMYFUNCTION("""COMPUTED_VALUE"""),"PASAJE EDEN 3523")</f>
        <v>PASAJE EDEN 3523</v>
      </c>
      <c r="D64" s="6" t="str">
        <f ca="1">IFERROR(__xludf.DUMMYFUNCTION("""COMPUTED_VALUE"""),"PEÑAFLOR")</f>
        <v>PEÑAFLOR</v>
      </c>
    </row>
    <row r="65" spans="1:4">
      <c r="A65" s="7">
        <f ca="1">IFERROR(__xludf.DUMMYFUNCTION("""COMPUTED_VALUE"""),43914)</f>
        <v>43914</v>
      </c>
      <c r="B65" s="6" t="str">
        <f ca="1">IFERROR(__xludf.DUMMYFUNCTION("""COMPUTED_VALUE"""),"-33.273047-70.882609")</f>
        <v>-33.273047-70.882609</v>
      </c>
      <c r="C65" s="6" t="str">
        <f ca="1">IFERROR(__xludf.DUMMYFUNCTION("""COMPUTED_VALUE"""),"MARTI CORENA PARC 2")</f>
        <v>MARTI CORENA PARC 2</v>
      </c>
      <c r="D65" s="6" t="str">
        <f ca="1">IFERROR(__xludf.DUMMYFUNCTION("""COMPUTED_VALUE"""),"LAMPA")</f>
        <v>LAMPA</v>
      </c>
    </row>
    <row r="66" spans="1:4">
      <c r="A66" s="7">
        <f ca="1">IFERROR(__xludf.DUMMYFUNCTION("""COMPUTED_VALUE"""),43914)</f>
        <v>43914</v>
      </c>
      <c r="B66" s="6" t="str">
        <f ca="1">IFERROR(__xludf.DUMMYFUNCTION("""COMPUTED_VALUE"""),"-33.273047-70.882609")</f>
        <v>-33.273047-70.882609</v>
      </c>
      <c r="C66" s="6" t="str">
        <f ca="1">IFERROR(__xludf.DUMMYFUNCTION("""COMPUTED_VALUE"""),"MARTI CORENA PARC 2")</f>
        <v>MARTI CORENA PARC 2</v>
      </c>
      <c r="D66" s="6" t="str">
        <f ca="1">IFERROR(__xludf.DUMMYFUNCTION("""COMPUTED_VALUE"""),"LAMPA")</f>
        <v>LAMPA</v>
      </c>
    </row>
    <row r="67" spans="1:4">
      <c r="A67" s="7">
        <f ca="1">IFERROR(__xludf.DUMMYFUNCTION("""COMPUTED_VALUE"""),43914)</f>
        <v>43914</v>
      </c>
      <c r="B67" s="6" t="str">
        <f ca="1">IFERROR(__xludf.DUMMYFUNCTION("""COMPUTED_VALUE"""),"-33.275302,-70.842639")</f>
        <v>-33.275302,-70.842639</v>
      </c>
      <c r="C67" s="6" t="str">
        <f ca="1">IFERROR(__xludf.DUMMYFUNCTION("""COMPUTED_VALUE"""),"AV. RUTA G 12 S/N PARCELA 6 LOTE A CACIQUE COLIN")</f>
        <v>AV. RUTA G 12 S/N PARCELA 6 LOTE A CACIQUE COLIN</v>
      </c>
      <c r="D67" s="6" t="str">
        <f ca="1">IFERROR(__xludf.DUMMYFUNCTION("""COMPUTED_VALUE"""),"LAMPA")</f>
        <v>LAMPA</v>
      </c>
    </row>
    <row r="68" spans="1:4">
      <c r="A68" s="7">
        <f ca="1">IFERROR(__xludf.DUMMYFUNCTION("""COMPUTED_VALUE"""),43915)</f>
        <v>43915</v>
      </c>
      <c r="B68" s="8" t="str">
        <f ca="1">IFERROR(__xludf.DUMMYFUNCTION("""COMPUTED_VALUE"""),"-33.762968,-70.741458")</f>
        <v>-33.762968,-70.741458</v>
      </c>
      <c r="C68" s="6" t="str">
        <f ca="1">IFERROR(__xludf.DUMMYFUNCTION("""COMPUTED_VALUE"""),"PARCELA Y LINDEROS (HERMANOS CALDERA 118)")</f>
        <v>PARCELA Y LINDEROS (HERMANOS CALDERA 118)</v>
      </c>
      <c r="D68" s="6" t="str">
        <f ca="1">IFERROR(__xludf.DUMMYFUNCTION("""COMPUTED_VALUE"""),"BUIN")</f>
        <v>BUIN</v>
      </c>
    </row>
    <row r="69" spans="1:4">
      <c r="A69" s="7">
        <f ca="1">IFERROR(__xludf.DUMMYFUNCTION("""COMPUTED_VALUE"""),43915)</f>
        <v>43915</v>
      </c>
      <c r="B69" s="8" t="str">
        <f ca="1">IFERROR(__xludf.DUMMYFUNCTION("""COMPUTED_VALUE"""),"-33.734317,-70.687398")</f>
        <v>-33.734317,-70.687398</v>
      </c>
      <c r="C69" s="6" t="str">
        <f ca="1">IFERROR(__xludf.DUMMYFUNCTION("""COMPUTED_VALUE"""),"LUIS ALBERTO CUEVA 178")</f>
        <v>LUIS ALBERTO CUEVA 178</v>
      </c>
      <c r="D69" s="6" t="str">
        <f ca="1">IFERROR(__xludf.DUMMYFUNCTION("""COMPUTED_VALUE"""),"BUIN")</f>
        <v>BUIN</v>
      </c>
    </row>
    <row r="70" spans="1:4">
      <c r="A70" s="7">
        <f ca="1">IFERROR(__xludf.DUMMYFUNCTION("""COMPUTED_VALUE"""),43915)</f>
        <v>43915</v>
      </c>
      <c r="B70" s="8" t="str">
        <f ca="1">IFERROR(__xludf.DUMMYFUNCTION("""COMPUTED_VALUE"""),"-33.740661, -70.744834")</f>
        <v>-33.740661, -70.744834</v>
      </c>
      <c r="C70" s="6" t="str">
        <f ca="1">IFERROR(__xludf.DUMMYFUNCTION("""COMPUTED_VALUE"""),"SAN FELIX 458")</f>
        <v>SAN FELIX 458</v>
      </c>
      <c r="D70" s="6" t="str">
        <f ca="1">IFERROR(__xludf.DUMMYFUNCTION("""COMPUTED_VALUE"""),"BUIN")</f>
        <v>BUIN</v>
      </c>
    </row>
    <row r="71" spans="1:4">
      <c r="A71" s="7">
        <f ca="1">IFERROR(__xludf.DUMMYFUNCTION("""COMPUTED_VALUE"""),43915)</f>
        <v>43915</v>
      </c>
      <c r="B71" s="8" t="str">
        <f ca="1">IFERROR(__xludf.DUMMYFUNCTION("""COMPUTED_VALUE"""),"-33.735748,-70.684170")</f>
        <v>-33.735748,-70.684170</v>
      </c>
      <c r="C71" s="6" t="str">
        <f ca="1">IFERROR(__xludf.DUMMYFUNCTION("""COMPUTED_VALUE"""),"MIRAFLORES 310")</f>
        <v>MIRAFLORES 310</v>
      </c>
      <c r="D71" s="6" t="str">
        <f ca="1">IFERROR(__xludf.DUMMYFUNCTION("""COMPUTED_VALUE"""),"BUIN")</f>
        <v>BUIN</v>
      </c>
    </row>
    <row r="72" spans="1:4">
      <c r="A72" s="7">
        <f ca="1">IFERROR(__xludf.DUMMYFUNCTION("""COMPUTED_VALUE"""),43915)</f>
        <v>43915</v>
      </c>
      <c r="B72" s="8" t="str">
        <f ca="1">IFERROR(__xludf.DUMMYFUNCTION("""COMPUTED_VALUE"""),"-33.713912, -70.738462")</f>
        <v>-33.713912, -70.738462</v>
      </c>
      <c r="C72" s="6" t="str">
        <f ca="1">IFERROR(__xludf.DUMMYFUNCTION("""COMPUTED_VALUE"""),"LAS TEMPORERAS 0406")</f>
        <v>LAS TEMPORERAS 0406</v>
      </c>
      <c r="D72" s="6" t="str">
        <f ca="1">IFERROR(__xludf.DUMMYFUNCTION("""COMPUTED_VALUE"""),"BUIN")</f>
        <v>BUIN</v>
      </c>
    </row>
    <row r="73" spans="1:4">
      <c r="A73" s="7">
        <f ca="1">IFERROR(__xludf.DUMMYFUNCTION("""COMPUTED_VALUE"""),43915)</f>
        <v>43915</v>
      </c>
      <c r="B73" s="8" t="str">
        <f ca="1">IFERROR(__xludf.DUMMYFUNCTION("""COMPUTED_VALUE"""),"-33.736825, -70.745404")</f>
        <v>-33.736825, -70.745404</v>
      </c>
      <c r="C73" s="6" t="str">
        <f ca="1">IFERROR(__xludf.DUMMYFUNCTION("""COMPUTED_VALUE"""),"LORD COCHRANE 588")</f>
        <v>LORD COCHRANE 588</v>
      </c>
      <c r="D73" s="6" t="str">
        <f ca="1">IFERROR(__xludf.DUMMYFUNCTION("""COMPUTED_VALUE"""),"BUIN")</f>
        <v>BUIN</v>
      </c>
    </row>
    <row r="74" spans="1:4">
      <c r="A74" s="7">
        <f ca="1">IFERROR(__xludf.DUMMYFUNCTION("""COMPUTED_VALUE"""),43915)</f>
        <v>43915</v>
      </c>
      <c r="B74" s="8" t="str">
        <f ca="1">IFERROR(__xludf.DUMMYFUNCTION("""COMPUTED_VALUE"""),"-33.727033, -70.774505")</f>
        <v>-33.727033, -70.774505</v>
      </c>
      <c r="C74" s="6" t="str">
        <f ca="1">IFERROR(__xludf.DUMMYFUNCTION("""COMPUTED_VALUE"""),"LOS MAGNOLIOS 296 CASA E")</f>
        <v>LOS MAGNOLIOS 296 CASA E</v>
      </c>
      <c r="D74" s="6" t="str">
        <f ca="1">IFERROR(__xludf.DUMMYFUNCTION("""COMPUTED_VALUE"""),"BUIN")</f>
        <v>BUIN</v>
      </c>
    </row>
    <row r="75" spans="1:4">
      <c r="A75" s="7">
        <f ca="1">IFERROR(__xludf.DUMMYFUNCTION("""COMPUTED_VALUE"""),43915)</f>
        <v>43915</v>
      </c>
      <c r="B75" s="8" t="str">
        <f ca="1">IFERROR(__xludf.DUMMYFUNCTION("""COMPUTED_VALUE"""),"-33.711774,-70.742750")</f>
        <v>-33.711774,-70.742750</v>
      </c>
      <c r="C75" s="6" t="str">
        <f ca="1">IFERROR(__xludf.DUMMYFUNCTION("""COMPUTED_VALUE"""),"PROGRESO Y BIENESTAR 141")</f>
        <v>PROGRESO Y BIENESTAR 141</v>
      </c>
      <c r="D75" s="6" t="str">
        <f ca="1">IFERROR(__xludf.DUMMYFUNCTION("""COMPUTED_VALUE"""),"BUIN")</f>
        <v>BUIN</v>
      </c>
    </row>
    <row r="76" spans="1:4">
      <c r="A76" s="7">
        <f ca="1">IFERROR(__xludf.DUMMYFUNCTION("""COMPUTED_VALUE"""),43915)</f>
        <v>43915</v>
      </c>
      <c r="B76" s="8" t="str">
        <f ca="1">IFERROR(__xludf.DUMMYFUNCTION("""COMPUTED_VALUE"""),"-33.728378, -70.772329")</f>
        <v>-33.728378, -70.772329</v>
      </c>
      <c r="C76" s="6" t="str">
        <f ca="1">IFERROR(__xludf.DUMMYFUNCTION("""COMPUTED_VALUE"""),"MANUEL BUSTOS 2958")</f>
        <v>MANUEL BUSTOS 2958</v>
      </c>
      <c r="D76" s="6" t="str">
        <f ca="1">IFERROR(__xludf.DUMMYFUNCTION("""COMPUTED_VALUE"""),"BUIN")</f>
        <v>BUIN</v>
      </c>
    </row>
    <row r="77" spans="1:4">
      <c r="A77" s="7">
        <f ca="1">IFERROR(__xludf.DUMMYFUNCTION("""COMPUTED_VALUE"""),43915)</f>
        <v>43915</v>
      </c>
      <c r="B77" s="8" t="str">
        <f ca="1">IFERROR(__xludf.DUMMYFUNCTION("""COMPUTED_VALUE"""),"-33.805912,-70.858853")</f>
        <v>-33.805912,-70.858853</v>
      </c>
      <c r="C77" s="6" t="str">
        <f ca="1">IFERROR(__xludf.DUMMYFUNCTION("""COMPUTED_VALUE"""),"LAUTARO 127, CASA 26")</f>
        <v>LAUTARO 127, CASA 26</v>
      </c>
      <c r="D77" s="6" t="str">
        <f ca="1">IFERROR(__xludf.DUMMYFUNCTION("""COMPUTED_VALUE"""),"BUIN")</f>
        <v>BUIN</v>
      </c>
    </row>
    <row r="78" spans="1:4">
      <c r="A78" s="7">
        <f ca="1">IFERROR(__xludf.DUMMYFUNCTION("""COMPUTED_VALUE"""),43915)</f>
        <v>43915</v>
      </c>
      <c r="B78" s="8" t="str">
        <f ca="1">IFERROR(__xludf.DUMMYFUNCTION("""COMPUTED_VALUE"""),"-33.726625, -70.775255")</f>
        <v>-33.726625, -70.775255</v>
      </c>
      <c r="C78" s="6" t="str">
        <f ca="1">IFERROR(__xludf.DUMMYFUNCTION("""COMPUTED_VALUE"""),"EL NOGAL 298 J1")</f>
        <v>EL NOGAL 298 J1</v>
      </c>
      <c r="D78" s="6" t="str">
        <f ca="1">IFERROR(__xludf.DUMMYFUNCTION("""COMPUTED_VALUE"""),"BUIN")</f>
        <v>BUIN</v>
      </c>
    </row>
    <row r="79" spans="1:4">
      <c r="A79" s="7">
        <f ca="1">IFERROR(__xludf.DUMMYFUNCTION("""COMPUTED_VALUE"""),43915)</f>
        <v>43915</v>
      </c>
      <c r="B79" s="6" t="str">
        <f ca="1">IFERROR(__xludf.DUMMYFUNCTION("""COMPUTED_VALUE"""),"-33.602517-70.874849")</f>
        <v>-33.602517-70.874849</v>
      </c>
      <c r="C79" s="6" t="str">
        <f ca="1">IFERROR(__xludf.DUMMYFUNCTION("""COMPUTED_VALUE"""),"FRANCISCO BILBAO 450 CASA 27")</f>
        <v>FRANCISCO BILBAO 450 CASA 27</v>
      </c>
      <c r="D79" s="6" t="str">
        <f ca="1">IFERROR(__xludf.DUMMYFUNCTION("""COMPUTED_VALUE"""),"PEÑAFLOR")</f>
        <v>PEÑAFLOR</v>
      </c>
    </row>
    <row r="80" spans="1:4">
      <c r="A80" s="7">
        <f ca="1">IFERROR(__xludf.DUMMYFUNCTION("""COMPUTED_VALUE"""),43915)</f>
        <v>43915</v>
      </c>
      <c r="B80" s="6" t="str">
        <f ca="1">IFERROR(__xludf.DUMMYFUNCTION("""COMPUTED_VALUE"""),"-33.612291-70.867440")</f>
        <v>-33.612291-70.867440</v>
      </c>
      <c r="C80" s="6" t="str">
        <f ca="1">IFERROR(__xludf.DUMMYFUNCTION("""COMPUTED_VALUE"""),"UNO ORIENTE 1192")</f>
        <v>UNO ORIENTE 1192</v>
      </c>
      <c r="D80" s="6" t="str">
        <f ca="1">IFERROR(__xludf.DUMMYFUNCTION("""COMPUTED_VALUE"""),"PEÑAFLOR")</f>
        <v>PEÑAFLOR</v>
      </c>
    </row>
    <row r="81" spans="1:4">
      <c r="A81" s="7">
        <f ca="1">IFERROR(__xludf.DUMMYFUNCTION("""COMPUTED_VALUE"""),43915)</f>
        <v>43915</v>
      </c>
      <c r="B81" s="6" t="str">
        <f ca="1">IFERROR(__xludf.DUMMYFUNCTION("""COMPUTED_VALUE"""),"-33.6292-70.9148")</f>
        <v>-33.6292-70.9148</v>
      </c>
      <c r="C81" s="6" t="str">
        <f ca="1">IFERROR(__xludf.DUMMYFUNCTION("""COMPUTED_VALUE"""),"SANTO TORIBIO 2A")</f>
        <v>SANTO TORIBIO 2A</v>
      </c>
      <c r="D81" s="6" t="str">
        <f ca="1">IFERROR(__xludf.DUMMYFUNCTION("""COMPUTED_VALUE"""),"PEÑAFLOR")</f>
        <v>PEÑAFLOR</v>
      </c>
    </row>
    <row r="82" spans="1:4">
      <c r="A82" s="7">
        <f ca="1">IFERROR(__xludf.DUMMYFUNCTION("""COMPUTED_VALUE"""),43915)</f>
        <v>43915</v>
      </c>
      <c r="B82" s="6" t="str">
        <f ca="1">IFERROR(__xludf.DUMMYFUNCTION("""COMPUTED_VALUE"""),"-33.604287-70.881988")</f>
        <v>-33.604287-70.881988</v>
      </c>
      <c r="C82" s="6" t="str">
        <f ca="1">IFERROR(__xludf.DUMMYFUNCTION("""COMPUTED_VALUE"""),"MALLOQUITO 2586")</f>
        <v>MALLOQUITO 2586</v>
      </c>
      <c r="D82" s="6" t="str">
        <f ca="1">IFERROR(__xludf.DUMMYFUNCTION("""COMPUTED_VALUE"""),"PEÑAFLOR")</f>
        <v>PEÑAFLOR</v>
      </c>
    </row>
    <row r="83" spans="1:4">
      <c r="A83" s="7">
        <f ca="1">IFERROR(__xludf.DUMMYFUNCTION("""COMPUTED_VALUE"""),43916)</f>
        <v>43916</v>
      </c>
      <c r="B83" s="8" t="str">
        <f ca="1">IFERROR(__xludf.DUMMYFUNCTION("""COMPUTED_VALUE"""),"-33.724217,-70740993")</f>
        <v>-33.724217,-70740993</v>
      </c>
      <c r="C83" s="6" t="str">
        <f ca="1">IFERROR(__xludf.DUMMYFUNCTION("""COMPUTED_VALUE"""),"SANDOVAL 355")</f>
        <v>SANDOVAL 355</v>
      </c>
      <c r="D83" s="6" t="str">
        <f ca="1">IFERROR(__xludf.DUMMYFUNCTION("""COMPUTED_VALUE"""),"BUIN")</f>
        <v>BUIN</v>
      </c>
    </row>
    <row r="84" spans="1:4">
      <c r="A84" s="7">
        <f ca="1">IFERROR(__xludf.DUMMYFUNCTION("""COMPUTED_VALUE"""),43916)</f>
        <v>43916</v>
      </c>
      <c r="B84" s="8" t="str">
        <f ca="1">IFERROR(__xludf.DUMMYFUNCTION("""COMPUTED_VALUE"""),"-33.724826, -70.773770")</f>
        <v>-33.724826, -70.773770</v>
      </c>
      <c r="C84" s="6" t="str">
        <f ca="1">IFERROR(__xludf.DUMMYFUNCTION("""COMPUTED_VALUE"""),"GUACOLDA PAREDES 473")</f>
        <v>GUACOLDA PAREDES 473</v>
      </c>
      <c r="D84" s="6" t="str">
        <f ca="1">IFERROR(__xludf.DUMMYFUNCTION("""COMPUTED_VALUE"""),"BUIN")</f>
        <v>BUIN</v>
      </c>
    </row>
    <row r="85" spans="1:4">
      <c r="A85" s="7">
        <f ca="1">IFERROR(__xludf.DUMMYFUNCTION("""COMPUTED_VALUE"""),43916)</f>
        <v>43916</v>
      </c>
      <c r="B85" s="8" t="str">
        <f ca="1">IFERROR(__xludf.DUMMYFUNCTION("""COMPUTED_VALUE"""),"-33.712983, -70.743528")</f>
        <v>-33.712983, -70.743528</v>
      </c>
      <c r="C85" s="6" t="str">
        <f ca="1">IFERROR(__xludf.DUMMYFUNCTION("""COMPUTED_VALUE"""),"LOS BARRIOS 1564")</f>
        <v>LOS BARRIOS 1564</v>
      </c>
      <c r="D85" s="6" t="str">
        <f ca="1">IFERROR(__xludf.DUMMYFUNCTION("""COMPUTED_VALUE"""),"BUIN")</f>
        <v>BUIN</v>
      </c>
    </row>
    <row r="86" spans="1:4">
      <c r="A86" s="7">
        <f ca="1">IFERROR(__xludf.DUMMYFUNCTION("""COMPUTED_VALUE"""),43916)</f>
        <v>43916</v>
      </c>
      <c r="B86" s="8" t="str">
        <f ca="1">IFERROR(__xludf.DUMMYFUNCTION("""COMPUTED_VALUE"""),"-33.724327,-70.7733")</f>
        <v>-33.724327,-70.7733</v>
      </c>
      <c r="C86" s="6" t="str">
        <f ca="1">IFERROR(__xludf.DUMMYFUNCTION("""COMPUTED_VALUE"""),"RAMIRO MANZOR SOTO 136")</f>
        <v>RAMIRO MANZOR SOTO 136</v>
      </c>
      <c r="D86" s="6" t="str">
        <f ca="1">IFERROR(__xludf.DUMMYFUNCTION("""COMPUTED_VALUE"""),"BUIN")</f>
        <v>BUIN</v>
      </c>
    </row>
    <row r="87" spans="1:4">
      <c r="A87" s="7">
        <f ca="1">IFERROR(__xludf.DUMMYFUNCTION("""COMPUTED_VALUE"""),43916)</f>
        <v>43916</v>
      </c>
      <c r="B87" s="8" t="str">
        <f ca="1">IFERROR(__xludf.DUMMYFUNCTION("""COMPUTED_VALUE"""),"-33.740459,-70.739234")</f>
        <v>-33.740459,-70.739234</v>
      </c>
      <c r="C87" s="6" t="str">
        <f ca="1">IFERROR(__xludf.DUMMYFUNCTION("""COMPUTED_VALUE"""),"SAN FELIX 141")</f>
        <v>SAN FELIX 141</v>
      </c>
      <c r="D87" s="6" t="str">
        <f ca="1">IFERROR(__xludf.DUMMYFUNCTION("""COMPUTED_VALUE"""),"BUIN")</f>
        <v>BUIN</v>
      </c>
    </row>
    <row r="88" spans="1:4">
      <c r="A88" s="7">
        <f ca="1">IFERROR(__xludf.DUMMYFUNCTION("""COMPUTED_VALUE"""),43916)</f>
        <v>43916</v>
      </c>
      <c r="B88" s="8" t="str">
        <f ca="1">IFERROR(__xludf.DUMMYFUNCTION("""COMPUTED_VALUE"""),"-33.7727269,70.8260813")</f>
        <v>-33.7727269,70.8260813</v>
      </c>
      <c r="C88" s="6" t="str">
        <f ca="1">IFERROR(__xludf.DUMMYFUNCTION("""COMPUTED_VALUE"""),"LA ESTANCILLA 2052 (VALDIVIA DE PAINE CASA 1)")</f>
        <v>LA ESTANCILLA 2052 (VALDIVIA DE PAINE CASA 1)</v>
      </c>
      <c r="D88" s="6" t="str">
        <f ca="1">IFERROR(__xludf.DUMMYFUNCTION("""COMPUTED_VALUE"""),"BUIN")</f>
        <v>BUIN</v>
      </c>
    </row>
    <row r="89" spans="1:4">
      <c r="A89" s="7">
        <f ca="1">IFERROR(__xludf.DUMMYFUNCTION("""COMPUTED_VALUE"""),43916)</f>
        <v>43916</v>
      </c>
      <c r="B89" s="8" t="str">
        <f ca="1">IFERROR(__xludf.DUMMYFUNCTION("""COMPUTED_VALUE"""),"-33.714416, -70.740843")</f>
        <v>-33.714416, -70.740843</v>
      </c>
      <c r="C89" s="6" t="str">
        <f ca="1">IFERROR(__xludf.DUMMYFUNCTION("""COMPUTED_VALUE"""),"PASAJE RAUL ORTEGA 01432")</f>
        <v>PASAJE RAUL ORTEGA 01432</v>
      </c>
      <c r="D89" s="6" t="str">
        <f ca="1">IFERROR(__xludf.DUMMYFUNCTION("""COMPUTED_VALUE"""),"BUIN")</f>
        <v>BUIN</v>
      </c>
    </row>
    <row r="90" spans="1:4">
      <c r="A90" s="7">
        <f ca="1">IFERROR(__xludf.DUMMYFUNCTION("""COMPUTED_VALUE"""),43916)</f>
        <v>43916</v>
      </c>
      <c r="B90" s="8" t="str">
        <f ca="1">IFERROR(__xludf.DUMMYFUNCTION("""COMPUTED_VALUE"""),"-33.715981,-70.738496")</f>
        <v>-33.715981,-70.738496</v>
      </c>
      <c r="C90" s="6" t="str">
        <f ca="1">IFERROR(__xludf.DUMMYFUNCTION("""COMPUTED_VALUE"""),"LOS PARRONALES 01331")</f>
        <v>LOS PARRONALES 01331</v>
      </c>
      <c r="D90" s="6" t="str">
        <f ca="1">IFERROR(__xludf.DUMMYFUNCTION("""COMPUTED_VALUE"""),"BUIN")</f>
        <v>BUIN</v>
      </c>
    </row>
    <row r="91" spans="1:4">
      <c r="A91" s="7">
        <f ca="1">IFERROR(__xludf.DUMMYFUNCTION("""COMPUTED_VALUE"""),43916)</f>
        <v>43916</v>
      </c>
      <c r="B91" s="8" t="str">
        <f ca="1">IFERROR(__xludf.DUMMYFUNCTION("""COMPUTED_VALUE"""),"-33.740072,-70.742216")</f>
        <v>-33.740072,-70.742216</v>
      </c>
      <c r="C91" s="6" t="str">
        <f ca="1">IFERROR(__xludf.DUMMYFUNCTION("""COMPUTED_VALUE"""),"SAN FELIX 373")</f>
        <v>SAN FELIX 373</v>
      </c>
      <c r="D91" s="6" t="str">
        <f ca="1">IFERROR(__xludf.DUMMYFUNCTION("""COMPUTED_VALUE"""),"BUIN")</f>
        <v>BUIN</v>
      </c>
    </row>
    <row r="92" spans="1:4">
      <c r="A92" s="7">
        <f ca="1">IFERROR(__xludf.DUMMYFUNCTION("""COMPUTED_VALUE"""),43916)</f>
        <v>43916</v>
      </c>
      <c r="B92" s="6" t="str">
        <f ca="1">IFERROR(__xludf.DUMMYFUNCTION("""COMPUTED_VALUE"""),"-33.611709-70.878369")</f>
        <v>-33.611709-70.878369</v>
      </c>
      <c r="C92" s="6" t="str">
        <f ca="1">IFERROR(__xludf.DUMMYFUNCTION("""COMPUTED_VALUE"""),"VOLCAN DESCABEZADO 1586")</f>
        <v>VOLCAN DESCABEZADO 1586</v>
      </c>
      <c r="D92" s="6" t="str">
        <f ca="1">IFERROR(__xludf.DUMMYFUNCTION("""COMPUTED_VALUE"""),"PEÑAFLOR")</f>
        <v>PEÑAFLOR</v>
      </c>
    </row>
    <row r="93" spans="1:4">
      <c r="A93" s="7">
        <f ca="1">IFERROR(__xludf.DUMMYFUNCTION("""COMPUTED_VALUE"""),43916)</f>
        <v>43916</v>
      </c>
      <c r="B93" s="6" t="str">
        <f ca="1">IFERROR(__xludf.DUMMYFUNCTION("""COMPUTED_VALUE"""),"-33.614163, -70.902363")</f>
        <v>-33.614163, -70.902363</v>
      </c>
      <c r="C93" s="6" t="str">
        <f ca="1">IFERROR(__xludf.DUMMYFUNCTION("""COMPUTED_VALUE"""),"DIRIGENTE PEDRO GOMEZ CORDOVA 663")</f>
        <v>DIRIGENTE PEDRO GOMEZ CORDOVA 663</v>
      </c>
      <c r="D93" s="6" t="str">
        <f ca="1">IFERROR(__xludf.DUMMYFUNCTION("""COMPUTED_VALUE"""),"PEÑAFLOR")</f>
        <v>PEÑAFLOR</v>
      </c>
    </row>
    <row r="94" spans="1:4">
      <c r="A94" s="7">
        <f ca="1">IFERROR(__xludf.DUMMYFUNCTION("""COMPUTED_VALUE"""),43916)</f>
        <v>43916</v>
      </c>
      <c r="B94" s="6" t="str">
        <f ca="1">IFERROR(__xludf.DUMMYFUNCTION("""COMPUTED_VALUE"""),"-33.285064,-70.871108")</f>
        <v>-33.285064,-70.871108</v>
      </c>
      <c r="C94" s="6" t="str">
        <f ca="1">IFERROR(__xludf.DUMMYFUNCTION("""COMPUTED_VALUE"""),"AV. BARROS LUCO 2156 ")</f>
        <v xml:space="preserve">AV. BARROS LUCO 2156 </v>
      </c>
      <c r="D94" s="6" t="str">
        <f ca="1">IFERROR(__xludf.DUMMYFUNCTION("""COMPUTED_VALUE"""),"LAMPA")</f>
        <v>LAMPA</v>
      </c>
    </row>
    <row r="95" spans="1:4">
      <c r="A95" s="7">
        <f ca="1">IFERROR(__xludf.DUMMYFUNCTION("""COMPUTED_VALUE"""),43916)</f>
        <v>43916</v>
      </c>
      <c r="B95" s="6" t="str">
        <f ca="1">IFERROR(__xludf.DUMMYFUNCTION("""COMPUTED_VALUE"""),"-33.297216,-70.845202")</f>
        <v>-33.297216,-70.845202</v>
      </c>
      <c r="C95" s="6" t="str">
        <f ca="1">IFERROR(__xludf.DUMMYFUNCTION("""COMPUTED_VALUE"""),"AVDA. BERNARDO OHIGGINS 144 C/4")</f>
        <v>AVDA. BERNARDO OHIGGINS 144 C/4</v>
      </c>
      <c r="D95" s="6" t="str">
        <f ca="1">IFERROR(__xludf.DUMMYFUNCTION("""COMPUTED_VALUE"""),"LAMPA")</f>
        <v>LAMPA</v>
      </c>
    </row>
    <row r="96" spans="1:4">
      <c r="A96" s="7">
        <f ca="1">IFERROR(__xludf.DUMMYFUNCTION("""COMPUTED_VALUE"""),43916)</f>
        <v>43916</v>
      </c>
      <c r="B96" s="6" t="str">
        <f ca="1">IFERROR(__xludf.DUMMYFUNCTION("""COMPUTED_VALUE"""),"-33.282410,-70.872853")</f>
        <v>-33.282410,-70.872853</v>
      </c>
      <c r="C96" s="6" t="str">
        <f ca="1">IFERROR(__xludf.DUMMYFUNCTION("""COMPUTED_VALUE"""),"HERMANOS CARRERA 194")</f>
        <v>HERMANOS CARRERA 194</v>
      </c>
      <c r="D96" s="6" t="str">
        <f ca="1">IFERROR(__xludf.DUMMYFUNCTION("""COMPUTED_VALUE"""),"LAMPA")</f>
        <v>LAMPA</v>
      </c>
    </row>
    <row r="97" spans="1:4">
      <c r="A97" s="7">
        <f ca="1">IFERROR(__xludf.DUMMYFUNCTION("""COMPUTED_VALUE"""),43917)</f>
        <v>43917</v>
      </c>
      <c r="B97" s="8" t="str">
        <f ca="1">IFERROR(__xludf.DUMMYFUNCTION("""COMPUTED_VALUE"""),"-33.725648, -70.744860")</f>
        <v>-33.725648, -70.744860</v>
      </c>
      <c r="C97" s="6" t="str">
        <f ca="1">IFERROR(__xludf.DUMMYFUNCTION("""COMPUTED_VALUE"""),"MANUEL BULNES 355")</f>
        <v>MANUEL BULNES 355</v>
      </c>
      <c r="D97" s="6" t="str">
        <f ca="1">IFERROR(__xludf.DUMMYFUNCTION("""COMPUTED_VALUE"""),"BUIN")</f>
        <v>BUIN</v>
      </c>
    </row>
    <row r="98" spans="1:4">
      <c r="A98" s="7">
        <f ca="1">IFERROR(__xludf.DUMMYFUNCTION("""COMPUTED_VALUE"""),43917)</f>
        <v>43917</v>
      </c>
      <c r="B98" s="8" t="str">
        <f ca="1">IFERROR(__xludf.DUMMYFUNCTION("""COMPUTED_VALUE"""),"-33.725018,70.773313")</f>
        <v>-33.725018,70.773313</v>
      </c>
      <c r="C98" s="6" t="str">
        <f ca="1">IFERROR(__xludf.DUMMYFUNCTION("""COMPUTED_VALUE"""),"JORGE SILVA FERNANDEZ 476")</f>
        <v>JORGE SILVA FERNANDEZ 476</v>
      </c>
      <c r="D98" s="6" t="str">
        <f ca="1">IFERROR(__xludf.DUMMYFUNCTION("""COMPUTED_VALUE"""),"BUIN")</f>
        <v>BUIN</v>
      </c>
    </row>
    <row r="99" spans="1:4">
      <c r="A99" s="7">
        <f ca="1">IFERROR(__xludf.DUMMYFUNCTION("""COMPUTED_VALUE"""),43917)</f>
        <v>43917</v>
      </c>
      <c r="B99" s="8" t="str">
        <f ca="1">IFERROR(__xludf.DUMMYFUNCTION("""COMPUTED_VALUE"""),"-33.731184, -70.729132")</f>
        <v>-33.731184, -70.729132</v>
      </c>
      <c r="C99" s="6" t="str">
        <f ca="1">IFERROR(__xludf.DUMMYFUNCTION("""COMPUTED_VALUE"""),"EL MAQUINISTA 303")</f>
        <v>EL MAQUINISTA 303</v>
      </c>
      <c r="D99" s="6" t="str">
        <f ca="1">IFERROR(__xludf.DUMMYFUNCTION("""COMPUTED_VALUE"""),"BUIN")</f>
        <v>BUIN</v>
      </c>
    </row>
    <row r="100" spans="1:4">
      <c r="A100" s="7">
        <f ca="1">IFERROR(__xludf.DUMMYFUNCTION("""COMPUTED_VALUE"""),43917)</f>
        <v>43917</v>
      </c>
      <c r="B100" s="8" t="str">
        <f ca="1">IFERROR(__xludf.DUMMYFUNCTION("""COMPUTED_VALUE"""),"-33.725596,-70.775012")</f>
        <v>-33.725596,-70.775012</v>
      </c>
      <c r="C100" s="6" t="str">
        <f ca="1">IFERROR(__xludf.DUMMYFUNCTION("""COMPUTED_VALUE"""),"LUIS VALDERRAMA REYES 422")</f>
        <v>LUIS VALDERRAMA REYES 422</v>
      </c>
      <c r="D100" s="6" t="str">
        <f ca="1">IFERROR(__xludf.DUMMYFUNCTION("""COMPUTED_VALUE"""),"BUIN")</f>
        <v>BUIN</v>
      </c>
    </row>
    <row r="101" spans="1:4">
      <c r="A101" s="7">
        <f ca="1">IFERROR(__xludf.DUMMYFUNCTION("""COMPUTED_VALUE"""),43917)</f>
        <v>43917</v>
      </c>
      <c r="B101" s="8" t="str">
        <f ca="1">IFERROR(__xludf.DUMMYFUNCTION("""COMPUTED_VALUE"""),"-33.739357,-70.743796")</f>
        <v>-33.739357,-70.743796</v>
      </c>
      <c r="C101" s="6" t="str">
        <f ca="1">IFERROR(__xludf.DUMMYFUNCTION("""COMPUTED_VALUE"""),"SAN SEBASTIAN 474")</f>
        <v>SAN SEBASTIAN 474</v>
      </c>
      <c r="D101" s="6" t="str">
        <f ca="1">IFERROR(__xludf.DUMMYFUNCTION("""COMPUTED_VALUE"""),"BUIN")</f>
        <v>BUIN</v>
      </c>
    </row>
    <row r="102" spans="1:4">
      <c r="A102" s="7">
        <f ca="1">IFERROR(__xludf.DUMMYFUNCTION("""COMPUTED_VALUE"""),43917)</f>
        <v>43917</v>
      </c>
      <c r="B102" s="8" t="str">
        <f ca="1">IFERROR(__xludf.DUMMYFUNCTION("""COMPUTED_VALUE"""),"-33.738382, -70.740031")</f>
        <v>-33.738382, -70.740031</v>
      </c>
      <c r="C102" s="6" t="str">
        <f ca="1">IFERROR(__xludf.DUMMYFUNCTION("""COMPUTED_VALUE"""),"ANIBAL PINTO 744")</f>
        <v>ANIBAL PINTO 744</v>
      </c>
      <c r="D102" s="6" t="str">
        <f ca="1">IFERROR(__xludf.DUMMYFUNCTION("""COMPUTED_VALUE"""),"BUIN")</f>
        <v>BUIN</v>
      </c>
    </row>
    <row r="103" spans="1:4">
      <c r="A103" s="7">
        <f ca="1">IFERROR(__xludf.DUMMYFUNCTION("""COMPUTED_VALUE"""),43917)</f>
        <v>43917</v>
      </c>
      <c r="B103" s="8" t="str">
        <f ca="1">IFERROR(__xludf.DUMMYFUNCTION("""COMPUTED_VALUE"""),"-33.725192, -70.773426")</f>
        <v>-33.725192, -70.773426</v>
      </c>
      <c r="C103" s="6" t="str">
        <f ca="1">IFERROR(__xludf.DUMMYFUNCTION("""COMPUTED_VALUE"""),"PASAJE JORGE SILVA FERNANDEZ 408")</f>
        <v>PASAJE JORGE SILVA FERNANDEZ 408</v>
      </c>
      <c r="D103" s="6" t="str">
        <f ca="1">IFERROR(__xludf.DUMMYFUNCTION("""COMPUTED_VALUE"""),"BUIN")</f>
        <v>BUIN</v>
      </c>
    </row>
    <row r="104" spans="1:4">
      <c r="A104" s="7">
        <f ca="1">IFERROR(__xludf.DUMMYFUNCTION("""COMPUTED_VALUE"""),43917)</f>
        <v>43917</v>
      </c>
      <c r="B104" s="8" t="str">
        <f ca="1">IFERROR(__xludf.DUMMYFUNCTION("""COMPUTED_VALUE"""),"-33.726191,-70.774174")</f>
        <v>-33.726191,-70.774174</v>
      </c>
      <c r="C104" s="6" t="str">
        <f ca="1">IFERROR(__xludf.DUMMYFUNCTION("""COMPUTED_VALUE"""),"PASAJE JORGE SILVA FERENANDEZ 412")</f>
        <v>PASAJE JORGE SILVA FERENANDEZ 412</v>
      </c>
      <c r="D104" s="6" t="str">
        <f ca="1">IFERROR(__xludf.DUMMYFUNCTION("""COMPUTED_VALUE"""),"BUIN")</f>
        <v>BUIN</v>
      </c>
    </row>
    <row r="105" spans="1:4">
      <c r="A105" s="7">
        <f ca="1">IFERROR(__xludf.DUMMYFUNCTION("""COMPUTED_VALUE"""),43917)</f>
        <v>43917</v>
      </c>
      <c r="B105" s="8" t="str">
        <f ca="1">IFERROR(__xludf.DUMMYFUNCTION("""COMPUTED_VALUE"""),"-33.736395,70.744765")</f>
        <v>-33.736395,70.744765</v>
      </c>
      <c r="C105" s="6" t="str">
        <f ca="1">IFERROR(__xludf.DUMMYFUNCTION("""COMPUTED_VALUE"""),"LORD COCHRANE 596")</f>
        <v>LORD COCHRANE 596</v>
      </c>
      <c r="D105" s="6" t="str">
        <f ca="1">IFERROR(__xludf.DUMMYFUNCTION("""COMPUTED_VALUE"""),"BUIN")</f>
        <v>BUIN</v>
      </c>
    </row>
    <row r="106" spans="1:4">
      <c r="A106" s="7">
        <f ca="1">IFERROR(__xludf.DUMMYFUNCTION("""COMPUTED_VALUE"""),43917)</f>
        <v>43917</v>
      </c>
      <c r="B106" s="6" t="str">
        <f ca="1">IFERROR(__xludf.DUMMYFUNCTION("""COMPUTED_VALUE"""),"-33.272945-70.849509")</f>
        <v>-33.272945-70.849509</v>
      </c>
      <c r="C106" s="6" t="str">
        <f ca="1">IFERROR(__xludf.DUMMYFUNCTION("""COMPUTED_VALUE"""),"RUTA G 150 SITIO 11 A ( CAMINO LAMPA)")</f>
        <v>RUTA G 150 SITIO 11 A ( CAMINO LAMPA)</v>
      </c>
      <c r="D106" s="6" t="str">
        <f ca="1">IFERROR(__xludf.DUMMYFUNCTION("""COMPUTED_VALUE"""),"LAMPA")</f>
        <v>LAMPA</v>
      </c>
    </row>
    <row r="107" spans="1:4">
      <c r="A107" s="7">
        <f ca="1">IFERROR(__xludf.DUMMYFUNCTION("""COMPUTED_VALUE"""),43917)</f>
        <v>43917</v>
      </c>
      <c r="B107" s="6" t="str">
        <f ca="1">IFERROR(__xludf.DUMMYFUNCTION("""COMPUTED_VALUE"""),"-33.245266-70.824450")</f>
        <v>-33.245266-70.824450</v>
      </c>
      <c r="C107" s="6" t="str">
        <f ca="1">IFERROR(__xludf.DUMMYFUNCTION("""COMPUTED_VALUE"""),"AV. ESPAÑA P/3A CASA 2")</f>
        <v>AV. ESPAÑA P/3A CASA 2</v>
      </c>
      <c r="D107" s="6" t="str">
        <f ca="1">IFERROR(__xludf.DUMMYFUNCTION("""COMPUTED_VALUE"""),"LAMPA")</f>
        <v>LAMPA</v>
      </c>
    </row>
    <row r="108" spans="1:4">
      <c r="A108" s="7">
        <f ca="1">IFERROR(__xludf.DUMMYFUNCTION("""COMPUTED_VALUE"""),43917)</f>
        <v>43917</v>
      </c>
      <c r="B108" s="6" t="str">
        <f ca="1">IFERROR(__xludf.DUMMYFUNCTION("""COMPUTED_VALUE"""),"-33.288609,-70.874669")</f>
        <v>-33.288609,-70.874669</v>
      </c>
      <c r="C108" s="6" t="str">
        <f ca="1">IFERROR(__xludf.DUMMYFUNCTION("""COMPUTED_VALUE"""),"CORCOVADO 37 ")</f>
        <v xml:space="preserve">CORCOVADO 37 </v>
      </c>
      <c r="D108" s="6" t="str">
        <f ca="1">IFERROR(__xludf.DUMMYFUNCTION("""COMPUTED_VALUE"""),"LAMPA")</f>
        <v>LAMPA</v>
      </c>
    </row>
    <row r="109" spans="1:4">
      <c r="A109" s="7">
        <f ca="1">IFERROR(__xludf.DUMMYFUNCTION("""COMPUTED_VALUE"""),43920)</f>
        <v>43920</v>
      </c>
      <c r="B109" s="8" t="str">
        <f ca="1">IFERROR(__xludf.DUMMYFUNCTION("""COMPUTED_VALUE"""),"-33.688621,-70.683278")</f>
        <v>-33.688621,-70.683278</v>
      </c>
      <c r="C109" s="6" t="str">
        <f ca="1">IFERROR(__xludf.DUMMYFUNCTION("""COMPUTED_VALUE"""),"EL RECURSO 5500 P 76")</f>
        <v>EL RECURSO 5500 P 76</v>
      </c>
      <c r="D109" s="6" t="str">
        <f ca="1">IFERROR(__xludf.DUMMYFUNCTION("""COMPUTED_VALUE"""),"BUIN")</f>
        <v>BUIN</v>
      </c>
    </row>
    <row r="110" spans="1:4">
      <c r="A110" s="7">
        <f ca="1">IFERROR(__xludf.DUMMYFUNCTION("""COMPUTED_VALUE"""),43920)</f>
        <v>43920</v>
      </c>
      <c r="B110" s="8" t="str">
        <f ca="1">IFERROR(__xludf.DUMMYFUNCTION("""COMPUTED_VALUE"""),"-33.752997,-70.722005")</f>
        <v>-33.752997,-70.722005</v>
      </c>
      <c r="C110" s="6" t="str">
        <f ca="1">IFERROR(__xludf.DUMMYFUNCTION("""COMPUTED_VALUE"""),"PASAJE LUIS RODRIGUEZ 50")</f>
        <v>PASAJE LUIS RODRIGUEZ 50</v>
      </c>
      <c r="D110" s="6" t="str">
        <f ca="1">IFERROR(__xludf.DUMMYFUNCTION("""COMPUTED_VALUE"""),"BUIN")</f>
        <v>BUIN</v>
      </c>
    </row>
    <row r="111" spans="1:4">
      <c r="A111" s="7">
        <f ca="1">IFERROR(__xludf.DUMMYFUNCTION("""COMPUTED_VALUE"""),43920)</f>
        <v>43920</v>
      </c>
      <c r="B111" s="8" t="str">
        <f ca="1">IFERROR(__xludf.DUMMYFUNCTION("""COMPUTED_VALUE"""),"-33.725608,-70.741234")</f>
        <v>-33.725608,-70.741234</v>
      </c>
      <c r="C111" s="6" t="str">
        <f ca="1">IFERROR(__xludf.DUMMYFUNCTION("""COMPUTED_VALUE"""),"JOSE JOAQUIN PEREZ 0345")</f>
        <v>JOSE JOAQUIN PEREZ 0345</v>
      </c>
      <c r="D111" s="6" t="str">
        <f ca="1">IFERROR(__xludf.DUMMYFUNCTION("""COMPUTED_VALUE"""),"BUIN")</f>
        <v>BUIN</v>
      </c>
    </row>
    <row r="112" spans="1:4">
      <c r="A112" s="7">
        <f ca="1">IFERROR(__xludf.DUMMYFUNCTION("""COMPUTED_VALUE"""),43920)</f>
        <v>43920</v>
      </c>
      <c r="B112" s="8" t="str">
        <f ca="1">IFERROR(__xludf.DUMMYFUNCTION("""COMPUTED_VALUE"""),"-33.725918,-70.7718")</f>
        <v>-33.725918,-70.7718</v>
      </c>
      <c r="C112" s="6" t="str">
        <f ca="1">IFERROR(__xludf.DUMMYFUNCTION("""COMPUTED_VALUE"""),"LUIS RODRIGUEZ TOVAR 44")</f>
        <v>LUIS RODRIGUEZ TOVAR 44</v>
      </c>
      <c r="D112" s="6" t="str">
        <f ca="1">IFERROR(__xludf.DUMMYFUNCTION("""COMPUTED_VALUE"""),"BUIN")</f>
        <v>BUIN</v>
      </c>
    </row>
    <row r="113" spans="1:4">
      <c r="A113" s="7">
        <f ca="1">IFERROR(__xludf.DUMMYFUNCTION("""COMPUTED_VALUE"""),43920)</f>
        <v>43920</v>
      </c>
      <c r="B113" s="8" t="str">
        <f ca="1">IFERROR(__xludf.DUMMYFUNCTION("""COMPUTED_VALUE"""),"-33.7334711,-70.7445606")</f>
        <v>-33.7334711,-70.7445606</v>
      </c>
      <c r="C113" s="6" t="str">
        <f ca="1">IFERROR(__xludf.DUMMYFUNCTION("""COMPUTED_VALUE"""),"ARTURO PRAT 622")</f>
        <v>ARTURO PRAT 622</v>
      </c>
      <c r="D113" s="6" t="str">
        <f ca="1">IFERROR(__xludf.DUMMYFUNCTION("""COMPUTED_VALUE"""),"BUIN")</f>
        <v>BUIN</v>
      </c>
    </row>
    <row r="114" spans="1:4">
      <c r="A114" s="7">
        <f ca="1">IFERROR(__xludf.DUMMYFUNCTION("""COMPUTED_VALUE"""),43920)</f>
        <v>43920</v>
      </c>
      <c r="B114" s="8" t="str">
        <f ca="1">IFERROR(__xludf.DUMMYFUNCTION("""COMPUTED_VALUE"""),"-33.724984,-70.770901")</f>
        <v>-33.724984,-70.770901</v>
      </c>
      <c r="C114" s="6" t="str">
        <f ca="1">IFERROR(__xludf.DUMMYFUNCTION("""COMPUTED_VALUE"""),"ROLANDO LIRA 521")</f>
        <v>ROLANDO LIRA 521</v>
      </c>
      <c r="D114" s="6" t="str">
        <f ca="1">IFERROR(__xludf.DUMMYFUNCTION("""COMPUTED_VALUE"""),"BUIN")</f>
        <v>BUIN</v>
      </c>
    </row>
    <row r="115" spans="1:4">
      <c r="A115" s="7">
        <f ca="1">IFERROR(__xludf.DUMMYFUNCTION("""COMPUTED_VALUE"""),43920)</f>
        <v>43920</v>
      </c>
      <c r="B115" s="8" t="str">
        <f ca="1">IFERROR(__xludf.DUMMYFUNCTION("""COMPUTED_VALUE"""),"-33.738957,-70.743063")</f>
        <v>-33.738957,-70.743063</v>
      </c>
      <c r="C115" s="6" t="str">
        <f ca="1">IFERROR(__xludf.DUMMYFUNCTION("""COMPUTED_VALUE"""),"SAN GABRIEL 890")</f>
        <v>SAN GABRIEL 890</v>
      </c>
      <c r="D115" s="6" t="str">
        <f ca="1">IFERROR(__xludf.DUMMYFUNCTION("""COMPUTED_VALUE"""),"BUIN")</f>
        <v>BUIN</v>
      </c>
    </row>
    <row r="116" spans="1:4">
      <c r="A116" s="7">
        <f ca="1">IFERROR(__xludf.DUMMYFUNCTION("""COMPUTED_VALUE"""),43920)</f>
        <v>43920</v>
      </c>
      <c r="B116" s="8" t="str">
        <f ca="1">IFERROR(__xludf.DUMMYFUNCTION("""COMPUTED_VALUE"""),"-33.725461,-70.7318")</f>
        <v>-33.725461,-70.7318</v>
      </c>
      <c r="C116" s="6" t="str">
        <f ca="1">IFERROR(__xludf.DUMMYFUNCTION("""COMPUTED_VALUE"""),"ARTURO MORALES TAIBO 0424")</f>
        <v>ARTURO MORALES TAIBO 0424</v>
      </c>
      <c r="D116" s="6" t="str">
        <f ca="1">IFERROR(__xludf.DUMMYFUNCTION("""COMPUTED_VALUE"""),"BUIN")</f>
        <v>BUIN</v>
      </c>
    </row>
    <row r="117" spans="1:4">
      <c r="A117" s="7">
        <f ca="1">IFERROR(__xludf.DUMMYFUNCTION("""COMPUTED_VALUE"""),43920)</f>
        <v>43920</v>
      </c>
      <c r="B117" s="6" t="str">
        <f ca="1">IFERROR(__xludf.DUMMYFUNCTION("""COMPUTED_VALUE"""),"-33.599864-70.882950")</f>
        <v>-33.599864-70.882950</v>
      </c>
      <c r="C117" s="6" t="str">
        <f ca="1">IFERROR(__xludf.DUMMYFUNCTION("""COMPUTED_VALUE"""),"DOCE DE SEPTIEMBRE 2835")</f>
        <v>DOCE DE SEPTIEMBRE 2835</v>
      </c>
      <c r="D117" s="6" t="str">
        <f ca="1">IFERROR(__xludf.DUMMYFUNCTION("""COMPUTED_VALUE"""),"PEÑAFLOR")</f>
        <v>PEÑAFLOR</v>
      </c>
    </row>
    <row r="118" spans="1:4">
      <c r="A118" s="7">
        <f ca="1">IFERROR(__xludf.DUMMYFUNCTION("""COMPUTED_VALUE"""),43920)</f>
        <v>43920</v>
      </c>
      <c r="B118" s="6" t="str">
        <f ca="1">IFERROR(__xludf.DUMMYFUNCTION("""COMPUTED_VALUE"""),"-33.605073, -70.877670")</f>
        <v>-33.605073, -70.877670</v>
      </c>
      <c r="C118" s="6" t="str">
        <f ca="1">IFERROR(__xludf.DUMMYFUNCTION("""COMPUTED_VALUE"""),"FRANCISCO BILBAO 707")</f>
        <v>FRANCISCO BILBAO 707</v>
      </c>
      <c r="D118" s="6" t="str">
        <f ca="1">IFERROR(__xludf.DUMMYFUNCTION("""COMPUTED_VALUE"""),"PEÑAFLOR")</f>
        <v>PEÑAFLOR</v>
      </c>
    </row>
    <row r="119" spans="1:4">
      <c r="A119" s="7">
        <f ca="1">IFERROR(__xludf.DUMMYFUNCTION("""COMPUTED_VALUE"""),43920)</f>
        <v>43920</v>
      </c>
      <c r="B119" s="6" t="str">
        <f ca="1">IFERROR(__xludf.DUMMYFUNCTION("""COMPUTED_VALUE"""),"-33.61474-70.9018")</f>
        <v>-33.61474-70.9018</v>
      </c>
      <c r="C119" s="6" t="str">
        <f ca="1">IFERROR(__xludf.DUMMYFUNCTION("""COMPUTED_VALUE"""),"ALCALDE FRANCISCO KELLENDONK 3630")</f>
        <v>ALCALDE FRANCISCO KELLENDONK 3630</v>
      </c>
      <c r="D119" s="6" t="str">
        <f ca="1">IFERROR(__xludf.DUMMYFUNCTION("""COMPUTED_VALUE"""),"PEÑAFLOR")</f>
        <v>PEÑAFLOR</v>
      </c>
    </row>
    <row r="120" spans="1:4">
      <c r="A120" s="7">
        <f ca="1">IFERROR(__xludf.DUMMYFUNCTION("""COMPUTED_VALUE"""),43920)</f>
        <v>43920</v>
      </c>
      <c r="B120" s="6" t="str">
        <f ca="1">IFERROR(__xludf.DUMMYFUNCTION("""COMPUTED_VALUE"""),"-33.603127-70.900626")</f>
        <v>-33.603127-70.900626</v>
      </c>
      <c r="C120" s="6" t="str">
        <f ca="1">IFERROR(__xludf.DUMMYFUNCTION("""COMPUTED_VALUE"""),"PASAJE UNO 248 ( Calle enrrique linch)")</f>
        <v>PASAJE UNO 248 ( Calle enrrique linch)</v>
      </c>
      <c r="D120" s="6" t="str">
        <f ca="1">IFERROR(__xludf.DUMMYFUNCTION("""COMPUTED_VALUE"""),"PEÑAFLOR")</f>
        <v>PEÑAFLOR</v>
      </c>
    </row>
    <row r="121" spans="1:4">
      <c r="A121" s="7">
        <f ca="1">IFERROR(__xludf.DUMMYFUNCTION("""COMPUTED_VALUE"""),43920)</f>
        <v>43920</v>
      </c>
      <c r="B121" s="6" t="str">
        <f ca="1">IFERROR(__xludf.DUMMYFUNCTION("""COMPUTED_VALUE"""),"-33.6060-70.8877")</f>
        <v>-33.6060-70.8877</v>
      </c>
      <c r="C121" s="6" t="str">
        <f ca="1">IFERROR(__xludf.DUMMYFUNCTION("""COMPUTED_VALUE"""),"NUEVA UNO 1078 ( GLORIAS NAVALES)")</f>
        <v>NUEVA UNO 1078 ( GLORIAS NAVALES)</v>
      </c>
      <c r="D121" s="6" t="str">
        <f ca="1">IFERROR(__xludf.DUMMYFUNCTION("""COMPUTED_VALUE"""),"PEÑAFLOR")</f>
        <v>PEÑAFLOR</v>
      </c>
    </row>
    <row r="122" spans="1:4">
      <c r="A122" s="7">
        <f ca="1">IFERROR(__xludf.DUMMYFUNCTION("""COMPUTED_VALUE"""),43920)</f>
        <v>43920</v>
      </c>
      <c r="B122" s="6" t="str">
        <f ca="1">IFERROR(__xludf.DUMMYFUNCTION("""COMPUTED_VALUE"""),"-33.614774-70.9018")</f>
        <v>-33.614774-70.9018</v>
      </c>
      <c r="C122" s="6" t="str">
        <f ca="1">IFERROR(__xludf.DUMMYFUNCTION("""COMPUTED_VALUE"""),"ALCALDE FRANCISCO KELLENDONK 3636")</f>
        <v>ALCALDE FRANCISCO KELLENDONK 3636</v>
      </c>
      <c r="D122" s="6" t="str">
        <f ca="1">IFERROR(__xludf.DUMMYFUNCTION("""COMPUTED_VALUE"""),"PEÑAFLOR")</f>
        <v>PEÑAFLOR</v>
      </c>
    </row>
    <row r="123" spans="1:4">
      <c r="A123" s="7">
        <f ca="1">IFERROR(__xludf.DUMMYFUNCTION("""COMPUTED_VALUE"""),43920)</f>
        <v>43920</v>
      </c>
      <c r="B123" s="6" t="str">
        <f ca="1">IFERROR(__xludf.DUMMYFUNCTION("""COMPUTED_VALUE"""),"-33.285170,-70.882441")</f>
        <v>-33.285170,-70.882441</v>
      </c>
      <c r="C123" s="6" t="str">
        <f ca="1">IFERROR(__xludf.DUMMYFUNCTION("""COMPUTED_VALUE"""),"PARROCO PLACIDO LABARCA 693")</f>
        <v>PARROCO PLACIDO LABARCA 693</v>
      </c>
      <c r="D123" s="6" t="str">
        <f ca="1">IFERROR(__xludf.DUMMYFUNCTION("""COMPUTED_VALUE"""),"LAMPA")</f>
        <v>LAMPA</v>
      </c>
    </row>
    <row r="124" spans="1:4">
      <c r="A124" s="7">
        <f ca="1">IFERROR(__xludf.DUMMYFUNCTION("""COMPUTED_VALUE"""),43920)</f>
        <v>43920</v>
      </c>
      <c r="B124" s="6" t="str">
        <f ca="1">IFERROR(__xludf.DUMMYFUNCTION("""COMPUTED_VALUE"""),"-33.285756, -70.883027")</f>
        <v>-33.285756, -70.883027</v>
      </c>
      <c r="C124" s="6" t="str">
        <f ca="1">IFERROR(__xludf.DUMMYFUNCTION("""COMPUTED_VALUE"""),"PASAJE EL ROSARIO 810")</f>
        <v>PASAJE EL ROSARIO 810</v>
      </c>
      <c r="D124" s="6" t="str">
        <f ca="1">IFERROR(__xludf.DUMMYFUNCTION("""COMPUTED_VALUE"""),"LAMPA")</f>
        <v>LAMPA</v>
      </c>
    </row>
    <row r="125" spans="1:4">
      <c r="A125" s="7">
        <f ca="1">IFERROR(__xludf.DUMMYFUNCTION("""COMPUTED_VALUE"""),43920)</f>
        <v>43920</v>
      </c>
      <c r="B125" s="6" t="str">
        <f ca="1">IFERROR(__xludf.DUMMYFUNCTION("""COMPUTED_VALUE"""),"-33.284838,-70.883416")</f>
        <v>-33.284838,-70.883416</v>
      </c>
      <c r="C125" s="6" t="str">
        <f ca="1">IFERROR(__xludf.DUMMYFUNCTION("""COMPUTED_VALUE"""),"CALLE PADRE DEMETRIO BRAVO 644")</f>
        <v>CALLE PADRE DEMETRIO BRAVO 644</v>
      </c>
      <c r="D125" s="6" t="str">
        <f ca="1">IFERROR(__xludf.DUMMYFUNCTION("""COMPUTED_VALUE"""),"LAMPA")</f>
        <v>LAMPA</v>
      </c>
    </row>
    <row r="126" spans="1:4">
      <c r="A126" s="7">
        <f ca="1">IFERROR(__xludf.DUMMYFUNCTION("""COMPUTED_VALUE"""),43920)</f>
        <v>43920</v>
      </c>
      <c r="B126" s="6" t="str">
        <f ca="1">IFERROR(__xludf.DUMMYFUNCTION("""COMPUTED_VALUE"""),"-33.294122,-70.886408")</f>
        <v>-33.294122,-70.886408</v>
      </c>
      <c r="C126" s="6" t="str">
        <f ca="1">IFERROR(__xludf.DUMMYFUNCTION("""COMPUTED_VALUE"""),"LOS MAITENES LOTE K V/15")</f>
        <v>LOS MAITENES LOTE K V/15</v>
      </c>
      <c r="D126" s="6" t="str">
        <f ca="1">IFERROR(__xludf.DUMMYFUNCTION("""COMPUTED_VALUE"""),"LAMPA")</f>
        <v>LAMPA</v>
      </c>
    </row>
    <row r="127" spans="1:4">
      <c r="A127" s="7">
        <f ca="1">IFERROR(__xludf.DUMMYFUNCTION("""COMPUTED_VALUE"""),43921)</f>
        <v>43921</v>
      </c>
      <c r="B127" s="8" t="str">
        <f ca="1">IFERROR(__xludf.DUMMYFUNCTION("""COMPUTED_VALUE"""),"-33.713018,-70.741750")</f>
        <v>-33.713018,-70.741750</v>
      </c>
      <c r="C127" s="6" t="str">
        <f ca="1">IFERROR(__xludf.DUMMYFUNCTION("""COMPUTED_VALUE"""),"LOS COPAHUES NORTE 165")</f>
        <v>LOS COPAHUES NORTE 165</v>
      </c>
      <c r="D127" s="6" t="str">
        <f ca="1">IFERROR(__xludf.DUMMYFUNCTION("""COMPUTED_VALUE"""),"BUIN")</f>
        <v>BUIN</v>
      </c>
    </row>
    <row r="128" spans="1:4">
      <c r="A128" s="7">
        <f ca="1">IFERROR(__xludf.DUMMYFUNCTION("""COMPUTED_VALUE"""),43921)</f>
        <v>43921</v>
      </c>
      <c r="B128" s="8" t="str">
        <f ca="1">IFERROR(__xludf.DUMMYFUNCTION("""COMPUTED_VALUE"""),"-33.738866,-70.743527")</f>
        <v>-33.738866,-70.743527</v>
      </c>
      <c r="C128" s="6" t="str">
        <f ca="1">IFERROR(__xludf.DUMMYFUNCTION("""COMPUTED_VALUE"""),"SAN DAMIAN 874")</f>
        <v>SAN DAMIAN 874</v>
      </c>
      <c r="D128" s="6" t="str">
        <f ca="1">IFERROR(__xludf.DUMMYFUNCTION("""COMPUTED_VALUE"""),"BUIN")</f>
        <v>BUIN</v>
      </c>
    </row>
    <row r="129" spans="1:4">
      <c r="A129" s="7">
        <f ca="1">IFERROR(__xludf.DUMMYFUNCTION("""COMPUTED_VALUE"""),43921)</f>
        <v>43921</v>
      </c>
      <c r="B129" s="8" t="str">
        <f ca="1">IFERROR(__xludf.DUMMYFUNCTION("""COMPUTED_VALUE"""),"-33.724936,-70.770936")</f>
        <v>-33.724936,-70.770936</v>
      </c>
      <c r="C129" s="6" t="str">
        <f ca="1">IFERROR(__xludf.DUMMYFUNCTION("""COMPUTED_VALUE"""),"ROLANDO LIRA 525")</f>
        <v>ROLANDO LIRA 525</v>
      </c>
      <c r="D129" s="6" t="str">
        <f ca="1">IFERROR(__xludf.DUMMYFUNCTION("""COMPUTED_VALUE"""),"BUIN")</f>
        <v>BUIN</v>
      </c>
    </row>
    <row r="130" spans="1:4">
      <c r="A130" s="7">
        <f ca="1">IFERROR(__xludf.DUMMYFUNCTION("""COMPUTED_VALUE"""),43921)</f>
        <v>43921</v>
      </c>
      <c r="B130" s="8" t="str">
        <f ca="1">IFERROR(__xludf.DUMMYFUNCTION("""COMPUTED_VALUE"""),"-33.724283,-70.773")</f>
        <v>-33.724283,-70.773</v>
      </c>
      <c r="C130" s="6" t="str">
        <f ca="1">IFERROR(__xludf.DUMMYFUNCTION("""COMPUTED_VALUE"""),"GUACOLDA PAREDES LARA 491")</f>
        <v>GUACOLDA PAREDES LARA 491</v>
      </c>
      <c r="D130" s="6" t="str">
        <f ca="1">IFERROR(__xludf.DUMMYFUNCTION("""COMPUTED_VALUE"""),"BUIN")</f>
        <v>BUIN</v>
      </c>
    </row>
    <row r="131" spans="1:4">
      <c r="A131" s="7">
        <f ca="1">IFERROR(__xludf.DUMMYFUNCTION("""COMPUTED_VALUE"""),43921)</f>
        <v>43921</v>
      </c>
      <c r="B131" s="8" t="str">
        <f ca="1">IFERROR(__xludf.DUMMYFUNCTION("""COMPUTED_VALUE"""),"-33.726063,-70.771661")</f>
        <v>-33.726063,-70.771661</v>
      </c>
      <c r="C131" s="6" t="str">
        <f ca="1">IFERROR(__xludf.DUMMYFUNCTION("""COMPUTED_VALUE"""),"PASAJE LUIS RODRIGUEZ 35")</f>
        <v>PASAJE LUIS RODRIGUEZ 35</v>
      </c>
      <c r="D131" s="6" t="str">
        <f ca="1">IFERROR(__xludf.DUMMYFUNCTION("""COMPUTED_VALUE"""),"BUIN")</f>
        <v>BUIN</v>
      </c>
    </row>
    <row r="132" spans="1:4">
      <c r="A132" s="7">
        <f ca="1">IFERROR(__xludf.DUMMYFUNCTION("""COMPUTED_VALUE"""),43921)</f>
        <v>43921</v>
      </c>
      <c r="B132" s="8" t="str">
        <f ca="1">IFERROR(__xludf.DUMMYFUNCTION("""COMPUTED_VALUE"""),"-33.722812,-70.7431")</f>
        <v>-33.722812,-70.7431</v>
      </c>
      <c r="C132" s="6" t="str">
        <f ca="1">IFERROR(__xludf.DUMMYFUNCTION("""COMPUTED_VALUE"""),"CARLOS STRUZ 0627")</f>
        <v>CARLOS STRUZ 0627</v>
      </c>
      <c r="D132" s="6" t="str">
        <f ca="1">IFERROR(__xludf.DUMMYFUNCTION("""COMPUTED_VALUE"""),"BUIN")</f>
        <v>BUIN</v>
      </c>
    </row>
    <row r="133" spans="1:4">
      <c r="A133" s="7">
        <f ca="1">IFERROR(__xludf.DUMMYFUNCTION("""COMPUTED_VALUE"""),43921)</f>
        <v>43921</v>
      </c>
      <c r="B133" s="6" t="str">
        <f ca="1">IFERROR(__xludf.DUMMYFUNCTION("""COMPUTED_VALUE"""),"-33.600025-70.891315")</f>
        <v>-33.600025-70.891315</v>
      </c>
      <c r="C133" s="6" t="str">
        <f ca="1">IFERROR(__xludf.DUMMYFUNCTION("""COMPUTED_VALUE"""),"PASAJE CATEDRAL 3905")</f>
        <v>PASAJE CATEDRAL 3905</v>
      </c>
      <c r="D133" s="6" t="str">
        <f ca="1">IFERROR(__xludf.DUMMYFUNCTION("""COMPUTED_VALUE"""),"PEÑAFLOR")</f>
        <v>PEÑAFLOR</v>
      </c>
    </row>
    <row r="134" spans="1:4">
      <c r="A134" s="7">
        <f ca="1">IFERROR(__xludf.DUMMYFUNCTION("""COMPUTED_VALUE"""),43921)</f>
        <v>43921</v>
      </c>
      <c r="B134" s="6" t="str">
        <f ca="1">IFERROR(__xludf.DUMMYFUNCTION("""COMPUTED_VALUE"""),"-33.291536, -70.871572")</f>
        <v>-33.291536, -70.871572</v>
      </c>
      <c r="C134" s="6" t="str">
        <f ca="1">IFERROR(__xludf.DUMMYFUNCTION("""COMPUTED_VALUE"""),"LA FRONTERA 2072")</f>
        <v>LA FRONTERA 2072</v>
      </c>
      <c r="D134" s="6" t="str">
        <f ca="1">IFERROR(__xludf.DUMMYFUNCTION("""COMPUTED_VALUE"""),"LAMPA")</f>
        <v>LAMPA</v>
      </c>
    </row>
    <row r="135" spans="1:4">
      <c r="A135" s="7">
        <f ca="1">IFERROR(__xludf.DUMMYFUNCTION("""COMPUTED_VALUE"""),43921)</f>
        <v>43921</v>
      </c>
      <c r="B135" s="6" t="str">
        <f ca="1">IFERROR(__xludf.DUMMYFUNCTION("""COMPUTED_VALUE"""),"-33.603305-70.900999")</f>
        <v>-33.603305-70.900999</v>
      </c>
      <c r="C135" s="6" t="str">
        <f ca="1">IFERROR(__xludf.DUMMYFUNCTION("""COMPUTED_VALUE"""),"PASAJE UNO 198")</f>
        <v>PASAJE UNO 198</v>
      </c>
      <c r="D135" s="6" t="str">
        <f ca="1">IFERROR(__xludf.DUMMYFUNCTION("""COMPUTED_VALUE"""),"PEÑAFLOR")</f>
        <v>PEÑAFLOR</v>
      </c>
    </row>
    <row r="136" spans="1:4">
      <c r="A136" s="7">
        <f ca="1">IFERROR(__xludf.DUMMYFUNCTION("""COMPUTED_VALUE"""),43921)</f>
        <v>43921</v>
      </c>
      <c r="B136" s="6" t="str">
        <f ca="1">IFERROR(__xludf.DUMMYFUNCTION("""COMPUTED_VALUE"""),"-33.602302-70.874729")</f>
        <v>-33.602302-70.874729</v>
      </c>
      <c r="C136" s="6" t="str">
        <f ca="1">IFERROR(__xludf.DUMMYFUNCTION("""COMPUTED_VALUE"""),"FRANCISCO BILBAO 450 CASA 32")</f>
        <v>FRANCISCO BILBAO 450 CASA 32</v>
      </c>
      <c r="D136" s="6" t="str">
        <f ca="1">IFERROR(__xludf.DUMMYFUNCTION("""COMPUTED_VALUE"""),"PEÑAFLOR")</f>
        <v>PEÑAFLOR</v>
      </c>
    </row>
    <row r="137" spans="1:4">
      <c r="A137" s="7">
        <f ca="1">IFERROR(__xludf.DUMMYFUNCTION("""COMPUTED_VALUE"""),43921)</f>
        <v>43921</v>
      </c>
      <c r="B137" s="6" t="str">
        <f ca="1">IFERROR(__xludf.DUMMYFUNCTION("""COMPUTED_VALUE"""),"-33.607024-70.882853")</f>
        <v>-33.607024-70.882853</v>
      </c>
      <c r="C137" s="6" t="str">
        <f ca="1">IFERROR(__xludf.DUMMYFUNCTION("""COMPUTED_VALUE"""),"PASAJE SAN CRISTOBAL 311")</f>
        <v>PASAJE SAN CRISTOBAL 311</v>
      </c>
      <c r="D137" s="6" t="str">
        <f ca="1">IFERROR(__xludf.DUMMYFUNCTION("""COMPUTED_VALUE"""),"PEÑAFLOR")</f>
        <v>PEÑAFLOR</v>
      </c>
    </row>
    <row r="138" spans="1:4">
      <c r="A138" s="7">
        <f ca="1">IFERROR(__xludf.DUMMYFUNCTION("""COMPUTED_VALUE"""),43921)</f>
        <v>43921</v>
      </c>
      <c r="B138" s="6" t="str">
        <f ca="1">IFERROR(__xludf.DUMMYFUNCTION("""COMPUTED_VALUE"""),"-33.607313-70.882199")</f>
        <v>-33.607313-70.882199</v>
      </c>
      <c r="C138" s="6" t="str">
        <f ca="1">IFERROR(__xludf.DUMMYFUNCTION("""COMPUTED_VALUE"""),"PASAJE SAN ESTEBAN 303")</f>
        <v>PASAJE SAN ESTEBAN 303</v>
      </c>
      <c r="D138" s="6" t="str">
        <f ca="1">IFERROR(__xludf.DUMMYFUNCTION("""COMPUTED_VALUE"""),"PEÑAFLOR")</f>
        <v>PEÑAFLOR</v>
      </c>
    </row>
    <row r="139" spans="1:4">
      <c r="A139" s="7">
        <f ca="1">IFERROR(__xludf.DUMMYFUNCTION("""COMPUTED_VALUE"""),43921)</f>
        <v>43921</v>
      </c>
      <c r="B139" s="6" t="str">
        <f ca="1">IFERROR(__xludf.DUMMYFUNCTION("""COMPUTED_VALUE"""),"-33.612264, -70.877886")</f>
        <v>-33.612264, -70.877886</v>
      </c>
      <c r="C139" s="6" t="str">
        <f ca="1">IFERROR(__xludf.DUMMYFUNCTION("""COMPUTED_VALUE"""),"CERRO LA VIRGEN 1887")</f>
        <v>CERRO LA VIRGEN 1887</v>
      </c>
      <c r="D139" s="6" t="str">
        <f ca="1">IFERROR(__xludf.DUMMYFUNCTION("""COMPUTED_VALUE"""),"PEÑAFLOR")</f>
        <v>PEÑAFLOR</v>
      </c>
    </row>
    <row r="140" spans="1:4">
      <c r="A140" s="7">
        <f ca="1">IFERROR(__xludf.DUMMYFUNCTION("""COMPUTED_VALUE"""),43921)</f>
        <v>43921</v>
      </c>
      <c r="B140" s="6" t="str">
        <f ca="1">IFERROR(__xludf.DUMMYFUNCTION("""COMPUTED_VALUE"""),"-33.599842, -70.882250")</f>
        <v>-33.599842, -70.882250</v>
      </c>
      <c r="C140" s="6" t="str">
        <f ca="1">IFERROR(__xludf.DUMMYFUNCTION("""COMPUTED_VALUE"""),"JUNCAL 2797")</f>
        <v>JUNCAL 2797</v>
      </c>
      <c r="D140" s="6" t="str">
        <f ca="1">IFERROR(__xludf.DUMMYFUNCTION("""COMPUTED_VALUE"""),"PEÑAFLOR")</f>
        <v>PEÑAFLOR</v>
      </c>
    </row>
    <row r="141" spans="1:4">
      <c r="A141" s="7">
        <f ca="1">IFERROR(__xludf.DUMMYFUNCTION("""COMPUTED_VALUE"""),43921)</f>
        <v>43921</v>
      </c>
      <c r="B141" s="6" t="str">
        <f ca="1">IFERROR(__xludf.DUMMYFUNCTION("""COMPUTED_VALUE"""),"-33.604014, -70.876007")</f>
        <v>-33.604014, -70.876007</v>
      </c>
      <c r="C141" s="6" t="str">
        <f ca="1">IFERROR(__xludf.DUMMYFUNCTION("""COMPUTED_VALUE"""),"MALLOQUITO 2061")</f>
        <v>MALLOQUITO 2061</v>
      </c>
      <c r="D141" s="6" t="str">
        <f ca="1">IFERROR(__xludf.DUMMYFUNCTION("""COMPUTED_VALUE"""),"PEÑAFLOR")</f>
        <v>PEÑAFLOR</v>
      </c>
    </row>
    <row r="142" spans="1:4">
      <c r="A142" s="7">
        <f ca="1">IFERROR(__xludf.DUMMYFUNCTION("""COMPUTED_VALUE"""),43921)</f>
        <v>43921</v>
      </c>
      <c r="B142" s="6" t="str">
        <f ca="1">IFERROR(__xludf.DUMMYFUNCTION("""COMPUTED_VALUE"""),"-33.616000, -70.903494")</f>
        <v>-33.616000, -70.903494</v>
      </c>
      <c r="C142" s="6" t="str">
        <f ca="1">IFERROR(__xludf.DUMMYFUNCTION("""COMPUTED_VALUE"""),"JONATHAN BRAVO 3808")</f>
        <v>JONATHAN BRAVO 3808</v>
      </c>
      <c r="D142" s="6" t="str">
        <f ca="1">IFERROR(__xludf.DUMMYFUNCTION("""COMPUTED_VALUE"""),"PEÑAFLOR")</f>
        <v>PEÑAFLOR</v>
      </c>
    </row>
    <row r="143" spans="1:4">
      <c r="A143" s="7">
        <f ca="1">IFERROR(__xludf.DUMMYFUNCTION("""COMPUTED_VALUE"""),43921)</f>
        <v>43921</v>
      </c>
      <c r="B143" s="6" t="str">
        <f ca="1">IFERROR(__xludf.DUMMYFUNCTION("""COMPUTED_VALUE"""),"-33.606203, -70.865241")</f>
        <v>-33.606203, -70.865241</v>
      </c>
      <c r="C143" s="6" t="str">
        <f ca="1">IFERROR(__xludf.DUMMYFUNCTION("""COMPUTED_VALUE"""),"TORRES DEL PAINE 629")</f>
        <v>TORRES DEL PAINE 629</v>
      </c>
      <c r="D143" s="6" t="str">
        <f ca="1">IFERROR(__xludf.DUMMYFUNCTION("""COMPUTED_VALUE"""),"PEÑAFLOR")</f>
        <v>PEÑAFLOR</v>
      </c>
    </row>
    <row r="144" spans="1:4">
      <c r="A144" s="7">
        <f ca="1">IFERROR(__xludf.DUMMYFUNCTION("""COMPUTED_VALUE"""),43921)</f>
        <v>43921</v>
      </c>
      <c r="B144" s="6" t="str">
        <f ca="1">IFERROR(__xludf.DUMMYFUNCTION("""COMPUTED_VALUE"""),"-33.206120,-70.681009")</f>
        <v>-33.206120,-70.681009</v>
      </c>
      <c r="C144" s="6" t="str">
        <f ca="1">IFERROR(__xludf.DUMMYFUNCTION("""COMPUTED_VALUE"""),"GALVARINO N° 035")</f>
        <v>GALVARINO N° 035</v>
      </c>
      <c r="D144" s="6" t="str">
        <f ca="1">IFERROR(__xludf.DUMMYFUNCTION("""COMPUTED_VALUE"""),"COLINA")</f>
        <v>COLINA</v>
      </c>
    </row>
    <row r="145" spans="1:4">
      <c r="A145" s="7">
        <f ca="1">IFERROR(__xludf.DUMMYFUNCTION("""COMPUTED_VALUE"""),43921)</f>
        <v>43921</v>
      </c>
      <c r="B145" s="6" t="str">
        <f ca="1">IFERROR(__xludf.DUMMYFUNCTION("""COMPUTED_VALUE"""),"-33.205946,-70.680781")</f>
        <v>-33.205946,-70.680781</v>
      </c>
      <c r="C145" s="6" t="str">
        <f ca="1">IFERROR(__xludf.DUMMYFUNCTION("""COMPUTED_VALUE"""),"GALVARINO N° 042")</f>
        <v>GALVARINO N° 042</v>
      </c>
      <c r="D145" s="6" t="str">
        <f ca="1">IFERROR(__xludf.DUMMYFUNCTION("""COMPUTED_VALUE"""),"COLINA")</f>
        <v>COLINA</v>
      </c>
    </row>
    <row r="146" spans="1:4">
      <c r="A146" s="7">
        <f ca="1">IFERROR(__xludf.DUMMYFUNCTION("""COMPUTED_VALUE"""),43922)</f>
        <v>43922</v>
      </c>
      <c r="B146" s="8" t="str">
        <f ca="1">IFERROR(__xludf.DUMMYFUNCTION("""COMPUTED_VALUE"""),"-33.735145,-70.683785")</f>
        <v>-33.735145,-70.683785</v>
      </c>
      <c r="C146" s="6" t="str">
        <f ca="1">IFERROR(__xludf.DUMMYFUNCTION("""COMPUTED_VALUE"""),"EL MOLINO 20 BUIN")</f>
        <v>EL MOLINO 20 BUIN</v>
      </c>
      <c r="D146" s="6" t="str">
        <f ca="1">IFERROR(__xludf.DUMMYFUNCTION("""COMPUTED_VALUE"""),"BUIN")</f>
        <v>BUIN</v>
      </c>
    </row>
    <row r="147" spans="1:4">
      <c r="A147" s="7">
        <f ca="1">IFERROR(__xludf.DUMMYFUNCTION("""COMPUTED_VALUE"""),43922)</f>
        <v>43922</v>
      </c>
      <c r="B147" s="8" t="str">
        <f ca="1">IFERROR(__xludf.DUMMYFUNCTION("""COMPUTED_VALUE"""),"-33.732022,-70.731849")</f>
        <v>-33.732022,-70.731849</v>
      </c>
      <c r="C147" s="6" t="str">
        <f ca="1">IFERROR(__xludf.DUMMYFUNCTION("""COMPUTED_VALUE"""),"AV ESTADIO 225")</f>
        <v>AV ESTADIO 225</v>
      </c>
      <c r="D147" s="6" t="str">
        <f ca="1">IFERROR(__xludf.DUMMYFUNCTION("""COMPUTED_VALUE"""),"BUIN")</f>
        <v>BUIN</v>
      </c>
    </row>
    <row r="148" spans="1:4">
      <c r="A148" s="7">
        <f ca="1">IFERROR(__xludf.DUMMYFUNCTION("""COMPUTED_VALUE"""),43922)</f>
        <v>43922</v>
      </c>
      <c r="B148" s="8" t="str">
        <f ca="1">IFERROR(__xludf.DUMMYFUNCTION("""COMPUTED_VALUE"""),"-33.809650,-70.765553")</f>
        <v>-33.809650,-70.765553</v>
      </c>
      <c r="C148" s="6" t="str">
        <f ca="1">IFERROR(__xludf.DUMMYFUNCTION("""COMPUTED_VALUE"""),"CAMINO A PAINE 1956  SITIO 6")</f>
        <v>CAMINO A PAINE 1956  SITIO 6</v>
      </c>
      <c r="D148" s="6" t="str">
        <f ca="1">IFERROR(__xludf.DUMMYFUNCTION("""COMPUTED_VALUE"""),"BUIN")</f>
        <v>BUIN</v>
      </c>
    </row>
    <row r="149" spans="1:4">
      <c r="A149" s="7">
        <f ca="1">IFERROR(__xludf.DUMMYFUNCTION("""COMPUTED_VALUE"""),43922)</f>
        <v>43922</v>
      </c>
      <c r="B149" s="8" t="str">
        <f ca="1">IFERROR(__xludf.DUMMYFUNCTION("""COMPUTED_VALUE"""),"-33.752560,-70.772618")</f>
        <v>-33.752560,-70.772618</v>
      </c>
      <c r="C149" s="6" t="str">
        <f ca="1">IFERROR(__xludf.DUMMYFUNCTION("""COMPUTED_VALUE"""),"LUIS RODRIGUEZ TOVAR 44")</f>
        <v>LUIS RODRIGUEZ TOVAR 44</v>
      </c>
      <c r="D149" s="6" t="str">
        <f ca="1">IFERROR(__xludf.DUMMYFUNCTION("""COMPUTED_VALUE"""),"BUIN")</f>
        <v>BUIN</v>
      </c>
    </row>
    <row r="150" spans="1:4">
      <c r="A150" s="7">
        <f ca="1">IFERROR(__xludf.DUMMYFUNCTION("""COMPUTED_VALUE"""),43922)</f>
        <v>43922</v>
      </c>
      <c r="B150" s="8" t="str">
        <f ca="1">IFERROR(__xludf.DUMMYFUNCTION("""COMPUTED_VALUE"""),"-33.732026,-70.781570")</f>
        <v>-33.732026,-70.781570</v>
      </c>
      <c r="C150" s="6" t="str">
        <f ca="1">IFERROR(__xludf.DUMMYFUNCTION("""COMPUTED_VALUE"""),"ARTURO PRAT 325")</f>
        <v>ARTURO PRAT 325</v>
      </c>
      <c r="D150" s="6" t="str">
        <f ca="1">IFERROR(__xludf.DUMMYFUNCTION("""COMPUTED_VALUE"""),"BUIN")</f>
        <v>BUIN</v>
      </c>
    </row>
    <row r="151" spans="1:4">
      <c r="A151" s="7">
        <f ca="1">IFERROR(__xludf.DUMMYFUNCTION("""COMPUTED_VALUE"""),43922)</f>
        <v>43922</v>
      </c>
      <c r="B151" s="8" t="str">
        <f ca="1">IFERROR(__xludf.DUMMYFUNCTION("""COMPUTED_VALUE"""),"-33.739892,-70.7")</f>
        <v>-33.739892,-70.7</v>
      </c>
      <c r="C151" s="6" t="str">
        <f ca="1">IFERROR(__xludf.DUMMYFUNCTION("""COMPUTED_VALUE"""),"EMILIO PONCE 20")</f>
        <v>EMILIO PONCE 20</v>
      </c>
      <c r="D151" s="6" t="str">
        <f ca="1">IFERROR(__xludf.DUMMYFUNCTION("""COMPUTED_VALUE"""),"BUIN")</f>
        <v>BUIN</v>
      </c>
    </row>
    <row r="152" spans="1:4">
      <c r="A152" s="7">
        <f ca="1">IFERROR(__xludf.DUMMYFUNCTION("""COMPUTED_VALUE"""),43922)</f>
        <v>43922</v>
      </c>
      <c r="B152" s="8" t="str">
        <f ca="1">IFERROR(__xludf.DUMMYFUNCTION("""COMPUTED_VALUE"""),"-33.725458,-70.772")</f>
        <v>-33.725458,-70.772</v>
      </c>
      <c r="C152" s="6" t="str">
        <f ca="1">IFERROR(__xludf.DUMMYFUNCTION("""COMPUTED_VALUE"""),"LUIS RODRIGUEZ TOBAR 80")</f>
        <v>LUIS RODRIGUEZ TOBAR 80</v>
      </c>
      <c r="D152" s="6" t="str">
        <f ca="1">IFERROR(__xludf.DUMMYFUNCTION("""COMPUTED_VALUE"""),"BUIN")</f>
        <v>BUIN</v>
      </c>
    </row>
    <row r="153" spans="1:4">
      <c r="A153" s="7">
        <f ca="1">IFERROR(__xludf.DUMMYFUNCTION("""COMPUTED_VALUE"""),43922)</f>
        <v>43922</v>
      </c>
      <c r="B153" s="8" t="str">
        <f ca="1">IFERROR(__xludf.DUMMYFUNCTION("""COMPUTED_VALUE"""),"-33.726666,-70.744646")</f>
        <v>-33.726666,-70.744646</v>
      </c>
      <c r="C153" s="6" t="str">
        <f ca="1">IFERROR(__xludf.DUMMYFUNCTION("""COMPUTED_VALUE"""),"MANUEL BULNES 0220")</f>
        <v>MANUEL BULNES 0220</v>
      </c>
      <c r="D153" s="6" t="str">
        <f ca="1">IFERROR(__xludf.DUMMYFUNCTION("""COMPUTED_VALUE"""),"BUIN")</f>
        <v>BUIN</v>
      </c>
    </row>
    <row r="154" spans="1:4">
      <c r="A154" s="7">
        <f ca="1">IFERROR(__xludf.DUMMYFUNCTION("""COMPUTED_VALUE"""),43922)</f>
        <v>43922</v>
      </c>
      <c r="B154" s="8" t="str">
        <f ca="1">IFERROR(__xludf.DUMMYFUNCTION("""COMPUTED_VALUE"""),"-33.724926,-70.733882")</f>
        <v>-33.724926,-70.733882</v>
      </c>
      <c r="C154" s="6" t="str">
        <f ca="1">IFERROR(__xludf.DUMMYFUNCTION("""COMPUTED_VALUE"""),"ARTURO MEROLES TAIBO 0328")</f>
        <v>ARTURO MEROLES TAIBO 0328</v>
      </c>
      <c r="D154" s="6" t="str">
        <f ca="1">IFERROR(__xludf.DUMMYFUNCTION("""COMPUTED_VALUE"""),"BUIN")</f>
        <v>BUIN</v>
      </c>
    </row>
    <row r="155" spans="1:4">
      <c r="A155" s="7">
        <f ca="1">IFERROR(__xludf.DUMMYFUNCTION("""COMPUTED_VALUE"""),43922)</f>
        <v>43922</v>
      </c>
      <c r="B155" s="8" t="str">
        <f ca="1">IFERROR(__xludf.DUMMYFUNCTION("""COMPUTED_VALUE"""),"-33.222506,-70.837866")</f>
        <v>-33.222506,-70.837866</v>
      </c>
      <c r="C155" s="6" t="str">
        <f ca="1">IFERROR(__xludf.DUMMYFUNCTION("""COMPUTED_VALUE"""),"CAMINO INTERIOR LOTE 5 PARCELA 8")</f>
        <v>CAMINO INTERIOR LOTE 5 PARCELA 8</v>
      </c>
      <c r="D155" s="6" t="str">
        <f ca="1">IFERROR(__xludf.DUMMYFUNCTION("""COMPUTED_VALUE"""),"LAMPA")</f>
        <v>LAMPA</v>
      </c>
    </row>
    <row r="156" spans="1:4">
      <c r="A156" s="7">
        <f ca="1">IFERROR(__xludf.DUMMYFUNCTION("""COMPUTED_VALUE"""),43922)</f>
        <v>43922</v>
      </c>
      <c r="B156" s="6" t="str">
        <f ca="1">IFERROR(__xludf.DUMMYFUNCTION("""COMPUTED_VALUE"""),"-33.6068024-70.8927497")</f>
        <v>-33.6068024-70.8927497</v>
      </c>
      <c r="C156" s="6" t="str">
        <f ca="1">IFERROR(__xludf.DUMMYFUNCTION("""COMPUTED_VALUE"""),"LO MARQUEZ 865")</f>
        <v>LO MARQUEZ 865</v>
      </c>
      <c r="D156" s="6" t="str">
        <f ca="1">IFERROR(__xludf.DUMMYFUNCTION("""COMPUTED_VALUE"""),"PEÑAFLOR")</f>
        <v>PEÑAFLOR</v>
      </c>
    </row>
    <row r="157" spans="1:4">
      <c r="A157" s="7">
        <f ca="1">IFERROR(__xludf.DUMMYFUNCTION("""COMPUTED_VALUE"""),43922)</f>
        <v>43922</v>
      </c>
      <c r="B157" s="6" t="str">
        <f ca="1">IFERROR(__xludf.DUMMYFUNCTION("""COMPUTED_VALUE"""),"-33.607121-70.883013")</f>
        <v>-33.607121-70.883013</v>
      </c>
      <c r="C157" s="6" t="str">
        <f ca="1">IFERROR(__xludf.DUMMYFUNCTION("""COMPUTED_VALUE"""),"SAN CRISTOBAL 305")</f>
        <v>SAN CRISTOBAL 305</v>
      </c>
      <c r="D157" s="6" t="str">
        <f ca="1">IFERROR(__xludf.DUMMYFUNCTION("""COMPUTED_VALUE"""),"PEÑAFLOR")</f>
        <v>PEÑAFLOR</v>
      </c>
    </row>
    <row r="158" spans="1:4">
      <c r="A158" s="7">
        <f ca="1">IFERROR(__xludf.DUMMYFUNCTION("""COMPUTED_VALUE"""),43922)</f>
        <v>43922</v>
      </c>
      <c r="B158" s="6" t="str">
        <f ca="1">IFERROR(__xludf.DUMMYFUNCTION("""COMPUTED_VALUE"""),"-33.602314-70.849840")</f>
        <v>-33.602314-70.849840</v>
      </c>
      <c r="C158" s="6" t="str">
        <f ca="1">IFERROR(__xludf.DUMMYFUNCTION("""COMPUTED_VALUE"""),"SAN MARTIN 20")</f>
        <v>SAN MARTIN 20</v>
      </c>
      <c r="D158" s="6" t="str">
        <f ca="1">IFERROR(__xludf.DUMMYFUNCTION("""COMPUTED_VALUE"""),"PEÑAFLOR")</f>
        <v>PEÑAFLOR</v>
      </c>
    </row>
    <row r="159" spans="1:4">
      <c r="A159" s="7">
        <f ca="1">IFERROR(__xludf.DUMMYFUNCTION("""COMPUTED_VALUE"""),43922)</f>
        <v>43922</v>
      </c>
      <c r="B159" s="6" t="str">
        <f ca="1">IFERROR(__xludf.DUMMYFUNCTION("""COMPUTED_VALUE"""),"-33.607561-70.905202")</f>
        <v>-33.607561-70.905202</v>
      </c>
      <c r="C159" s="6" t="str">
        <f ca="1">IFERROR(__xludf.DUMMYFUNCTION("""COMPUTED_VALUE"""),"PASAJE ALBORADA 142")</f>
        <v>PASAJE ALBORADA 142</v>
      </c>
      <c r="D159" s="6" t="str">
        <f ca="1">IFERROR(__xludf.DUMMYFUNCTION("""COMPUTED_VALUE"""),"PEÑAFLOR")</f>
        <v>PEÑAFLOR</v>
      </c>
    </row>
    <row r="160" spans="1:4">
      <c r="A160" s="7">
        <f ca="1">IFERROR(__xludf.DUMMYFUNCTION("""COMPUTED_VALUE"""),43922)</f>
        <v>43922</v>
      </c>
      <c r="B160" s="6" t="str">
        <f ca="1">IFERROR(__xludf.DUMMYFUNCTION("""COMPUTED_VALUE"""),"-33.616009, -70.903492")</f>
        <v>-33.616009, -70.903492</v>
      </c>
      <c r="C160" s="6" t="str">
        <f ca="1">IFERROR(__xludf.DUMMYFUNCTION("""COMPUTED_VALUE"""),"JONATHAN BRAVO 3808")</f>
        <v>JONATHAN BRAVO 3808</v>
      </c>
      <c r="D160" s="6" t="str">
        <f ca="1">IFERROR(__xludf.DUMMYFUNCTION("""COMPUTED_VALUE"""),"PEÑAFLOR")</f>
        <v>PEÑAFLOR</v>
      </c>
    </row>
    <row r="161" spans="1:4">
      <c r="A161" s="7">
        <f ca="1">IFERROR(__xludf.DUMMYFUNCTION("""COMPUTED_VALUE"""),43922)</f>
        <v>43922</v>
      </c>
      <c r="B161" s="6" t="str">
        <f ca="1">IFERROR(__xludf.DUMMYFUNCTION("""COMPUTED_VALUE"""),"-33.602422-70.849984")</f>
        <v>-33.602422-70.849984</v>
      </c>
      <c r="C161" s="6" t="str">
        <f ca="1">IFERROR(__xludf.DUMMYFUNCTION("""COMPUTED_VALUE"""),"SAN MARTIN 32")</f>
        <v>SAN MARTIN 32</v>
      </c>
      <c r="D161" s="6" t="str">
        <f ca="1">IFERROR(__xludf.DUMMYFUNCTION("""COMPUTED_VALUE"""),"PEÑAFLOR")</f>
        <v>PEÑAFLOR</v>
      </c>
    </row>
    <row r="162" spans="1:4">
      <c r="A162" s="7">
        <f ca="1">IFERROR(__xludf.DUMMYFUNCTION("""COMPUTED_VALUE"""),43922)</f>
        <v>43922</v>
      </c>
      <c r="B162" s="6" t="str">
        <f ca="1">IFERROR(__xludf.DUMMYFUNCTION("""COMPUTED_VALUE"""),"-33.201403-70.81933")</f>
        <v>-33.201403-70.81933</v>
      </c>
      <c r="C162" s="6" t="str">
        <f ca="1">IFERROR(__xludf.DUMMYFUNCTION("""COMPUTED_VALUE"""),"AV. SERVIDUMBRE L3")</f>
        <v>AV. SERVIDUMBRE L3</v>
      </c>
      <c r="D162" s="6" t="str">
        <f ca="1">IFERROR(__xludf.DUMMYFUNCTION("""COMPUTED_VALUE"""),"LAMPA")</f>
        <v>LAMPA</v>
      </c>
    </row>
    <row r="163" spans="1:4">
      <c r="A163" s="7">
        <f ca="1">IFERROR(__xludf.DUMMYFUNCTION("""COMPUTED_VALUE"""),43922)</f>
        <v>43922</v>
      </c>
      <c r="B163" s="6" t="str">
        <f ca="1">IFERROR(__xludf.DUMMYFUNCTION("""COMPUTED_VALUE"""),"-33.6040-70.8762")</f>
        <v>-33.6040-70.8762</v>
      </c>
      <c r="C163" s="6" t="str">
        <f ca="1">IFERROR(__xludf.DUMMYFUNCTION("""COMPUTED_VALUE"""),"MALLOQUITO 2087")</f>
        <v>MALLOQUITO 2087</v>
      </c>
      <c r="D163" s="6" t="str">
        <f ca="1">IFERROR(__xludf.DUMMYFUNCTION("""COMPUTED_VALUE"""),"PEÑAFLOR")</f>
        <v>PEÑAFLOR</v>
      </c>
    </row>
    <row r="164" spans="1:4">
      <c r="A164" s="7">
        <f ca="1">IFERROR(__xludf.DUMMYFUNCTION("""COMPUTED_VALUE"""),43922)</f>
        <v>43922</v>
      </c>
      <c r="B164" s="6" t="str">
        <f ca="1">IFERROR(__xludf.DUMMYFUNCTION("""COMPUTED_VALUE"""),"-33.204685,-70.668039")</f>
        <v>-33.204685,-70.668039</v>
      </c>
      <c r="C164" s="6" t="str">
        <f ca="1">IFERROR(__xludf.DUMMYFUNCTION("""COMPUTED_VALUE"""),"SANTA GEMITA 955 POBLACION COMAICO")</f>
        <v>SANTA GEMITA 955 POBLACION COMAICO</v>
      </c>
      <c r="D164" s="6" t="str">
        <f ca="1">IFERROR(__xludf.DUMMYFUNCTION("""COMPUTED_VALUE"""),"COLINA")</f>
        <v>COLINA</v>
      </c>
    </row>
    <row r="165" spans="1:4">
      <c r="A165" s="7">
        <f ca="1">IFERROR(__xludf.DUMMYFUNCTION("""COMPUTED_VALUE"""),43922)</f>
        <v>43922</v>
      </c>
      <c r="B165" s="6" t="str">
        <f ca="1">IFERROR(__xludf.DUMMYFUNCTION("""COMPUTED_VALUE"""),"-33.198545,-70.662479")</f>
        <v>-33.198545,-70.662479</v>
      </c>
      <c r="C165" s="6" t="str">
        <f ca="1">IFERROR(__xludf.DUMMYFUNCTION("""COMPUTED_VALUE"""),"PASAJE 3 NORTE 0285")</f>
        <v>PASAJE 3 NORTE 0285</v>
      </c>
      <c r="D165" s="6" t="str">
        <f ca="1">IFERROR(__xludf.DUMMYFUNCTION("""COMPUTED_VALUE"""),"COLINA")</f>
        <v>COLINA</v>
      </c>
    </row>
    <row r="166" spans="1:4">
      <c r="A166" s="7">
        <f ca="1">IFERROR(__xludf.DUMMYFUNCTION("""COMPUTED_VALUE"""),43923)</f>
        <v>43923</v>
      </c>
      <c r="B166" s="8" t="str">
        <f ca="1">IFERROR(__xludf.DUMMYFUNCTION("""COMPUTED_VALUE"""),"-33.723134,-70742208")</f>
        <v>-33.723134,-70742208</v>
      </c>
      <c r="C166" s="6" t="str">
        <f ca="1">IFERROR(__xludf.DUMMYFUNCTION("""COMPUTED_VALUE"""),"JOSE JOAQUIN PEREZ 0345")</f>
        <v>JOSE JOAQUIN PEREZ 0345</v>
      </c>
      <c r="D166" s="6" t="str">
        <f ca="1">IFERROR(__xludf.DUMMYFUNCTION("""COMPUTED_VALUE"""),"BUIN")</f>
        <v>BUIN</v>
      </c>
    </row>
    <row r="167" spans="1:4">
      <c r="A167" s="7">
        <f ca="1">IFERROR(__xludf.DUMMYFUNCTION("""COMPUTED_VALUE"""),43923)</f>
        <v>43923</v>
      </c>
      <c r="B167" s="8" t="str">
        <f ca="1">IFERROR(__xludf.DUMMYFUNCTION("""COMPUTED_VALUE"""),"-33.729272,-70.743638")</f>
        <v>-33.729272,-70.743638</v>
      </c>
      <c r="C167" s="6" t="str">
        <f ca="1">IFERROR(__xludf.DUMMYFUNCTION("""COMPUTED_VALUE"""),"MANUEL BULNES 35")</f>
        <v>MANUEL BULNES 35</v>
      </c>
      <c r="D167" s="6" t="str">
        <f ca="1">IFERROR(__xludf.DUMMYFUNCTION("""COMPUTED_VALUE"""),"BUIN")</f>
        <v>BUIN</v>
      </c>
    </row>
    <row r="168" spans="1:4">
      <c r="A168" s="7">
        <f ca="1">IFERROR(__xludf.DUMMYFUNCTION("""COMPUTED_VALUE"""),43923)</f>
        <v>43923</v>
      </c>
      <c r="B168" s="8" t="str">
        <f ca="1">IFERROR(__xludf.DUMMYFUNCTION("""COMPUTED_VALUE"""),"-33.726039,-70.771585")</f>
        <v>-33.726039,-70.771585</v>
      </c>
      <c r="C168" s="6" t="str">
        <f ca="1">IFERROR(__xludf.DUMMYFUNCTION("""COMPUTED_VALUE"""),"PASAJE MARIO CALDERON 447")</f>
        <v>PASAJE MARIO CALDERON 447</v>
      </c>
      <c r="D168" s="6" t="str">
        <f ca="1">IFERROR(__xludf.DUMMYFUNCTION("""COMPUTED_VALUE"""),"BUIN")</f>
        <v>BUIN</v>
      </c>
    </row>
    <row r="169" spans="1:4">
      <c r="A169" s="7">
        <f ca="1">IFERROR(__xludf.DUMMYFUNCTION("""COMPUTED_VALUE"""),43923)</f>
        <v>43923</v>
      </c>
      <c r="B169" s="8" t="str">
        <f ca="1">IFERROR(__xludf.DUMMYFUNCTION("""COMPUTED_VALUE"""),"-33.725446,-70.772643")</f>
        <v>-33.725446,-70.772643</v>
      </c>
      <c r="C169" s="6" t="str">
        <f ca="1">IFERROR(__xludf.DUMMYFUNCTION("""COMPUTED_VALUE"""),"LUIS RODRIGUEZ 92")</f>
        <v>LUIS RODRIGUEZ 92</v>
      </c>
      <c r="D169" s="6" t="str">
        <f ca="1">IFERROR(__xludf.DUMMYFUNCTION("""COMPUTED_VALUE"""),"BUIN")</f>
        <v>BUIN</v>
      </c>
    </row>
    <row r="170" spans="1:4">
      <c r="A170" s="7">
        <f ca="1">IFERROR(__xludf.DUMMYFUNCTION("""COMPUTED_VALUE"""),43923)</f>
        <v>43923</v>
      </c>
      <c r="B170" s="8" t="str">
        <f ca="1">IFERROR(__xludf.DUMMYFUNCTION("""COMPUTED_VALUE"""),"-33.725413,70.722")</f>
        <v>-33.725413,70.722</v>
      </c>
      <c r="C170" s="6" t="str">
        <f ca="1">IFERROR(__xludf.DUMMYFUNCTION("""COMPUTED_VALUE"""),"LUIS RODRIGUEZ TOBAR 85")</f>
        <v>LUIS RODRIGUEZ TOBAR 85</v>
      </c>
      <c r="D170" s="6" t="str">
        <f ca="1">IFERROR(__xludf.DUMMYFUNCTION("""COMPUTED_VALUE"""),"BUIN")</f>
        <v>BUIN</v>
      </c>
    </row>
    <row r="171" spans="1:4">
      <c r="A171" s="7">
        <f ca="1">IFERROR(__xludf.DUMMYFUNCTION("""COMPUTED_VALUE"""),43923)</f>
        <v>43923</v>
      </c>
      <c r="B171" s="8" t="str">
        <f ca="1">IFERROR(__xludf.DUMMYFUNCTION("""COMPUTED_VALUE"""),"-33.725373,-70.736441")</f>
        <v>-33.725373,-70.736441</v>
      </c>
      <c r="C171" s="6" t="str">
        <f ca="1">IFERROR(__xludf.DUMMYFUNCTION("""COMPUTED_VALUE"""),"MONTECINO 0160")</f>
        <v>MONTECINO 0160</v>
      </c>
      <c r="D171" s="6" t="str">
        <f ca="1">IFERROR(__xludf.DUMMYFUNCTION("""COMPUTED_VALUE"""),"BUIN")</f>
        <v>BUIN</v>
      </c>
    </row>
    <row r="172" spans="1:4">
      <c r="A172" s="7">
        <f ca="1">IFERROR(__xludf.DUMMYFUNCTION("""COMPUTED_VALUE"""),43923)</f>
        <v>43923</v>
      </c>
      <c r="B172" s="8" t="str">
        <f ca="1">IFERROR(__xludf.DUMMYFUNCTION("""COMPUTED_VALUE"""),"-33.725606,-70.742102")</f>
        <v>-33.725606,-70.742102</v>
      </c>
      <c r="C172" s="6" t="str">
        <f ca="1">IFERROR(__xludf.DUMMYFUNCTION("""COMPUTED_VALUE"""),"CARLOS STRUTZ 0255")</f>
        <v>CARLOS STRUTZ 0255</v>
      </c>
      <c r="D172" s="6" t="str">
        <f ca="1">IFERROR(__xludf.DUMMYFUNCTION("""COMPUTED_VALUE"""),"BUIN")</f>
        <v>BUIN</v>
      </c>
    </row>
    <row r="173" spans="1:4">
      <c r="A173" s="7">
        <f ca="1">IFERROR(__xludf.DUMMYFUNCTION("""COMPUTED_VALUE"""),43923)</f>
        <v>43923</v>
      </c>
      <c r="B173" s="8" t="str">
        <f ca="1">IFERROR(__xludf.DUMMYFUNCTION("""COMPUTED_VALUE"""),"-33.722189,-70.7")</f>
        <v>-33.722189,-70.7</v>
      </c>
      <c r="C173" s="6" t="str">
        <f ca="1">IFERROR(__xludf.DUMMYFUNCTION("""COMPUTED_VALUE"""),"LUIS VALDEZ 0547")</f>
        <v>LUIS VALDEZ 0547</v>
      </c>
      <c r="D173" s="6" t="str">
        <f ca="1">IFERROR(__xludf.DUMMYFUNCTION("""COMPUTED_VALUE"""),"BUIN")</f>
        <v>BUIN</v>
      </c>
    </row>
    <row r="174" spans="1:4">
      <c r="A174" s="7">
        <f ca="1">IFERROR(__xludf.DUMMYFUNCTION("""COMPUTED_VALUE"""),43923)</f>
        <v>43923</v>
      </c>
      <c r="B174" s="8" t="str">
        <f ca="1">IFERROR(__xludf.DUMMYFUNCTION("""COMPUTED_VALUE"""),"-33.7264726,-70.7755207")</f>
        <v>-33.7264726,-70.7755207</v>
      </c>
      <c r="C174" s="6" t="str">
        <f ca="1">IFERROR(__xludf.DUMMYFUNCTION("""COMPUTED_VALUE"""),"PASAJE EL NOGAL 298")</f>
        <v>PASAJE EL NOGAL 298</v>
      </c>
      <c r="D174" s="6" t="str">
        <f ca="1">IFERROR(__xludf.DUMMYFUNCTION("""COMPUTED_VALUE"""),"BUIN")</f>
        <v>BUIN</v>
      </c>
    </row>
    <row r="175" spans="1:4">
      <c r="A175" s="7">
        <f ca="1">IFERROR(__xludf.DUMMYFUNCTION("""COMPUTED_VALUE"""),43923)</f>
        <v>43923</v>
      </c>
      <c r="B175" s="8" t="str">
        <f ca="1">IFERROR(__xludf.DUMMYFUNCTION("""COMPUTED_VALUE"""),"-33.726657,-70.775016")</f>
        <v>-33.726657,-70.775016</v>
      </c>
      <c r="C175" s="6" t="str">
        <f ca="1">IFERROR(__xludf.DUMMYFUNCTION("""COMPUTED_VALUE"""),"EL NOGAL 298 CASA D ")</f>
        <v xml:space="preserve">EL NOGAL 298 CASA D </v>
      </c>
      <c r="D175" s="6" t="str">
        <f ca="1">IFERROR(__xludf.DUMMYFUNCTION("""COMPUTED_VALUE"""),"BUIN")</f>
        <v>BUIN</v>
      </c>
    </row>
    <row r="176" spans="1:4">
      <c r="A176" s="7">
        <f ca="1">IFERROR(__xludf.DUMMYFUNCTION("""COMPUTED_VALUE"""),43923)</f>
        <v>43923</v>
      </c>
      <c r="B176" s="6" t="str">
        <f ca="1">IFERROR(__xludf.DUMMYFUNCTION("""COMPUTED_VALUE"""),"-33.614207-70.902239")</f>
        <v>-33.614207-70.902239</v>
      </c>
      <c r="C176" s="6" t="str">
        <f ca="1">IFERROR(__xludf.DUMMYFUNCTION("""COMPUTED_VALUE"""),"PASAJE CORDOVA 674")</f>
        <v>PASAJE CORDOVA 674</v>
      </c>
      <c r="D176" s="6" t="str">
        <f ca="1">IFERROR(__xludf.DUMMYFUNCTION("""COMPUTED_VALUE"""),"PEÑAFLOR")</f>
        <v>PEÑAFLOR</v>
      </c>
    </row>
    <row r="177" spans="1:4">
      <c r="A177" s="7">
        <f ca="1">IFERROR(__xludf.DUMMYFUNCTION("""COMPUTED_VALUE"""),43923)</f>
        <v>43923</v>
      </c>
      <c r="B177" s="6" t="str">
        <f ca="1">IFERROR(__xludf.DUMMYFUNCTION("""COMPUTED_VALUE"""),"-33.6061-70.8877")</f>
        <v>-33.6061-70.8877</v>
      </c>
      <c r="C177" s="6" t="str">
        <f ca="1">IFERROR(__xludf.DUMMYFUNCTION("""COMPUTED_VALUE"""),"GLORIAS NAVALES 1084")</f>
        <v>GLORIAS NAVALES 1084</v>
      </c>
      <c r="D177" s="6" t="str">
        <f ca="1">IFERROR(__xludf.DUMMYFUNCTION("""COMPUTED_VALUE"""),"PEÑAFLOR")</f>
        <v>PEÑAFLOR</v>
      </c>
    </row>
    <row r="178" spans="1:4">
      <c r="A178" s="7">
        <f ca="1">IFERROR(__xludf.DUMMYFUNCTION("""COMPUTED_VALUE"""),43923)</f>
        <v>43923</v>
      </c>
      <c r="B178" s="6" t="str">
        <f ca="1">IFERROR(__xludf.DUMMYFUNCTION("""COMPUTED_VALUE"""),"-33.201403-70.81933")</f>
        <v>-33.201403-70.81933</v>
      </c>
      <c r="C178" s="6" t="str">
        <f ca="1">IFERROR(__xludf.DUMMYFUNCTION("""COMPUTED_VALUE"""),"CAMINO SERVIDUMBRE S/N PARCELA 10 ( Liray calle principal) ")</f>
        <v xml:space="preserve">CAMINO SERVIDUMBRE S/N PARCELA 10 ( Liray calle principal) </v>
      </c>
      <c r="D178" s="6" t="str">
        <f ca="1">IFERROR(__xludf.DUMMYFUNCTION("""COMPUTED_VALUE"""),"LAMPA")</f>
        <v>LAMPA</v>
      </c>
    </row>
    <row r="179" spans="1:4">
      <c r="A179" s="7">
        <f ca="1">IFERROR(__xludf.DUMMYFUNCTION("""COMPUTED_VALUE"""),43923)</f>
        <v>43923</v>
      </c>
      <c r="B179" s="6" t="str">
        <f ca="1">IFERROR(__xludf.DUMMYFUNCTION("""COMPUTED_VALUE"""),"-33.201403-70.81933")</f>
        <v>-33.201403-70.81933</v>
      </c>
      <c r="C179" s="6" t="str">
        <f ca="1">IFERROR(__xludf.DUMMYFUNCTION("""COMPUTED_VALUE"""),"CAMINO SERVIDUMBRE S/N PARCELA 10 ( Liray calle principal) ")</f>
        <v xml:space="preserve">CAMINO SERVIDUMBRE S/N PARCELA 10 ( Liray calle principal) </v>
      </c>
      <c r="D179" s="6" t="str">
        <f ca="1">IFERROR(__xludf.DUMMYFUNCTION("""COMPUTED_VALUE"""),"LAMPA")</f>
        <v>LAMPA</v>
      </c>
    </row>
    <row r="180" spans="1:4">
      <c r="A180" s="7">
        <f ca="1">IFERROR(__xludf.DUMMYFUNCTION("""COMPUTED_VALUE"""),43924)</f>
        <v>43924</v>
      </c>
      <c r="B180" s="8" t="str">
        <f ca="1">IFERROR(__xludf.DUMMYFUNCTION("""COMPUTED_VALUE"""),"-33.739537,-70.743134")</f>
        <v>-33.739537,-70.743134</v>
      </c>
      <c r="C180" s="6" t="str">
        <f ca="1">IFERROR(__xludf.DUMMYFUNCTION("""COMPUTED_VALUE"""),"SAN SEBASTIAN 442")</f>
        <v>SAN SEBASTIAN 442</v>
      </c>
      <c r="D180" s="6" t="str">
        <f ca="1">IFERROR(__xludf.DUMMYFUNCTION("""COMPUTED_VALUE"""),"BUIN")</f>
        <v>BUIN</v>
      </c>
    </row>
    <row r="181" spans="1:4">
      <c r="A181" s="7">
        <f ca="1">IFERROR(__xludf.DUMMYFUNCTION("""COMPUTED_VALUE"""),43924)</f>
        <v>43924</v>
      </c>
      <c r="B181" s="8" t="str">
        <f ca="1">IFERROR(__xludf.DUMMYFUNCTION("""COMPUTED_VALUE"""),"-33.709796, -70.741040")</f>
        <v>-33.709796, -70.741040</v>
      </c>
      <c r="C181" s="6" t="str">
        <f ca="1">IFERROR(__xludf.DUMMYFUNCTION("""COMPUTED_VALUE"""),"PASAJE LA PODA 01663")</f>
        <v>PASAJE LA PODA 01663</v>
      </c>
      <c r="D181" s="6" t="str">
        <f ca="1">IFERROR(__xludf.DUMMYFUNCTION("""COMPUTED_VALUE"""),"BUIN")</f>
        <v>BUIN</v>
      </c>
    </row>
    <row r="182" spans="1:4">
      <c r="A182" s="7">
        <f ca="1">IFERROR(__xludf.DUMMYFUNCTION("""COMPUTED_VALUE"""),43924)</f>
        <v>43924</v>
      </c>
      <c r="B182" s="8" t="str">
        <f ca="1">IFERROR(__xludf.DUMMYFUNCTION("""COMPUTED_VALUE"""),"-33.725066,-70.772258")</f>
        <v>-33.725066,-70.772258</v>
      </c>
      <c r="C182" s="6" t="str">
        <f ca="1">IFERROR(__xludf.DUMMYFUNCTION("""COMPUTED_VALUE"""),"PASAJE ALFREDO MANSO 468")</f>
        <v>PASAJE ALFREDO MANSO 468</v>
      </c>
      <c r="D182" s="6" t="str">
        <f ca="1">IFERROR(__xludf.DUMMYFUNCTION("""COMPUTED_VALUE"""),"BUIN")</f>
        <v>BUIN</v>
      </c>
    </row>
    <row r="183" spans="1:4">
      <c r="A183" s="7">
        <f ca="1">IFERROR(__xludf.DUMMYFUNCTION("""COMPUTED_VALUE"""),43924)</f>
        <v>43924</v>
      </c>
      <c r="B183" s="8" t="str">
        <f ca="1">IFERROR(__xludf.DUMMYFUNCTION("""COMPUTED_VALUE"""),"-33.724914,-70.770956")</f>
        <v>-33.724914,-70.770956</v>
      </c>
      <c r="C183" s="6" t="str">
        <f ca="1">IFERROR(__xludf.DUMMYFUNCTION("""COMPUTED_VALUE"""),"ROLANDO LIRA 529")</f>
        <v>ROLANDO LIRA 529</v>
      </c>
      <c r="D183" s="6" t="str">
        <f ca="1">IFERROR(__xludf.DUMMYFUNCTION("""COMPUTED_VALUE"""),"BUIN")</f>
        <v>BUIN</v>
      </c>
    </row>
    <row r="184" spans="1:4">
      <c r="A184" s="7">
        <f ca="1">IFERROR(__xludf.DUMMYFUNCTION("""COMPUTED_VALUE"""),43924)</f>
        <v>43924</v>
      </c>
      <c r="B184" s="8" t="str">
        <f ca="1">IFERROR(__xludf.DUMMYFUNCTION("""COMPUTED_VALUE"""),"-33.725532,-70.772")</f>
        <v>-33.725532,-70.772</v>
      </c>
      <c r="C184" s="6" t="str">
        <f ca="1">IFERROR(__xludf.DUMMYFUNCTION("""COMPUTED_VALUE"""),"LUIS RODRIGUEZ TOBAR B7")</f>
        <v>LUIS RODRIGUEZ TOBAR B7</v>
      </c>
      <c r="D184" s="6" t="str">
        <f ca="1">IFERROR(__xludf.DUMMYFUNCTION("""COMPUTED_VALUE"""),"BUIN")</f>
        <v>BUIN</v>
      </c>
    </row>
    <row r="185" spans="1:4">
      <c r="A185" s="7">
        <f ca="1">IFERROR(__xludf.DUMMYFUNCTION("""COMPUTED_VALUE"""),43924)</f>
        <v>43924</v>
      </c>
      <c r="B185" s="8" t="str">
        <f ca="1">IFERROR(__xludf.DUMMYFUNCTION("""COMPUTED_VALUE"""),"-33.7226972,-70.7381803")</f>
        <v>-33.7226972,-70.7381803</v>
      </c>
      <c r="C185" s="6" t="str">
        <f ca="1">IFERROR(__xludf.DUMMYFUNCTION("""COMPUTED_VALUE"""),"FRANCISCO CAMPO RIPLEY 125")</f>
        <v>FRANCISCO CAMPO RIPLEY 125</v>
      </c>
      <c r="D185" s="6" t="str">
        <f ca="1">IFERROR(__xludf.DUMMYFUNCTION("""COMPUTED_VALUE"""),"BUIN")</f>
        <v>BUIN</v>
      </c>
    </row>
    <row r="186" spans="1:4">
      <c r="A186" s="7">
        <f ca="1">IFERROR(__xludf.DUMMYFUNCTION("""COMPUTED_VALUE"""),43924)</f>
        <v>43924</v>
      </c>
      <c r="B186" s="8" t="str">
        <f ca="1">IFERROR(__xludf.DUMMYFUNCTION("""COMPUTED_VALUE"""),"-33.739761,-70.7")</f>
        <v>-33.739761,-70.7</v>
      </c>
      <c r="C186" s="6" t="str">
        <f ca="1">IFERROR(__xludf.DUMMYFUNCTION("""COMPUTED_VALUE"""),"JUAN RAMON HOPPE 100")</f>
        <v>JUAN RAMON HOPPE 100</v>
      </c>
      <c r="D186" s="6" t="str">
        <f ca="1">IFERROR(__xludf.DUMMYFUNCTION("""COMPUTED_VALUE"""),"BUIN")</f>
        <v>BUIN</v>
      </c>
    </row>
    <row r="187" spans="1:4">
      <c r="A187" s="7">
        <f ca="1">IFERROR(__xludf.DUMMYFUNCTION("""COMPUTED_VALUE"""),43924)</f>
        <v>43924</v>
      </c>
      <c r="B187" s="8" t="str">
        <f ca="1">IFERROR(__xludf.DUMMYFUNCTION("""COMPUTED_VALUE"""),"-33.726476,-70.775795")</f>
        <v>-33.726476,-70.775795</v>
      </c>
      <c r="C187" s="6" t="str">
        <f ca="1">IFERROR(__xludf.DUMMYFUNCTION("""COMPUTED_VALUE"""),"PASAJE  EL NOGAL 162")</f>
        <v>PASAJE  EL NOGAL 162</v>
      </c>
      <c r="D187" s="6" t="str">
        <f ca="1">IFERROR(__xludf.DUMMYFUNCTION("""COMPUTED_VALUE"""),"BUIN")</f>
        <v>BUIN</v>
      </c>
    </row>
    <row r="188" spans="1:4">
      <c r="A188" s="7">
        <f ca="1">IFERROR(__xludf.DUMMYFUNCTION("""COMPUTED_VALUE"""),43924)</f>
        <v>43924</v>
      </c>
      <c r="B188" s="8" t="str">
        <f ca="1">IFERROR(__xludf.DUMMYFUNCTION("""COMPUTED_VALUE"""),"-33.726863,-70.774600")</f>
        <v>-33.726863,-70.774600</v>
      </c>
      <c r="C188" s="6" t="str">
        <f ca="1">IFERROR(__xludf.DUMMYFUNCTION("""COMPUTED_VALUE"""),"EL NOGAL 156")</f>
        <v>EL NOGAL 156</v>
      </c>
      <c r="D188" s="6" t="str">
        <f ca="1">IFERROR(__xludf.DUMMYFUNCTION("""COMPUTED_VALUE"""),"BUIN")</f>
        <v>BUIN</v>
      </c>
    </row>
    <row r="189" spans="1:4">
      <c r="A189" s="7">
        <f ca="1">IFERROR(__xludf.DUMMYFUNCTION("""COMPUTED_VALUE"""),43924)</f>
        <v>43924</v>
      </c>
      <c r="B189" s="8" t="str">
        <f ca="1">IFERROR(__xludf.DUMMYFUNCTION("""COMPUTED_VALUE"""),"-33.300084,-70.881106")</f>
        <v>-33.300084,-70.881106</v>
      </c>
      <c r="C189" s="6" t="str">
        <f ca="1">IFERROR(__xludf.DUMMYFUNCTION("""COMPUTED_VALUE"""),"CAMINO LAS FLORES 1008 C 99")</f>
        <v>CAMINO LAS FLORES 1008 C 99</v>
      </c>
      <c r="D189" s="6" t="str">
        <f ca="1">IFERROR(__xludf.DUMMYFUNCTION("""COMPUTED_VALUE"""),"LAMPA")</f>
        <v>LAMPA</v>
      </c>
    </row>
    <row r="190" spans="1:4">
      <c r="A190" s="7">
        <f ca="1">IFERROR(__xludf.DUMMYFUNCTION("""COMPUTED_VALUE"""),43924)</f>
        <v>43924</v>
      </c>
      <c r="B190" s="8" t="str">
        <f ca="1">IFERROR(__xludf.DUMMYFUNCTION("""COMPUTED_VALUE"""),"-33.662224,-70.815833")</f>
        <v>-33.662224,-70.815833</v>
      </c>
      <c r="C190" s="6" t="str">
        <f ca="1">IFERROR(__xludf.DUMMYFUNCTION("""COMPUTED_VALUE"""),"LOS CURACAS 8688")</f>
        <v>LOS CURACAS 8688</v>
      </c>
      <c r="D190" s="6" t="str">
        <f ca="1">IFERROR(__xludf.DUMMYFUNCTION("""COMPUTED_VALUE"""),"TALAGANTE")</f>
        <v>TALAGANTE</v>
      </c>
    </row>
    <row r="191" spans="1:4">
      <c r="A191" s="7">
        <f ca="1">IFERROR(__xludf.DUMMYFUNCTION("""COMPUTED_VALUE"""),43924)</f>
        <v>43924</v>
      </c>
      <c r="B191" s="8" t="str">
        <f ca="1">IFERROR(__xludf.DUMMYFUNCTION("""COMPUTED_VALUE"""),"-33.662224,-70.815833")</f>
        <v>-33.662224,-70.815833</v>
      </c>
      <c r="C191" s="6" t="str">
        <f ca="1">IFERROR(__xludf.DUMMYFUNCTION("""COMPUTED_VALUE"""),"LOS CURACAS 8688")</f>
        <v>LOS CURACAS 8688</v>
      </c>
      <c r="D191" s="6" t="str">
        <f ca="1">IFERROR(__xludf.DUMMYFUNCTION("""COMPUTED_VALUE"""),"TALAGANTE")</f>
        <v>TALAGANTE</v>
      </c>
    </row>
    <row r="192" spans="1:4">
      <c r="A192" s="7">
        <f ca="1">IFERROR(__xludf.DUMMYFUNCTION("""COMPUTED_VALUE"""),43924)</f>
        <v>43924</v>
      </c>
      <c r="B192" s="6" t="str">
        <f ca="1">IFERROR(__xludf.DUMMYFUNCTION("""COMPUTED_VALUE"""),"-33.612064, -70.893192")</f>
        <v>-33.612064, -70.893192</v>
      </c>
      <c r="C192" s="6" t="str">
        <f ca="1">IFERROR(__xludf.DUMMYFUNCTION("""COMPUTED_VALUE"""),"MADRID 65")</f>
        <v>MADRID 65</v>
      </c>
      <c r="D192" s="6" t="str">
        <f ca="1">IFERROR(__xludf.DUMMYFUNCTION("""COMPUTED_VALUE"""),"PEÑAFLOR")</f>
        <v>PEÑAFLOR</v>
      </c>
    </row>
    <row r="193" spans="1:4">
      <c r="A193" s="7">
        <f ca="1">IFERROR(__xludf.DUMMYFUNCTION("""COMPUTED_VALUE"""),43924)</f>
        <v>43924</v>
      </c>
      <c r="B193" s="6" t="str">
        <f ca="1">IFERROR(__xludf.DUMMYFUNCTION("""COMPUTED_VALUE"""),"-33.602463, -70.870394")</f>
        <v>-33.602463, -70.870394</v>
      </c>
      <c r="C193" s="6" t="str">
        <f ca="1">IFERROR(__xludf.DUMMYFUNCTION("""COMPUTED_VALUE"""),"AV. LARRAIN 1641")</f>
        <v>AV. LARRAIN 1641</v>
      </c>
      <c r="D193" s="6" t="str">
        <f ca="1">IFERROR(__xludf.DUMMYFUNCTION("""COMPUTED_VALUE"""),"PEÑAFLOR")</f>
        <v>PEÑAFLOR</v>
      </c>
    </row>
    <row r="194" spans="1:4">
      <c r="A194" s="7">
        <f ca="1">IFERROR(__xludf.DUMMYFUNCTION("""COMPUTED_VALUE"""),43924)</f>
        <v>43924</v>
      </c>
      <c r="B194" s="6" t="str">
        <f ca="1">IFERROR(__xludf.DUMMYFUNCTION("""COMPUTED_VALUE"""),"-33.607513-70.877949")</f>
        <v>-33.607513-70.877949</v>
      </c>
      <c r="C194" s="6" t="str">
        <f ca="1">IFERROR(__xludf.DUMMYFUNCTION("""COMPUTED_VALUE"""),"LOS DIAMELOS 1018")</f>
        <v>LOS DIAMELOS 1018</v>
      </c>
      <c r="D194" s="6" t="str">
        <f ca="1">IFERROR(__xludf.DUMMYFUNCTION("""COMPUTED_VALUE"""),"PEÑAFLOR")</f>
        <v>PEÑAFLOR</v>
      </c>
    </row>
    <row r="195" spans="1:4">
      <c r="A195" s="7">
        <f ca="1">IFERROR(__xludf.DUMMYFUNCTION("""COMPUTED_VALUE"""),43924)</f>
        <v>43924</v>
      </c>
      <c r="B195" s="6" t="str">
        <f ca="1">IFERROR(__xludf.DUMMYFUNCTION("""COMPUTED_VALUE"""),"-33.608243-70.880793")</f>
        <v>-33.608243-70.880793</v>
      </c>
      <c r="C195" s="6" t="str">
        <f ca="1">IFERROR(__xludf.DUMMYFUNCTION("""COMPUTED_VALUE"""),"APOLO 2301")</f>
        <v>APOLO 2301</v>
      </c>
      <c r="D195" s="6" t="str">
        <f ca="1">IFERROR(__xludf.DUMMYFUNCTION("""COMPUTED_VALUE"""),"PEÑAFLOR")</f>
        <v>PEÑAFLOR</v>
      </c>
    </row>
    <row r="196" spans="1:4">
      <c r="A196" s="7">
        <f ca="1">IFERROR(__xludf.DUMMYFUNCTION("""COMPUTED_VALUE"""),43924)</f>
        <v>43924</v>
      </c>
      <c r="B196" s="6" t="str">
        <f ca="1">IFERROR(__xludf.DUMMYFUNCTION("""COMPUTED_VALUE"""),"-33.6129309-70.8991155")</f>
        <v>-33.6129309-70.8991155</v>
      </c>
      <c r="C196" s="6" t="str">
        <f ca="1">IFERROR(__xludf.DUMMYFUNCTION("""COMPUTED_VALUE"""),"FRANCISCO PIZARRO 3591")</f>
        <v>FRANCISCO PIZARRO 3591</v>
      </c>
      <c r="D196" s="6" t="str">
        <f ca="1">IFERROR(__xludf.DUMMYFUNCTION("""COMPUTED_VALUE"""),"PEÑAFLOR")</f>
        <v>PEÑAFLOR</v>
      </c>
    </row>
    <row r="197" spans="1:4">
      <c r="A197" s="7">
        <f ca="1">IFERROR(__xludf.DUMMYFUNCTION("""COMPUTED_VALUE"""),43924)</f>
        <v>43924</v>
      </c>
      <c r="B197" s="6" t="str">
        <f ca="1">IFERROR(__xludf.DUMMYFUNCTION("""COMPUTED_VALUE"""),"-33.6015398-70.8893701")</f>
        <v>-33.6015398-70.8893701</v>
      </c>
      <c r="C197" s="6" t="str">
        <f ca="1">IFERROR(__xludf.DUMMYFUNCTION("""COMPUTED_VALUE"""),"LOS TILOS 161")</f>
        <v>LOS TILOS 161</v>
      </c>
      <c r="D197" s="6" t="str">
        <f ca="1">IFERROR(__xludf.DUMMYFUNCTION("""COMPUTED_VALUE"""),"PEÑAFLOR")</f>
        <v>PEÑAFLOR</v>
      </c>
    </row>
    <row r="198" spans="1:4">
      <c r="A198" s="7">
        <f ca="1">IFERROR(__xludf.DUMMYFUNCTION("""COMPUTED_VALUE"""),43924)</f>
        <v>43924</v>
      </c>
      <c r="B198" s="6" t="str">
        <f ca="1">IFERROR(__xludf.DUMMYFUNCTION("""COMPUTED_VALUE"""),"-33.612907-70.899250")</f>
        <v>-33.612907-70.899250</v>
      </c>
      <c r="C198" s="6" t="str">
        <f ca="1">IFERROR(__xludf.DUMMYFUNCTION("""COMPUTED_VALUE"""),"SANTIAGO BUERAS 3590")</f>
        <v>SANTIAGO BUERAS 3590</v>
      </c>
      <c r="D198" s="6" t="str">
        <f ca="1">IFERROR(__xludf.DUMMYFUNCTION("""COMPUTED_VALUE"""),"PEÑAFLOR")</f>
        <v>PEÑAFLOR</v>
      </c>
    </row>
    <row r="199" spans="1:4">
      <c r="A199" s="7">
        <f ca="1">IFERROR(__xludf.DUMMYFUNCTION("""COMPUTED_VALUE"""),43924)</f>
        <v>43924</v>
      </c>
      <c r="B199" s="6" t="str">
        <f ca="1">IFERROR(__xludf.DUMMYFUNCTION("""COMPUTED_VALUE"""),"-33.6140-70.8787")</f>
        <v>-33.6140-70.8787</v>
      </c>
      <c r="C199" s="6" t="str">
        <f ca="1">IFERROR(__xludf.DUMMYFUNCTION("""COMPUTED_VALUE"""),"JORGE FADEL 1850")</f>
        <v>JORGE FADEL 1850</v>
      </c>
      <c r="D199" s="6" t="str">
        <f ca="1">IFERROR(__xludf.DUMMYFUNCTION("""COMPUTED_VALUE"""),"PEÑAFLOR")</f>
        <v>PEÑAFLOR</v>
      </c>
    </row>
    <row r="200" spans="1:4">
      <c r="A200" s="7">
        <f ca="1">IFERROR(__xludf.DUMMYFUNCTION("""COMPUTED_VALUE"""),43925)</f>
        <v>43925</v>
      </c>
      <c r="B200" s="6" t="str">
        <f ca="1">IFERROR(__xludf.DUMMYFUNCTION("""COMPUTED_VALUE"""),"-33.607703, -70.905164")</f>
        <v>-33.607703, -70.905164</v>
      </c>
      <c r="C200" s="6" t="str">
        <f ca="1">IFERROR(__xludf.DUMMYFUNCTION("""COMPUTED_VALUE"""),"PASAJE LA ALBORADA (SOL LUMINOSO) 112")</f>
        <v>PASAJE LA ALBORADA (SOL LUMINOSO) 112</v>
      </c>
      <c r="D200" s="6" t="str">
        <f ca="1">IFERROR(__xludf.DUMMYFUNCTION("""COMPUTED_VALUE"""),"PEÑAFLOR")</f>
        <v>PEÑAFLOR</v>
      </c>
    </row>
    <row r="201" spans="1:4">
      <c r="A201" s="7">
        <f ca="1">IFERROR(__xludf.DUMMYFUNCTION("""COMPUTED_VALUE"""),43925)</f>
        <v>43925</v>
      </c>
      <c r="B201" s="6" t="str">
        <f ca="1">IFERROR(__xludf.DUMMYFUNCTION("""COMPUTED_VALUE"""),"-33.607665-70.905366")</f>
        <v>-33.607665-70.905366</v>
      </c>
      <c r="C201" s="6" t="str">
        <f ca="1">IFERROR(__xludf.DUMMYFUNCTION("""COMPUTED_VALUE"""),"PASAJE LA ALBORADA (SOL LUMINOSO) 102")</f>
        <v>PASAJE LA ALBORADA (SOL LUMINOSO) 102</v>
      </c>
      <c r="D201" s="6" t="str">
        <f ca="1">IFERROR(__xludf.DUMMYFUNCTION("""COMPUTED_VALUE"""),"PEÑAFLOR")</f>
        <v>PEÑAFLOR</v>
      </c>
    </row>
    <row r="202" spans="1:4">
      <c r="A202" s="7">
        <f ca="1">IFERROR(__xludf.DUMMYFUNCTION("""COMPUTED_VALUE"""),43927)</f>
        <v>43927</v>
      </c>
      <c r="B202" s="8" t="str">
        <f ca="1">IFERROR(__xludf.DUMMYFUNCTION("""COMPUTED_VALUE"""),"-33.749398,-70.749919")</f>
        <v>-33.749398,-70.749919</v>
      </c>
      <c r="C202" s="6" t="str">
        <f ca="1">IFERROR(__xludf.DUMMYFUNCTION("""COMPUTED_VALUE"""),"MANUEL ACOSTA 754")</f>
        <v>MANUEL ACOSTA 754</v>
      </c>
      <c r="D202" s="6" t="str">
        <f ca="1">IFERROR(__xludf.DUMMYFUNCTION("""COMPUTED_VALUE"""),"BUIN")</f>
        <v>BUIN</v>
      </c>
    </row>
    <row r="203" spans="1:4">
      <c r="A203" s="7">
        <f ca="1">IFERROR(__xludf.DUMMYFUNCTION("""COMPUTED_VALUE"""),43927)</f>
        <v>43927</v>
      </c>
      <c r="B203" s="8" t="str">
        <f ca="1">IFERROR(__xludf.DUMMYFUNCTION("""COMPUTED_VALUE"""),"-33.723408,-70.740618")</f>
        <v>-33.723408,-70.740618</v>
      </c>
      <c r="C203" s="6" t="str">
        <f ca="1">IFERROR(__xludf.DUMMYFUNCTION("""COMPUTED_VALUE"""),"LOS BOLDOS 0522")</f>
        <v>LOS BOLDOS 0522</v>
      </c>
      <c r="D203" s="6" t="str">
        <f ca="1">IFERROR(__xludf.DUMMYFUNCTION("""COMPUTED_VALUE"""),"BUIN")</f>
        <v>BUIN</v>
      </c>
    </row>
    <row r="204" spans="1:4">
      <c r="A204" s="7">
        <f ca="1">IFERROR(__xludf.DUMMYFUNCTION("""COMPUTED_VALUE"""),43927)</f>
        <v>43927</v>
      </c>
      <c r="B204" s="8" t="str">
        <f ca="1">IFERROR(__xludf.DUMMYFUNCTION("""COMPUTED_VALUE"""),"-33.723574,-70.773355")</f>
        <v>-33.723574,-70.773355</v>
      </c>
      <c r="C204" s="6" t="str">
        <f ca="1">IFERROR(__xludf.DUMMYFUNCTION("""COMPUTED_VALUE"""),"PSJE MARIA PURISIMA 542")</f>
        <v>PSJE MARIA PURISIMA 542</v>
      </c>
      <c r="D204" s="6" t="str">
        <f ca="1">IFERROR(__xludf.DUMMYFUNCTION("""COMPUTED_VALUE"""),"BUIN")</f>
        <v>BUIN</v>
      </c>
    </row>
    <row r="205" spans="1:4">
      <c r="A205" s="7">
        <f ca="1">IFERROR(__xludf.DUMMYFUNCTION("""COMPUTED_VALUE"""),43927)</f>
        <v>43927</v>
      </c>
      <c r="B205" s="8" t="str">
        <f ca="1">IFERROR(__xludf.DUMMYFUNCTION("""COMPUTED_VALUE"""),"-33.724835,70.770940")</f>
        <v>-33.724835,70.770940</v>
      </c>
      <c r="C205" s="6" t="str">
        <f ca="1">IFERROR(__xludf.DUMMYFUNCTION("""COMPUTED_VALUE"""),"ROLANDO LIRA 530")</f>
        <v>ROLANDO LIRA 530</v>
      </c>
      <c r="D205" s="6" t="str">
        <f ca="1">IFERROR(__xludf.DUMMYFUNCTION("""COMPUTED_VALUE"""),"BUIN")</f>
        <v>BUIN</v>
      </c>
    </row>
    <row r="206" spans="1:4">
      <c r="A206" s="7">
        <f ca="1">IFERROR(__xludf.DUMMYFUNCTION("""COMPUTED_VALUE"""),43927)</f>
        <v>43927</v>
      </c>
      <c r="B206" s="8" t="str">
        <f ca="1">IFERROR(__xludf.DUMMYFUNCTION("""COMPUTED_VALUE"""),"-33.722641,-70.743037")</f>
        <v>-33.722641,-70.743037</v>
      </c>
      <c r="C206" s="6" t="str">
        <f ca="1">IFERROR(__xludf.DUMMYFUNCTION("""COMPUTED_VALUE"""),"GUILLERMO GARCIA HUIDOBRO 449")</f>
        <v>GUILLERMO GARCIA HUIDOBRO 449</v>
      </c>
      <c r="D206" s="6" t="str">
        <f ca="1">IFERROR(__xludf.DUMMYFUNCTION("""COMPUTED_VALUE"""),"BUIN")</f>
        <v>BUIN</v>
      </c>
    </row>
    <row r="207" spans="1:4">
      <c r="A207" s="7">
        <f ca="1">IFERROR(__xludf.DUMMYFUNCTION("""COMPUTED_VALUE"""),43927)</f>
        <v>43927</v>
      </c>
      <c r="B207" s="8" t="str">
        <f ca="1">IFERROR(__xludf.DUMMYFUNCTION("""COMPUTED_VALUE"""),"-33.726605,-70.775036")</f>
        <v>-33.726605,-70.775036</v>
      </c>
      <c r="C207" s="6" t="str">
        <f ca="1">IFERROR(__xludf.DUMMYFUNCTION("""COMPUTED_VALUE"""),"LOS MAGNOLIOS 298")</f>
        <v>LOS MAGNOLIOS 298</v>
      </c>
      <c r="D207" s="6" t="str">
        <f ca="1">IFERROR(__xludf.DUMMYFUNCTION("""COMPUTED_VALUE"""),"BUIN")</f>
        <v>BUIN</v>
      </c>
    </row>
    <row r="208" spans="1:4">
      <c r="A208" s="7">
        <f ca="1">IFERROR(__xludf.DUMMYFUNCTION("""COMPUTED_VALUE"""),43927)</f>
        <v>43927</v>
      </c>
      <c r="B208" s="8" t="str">
        <f ca="1">IFERROR(__xludf.DUMMYFUNCTION("""COMPUTED_VALUE"""),"-33.661882,-70.9")</f>
        <v>-33.661882,-70.9</v>
      </c>
      <c r="C208" s="6" t="str">
        <f ca="1">IFERROR(__xludf.DUMMYFUNCTION("""COMPUTED_VALUE"""),"LAS ACHIRAS 988")</f>
        <v>LAS ACHIRAS 988</v>
      </c>
      <c r="D208" s="6" t="str">
        <f ca="1">IFERROR(__xludf.DUMMYFUNCTION("""COMPUTED_VALUE"""),"TALAGANTE")</f>
        <v>TALAGANTE</v>
      </c>
    </row>
    <row r="209" spans="1:4">
      <c r="A209" s="7">
        <f ca="1">IFERROR(__xludf.DUMMYFUNCTION("""COMPUTED_VALUE"""),43927)</f>
        <v>43927</v>
      </c>
      <c r="B209" s="6" t="str">
        <f ca="1">IFERROR(__xludf.DUMMYFUNCTION("""COMPUTED_VALUE"""),"-33.6130655-70.8990559")</f>
        <v>-33.6130655-70.8990559</v>
      </c>
      <c r="C209" s="6" t="str">
        <f ca="1">IFERROR(__xludf.DUMMYFUNCTION("""COMPUTED_VALUE"""),"FRANCISCO PIZARRO 3590")</f>
        <v>FRANCISCO PIZARRO 3590</v>
      </c>
      <c r="D209" s="6" t="str">
        <f ca="1">IFERROR(__xludf.DUMMYFUNCTION("""COMPUTED_VALUE"""),"PEÑAFLOR")</f>
        <v>PEÑAFLOR</v>
      </c>
    </row>
    <row r="210" spans="1:4">
      <c r="A210" s="7">
        <f ca="1">IFERROR(__xludf.DUMMYFUNCTION("""COMPUTED_VALUE"""),43927)</f>
        <v>43927</v>
      </c>
      <c r="B210" s="6" t="str">
        <f ca="1">IFERROR(__xludf.DUMMYFUNCTION("""COMPUTED_VALUE"""),"-33.604299-70.894185")</f>
        <v>-33.604299-70.894185</v>
      </c>
      <c r="C210" s="6" t="str">
        <f ca="1">IFERROR(__xludf.DUMMYFUNCTION("""COMPUTED_VALUE"""),"PASAJES LOS PATOS 113")</f>
        <v>PASAJES LOS PATOS 113</v>
      </c>
      <c r="D210" s="6" t="str">
        <f ca="1">IFERROR(__xludf.DUMMYFUNCTION("""COMPUTED_VALUE"""),"PEÑAFLOR")</f>
        <v>PEÑAFLOR</v>
      </c>
    </row>
    <row r="211" spans="1:4">
      <c r="A211" s="7">
        <f ca="1">IFERROR(__xludf.DUMMYFUNCTION("""COMPUTED_VALUE"""),43927)</f>
        <v>43927</v>
      </c>
      <c r="B211" s="6" t="str">
        <f ca="1">IFERROR(__xludf.DUMMYFUNCTION("""COMPUTED_VALUE"""),"-33.604652-70.882014")</f>
        <v>-33.604652-70.882014</v>
      </c>
      <c r="C211" s="6" t="str">
        <f ca="1">IFERROR(__xludf.DUMMYFUNCTION("""COMPUTED_VALUE"""),"SIETE SUR 2597")</f>
        <v>SIETE SUR 2597</v>
      </c>
      <c r="D211" s="6" t="str">
        <f ca="1">IFERROR(__xludf.DUMMYFUNCTION("""COMPUTED_VALUE"""),"PEÑAFLOR")</f>
        <v>PEÑAFLOR</v>
      </c>
    </row>
    <row r="212" spans="1:4">
      <c r="A212" s="7">
        <f ca="1">IFERROR(__xludf.DUMMYFUNCTION("""COMPUTED_VALUE"""),43927)</f>
        <v>43927</v>
      </c>
      <c r="B212" s="6" t="str">
        <f ca="1">IFERROR(__xludf.DUMMYFUNCTION("""COMPUTED_VALUE"""),"-33.6086-70.8821")</f>
        <v>-33.6086-70.8821</v>
      </c>
      <c r="C212" s="6" t="str">
        <f ca="1">IFERROR(__xludf.DUMMYFUNCTION("""COMPUTED_VALUE"""),"PASAJE ISIS 2412")</f>
        <v>PASAJE ISIS 2412</v>
      </c>
      <c r="D212" s="6" t="str">
        <f ca="1">IFERROR(__xludf.DUMMYFUNCTION("""COMPUTED_VALUE"""),"PEÑAFLOR")</f>
        <v>PEÑAFLOR</v>
      </c>
    </row>
    <row r="213" spans="1:4">
      <c r="A213" s="7">
        <f ca="1">IFERROR(__xludf.DUMMYFUNCTION("""COMPUTED_VALUE"""),43927)</f>
        <v>43927</v>
      </c>
      <c r="B213" s="6" t="str">
        <f ca="1">IFERROR(__xludf.DUMMYFUNCTION("""COMPUTED_VALUE"""),"-33.610357-70.888771")</f>
        <v>-33.610357-70.888771</v>
      </c>
      <c r="C213" s="6" t="str">
        <f ca="1">IFERROR(__xludf.DUMMYFUNCTION("""COMPUTED_VALUE"""),"AV. LAS PALMERAS 81")</f>
        <v>AV. LAS PALMERAS 81</v>
      </c>
      <c r="D213" s="6" t="str">
        <f ca="1">IFERROR(__xludf.DUMMYFUNCTION("""COMPUTED_VALUE"""),"PEÑAFLOR")</f>
        <v>PEÑAFLOR</v>
      </c>
    </row>
    <row r="214" spans="1:4">
      <c r="A214" s="7">
        <f ca="1">IFERROR(__xludf.DUMMYFUNCTION("""COMPUTED_VALUE"""),43927)</f>
        <v>43927</v>
      </c>
      <c r="B214" s="6" t="str">
        <f ca="1">IFERROR(__xludf.DUMMYFUNCTION("""COMPUTED_VALUE"""),"-33.609410-70.888410")</f>
        <v>-33.609410-70.888410</v>
      </c>
      <c r="C214" s="6" t="str">
        <f ca="1">IFERROR(__xludf.DUMMYFUNCTION("""COMPUTED_VALUE"""),"CORDILLERA DE NAHUELBUTA 197")</f>
        <v>CORDILLERA DE NAHUELBUTA 197</v>
      </c>
      <c r="D214" s="6" t="str">
        <f ca="1">IFERROR(__xludf.DUMMYFUNCTION("""COMPUTED_VALUE"""),"PEÑAFLOR")</f>
        <v>PEÑAFLOR</v>
      </c>
    </row>
    <row r="215" spans="1:4">
      <c r="A215" s="7">
        <f ca="1">IFERROR(__xludf.DUMMYFUNCTION("""COMPUTED_VALUE"""),43927)</f>
        <v>43927</v>
      </c>
      <c r="B215" s="6" t="str">
        <f ca="1">IFERROR(__xludf.DUMMYFUNCTION("""COMPUTED_VALUE"""),"-33.613820-70.872879")</f>
        <v>-33.613820-70.872879</v>
      </c>
      <c r="C215" s="6" t="str">
        <f ca="1">IFERROR(__xludf.DUMMYFUNCTION("""COMPUTED_VALUE"""),"ALONSO DE ERCILLA 1214")</f>
        <v>ALONSO DE ERCILLA 1214</v>
      </c>
      <c r="D215" s="6" t="str">
        <f ca="1">IFERROR(__xludf.DUMMYFUNCTION("""COMPUTED_VALUE"""),"PEÑAFLOR")</f>
        <v>PEÑAFLOR</v>
      </c>
    </row>
    <row r="216" spans="1:4">
      <c r="A216" s="7">
        <f ca="1">IFERROR(__xludf.DUMMYFUNCTION("""COMPUTED_VALUE"""),43927)</f>
        <v>43927</v>
      </c>
      <c r="B216" s="6" t="str">
        <f ca="1">IFERROR(__xludf.DUMMYFUNCTION("""COMPUTED_VALUE"""),"-33.601853-70.872045")</f>
        <v>-33.601853-70.872045</v>
      </c>
      <c r="C216" s="6" t="str">
        <f ca="1">IFERROR(__xludf.DUMMYFUNCTION("""COMPUTED_VALUE"""),"AV. LARRAIN 1821")</f>
        <v>AV. LARRAIN 1821</v>
      </c>
      <c r="D216" s="6" t="str">
        <f ca="1">IFERROR(__xludf.DUMMYFUNCTION("""COMPUTED_VALUE"""),"PEÑAFLOR")</f>
        <v>PEÑAFLOR</v>
      </c>
    </row>
    <row r="217" spans="1:4">
      <c r="A217" s="7">
        <f ca="1">IFERROR(__xludf.DUMMYFUNCTION("""COMPUTED_VALUE"""),43928)</f>
        <v>43928</v>
      </c>
      <c r="B217" s="8" t="str">
        <f ca="1">IFERROR(__xludf.DUMMYFUNCTION("""COMPUTED_VALUE"""),"-33.726463,-70.727654")</f>
        <v>-33.726463,-70.727654</v>
      </c>
      <c r="C217" s="6" t="str">
        <f ca="1">IFERROR(__xludf.DUMMYFUNCTION("""COMPUTED_VALUE"""),"CALLE ESTACION 031")</f>
        <v>CALLE ESTACION 031</v>
      </c>
      <c r="D217" s="6" t="str">
        <f ca="1">IFERROR(__xludf.DUMMYFUNCTION("""COMPUTED_VALUE"""),"BUIN")</f>
        <v>BUIN</v>
      </c>
    </row>
    <row r="218" spans="1:4">
      <c r="A218" s="7">
        <f ca="1">IFERROR(__xludf.DUMMYFUNCTION("""COMPUTED_VALUE"""),43928)</f>
        <v>43928</v>
      </c>
      <c r="B218" s="8" t="str">
        <f ca="1">IFERROR(__xludf.DUMMYFUNCTION("""COMPUTED_VALUE"""),"-33.732991,-70.748088")</f>
        <v>-33.732991,-70.748088</v>
      </c>
      <c r="C218" s="6" t="str">
        <f ca="1">IFERROR(__xludf.DUMMYFUNCTION("""COMPUTED_VALUE"""),"AV BERNARDO OHIGGINS 390 ")</f>
        <v xml:space="preserve">AV BERNARDO OHIGGINS 390 </v>
      </c>
      <c r="D218" s="6" t="str">
        <f ca="1">IFERROR(__xludf.DUMMYFUNCTION("""COMPUTED_VALUE"""),"BUIN")</f>
        <v>BUIN</v>
      </c>
    </row>
    <row r="219" spans="1:4">
      <c r="A219" s="7">
        <f ca="1">IFERROR(__xludf.DUMMYFUNCTION("""COMPUTED_VALUE"""),43928)</f>
        <v>43928</v>
      </c>
      <c r="B219" s="8" t="str">
        <f ca="1">IFERROR(__xludf.DUMMYFUNCTION("""COMPUTED_VALUE"""),"-33.725374,-70.772602")</f>
        <v>-33.725374,-70.772602</v>
      </c>
      <c r="C219" s="6" t="str">
        <f ca="1">IFERROR(__xludf.DUMMYFUNCTION("""COMPUTED_VALUE"""),"PASAJE LUIS RODRIGUEZ 95")</f>
        <v>PASAJE LUIS RODRIGUEZ 95</v>
      </c>
      <c r="D219" s="6" t="str">
        <f ca="1">IFERROR(__xludf.DUMMYFUNCTION("""COMPUTED_VALUE"""),"BUIN")</f>
        <v>BUIN</v>
      </c>
    </row>
    <row r="220" spans="1:4">
      <c r="A220" s="7">
        <f ca="1">IFERROR(__xludf.DUMMYFUNCTION("""COMPUTED_VALUE"""),43928)</f>
        <v>43928</v>
      </c>
      <c r="B220" s="8" t="str">
        <f ca="1">IFERROR(__xludf.DUMMYFUNCTION("""COMPUTED_VALUE"""),"-33.728746,-70.774238")</f>
        <v>-33.728746,-70.774238</v>
      </c>
      <c r="C220" s="6" t="str">
        <f ca="1">IFERROR(__xludf.DUMMYFUNCTION("""COMPUTED_VALUE"""),"LOS PALTOS 240")</f>
        <v>LOS PALTOS 240</v>
      </c>
      <c r="D220" s="6" t="str">
        <f ca="1">IFERROR(__xludf.DUMMYFUNCTION("""COMPUTED_VALUE"""),"BUIN")</f>
        <v>BUIN</v>
      </c>
    </row>
    <row r="221" spans="1:4">
      <c r="A221" s="7">
        <f ca="1">IFERROR(__xludf.DUMMYFUNCTION("""COMPUTED_VALUE"""),43928)</f>
        <v>43928</v>
      </c>
      <c r="B221" s="8" t="str">
        <f ca="1">IFERROR(__xludf.DUMMYFUNCTION("""COMPUTED_VALUE"""),"-33.723168, -70.739780")</f>
        <v>-33.723168, -70.739780</v>
      </c>
      <c r="C221" s="6" t="str">
        <f ca="1">IFERROR(__xludf.DUMMYFUNCTION("""COMPUTED_VALUE"""),"SAN SEBASTIAN 486")</f>
        <v>SAN SEBASTIAN 486</v>
      </c>
      <c r="D221" s="6" t="str">
        <f ca="1">IFERROR(__xludf.DUMMYFUNCTION("""COMPUTED_VALUE"""),"BUIN")</f>
        <v>BUIN</v>
      </c>
    </row>
    <row r="222" spans="1:4">
      <c r="A222" s="7">
        <f ca="1">IFERROR(__xludf.DUMMYFUNCTION("""COMPUTED_VALUE"""),43928)</f>
        <v>43928</v>
      </c>
      <c r="B222" s="8" t="str">
        <f ca="1">IFERROR(__xludf.DUMMYFUNCTION("""COMPUTED_VALUE"""),"-33.740811,-70.677636")</f>
        <v>-33.740811,-70.677636</v>
      </c>
      <c r="C222" s="6" t="str">
        <f ca="1">IFERROR(__xludf.DUMMYFUNCTION("""COMPUTED_VALUE"""),"ROUSSANE 36")</f>
        <v>ROUSSANE 36</v>
      </c>
      <c r="D222" s="6" t="str">
        <f ca="1">IFERROR(__xludf.DUMMYFUNCTION("""COMPUTED_VALUE"""),"BUIN")</f>
        <v>BUIN</v>
      </c>
    </row>
    <row r="223" spans="1:4">
      <c r="A223" s="7">
        <f ca="1">IFERROR(__xludf.DUMMYFUNCTION("""COMPUTED_VALUE"""),43928)</f>
        <v>43928</v>
      </c>
      <c r="B223" s="8" t="str">
        <f ca="1">IFERROR(__xludf.DUMMYFUNCTION("""COMPUTED_VALUE"""),"-33.7277363,70.7277740")</f>
        <v>-33.7277363,70.7277740</v>
      </c>
      <c r="C223" s="6" t="str">
        <f ca="1">IFERROR(__xludf.DUMMYFUNCTION("""COMPUTED_VALUE"""),"CAMINO ESTACION 61")</f>
        <v>CAMINO ESTACION 61</v>
      </c>
      <c r="D223" s="6" t="str">
        <f ca="1">IFERROR(__xludf.DUMMYFUNCTION("""COMPUTED_VALUE"""),"BUIN")</f>
        <v>BUIN</v>
      </c>
    </row>
    <row r="224" spans="1:4">
      <c r="A224" s="7">
        <f ca="1">IFERROR(__xludf.DUMMYFUNCTION("""COMPUTED_VALUE"""),43928)</f>
        <v>43928</v>
      </c>
      <c r="B224" s="8" t="str">
        <f ca="1">IFERROR(__xludf.DUMMYFUNCTION("""COMPUTED_VALUE"""),"-33.729410,-70.743227")</f>
        <v>-33.729410,-70.743227</v>
      </c>
      <c r="C224" s="6" t="str">
        <f ca="1">IFERROR(__xludf.DUMMYFUNCTION("""COMPUTED_VALUE"""),"MANUEL BULNES 38")</f>
        <v>MANUEL BULNES 38</v>
      </c>
      <c r="D224" s="6" t="str">
        <f ca="1">IFERROR(__xludf.DUMMYFUNCTION("""COMPUTED_VALUE"""),"BUIN")</f>
        <v>BUIN</v>
      </c>
    </row>
    <row r="225" spans="1:4">
      <c r="A225" s="7">
        <f ca="1">IFERROR(__xludf.DUMMYFUNCTION("""COMPUTED_VALUE"""),43928)</f>
        <v>43928</v>
      </c>
      <c r="B225" s="8" t="str">
        <f ca="1">IFERROR(__xludf.DUMMYFUNCTION("""COMPUTED_VALUE"""),"-33.729410,-70.743227")</f>
        <v>-33.729410,-70.743227</v>
      </c>
      <c r="C225" s="6" t="str">
        <f ca="1">IFERROR(__xludf.DUMMYFUNCTION("""COMPUTED_VALUE"""),"MANUEL BULNES 38")</f>
        <v>MANUEL BULNES 38</v>
      </c>
      <c r="D225" s="6" t="str">
        <f ca="1">IFERROR(__xludf.DUMMYFUNCTION("""COMPUTED_VALUE"""),"BUIN")</f>
        <v>BUIN</v>
      </c>
    </row>
    <row r="226" spans="1:4">
      <c r="A226" s="7">
        <f ca="1">IFERROR(__xludf.DUMMYFUNCTION("""COMPUTED_VALUE"""),43928)</f>
        <v>43928</v>
      </c>
      <c r="B226" s="8" t="str">
        <f ca="1">IFERROR(__xludf.DUMMYFUNCTION("""COMPUTED_VALUE"""),"-33.727133,-70.728322")</f>
        <v>-33.727133,-70.728322</v>
      </c>
      <c r="C226" s="6" t="str">
        <f ca="1">IFERROR(__xludf.DUMMYFUNCTION("""COMPUTED_VALUE"""),"PSJE JORGE RODRIGUEZ CASA 26")</f>
        <v>PSJE JORGE RODRIGUEZ CASA 26</v>
      </c>
      <c r="D226" s="6" t="str">
        <f ca="1">IFERROR(__xludf.DUMMYFUNCTION("""COMPUTED_VALUE"""),"BUIN")</f>
        <v>BUIN</v>
      </c>
    </row>
    <row r="227" spans="1:4">
      <c r="A227" s="7">
        <f ca="1">IFERROR(__xludf.DUMMYFUNCTION("""COMPUTED_VALUE"""),43928)</f>
        <v>43928</v>
      </c>
      <c r="B227" s="8" t="str">
        <f ca="1">IFERROR(__xludf.DUMMYFUNCTION("""COMPUTED_VALUE"""),"-33.744318,-70.735750")</f>
        <v>-33.744318,-70.735750</v>
      </c>
      <c r="C227" s="6" t="str">
        <f ca="1">IFERROR(__xludf.DUMMYFUNCTION("""COMPUTED_VALUE"""),"PSJE GRACIELA DEL CARMEN VILLAROEL 40")</f>
        <v>PSJE GRACIELA DEL CARMEN VILLAROEL 40</v>
      </c>
      <c r="D227" s="6" t="str">
        <f ca="1">IFERROR(__xludf.DUMMYFUNCTION("""COMPUTED_VALUE"""),"BUIN")</f>
        <v>BUIN</v>
      </c>
    </row>
    <row r="228" spans="1:4">
      <c r="A228" s="7">
        <f ca="1">IFERROR(__xludf.DUMMYFUNCTION("""COMPUTED_VALUE"""),43928)</f>
        <v>43928</v>
      </c>
      <c r="B228" s="8" t="str">
        <f ca="1">IFERROR(__xludf.DUMMYFUNCTION("""COMPUTED_VALUE"""),"-33.805257,-70.858214")</f>
        <v>-33.805257,-70.858214</v>
      </c>
      <c r="C228" s="6" t="str">
        <f ca="1">IFERROR(__xludf.DUMMYFUNCTION("""COMPUTED_VALUE"""),"LAUTARO 142")</f>
        <v>LAUTARO 142</v>
      </c>
      <c r="D228" s="6" t="str">
        <f ca="1">IFERROR(__xludf.DUMMYFUNCTION("""COMPUTED_VALUE"""),"BUIN")</f>
        <v>BUIN</v>
      </c>
    </row>
    <row r="229" spans="1:4">
      <c r="A229" s="7">
        <f ca="1">IFERROR(__xludf.DUMMYFUNCTION("""COMPUTED_VALUE"""),43928)</f>
        <v>43928</v>
      </c>
      <c r="B229" s="8" t="str">
        <f ca="1">IFERROR(__xludf.DUMMYFUNCTION("""COMPUTED_VALUE"""),"-33.664585, -70.918444")</f>
        <v>-33.664585, -70.918444</v>
      </c>
      <c r="C229" s="6" t="str">
        <f ca="1">IFERROR(__xludf.DUMMYFUNCTION("""COMPUTED_VALUE"""),"PASAJE ALFEREZ REAL 1251")</f>
        <v>PASAJE ALFEREZ REAL 1251</v>
      </c>
      <c r="D229" s="6" t="str">
        <f ca="1">IFERROR(__xludf.DUMMYFUNCTION("""COMPUTED_VALUE"""),"TALAGANTE")</f>
        <v>TALAGANTE</v>
      </c>
    </row>
    <row r="230" spans="1:4">
      <c r="A230" s="7">
        <f ca="1">IFERROR(__xludf.DUMMYFUNCTION("""COMPUTED_VALUE"""),43928)</f>
        <v>43928</v>
      </c>
      <c r="B230" s="8" t="str">
        <f ca="1">IFERROR(__xludf.DUMMYFUNCTION("""COMPUTED_VALUE"""),"-33.701287,-70.866223")</f>
        <v>-33.701287,-70.866223</v>
      </c>
      <c r="C230" s="6" t="str">
        <f ca="1">IFERROR(__xludf.DUMMYFUNCTION("""COMPUTED_VALUE"""),"EL MANZANO 62 PARCELA 3")</f>
        <v>EL MANZANO 62 PARCELA 3</v>
      </c>
      <c r="D230" s="6" t="str">
        <f ca="1">IFERROR(__xludf.DUMMYFUNCTION("""COMPUTED_VALUE"""),"TALAGANTE")</f>
        <v>TALAGANTE</v>
      </c>
    </row>
    <row r="231" spans="1:4">
      <c r="A231" s="7">
        <f ca="1">IFERROR(__xludf.DUMMYFUNCTION("""COMPUTED_VALUE"""),43928)</f>
        <v>43928</v>
      </c>
      <c r="B231" s="6" t="str">
        <f ca="1">IFERROR(__xludf.DUMMYFUNCTION("""COMPUTED_VALUE"""),"-33.612551-70.861127")</f>
        <v>-33.612551-70.861127</v>
      </c>
      <c r="C231" s="6" t="str">
        <f ca="1">IFERROR(__xludf.DUMMYFUNCTION("""COMPUTED_VALUE"""),"TORIBIO LARRAIN 1347 CASA D 23")</f>
        <v>TORIBIO LARRAIN 1347 CASA D 23</v>
      </c>
      <c r="D231" s="6" t="str">
        <f ca="1">IFERROR(__xludf.DUMMYFUNCTION("""COMPUTED_VALUE"""),"PEÑAFLOR")</f>
        <v>PEÑAFLOR</v>
      </c>
    </row>
    <row r="232" spans="1:4">
      <c r="A232" s="7">
        <f ca="1">IFERROR(__xludf.DUMMYFUNCTION("""COMPUTED_VALUE"""),43928)</f>
        <v>43928</v>
      </c>
      <c r="B232" s="6" t="str">
        <f ca="1">IFERROR(__xludf.DUMMYFUNCTION("""COMPUTED_VALUE"""),"-33.602100-70.888747")</f>
        <v>-33.602100-70.888747</v>
      </c>
      <c r="C232" s="6" t="str">
        <f ca="1">IFERROR(__xludf.DUMMYFUNCTION("""COMPUTED_VALUE"""),"NUEVE PONIENTE 811")</f>
        <v>NUEVE PONIENTE 811</v>
      </c>
      <c r="D232" s="6" t="str">
        <f ca="1">IFERROR(__xludf.DUMMYFUNCTION("""COMPUTED_VALUE"""),"PEÑAFLOR")</f>
        <v>PEÑAFLOR</v>
      </c>
    </row>
    <row r="233" spans="1:4">
      <c r="A233" s="7">
        <f ca="1">IFERROR(__xludf.DUMMYFUNCTION("""COMPUTED_VALUE"""),43928)</f>
        <v>43928</v>
      </c>
      <c r="B233" s="6" t="str">
        <f ca="1">IFERROR(__xludf.DUMMYFUNCTION("""COMPUTED_VALUE"""),"-33.601879-70.872424")</f>
        <v>-33.601879-70.872424</v>
      </c>
      <c r="C233" s="6" t="str">
        <f ca="1">IFERROR(__xludf.DUMMYFUNCTION("""COMPUTED_VALUE"""),"AV. LARRAIN 1860")</f>
        <v>AV. LARRAIN 1860</v>
      </c>
      <c r="D233" s="6" t="str">
        <f ca="1">IFERROR(__xludf.DUMMYFUNCTION("""COMPUTED_VALUE"""),"PEÑAFLOR")</f>
        <v>PEÑAFLOR</v>
      </c>
    </row>
    <row r="234" spans="1:4">
      <c r="A234" s="7">
        <f ca="1">IFERROR(__xludf.DUMMYFUNCTION("""COMPUTED_VALUE"""),43928)</f>
        <v>43928</v>
      </c>
      <c r="B234" s="6" t="str">
        <f ca="1">IFERROR(__xludf.DUMMYFUNCTION("""COMPUTED_VALUE"""),"-33.6044-70.8752")</f>
        <v>-33.6044-70.8752</v>
      </c>
      <c r="C234" s="6" t="str">
        <f ca="1">IFERROR(__xludf.DUMMYFUNCTION("""COMPUTED_VALUE"""),"MALLOQUITO 1996")</f>
        <v>MALLOQUITO 1996</v>
      </c>
      <c r="D234" s="6" t="str">
        <f ca="1">IFERROR(__xludf.DUMMYFUNCTION("""COMPUTED_VALUE"""),"PEÑAFLOR")</f>
        <v>PEÑAFLOR</v>
      </c>
    </row>
    <row r="235" spans="1:4">
      <c r="A235" s="7">
        <f ca="1">IFERROR(__xludf.DUMMYFUNCTION("""COMPUTED_VALUE"""),43928)</f>
        <v>43928</v>
      </c>
      <c r="B235" s="6" t="str">
        <f ca="1">IFERROR(__xludf.DUMMYFUNCTION("""COMPUTED_VALUE"""),"-33.6145339-70.8632722")</f>
        <v>-33.6145339-70.8632722</v>
      </c>
      <c r="C235" s="6" t="str">
        <f ca="1">IFERROR(__xludf.DUMMYFUNCTION("""COMPUTED_VALUE"""),"PASAJE SEIS 163")</f>
        <v>PASAJE SEIS 163</v>
      </c>
      <c r="D235" s="6" t="str">
        <f ca="1">IFERROR(__xludf.DUMMYFUNCTION("""COMPUTED_VALUE"""),"PEÑAFLOR")</f>
        <v>PEÑAFLOR</v>
      </c>
    </row>
    <row r="236" spans="1:4">
      <c r="A236" s="7">
        <f ca="1">IFERROR(__xludf.DUMMYFUNCTION("""COMPUTED_VALUE"""),43928)</f>
        <v>43928</v>
      </c>
      <c r="B236" s="6" t="str">
        <f ca="1">IFERROR(__xludf.DUMMYFUNCTION("""COMPUTED_VALUE"""),"-33.634901-70.918625")</f>
        <v>-33.634901-70.918625</v>
      </c>
      <c r="C236" s="6" t="str">
        <f ca="1">IFERROR(__xludf.DUMMYFUNCTION("""COMPUTED_VALUE"""),"CAMINO EL ROSARIO PARCELA 19")</f>
        <v>CAMINO EL ROSARIO PARCELA 19</v>
      </c>
      <c r="D236" s="6" t="str">
        <f ca="1">IFERROR(__xludf.DUMMYFUNCTION("""COMPUTED_VALUE"""),"PEÑAFLOR")</f>
        <v>PEÑAFLOR</v>
      </c>
    </row>
    <row r="237" spans="1:4">
      <c r="A237" s="7">
        <f ca="1">IFERROR(__xludf.DUMMYFUNCTION("""COMPUTED_VALUE"""),43928)</f>
        <v>43928</v>
      </c>
      <c r="B237" s="6" t="str">
        <f ca="1">IFERROR(__xludf.DUMMYFUNCTION("""COMPUTED_VALUE"""),"-33.634901-70.918625")</f>
        <v>-33.634901-70.918625</v>
      </c>
      <c r="C237" s="6" t="str">
        <f ca="1">IFERROR(__xludf.DUMMYFUNCTION("""COMPUTED_VALUE"""),"CAMINO EL ROSARIO PARCELA 19")</f>
        <v>CAMINO EL ROSARIO PARCELA 19</v>
      </c>
      <c r="D237" s="6" t="str">
        <f ca="1">IFERROR(__xludf.DUMMYFUNCTION("""COMPUTED_VALUE"""),"PEÑAFLOR")</f>
        <v>PEÑAFLOR</v>
      </c>
    </row>
    <row r="238" spans="1:4">
      <c r="A238" s="7">
        <f ca="1">IFERROR(__xludf.DUMMYFUNCTION("""COMPUTED_VALUE"""),43928)</f>
        <v>43928</v>
      </c>
      <c r="B238" s="6" t="str">
        <f ca="1">IFERROR(__xludf.DUMMYFUNCTION("""COMPUTED_VALUE"""),"-33.604029-70.894595")</f>
        <v>-33.604029-70.894595</v>
      </c>
      <c r="C238" s="6" t="str">
        <f ca="1">IFERROR(__xludf.DUMMYFUNCTION("""COMPUTED_VALUE"""),"PASAJE LOS PATOS 65")</f>
        <v>PASAJE LOS PATOS 65</v>
      </c>
      <c r="D238" s="6" t="str">
        <f ca="1">IFERROR(__xludf.DUMMYFUNCTION("""COMPUTED_VALUE"""),"PEÑAFLOR")</f>
        <v>PEÑAFLOR</v>
      </c>
    </row>
    <row r="239" spans="1:4">
      <c r="A239" s="7">
        <f ca="1">IFERROR(__xludf.DUMMYFUNCTION("""COMPUTED_VALUE"""),43928)</f>
        <v>43928</v>
      </c>
      <c r="B239" s="6" t="str">
        <f ca="1">IFERROR(__xludf.DUMMYFUNCTION("""COMPUTED_VALUE"""),"-33.266772-70.803948")</f>
        <v>-33.266772-70.803948</v>
      </c>
      <c r="C239" s="6" t="str">
        <f ca="1">IFERROR(__xludf.DUMMYFUNCTION("""COMPUTED_VALUE"""),"ESPAÑA M/6 S/7")</f>
        <v>ESPAÑA M/6 S/7</v>
      </c>
      <c r="D239" s="6" t="str">
        <f ca="1">IFERROR(__xludf.DUMMYFUNCTION("""COMPUTED_VALUE"""),"LAMPA")</f>
        <v>LAMPA</v>
      </c>
    </row>
    <row r="240" spans="1:4">
      <c r="A240" s="7">
        <f ca="1">IFERROR(__xludf.DUMMYFUNCTION("""COMPUTED_VALUE"""),43929)</f>
        <v>43929</v>
      </c>
      <c r="B240" s="8" t="str">
        <f ca="1">IFERROR(__xludf.DUMMYFUNCTION("""COMPUTED_VALUE"""),"-33.723821,-70.735935")</f>
        <v>-33.723821,-70.735935</v>
      </c>
      <c r="C240" s="6" t="str">
        <f ca="1">IFERROR(__xludf.DUMMYFUNCTION("""COMPUTED_VALUE"""),"FORTUNATO VENEGAS 27")</f>
        <v>FORTUNATO VENEGAS 27</v>
      </c>
      <c r="D240" s="6" t="str">
        <f ca="1">IFERROR(__xludf.DUMMYFUNCTION("""COMPUTED_VALUE"""),"BUIN")</f>
        <v>BUIN</v>
      </c>
    </row>
    <row r="241" spans="1:4">
      <c r="A241" s="7">
        <f ca="1">IFERROR(__xludf.DUMMYFUNCTION("""COMPUTED_VALUE"""),43929)</f>
        <v>43929</v>
      </c>
      <c r="B241" s="8" t="str">
        <f ca="1">IFERROR(__xludf.DUMMYFUNCTION("""COMPUTED_VALUE"""),".33.760414,-70.737795")</f>
        <v>.33.760414,-70.737795</v>
      </c>
      <c r="C241" s="6" t="str">
        <f ca="1">IFERROR(__xludf.DUMMYFUNCTION("""COMPUTED_VALUE"""),"LAS ORQUIDEAS 213")</f>
        <v>LAS ORQUIDEAS 213</v>
      </c>
      <c r="D241" s="6" t="str">
        <f ca="1">IFERROR(__xludf.DUMMYFUNCTION("""COMPUTED_VALUE"""),"BUIN")</f>
        <v>BUIN</v>
      </c>
    </row>
    <row r="242" spans="1:4">
      <c r="A242" s="7">
        <f ca="1">IFERROR(__xludf.DUMMYFUNCTION("""COMPUTED_VALUE"""),43929)</f>
        <v>43929</v>
      </c>
      <c r="B242" s="8" t="str">
        <f ca="1">IFERROR(__xludf.DUMMYFUNCTION("""COMPUTED_VALUE"""),"-33.739166,-70.742809")</f>
        <v>-33.739166,-70.742809</v>
      </c>
      <c r="C242" s="6" t="str">
        <f ca="1">IFERROR(__xludf.DUMMYFUNCTION("""COMPUTED_VALUE"""),"SAN GABREIL 897")</f>
        <v>SAN GABREIL 897</v>
      </c>
      <c r="D242" s="6" t="str">
        <f ca="1">IFERROR(__xludf.DUMMYFUNCTION("""COMPUTED_VALUE"""),"BUIN")</f>
        <v>BUIN</v>
      </c>
    </row>
    <row r="243" spans="1:4">
      <c r="A243" s="7">
        <f ca="1">IFERROR(__xludf.DUMMYFUNCTION("""COMPUTED_VALUE"""),43929)</f>
        <v>43929</v>
      </c>
      <c r="B243" s="8" t="str">
        <f ca="1">IFERROR(__xludf.DUMMYFUNCTION("""COMPUTED_VALUE"""),"-33.727483,-70.773085")</f>
        <v>-33.727483,-70.773085</v>
      </c>
      <c r="C243" s="6" t="str">
        <f ca="1">IFERROR(__xludf.DUMMYFUNCTION("""COMPUTED_VALUE"""),"PASAJE EL NOGAL 126")</f>
        <v>PASAJE EL NOGAL 126</v>
      </c>
      <c r="D243" s="6" t="str">
        <f ca="1">IFERROR(__xludf.DUMMYFUNCTION("""COMPUTED_VALUE"""),"BUIN")</f>
        <v>BUIN</v>
      </c>
    </row>
    <row r="244" spans="1:4">
      <c r="A244" s="7">
        <f ca="1">IFERROR(__xludf.DUMMYFUNCTION("""COMPUTED_VALUE"""),43929)</f>
        <v>43929</v>
      </c>
      <c r="B244" s="8" t="str">
        <f ca="1">IFERROR(__xludf.DUMMYFUNCTION("""COMPUTED_VALUE"""),"-33.729122,-70.780420")</f>
        <v>-33.729122,-70.780420</v>
      </c>
      <c r="C244" s="6" t="str">
        <f ca="1">IFERROR(__xludf.DUMMYFUNCTION("""COMPUTED_VALUE"""),"LA PALOMA 201")</f>
        <v>LA PALOMA 201</v>
      </c>
      <c r="D244" s="6" t="str">
        <f ca="1">IFERROR(__xludf.DUMMYFUNCTION("""COMPUTED_VALUE"""),"BUIN")</f>
        <v>BUIN</v>
      </c>
    </row>
    <row r="245" spans="1:4">
      <c r="A245" s="7">
        <f ca="1">IFERROR(__xludf.DUMMYFUNCTION("""COMPUTED_VALUE"""),43929)</f>
        <v>43929</v>
      </c>
      <c r="B245" s="8" t="str">
        <f ca="1">IFERROR(__xludf.DUMMYFUNCTION("""COMPUTED_VALUE"""),"-33.726708,-70.732104")</f>
        <v>-33.726708,-70.732104</v>
      </c>
      <c r="C245" s="6" t="str">
        <f ca="1">IFERROR(__xludf.DUMMYFUNCTION("""COMPUTED_VALUE"""),"HARMUT KOEHN 0172")</f>
        <v>HARMUT KOEHN 0172</v>
      </c>
      <c r="D245" s="6" t="str">
        <f ca="1">IFERROR(__xludf.DUMMYFUNCTION("""COMPUTED_VALUE"""),"BUIN")</f>
        <v>BUIN</v>
      </c>
    </row>
    <row r="246" spans="1:4">
      <c r="A246" s="7">
        <f ca="1">IFERROR(__xludf.DUMMYFUNCTION("""COMPUTED_VALUE"""),43929)</f>
        <v>43929</v>
      </c>
      <c r="B246" s="6" t="str">
        <f ca="1">IFERROR(__xludf.DUMMYFUNCTION("""COMPUTED_VALUE"""),"-33.605447-70.907335")</f>
        <v>-33.605447-70.907335</v>
      </c>
      <c r="C246" s="6" t="str">
        <f ca="1">IFERROR(__xludf.DUMMYFUNCTION("""COMPUTED_VALUE"""),"CAMINO DEL ESTERO 207")</f>
        <v>CAMINO DEL ESTERO 207</v>
      </c>
      <c r="D246" s="6" t="str">
        <f ca="1">IFERROR(__xludf.DUMMYFUNCTION("""COMPUTED_VALUE"""),"PEÑAFLOR")</f>
        <v>PEÑAFLOR</v>
      </c>
    </row>
    <row r="247" spans="1:4">
      <c r="A247" s="7">
        <f ca="1">IFERROR(__xludf.DUMMYFUNCTION("""COMPUTED_VALUE"""),43929)</f>
        <v>43929</v>
      </c>
      <c r="B247" s="6" t="str">
        <f ca="1">IFERROR(__xludf.DUMMYFUNCTION("""COMPUTED_VALUE"""),"-33.615854-70.864247")</f>
        <v>-33.615854-70.864247</v>
      </c>
      <c r="C247" s="6" t="str">
        <f ca="1">IFERROR(__xludf.DUMMYFUNCTION("""COMPUTED_VALUE"""),"PASAJE UNO 150")</f>
        <v>PASAJE UNO 150</v>
      </c>
      <c r="D247" s="6" t="str">
        <f ca="1">IFERROR(__xludf.DUMMYFUNCTION("""COMPUTED_VALUE"""),"PEÑAFLOR")</f>
        <v>PEÑAFLOR</v>
      </c>
    </row>
    <row r="248" spans="1:4">
      <c r="A248" s="7">
        <f ca="1">IFERROR(__xludf.DUMMYFUNCTION("""COMPUTED_VALUE"""),43929)</f>
        <v>43929</v>
      </c>
      <c r="B248" s="6" t="str">
        <f ca="1">IFERROR(__xludf.DUMMYFUNCTION("""COMPUTED_VALUE"""),"-33.598863-70.877312")</f>
        <v>-33.598863-70.877312</v>
      </c>
      <c r="C248" s="6" t="str">
        <f ca="1">IFERROR(__xludf.DUMMYFUNCTION("""COMPUTED_VALUE"""),"CENTENARIO 69")</f>
        <v>CENTENARIO 69</v>
      </c>
      <c r="D248" s="6" t="str">
        <f ca="1">IFERROR(__xludf.DUMMYFUNCTION("""COMPUTED_VALUE"""),"PEÑAFLOR")</f>
        <v>PEÑAFLOR</v>
      </c>
    </row>
    <row r="249" spans="1:4">
      <c r="A249" s="7">
        <f ca="1">IFERROR(__xludf.DUMMYFUNCTION("""COMPUTED_VALUE"""),43929)</f>
        <v>43929</v>
      </c>
      <c r="B249" s="6" t="str">
        <f ca="1">IFERROR(__xludf.DUMMYFUNCTION("""COMPUTED_VALUE"""),"-33.615902-70.874594")</f>
        <v>-33.615902-70.874594</v>
      </c>
      <c r="C249" s="6" t="str">
        <f ca="1">IFERROR(__xludf.DUMMYFUNCTION("""COMPUTED_VALUE"""),"LOS CRISANTEMOS 1452")</f>
        <v>LOS CRISANTEMOS 1452</v>
      </c>
      <c r="D249" s="6" t="str">
        <f ca="1">IFERROR(__xludf.DUMMYFUNCTION("""COMPUTED_VALUE"""),"PEÑAFLOR")</f>
        <v>PEÑAFLOR</v>
      </c>
    </row>
    <row r="250" spans="1:4">
      <c r="A250" s="7">
        <f ca="1">IFERROR(__xludf.DUMMYFUNCTION("""COMPUTED_VALUE"""),43929)</f>
        <v>43929</v>
      </c>
      <c r="B250" s="6" t="str">
        <f ca="1">IFERROR(__xludf.DUMMYFUNCTION("""COMPUTED_VALUE"""),"-33.6113-70.8754")</f>
        <v>-33.6113-70.8754</v>
      </c>
      <c r="C250" s="6" t="str">
        <f ca="1">IFERROR(__xludf.DUMMYFUNCTION("""COMPUTED_VALUE"""),"BENJAMIN SUBERCASEAUX 86")</f>
        <v>BENJAMIN SUBERCASEAUX 86</v>
      </c>
      <c r="D250" s="6" t="str">
        <f ca="1">IFERROR(__xludf.DUMMYFUNCTION("""COMPUTED_VALUE"""),"PEÑAFLOR")</f>
        <v>PEÑAFLOR</v>
      </c>
    </row>
    <row r="251" spans="1:4">
      <c r="A251" s="7">
        <f ca="1">IFERROR(__xludf.DUMMYFUNCTION("""COMPUTED_VALUE"""),43929)</f>
        <v>43929</v>
      </c>
      <c r="B251" s="6" t="str">
        <f ca="1">IFERROR(__xludf.DUMMYFUNCTION("""COMPUTED_VALUE"""),"-33.604240-70.892613")</f>
        <v>-33.604240-70.892613</v>
      </c>
      <c r="C251" s="6" t="str">
        <f ca="1">IFERROR(__xludf.DUMMYFUNCTION("""COMPUTED_VALUE"""),"ANTOFAGASTA 236")</f>
        <v>ANTOFAGASTA 236</v>
      </c>
      <c r="D251" s="6" t="str">
        <f ca="1">IFERROR(__xludf.DUMMYFUNCTION("""COMPUTED_VALUE"""),"PEÑAFLOR")</f>
        <v>PEÑAFLOR</v>
      </c>
    </row>
    <row r="252" spans="1:4">
      <c r="A252" s="7">
        <f ca="1">IFERROR(__xludf.DUMMYFUNCTION("""COMPUTED_VALUE"""),43930)</f>
        <v>43930</v>
      </c>
      <c r="B252" s="8" t="str">
        <f ca="1">IFERROR(__xludf.DUMMYFUNCTION("""COMPUTED_VALUE"""),"-33.709338,-70.741087")</f>
        <v>-33.709338,-70.741087</v>
      </c>
      <c r="C252" s="6" t="str">
        <f ca="1">IFERROR(__xludf.DUMMYFUNCTION("""COMPUTED_VALUE"""),"ROBERTO MALLEA ALCANTAR 1772")</f>
        <v>ROBERTO MALLEA ALCANTAR 1772</v>
      </c>
      <c r="D252" s="6" t="str">
        <f ca="1">IFERROR(__xludf.DUMMYFUNCTION("""COMPUTED_VALUE"""),"BUIN")</f>
        <v>BUIN</v>
      </c>
    </row>
    <row r="253" spans="1:4">
      <c r="A253" s="7">
        <f ca="1">IFERROR(__xludf.DUMMYFUNCTION("""COMPUTED_VALUE"""),43930)</f>
        <v>43930</v>
      </c>
      <c r="B253" s="8" t="str">
        <f ca="1">IFERROR(__xludf.DUMMYFUNCTION("""COMPUTED_VALUE"""),"-33.725240,-70.772309")</f>
        <v>-33.725240,-70.772309</v>
      </c>
      <c r="C253" s="6" t="str">
        <f ca="1">IFERROR(__xludf.DUMMYFUNCTION("""COMPUTED_VALUE"""),"ALFREDO MANSO 459")</f>
        <v>ALFREDO MANSO 459</v>
      </c>
      <c r="D253" s="6" t="str">
        <f ca="1">IFERROR(__xludf.DUMMYFUNCTION("""COMPUTED_VALUE"""),"BUIN")</f>
        <v>BUIN</v>
      </c>
    </row>
    <row r="254" spans="1:4">
      <c r="A254" s="7">
        <f ca="1">IFERROR(__xludf.DUMMYFUNCTION("""COMPUTED_VALUE"""),43930)</f>
        <v>43930</v>
      </c>
      <c r="B254" s="8" t="str">
        <f ca="1">IFERROR(__xludf.DUMMYFUNCTION("""COMPUTED_VALUE"""),"-33.714854,-70.739820")</f>
        <v>-33.714854,-70.739820</v>
      </c>
      <c r="C254" s="6" t="str">
        <f ca="1">IFERROR(__xludf.DUMMYFUNCTION("""COMPUTED_VALUE"""),"AV NUEVO BUIN 01356")</f>
        <v>AV NUEVO BUIN 01356</v>
      </c>
      <c r="D254" s="6" t="str">
        <f ca="1">IFERROR(__xludf.DUMMYFUNCTION("""COMPUTED_VALUE"""),"BUIN")</f>
        <v>BUIN</v>
      </c>
    </row>
    <row r="255" spans="1:4">
      <c r="A255" s="7">
        <f ca="1">IFERROR(__xludf.DUMMYFUNCTION("""COMPUTED_VALUE"""),43930)</f>
        <v>43930</v>
      </c>
      <c r="B255" s="8" t="str">
        <f ca="1">IFERROR(__xludf.DUMMYFUNCTION("""COMPUTED_VALUE"""),"-33.710840.-70.739811")</f>
        <v>-33.710840.-70.739811</v>
      </c>
      <c r="C255" s="6" t="str">
        <f ca="1">IFERROR(__xludf.DUMMYFUNCTION("""COMPUTED_VALUE"""),"PASAJE LA FRUTA 01669")</f>
        <v>PASAJE LA FRUTA 01669</v>
      </c>
      <c r="D255" s="6" t="str">
        <f ca="1">IFERROR(__xludf.DUMMYFUNCTION("""COMPUTED_VALUE"""),"BUIN")</f>
        <v>BUIN</v>
      </c>
    </row>
    <row r="256" spans="1:4">
      <c r="A256" s="7">
        <f ca="1">IFERROR(__xludf.DUMMYFUNCTION("""COMPUTED_VALUE"""),43930)</f>
        <v>43930</v>
      </c>
      <c r="B256" s="8" t="str">
        <f ca="1">IFERROR(__xludf.DUMMYFUNCTION("""COMPUTED_VALUE"""),"-33.725639,-70.733")</f>
        <v>-33.725639,-70.733</v>
      </c>
      <c r="C256" s="6" t="str">
        <f ca="1">IFERROR(__xludf.DUMMYFUNCTION("""COMPUTED_VALUE"""),"PASAJE LA TRILLA 0263")</f>
        <v>PASAJE LA TRILLA 0263</v>
      </c>
      <c r="D256" s="6" t="str">
        <f ca="1">IFERROR(__xludf.DUMMYFUNCTION("""COMPUTED_VALUE"""),"BUIN")</f>
        <v>BUIN</v>
      </c>
    </row>
    <row r="257" spans="1:4">
      <c r="A257" s="7">
        <f ca="1">IFERROR(__xludf.DUMMYFUNCTION("""COMPUTED_VALUE"""),43930)</f>
        <v>43930</v>
      </c>
      <c r="B257" s="8" t="str">
        <f ca="1">IFERROR(__xludf.DUMMYFUNCTION("""COMPUTED_VALUE"""),"-33.726825,70.775187")</f>
        <v>-33.726825,70.775187</v>
      </c>
      <c r="C257" s="6" t="str">
        <f ca="1">IFERROR(__xludf.DUMMYFUNCTION("""COMPUTED_VALUE"""),"LOS MAGNOLIOS 298")</f>
        <v>LOS MAGNOLIOS 298</v>
      </c>
      <c r="D257" s="6" t="str">
        <f ca="1">IFERROR(__xludf.DUMMYFUNCTION("""COMPUTED_VALUE"""),"BUIN")</f>
        <v>BUIN</v>
      </c>
    </row>
    <row r="258" spans="1:4">
      <c r="A258" s="7">
        <f ca="1">IFERROR(__xludf.DUMMYFUNCTION("""COMPUTED_VALUE"""),43930)</f>
        <v>43930</v>
      </c>
      <c r="B258" s="8" t="str">
        <f ca="1">IFERROR(__xludf.DUMMYFUNCTION("""COMPUTED_VALUE"""),"-33.247373,-70.723498")</f>
        <v>-33.247373,-70.723498</v>
      </c>
      <c r="C258" s="6" t="str">
        <f ca="1">IFERROR(__xludf.DUMMYFUNCTION("""COMPUTED_VALUE"""),"PARCELACION STA CRISTINA PARCELA 22")</f>
        <v>PARCELACION STA CRISTINA PARCELA 22</v>
      </c>
      <c r="D258" s="6" t="str">
        <f ca="1">IFERROR(__xludf.DUMMYFUNCTION("""COMPUTED_VALUE"""),"TALAGANTE")</f>
        <v>TALAGANTE</v>
      </c>
    </row>
    <row r="259" spans="1:4">
      <c r="A259" s="7">
        <f ca="1">IFERROR(__xludf.DUMMYFUNCTION("""COMPUTED_VALUE"""),43930)</f>
        <v>43930</v>
      </c>
      <c r="B259" s="8" t="str">
        <f ca="1">IFERROR(__xludf.DUMMYFUNCTION("""COMPUTED_VALUE"""),"-33.299732,-70.880923")</f>
        <v>-33.299732,-70.880923</v>
      </c>
      <c r="C259" s="6" t="str">
        <f ca="1">IFERROR(__xludf.DUMMYFUNCTION("""COMPUTED_VALUE"""),"CAMINO A LAS FLORES 1008 C 100")</f>
        <v>CAMINO A LAS FLORES 1008 C 100</v>
      </c>
      <c r="D259" s="6" t="str">
        <f ca="1">IFERROR(__xludf.DUMMYFUNCTION("""COMPUTED_VALUE"""),"LAMPA")</f>
        <v>LAMPA</v>
      </c>
    </row>
    <row r="260" spans="1:4">
      <c r="A260" s="7">
        <f ca="1">IFERROR(__xludf.DUMMYFUNCTION("""COMPUTED_VALUE"""),43930)</f>
        <v>43930</v>
      </c>
      <c r="B260" s="8" t="str">
        <f ca="1">IFERROR(__xludf.DUMMYFUNCTION("""COMPUTED_VALUE"""),"-33.299642,-70.880860")</f>
        <v>-33.299642,-70.880860</v>
      </c>
      <c r="C260" s="6" t="str">
        <f ca="1">IFERROR(__xludf.DUMMYFUNCTION("""COMPUTED_VALUE"""),"CAMINO LAS FLORES 1008 C 102")</f>
        <v>CAMINO LAS FLORES 1008 C 102</v>
      </c>
      <c r="D260" s="6" t="str">
        <f ca="1">IFERROR(__xludf.DUMMYFUNCTION("""COMPUTED_VALUE"""),"LAMPA")</f>
        <v>LAMPA</v>
      </c>
    </row>
    <row r="261" spans="1:4">
      <c r="A261" s="7">
        <f ca="1">IFERROR(__xludf.DUMMYFUNCTION("""COMPUTED_VALUE"""),43930)</f>
        <v>43930</v>
      </c>
      <c r="B261" s="6" t="str">
        <f ca="1">IFERROR(__xludf.DUMMYFUNCTION("""COMPUTED_VALUE"""),"-33.610850-70.887980")</f>
        <v>-33.610850-70.887980</v>
      </c>
      <c r="C261" s="6" t="str">
        <f ca="1">IFERROR(__xludf.DUMMYFUNCTION("""COMPUTED_VALUE"""),"CORDILLERA DE LA COSTA 2644")</f>
        <v>CORDILLERA DE LA COSTA 2644</v>
      </c>
      <c r="D261" s="6" t="str">
        <f ca="1">IFERROR(__xludf.DUMMYFUNCTION("""COMPUTED_VALUE"""),"PEÑAFLOR")</f>
        <v>PEÑAFLOR</v>
      </c>
    </row>
    <row r="262" spans="1:4">
      <c r="A262" s="7">
        <f ca="1">IFERROR(__xludf.DUMMYFUNCTION("""COMPUTED_VALUE"""),43930)</f>
        <v>43930</v>
      </c>
      <c r="B262" s="6" t="str">
        <f ca="1">IFERROR(__xludf.DUMMYFUNCTION("""COMPUTED_VALUE"""),"-33.6019-70.8718")</f>
        <v>-33.6019-70.8718</v>
      </c>
      <c r="C262" s="6" t="str">
        <f ca="1">IFERROR(__xludf.DUMMYFUNCTION("""COMPUTED_VALUE"""),"AV. LARRAIN 1801")</f>
        <v>AV. LARRAIN 1801</v>
      </c>
      <c r="D262" s="6" t="str">
        <f ca="1">IFERROR(__xludf.DUMMYFUNCTION("""COMPUTED_VALUE"""),"PEÑAFLOR")</f>
        <v>PEÑAFLOR</v>
      </c>
    </row>
    <row r="263" spans="1:4">
      <c r="A263" s="7">
        <f ca="1">IFERROR(__xludf.DUMMYFUNCTION("""COMPUTED_VALUE"""),43930)</f>
        <v>43930</v>
      </c>
      <c r="B263" s="6" t="str">
        <f ca="1">IFERROR(__xludf.DUMMYFUNCTION("""COMPUTED_VALUE"""),"-33.634336-70.919345")</f>
        <v>-33.634336-70.919345</v>
      </c>
      <c r="C263" s="6" t="str">
        <f ca="1">IFERROR(__xludf.DUMMYFUNCTION("""COMPUTED_VALUE"""),"CAMINO EL ROSARIO PARCELA 18")</f>
        <v>CAMINO EL ROSARIO PARCELA 18</v>
      </c>
      <c r="D263" s="6" t="str">
        <f ca="1">IFERROR(__xludf.DUMMYFUNCTION("""COMPUTED_VALUE"""),"PEÑAFLOR")</f>
        <v>PEÑAFLOR</v>
      </c>
    </row>
    <row r="264" spans="1:4">
      <c r="A264" s="7">
        <f ca="1">IFERROR(__xludf.DUMMYFUNCTION("""COMPUTED_VALUE"""),43930)</f>
        <v>43930</v>
      </c>
      <c r="B264" s="6" t="str">
        <f ca="1">IFERROR(__xludf.DUMMYFUNCTION("""COMPUTED_VALUE"""),"-33.6114-70.8753")</f>
        <v>-33.6114-70.8753</v>
      </c>
      <c r="C264" s="6" t="str">
        <f ca="1">IFERROR(__xludf.DUMMYFUNCTION("""COMPUTED_VALUE"""),"BENJAMIN SUBERCASEAUX 72")</f>
        <v>BENJAMIN SUBERCASEAUX 72</v>
      </c>
      <c r="D264" s="6" t="str">
        <f ca="1">IFERROR(__xludf.DUMMYFUNCTION("""COMPUTED_VALUE"""),"PEÑAFLOR")</f>
        <v>PEÑAFLOR</v>
      </c>
    </row>
    <row r="265" spans="1:4">
      <c r="A265" s="7">
        <f ca="1">IFERROR(__xludf.DUMMYFUNCTION("""COMPUTED_VALUE"""),43930)</f>
        <v>43930</v>
      </c>
      <c r="B265" s="6" t="str">
        <f ca="1">IFERROR(__xludf.DUMMYFUNCTION("""COMPUTED_VALUE"""),"-33.611991-70.899277")</f>
        <v>-33.611991-70.899277</v>
      </c>
      <c r="C265" s="6" t="str">
        <f ca="1">IFERROR(__xludf.DUMMYFUNCTION("""COMPUTED_VALUE"""),"LO MARQUEZ 02")</f>
        <v>LO MARQUEZ 02</v>
      </c>
      <c r="D265" s="6" t="str">
        <f ca="1">IFERROR(__xludf.DUMMYFUNCTION("""COMPUTED_VALUE"""),"PEÑAFLOR")</f>
        <v>PEÑAFLOR</v>
      </c>
    </row>
    <row r="266" spans="1:4">
      <c r="A266" s="7">
        <f ca="1">IFERROR(__xludf.DUMMYFUNCTION("""COMPUTED_VALUE"""),43930)</f>
        <v>43930</v>
      </c>
      <c r="B266" s="6" t="str">
        <f ca="1">IFERROR(__xludf.DUMMYFUNCTION("""COMPUTED_VALUE"""),"-33.5630500-70.7949040")</f>
        <v>-33.5630500-70.7949040</v>
      </c>
      <c r="C266" s="6" t="str">
        <f ca="1">IFERROR(__xludf.DUMMYFUNCTION("""COMPUTED_VALUE"""),"JOSSE VAN DER REST  844")</f>
        <v>JOSSE VAN DER REST  844</v>
      </c>
      <c r="D266" s="6" t="str">
        <f ca="1">IFERROR(__xludf.DUMMYFUNCTION("""COMPUTED_VALUE"""),"PADRE HURTADO")</f>
        <v>PADRE HURTADO</v>
      </c>
    </row>
    <row r="267" spans="1:4">
      <c r="A267" s="7">
        <f ca="1">IFERROR(__xludf.DUMMYFUNCTION("""COMPUTED_VALUE"""),43930)</f>
        <v>43930</v>
      </c>
      <c r="B267" s="6" t="str">
        <f ca="1">IFERROR(__xludf.DUMMYFUNCTION("""COMPUTED_VALUE"""),"-33.237567-70.806976")</f>
        <v>-33.237567-70.806976</v>
      </c>
      <c r="C267" s="6" t="str">
        <f ca="1">IFERROR(__xludf.DUMMYFUNCTION("""COMPUTED_VALUE"""),"AV. ESPAÑA 2846")</f>
        <v>AV. ESPAÑA 2846</v>
      </c>
      <c r="D267" s="6" t="str">
        <f ca="1">IFERROR(__xludf.DUMMYFUNCTION("""COMPUTED_VALUE"""),"LAMPA")</f>
        <v>LAMPA</v>
      </c>
    </row>
    <row r="268" spans="1:4">
      <c r="A268" s="7">
        <f ca="1">IFERROR(__xludf.DUMMYFUNCTION("""COMPUTED_VALUE"""),43930)</f>
        <v>43930</v>
      </c>
      <c r="B268" s="6" t="str">
        <f ca="1">IFERROR(__xludf.DUMMYFUNCTION("""COMPUTED_VALUE"""),"-33.282709-70.879328")</f>
        <v>-33.282709-70.879328</v>
      </c>
      <c r="C268" s="6" t="str">
        <f ca="1">IFERROR(__xludf.DUMMYFUNCTION("""COMPUTED_VALUE"""),"AV. ARGENTINA 62")</f>
        <v>AV. ARGENTINA 62</v>
      </c>
      <c r="D268" s="6" t="str">
        <f ca="1">IFERROR(__xludf.DUMMYFUNCTION("""COMPUTED_VALUE"""),"LAMPA")</f>
        <v>LAMPA</v>
      </c>
    </row>
    <row r="269" spans="1:4">
      <c r="A269" s="7">
        <f ca="1">IFERROR(__xludf.DUMMYFUNCTION("""COMPUTED_VALUE"""),43930)</f>
        <v>43930</v>
      </c>
      <c r="B269" s="6" t="str">
        <f ca="1">IFERROR(__xludf.DUMMYFUNCTION("""COMPUTED_VALUE"""),"-33.282958-70.880868")</f>
        <v>-33.282958-70.880868</v>
      </c>
      <c r="C269" s="6" t="str">
        <f ca="1">IFERROR(__xludf.DUMMYFUNCTION("""COMPUTED_VALUE"""),"BALMACEDA M/8 S/10")</f>
        <v>BALMACEDA M/8 S/10</v>
      </c>
      <c r="D269" s="6" t="str">
        <f ca="1">IFERROR(__xludf.DUMMYFUNCTION("""COMPUTED_VALUE"""),"LAMPA")</f>
        <v>LAMPA</v>
      </c>
    </row>
    <row r="270" spans="1:4">
      <c r="A270" s="7">
        <f ca="1">IFERROR(__xludf.DUMMYFUNCTION("""COMPUTED_VALUE"""),43930)</f>
        <v>43930</v>
      </c>
      <c r="B270" s="6" t="str">
        <f ca="1">IFERROR(__xludf.DUMMYFUNCTION("""COMPUTED_VALUE"""),"-33.206143-70.680936")</f>
        <v>-33.206143-70.680936</v>
      </c>
      <c r="C270" s="6" t="str">
        <f ca="1">IFERROR(__xludf.DUMMYFUNCTION("""COMPUTED_VALUE"""),"GALVARINO N° 049")</f>
        <v>GALVARINO N° 049</v>
      </c>
      <c r="D270" s="6" t="str">
        <f ca="1">IFERROR(__xludf.DUMMYFUNCTION("""COMPUTED_VALUE"""),"COLINA")</f>
        <v>COLINA</v>
      </c>
    </row>
    <row r="271" spans="1:4">
      <c r="A271" s="7">
        <f ca="1">IFERROR(__xludf.DUMMYFUNCTION("""COMPUTED_VALUE"""),43930)</f>
        <v>43930</v>
      </c>
      <c r="B271" s="6" t="str">
        <f ca="1">IFERROR(__xludf.DUMMYFUNCTION("""COMPUTED_VALUE"""),"-33.183631,-70.671746")</f>
        <v>-33.183631,-70.671746</v>
      </c>
      <c r="C271" s="6" t="str">
        <f ca="1">IFERROR(__xludf.DUMMYFUNCTION("""COMPUTED_VALUE"""),"PASAJE CARLOS DROGUETT 2077")</f>
        <v>PASAJE CARLOS DROGUETT 2077</v>
      </c>
      <c r="D271" s="6" t="str">
        <f ca="1">IFERROR(__xludf.DUMMYFUNCTION("""COMPUTED_VALUE"""),"COLINA")</f>
        <v>COLINA</v>
      </c>
    </row>
    <row r="272" spans="1:4">
      <c r="A272" s="7">
        <f ca="1">IFERROR(__xludf.DUMMYFUNCTION("""COMPUTED_VALUE"""),43931)</f>
        <v>43931</v>
      </c>
      <c r="B272" s="6" t="str">
        <f ca="1">IFERROR(__xludf.DUMMYFUNCTION("""COMPUTED_VALUE"""),"-33.237567-70.806976")</f>
        <v>-33.237567-70.806976</v>
      </c>
      <c r="C272" s="6" t="str">
        <f ca="1">IFERROR(__xludf.DUMMYFUNCTION("""COMPUTED_VALUE"""),"AV. ESPAÑA 2826")</f>
        <v>AV. ESPAÑA 2826</v>
      </c>
      <c r="D272" s="6" t="str">
        <f ca="1">IFERROR(__xludf.DUMMYFUNCTION("""COMPUTED_VALUE"""),"LAMPA")</f>
        <v>LAMPA</v>
      </c>
    </row>
    <row r="273" spans="1:4">
      <c r="A273" s="7">
        <f ca="1">IFERROR(__xludf.DUMMYFUNCTION("""COMPUTED_VALUE"""),43931)</f>
        <v>43931</v>
      </c>
      <c r="B273" s="6" t="str">
        <f ca="1">IFERROR(__xludf.DUMMYFUNCTION("""COMPUTED_VALUE"""),"-33.291539-70.871571")</f>
        <v>-33.291539-70.871571</v>
      </c>
      <c r="C273" s="6" t="str">
        <f ca="1">IFERROR(__xludf.DUMMYFUNCTION("""COMPUTED_VALUE"""),"LA FRONTERA 2072")</f>
        <v>LA FRONTERA 2072</v>
      </c>
      <c r="D273" s="6" t="str">
        <f ca="1">IFERROR(__xludf.DUMMYFUNCTION("""COMPUTED_VALUE"""),"LAMPA")</f>
        <v>LAMPA</v>
      </c>
    </row>
    <row r="274" spans="1:4">
      <c r="A274" s="7">
        <f ca="1">IFERROR(__xludf.DUMMYFUNCTION("""COMPUTED_VALUE"""),43934)</f>
        <v>43934</v>
      </c>
      <c r="B274" s="8" t="str">
        <f ca="1">IFERROR(__xludf.DUMMYFUNCTION("""COMPUTED_VALUE"""),"-33.727830, -70.774200")</f>
        <v>-33.727830, -70.774200</v>
      </c>
      <c r="C274" s="6" t="str">
        <f ca="1">IFERROR(__xludf.DUMMYFUNCTION("""COMPUTED_VALUE"""),"LOS PALTOS 256")</f>
        <v>LOS PALTOS 256</v>
      </c>
      <c r="D274" s="6" t="str">
        <f ca="1">IFERROR(__xludf.DUMMYFUNCTION("""COMPUTED_VALUE"""),"BUIN")</f>
        <v>BUIN</v>
      </c>
    </row>
    <row r="275" spans="1:4">
      <c r="A275" s="7">
        <f ca="1">IFERROR(__xludf.DUMMYFUNCTION("""COMPUTED_VALUE"""),43934)</f>
        <v>43934</v>
      </c>
      <c r="B275" s="8" t="str">
        <f ca="1">IFERROR(__xludf.DUMMYFUNCTION("""COMPUTED_VALUE"""),"-33.713586, -70.739033")</f>
        <v>-33.713586, -70.739033</v>
      </c>
      <c r="C275" s="6" t="str">
        <f ca="1">IFERROR(__xludf.DUMMYFUNCTION("""COMPUTED_VALUE"""),"LOS BUINENSES 339")</f>
        <v>LOS BUINENSES 339</v>
      </c>
      <c r="D275" s="6" t="str">
        <f ca="1">IFERROR(__xludf.DUMMYFUNCTION("""COMPUTED_VALUE"""),"BUIN")</f>
        <v>BUIN</v>
      </c>
    </row>
    <row r="276" spans="1:4">
      <c r="A276" s="7">
        <f ca="1">IFERROR(__xludf.DUMMYFUNCTION("""COMPUTED_VALUE"""),43934)</f>
        <v>43934</v>
      </c>
      <c r="B276" s="8" t="str">
        <f ca="1">IFERROR(__xludf.DUMMYFUNCTION("""COMPUTED_VALUE"""),"-33.724828,-70.771064")</f>
        <v>-33.724828,-70.771064</v>
      </c>
      <c r="C276" s="6" t="str">
        <f ca="1">IFERROR(__xludf.DUMMYFUNCTION("""COMPUTED_VALUE"""),"PASAJE ROLANDO LIRA 5266")</f>
        <v>PASAJE ROLANDO LIRA 5266</v>
      </c>
      <c r="D276" s="6" t="str">
        <f ca="1">IFERROR(__xludf.DUMMYFUNCTION("""COMPUTED_VALUE"""),"BUIN")</f>
        <v>BUIN</v>
      </c>
    </row>
    <row r="277" spans="1:4">
      <c r="A277" s="7">
        <f ca="1">IFERROR(__xludf.DUMMYFUNCTION("""COMPUTED_VALUE"""),43934)</f>
        <v>43934</v>
      </c>
      <c r="B277" s="8" t="str">
        <f ca="1">IFERROR(__xludf.DUMMYFUNCTION("""COMPUTED_VALUE"""),"-33.722367,-70.732824")</f>
        <v>-33.722367,-70.732824</v>
      </c>
      <c r="C277" s="6" t="str">
        <f ca="1">IFERROR(__xludf.DUMMYFUNCTION("""COMPUTED_VALUE"""),"EL BOSQUE 221 PARCELA 17")</f>
        <v>EL BOSQUE 221 PARCELA 17</v>
      </c>
      <c r="D277" s="6" t="str">
        <f ca="1">IFERROR(__xludf.DUMMYFUNCTION("""COMPUTED_VALUE"""),"BUIN")</f>
        <v>BUIN</v>
      </c>
    </row>
    <row r="278" spans="1:4">
      <c r="A278" s="7">
        <f ca="1">IFERROR(__xludf.DUMMYFUNCTION("""COMPUTED_VALUE"""),43934)</f>
        <v>43934</v>
      </c>
      <c r="B278" s="8" t="str">
        <f ca="1">IFERROR(__xludf.DUMMYFUNCTION("""COMPUTED_VALUE"""),"-33.723678,-70.737")</f>
        <v>-33.723678,-70.737</v>
      </c>
      <c r="C278" s="6" t="str">
        <f ca="1">IFERROR(__xludf.DUMMYFUNCTION("""COMPUTED_VALUE"""),"PASAJE OCHO CASA 7 EL SOLAR DE BUIN")</f>
        <v>PASAJE OCHO CASA 7 EL SOLAR DE BUIN</v>
      </c>
      <c r="D278" s="6" t="str">
        <f ca="1">IFERROR(__xludf.DUMMYFUNCTION("""COMPUTED_VALUE"""),"BUIN")</f>
        <v>BUIN</v>
      </c>
    </row>
    <row r="279" spans="1:4">
      <c r="A279" s="7">
        <f ca="1">IFERROR(__xludf.DUMMYFUNCTION("""COMPUTED_VALUE"""),43934)</f>
        <v>43934</v>
      </c>
      <c r="B279" s="8" t="str">
        <f ca="1">IFERROR(__xludf.DUMMYFUNCTION("""COMPUTED_VALUE"""),"-33.733484,-70.721381")</f>
        <v>-33.733484,-70.721381</v>
      </c>
      <c r="C279" s="6" t="str">
        <f ca="1">IFERROR(__xludf.DUMMYFUNCTION("""COMPUTED_VALUE"""),"MAURICIO ISLA 1073")</f>
        <v>MAURICIO ISLA 1073</v>
      </c>
      <c r="D279" s="6" t="str">
        <f ca="1">IFERROR(__xludf.DUMMYFUNCTION("""COMPUTED_VALUE"""),"BUIN")</f>
        <v>BUIN</v>
      </c>
    </row>
    <row r="280" spans="1:4">
      <c r="A280" s="7">
        <f ca="1">IFERROR(__xludf.DUMMYFUNCTION("""COMPUTED_VALUE"""),43935)</f>
        <v>43935</v>
      </c>
      <c r="B280" s="8" t="str">
        <f ca="1">IFERROR(__xludf.DUMMYFUNCTION("""COMPUTED_VALUE"""),"-33.729260, -70.776482")</f>
        <v>-33.729260, -70.776482</v>
      </c>
      <c r="C280" s="6" t="str">
        <f ca="1">IFERROR(__xludf.DUMMYFUNCTION("""COMPUTED_VALUE"""),"LOS PALTOS 0194")</f>
        <v>LOS PALTOS 0194</v>
      </c>
      <c r="D280" s="6" t="str">
        <f ca="1">IFERROR(__xludf.DUMMYFUNCTION("""COMPUTED_VALUE"""),"BUIN")</f>
        <v>BUIN</v>
      </c>
    </row>
    <row r="281" spans="1:4">
      <c r="A281" s="7">
        <f ca="1">IFERROR(__xludf.DUMMYFUNCTION("""COMPUTED_VALUE"""),43935)</f>
        <v>43935</v>
      </c>
      <c r="B281" s="8" t="str">
        <f ca="1">IFERROR(__xludf.DUMMYFUNCTION("""COMPUTED_VALUE"""),"-33.727568,-70.727795")</f>
        <v>-33.727568,-70.727795</v>
      </c>
      <c r="C281" s="6" t="str">
        <f ca="1">IFERROR(__xludf.DUMMYFUNCTION("""COMPUTED_VALUE"""),"ESTACION 57")</f>
        <v>ESTACION 57</v>
      </c>
      <c r="D281" s="6" t="str">
        <f ca="1">IFERROR(__xludf.DUMMYFUNCTION("""COMPUTED_VALUE"""),"BUIN")</f>
        <v>BUIN</v>
      </c>
    </row>
    <row r="282" spans="1:4">
      <c r="A282" s="7">
        <f ca="1">IFERROR(__xludf.DUMMYFUNCTION("""COMPUTED_VALUE"""),43935)</f>
        <v>43935</v>
      </c>
      <c r="B282" s="8" t="str">
        <f ca="1">IFERROR(__xludf.DUMMYFUNCTION("""COMPUTED_VALUE"""),"-33.724753,-70.770859")</f>
        <v>-33.724753,-70.770859</v>
      </c>
      <c r="C282" s="6" t="str">
        <f ca="1">IFERROR(__xludf.DUMMYFUNCTION("""COMPUTED_VALUE"""),"ROLANDO LIRA 536")</f>
        <v>ROLANDO LIRA 536</v>
      </c>
      <c r="D282" s="6" t="str">
        <f ca="1">IFERROR(__xludf.DUMMYFUNCTION("""COMPUTED_VALUE"""),"BUIN")</f>
        <v>BUIN</v>
      </c>
    </row>
    <row r="283" spans="1:4">
      <c r="A283" s="7">
        <f ca="1">IFERROR(__xludf.DUMMYFUNCTION("""COMPUTED_VALUE"""),43935)</f>
        <v>43935</v>
      </c>
      <c r="B283" s="8" t="str">
        <f ca="1">IFERROR(__xludf.DUMMYFUNCTION("""COMPUTED_VALUE"""),"-33.727228,-70.739634")</f>
        <v>-33.727228,-70.739634</v>
      </c>
      <c r="C283" s="6" t="str">
        <f ca="1">IFERROR(__xludf.DUMMYFUNCTION("""COMPUTED_VALUE"""),"MIGUEL CASTRO 331")</f>
        <v>MIGUEL CASTRO 331</v>
      </c>
      <c r="D283" s="6" t="str">
        <f ca="1">IFERROR(__xludf.DUMMYFUNCTION("""COMPUTED_VALUE"""),"BUIN")</f>
        <v>BUIN</v>
      </c>
    </row>
    <row r="284" spans="1:4">
      <c r="A284" s="7">
        <f ca="1">IFERROR(__xludf.DUMMYFUNCTION("""COMPUTED_VALUE"""),43935)</f>
        <v>43935</v>
      </c>
      <c r="B284" s="8" t="str">
        <f ca="1">IFERROR(__xludf.DUMMYFUNCTION("""COMPUTED_VALUE"""),"-33.7247331,-70.770707")</f>
        <v>-33.7247331,-70.770707</v>
      </c>
      <c r="C284" s="6" t="str">
        <f ca="1">IFERROR(__xludf.DUMMYFUNCTION("""COMPUTED_VALUE"""),"PASAJE ROLANDO LIRA 541")</f>
        <v>PASAJE ROLANDO LIRA 541</v>
      </c>
      <c r="D284" s="6" t="str">
        <f ca="1">IFERROR(__xludf.DUMMYFUNCTION("""COMPUTED_VALUE"""),"BUIN")</f>
        <v>BUIN</v>
      </c>
    </row>
    <row r="285" spans="1:4">
      <c r="A285" s="7">
        <f ca="1">IFERROR(__xludf.DUMMYFUNCTION("""COMPUTED_VALUE"""),43935)</f>
        <v>43935</v>
      </c>
      <c r="B285" s="8" t="str">
        <f ca="1">IFERROR(__xludf.DUMMYFUNCTION("""COMPUTED_VALUE"""),"-33.724559, -70.770896")</f>
        <v>-33.724559, -70.770896</v>
      </c>
      <c r="C285" s="6" t="str">
        <f ca="1">IFERROR(__xludf.DUMMYFUNCTION("""COMPUTED_VALUE"""),"PASAJE ROLANDO LIRA 542")</f>
        <v>PASAJE ROLANDO LIRA 542</v>
      </c>
      <c r="D285" s="6" t="str">
        <f ca="1">IFERROR(__xludf.DUMMYFUNCTION("""COMPUTED_VALUE"""),"BUIN")</f>
        <v>BUIN</v>
      </c>
    </row>
    <row r="286" spans="1:4">
      <c r="A286" s="7">
        <f ca="1">IFERROR(__xludf.DUMMYFUNCTION("""COMPUTED_VALUE"""),43935)</f>
        <v>43935</v>
      </c>
      <c r="B286" s="8" t="str">
        <f ca="1">IFERROR(__xludf.DUMMYFUNCTION("""COMPUTED_VALUE"""),"-33.720387,-70.740497")</f>
        <v>-33.720387,-70.740497</v>
      </c>
      <c r="C286" s="6" t="str">
        <f ca="1">IFERROR(__xludf.DUMMYFUNCTION("""COMPUTED_VALUE"""),"LA OBRA 20, EL SOLAR III")</f>
        <v>LA OBRA 20, EL SOLAR III</v>
      </c>
      <c r="D286" s="6" t="str">
        <f ca="1">IFERROR(__xludf.DUMMYFUNCTION("""COMPUTED_VALUE"""),"BUIN")</f>
        <v>BUIN</v>
      </c>
    </row>
    <row r="287" spans="1:4">
      <c r="A287" s="7">
        <f ca="1">IFERROR(__xludf.DUMMYFUNCTION("""COMPUTED_VALUE"""),43935)</f>
        <v>43935</v>
      </c>
      <c r="B287" s="8" t="str">
        <f ca="1">IFERROR(__xludf.DUMMYFUNCTION("""COMPUTED_VALUE"""),"-33.739171,-70.736060")</f>
        <v>-33.739171,-70.736060</v>
      </c>
      <c r="C287" s="6" t="str">
        <f ca="1">IFERROR(__xludf.DUMMYFUNCTION("""COMPUTED_VALUE"""),"JAVIERA CARRERA 73")</f>
        <v>JAVIERA CARRERA 73</v>
      </c>
      <c r="D287" s="6" t="str">
        <f ca="1">IFERROR(__xludf.DUMMYFUNCTION("""COMPUTED_VALUE"""),"BUIN")</f>
        <v>BUIN</v>
      </c>
    </row>
    <row r="288" spans="1:4">
      <c r="A288" s="7">
        <f ca="1">IFERROR(__xludf.DUMMYFUNCTION("""COMPUTED_VALUE"""),43935)</f>
        <v>43935</v>
      </c>
      <c r="B288" s="8" t="str">
        <f ca="1">IFERROR(__xludf.DUMMYFUNCTION("""COMPUTED_VALUE"""),"-33.739171,-70.736060")</f>
        <v>-33.739171,-70.736060</v>
      </c>
      <c r="C288" s="6" t="str">
        <f ca="1">IFERROR(__xludf.DUMMYFUNCTION("""COMPUTED_VALUE"""),"JAVIERA CARRERA 73")</f>
        <v>JAVIERA CARRERA 73</v>
      </c>
      <c r="D288" s="6" t="str">
        <f ca="1">IFERROR(__xludf.DUMMYFUNCTION("""COMPUTED_VALUE"""),"BUIN")</f>
        <v>BUIN</v>
      </c>
    </row>
    <row r="289" spans="1:4">
      <c r="A289" s="7">
        <f ca="1">IFERROR(__xludf.DUMMYFUNCTION("""COMPUTED_VALUE"""),43935)</f>
        <v>43935</v>
      </c>
      <c r="B289" s="6" t="str">
        <f ca="1">IFERROR(__xludf.DUMMYFUNCTION("""COMPUTED_VALUE"""),"-33.273047,-70.882609")</f>
        <v>-33.273047,-70.882609</v>
      </c>
      <c r="C289" s="6" t="str">
        <f ca="1">IFERROR(__xludf.DUMMYFUNCTION("""COMPUTED_VALUE"""),"MARTICORENA PARCELA 2 A")</f>
        <v>MARTICORENA PARCELA 2 A</v>
      </c>
      <c r="D289" s="6" t="str">
        <f ca="1">IFERROR(__xludf.DUMMYFUNCTION("""COMPUTED_VALUE"""),"LAMPA")</f>
        <v>LAMPA</v>
      </c>
    </row>
    <row r="290" spans="1:4">
      <c r="A290" s="7">
        <f ca="1">IFERROR(__xludf.DUMMYFUNCTION("""COMPUTED_VALUE"""),43935)</f>
        <v>43935</v>
      </c>
      <c r="B290" s="6" t="str">
        <f ca="1">IFERROR(__xludf.DUMMYFUNCTION("""COMPUTED_VALUE"""),"-33.5933-70.8087")</f>
        <v>-33.5933-70.8087</v>
      </c>
      <c r="C290" s="6" t="str">
        <f ca="1">IFERROR(__xludf.DUMMYFUNCTION("""COMPUTED_VALUE"""),"SAN IGNACIO PARCELA 2 SITIO 73")</f>
        <v>SAN IGNACIO PARCELA 2 SITIO 73</v>
      </c>
      <c r="D290" s="6" t="str">
        <f ca="1">IFERROR(__xludf.DUMMYFUNCTION("""COMPUTED_VALUE"""),"PADRE HURTADO")</f>
        <v>PADRE HURTADO</v>
      </c>
    </row>
    <row r="291" spans="1:4">
      <c r="A291" s="7">
        <f ca="1">IFERROR(__xludf.DUMMYFUNCTION("""COMPUTED_VALUE"""),43935)</f>
        <v>43935</v>
      </c>
      <c r="B291" s="6" t="str">
        <f ca="1">IFERROR(__xludf.DUMMYFUNCTION("""COMPUTED_VALUE"""),"-33.608045-70.877013")</f>
        <v>-33.608045-70.877013</v>
      </c>
      <c r="C291" s="6" t="str">
        <f ca="1">IFERROR(__xludf.DUMMYFUNCTION("""COMPUTED_VALUE"""),"LOS JASMINEZ 1983")</f>
        <v>LOS JASMINEZ 1983</v>
      </c>
      <c r="D291" s="6" t="str">
        <f ca="1">IFERROR(__xludf.DUMMYFUNCTION("""COMPUTED_VALUE"""),"PEÑAFLOR")</f>
        <v>PEÑAFLOR</v>
      </c>
    </row>
    <row r="292" spans="1:4">
      <c r="A292" s="7">
        <f ca="1">IFERROR(__xludf.DUMMYFUNCTION("""COMPUTED_VALUE"""),43935)</f>
        <v>43935</v>
      </c>
      <c r="B292" s="6" t="str">
        <f ca="1">IFERROR(__xludf.DUMMYFUNCTION("""COMPUTED_VALUE"""),"-33.608582-70.881165")</f>
        <v>-33.608582-70.881165</v>
      </c>
      <c r="C292" s="6" t="str">
        <f ca="1">IFERROR(__xludf.DUMMYFUNCTION("""COMPUTED_VALUE"""),"NEPTUNO 1170")</f>
        <v>NEPTUNO 1170</v>
      </c>
      <c r="D292" s="6" t="str">
        <f ca="1">IFERROR(__xludf.DUMMYFUNCTION("""COMPUTED_VALUE"""),"PEÑAFLOR")</f>
        <v>PEÑAFLOR</v>
      </c>
    </row>
    <row r="293" spans="1:4">
      <c r="A293" s="7">
        <f ca="1">IFERROR(__xludf.DUMMYFUNCTION("""COMPUTED_VALUE"""),43935)</f>
        <v>43935</v>
      </c>
      <c r="B293" s="6" t="str">
        <f ca="1">IFERROR(__xludf.DUMMYFUNCTION("""COMPUTED_VALUE"""),"-33.304851,-70.849537")</f>
        <v>-33.304851,-70.849537</v>
      </c>
      <c r="C293" s="6" t="str">
        <f ca="1">IFERROR(__xludf.DUMMYFUNCTION("""COMPUTED_VALUE"""),"CHILE NUEVO N° 68")</f>
        <v>CHILE NUEVO N° 68</v>
      </c>
      <c r="D293" s="6" t="str">
        <f ca="1">IFERROR(__xludf.DUMMYFUNCTION("""COMPUTED_VALUE"""),"LAMPA")</f>
        <v>LAMPA</v>
      </c>
    </row>
    <row r="294" spans="1:4">
      <c r="A294" s="7">
        <f ca="1">IFERROR(__xludf.DUMMYFUNCTION("""COMPUTED_VALUE"""),43935)</f>
        <v>43935</v>
      </c>
      <c r="B294" s="6" t="str">
        <f ca="1">IFERROR(__xludf.DUMMYFUNCTION("""COMPUTED_VALUE"""),"-33.217962,-70.789207")</f>
        <v>-33.217962,-70.789207</v>
      </c>
      <c r="C294" s="6" t="str">
        <f ca="1">IFERROR(__xludf.DUMMYFUNCTION("""COMPUTED_VALUE"""),"CAMINO INTERIOR PARC 22")</f>
        <v>CAMINO INTERIOR PARC 22</v>
      </c>
      <c r="D294" s="6" t="str">
        <f ca="1">IFERROR(__xludf.DUMMYFUNCTION("""COMPUTED_VALUE"""),"LAMPA")</f>
        <v>LAMPA</v>
      </c>
    </row>
    <row r="295" spans="1:4">
      <c r="A295" s="7">
        <f ca="1">IFERROR(__xludf.DUMMYFUNCTION("""COMPUTED_VALUE"""),43936)</f>
        <v>43936</v>
      </c>
      <c r="B295" s="8" t="str">
        <f ca="1">IFERROR(__xludf.DUMMYFUNCTION("""COMPUTED_VALUE"""),"-33.710740,-70.738851")</f>
        <v>-33.710740,-70.738851</v>
      </c>
      <c r="C295" s="6" t="str">
        <f ca="1">IFERROR(__xludf.DUMMYFUNCTION("""COMPUTED_VALUE"""),"CLEMENCIA SAZO PONIENTE 0391")</f>
        <v>CLEMENCIA SAZO PONIENTE 0391</v>
      </c>
      <c r="D295" s="6" t="str">
        <f ca="1">IFERROR(__xludf.DUMMYFUNCTION("""COMPUTED_VALUE"""),"BUIN")</f>
        <v>BUIN</v>
      </c>
    </row>
    <row r="296" spans="1:4">
      <c r="A296" s="7">
        <f ca="1">IFERROR(__xludf.DUMMYFUNCTION("""COMPUTED_VALUE"""),43936)</f>
        <v>43936</v>
      </c>
      <c r="B296" s="8" t="str">
        <f ca="1">IFERROR(__xludf.DUMMYFUNCTION("""COMPUTED_VALUE"""),"-33.724781,-70.770738")</f>
        <v>-33.724781,-70.770738</v>
      </c>
      <c r="C296" s="6" t="str">
        <f ca="1">IFERROR(__xludf.DUMMYFUNCTION("""COMPUTED_VALUE"""),"ROLANDO LIRA 545")</f>
        <v>ROLANDO LIRA 545</v>
      </c>
      <c r="D296" s="6" t="str">
        <f ca="1">IFERROR(__xludf.DUMMYFUNCTION("""COMPUTED_VALUE"""),"BUIN")</f>
        <v>BUIN</v>
      </c>
    </row>
    <row r="297" spans="1:4">
      <c r="A297" s="7">
        <f ca="1">IFERROR(__xludf.DUMMYFUNCTION("""COMPUTED_VALUE"""),43936)</f>
        <v>43936</v>
      </c>
      <c r="B297" s="8" t="str">
        <f ca="1">IFERROR(__xludf.DUMMYFUNCTION("""COMPUTED_VALUE"""),"-33.724576,-70.770741")</f>
        <v>-33.724576,-70.770741</v>
      </c>
      <c r="C297" s="6" t="str">
        <f ca="1">IFERROR(__xludf.DUMMYFUNCTION("""COMPUTED_VALUE"""),"ROLANDO LIRA 546")</f>
        <v>ROLANDO LIRA 546</v>
      </c>
      <c r="D297" s="6" t="str">
        <f ca="1">IFERROR(__xludf.DUMMYFUNCTION("""COMPUTED_VALUE"""),"BUIN")</f>
        <v>BUIN</v>
      </c>
    </row>
    <row r="298" spans="1:4">
      <c r="A298" s="7">
        <f ca="1">IFERROR(__xludf.DUMMYFUNCTION("""COMPUTED_VALUE"""),43936)</f>
        <v>43936</v>
      </c>
      <c r="B298" s="8" t="str">
        <f ca="1">IFERROR(__xludf.DUMMYFUNCTION("""COMPUTED_VALUE"""),"-33.724712,-70.770987")</f>
        <v>-33.724712,-70.770987</v>
      </c>
      <c r="C298" s="6" t="str">
        <f ca="1">IFERROR(__xludf.DUMMYFUNCTION("""COMPUTED_VALUE"""),"ROLANDO LIRA 534")</f>
        <v>ROLANDO LIRA 534</v>
      </c>
      <c r="D298" s="6" t="str">
        <f ca="1">IFERROR(__xludf.DUMMYFUNCTION("""COMPUTED_VALUE"""),"BUIN")</f>
        <v>BUIN</v>
      </c>
    </row>
    <row r="299" spans="1:4">
      <c r="A299" s="7">
        <f ca="1">IFERROR(__xludf.DUMMYFUNCTION("""COMPUTED_VALUE"""),43936)</f>
        <v>43936</v>
      </c>
      <c r="B299" s="8" t="str">
        <f ca="1">IFERROR(__xludf.DUMMYFUNCTION("""COMPUTED_VALUE"""),"-33.730896,-70.772759")</f>
        <v>-33.730896,-70.772759</v>
      </c>
      <c r="C299" s="6" t="str">
        <f ca="1">IFERROR(__xludf.DUMMYFUNCTION("""COMPUTED_VALUE"""),"DOCTOR GARCIA 140")</f>
        <v>DOCTOR GARCIA 140</v>
      </c>
      <c r="D299" s="6" t="str">
        <f ca="1">IFERROR(__xludf.DUMMYFUNCTION("""COMPUTED_VALUE"""),"BUIN")</f>
        <v>BUIN</v>
      </c>
    </row>
    <row r="300" spans="1:4">
      <c r="A300" s="7">
        <f ca="1">IFERROR(__xludf.DUMMYFUNCTION("""COMPUTED_VALUE"""),43936)</f>
        <v>43936</v>
      </c>
      <c r="B300" s="8" t="str">
        <f ca="1">IFERROR(__xludf.DUMMYFUNCTION("""COMPUTED_VALUE"""),"-33.722578,-70.738585")</f>
        <v>-33.722578,-70.738585</v>
      </c>
      <c r="C300" s="6" t="str">
        <f ca="1">IFERROR(__xludf.DUMMYFUNCTION("""COMPUTED_VALUE"""),"GERMAN SILVA ARANGUIZ 91")</f>
        <v>GERMAN SILVA ARANGUIZ 91</v>
      </c>
      <c r="D300" s="6" t="str">
        <f ca="1">IFERROR(__xludf.DUMMYFUNCTION("""COMPUTED_VALUE"""),"BUIN")</f>
        <v>BUIN</v>
      </c>
    </row>
    <row r="301" spans="1:4">
      <c r="A301" s="7">
        <f ca="1">IFERROR(__xludf.DUMMYFUNCTION("""COMPUTED_VALUE"""),43936)</f>
        <v>43936</v>
      </c>
      <c r="B301" s="8" t="str">
        <f ca="1">IFERROR(__xludf.DUMMYFUNCTION("""COMPUTED_VALUE"""),"-33.738323,-70.735799")</f>
        <v>-33.738323,-70.735799</v>
      </c>
      <c r="C301" s="6" t="str">
        <f ca="1">IFERROR(__xludf.DUMMYFUNCTION("""COMPUTED_VALUE"""),"JAVIER CARRE 751")</f>
        <v>JAVIER CARRE 751</v>
      </c>
      <c r="D301" s="6" t="str">
        <f ca="1">IFERROR(__xludf.DUMMYFUNCTION("""COMPUTED_VALUE"""),"BUIN")</f>
        <v>BUIN</v>
      </c>
    </row>
    <row r="302" spans="1:4">
      <c r="A302" s="7">
        <f ca="1">IFERROR(__xludf.DUMMYFUNCTION("""COMPUTED_VALUE"""),43936)</f>
        <v>43936</v>
      </c>
      <c r="B302" s="8" t="str">
        <f ca="1">IFERROR(__xludf.DUMMYFUNCTION("""COMPUTED_VALUE"""),"-33.655862,-70.909014")</f>
        <v>-33.655862,-70.909014</v>
      </c>
      <c r="C302" s="6" t="str">
        <f ca="1">IFERROR(__xludf.DUMMYFUNCTION("""COMPUTED_VALUE"""),"LOS AROMOS 521")</f>
        <v>LOS AROMOS 521</v>
      </c>
      <c r="D302" s="6" t="str">
        <f ca="1">IFERROR(__xludf.DUMMYFUNCTION("""COMPUTED_VALUE"""),"TALAGANTE")</f>
        <v>TALAGANTE</v>
      </c>
    </row>
    <row r="303" spans="1:4">
      <c r="A303" s="7">
        <f ca="1">IFERROR(__xludf.DUMMYFUNCTION("""COMPUTED_VALUE"""),43936)</f>
        <v>43936</v>
      </c>
      <c r="B303" s="6" t="str">
        <f ca="1">IFERROR(__xludf.DUMMYFUNCTION("""COMPUTED_VALUE"""),"-33.604907-70.906333")</f>
        <v>-33.604907-70.906333</v>
      </c>
      <c r="C303" s="6" t="str">
        <f ca="1">IFERROR(__xludf.DUMMYFUNCTION("""COMPUTED_VALUE"""),"PASAJE OCHO 296")</f>
        <v>PASAJE OCHO 296</v>
      </c>
      <c r="D303" s="6" t="str">
        <f ca="1">IFERROR(__xludf.DUMMYFUNCTION("""COMPUTED_VALUE"""),"PEÑAFLOR")</f>
        <v>PEÑAFLOR</v>
      </c>
    </row>
    <row r="304" spans="1:4">
      <c r="A304" s="7">
        <f ca="1">IFERROR(__xludf.DUMMYFUNCTION("""COMPUTED_VALUE"""),43936)</f>
        <v>43936</v>
      </c>
      <c r="B304" s="6" t="str">
        <f ca="1">IFERROR(__xludf.DUMMYFUNCTION("""COMPUTED_VALUE"""),"-33.625958-70.875249")</f>
        <v>-33.625958-70.875249</v>
      </c>
      <c r="C304" s="6" t="str">
        <f ca="1">IFERROR(__xludf.DUMMYFUNCTION("""COMPUTED_VALUE"""),"AV. BERLIN PARC 5")</f>
        <v>AV. BERLIN PARC 5</v>
      </c>
      <c r="D304" s="6" t="str">
        <f ca="1">IFERROR(__xludf.DUMMYFUNCTION("""COMPUTED_VALUE"""),"PEÑAFLOR")</f>
        <v>PEÑAFLOR</v>
      </c>
    </row>
    <row r="305" spans="1:4">
      <c r="A305" s="7">
        <f ca="1">IFERROR(__xludf.DUMMYFUNCTION("""COMPUTED_VALUE"""),43936)</f>
        <v>43936</v>
      </c>
      <c r="B305" s="6" t="str">
        <f ca="1">IFERROR(__xludf.DUMMYFUNCTION("""COMPUTED_VALUE"""),"-33.602544-70.866878")</f>
        <v>-33.602544-70.866878</v>
      </c>
      <c r="C305" s="6" t="str">
        <f ca="1">IFERROR(__xludf.DUMMYFUNCTION("""COMPUTED_VALUE"""),"PASAJE BACH 1282")</f>
        <v>PASAJE BACH 1282</v>
      </c>
      <c r="D305" s="6" t="str">
        <f ca="1">IFERROR(__xludf.DUMMYFUNCTION("""COMPUTED_VALUE"""),"PEÑAFLOR")</f>
        <v>PEÑAFLOR</v>
      </c>
    </row>
    <row r="306" spans="1:4">
      <c r="A306" s="7">
        <f ca="1">IFERROR(__xludf.DUMMYFUNCTION("""COMPUTED_VALUE"""),43936)</f>
        <v>43936</v>
      </c>
      <c r="B306" s="6" t="str">
        <f ca="1">IFERROR(__xludf.DUMMYFUNCTION("""COMPUTED_VALUE"""),"-33.6120067-70.8758420")</f>
        <v>-33.6120067-70.8758420</v>
      </c>
      <c r="C306" s="6" t="str">
        <f ca="1">IFERROR(__xludf.DUMMYFUNCTION("""COMPUTED_VALUE"""),"CENTRAL 136")</f>
        <v>CENTRAL 136</v>
      </c>
      <c r="D306" s="6" t="str">
        <f ca="1">IFERROR(__xludf.DUMMYFUNCTION("""COMPUTED_VALUE"""),"PEÑAFLOR")</f>
        <v>PEÑAFLOR</v>
      </c>
    </row>
    <row r="307" spans="1:4">
      <c r="A307" s="7">
        <f ca="1">IFERROR(__xludf.DUMMYFUNCTION("""COMPUTED_VALUE"""),43936)</f>
        <v>43936</v>
      </c>
      <c r="B307" s="6" t="str">
        <f ca="1">IFERROR(__xludf.DUMMYFUNCTION("""COMPUTED_VALUE"""),"-33.6125-70.8972")</f>
        <v>-33.6125-70.8972</v>
      </c>
      <c r="C307" s="6" t="str">
        <f ca="1">IFERROR(__xludf.DUMMYFUNCTION("""COMPUTED_VALUE"""),"EL OMBU PONIENTE 120")</f>
        <v>EL OMBU PONIENTE 120</v>
      </c>
      <c r="D307" s="6" t="str">
        <f ca="1">IFERROR(__xludf.DUMMYFUNCTION("""COMPUTED_VALUE"""),"PEÑAFLOR")</f>
        <v>PEÑAFLOR</v>
      </c>
    </row>
    <row r="308" spans="1:4">
      <c r="A308" s="7">
        <f ca="1">IFERROR(__xludf.DUMMYFUNCTION("""COMPUTED_VALUE"""),43936)</f>
        <v>43936</v>
      </c>
      <c r="B308" s="6" t="str">
        <f ca="1">IFERROR(__xludf.DUMMYFUNCTION("""COMPUTED_VALUE"""),"-33.604025-70.905261")</f>
        <v>-33.604025-70.905261</v>
      </c>
      <c r="C308" s="6" t="str">
        <f ca="1">IFERROR(__xludf.DUMMYFUNCTION("""COMPUTED_VALUE"""),"PASAJE DEL SOL 724")</f>
        <v>PASAJE DEL SOL 724</v>
      </c>
      <c r="D308" s="6" t="str">
        <f ca="1">IFERROR(__xludf.DUMMYFUNCTION("""COMPUTED_VALUE"""),"PEÑAFLOR")</f>
        <v>PEÑAFLOR</v>
      </c>
    </row>
    <row r="309" spans="1:4">
      <c r="A309" s="7">
        <f ca="1">IFERROR(__xludf.DUMMYFUNCTION("""COMPUTED_VALUE"""),43936)</f>
        <v>43936</v>
      </c>
      <c r="B309" s="6" t="str">
        <f ca="1">IFERROR(__xludf.DUMMYFUNCTION("""COMPUTED_VALUE"""),"-33.6079665-70.8543260")</f>
        <v>-33.6079665-70.8543260</v>
      </c>
      <c r="C309" s="6" t="str">
        <f ca="1">IFERROR(__xludf.DUMMYFUNCTION("""COMPUTED_VALUE"""),"ELIANA DEL PIN 89")</f>
        <v>ELIANA DEL PIN 89</v>
      </c>
      <c r="D309" s="6" t="str">
        <f ca="1">IFERROR(__xludf.DUMMYFUNCTION("""COMPUTED_VALUE"""),"PEÑAFLOR")</f>
        <v>PEÑAFLOR</v>
      </c>
    </row>
    <row r="310" spans="1:4">
      <c r="A310" s="7">
        <f ca="1">IFERROR(__xludf.DUMMYFUNCTION("""COMPUTED_VALUE"""),43936)</f>
        <v>43936</v>
      </c>
      <c r="B310" s="6" t="str">
        <f ca="1">IFERROR(__xludf.DUMMYFUNCTION("""COMPUTED_VALUE"""),"-33.601743-70.874064")</f>
        <v>-33.601743-70.874064</v>
      </c>
      <c r="C310" s="6" t="str">
        <f ca="1">IFERROR(__xludf.DUMMYFUNCTION("""COMPUTED_VALUE"""),"PASAJE LOTA 361")</f>
        <v>PASAJE LOTA 361</v>
      </c>
      <c r="D310" s="6" t="str">
        <f ca="1">IFERROR(__xludf.DUMMYFUNCTION("""COMPUTED_VALUE"""),"PEÑAFLOR")</f>
        <v>PEÑAFLOR</v>
      </c>
    </row>
    <row r="311" spans="1:4">
      <c r="A311" s="7">
        <f ca="1">IFERROR(__xludf.DUMMYFUNCTION("""COMPUTED_VALUE"""),43936)</f>
        <v>43936</v>
      </c>
      <c r="B311" s="6" t="str">
        <f ca="1">IFERROR(__xludf.DUMMYFUNCTION("""COMPUTED_VALUE"""),"-33.604267-70.861138")</f>
        <v>-33.604267-70.861138</v>
      </c>
      <c r="C311" s="6" t="str">
        <f ca="1">IFERROR(__xludf.DUMMYFUNCTION("""COMPUTED_VALUE"""),"PASAJE SANTA MARIA 689 B/12 D/16")</f>
        <v>PASAJE SANTA MARIA 689 B/12 D/16</v>
      </c>
      <c r="D311" s="6" t="str">
        <f ca="1">IFERROR(__xludf.DUMMYFUNCTION("""COMPUTED_VALUE"""),"PEÑAFLOR")</f>
        <v>PEÑAFLOR</v>
      </c>
    </row>
    <row r="312" spans="1:4">
      <c r="A312" s="7">
        <f ca="1">IFERROR(__xludf.DUMMYFUNCTION("""COMPUTED_VALUE"""),43936)</f>
        <v>43936</v>
      </c>
      <c r="B312" s="6" t="str">
        <f ca="1">IFERROR(__xludf.DUMMYFUNCTION("""COMPUTED_VALUE"""),"-33.56809-70.802226")</f>
        <v>-33.56809-70.802226</v>
      </c>
      <c r="C312" s="6" t="str">
        <f ca="1">IFERROR(__xludf.DUMMYFUNCTION("""COMPUTED_VALUE"""),"MARIE CURIE 517")</f>
        <v>MARIE CURIE 517</v>
      </c>
      <c r="D312" s="6" t="str">
        <f ca="1">IFERROR(__xludf.DUMMYFUNCTION("""COMPUTED_VALUE"""),"PADRE HURTADO")</f>
        <v>PADRE HURTADO</v>
      </c>
    </row>
    <row r="313" spans="1:4">
      <c r="A313" s="7">
        <f ca="1">IFERROR(__xludf.DUMMYFUNCTION("""COMPUTED_VALUE"""),43936)</f>
        <v>43936</v>
      </c>
      <c r="B313" s="6" t="str">
        <f ca="1">IFERROR(__xludf.DUMMYFUNCTION("""COMPUTED_VALUE"""),"-33.56809-70.802226")</f>
        <v>-33.56809-70.802226</v>
      </c>
      <c r="C313" s="6" t="str">
        <f ca="1">IFERROR(__xludf.DUMMYFUNCTION("""COMPUTED_VALUE"""),"MARIE CURIE 517")</f>
        <v>MARIE CURIE 517</v>
      </c>
      <c r="D313" s="6" t="str">
        <f ca="1">IFERROR(__xludf.DUMMYFUNCTION("""COMPUTED_VALUE"""),"PADRE HURTADO")</f>
        <v>PADRE HURTADO</v>
      </c>
    </row>
    <row r="314" spans="1:4">
      <c r="A314" s="7">
        <f ca="1">IFERROR(__xludf.DUMMYFUNCTION("""COMPUTED_VALUE"""),43937)</f>
        <v>43937</v>
      </c>
      <c r="B314" s="8" t="str">
        <f ca="1">IFERROR(__xludf.DUMMYFUNCTION("""COMPUTED_VALUE"""),"-33.727581,-70.776301")</f>
        <v>-33.727581,-70.776301</v>
      </c>
      <c r="C314" s="6" t="str">
        <f ca="1">IFERROR(__xludf.DUMMYFUNCTION("""COMPUTED_VALUE"""),"EL PASTOR 229")</f>
        <v>EL PASTOR 229</v>
      </c>
      <c r="D314" s="6" t="str">
        <f ca="1">IFERROR(__xludf.DUMMYFUNCTION("""COMPUTED_VALUE"""),"BUIN")</f>
        <v>BUIN</v>
      </c>
    </row>
    <row r="315" spans="1:4">
      <c r="A315" s="7">
        <f ca="1">IFERROR(__xludf.DUMMYFUNCTION("""COMPUTED_VALUE"""),43937)</f>
        <v>43937</v>
      </c>
      <c r="B315" s="8" t="str">
        <f ca="1">IFERROR(__xludf.DUMMYFUNCTION("""COMPUTED_VALUE"""),"-33.725297,-70.770456")</f>
        <v>-33.725297,-70.770456</v>
      </c>
      <c r="C315" s="6" t="str">
        <f ca="1">IFERROR(__xludf.DUMMYFUNCTION("""COMPUTED_VALUE"""),"PSJE ENRIQUE CHACON 450")</f>
        <v>PSJE ENRIQUE CHACON 450</v>
      </c>
      <c r="D315" s="6" t="str">
        <f ca="1">IFERROR(__xludf.DUMMYFUNCTION("""COMPUTED_VALUE"""),"BUIN")</f>
        <v>BUIN</v>
      </c>
    </row>
    <row r="316" spans="1:4">
      <c r="A316" s="7">
        <f ca="1">IFERROR(__xludf.DUMMYFUNCTION("""COMPUTED_VALUE"""),43937)</f>
        <v>43937</v>
      </c>
      <c r="B316" s="8" t="str">
        <f ca="1">IFERROR(__xludf.DUMMYFUNCTION("""COMPUTED_VALUE"""),"-33.715832,-70.738589")</f>
        <v>-33.715832,-70.738589</v>
      </c>
      <c r="C316" s="6" t="str">
        <f ca="1">IFERROR(__xludf.DUMMYFUNCTION("""COMPUTED_VALUE"""),"LOS PARRONALES 01351")</f>
        <v>LOS PARRONALES 01351</v>
      </c>
      <c r="D316" s="6" t="str">
        <f ca="1">IFERROR(__xludf.DUMMYFUNCTION("""COMPUTED_VALUE"""),"BUIN")</f>
        <v>BUIN</v>
      </c>
    </row>
    <row r="317" spans="1:4">
      <c r="A317" s="7">
        <f ca="1">IFERROR(__xludf.DUMMYFUNCTION("""COMPUTED_VALUE"""),43937)</f>
        <v>43937</v>
      </c>
      <c r="B317" s="8" t="str">
        <f ca="1">IFERROR(__xludf.DUMMYFUNCTION("""COMPUTED_VALUE"""),"-33.730937,-70.772953")</f>
        <v>-33.730937,-70.772953</v>
      </c>
      <c r="C317" s="6" t="str">
        <f ca="1">IFERROR(__xludf.DUMMYFUNCTION("""COMPUTED_VALUE"""),"DOCTOR GARCIA 132")</f>
        <v>DOCTOR GARCIA 132</v>
      </c>
      <c r="D317" s="6" t="str">
        <f ca="1">IFERROR(__xludf.DUMMYFUNCTION("""COMPUTED_VALUE"""),"BUIN")</f>
        <v>BUIN</v>
      </c>
    </row>
    <row r="318" spans="1:4">
      <c r="A318" s="7">
        <f ca="1">IFERROR(__xludf.DUMMYFUNCTION("""COMPUTED_VALUE"""),43937)</f>
        <v>43937</v>
      </c>
      <c r="B318" s="8" t="str">
        <f ca="1">IFERROR(__xludf.DUMMYFUNCTION("""COMPUTED_VALUE"""),"-33.728594,-70.772525")</f>
        <v>-33.728594,-70.772525</v>
      </c>
      <c r="C318" s="6" t="str">
        <f ca="1">IFERROR(__xludf.DUMMYFUNCTION("""COMPUTED_VALUE"""),"PSJE JUAN TOLEDO 287")</f>
        <v>PSJE JUAN TOLEDO 287</v>
      </c>
      <c r="D318" s="6" t="str">
        <f ca="1">IFERROR(__xludf.DUMMYFUNCTION("""COMPUTED_VALUE"""),"BUIN")</f>
        <v>BUIN</v>
      </c>
    </row>
    <row r="319" spans="1:4">
      <c r="A319" s="7">
        <f ca="1">IFERROR(__xludf.DUMMYFUNCTION("""COMPUTED_VALUE"""),43937)</f>
        <v>43937</v>
      </c>
      <c r="B319" s="8" t="str">
        <f ca="1">IFERROR(__xludf.DUMMYFUNCTION("""COMPUTED_VALUE"""),"-33.777302,-70.795284")</f>
        <v>-33.777302,-70.795284</v>
      </c>
      <c r="C319" s="6" t="str">
        <f ca="1">IFERROR(__xludf.DUMMYFUNCTION("""COMPUTED_VALUE"""),"SAN JOSE ORIENTE 6450")</f>
        <v>SAN JOSE ORIENTE 6450</v>
      </c>
      <c r="D319" s="6" t="str">
        <f ca="1">IFERROR(__xludf.DUMMYFUNCTION("""COMPUTED_VALUE"""),"BUIN")</f>
        <v>BUIN</v>
      </c>
    </row>
    <row r="320" spans="1:4">
      <c r="A320" s="7">
        <f ca="1">IFERROR(__xludf.DUMMYFUNCTION("""COMPUTED_VALUE"""),43937)</f>
        <v>43937</v>
      </c>
      <c r="B320" s="8" t="str">
        <f ca="1">IFERROR(__xludf.DUMMYFUNCTION("""COMPUTED_VALUE"""),"-33.777302,-70.795284")</f>
        <v>-33.777302,-70.795284</v>
      </c>
      <c r="C320" s="6" t="str">
        <f ca="1">IFERROR(__xludf.DUMMYFUNCTION("""COMPUTED_VALUE"""),"SAN JOSE ORIENTE 6450")</f>
        <v>SAN JOSE ORIENTE 6450</v>
      </c>
      <c r="D320" s="6" t="str">
        <f ca="1">IFERROR(__xludf.DUMMYFUNCTION("""COMPUTED_VALUE"""),"BUIN")</f>
        <v>BUIN</v>
      </c>
    </row>
    <row r="321" spans="1:4">
      <c r="A321" s="7">
        <f ca="1">IFERROR(__xludf.DUMMYFUNCTION("""COMPUTED_VALUE"""),43937)</f>
        <v>43937</v>
      </c>
      <c r="B321" s="8" t="str">
        <f ca="1">IFERROR(__xludf.DUMMYFUNCTION("""COMPUTED_VALUE"""),"´-33.732472,-70.779734")</f>
        <v>´-33.732472,-70.779734</v>
      </c>
      <c r="C321" s="6" t="str">
        <f ca="1">IFERROR(__xludf.DUMMYFUNCTION("""COMPUTED_VALUE"""),"CLEMENTE DIAZ 215")</f>
        <v>CLEMENTE DIAZ 215</v>
      </c>
      <c r="D321" s="6" t="str">
        <f ca="1">IFERROR(__xludf.DUMMYFUNCTION("""COMPUTED_VALUE"""),"BUIN")</f>
        <v>BUIN</v>
      </c>
    </row>
    <row r="322" spans="1:4">
      <c r="A322" s="7">
        <f ca="1">IFERROR(__xludf.DUMMYFUNCTION("""COMPUTED_VALUE"""),43937)</f>
        <v>43937</v>
      </c>
      <c r="B322" s="6" t="str">
        <f ca="1">IFERROR(__xludf.DUMMYFUNCTION("""COMPUTED_VALUE"""),"-33.6087328-70.8641365")</f>
        <v>-33.6087328-70.8641365</v>
      </c>
      <c r="C322" s="6" t="str">
        <f ca="1">IFERROR(__xludf.DUMMYFUNCTION("""COMPUTED_VALUE"""),"NUEVA UNO 1088")</f>
        <v>NUEVA UNO 1088</v>
      </c>
      <c r="D322" s="6" t="str">
        <f ca="1">IFERROR(__xludf.DUMMYFUNCTION("""COMPUTED_VALUE"""),"PEÑAFLOR")</f>
        <v>PEÑAFLOR</v>
      </c>
    </row>
    <row r="323" spans="1:4">
      <c r="A323" s="7">
        <f ca="1">IFERROR(__xludf.DUMMYFUNCTION("""COMPUTED_VALUE"""),43937)</f>
        <v>43937</v>
      </c>
      <c r="B323" s="6" t="str">
        <f ca="1">IFERROR(__xludf.DUMMYFUNCTION("""COMPUTED_VALUE"""),"-33.612761-70.899005")</f>
        <v>-33.612761-70.899005</v>
      </c>
      <c r="C323" s="6" t="str">
        <f ca="1">IFERROR(__xludf.DUMMYFUNCTION("""COMPUTED_VALUE"""),"SANTIAGO BUERAS 3579")</f>
        <v>SANTIAGO BUERAS 3579</v>
      </c>
      <c r="D323" s="6" t="str">
        <f ca="1">IFERROR(__xludf.DUMMYFUNCTION("""COMPUTED_VALUE"""),"PEÑAFLOR")</f>
        <v>PEÑAFLOR</v>
      </c>
    </row>
    <row r="324" spans="1:4">
      <c r="A324" s="7">
        <f ca="1">IFERROR(__xludf.DUMMYFUNCTION("""COMPUTED_VALUE"""),43937)</f>
        <v>43937</v>
      </c>
      <c r="B324" s="6" t="str">
        <f ca="1">IFERROR(__xludf.DUMMYFUNCTION("""COMPUTED_VALUE"""),"-33.243120-70.821055")</f>
        <v>-33.243120-70.821055</v>
      </c>
      <c r="C324" s="6" t="str">
        <f ca="1">IFERROR(__xludf.DUMMYFUNCTION("""COMPUTED_VALUE"""),"LOS COPIHUES 195")</f>
        <v>LOS COPIHUES 195</v>
      </c>
      <c r="D324" s="6" t="str">
        <f ca="1">IFERROR(__xludf.DUMMYFUNCTION("""COMPUTED_VALUE"""),"LAMPA")</f>
        <v>LAMPA</v>
      </c>
    </row>
    <row r="325" spans="1:4">
      <c r="A325" s="7">
        <f ca="1">IFERROR(__xludf.DUMMYFUNCTION("""COMPUTED_VALUE"""),43937)</f>
        <v>43937</v>
      </c>
      <c r="B325" s="6" t="str">
        <f ca="1">IFERROR(__xludf.DUMMYFUNCTION("""COMPUTED_VALUE"""),"-33.285526-70.770665")</f>
        <v>-33.285526-70.770665</v>
      </c>
      <c r="C325" s="6" t="str">
        <f ca="1">IFERROR(__xludf.DUMMYFUNCTION("""COMPUTED_VALUE"""),"TEGUALDA S/38")</f>
        <v>TEGUALDA S/38</v>
      </c>
      <c r="D325" s="6" t="str">
        <f ca="1">IFERROR(__xludf.DUMMYFUNCTION("""COMPUTED_VALUE"""),"LAMPA")</f>
        <v>LAMPA</v>
      </c>
    </row>
    <row r="326" spans="1:4">
      <c r="A326" s="7">
        <f ca="1">IFERROR(__xludf.DUMMYFUNCTION("""COMPUTED_VALUE"""),43937)</f>
        <v>43937</v>
      </c>
      <c r="B326" s="6" t="str">
        <f ca="1">IFERROR(__xludf.DUMMYFUNCTION("""COMPUTED_VALUE"""),"-33.572710-70.802201")</f>
        <v>-33.572710-70.802201</v>
      </c>
      <c r="C326" s="6" t="str">
        <f ca="1">IFERROR(__xludf.DUMMYFUNCTION("""COMPUTED_VALUE"""),"MANUEL PLAZA 1702")</f>
        <v>MANUEL PLAZA 1702</v>
      </c>
      <c r="D326" s="6" t="str">
        <f ca="1">IFERROR(__xludf.DUMMYFUNCTION("""COMPUTED_VALUE"""),"PADRE HURTADO")</f>
        <v>PADRE HURTADO</v>
      </c>
    </row>
    <row r="327" spans="1:4">
      <c r="A327" s="7">
        <f ca="1">IFERROR(__xludf.DUMMYFUNCTION("""COMPUTED_VALUE"""),43937)</f>
        <v>43937</v>
      </c>
      <c r="B327" s="6" t="str">
        <f ca="1">IFERROR(__xludf.DUMMYFUNCTION("""COMPUTED_VALUE"""),"-33.602054-70.807994")</f>
        <v>-33.602054-70.807994</v>
      </c>
      <c r="C327" s="6" t="str">
        <f ca="1">IFERROR(__xludf.DUMMYFUNCTION("""COMPUTED_VALUE"""),"ROSALES 921")</f>
        <v>ROSALES 921</v>
      </c>
      <c r="D327" s="6" t="str">
        <f ca="1">IFERROR(__xludf.DUMMYFUNCTION("""COMPUTED_VALUE"""),"PEÑAFLOR")</f>
        <v>PEÑAFLOR</v>
      </c>
    </row>
    <row r="328" spans="1:4">
      <c r="A328" s="7">
        <f ca="1">IFERROR(__xludf.DUMMYFUNCTION("""COMPUTED_VALUE"""),43937)</f>
        <v>43937</v>
      </c>
      <c r="B328" s="6" t="str">
        <f ca="1">IFERROR(__xludf.DUMMYFUNCTION("""COMPUTED_VALUE"""),"-33.710326,-70.853808")</f>
        <v>-33.710326,-70.853808</v>
      </c>
      <c r="C328" s="6" t="str">
        <f ca="1">IFERROR(__xludf.DUMMYFUNCTION("""COMPUTED_VALUE"""),"PEDRO MUJICA 44 VILLA JOSE VELIZ")</f>
        <v>PEDRO MUJICA 44 VILLA JOSE VELIZ</v>
      </c>
      <c r="D328" s="6" t="str">
        <f ca="1">IFERROR(__xludf.DUMMYFUNCTION("""COMPUTED_VALUE"""),"TALAGANTE")</f>
        <v>TALAGANTE</v>
      </c>
    </row>
    <row r="329" spans="1:4">
      <c r="A329" s="7">
        <f ca="1">IFERROR(__xludf.DUMMYFUNCTION("""COMPUTED_VALUE"""),43937)</f>
        <v>43937</v>
      </c>
      <c r="B329" s="6" t="str">
        <f ca="1">IFERROR(__xludf.DUMMYFUNCTION("""COMPUTED_VALUE"""),"-33.710326,-70.853808")</f>
        <v>-33.710326,-70.853808</v>
      </c>
      <c r="C329" s="6" t="str">
        <f ca="1">IFERROR(__xludf.DUMMYFUNCTION("""COMPUTED_VALUE"""),"CALLE PROGRESO N° 49 VILLA JOSE VELIZ")</f>
        <v>CALLE PROGRESO N° 49 VILLA JOSE VELIZ</v>
      </c>
      <c r="D329" s="6" t="str">
        <f ca="1">IFERROR(__xludf.DUMMYFUNCTION("""COMPUTED_VALUE"""),"TALAGANTE")</f>
        <v>TALAGANTE</v>
      </c>
    </row>
    <row r="330" spans="1:4">
      <c r="A330" s="7">
        <f ca="1">IFERROR(__xludf.DUMMYFUNCTION("""COMPUTED_VALUE"""),43937)</f>
        <v>43937</v>
      </c>
      <c r="B330" s="6" t="str">
        <f ca="1">IFERROR(__xludf.DUMMYFUNCTION("""COMPUTED_VALUE"""),"-33.653283,-70.924145")</f>
        <v>-33.653283,-70.924145</v>
      </c>
      <c r="C330" s="6" t="str">
        <f ca="1">IFERROR(__xludf.DUMMYFUNCTION("""COMPUTED_VALUE"""),"CALLE SAMUEL SANTANA N° 213")</f>
        <v>CALLE SAMUEL SANTANA N° 213</v>
      </c>
      <c r="D330" s="6" t="str">
        <f ca="1">IFERROR(__xludf.DUMMYFUNCTION("""COMPUTED_VALUE"""),"TALAGANTE")</f>
        <v>TALAGANTE</v>
      </c>
    </row>
    <row r="331" spans="1:4">
      <c r="A331" s="7">
        <f ca="1">IFERROR(__xludf.DUMMYFUNCTION("""COMPUTED_VALUE"""),43937)</f>
        <v>43937</v>
      </c>
      <c r="B331" s="6" t="str">
        <f ca="1">IFERROR(__xludf.DUMMYFUNCTION("""COMPUTED_VALUE"""),"-33.755793,-70.892926")</f>
        <v>-33.755793,-70.892926</v>
      </c>
      <c r="C331" s="6" t="str">
        <f ca="1">IFERROR(__xludf.DUMMYFUNCTION("""COMPUTED_VALUE"""),"VILLA EUSEBIO LILLO PRIMAVERA N° 261")</f>
        <v>VILLA EUSEBIO LILLO PRIMAVERA N° 261</v>
      </c>
      <c r="D331" s="6" t="str">
        <f ca="1">IFERROR(__xludf.DUMMYFUNCTION("""COMPUTED_VALUE"""),"TALAGANTE")</f>
        <v>TALAGANTE</v>
      </c>
    </row>
    <row r="332" spans="1:4">
      <c r="A332" s="7">
        <f ca="1">IFERROR(__xludf.DUMMYFUNCTION("""COMPUTED_VALUE"""),43937)</f>
        <v>43937</v>
      </c>
      <c r="B332" s="6" t="str">
        <f ca="1">IFERROR(__xludf.DUMMYFUNCTION("""COMPUTED_VALUE"""),"-33.678844,-70.993219")</f>
        <v>-33.678844,-70.993219</v>
      </c>
      <c r="C332" s="6" t="str">
        <f ca="1">IFERROR(__xludf.DUMMYFUNCTION("""COMPUTED_VALUE"""),"AV. LOS CARRERA 706")</f>
        <v>AV. LOS CARRERA 706</v>
      </c>
      <c r="D332" s="6" t="str">
        <f ca="1">IFERROR(__xludf.DUMMYFUNCTION("""COMPUTED_VALUE"""),"EL MONTE")</f>
        <v>EL MONTE</v>
      </c>
    </row>
    <row r="333" spans="1:4">
      <c r="A333" s="7">
        <f ca="1">IFERROR(__xludf.DUMMYFUNCTION("""COMPUTED_VALUE"""),43937)</f>
        <v>43937</v>
      </c>
      <c r="B333" s="6" t="str">
        <f ca="1">IFERROR(__xludf.DUMMYFUNCTION("""COMPUTED_VALUE"""),"-33.679294,-70.983669")</f>
        <v>-33.679294,-70.983669</v>
      </c>
      <c r="C333" s="6" t="str">
        <f ca="1">IFERROR(__xludf.DUMMYFUNCTION("""COMPUTED_VALUE"""),"AV LOS CARRERA 434 CASA 5")</f>
        <v>AV LOS CARRERA 434 CASA 5</v>
      </c>
      <c r="D333" s="6" t="str">
        <f ca="1">IFERROR(__xludf.DUMMYFUNCTION("""COMPUTED_VALUE"""),"EL MONTE")</f>
        <v>EL MONTE</v>
      </c>
    </row>
    <row r="334" spans="1:4">
      <c r="A334" s="7">
        <f ca="1">IFERROR(__xludf.DUMMYFUNCTION("""COMPUTED_VALUE"""),43937)</f>
        <v>43937</v>
      </c>
      <c r="B334" s="6" t="str">
        <f ca="1">IFERROR(__xludf.DUMMYFUNCTION("""COMPUTED_VALUE"""),"-33.684740,-71.019072")</f>
        <v>-33.684740,-71.019072</v>
      </c>
      <c r="C334" s="6" t="str">
        <f ca="1">IFERROR(__xludf.DUMMYFUNCTION("""COMPUTED_VALUE"""),"1 ORIENTE 22")</f>
        <v>1 ORIENTE 22</v>
      </c>
      <c r="D334" s="6" t="str">
        <f ca="1">IFERROR(__xludf.DUMMYFUNCTION("""COMPUTED_VALUE"""),"EL MONTE")</f>
        <v>EL MONTE</v>
      </c>
    </row>
    <row r="335" spans="1:4">
      <c r="A335" s="7">
        <f ca="1">IFERROR(__xludf.DUMMYFUNCTION("""COMPUTED_VALUE"""),43937)</f>
        <v>43937</v>
      </c>
      <c r="B335" s="6" t="str">
        <f ca="1">IFERROR(__xludf.DUMMYFUNCTION("""COMPUTED_VALUE"""),"-33.680668,-70.985149")</f>
        <v>-33.680668,-70.985149</v>
      </c>
      <c r="C335" s="6" t="str">
        <f ca="1">IFERROR(__xludf.DUMMYFUNCTION("""COMPUTED_VALUE"""),"ANIBAL PINTO 61")</f>
        <v>ANIBAL PINTO 61</v>
      </c>
      <c r="D335" s="6" t="str">
        <f ca="1">IFERROR(__xludf.DUMMYFUNCTION("""COMPUTED_VALUE"""),"EL MONTE")</f>
        <v>EL MONTE</v>
      </c>
    </row>
    <row r="336" spans="1:4">
      <c r="A336" s="7">
        <f ca="1">IFERROR(__xludf.DUMMYFUNCTION("""COMPUTED_VALUE"""),43937)</f>
        <v>43937</v>
      </c>
      <c r="B336" s="6" t="str">
        <f ca="1">IFERROR(__xludf.DUMMYFUNCTION("""COMPUTED_VALUE"""),"-33.692205,-71.039169")</f>
        <v>-33.692205,-71.039169</v>
      </c>
      <c r="C336" s="6" t="str">
        <f ca="1">IFERROR(__xludf.DUMMYFUNCTION("""COMPUTED_VALUE"""),"CAMINO LA RED SITIO 18")</f>
        <v>CAMINO LA RED SITIO 18</v>
      </c>
      <c r="D336" s="6" t="str">
        <f ca="1">IFERROR(__xludf.DUMMYFUNCTION("""COMPUTED_VALUE"""),"EL MONTE")</f>
        <v>EL MONTE</v>
      </c>
    </row>
    <row r="337" spans="1:4">
      <c r="A337" s="7">
        <f ca="1">IFERROR(__xludf.DUMMYFUNCTION("""COMPUTED_VALUE"""),43938)</f>
        <v>43938</v>
      </c>
      <c r="B337" s="8" t="str">
        <f ca="1">IFERROR(__xludf.DUMMYFUNCTION("""COMPUTED_VALUE"""),"´-33.727688,-70.776481")</f>
        <v>´-33.727688,-70.776481</v>
      </c>
      <c r="C337" s="6" t="str">
        <f ca="1">IFERROR(__xludf.DUMMYFUNCTION("""COMPUTED_VALUE"""),"EL PASTOR 220")</f>
        <v>EL PASTOR 220</v>
      </c>
      <c r="D337" s="6" t="str">
        <f ca="1">IFERROR(__xludf.DUMMYFUNCTION("""COMPUTED_VALUE"""),"BUIN")</f>
        <v>BUIN</v>
      </c>
    </row>
    <row r="338" spans="1:4">
      <c r="A338" s="7">
        <f ca="1">IFERROR(__xludf.DUMMYFUNCTION("""COMPUTED_VALUE"""),43938)</f>
        <v>43938</v>
      </c>
      <c r="B338" s="8" t="str">
        <f ca="1">IFERROR(__xludf.DUMMYFUNCTION("""COMPUTED_VALUE"""),"´.-33.730809,-70.772595")</f>
        <v>´.-33.730809,-70.772595</v>
      </c>
      <c r="C338" s="6" t="str">
        <f ca="1">IFERROR(__xludf.DUMMYFUNCTION("""COMPUTED_VALUE"""),"PSJE FERMIN ESPINA 148")</f>
        <v>PSJE FERMIN ESPINA 148</v>
      </c>
      <c r="D338" s="6" t="str">
        <f ca="1">IFERROR(__xludf.DUMMYFUNCTION("""COMPUTED_VALUE"""),"BUIN")</f>
        <v>BUIN</v>
      </c>
    </row>
    <row r="339" spans="1:4">
      <c r="A339" s="7">
        <f ca="1">IFERROR(__xludf.DUMMYFUNCTION("""COMPUTED_VALUE"""),43938)</f>
        <v>43938</v>
      </c>
      <c r="B339" s="8" t="str">
        <f ca="1">IFERROR(__xludf.DUMMYFUNCTION("""COMPUTED_VALUE"""),"´-33.712466,-70.740791")</f>
        <v>´-33.712466,-70.740791</v>
      </c>
      <c r="C339" s="6" t="str">
        <f ca="1">IFERROR(__xludf.DUMMYFUNCTION("""COMPUTED_VALUE"""),"EL MILAGRO 01574")</f>
        <v>EL MILAGRO 01574</v>
      </c>
      <c r="D339" s="6" t="str">
        <f ca="1">IFERROR(__xludf.DUMMYFUNCTION("""COMPUTED_VALUE"""),"BUIN")</f>
        <v>BUIN</v>
      </c>
    </row>
    <row r="340" spans="1:4">
      <c r="A340" s="7">
        <f ca="1">IFERROR(__xludf.DUMMYFUNCTION("""COMPUTED_VALUE"""),43938)</f>
        <v>43938</v>
      </c>
      <c r="B340" s="8" t="str">
        <f ca="1">IFERROR(__xludf.DUMMYFUNCTION("""COMPUTED_VALUE"""),"´-33.722616,-70.738850")</f>
        <v>´-33.722616,-70.738850</v>
      </c>
      <c r="C340" s="6" t="str">
        <f ca="1">IFERROR(__xludf.DUMMYFUNCTION("""COMPUTED_VALUE"""),"GERMAN SILVAARANGUIZ 71")</f>
        <v>GERMAN SILVAARANGUIZ 71</v>
      </c>
      <c r="D340" s="6" t="str">
        <f ca="1">IFERROR(__xludf.DUMMYFUNCTION("""COMPUTED_VALUE"""),"BUIN")</f>
        <v>BUIN</v>
      </c>
    </row>
    <row r="341" spans="1:4">
      <c r="A341" s="7">
        <f ca="1">IFERROR(__xludf.DUMMYFUNCTION("""COMPUTED_VALUE"""),43938)</f>
        <v>43938</v>
      </c>
      <c r="B341" s="8" t="str">
        <f ca="1">IFERROR(__xludf.DUMMYFUNCTION("""COMPUTED_VALUE"""),"´-33.728073,-70.770902")</f>
        <v>´-33.728073,-70.770902</v>
      </c>
      <c r="C341" s="6" t="str">
        <f ca="1">IFERROR(__xludf.DUMMYFUNCTION("""COMPUTED_VALUE"""),"JUAN RODRIGUEZ 2889")</f>
        <v>JUAN RODRIGUEZ 2889</v>
      </c>
      <c r="D341" s="6" t="str">
        <f ca="1">IFERROR(__xludf.DUMMYFUNCTION("""COMPUTED_VALUE"""),"BUIN")</f>
        <v>BUIN</v>
      </c>
    </row>
    <row r="342" spans="1:4">
      <c r="A342" s="7">
        <f ca="1">IFERROR(__xludf.DUMMYFUNCTION("""COMPUTED_VALUE"""),43938)</f>
        <v>43938</v>
      </c>
      <c r="B342" s="8" t="str">
        <f ca="1">IFERROR(__xludf.DUMMYFUNCTION("""COMPUTED_VALUE"""),"´-33.696278,-70.710434")</f>
        <v>´-33.696278,-70.710434</v>
      </c>
      <c r="C342" s="6" t="str">
        <f ca="1">IFERROR(__xludf.DUMMYFUNCTION("""COMPUTED_VALUE"""),"PASAJE LOS GONZALEZ 30")</f>
        <v>PASAJE LOS GONZALEZ 30</v>
      </c>
      <c r="D342" s="6" t="str">
        <f ca="1">IFERROR(__xludf.DUMMYFUNCTION("""COMPUTED_VALUE"""),"BUIN")</f>
        <v>BUIN</v>
      </c>
    </row>
    <row r="343" spans="1:4">
      <c r="A343" s="7">
        <f ca="1">IFERROR(__xludf.DUMMYFUNCTION("""COMPUTED_VALUE"""),43938)</f>
        <v>43938</v>
      </c>
      <c r="B343" s="8" t="str">
        <f ca="1">IFERROR(__xludf.DUMMYFUNCTION("""COMPUTED_VALUE"""),"´-33.727526,-70.728818")</f>
        <v>´-33.727526,-70.728818</v>
      </c>
      <c r="C343" s="6" t="str">
        <f ca="1">IFERROR(__xludf.DUMMYFUNCTION("""COMPUTED_VALUE"""),"PSJE JUAN ROMAN URBINA 45")</f>
        <v>PSJE JUAN ROMAN URBINA 45</v>
      </c>
      <c r="D343" s="6" t="str">
        <f ca="1">IFERROR(__xludf.DUMMYFUNCTION("""COMPUTED_VALUE"""),"BUIN")</f>
        <v>BUIN</v>
      </c>
    </row>
    <row r="344" spans="1:4">
      <c r="A344" s="7">
        <f ca="1">IFERROR(__xludf.DUMMYFUNCTION("""COMPUTED_VALUE"""),43938)</f>
        <v>43938</v>
      </c>
      <c r="B344" s="8" t="str">
        <f ca="1">IFERROR(__xludf.DUMMYFUNCTION("""COMPUTED_VALUE"""),"´-33.662970,-70.918271")</f>
        <v>´-33.662970,-70.918271</v>
      </c>
      <c r="C344" s="6" t="str">
        <f ca="1">IFERROR(__xludf.DUMMYFUNCTION("""COMPUTED_VALUE"""),"NORMANDA LABRIN 414")</f>
        <v>NORMANDA LABRIN 414</v>
      </c>
      <c r="D344" s="6" t="str">
        <f ca="1">IFERROR(__xludf.DUMMYFUNCTION("""COMPUTED_VALUE"""),"TALAGANTE")</f>
        <v>TALAGANTE</v>
      </c>
    </row>
    <row r="345" spans="1:4">
      <c r="A345" s="7">
        <f ca="1">IFERROR(__xludf.DUMMYFUNCTION("""COMPUTED_VALUE"""),43938)</f>
        <v>43938</v>
      </c>
      <c r="B345" s="8" t="str">
        <f ca="1">IFERROR(__xludf.DUMMYFUNCTION("""COMPUTED_VALUE"""),"´-33.2853422,-70.8810411")</f>
        <v>´-33.2853422,-70.8810411</v>
      </c>
      <c r="C345" s="6" t="str">
        <f ca="1">IFERROR(__xludf.DUMMYFUNCTION("""COMPUTED_VALUE"""),"SANTA ANA 797")</f>
        <v>SANTA ANA 797</v>
      </c>
      <c r="D345" s="6" t="str">
        <f ca="1">IFERROR(__xludf.DUMMYFUNCTION("""COMPUTED_VALUE"""),"LAMPA")</f>
        <v>LAMPA</v>
      </c>
    </row>
    <row r="346" spans="1:4">
      <c r="A346" s="7">
        <f ca="1">IFERROR(__xludf.DUMMYFUNCTION("""COMPUTED_VALUE"""),43938)</f>
        <v>43938</v>
      </c>
      <c r="B346" s="6" t="str">
        <f ca="1">IFERROR(__xludf.DUMMYFUNCTION("""COMPUTED_VALUE"""),"-33.244620-70.820667")</f>
        <v>-33.244620-70.820667</v>
      </c>
      <c r="C346" s="6" t="str">
        <f ca="1">IFERROR(__xludf.DUMMYFUNCTION("""COMPUTED_VALUE"""),"PJE. LOS CIRUELOS 132")</f>
        <v>PJE. LOS CIRUELOS 132</v>
      </c>
      <c r="D346" s="6" t="str">
        <f ca="1">IFERROR(__xludf.DUMMYFUNCTION("""COMPUTED_VALUE"""),"LAMPA")</f>
        <v>LAMPA</v>
      </c>
    </row>
    <row r="347" spans="1:4">
      <c r="A347" s="7">
        <f ca="1">IFERROR(__xludf.DUMMYFUNCTION("""COMPUTED_VALUE"""),43938)</f>
        <v>43938</v>
      </c>
      <c r="B347" s="6" t="str">
        <f ca="1">IFERROR(__xludf.DUMMYFUNCTION("""COMPUTED_VALUE"""),"-33.236353-70.803939")</f>
        <v>-33.236353-70.803939</v>
      </c>
      <c r="C347" s="6" t="str">
        <f ca="1">IFERROR(__xludf.DUMMYFUNCTION("""COMPUTED_VALUE"""),"AV. ESPAÑA 2846")</f>
        <v>AV. ESPAÑA 2846</v>
      </c>
      <c r="D347" s="6" t="str">
        <f ca="1">IFERROR(__xludf.DUMMYFUNCTION("""COMPUTED_VALUE"""),"LAMPA")</f>
        <v>LAMPA</v>
      </c>
    </row>
    <row r="348" spans="1:4">
      <c r="A348" s="7">
        <f ca="1">IFERROR(__xludf.DUMMYFUNCTION("""COMPUTED_VALUE"""),43938)</f>
        <v>43938</v>
      </c>
      <c r="B348" s="6" t="str">
        <f ca="1">IFERROR(__xludf.DUMMYFUNCTION("""COMPUTED_VALUE"""),"-33.261503-70.788260")</f>
        <v>-33.261503-70.788260</v>
      </c>
      <c r="C348" s="6" t="str">
        <f ca="1">IFERROR(__xludf.DUMMYFUNCTION("""COMPUTED_VALUE"""),"CAMINO SANTA ROSA 3040 PARCELA 240")</f>
        <v>CAMINO SANTA ROSA 3040 PARCELA 240</v>
      </c>
      <c r="D348" s="6" t="str">
        <f ca="1">IFERROR(__xludf.DUMMYFUNCTION("""COMPUTED_VALUE"""),"LAMPA")</f>
        <v>LAMPA</v>
      </c>
    </row>
    <row r="349" spans="1:4">
      <c r="A349" s="7">
        <f ca="1">IFERROR(__xludf.DUMMYFUNCTION("""COMPUTED_VALUE"""),43938)</f>
        <v>43938</v>
      </c>
      <c r="B349" s="6" t="str">
        <f ca="1">IFERROR(__xludf.DUMMYFUNCTION("""COMPUTED_VALUE"""),"-33.599257-70-919345")</f>
        <v>-33.599257-70-919345</v>
      </c>
      <c r="C349" s="6" t="str">
        <f ca="1">IFERROR(__xludf.DUMMYFUNCTION("""COMPUTED_VALUE"""),"PASAJE CAPILLA 3945")</f>
        <v>PASAJE CAPILLA 3945</v>
      </c>
      <c r="D349" s="6" t="str">
        <f ca="1">IFERROR(__xludf.DUMMYFUNCTION("""COMPUTED_VALUE"""),"PEÑAFLOR")</f>
        <v>PEÑAFLOR</v>
      </c>
    </row>
    <row r="350" spans="1:4">
      <c r="A350" s="7">
        <f ca="1">IFERROR(__xludf.DUMMYFUNCTION("""COMPUTED_VALUE"""),43938)</f>
        <v>43938</v>
      </c>
      <c r="B350" s="6" t="str">
        <f ca="1">IFERROR(__xludf.DUMMYFUNCTION("""COMPUTED_VALUE"""),"-33.6107795-70.8758792")</f>
        <v>-33.6107795-70.8758792</v>
      </c>
      <c r="C350" s="6" t="str">
        <f ca="1">IFERROR(__xludf.DUMMYFUNCTION("""COMPUTED_VALUE"""),"AV. VICUÑA MACKENNA 1584")</f>
        <v>AV. VICUÑA MACKENNA 1584</v>
      </c>
      <c r="D350" s="6" t="str">
        <f ca="1">IFERROR(__xludf.DUMMYFUNCTION("""COMPUTED_VALUE"""),"PEÑAFLOR")</f>
        <v>PEÑAFLOR</v>
      </c>
    </row>
    <row r="351" spans="1:4">
      <c r="A351" s="7">
        <f ca="1">IFERROR(__xludf.DUMMYFUNCTION("""COMPUTED_VALUE"""),43938)</f>
        <v>43938</v>
      </c>
      <c r="B351" s="6" t="str">
        <f ca="1">IFERROR(__xludf.DUMMYFUNCTION("""COMPUTED_VALUE"""),"-33.6191714-70.8021688")</f>
        <v>-33.6191714-70.8021688</v>
      </c>
      <c r="C351" s="6" t="str">
        <f ca="1">IFERROR(__xludf.DUMMYFUNCTION("""COMPUTED_VALUE"""),"PASAJE DOS 921")</f>
        <v>PASAJE DOS 921</v>
      </c>
      <c r="D351" s="6" t="str">
        <f ca="1">IFERROR(__xludf.DUMMYFUNCTION("""COMPUTED_VALUE"""),"PEÑAFLOR")</f>
        <v>PEÑAFLOR</v>
      </c>
    </row>
    <row r="352" spans="1:4">
      <c r="A352" s="7">
        <f ca="1">IFERROR(__xludf.DUMMYFUNCTION("""COMPUTED_VALUE"""),43938)</f>
        <v>43938</v>
      </c>
      <c r="B352" s="6" t="str">
        <f ca="1">IFERROR(__xludf.DUMMYFUNCTION("""COMPUTED_VALUE"""),"-33.669065-70.79613")</f>
        <v>-33.669065-70.79613</v>
      </c>
      <c r="C352" s="6" t="str">
        <f ca="1">IFERROR(__xludf.DUMMYFUNCTION("""COMPUTED_VALUE"""),"LOS ZORZALES 956")</f>
        <v>LOS ZORZALES 956</v>
      </c>
      <c r="D352" s="6" t="str">
        <f ca="1">IFERROR(__xludf.DUMMYFUNCTION("""COMPUTED_VALUE"""),"PADRE HURTADO")</f>
        <v>PADRE HURTADO</v>
      </c>
    </row>
    <row r="353" spans="1:4">
      <c r="A353" s="7">
        <f ca="1">IFERROR(__xludf.DUMMYFUNCTION("""COMPUTED_VALUE"""),43938)</f>
        <v>43938</v>
      </c>
      <c r="B353" s="6" t="str">
        <f ca="1">IFERROR(__xludf.DUMMYFUNCTION("""COMPUTED_VALUE"""),"-33.2095-70.6826")</f>
        <v>-33.2095-70.6826</v>
      </c>
      <c r="C353" s="6" t="str">
        <f ca="1">IFERROR(__xludf.DUMMYFUNCTION("""COMPUTED_VALUE"""),"MARCOS GOYCOLEA 0200")</f>
        <v>MARCOS GOYCOLEA 0200</v>
      </c>
      <c r="D353" s="6" t="str">
        <f ca="1">IFERROR(__xludf.DUMMYFUNCTION("""COMPUTED_VALUE"""),"COLINA")</f>
        <v>COLINA</v>
      </c>
    </row>
    <row r="354" spans="1:4">
      <c r="A354" s="7">
        <f ca="1">IFERROR(__xludf.DUMMYFUNCTION("""COMPUTED_VALUE"""),43938)</f>
        <v>43938</v>
      </c>
      <c r="B354" s="6" t="str">
        <f ca="1">IFERROR(__xludf.DUMMYFUNCTION("""COMPUTED_VALUE"""),"-33.177658,-70.688796")</f>
        <v>-33.177658,-70.688796</v>
      </c>
      <c r="C354" s="6" t="str">
        <f ca="1">IFERROR(__xludf.DUMMYFUNCTION("""COMPUTED_VALUE"""),"CAMINO BOMBA PARC 5 LOTE B-1")</f>
        <v>CAMINO BOMBA PARC 5 LOTE B-1</v>
      </c>
      <c r="D354" s="6" t="str">
        <f ca="1">IFERROR(__xludf.DUMMYFUNCTION("""COMPUTED_VALUE"""),"COLINA")</f>
        <v>COLINA</v>
      </c>
    </row>
    <row r="355" spans="1:4">
      <c r="A355" s="7">
        <f ca="1">IFERROR(__xludf.DUMMYFUNCTION("""COMPUTED_VALUE"""),43938)</f>
        <v>43938</v>
      </c>
      <c r="B355" s="6" t="str">
        <f ca="1">IFERROR(__xludf.DUMMYFUNCTION("""COMPUTED_VALUE"""),"-33.183955,-70.676345")</f>
        <v>-33.183955,-70.676345</v>
      </c>
      <c r="C355" s="6" t="str">
        <f ca="1">IFERROR(__xludf.DUMMYFUNCTION("""COMPUTED_VALUE"""),"PJE MAMIÑA 2540")</f>
        <v>PJE MAMIÑA 2540</v>
      </c>
      <c r="D355" s="6" t="str">
        <f ca="1">IFERROR(__xludf.DUMMYFUNCTION("""COMPUTED_VALUE"""),"COLINA")</f>
        <v>COLINA</v>
      </c>
    </row>
    <row r="356" spans="1:4">
      <c r="A356" s="7">
        <f ca="1">IFERROR(__xludf.DUMMYFUNCTION("""COMPUTED_VALUE"""),43938)</f>
        <v>43938</v>
      </c>
      <c r="B356" s="6" t="str">
        <f ca="1">IFERROR(__xludf.DUMMYFUNCTION("""COMPUTED_VALUE"""),"-33.656650,-71.004177")</f>
        <v>-33.656650,-71.004177</v>
      </c>
      <c r="C356" s="6" t="str">
        <f ca="1">IFERROR(__xludf.DUMMYFUNCTION("""COMPUTED_VALUE"""),"LOS OLMOS PARC 12")</f>
        <v>LOS OLMOS PARC 12</v>
      </c>
      <c r="D356" s="6" t="str">
        <f ca="1">IFERROR(__xludf.DUMMYFUNCTION("""COMPUTED_VALUE"""),"EL MONTE")</f>
        <v>EL MONTE</v>
      </c>
    </row>
    <row r="357" spans="1:4">
      <c r="A357" s="7">
        <f ca="1">IFERROR(__xludf.DUMMYFUNCTION("""COMPUTED_VALUE"""),43938)</f>
        <v>43938</v>
      </c>
      <c r="B357" s="6" t="str">
        <f ca="1">IFERROR(__xludf.DUMMYFUNCTION("""COMPUTED_VALUE"""),"-33.657391,-71.004349")</f>
        <v>-33.657391,-71.004349</v>
      </c>
      <c r="C357" s="6" t="str">
        <f ca="1">IFERROR(__xludf.DUMMYFUNCTION("""COMPUTED_VALUE"""),"LOS OLMOS PARC 12")</f>
        <v>LOS OLMOS PARC 12</v>
      </c>
      <c r="D357" s="6" t="str">
        <f ca="1">IFERROR(__xludf.DUMMYFUNCTION("""COMPUTED_VALUE"""),"EL MONTE")</f>
        <v>EL MONTE</v>
      </c>
    </row>
    <row r="358" spans="1:4">
      <c r="A358" s="7">
        <f ca="1">IFERROR(__xludf.DUMMYFUNCTION("""COMPUTED_VALUE"""),43938)</f>
        <v>43938</v>
      </c>
      <c r="B358" s="6" t="str">
        <f ca="1">IFERROR(__xludf.DUMMYFUNCTION("""COMPUTED_VALUE"""),"-33.678880,-70.985287")</f>
        <v>-33.678880,-70.985287</v>
      </c>
      <c r="C358" s="6" t="str">
        <f ca="1">IFERROR(__xludf.DUMMYFUNCTION("""COMPUTED_VALUE"""),"ANIBAL PINTO 142")</f>
        <v>ANIBAL PINTO 142</v>
      </c>
      <c r="D358" s="6" t="str">
        <f ca="1">IFERROR(__xludf.DUMMYFUNCTION("""COMPUTED_VALUE"""),"EL MONTE")</f>
        <v>EL MONTE</v>
      </c>
    </row>
    <row r="359" spans="1:4">
      <c r="A359" s="7">
        <f ca="1">IFERROR(__xludf.DUMMYFUNCTION("""COMPUTED_VALUE"""),43939)</f>
        <v>43939</v>
      </c>
      <c r="B359" s="8" t="str">
        <f ca="1">IFERROR(__xludf.DUMMYFUNCTION("""COMPUTED_VALUE"""),"´-33.777628,-70.794353")</f>
        <v>´-33.777628,-70.794353</v>
      </c>
      <c r="C359" s="6" t="str">
        <f ca="1">IFERROR(__xludf.DUMMYFUNCTION("""COMPUTED_VALUE"""),"SANTA ADELA 62")</f>
        <v>SANTA ADELA 62</v>
      </c>
      <c r="D359" s="6" t="str">
        <f ca="1">IFERROR(__xludf.DUMMYFUNCTION("""COMPUTED_VALUE"""),"BUIN")</f>
        <v>BUIN</v>
      </c>
    </row>
    <row r="360" spans="1:4">
      <c r="A360" s="7">
        <f ca="1">IFERROR(__xludf.DUMMYFUNCTION("""COMPUTED_VALUE"""),43939)</f>
        <v>43939</v>
      </c>
      <c r="B360" s="6" t="str">
        <f ca="1">IFERROR(__xludf.DUMMYFUNCTION("""COMPUTED_VALUE"""),"-33.605256-70.905025")</f>
        <v>-33.605256-70.905025</v>
      </c>
      <c r="C360" s="6" t="str">
        <f ca="1">IFERROR(__xludf.DUMMYFUNCTION("""COMPUTED_VALUE"""),"LUCERO 524")</f>
        <v>LUCERO 524</v>
      </c>
      <c r="D360" s="6" t="str">
        <f ca="1">IFERROR(__xludf.DUMMYFUNCTION("""COMPUTED_VALUE"""),"PEÑAFLOR")</f>
        <v>PEÑAFLOR</v>
      </c>
    </row>
    <row r="361" spans="1:4">
      <c r="A361" s="7">
        <f ca="1">IFERROR(__xludf.DUMMYFUNCTION("""COMPUTED_VALUE"""),43939)</f>
        <v>43939</v>
      </c>
      <c r="B361" s="6" t="str">
        <f ca="1">IFERROR(__xludf.DUMMYFUNCTION("""COMPUTED_VALUE"""),"-33.605467-70.905315")</f>
        <v>-33.605467-70.905315</v>
      </c>
      <c r="C361" s="6" t="str">
        <f ca="1">IFERROR(__xludf.DUMMYFUNCTION("""COMPUTED_VALUE"""),"LA LUNA 515")</f>
        <v>LA LUNA 515</v>
      </c>
      <c r="D361" s="6" t="str">
        <f ca="1">IFERROR(__xludf.DUMMYFUNCTION("""COMPUTED_VALUE"""),"PEÑAFLOR")</f>
        <v>PEÑAFLOR</v>
      </c>
    </row>
    <row r="362" spans="1:4">
      <c r="A362" s="7">
        <f ca="1">IFERROR(__xludf.DUMMYFUNCTION("""COMPUTED_VALUE"""),43939)</f>
        <v>43939</v>
      </c>
      <c r="B362" s="6" t="str">
        <f ca="1">IFERROR(__xludf.DUMMYFUNCTION("""COMPUTED_VALUE"""),"-33.6156-70.8621")</f>
        <v>-33.6156-70.8621</v>
      </c>
      <c r="C362" s="6" t="str">
        <f ca="1">IFERROR(__xludf.DUMMYFUNCTION("""COMPUTED_VALUE"""),"AV. BALMACEDA 1695")</f>
        <v>AV. BALMACEDA 1695</v>
      </c>
      <c r="D362" s="6" t="str">
        <f ca="1">IFERROR(__xludf.DUMMYFUNCTION("""COMPUTED_VALUE"""),"PEÑAFLOR")</f>
        <v>PEÑAFLOR</v>
      </c>
    </row>
    <row r="363" spans="1:4">
      <c r="A363" s="7">
        <f ca="1">IFERROR(__xludf.DUMMYFUNCTION("""COMPUTED_VALUE"""),43939)</f>
        <v>43939</v>
      </c>
      <c r="B363" s="6" t="str">
        <f ca="1">IFERROR(__xludf.DUMMYFUNCTION("""COMPUTED_VALUE"""),"-33.188151,-70.627202")</f>
        <v>-33.188151,-70.627202</v>
      </c>
      <c r="C363" s="6" t="str">
        <f ca="1">IFERROR(__xludf.DUMMYFUNCTION("""COMPUTED_VALUE"""),"LA HUACA SITIO 38-C (SANTA FILOMENA 738)")</f>
        <v>LA HUACA SITIO 38-C (SANTA FILOMENA 738)</v>
      </c>
      <c r="D363" s="6" t="str">
        <f ca="1">IFERROR(__xludf.DUMMYFUNCTION("""COMPUTED_VALUE"""),"COLINA")</f>
        <v>COLINA</v>
      </c>
    </row>
    <row r="364" spans="1:4">
      <c r="A364" s="7">
        <f ca="1">IFERROR(__xludf.DUMMYFUNCTION("""COMPUTED_VALUE"""),43939)</f>
        <v>43939</v>
      </c>
      <c r="B364" s="6" t="str">
        <f ca="1">IFERROR(__xludf.DUMMYFUNCTION("""COMPUTED_VALUE"""),"-33.188151,-70.627202")</f>
        <v>-33.188151,-70.627202</v>
      </c>
      <c r="C364" s="6" t="str">
        <f ca="1">IFERROR(__xludf.DUMMYFUNCTION("""COMPUTED_VALUE"""),"LA HUACA SITIO 38-C (SANTA FILOMENA 738)")</f>
        <v>LA HUACA SITIO 38-C (SANTA FILOMENA 738)</v>
      </c>
      <c r="D364" s="6" t="str">
        <f ca="1">IFERROR(__xludf.DUMMYFUNCTION("""COMPUTED_VALUE"""),"COLINA")</f>
        <v>COLINA</v>
      </c>
    </row>
    <row r="365" spans="1:4">
      <c r="A365" s="7">
        <f ca="1">IFERROR(__xludf.DUMMYFUNCTION("""COMPUTED_VALUE"""),43939)</f>
        <v>43939</v>
      </c>
      <c r="B365" s="6" t="str">
        <f ca="1">IFERROR(__xludf.DUMMYFUNCTION("""COMPUTED_VALUE"""),"-33.275080,-70.865346")</f>
        <v>-33.275080,-70.865346</v>
      </c>
      <c r="C365" s="6" t="str">
        <f ca="1">IFERROR(__xludf.DUMMYFUNCTION("""COMPUTED_VALUE"""),"LA CAMPIÑA PARCELA 9B CENTRAL")</f>
        <v>LA CAMPIÑA PARCELA 9B CENTRAL</v>
      </c>
      <c r="D365" s="6" t="str">
        <f ca="1">IFERROR(__xludf.DUMMYFUNCTION("""COMPUTED_VALUE"""),"LAMPA")</f>
        <v>LAMPA</v>
      </c>
    </row>
    <row r="366" spans="1:4">
      <c r="A366" s="7">
        <f ca="1">IFERROR(__xludf.DUMMYFUNCTION("""COMPUTED_VALUE"""),43939)</f>
        <v>43939</v>
      </c>
      <c r="B366" s="6" t="str">
        <f ca="1">IFERROR(__xludf.DUMMYFUNCTION("""COMPUTED_VALUE"""),"-33.327751,-70.753166")</f>
        <v>-33.327751,-70.753166</v>
      </c>
      <c r="C366" s="6" t="str">
        <f ca="1">IFERROR(__xludf.DUMMYFUNCTION("""COMPUTED_VALUE"""),"PJE SAN LUCAS SUR 3153 (PUNTO REF SANTA PAULINA MONTAÑA SUR)")</f>
        <v>PJE SAN LUCAS SUR 3153 (PUNTO REF SANTA PAULINA MONTAÑA SUR)</v>
      </c>
      <c r="D366" s="6" t="str">
        <f ca="1">IFERROR(__xludf.DUMMYFUNCTION("""COMPUTED_VALUE"""),"LAMPA")</f>
        <v>LAMPA</v>
      </c>
    </row>
    <row r="367" spans="1:4">
      <c r="A367" s="7">
        <f ca="1">IFERROR(__xludf.DUMMYFUNCTION("""COMPUTED_VALUE"""),43941)</f>
        <v>43941</v>
      </c>
      <c r="B367" s="8" t="str">
        <f ca="1">IFERROR(__xludf.DUMMYFUNCTION("""COMPUTED_VALUE"""),"-33.774974,-70.794082")</f>
        <v>-33.774974,-70.794082</v>
      </c>
      <c r="C367" s="6" t="str">
        <f ca="1">IFERROR(__xludf.DUMMYFUNCTION("""COMPUTED_VALUE"""),"SAN JOSE NORTE 4614")</f>
        <v>SAN JOSE NORTE 4614</v>
      </c>
      <c r="D367" s="6" t="str">
        <f ca="1">IFERROR(__xludf.DUMMYFUNCTION("""COMPUTED_VALUE"""),"BUIN")</f>
        <v>BUIN</v>
      </c>
    </row>
    <row r="368" spans="1:4">
      <c r="A368" s="7">
        <f ca="1">IFERROR(__xludf.DUMMYFUNCTION("""COMPUTED_VALUE"""),43941)</f>
        <v>43941</v>
      </c>
      <c r="B368" s="8" t="str">
        <f ca="1">IFERROR(__xludf.DUMMYFUNCTION("""COMPUTED_VALUE"""),"-33.727202,-70.776272")</f>
        <v>-33.727202,-70.776272</v>
      </c>
      <c r="C368" s="6" t="str">
        <f ca="1">IFERROR(__xludf.DUMMYFUNCTION("""COMPUTED_VALUE"""),"EL PASTOR 244")</f>
        <v>EL PASTOR 244</v>
      </c>
      <c r="D368" s="6" t="str">
        <f ca="1">IFERROR(__xludf.DUMMYFUNCTION("""COMPUTED_VALUE"""),"BUIN")</f>
        <v>BUIN</v>
      </c>
    </row>
    <row r="369" spans="1:4">
      <c r="A369" s="7">
        <f ca="1">IFERROR(__xludf.DUMMYFUNCTION("""COMPUTED_VALUE"""),43941)</f>
        <v>43941</v>
      </c>
      <c r="B369" s="8" t="str">
        <f ca="1">IFERROR(__xludf.DUMMYFUNCTION("""COMPUTED_VALUE"""),"-33.773984,-70.794743")</f>
        <v>-33.773984,-70.794743</v>
      </c>
      <c r="C369" s="6" t="str">
        <f ca="1">IFERROR(__xludf.DUMMYFUNCTION("""COMPUTED_VALUE"""),"MAIPO VILUCO 4532")</f>
        <v>MAIPO VILUCO 4532</v>
      </c>
      <c r="D369" s="6" t="str">
        <f ca="1">IFERROR(__xludf.DUMMYFUNCTION("""COMPUTED_VALUE"""),"BUIN")</f>
        <v>BUIN</v>
      </c>
    </row>
    <row r="370" spans="1:4">
      <c r="A370" s="7">
        <f ca="1">IFERROR(__xludf.DUMMYFUNCTION("""COMPUTED_VALUE"""),43941)</f>
        <v>43941</v>
      </c>
      <c r="B370" s="8" t="str">
        <f ca="1">IFERROR(__xludf.DUMMYFUNCTION("""COMPUTED_VALUE"""),"-33.714810,-70.741375")</f>
        <v>-33.714810,-70.741375</v>
      </c>
      <c r="C370" s="6" t="str">
        <f ca="1">IFERROR(__xludf.DUMMYFUNCTION("""COMPUTED_VALUE"""),"PSJE LA PORTADA DEL MAIPO 0127")</f>
        <v>PSJE LA PORTADA DEL MAIPO 0127</v>
      </c>
      <c r="D370" s="6" t="str">
        <f ca="1">IFERROR(__xludf.DUMMYFUNCTION("""COMPUTED_VALUE"""),"BUIN")</f>
        <v>BUIN</v>
      </c>
    </row>
    <row r="371" spans="1:4">
      <c r="A371" s="7">
        <f ca="1">IFERROR(__xludf.DUMMYFUNCTION("""COMPUTED_VALUE"""),43941)</f>
        <v>43941</v>
      </c>
      <c r="B371" s="8" t="str">
        <f ca="1">IFERROR(__xludf.DUMMYFUNCTION("""COMPUTED_VALUE"""),"-33.760466,-70.738568")</f>
        <v>-33.760466,-70.738568</v>
      </c>
      <c r="C371" s="6" t="str">
        <f ca="1">IFERROR(__xludf.DUMMYFUNCTION("""COMPUTED_VALUE"""),"LOS JACINTOS 154")</f>
        <v>LOS JACINTOS 154</v>
      </c>
      <c r="D371" s="6" t="str">
        <f ca="1">IFERROR(__xludf.DUMMYFUNCTION("""COMPUTED_VALUE"""),"BUIN")</f>
        <v>BUIN</v>
      </c>
    </row>
    <row r="372" spans="1:4">
      <c r="A372" s="7">
        <f ca="1">IFERROR(__xludf.DUMMYFUNCTION("""COMPUTED_VALUE"""),43941)</f>
        <v>43941</v>
      </c>
      <c r="B372" s="8" t="str">
        <f ca="1">IFERROR(__xludf.DUMMYFUNCTION("""COMPUTED_VALUE"""),"-33.699642,-70.709")</f>
        <v>-33.699642,-70.709</v>
      </c>
      <c r="C372" s="6" t="str">
        <f ca="1">IFERROR(__xludf.DUMMYFUNCTION("""COMPUTED_VALUE"""),"PASAJE LOS HERNANDEZ 30")</f>
        <v>PASAJE LOS HERNANDEZ 30</v>
      </c>
      <c r="D372" s="6" t="str">
        <f ca="1">IFERROR(__xludf.DUMMYFUNCTION("""COMPUTED_VALUE"""),"BUIN")</f>
        <v>BUIN</v>
      </c>
    </row>
    <row r="373" spans="1:4">
      <c r="A373" s="7">
        <f ca="1">IFERROR(__xludf.DUMMYFUNCTION("""COMPUTED_VALUE"""),43941)</f>
        <v>43941</v>
      </c>
      <c r="B373" s="8" t="str">
        <f ca="1">IFERROR(__xludf.DUMMYFUNCTION("""COMPUTED_VALUE"""),"-33.737490,-70.745987")</f>
        <v>-33.737490,-70.745987</v>
      </c>
      <c r="C373" s="6" t="str">
        <f ca="1">IFERROR(__xludf.DUMMYFUNCTION("""COMPUTED_VALUE"""),"JULIO O RODRIGUEZ 626")</f>
        <v>JULIO O RODRIGUEZ 626</v>
      </c>
      <c r="D373" s="6" t="str">
        <f ca="1">IFERROR(__xludf.DUMMYFUNCTION("""COMPUTED_VALUE"""),"BUIN")</f>
        <v>BUIN</v>
      </c>
    </row>
    <row r="374" spans="1:4">
      <c r="A374" s="7">
        <f ca="1">IFERROR(__xludf.DUMMYFUNCTION("""COMPUTED_VALUE"""),43941)</f>
        <v>43941</v>
      </c>
      <c r="B374" s="6" t="str">
        <f ca="1">IFERROR(__xludf.DUMMYFUNCTION("""COMPUTED_VALUE"""),"-33.6072677-70.8911518")</f>
        <v>-33.6072677-70.8911518</v>
      </c>
      <c r="C374" s="6" t="str">
        <f ca="1">IFERROR(__xludf.DUMMYFUNCTION("""COMPUTED_VALUE"""),"EL ARPA 810")</f>
        <v>EL ARPA 810</v>
      </c>
      <c r="D374" s="6" t="str">
        <f ca="1">IFERROR(__xludf.DUMMYFUNCTION("""COMPUTED_VALUE"""),"PEÑAFLOR")</f>
        <v>PEÑAFLOR</v>
      </c>
    </row>
    <row r="375" spans="1:4">
      <c r="A375" s="7">
        <f ca="1">IFERROR(__xludf.DUMMYFUNCTION("""COMPUTED_VALUE"""),43941)</f>
        <v>43941</v>
      </c>
      <c r="B375" s="6" t="str">
        <f ca="1">IFERROR(__xludf.DUMMYFUNCTION("""COMPUTED_VALUE"""),"-33.5957258-70.8784887")</f>
        <v>-33.5957258-70.8784887</v>
      </c>
      <c r="C375" s="6" t="str">
        <f ca="1">IFERROR(__xludf.DUMMYFUNCTION("""COMPUTED_VALUE"""),"LOS PAJARITOS 2612 C/3")</f>
        <v>LOS PAJARITOS 2612 C/3</v>
      </c>
      <c r="D375" s="6" t="str">
        <f ca="1">IFERROR(__xludf.DUMMYFUNCTION("""COMPUTED_VALUE"""),"PEÑAFLOR")</f>
        <v>PEÑAFLOR</v>
      </c>
    </row>
    <row r="376" spans="1:4">
      <c r="A376" s="7">
        <f ca="1">IFERROR(__xludf.DUMMYFUNCTION("""COMPUTED_VALUE"""),43941)</f>
        <v>43941</v>
      </c>
      <c r="B376" s="6" t="str">
        <f ca="1">IFERROR(__xludf.DUMMYFUNCTION("""COMPUTED_VALUE"""),"-33.6154-70.621")</f>
        <v>-33.6154-70.621</v>
      </c>
      <c r="C376" s="6" t="str">
        <f ca="1">IFERROR(__xludf.DUMMYFUNCTION("""COMPUTED_VALUE"""),"BALMACEDA 1673")</f>
        <v>BALMACEDA 1673</v>
      </c>
      <c r="D376" s="6" t="str">
        <f ca="1">IFERROR(__xludf.DUMMYFUNCTION("""COMPUTED_VALUE"""),"PEÑAFLOR")</f>
        <v>PEÑAFLOR</v>
      </c>
    </row>
    <row r="377" spans="1:4">
      <c r="A377" s="7">
        <f ca="1">IFERROR(__xludf.DUMMYFUNCTION("""COMPUTED_VALUE"""),43941)</f>
        <v>43941</v>
      </c>
      <c r="B377" s="6" t="str">
        <f ca="1">IFERROR(__xludf.DUMMYFUNCTION("""COMPUTED_VALUE"""),"-33.6154-708625")</f>
        <v>-33.6154-708625</v>
      </c>
      <c r="C377" s="6" t="str">
        <f ca="1">IFERROR(__xludf.DUMMYFUNCTION("""COMPUTED_VALUE"""),"BALMACEDA 1689")</f>
        <v>BALMACEDA 1689</v>
      </c>
      <c r="D377" s="6" t="str">
        <f ca="1">IFERROR(__xludf.DUMMYFUNCTION("""COMPUTED_VALUE"""),"PEÑAFLOR")</f>
        <v>PEÑAFLOR</v>
      </c>
    </row>
    <row r="378" spans="1:4">
      <c r="A378" s="7">
        <f ca="1">IFERROR(__xludf.DUMMYFUNCTION("""COMPUTED_VALUE"""),43941)</f>
        <v>43941</v>
      </c>
      <c r="B378" s="6" t="str">
        <f ca="1">IFERROR(__xludf.DUMMYFUNCTION("""COMPUTED_VALUE"""),"-33.569509-70.797566")</f>
        <v>-33.569509-70.797566</v>
      </c>
      <c r="C378" s="6" t="str">
        <f ca="1">IFERROR(__xludf.DUMMYFUNCTION("""COMPUTED_VALUE"""),"LOS ZORZALES 1002")</f>
        <v>LOS ZORZALES 1002</v>
      </c>
      <c r="D378" s="6" t="str">
        <f ca="1">IFERROR(__xludf.DUMMYFUNCTION("""COMPUTED_VALUE"""),"PADRE HURTADO")</f>
        <v>PADRE HURTADO</v>
      </c>
    </row>
    <row r="379" spans="1:4">
      <c r="A379" s="7">
        <f ca="1">IFERROR(__xludf.DUMMYFUNCTION("""COMPUTED_VALUE"""),43941)</f>
        <v>43941</v>
      </c>
      <c r="B379" s="6" t="str">
        <f ca="1">IFERROR(__xludf.DUMMYFUNCTION("""COMPUTED_VALUE"""),"-33.570787-70.798460")</f>
        <v>-33.570787-70.798460</v>
      </c>
      <c r="C379" s="6" t="str">
        <f ca="1">IFERROR(__xludf.DUMMYFUNCTION("""COMPUTED_VALUE"""),"LOS ZORZALES 956")</f>
        <v>LOS ZORZALES 956</v>
      </c>
      <c r="D379" s="6" t="str">
        <f ca="1">IFERROR(__xludf.DUMMYFUNCTION("""COMPUTED_VALUE"""),"PADRE HURTADO")</f>
        <v>PADRE HURTADO</v>
      </c>
    </row>
    <row r="380" spans="1:4">
      <c r="A380" s="7">
        <f ca="1">IFERROR(__xludf.DUMMYFUNCTION("""COMPUTED_VALUE"""),43941)</f>
        <v>43941</v>
      </c>
      <c r="B380" s="6" t="str">
        <f ca="1">IFERROR(__xludf.DUMMYFUNCTION("""COMPUTED_VALUE"""),"-33.605457-70.905742")</f>
        <v>-33.605457-70.905742</v>
      </c>
      <c r="C380" s="6" t="str">
        <f ca="1">IFERROR(__xludf.DUMMYFUNCTION("""COMPUTED_VALUE"""),"PASAJE LA LUNA 575")</f>
        <v>PASAJE LA LUNA 575</v>
      </c>
      <c r="D380" s="6" t="str">
        <f ca="1">IFERROR(__xludf.DUMMYFUNCTION("""COMPUTED_VALUE"""),"PEÑAFLOR")</f>
        <v>PEÑAFLOR</v>
      </c>
    </row>
    <row r="381" spans="1:4">
      <c r="A381" s="7">
        <f ca="1">IFERROR(__xludf.DUMMYFUNCTION("""COMPUTED_VALUE"""),43941)</f>
        <v>43941</v>
      </c>
      <c r="B381" s="6" t="str">
        <f ca="1">IFERROR(__xludf.DUMMYFUNCTION("""COMPUTED_VALUE"""),"-33.604212-70.905348")</f>
        <v>-33.604212-70.905348</v>
      </c>
      <c r="C381" s="6" t="str">
        <f ca="1">IFERROR(__xludf.DUMMYFUNCTION("""COMPUTED_VALUE"""),"PASAJE DEL SOL 705")</f>
        <v>PASAJE DEL SOL 705</v>
      </c>
      <c r="D381" s="6" t="str">
        <f ca="1">IFERROR(__xludf.DUMMYFUNCTION("""COMPUTED_VALUE"""),"PEÑAFLOR")</f>
        <v>PEÑAFLOR</v>
      </c>
    </row>
    <row r="382" spans="1:4">
      <c r="A382" s="7">
        <f ca="1">IFERROR(__xludf.DUMMYFUNCTION("""COMPUTED_VALUE"""),43941)</f>
        <v>43941</v>
      </c>
      <c r="B382" s="6" t="str">
        <f ca="1">IFERROR(__xludf.DUMMYFUNCTION("""COMPUTED_VALUE"""),"-33.612762-70.899062")</f>
        <v>-33.612762-70.899062</v>
      </c>
      <c r="C382" s="6" t="str">
        <f ca="1">IFERROR(__xludf.DUMMYFUNCTION("""COMPUTED_VALUE"""),"SANTIAGO BUERAS 3573")</f>
        <v>SANTIAGO BUERAS 3573</v>
      </c>
      <c r="D382" s="6" t="str">
        <f ca="1">IFERROR(__xludf.DUMMYFUNCTION("""COMPUTED_VALUE"""),"PEÑAFLOR")</f>
        <v>PEÑAFLOR</v>
      </c>
    </row>
    <row r="383" spans="1:4">
      <c r="A383" s="7">
        <f ca="1">IFERROR(__xludf.DUMMYFUNCTION("""COMPUTED_VALUE"""),43941)</f>
        <v>43941</v>
      </c>
      <c r="B383" s="6" t="str">
        <f ca="1">IFERROR(__xludf.DUMMYFUNCTION("""COMPUTED_VALUE"""),"-33.471514,-70.674631")</f>
        <v>-33.471514,-70.674631</v>
      </c>
      <c r="C383" s="6" t="str">
        <f ca="1">IFERROR(__xludf.DUMMYFUNCTION("""COMPUTED_VALUE"""),"LA HUACA S/N")</f>
        <v>LA HUACA S/N</v>
      </c>
      <c r="D383" s="6" t="str">
        <f ca="1">IFERROR(__xludf.DUMMYFUNCTION("""COMPUTED_VALUE"""),"COLINA")</f>
        <v>COLINA</v>
      </c>
    </row>
    <row r="384" spans="1:4">
      <c r="A384" s="7">
        <f ca="1">IFERROR(__xludf.DUMMYFUNCTION("""COMPUTED_VALUE"""),43941)</f>
        <v>43941</v>
      </c>
      <c r="B384" s="6" t="str">
        <f ca="1">IFERROR(__xludf.DUMMYFUNCTION("""COMPUTED_VALUE"""),"-33.431514,-70.674631")</f>
        <v>-33.431514,-70.674631</v>
      </c>
      <c r="C384" s="6" t="str">
        <f ca="1">IFERROR(__xludf.DUMMYFUNCTION("""COMPUTED_VALUE"""),"LA HUACA SITIO 38-B")</f>
        <v>LA HUACA SITIO 38-B</v>
      </c>
      <c r="D384" s="6" t="str">
        <f ca="1">IFERROR(__xludf.DUMMYFUNCTION("""COMPUTED_VALUE"""),"COLINA")</f>
        <v>COLINA</v>
      </c>
    </row>
    <row r="385" spans="1:4">
      <c r="A385" s="7">
        <f ca="1">IFERROR(__xludf.DUMMYFUNCTION("""COMPUTED_VALUE"""),43941)</f>
        <v>43941</v>
      </c>
      <c r="B385" s="6" t="str">
        <f ca="1">IFERROR(__xludf.DUMMYFUNCTION("""COMPUTED_VALUE"""),"-33.684361,-71.097893")</f>
        <v>-33.684361,-71.097893</v>
      </c>
      <c r="C385" s="6" t="str">
        <f ca="1">IFERROR(__xludf.DUMMYFUNCTION("""COMPUTED_VALUE"""),"CHIÑIGUE EL CRISTO S/N")</f>
        <v>CHIÑIGUE EL CRISTO S/N</v>
      </c>
      <c r="D385" s="6" t="str">
        <f ca="1">IFERROR(__xludf.DUMMYFUNCTION("""COMPUTED_VALUE"""),"EL MONTE")</f>
        <v>EL MONTE</v>
      </c>
    </row>
    <row r="386" spans="1:4">
      <c r="A386" s="7">
        <f ca="1">IFERROR(__xludf.DUMMYFUNCTION("""COMPUTED_VALUE"""),43941)</f>
        <v>43941</v>
      </c>
      <c r="B386" s="6" t="str">
        <f ca="1">IFERROR(__xludf.DUMMYFUNCTION("""COMPUTED_VALUE"""),"-33.684970,-71.097540")</f>
        <v>-33.684970,-71.097540</v>
      </c>
      <c r="C386" s="6" t="str">
        <f ca="1">IFERROR(__xludf.DUMMYFUNCTION("""COMPUTED_VALUE"""),"CHIÑIGUE EL CRISTO S/N")</f>
        <v>CHIÑIGUE EL CRISTO S/N</v>
      </c>
      <c r="D386" s="6" t="str">
        <f ca="1">IFERROR(__xludf.DUMMYFUNCTION("""COMPUTED_VALUE"""),"EL MONTE")</f>
        <v>EL MONTE</v>
      </c>
    </row>
    <row r="387" spans="1:4">
      <c r="A387" s="7">
        <f ca="1">IFERROR(__xludf.DUMMYFUNCTION("""COMPUTED_VALUE"""),43941)</f>
        <v>43941</v>
      </c>
      <c r="B387" s="6" t="str">
        <f ca="1">IFERROR(__xludf.DUMMYFUNCTION("""COMPUTED_VALUE"""),"-33.674290,-70.485320")</f>
        <v>-33.674290,-70.485320</v>
      </c>
      <c r="C387" s="6" t="str">
        <f ca="1">IFERROR(__xludf.DUMMYFUNCTION("""COMPUTED_VALUE"""),"LUISA PINTO 124")</f>
        <v>LUISA PINTO 124</v>
      </c>
      <c r="D387" s="6" t="str">
        <f ca="1">IFERROR(__xludf.DUMMYFUNCTION("""COMPUTED_VALUE"""),"EL MONTE")</f>
        <v>EL MONTE</v>
      </c>
    </row>
    <row r="388" spans="1:4">
      <c r="A388" s="7">
        <f ca="1">IFERROR(__xludf.DUMMYFUNCTION("""COMPUTED_VALUE"""),43942)</f>
        <v>43942</v>
      </c>
      <c r="B388" s="8" t="str">
        <f ca="1">IFERROR(__xludf.DUMMYFUNCTION("""COMPUTED_VALUE"""),"´-33.7775201,-70.7945553")</f>
        <v>´-33.7775201,-70.7945553</v>
      </c>
      <c r="C388" s="6" t="str">
        <f ca="1">IFERROR(__xludf.DUMMYFUNCTION("""COMPUTED_VALUE"""),"SAN JOSE ORIENTE 6400")</f>
        <v>SAN JOSE ORIENTE 6400</v>
      </c>
      <c r="D388" s="6" t="str">
        <f ca="1">IFERROR(__xludf.DUMMYFUNCTION("""COMPUTED_VALUE"""),"BUIN")</f>
        <v>BUIN</v>
      </c>
    </row>
    <row r="389" spans="1:4">
      <c r="A389" s="7">
        <f ca="1">IFERROR(__xludf.DUMMYFUNCTION("""COMPUTED_VALUE"""),43942)</f>
        <v>43942</v>
      </c>
      <c r="B389" s="8" t="str">
        <f ca="1">IFERROR(__xludf.DUMMYFUNCTION("""COMPUTED_VALUE"""),"-33.720254,-70.738288")</f>
        <v>-33.720254,-70.738288</v>
      </c>
      <c r="C389" s="6" t="str">
        <f ca="1">IFERROR(__xludf.DUMMYFUNCTION("""COMPUTED_VALUE"""),"PSJE GERMAN RIESCO 675")</f>
        <v>PSJE GERMAN RIESCO 675</v>
      </c>
      <c r="D389" s="6" t="str">
        <f ca="1">IFERROR(__xludf.DUMMYFUNCTION("""COMPUTED_VALUE"""),"BUIN")</f>
        <v>BUIN</v>
      </c>
    </row>
    <row r="390" spans="1:4">
      <c r="A390" s="7">
        <f ca="1">IFERROR(__xludf.DUMMYFUNCTION("""COMPUTED_VALUE"""),43942)</f>
        <v>43942</v>
      </c>
      <c r="B390" s="8" t="str">
        <f ca="1">IFERROR(__xludf.DUMMYFUNCTION("""COMPUTED_VALUE"""),"-33.720254,-70.738288")</f>
        <v>-33.720254,-70.738288</v>
      </c>
      <c r="C390" s="6" t="str">
        <f ca="1">IFERROR(__xludf.DUMMYFUNCTION("""COMPUTED_VALUE"""),"PSJE GERMAN RIESCO 677")</f>
        <v>PSJE GERMAN RIESCO 677</v>
      </c>
      <c r="D390" s="6" t="str">
        <f ca="1">IFERROR(__xludf.DUMMYFUNCTION("""COMPUTED_VALUE"""),"BUIN")</f>
        <v>BUIN</v>
      </c>
    </row>
    <row r="391" spans="1:4">
      <c r="A391" s="7">
        <f ca="1">IFERROR(__xludf.DUMMYFUNCTION("""COMPUTED_VALUE"""),43942)</f>
        <v>43942</v>
      </c>
      <c r="B391" s="8" t="str">
        <f ca="1">IFERROR(__xludf.DUMMYFUNCTION("""COMPUTED_VALUE"""),"-33.760536,-70.738506")</f>
        <v>-33.760536,-70.738506</v>
      </c>
      <c r="C391" s="6" t="str">
        <f ca="1">IFERROR(__xludf.DUMMYFUNCTION("""COMPUTED_VALUE"""),"LOS JACINTOS 160")</f>
        <v>LOS JACINTOS 160</v>
      </c>
      <c r="D391" s="6" t="str">
        <f ca="1">IFERROR(__xludf.DUMMYFUNCTION("""COMPUTED_VALUE"""),"BUIN")</f>
        <v>BUIN</v>
      </c>
    </row>
    <row r="392" spans="1:4">
      <c r="A392" s="7">
        <f ca="1">IFERROR(__xludf.DUMMYFUNCTION("""COMPUTED_VALUE"""),43942)</f>
        <v>43942</v>
      </c>
      <c r="B392" s="8" t="str">
        <f ca="1">IFERROR(__xludf.DUMMYFUNCTION("""COMPUTED_VALUE"""),"-33.722448,-70.743317")</f>
        <v>-33.722448,-70.743317</v>
      </c>
      <c r="C392" s="6" t="str">
        <f ca="1">IFERROR(__xludf.DUMMYFUNCTION("""COMPUTED_VALUE"""),"CARLOS STRUTZ 622")</f>
        <v>CARLOS STRUTZ 622</v>
      </c>
      <c r="D392" s="6" t="str">
        <f ca="1">IFERROR(__xludf.DUMMYFUNCTION("""COMPUTED_VALUE"""),"BUIN")</f>
        <v>BUIN</v>
      </c>
    </row>
    <row r="393" spans="1:4">
      <c r="A393" s="7">
        <f ca="1">IFERROR(__xludf.DUMMYFUNCTION("""COMPUTED_VALUE"""),43942)</f>
        <v>43942</v>
      </c>
      <c r="B393" s="8" t="str">
        <f ca="1">IFERROR(__xludf.DUMMYFUNCTION("""COMPUTED_VALUE"""),"-33.730533,-70.778623")</f>
        <v>-33.730533,-70.778623</v>
      </c>
      <c r="C393" s="6" t="str">
        <f ca="1">IFERROR(__xludf.DUMMYFUNCTION("""COMPUTED_VALUE"""),"LOS ALCONES 090 VILLA SANTA ISABEL")</f>
        <v>LOS ALCONES 090 VILLA SANTA ISABEL</v>
      </c>
      <c r="D393" s="6" t="str">
        <f ca="1">IFERROR(__xludf.DUMMYFUNCTION("""COMPUTED_VALUE"""),"BUIN")</f>
        <v>BUIN</v>
      </c>
    </row>
    <row r="394" spans="1:4">
      <c r="A394" s="7">
        <f ca="1">IFERROR(__xludf.DUMMYFUNCTION("""COMPUTED_VALUE"""),43942)</f>
        <v>43942</v>
      </c>
      <c r="B394" s="8" t="str">
        <f ca="1">IFERROR(__xludf.DUMMYFUNCTION("""COMPUTED_VALUE"""),"-33.726344,-70.773505")</f>
        <v>-33.726344,-70.773505</v>
      </c>
      <c r="C394" s="6" t="str">
        <f ca="1">IFERROR(__xludf.DUMMYFUNCTION("""COMPUTED_VALUE"""),"LOS MAGNOLIOS 429")</f>
        <v>LOS MAGNOLIOS 429</v>
      </c>
      <c r="D394" s="6" t="str">
        <f ca="1">IFERROR(__xludf.DUMMYFUNCTION("""COMPUTED_VALUE"""),"BUIN")</f>
        <v>BUIN</v>
      </c>
    </row>
    <row r="395" spans="1:4">
      <c r="A395" s="7">
        <f ca="1">IFERROR(__xludf.DUMMYFUNCTION("""COMPUTED_VALUE"""),43942)</f>
        <v>43942</v>
      </c>
      <c r="B395" s="8" t="str">
        <f ca="1">IFERROR(__xludf.DUMMYFUNCTION("""COMPUTED_VALUE"""),"-33.712948,-70.737331")</f>
        <v>-33.712948,-70.737331</v>
      </c>
      <c r="C395" s="6" t="str">
        <f ca="1">IFERROR(__xludf.DUMMYFUNCTION("""COMPUTED_VALUE"""),"LAS PABLERAS NUMERO 120")</f>
        <v>LAS PABLERAS NUMERO 120</v>
      </c>
      <c r="D395" s="6" t="str">
        <f ca="1">IFERROR(__xludf.DUMMYFUNCTION("""COMPUTED_VALUE"""),"BUIN")</f>
        <v>BUIN</v>
      </c>
    </row>
    <row r="396" spans="1:4">
      <c r="A396" s="7">
        <f ca="1">IFERROR(__xludf.DUMMYFUNCTION("""COMPUTED_VALUE"""),43942)</f>
        <v>43942</v>
      </c>
      <c r="B396" s="8" t="str">
        <f ca="1">IFERROR(__xludf.DUMMYFUNCTION("""COMPUTED_VALUE"""),"-33.720808,-70.736457")</f>
        <v>-33.720808,-70.736457</v>
      </c>
      <c r="C396" s="6" t="str">
        <f ca="1">IFERROR(__xludf.DUMMYFUNCTION("""COMPUTED_VALUE"""),"PSJE ALFREDO ECHAURREN 36")</f>
        <v>PSJE ALFREDO ECHAURREN 36</v>
      </c>
      <c r="D396" s="6" t="str">
        <f ca="1">IFERROR(__xludf.DUMMYFUNCTION("""COMPUTED_VALUE"""),"BUIN")</f>
        <v>BUIN</v>
      </c>
    </row>
    <row r="397" spans="1:4">
      <c r="A397" s="7">
        <f ca="1">IFERROR(__xludf.DUMMYFUNCTION("""COMPUTED_VALUE"""),43942)</f>
        <v>43942</v>
      </c>
      <c r="B397" s="8" t="str">
        <f ca="1">IFERROR(__xludf.DUMMYFUNCTION("""COMPUTED_VALUE"""),"-33.786715,-70.867934")</f>
        <v>-33.786715,-70.867934</v>
      </c>
      <c r="C397" s="6" t="str">
        <f ca="1">IFERROR(__xludf.DUMMYFUNCTION("""COMPUTED_VALUE"""),"CAMINO DE VALDIVIA DE PAINE 3450")</f>
        <v>CAMINO DE VALDIVIA DE PAINE 3450</v>
      </c>
      <c r="D397" s="6" t="str">
        <f ca="1">IFERROR(__xludf.DUMMYFUNCTION("""COMPUTED_VALUE"""),"BUIN")</f>
        <v>BUIN</v>
      </c>
    </row>
    <row r="398" spans="1:4">
      <c r="A398" s="7">
        <f ca="1">IFERROR(__xludf.DUMMYFUNCTION("""COMPUTED_VALUE"""),43942)</f>
        <v>43942</v>
      </c>
      <c r="B398" s="8" t="str">
        <f ca="1">IFERROR(__xludf.DUMMYFUNCTION("""COMPUTED_VALUE"""),"-33.7102028,-70.7393390")</f>
        <v>-33.7102028,-70.7393390</v>
      </c>
      <c r="C398" s="6" t="str">
        <f ca="1">IFERROR(__xludf.DUMMYFUNCTION("""COMPUTED_VALUE"""),"PASAJE LA TIERRA 01682")</f>
        <v>PASAJE LA TIERRA 01682</v>
      </c>
      <c r="D398" s="6" t="str">
        <f ca="1">IFERROR(__xludf.DUMMYFUNCTION("""COMPUTED_VALUE"""),"BUIN")</f>
        <v>BUIN</v>
      </c>
    </row>
    <row r="399" spans="1:4">
      <c r="A399" s="7">
        <f ca="1">IFERROR(__xludf.DUMMYFUNCTION("""COMPUTED_VALUE"""),43942)</f>
        <v>43942</v>
      </c>
      <c r="B399" s="6" t="str">
        <f ca="1">IFERROR(__xludf.DUMMYFUNCTION("""COMPUTED_VALUE"""),"-33.5468099-70.8791170")</f>
        <v>-33.5468099-70.8791170</v>
      </c>
      <c r="C399" s="6" t="str">
        <f ca="1">IFERROR(__xludf.DUMMYFUNCTION("""COMPUTED_VALUE"""),"LOS PAJARITOS 2612")</f>
        <v>LOS PAJARITOS 2612</v>
      </c>
      <c r="D399" s="6" t="str">
        <f ca="1">IFERROR(__xludf.DUMMYFUNCTION("""COMPUTED_VALUE"""),"PEÑAFLOR")</f>
        <v>PEÑAFLOR</v>
      </c>
    </row>
    <row r="400" spans="1:4">
      <c r="A400" s="7">
        <f ca="1">IFERROR(__xludf.DUMMYFUNCTION("""COMPUTED_VALUE"""),43942)</f>
        <v>43942</v>
      </c>
      <c r="B400" s="6" t="str">
        <f ca="1">IFERROR(__xludf.DUMMYFUNCTION("""COMPUTED_VALUE"""),"-33.5975757-70.8826612")</f>
        <v>-33.5975757-70.8826612</v>
      </c>
      <c r="C400" s="6" t="str">
        <f ca="1">IFERROR(__xludf.DUMMYFUNCTION("""COMPUTED_VALUE"""),"PASAJE UNO 64")</f>
        <v>PASAJE UNO 64</v>
      </c>
      <c r="D400" s="6" t="str">
        <f ca="1">IFERROR(__xludf.DUMMYFUNCTION("""COMPUTED_VALUE"""),"PEÑAFLOR")</f>
        <v>PEÑAFLOR</v>
      </c>
    </row>
    <row r="401" spans="1:4">
      <c r="A401" s="7">
        <f ca="1">IFERROR(__xludf.DUMMYFUNCTION("""COMPUTED_VALUE"""),43942)</f>
        <v>43942</v>
      </c>
      <c r="B401" s="6" t="str">
        <f ca="1">IFERROR(__xludf.DUMMYFUNCTION("""COMPUTED_VALUE"""),"-33.6028-70.8822")</f>
        <v>-33.6028-70.8822</v>
      </c>
      <c r="C401" s="6" t="str">
        <f ca="1">IFERROR(__xludf.DUMMYFUNCTION("""COMPUTED_VALUE"""),"SIETE ORIENTE 636")</f>
        <v>SIETE ORIENTE 636</v>
      </c>
      <c r="D401" s="6" t="str">
        <f ca="1">IFERROR(__xludf.DUMMYFUNCTION("""COMPUTED_VALUE"""),"PEÑAFLOR")</f>
        <v>PEÑAFLOR</v>
      </c>
    </row>
    <row r="402" spans="1:4">
      <c r="A402" s="7">
        <f ca="1">IFERROR(__xludf.DUMMYFUNCTION("""COMPUTED_VALUE"""),43942)</f>
        <v>43942</v>
      </c>
      <c r="B402" s="6" t="str">
        <f ca="1">IFERROR(__xludf.DUMMYFUNCTION("""COMPUTED_VALUE"""),"-33.601547-70.889243")</f>
        <v>-33.601547-70.889243</v>
      </c>
      <c r="C402" s="6" t="str">
        <f ca="1">IFERROR(__xludf.DUMMYFUNCTION("""COMPUTED_VALUE"""),"LOS TILOS 161")</f>
        <v>LOS TILOS 161</v>
      </c>
      <c r="D402" s="6" t="str">
        <f ca="1">IFERROR(__xludf.DUMMYFUNCTION("""COMPUTED_VALUE"""),"PEÑAFLOR")</f>
        <v>PEÑAFLOR</v>
      </c>
    </row>
    <row r="403" spans="1:4">
      <c r="A403" s="7">
        <f ca="1">IFERROR(__xludf.DUMMYFUNCTION("""COMPUTED_VALUE"""),43942)</f>
        <v>43942</v>
      </c>
      <c r="B403" s="6" t="str">
        <f ca="1">IFERROR(__xludf.DUMMYFUNCTION("""COMPUTED_VALUE"""),"-33.601756-70.859818")</f>
        <v>-33.601756-70.859818</v>
      </c>
      <c r="C403" s="6" t="str">
        <f ca="1">IFERROR(__xludf.DUMMYFUNCTION("""COMPUTED_VALUE"""),"LOS OLEANDROS 782 CASA 6")</f>
        <v>LOS OLEANDROS 782 CASA 6</v>
      </c>
      <c r="D403" s="6" t="str">
        <f ca="1">IFERROR(__xludf.DUMMYFUNCTION("""COMPUTED_VALUE"""),"PEÑAFLOR")</f>
        <v>PEÑAFLOR</v>
      </c>
    </row>
    <row r="404" spans="1:4">
      <c r="A404" s="7">
        <f ca="1">IFERROR(__xludf.DUMMYFUNCTION("""COMPUTED_VALUE"""),43942)</f>
        <v>43942</v>
      </c>
      <c r="B404" s="6" t="str">
        <f ca="1">IFERROR(__xludf.DUMMYFUNCTION("""COMPUTED_VALUE"""),"-33.612589-70.899436")</f>
        <v>-33.612589-70.899436</v>
      </c>
      <c r="C404" s="6" t="str">
        <f ca="1">IFERROR(__xludf.DUMMYFUNCTION("""COMPUTED_VALUE"""),"SANTIAGO BUERAS 97")</f>
        <v>SANTIAGO BUERAS 97</v>
      </c>
      <c r="D404" s="6" t="str">
        <f ca="1">IFERROR(__xludf.DUMMYFUNCTION("""COMPUTED_VALUE"""),"PEÑAFLOR")</f>
        <v>PEÑAFLOR</v>
      </c>
    </row>
    <row r="405" spans="1:4">
      <c r="A405" s="7">
        <f ca="1">IFERROR(__xludf.DUMMYFUNCTION("""COMPUTED_VALUE"""),43942)</f>
        <v>43942</v>
      </c>
      <c r="B405" s="6" t="str">
        <f ca="1">IFERROR(__xludf.DUMMYFUNCTION("""COMPUTED_VALUE"""),"-33.604498-70.904773")</f>
        <v>-33.604498-70.904773</v>
      </c>
      <c r="C405" s="6" t="str">
        <f ca="1">IFERROR(__xludf.DUMMYFUNCTION("""COMPUTED_VALUE"""),"PASAJE LUCERO 694")</f>
        <v>PASAJE LUCERO 694</v>
      </c>
      <c r="D405" s="6" t="str">
        <f ca="1">IFERROR(__xludf.DUMMYFUNCTION("""COMPUTED_VALUE"""),"PEÑAFLOR")</f>
        <v>PEÑAFLOR</v>
      </c>
    </row>
    <row r="406" spans="1:4">
      <c r="A406" s="7">
        <f ca="1">IFERROR(__xludf.DUMMYFUNCTION("""COMPUTED_VALUE"""),43942)</f>
        <v>43942</v>
      </c>
      <c r="B406" s="6" t="str">
        <f ca="1">IFERROR(__xludf.DUMMYFUNCTION("""COMPUTED_VALUE"""),"-33.235035-70.805842")</f>
        <v>-33.235035-70.805842</v>
      </c>
      <c r="C406" s="6" t="str">
        <f ca="1">IFERROR(__xludf.DUMMYFUNCTION("""COMPUTED_VALUE"""),"BALMACEDA MANZ 17 SITIO 43")</f>
        <v>BALMACEDA MANZ 17 SITIO 43</v>
      </c>
      <c r="D406" s="6" t="str">
        <f ca="1">IFERROR(__xludf.DUMMYFUNCTION("""COMPUTED_VALUE"""),"LAMPA")</f>
        <v>LAMPA</v>
      </c>
    </row>
    <row r="407" spans="1:4">
      <c r="A407" s="7">
        <f ca="1">IFERROR(__xludf.DUMMYFUNCTION("""COMPUTED_VALUE"""),43942)</f>
        <v>43942</v>
      </c>
      <c r="B407" s="6" t="str">
        <f ca="1">IFERROR(__xludf.DUMMYFUNCTION("""COMPUTED_VALUE"""),"-33.23741-70.809704")</f>
        <v>-33.23741-70.809704</v>
      </c>
      <c r="C407" s="6" t="str">
        <f ca="1">IFERROR(__xludf.DUMMYFUNCTION("""COMPUTED_VALUE"""),"INGLATERRA 189")</f>
        <v>INGLATERRA 189</v>
      </c>
      <c r="D407" s="6" t="str">
        <f ca="1">IFERROR(__xludf.DUMMYFUNCTION("""COMPUTED_VALUE"""),"LAMPA")</f>
        <v>LAMPA</v>
      </c>
    </row>
    <row r="408" spans="1:4">
      <c r="A408" s="7">
        <f ca="1">IFERROR(__xludf.DUMMYFUNCTION("""COMPUTED_VALUE"""),43942)</f>
        <v>43942</v>
      </c>
      <c r="B408" s="6" t="str">
        <f ca="1">IFERROR(__xludf.DUMMYFUNCTION("""COMPUTED_VALUE"""),"-33.184124,-70.672301")</f>
        <v>-33.184124,-70.672301</v>
      </c>
      <c r="C408" s="6" t="str">
        <f ca="1">IFERROR(__xludf.DUMMYFUNCTION("""COMPUTED_VALUE"""),"PJE ESTHER HUNEEUS DE CLARO 2113")</f>
        <v>PJE ESTHER HUNEEUS DE CLARO 2113</v>
      </c>
      <c r="D408" s="6" t="str">
        <f ca="1">IFERROR(__xludf.DUMMYFUNCTION("""COMPUTED_VALUE"""),"COLINA")</f>
        <v>COLINA</v>
      </c>
    </row>
    <row r="409" spans="1:4">
      <c r="A409" s="7">
        <f ca="1">IFERROR(__xludf.DUMMYFUNCTION("""COMPUTED_VALUE"""),43942)</f>
        <v>43942</v>
      </c>
      <c r="B409" s="6" t="str">
        <f ca="1">IFERROR(__xludf.DUMMYFUNCTION("""COMPUTED_VALUE"""),"-33.194374,-70.672063")</f>
        <v>-33.194374,-70.672063</v>
      </c>
      <c r="C409" s="6" t="str">
        <f ca="1">IFERROR(__xludf.DUMMYFUNCTION("""COMPUTED_VALUE"""),"EL ARCANGEL N° 1018")</f>
        <v>EL ARCANGEL N° 1018</v>
      </c>
      <c r="D409" s="6" t="str">
        <f ca="1">IFERROR(__xludf.DUMMYFUNCTION("""COMPUTED_VALUE"""),"COLINA")</f>
        <v>COLINA</v>
      </c>
    </row>
    <row r="410" spans="1:4">
      <c r="A410" s="7">
        <f ca="1">IFERROR(__xludf.DUMMYFUNCTION("""COMPUTED_VALUE"""),43942)</f>
        <v>43942</v>
      </c>
      <c r="B410" s="6" t="str">
        <f ca="1">IFERROR(__xludf.DUMMYFUNCTION("""COMPUTED_VALUE"""),"-33.211576,-70.676571")</f>
        <v>-33.211576,-70.676571</v>
      </c>
      <c r="C410" s="6" t="str">
        <f ca="1">IFERROR(__xludf.DUMMYFUNCTION("""COMPUTED_VALUE"""),"LOS CALIGUES A N° 0337")</f>
        <v>LOS CALIGUES A N° 0337</v>
      </c>
      <c r="D410" s="6" t="str">
        <f ca="1">IFERROR(__xludf.DUMMYFUNCTION("""COMPUTED_VALUE"""),"COLINA")</f>
        <v>COLINA</v>
      </c>
    </row>
    <row r="411" spans="1:4">
      <c r="A411" s="7">
        <f ca="1">IFERROR(__xludf.DUMMYFUNCTION("""COMPUTED_VALUE"""),43942)</f>
        <v>43942</v>
      </c>
      <c r="B411" s="6" t="str">
        <f ca="1">IFERROR(__xludf.DUMMYFUNCTION("""COMPUTED_VALUE"""),"-33.205876,-70.669178")</f>
        <v>-33.205876,-70.669178</v>
      </c>
      <c r="C411" s="6" t="str">
        <f ca="1">IFERROR(__xludf.DUMMYFUNCTION("""COMPUTED_VALUE"""),"M. COLLINS 100")</f>
        <v>M. COLLINS 100</v>
      </c>
      <c r="D411" s="6" t="str">
        <f ca="1">IFERROR(__xludf.DUMMYFUNCTION("""COMPUTED_VALUE"""),"COLINA")</f>
        <v>COLINA</v>
      </c>
    </row>
    <row r="412" spans="1:4">
      <c r="A412" s="7">
        <f ca="1">IFERROR(__xludf.DUMMYFUNCTION("""COMPUTED_VALUE"""),43942)</f>
        <v>43942</v>
      </c>
      <c r="B412" s="6" t="str">
        <f ca="1">IFERROR(__xludf.DUMMYFUNCTION("""COMPUTED_VALUE"""),"-33.682961,-70.994048")</f>
        <v>-33.682961,-70.994048</v>
      </c>
      <c r="C412" s="6" t="str">
        <f ca="1">IFERROR(__xludf.DUMMYFUNCTION("""COMPUTED_VALUE"""),"LATORRE 753")</f>
        <v>LATORRE 753</v>
      </c>
      <c r="D412" s="6" t="str">
        <f ca="1">IFERROR(__xludf.DUMMYFUNCTION("""COMPUTED_VALUE"""),"EL MONTE")</f>
        <v>EL MONTE</v>
      </c>
    </row>
    <row r="413" spans="1:4">
      <c r="A413" s="7">
        <f ca="1">IFERROR(__xludf.DUMMYFUNCTION("""COMPUTED_VALUE"""),43942)</f>
        <v>43942</v>
      </c>
      <c r="B413" s="6" t="str">
        <f ca="1">IFERROR(__xludf.DUMMYFUNCTION("""COMPUTED_VALUE"""),"-33.686024,-71.020417")</f>
        <v>-33.686024,-71.020417</v>
      </c>
      <c r="C413" s="6" t="str">
        <f ca="1">IFERROR(__xludf.DUMMYFUNCTION("""COMPUTED_VALUE"""),"PJ CENTRAL 42")</f>
        <v>PJ CENTRAL 42</v>
      </c>
      <c r="D413" s="6" t="str">
        <f ca="1">IFERROR(__xludf.DUMMYFUNCTION("""COMPUTED_VALUE"""),"EL MONTE")</f>
        <v>EL MONTE</v>
      </c>
    </row>
    <row r="414" spans="1:4">
      <c r="A414" s="7">
        <f ca="1">IFERROR(__xludf.DUMMYFUNCTION("""COMPUTED_VALUE"""),43942)</f>
        <v>43942</v>
      </c>
      <c r="B414" s="6" t="str">
        <f ca="1">IFERROR(__xludf.DUMMYFUNCTION("""COMPUTED_VALUE"""),"-33.674719,-70.985429")</f>
        <v>-33.674719,-70.985429</v>
      </c>
      <c r="C414" s="6" t="str">
        <f ca="1">IFERROR(__xludf.DUMMYFUNCTION("""COMPUTED_VALUE"""),"SAN MIGUEL 488-A")</f>
        <v>SAN MIGUEL 488-A</v>
      </c>
      <c r="D414" s="6" t="str">
        <f ca="1">IFERROR(__xludf.DUMMYFUNCTION("""COMPUTED_VALUE"""),"EL MONTE")</f>
        <v>EL MONTE</v>
      </c>
    </row>
    <row r="415" spans="1:4">
      <c r="A415" s="7">
        <f ca="1">IFERROR(__xludf.DUMMYFUNCTION("""COMPUTED_VALUE"""),43942)</f>
        <v>43942</v>
      </c>
      <c r="B415" s="6" t="str">
        <f ca="1">IFERROR(__xludf.DUMMYFUNCTION("""COMPUTED_VALUE"""),"-33.678390,-70.983881")</f>
        <v>-33.678390,-70.983881</v>
      </c>
      <c r="C415" s="6" t="str">
        <f ca="1">IFERROR(__xludf.DUMMYFUNCTION("""COMPUTED_VALUE"""),"LOS CARRERA CASA 6")</f>
        <v>LOS CARRERA CASA 6</v>
      </c>
      <c r="D415" s="6" t="str">
        <f ca="1">IFERROR(__xludf.DUMMYFUNCTION("""COMPUTED_VALUE"""),"EL MONTE")</f>
        <v>EL MONTE</v>
      </c>
    </row>
    <row r="416" spans="1:4">
      <c r="A416" s="7">
        <f ca="1">IFERROR(__xludf.DUMMYFUNCTION("""COMPUTED_VALUE"""),43943)</f>
        <v>43943</v>
      </c>
      <c r="B416" s="8" t="str">
        <f ca="1">IFERROR(__xludf.DUMMYFUNCTION("""COMPUTED_VALUE"""),"-33.723547,-70.738189")</f>
        <v>-33.723547,-70.738189</v>
      </c>
      <c r="C416" s="6" t="str">
        <f ca="1">IFERROR(__xludf.DUMMYFUNCTION("""COMPUTED_VALUE"""),"AV EL BOSQUE 063")</f>
        <v>AV EL BOSQUE 063</v>
      </c>
      <c r="D416" s="6" t="str">
        <f ca="1">IFERROR(__xludf.DUMMYFUNCTION("""COMPUTED_VALUE"""),"BUIN")</f>
        <v>BUIN</v>
      </c>
    </row>
    <row r="417" spans="1:4">
      <c r="A417" s="7">
        <f ca="1">IFERROR(__xludf.DUMMYFUNCTION("""COMPUTED_VALUE"""),43943)</f>
        <v>43943</v>
      </c>
      <c r="B417" s="8" t="str">
        <f ca="1">IFERROR(__xludf.DUMMYFUNCTION("""COMPUTED_VALUE"""),"-33.724481,-70.735426")</f>
        <v>-33.724481,-70.735426</v>
      </c>
      <c r="C417" s="6" t="str">
        <f ca="1">IFERROR(__xludf.DUMMYFUNCTION("""COMPUTED_VALUE"""),"NORA BETANCOURT 0191")</f>
        <v>NORA BETANCOURT 0191</v>
      </c>
      <c r="D417" s="6" t="str">
        <f ca="1">IFERROR(__xludf.DUMMYFUNCTION("""COMPUTED_VALUE"""),"BUIN")</f>
        <v>BUIN</v>
      </c>
    </row>
    <row r="418" spans="1:4">
      <c r="A418" s="7">
        <f ca="1">IFERROR(__xludf.DUMMYFUNCTION("""COMPUTED_VALUE"""),43943)</f>
        <v>43943</v>
      </c>
      <c r="B418" s="8" t="str">
        <f ca="1">IFERROR(__xludf.DUMMYFUNCTION("""COMPUTED_VALUE"""),"´-33.780332,-70.814160")</f>
        <v>´-33.780332,-70.814160</v>
      </c>
      <c r="C418" s="6" t="str">
        <f ca="1">IFERROR(__xludf.DUMMYFUNCTION("""COMPUTED_VALUE"""),"CAMPOSANO 288 PC")</f>
        <v>CAMPOSANO 288 PC</v>
      </c>
      <c r="D418" s="6" t="str">
        <f ca="1">IFERROR(__xludf.DUMMYFUNCTION("""COMPUTED_VALUE"""),"BUIN")</f>
        <v>BUIN</v>
      </c>
    </row>
    <row r="419" spans="1:4">
      <c r="A419" s="7">
        <f ca="1">IFERROR(__xludf.DUMMYFUNCTION("""COMPUTED_VALUE"""),43943)</f>
        <v>43943</v>
      </c>
      <c r="B419" s="8" t="str">
        <f ca="1">IFERROR(__xludf.DUMMYFUNCTION("""COMPUTED_VALUE"""),"-33.722800, -70.737919")</f>
        <v>-33.722800, -70.737919</v>
      </c>
      <c r="C419" s="6" t="str">
        <f ca="1">IFERROR(__xludf.DUMMYFUNCTION("""COMPUTED_VALUE"""),"FRANCISCO CAMPO RIPLEY 134")</f>
        <v>FRANCISCO CAMPO RIPLEY 134</v>
      </c>
      <c r="D419" s="6" t="str">
        <f ca="1">IFERROR(__xludf.DUMMYFUNCTION("""COMPUTED_VALUE"""),"BUIN")</f>
        <v>BUIN</v>
      </c>
    </row>
    <row r="420" spans="1:4">
      <c r="A420" s="7">
        <f ca="1">IFERROR(__xludf.DUMMYFUNCTION("""COMPUTED_VALUE"""),43943)</f>
        <v>43943</v>
      </c>
      <c r="B420" s="8" t="str">
        <f ca="1">IFERROR(__xludf.DUMMYFUNCTION("""COMPUTED_VALUE"""),"-33.714014,-70.737005")</f>
        <v>-33.714014,-70.737005</v>
      </c>
      <c r="C420" s="6" t="str">
        <f ca="1">IFERROR(__xludf.DUMMYFUNCTION("""COMPUTED_VALUE"""),"LA COORDINADORA 01420")</f>
        <v>LA COORDINADORA 01420</v>
      </c>
      <c r="D420" s="6" t="str">
        <f ca="1">IFERROR(__xludf.DUMMYFUNCTION("""COMPUTED_VALUE"""),"BUIN")</f>
        <v>BUIN</v>
      </c>
    </row>
    <row r="421" spans="1:4">
      <c r="A421" s="7">
        <f ca="1">IFERROR(__xludf.DUMMYFUNCTION("""COMPUTED_VALUE"""),43943)</f>
        <v>43943</v>
      </c>
      <c r="B421" s="8" t="str">
        <f ca="1">IFERROR(__xludf.DUMMYFUNCTION("""COMPUTED_VALUE"""),"-33.781201,-70.814296")</f>
        <v>-33.781201,-70.814296</v>
      </c>
      <c r="C421" s="6" t="str">
        <f ca="1">IFERROR(__xludf.DUMMYFUNCTION("""COMPUTED_VALUE"""),"CAMPUSANO 9B SITIO 20 A")</f>
        <v>CAMPUSANO 9B SITIO 20 A</v>
      </c>
      <c r="D421" s="6" t="str">
        <f ca="1">IFERROR(__xludf.DUMMYFUNCTION("""COMPUTED_VALUE"""),"BUIN")</f>
        <v>BUIN</v>
      </c>
    </row>
    <row r="422" spans="1:4">
      <c r="A422" s="7">
        <f ca="1">IFERROR(__xludf.DUMMYFUNCTION("""COMPUTED_VALUE"""),43943)</f>
        <v>43943</v>
      </c>
      <c r="B422" s="8" t="str">
        <f ca="1">IFERROR(__xludf.DUMMYFUNCTION("""COMPUTED_VALUE"""),"-33.78129,-70.814296")</f>
        <v>-33.78129,-70.814296</v>
      </c>
      <c r="C422" s="6" t="str">
        <f ca="1">IFERROR(__xludf.DUMMYFUNCTION("""COMPUTED_VALUE"""),"CAMPUSANO 9B SITIO 20 A")</f>
        <v>CAMPUSANO 9B SITIO 20 A</v>
      </c>
      <c r="D422" s="6" t="str">
        <f ca="1">IFERROR(__xludf.DUMMYFUNCTION("""COMPUTED_VALUE"""),"BUIN")</f>
        <v>BUIN</v>
      </c>
    </row>
    <row r="423" spans="1:4">
      <c r="A423" s="7">
        <f ca="1">IFERROR(__xludf.DUMMYFUNCTION("""COMPUTED_VALUE"""),43943)</f>
        <v>43943</v>
      </c>
      <c r="B423" s="8" t="str">
        <f ca="1">IFERROR(__xludf.DUMMYFUNCTION("""COMPUTED_VALUE"""),"-33.780117,-70.814332")</f>
        <v>-33.780117,-70.814332</v>
      </c>
      <c r="C423" s="6" t="str">
        <f ca="1">IFERROR(__xludf.DUMMYFUNCTION("""COMPUTED_VALUE"""),"CAMPUSANO 9B NUMERO 2A")</f>
        <v>CAMPUSANO 9B NUMERO 2A</v>
      </c>
      <c r="D423" s="6" t="str">
        <f ca="1">IFERROR(__xludf.DUMMYFUNCTION("""COMPUTED_VALUE"""),"BUIN")</f>
        <v>BUIN</v>
      </c>
    </row>
    <row r="424" spans="1:4">
      <c r="A424" s="7">
        <f ca="1">IFERROR(__xludf.DUMMYFUNCTION("""COMPUTED_VALUE"""),43943)</f>
        <v>43943</v>
      </c>
      <c r="B424" s="8" t="str">
        <f ca="1">IFERROR(__xludf.DUMMYFUNCTION("""COMPUTED_VALUE"""),"-33.661762,-70-814596")</f>
        <v>-33.661762,-70-814596</v>
      </c>
      <c r="C424" s="6" t="str">
        <f ca="1">IFERROR(__xludf.DUMMYFUNCTION("""COMPUTED_VALUE"""),"LOS CURACAS 8688 LOTE 1")</f>
        <v>LOS CURACAS 8688 LOTE 1</v>
      </c>
      <c r="D424" s="6" t="str">
        <f ca="1">IFERROR(__xludf.DUMMYFUNCTION("""COMPUTED_VALUE"""),"TALAGANTE")</f>
        <v>TALAGANTE</v>
      </c>
    </row>
    <row r="425" spans="1:4">
      <c r="A425" s="7">
        <f ca="1">IFERROR(__xludf.DUMMYFUNCTION("""COMPUTED_VALUE"""),43943)</f>
        <v>43943</v>
      </c>
      <c r="B425" s="6" t="str">
        <f ca="1">IFERROR(__xludf.DUMMYFUNCTION("""COMPUTED_VALUE"""),"-33.6006755-70.8878690")</f>
        <v>-33.6006755-70.8878690</v>
      </c>
      <c r="C425" s="6" t="str">
        <f ca="1">IFERROR(__xludf.DUMMYFUNCTION("""COMPUTED_VALUE"""),"DIEZ PONIENTE 651")</f>
        <v>DIEZ PONIENTE 651</v>
      </c>
      <c r="D425" s="6" t="str">
        <f ca="1">IFERROR(__xludf.DUMMYFUNCTION("""COMPUTED_VALUE"""),"PEÑAFLOR")</f>
        <v>PEÑAFLOR</v>
      </c>
    </row>
    <row r="426" spans="1:4">
      <c r="A426" s="7">
        <f ca="1">IFERROR(__xludf.DUMMYFUNCTION("""COMPUTED_VALUE"""),43943)</f>
        <v>43943</v>
      </c>
      <c r="B426" s="6" t="str">
        <f ca="1">IFERROR(__xludf.DUMMYFUNCTION("""COMPUTED_VALUE"""),"-33.282428- 70.872595")</f>
        <v>-33.282428- 70.872595</v>
      </c>
      <c r="C426" s="6" t="str">
        <f ca="1">IFERROR(__xludf.DUMMYFUNCTION("""COMPUTED_VALUE"""),"JUAN DE DIOS MARTICORENA C-2 S- 3")</f>
        <v>JUAN DE DIOS MARTICORENA C-2 S- 3</v>
      </c>
      <c r="D426" s="6" t="str">
        <f ca="1">IFERROR(__xludf.DUMMYFUNCTION("""COMPUTED_VALUE"""),"LAMPA")</f>
        <v>LAMPA</v>
      </c>
    </row>
    <row r="427" spans="1:4">
      <c r="A427" s="7">
        <f ca="1">IFERROR(__xludf.DUMMYFUNCTION("""COMPUTED_VALUE"""),43943)</f>
        <v>43943</v>
      </c>
      <c r="B427" s="6" t="str">
        <f ca="1">IFERROR(__xludf.DUMMYFUNCTION("""COMPUTED_VALUE"""),"-33.282428- 70.872595")</f>
        <v>-33.282428- 70.872595</v>
      </c>
      <c r="C427" s="6" t="str">
        <f ca="1">IFERROR(__xludf.DUMMYFUNCTION("""COMPUTED_VALUE"""),"JUAN DE DIOS MARTICORENA C-2 S- 3")</f>
        <v>JUAN DE DIOS MARTICORENA C-2 S- 3</v>
      </c>
      <c r="D427" s="6" t="str">
        <f ca="1">IFERROR(__xludf.DUMMYFUNCTION("""COMPUTED_VALUE"""),"LAMPA")</f>
        <v>LAMPA</v>
      </c>
    </row>
    <row r="428" spans="1:4">
      <c r="A428" s="7">
        <f ca="1">IFERROR(__xludf.DUMMYFUNCTION("""COMPUTED_VALUE"""),43943)</f>
        <v>43943</v>
      </c>
      <c r="B428" s="6" t="str">
        <f ca="1">IFERROR(__xludf.DUMMYFUNCTION("""COMPUTED_VALUE"""),"-33.612194-70.867848")</f>
        <v>-33.612194-70.867848</v>
      </c>
      <c r="C428" s="6" t="str">
        <f ca="1">IFERROR(__xludf.DUMMYFUNCTION("""COMPUTED_VALUE"""),"CALLE TRES 972")</f>
        <v>CALLE TRES 972</v>
      </c>
      <c r="D428" s="6" t="str">
        <f ca="1">IFERROR(__xludf.DUMMYFUNCTION("""COMPUTED_VALUE"""),"PEÑAFLOR")</f>
        <v>PEÑAFLOR</v>
      </c>
    </row>
    <row r="429" spans="1:4">
      <c r="A429" s="7">
        <f ca="1">IFERROR(__xludf.DUMMYFUNCTION("""COMPUTED_VALUE"""),43943)</f>
        <v>43943</v>
      </c>
      <c r="B429" s="6" t="str">
        <f ca="1">IFERROR(__xludf.DUMMYFUNCTION("""COMPUTED_VALUE"""),"-33.60637984-70.865101")</f>
        <v>-33.60637984-70.865101</v>
      </c>
      <c r="C429" s="6" t="str">
        <f ca="1">IFERROR(__xludf.DUMMYFUNCTION("""COMPUTED_VALUE"""),"FRAY JORGE 796")</f>
        <v>FRAY JORGE 796</v>
      </c>
      <c r="D429" s="6" t="str">
        <f ca="1">IFERROR(__xludf.DUMMYFUNCTION("""COMPUTED_VALUE"""),"PEÑAFLOR")</f>
        <v>PEÑAFLOR</v>
      </c>
    </row>
    <row r="430" spans="1:4">
      <c r="A430" s="7">
        <f ca="1">IFERROR(__xludf.DUMMYFUNCTION("""COMPUTED_VALUE"""),43943)</f>
        <v>43943</v>
      </c>
      <c r="B430" s="6" t="str">
        <f ca="1">IFERROR(__xludf.DUMMYFUNCTION("""COMPUTED_VALUE"""),"-33.601895-70.890523")</f>
        <v>-33.601895-70.890523</v>
      </c>
      <c r="C430" s="6" t="str">
        <f ca="1">IFERROR(__xludf.DUMMYFUNCTION("""COMPUTED_VALUE"""),"PASAJE RIALTO 3807")</f>
        <v>PASAJE RIALTO 3807</v>
      </c>
      <c r="D430" s="6" t="str">
        <f ca="1">IFERROR(__xludf.DUMMYFUNCTION("""COMPUTED_VALUE"""),"PEÑAFLOR")</f>
        <v>PEÑAFLOR</v>
      </c>
    </row>
    <row r="431" spans="1:4">
      <c r="A431" s="7">
        <f ca="1">IFERROR(__xludf.DUMMYFUNCTION("""COMPUTED_VALUE"""),43943)</f>
        <v>43943</v>
      </c>
      <c r="B431" s="6" t="str">
        <f ca="1">IFERROR(__xludf.DUMMYFUNCTION("""COMPUTED_VALUE"""),"-33.605673-70.888205")</f>
        <v>-33.605673-70.888205</v>
      </c>
      <c r="C431" s="6" t="str">
        <f ca="1">IFERROR(__xludf.DUMMYFUNCTION("""COMPUTED_VALUE"""),"PASAJE AGUAS CLARAS 978")</f>
        <v>PASAJE AGUAS CLARAS 978</v>
      </c>
      <c r="D431" s="6" t="str">
        <f ca="1">IFERROR(__xludf.DUMMYFUNCTION("""COMPUTED_VALUE"""),"PEÑAFLOR")</f>
        <v>PEÑAFLOR</v>
      </c>
    </row>
    <row r="432" spans="1:4">
      <c r="A432" s="7">
        <f ca="1">IFERROR(__xludf.DUMMYFUNCTION("""COMPUTED_VALUE"""),43943)</f>
        <v>43943</v>
      </c>
      <c r="B432" s="6" t="str">
        <f ca="1">IFERROR(__xludf.DUMMYFUNCTION("""COMPUTED_VALUE"""),"-33.604573-70.905064")</f>
        <v>-33.604573-70.905064</v>
      </c>
      <c r="C432" s="6" t="str">
        <f ca="1">IFERROR(__xludf.DUMMYFUNCTION("""COMPUTED_VALUE"""),"PASAJE LUCERO 553")</f>
        <v>PASAJE LUCERO 553</v>
      </c>
      <c r="D432" s="6" t="str">
        <f ca="1">IFERROR(__xludf.DUMMYFUNCTION("""COMPUTED_VALUE"""),"PEÑAFLOR")</f>
        <v>PEÑAFLOR</v>
      </c>
    </row>
    <row r="433" spans="1:4">
      <c r="A433" s="7">
        <f ca="1">IFERROR(__xludf.DUMMYFUNCTION("""COMPUTED_VALUE"""),43943)</f>
        <v>43943</v>
      </c>
      <c r="B433" s="6" t="str">
        <f ca="1">IFERROR(__xludf.DUMMYFUNCTION("""COMPUTED_VALUE"""),"-33.604722-70.05032")</f>
        <v>-33.604722-70.05032</v>
      </c>
      <c r="C433" s="6" t="str">
        <f ca="1">IFERROR(__xludf.DUMMYFUNCTION("""COMPUTED_VALUE"""),"PASAJE LUCERO 543")</f>
        <v>PASAJE LUCERO 543</v>
      </c>
      <c r="D433" s="6" t="str">
        <f ca="1">IFERROR(__xludf.DUMMYFUNCTION("""COMPUTED_VALUE"""),"PEÑAFLOR")</f>
        <v>PEÑAFLOR</v>
      </c>
    </row>
    <row r="434" spans="1:4">
      <c r="A434" s="7">
        <f ca="1">IFERROR(__xludf.DUMMYFUNCTION("""COMPUTED_VALUE"""),43943)</f>
        <v>43943</v>
      </c>
      <c r="B434" s="6" t="str">
        <f ca="1">IFERROR(__xludf.DUMMYFUNCTION("""COMPUTED_VALUE"""),"-33.674382,-70.986642")</f>
        <v>-33.674382,-70.986642</v>
      </c>
      <c r="C434" s="6" t="str">
        <f ca="1">IFERROR(__xludf.DUMMYFUNCTION("""COMPUTED_VALUE"""),"LA ESTACION 456")</f>
        <v>LA ESTACION 456</v>
      </c>
      <c r="D434" s="6" t="str">
        <f ca="1">IFERROR(__xludf.DUMMYFUNCTION("""COMPUTED_VALUE"""),"EL MONTE")</f>
        <v>EL MONTE</v>
      </c>
    </row>
    <row r="435" spans="1:4">
      <c r="A435" s="7">
        <f ca="1">IFERROR(__xludf.DUMMYFUNCTION("""COMPUTED_VALUE"""),43943)</f>
        <v>43943</v>
      </c>
      <c r="B435" s="6" t="str">
        <f ca="1">IFERROR(__xludf.DUMMYFUNCTION("""COMPUTED_VALUE"""),"-33.685996,-71.010278")</f>
        <v>-33.685996,-71.010278</v>
      </c>
      <c r="C435" s="6" t="str">
        <f ca="1">IFERROR(__xludf.DUMMYFUNCTION("""COMPUTED_VALUE"""),"MIGUEL MOREIRA S/N")</f>
        <v>MIGUEL MOREIRA S/N</v>
      </c>
      <c r="D435" s="6" t="str">
        <f ca="1">IFERROR(__xludf.DUMMYFUNCTION("""COMPUTED_VALUE"""),"EL MONTE")</f>
        <v>EL MONTE</v>
      </c>
    </row>
    <row r="436" spans="1:4">
      <c r="A436" s="7">
        <f ca="1">IFERROR(__xludf.DUMMYFUNCTION("""COMPUTED_VALUE"""),43943)</f>
        <v>43943</v>
      </c>
      <c r="B436" s="6" t="str">
        <f ca="1">IFERROR(__xludf.DUMMYFUNCTION("""COMPUTED_VALUE"""),"-33.672802,-70.989191")</f>
        <v>-33.672802,-70.989191</v>
      </c>
      <c r="C436" s="6" t="str">
        <f ca="1">IFERROR(__xludf.DUMMYFUNCTION("""COMPUTED_VALUE"""),"LAS ARAUCARIAS 457")</f>
        <v>LAS ARAUCARIAS 457</v>
      </c>
      <c r="D436" s="6" t="str">
        <f ca="1">IFERROR(__xludf.DUMMYFUNCTION("""COMPUTED_VALUE"""),"EL MONTE")</f>
        <v>EL MONTE</v>
      </c>
    </row>
    <row r="437" spans="1:4">
      <c r="A437" s="7">
        <f ca="1">IFERROR(__xludf.DUMMYFUNCTION("""COMPUTED_VALUE"""),43944)</f>
        <v>43944</v>
      </c>
      <c r="B437" s="8" t="str">
        <f ca="1">IFERROR(__xludf.DUMMYFUNCTION("""COMPUTED_VALUE"""),"-33.729286,-70.775538")</f>
        <v>-33.729286,-70.775538</v>
      </c>
      <c r="C437" s="6" t="str">
        <f ca="1">IFERROR(__xludf.DUMMYFUNCTION("""COMPUTED_VALUE"""),"LOS PALTOS 0196")</f>
        <v>LOS PALTOS 0196</v>
      </c>
      <c r="D437" s="6" t="str">
        <f ca="1">IFERROR(__xludf.DUMMYFUNCTION("""COMPUTED_VALUE"""),"BUIN")</f>
        <v>BUIN</v>
      </c>
    </row>
    <row r="438" spans="1:4">
      <c r="A438" s="7">
        <f ca="1">IFERROR(__xludf.DUMMYFUNCTION("""COMPUTED_VALUE"""),43944)</f>
        <v>43944</v>
      </c>
      <c r="B438" s="8" t="str">
        <f ca="1">IFERROR(__xludf.DUMMYFUNCTION("""COMPUTED_VALUE"""),"-33.724799,-70.733880")</f>
        <v>-33.724799,-70.733880</v>
      </c>
      <c r="C438" s="6" t="str">
        <f ca="1">IFERROR(__xludf.DUMMYFUNCTION("""COMPUTED_VALUE"""),"ARTURO MORALES TAIBO 0315")</f>
        <v>ARTURO MORALES TAIBO 0315</v>
      </c>
      <c r="D438" s="6" t="str">
        <f ca="1">IFERROR(__xludf.DUMMYFUNCTION("""COMPUTED_VALUE"""),"BUIN")</f>
        <v>BUIN</v>
      </c>
    </row>
    <row r="439" spans="1:4">
      <c r="A439" s="7">
        <f ca="1">IFERROR(__xludf.DUMMYFUNCTION("""COMPUTED_VALUE"""),43944)</f>
        <v>43944</v>
      </c>
      <c r="B439" s="8" t="str">
        <f ca="1">IFERROR(__xludf.DUMMYFUNCTION("""COMPUTED_VALUE"""),"-33.807776, -70.852536")</f>
        <v>-33.807776, -70.852536</v>
      </c>
      <c r="C439" s="6" t="str">
        <f ca="1">IFERROR(__xludf.DUMMYFUNCTION("""COMPUTED_VALUE"""),"LOS AROMOS 1-B")</f>
        <v>LOS AROMOS 1-B</v>
      </c>
      <c r="D439" s="6" t="str">
        <f ca="1">IFERROR(__xludf.DUMMYFUNCTION("""COMPUTED_VALUE"""),"BUIN")</f>
        <v>BUIN</v>
      </c>
    </row>
    <row r="440" spans="1:4">
      <c r="A440" s="7">
        <f ca="1">IFERROR(__xludf.DUMMYFUNCTION("""COMPUTED_VALUE"""),43944)</f>
        <v>43944</v>
      </c>
      <c r="B440" s="8" t="str">
        <f ca="1">IFERROR(__xludf.DUMMYFUNCTION("""COMPUTED_VALUE"""),"-33.780622,-70.813584")</f>
        <v>-33.780622,-70.813584</v>
      </c>
      <c r="C440" s="6" t="str">
        <f ca="1">IFERROR(__xludf.DUMMYFUNCTION("""COMPUTED_VALUE"""),"CAMPUSANO PC 27 A")</f>
        <v>CAMPUSANO PC 27 A</v>
      </c>
      <c r="D440" s="6" t="str">
        <f ca="1">IFERROR(__xludf.DUMMYFUNCTION("""COMPUTED_VALUE"""),"BUIN")</f>
        <v>BUIN</v>
      </c>
    </row>
    <row r="441" spans="1:4">
      <c r="A441" s="7">
        <f ca="1">IFERROR(__xludf.DUMMYFUNCTION("""COMPUTED_VALUE"""),43944)</f>
        <v>43944</v>
      </c>
      <c r="B441" s="6" t="str">
        <f ca="1">IFERROR(__xludf.DUMMYFUNCTION("""COMPUTED_VALUE"""),"-33.6008413-70.8836533")</f>
        <v>-33.6008413-70.8836533</v>
      </c>
      <c r="C441" s="6" t="str">
        <f ca="1">IFERROR(__xludf.DUMMYFUNCTION("""COMPUTED_VALUE"""),"COVADONGA 516")</f>
        <v>COVADONGA 516</v>
      </c>
      <c r="D441" s="6" t="str">
        <f ca="1">IFERROR(__xludf.DUMMYFUNCTION("""COMPUTED_VALUE"""),"PEÑAFLOR")</f>
        <v>PEÑAFLOR</v>
      </c>
    </row>
    <row r="442" spans="1:4">
      <c r="A442" s="7">
        <f ca="1">IFERROR(__xludf.DUMMYFUNCTION("""COMPUTED_VALUE"""),43944)</f>
        <v>43944</v>
      </c>
      <c r="B442" s="6" t="str">
        <f ca="1">IFERROR(__xludf.DUMMYFUNCTION("""COMPUTED_VALUE"""),"-33.6038-70.8867")</f>
        <v>-33.6038-70.8867</v>
      </c>
      <c r="C442" s="6" t="str">
        <f ca="1">IFERROR(__xludf.DUMMYFUNCTION("""COMPUTED_VALUE"""),"CUATRO PONIENTE 927")</f>
        <v>CUATRO PONIENTE 927</v>
      </c>
      <c r="D442" s="6" t="str">
        <f ca="1">IFERROR(__xludf.DUMMYFUNCTION("""COMPUTED_VALUE"""),"PEÑAFLOR")</f>
        <v>PEÑAFLOR</v>
      </c>
    </row>
    <row r="443" spans="1:4">
      <c r="A443" s="7">
        <f ca="1">IFERROR(__xludf.DUMMYFUNCTION("""COMPUTED_VALUE"""),43944)</f>
        <v>43944</v>
      </c>
      <c r="B443" s="6" t="str">
        <f ca="1">IFERROR(__xludf.DUMMYFUNCTION("""COMPUTED_VALUE"""),"-33.249675-70.766095")</f>
        <v>-33.249675-70.766095</v>
      </c>
      <c r="C443" s="6" t="str">
        <f ca="1">IFERROR(__xludf.DUMMYFUNCTION("""COMPUTED_VALUE"""),"CAMINO SANTA ROSA 3040 PARCELA 240")</f>
        <v>CAMINO SANTA ROSA 3040 PARCELA 240</v>
      </c>
      <c r="D443" s="6" t="str">
        <f ca="1">IFERROR(__xludf.DUMMYFUNCTION("""COMPUTED_VALUE"""),"LAMPA")</f>
        <v>LAMPA</v>
      </c>
    </row>
    <row r="444" spans="1:4">
      <c r="A444" s="7">
        <f ca="1">IFERROR(__xludf.DUMMYFUNCTION("""COMPUTED_VALUE"""),43944)</f>
        <v>43944</v>
      </c>
      <c r="B444" s="6" t="str">
        <f ca="1">IFERROR(__xludf.DUMMYFUNCTION("""COMPUTED_VALUE"""),"-33.624187-70.912066")</f>
        <v>-33.624187-70.912066</v>
      </c>
      <c r="C444" s="6" t="str">
        <f ca="1">IFERROR(__xludf.DUMMYFUNCTION("""COMPUTED_VALUE"""),"DOÑA AMELIA PARC 15")</f>
        <v>DOÑA AMELIA PARC 15</v>
      </c>
      <c r="D444" s="6" t="str">
        <f ca="1">IFERROR(__xludf.DUMMYFUNCTION("""COMPUTED_VALUE"""),"PEÑAFLOR")</f>
        <v>PEÑAFLOR</v>
      </c>
    </row>
    <row r="445" spans="1:4">
      <c r="A445" s="7">
        <f ca="1">IFERROR(__xludf.DUMMYFUNCTION("""COMPUTED_VALUE"""),43944)</f>
        <v>43944</v>
      </c>
      <c r="B445" s="6" t="str">
        <f ca="1">IFERROR(__xludf.DUMMYFUNCTION("""COMPUTED_VALUE"""),"-33.601798-70.90606")</f>
        <v>-33.601798-70.90606</v>
      </c>
      <c r="C445" s="6" t="str">
        <f ca="1">IFERROR(__xludf.DUMMYFUNCTION("""COMPUTED_VALUE"""),"RIALTO 3817")</f>
        <v>RIALTO 3817</v>
      </c>
      <c r="D445" s="6" t="str">
        <f ca="1">IFERROR(__xludf.DUMMYFUNCTION("""COMPUTED_VALUE"""),"PEÑAFLOR")</f>
        <v>PEÑAFLOR</v>
      </c>
    </row>
    <row r="446" spans="1:4">
      <c r="A446" s="7">
        <f ca="1">IFERROR(__xludf.DUMMYFUNCTION("""COMPUTED_VALUE"""),43944)</f>
        <v>43944</v>
      </c>
      <c r="B446" s="6" t="str">
        <f ca="1">IFERROR(__xludf.DUMMYFUNCTION("""COMPUTED_VALUE"""),"-33.566457-70.02562")</f>
        <v>-33.566457-70.02562</v>
      </c>
      <c r="C446" s="6" t="str">
        <f ca="1">IFERROR(__xludf.DUMMYFUNCTION("""COMPUTED_VALUE"""),"MARIE CURIE 550")</f>
        <v>MARIE CURIE 550</v>
      </c>
      <c r="D446" s="6" t="str">
        <f ca="1">IFERROR(__xludf.DUMMYFUNCTION("""COMPUTED_VALUE"""),"PADRE HURTADO")</f>
        <v>PADRE HURTADO</v>
      </c>
    </row>
    <row r="447" spans="1:4">
      <c r="A447" s="7">
        <f ca="1">IFERROR(__xludf.DUMMYFUNCTION("""COMPUTED_VALUE"""),43944)</f>
        <v>43944</v>
      </c>
      <c r="B447" s="6" t="str">
        <f ca="1">IFERROR(__xludf.DUMMYFUNCTION("""COMPUTED_VALUE"""),"-33.566416-70.802600")</f>
        <v>-33.566416-70.802600</v>
      </c>
      <c r="C447" s="6" t="str">
        <f ca="1">IFERROR(__xludf.DUMMYFUNCTION("""COMPUTED_VALUE"""),"MARIE CURIE 531")</f>
        <v>MARIE CURIE 531</v>
      </c>
      <c r="D447" s="6" t="str">
        <f ca="1">IFERROR(__xludf.DUMMYFUNCTION("""COMPUTED_VALUE"""),"PADRE HURTADO")</f>
        <v>PADRE HURTADO</v>
      </c>
    </row>
    <row r="448" spans="1:4">
      <c r="A448" s="7">
        <f ca="1">IFERROR(__xludf.DUMMYFUNCTION("""COMPUTED_VALUE"""),43944)</f>
        <v>43944</v>
      </c>
      <c r="B448" s="6" t="str">
        <f ca="1">IFERROR(__xludf.DUMMYFUNCTION("""COMPUTED_VALUE"""),"-33.571033-70.813880")</f>
        <v>-33.571033-70.813880</v>
      </c>
      <c r="C448" s="6" t="str">
        <f ca="1">IFERROR(__xludf.DUMMYFUNCTION("""COMPUTED_VALUE"""),"PASAJE CUATRO 2335")</f>
        <v>PASAJE CUATRO 2335</v>
      </c>
      <c r="D448" s="6" t="str">
        <f ca="1">IFERROR(__xludf.DUMMYFUNCTION("""COMPUTED_VALUE"""),"PADRE HURTADO")</f>
        <v>PADRE HURTADO</v>
      </c>
    </row>
    <row r="449" spans="1:4">
      <c r="A449" s="7">
        <f ca="1">IFERROR(__xludf.DUMMYFUNCTION("""COMPUTED_VALUE"""),43944)</f>
        <v>43944</v>
      </c>
      <c r="B449" s="6" t="str">
        <f ca="1">IFERROR(__xludf.DUMMYFUNCTION("""COMPUTED_VALUE"""),"-33.605551-70.05573")</f>
        <v>-33.605551-70.05573</v>
      </c>
      <c r="C449" s="6" t="str">
        <f ca="1">IFERROR(__xludf.DUMMYFUNCTION("""COMPUTED_VALUE"""),"LA LUNA 555")</f>
        <v>LA LUNA 555</v>
      </c>
      <c r="D449" s="6" t="str">
        <f ca="1">IFERROR(__xludf.DUMMYFUNCTION("""COMPUTED_VALUE"""),"PEÑAFLOR")</f>
        <v>PEÑAFLOR</v>
      </c>
    </row>
    <row r="450" spans="1:4">
      <c r="A450" s="7">
        <f ca="1">IFERROR(__xludf.DUMMYFUNCTION("""COMPUTED_VALUE"""),43944)</f>
        <v>43944</v>
      </c>
      <c r="B450" s="6" t="str">
        <f ca="1">IFERROR(__xludf.DUMMYFUNCTION("""COMPUTED_VALUE"""),"-33.302531,-70.719703")</f>
        <v>-33.302531,-70.719703</v>
      </c>
      <c r="C450" s="6" t="str">
        <f ca="1">IFERROR(__xludf.DUMMYFUNCTION("""COMPUTED_VALUE"""),"CAMINO COQUIMBO S/03")</f>
        <v>CAMINO COQUIMBO S/03</v>
      </c>
      <c r="D450" s="6" t="str">
        <f ca="1">IFERROR(__xludf.DUMMYFUNCTION("""COMPUTED_VALUE"""),"COLINA")</f>
        <v>COLINA</v>
      </c>
    </row>
    <row r="451" spans="1:4">
      <c r="A451" s="7">
        <f ca="1">IFERROR(__xludf.DUMMYFUNCTION("""COMPUTED_VALUE"""),43944)</f>
        <v>43944</v>
      </c>
      <c r="B451" s="6" t="str">
        <f ca="1">IFERROR(__xludf.DUMMYFUNCTION("""COMPUTED_VALUE"""),"-33.302531,-70.719703")</f>
        <v>-33.302531,-70.719703</v>
      </c>
      <c r="C451" s="6" t="str">
        <f ca="1">IFERROR(__xludf.DUMMYFUNCTION("""COMPUTED_VALUE"""),"CAMINO COQUIMBO S/03")</f>
        <v>CAMINO COQUIMBO S/03</v>
      </c>
      <c r="D451" s="6" t="str">
        <f ca="1">IFERROR(__xludf.DUMMYFUNCTION("""COMPUTED_VALUE"""),"COLINA")</f>
        <v>COLINA</v>
      </c>
    </row>
    <row r="452" spans="1:4">
      <c r="A452" s="7">
        <f ca="1">IFERROR(__xludf.DUMMYFUNCTION("""COMPUTED_VALUE"""),43944)</f>
        <v>43944</v>
      </c>
      <c r="B452" s="6" t="str">
        <f ca="1">IFERROR(__xludf.DUMMYFUNCTION("""COMPUTED_VALUE"""),"-33.186292,-70.668154")</f>
        <v>-33.186292,-70.668154</v>
      </c>
      <c r="C452" s="6" t="str">
        <f ca="1">IFERROR(__xludf.DUMMYFUNCTION("""COMPUTED_VALUE"""),"CORONEL JUAN DE DIOS VIAL 2198")</f>
        <v>CORONEL JUAN DE DIOS VIAL 2198</v>
      </c>
      <c r="D452" s="6" t="str">
        <f ca="1">IFERROR(__xludf.DUMMYFUNCTION("""COMPUTED_VALUE"""),"COLINA")</f>
        <v>COLINA</v>
      </c>
    </row>
    <row r="453" spans="1:4">
      <c r="A453" s="7">
        <f ca="1">IFERROR(__xludf.DUMMYFUNCTION("""COMPUTED_VALUE"""),43944)</f>
        <v>43944</v>
      </c>
      <c r="B453" s="6" t="str">
        <f ca="1">IFERROR(__xludf.DUMMYFUNCTION("""COMPUTED_VALUE"""),"-33.675584,-70.978167")</f>
        <v>-33.675584,-70.978167</v>
      </c>
      <c r="C453" s="6" t="str">
        <f ca="1">IFERROR(__xludf.DUMMYFUNCTION("""COMPUTED_VALUE"""),"FREIRE 162")</f>
        <v>FREIRE 162</v>
      </c>
      <c r="D453" s="6" t="str">
        <f ca="1">IFERROR(__xludf.DUMMYFUNCTION("""COMPUTED_VALUE"""),"EL MONTE")</f>
        <v>EL MONTE</v>
      </c>
    </row>
    <row r="454" spans="1:4">
      <c r="A454" s="7">
        <f ca="1">IFERROR(__xludf.DUMMYFUNCTION("""COMPUTED_VALUE"""),43944)</f>
        <v>43944</v>
      </c>
      <c r="B454" s="6" t="str">
        <f ca="1">IFERROR(__xludf.DUMMYFUNCTION("""COMPUTED_VALUE"""),"-33.683959,-70.994643")</f>
        <v>-33.683959,-70.994643</v>
      </c>
      <c r="C454" s="6" t="str">
        <f ca="1">IFERROR(__xludf.DUMMYFUNCTION("""COMPUTED_VALUE"""),"SAN SEBASTIAN 41")</f>
        <v>SAN SEBASTIAN 41</v>
      </c>
      <c r="D454" s="6" t="str">
        <f ca="1">IFERROR(__xludf.DUMMYFUNCTION("""COMPUTED_VALUE"""),"EL MONTE")</f>
        <v>EL MONTE</v>
      </c>
    </row>
    <row r="455" spans="1:4">
      <c r="A455" s="7">
        <f ca="1">IFERROR(__xludf.DUMMYFUNCTION("""COMPUTED_VALUE"""),43944)</f>
        <v>43944</v>
      </c>
      <c r="B455" s="6" t="str">
        <f ca="1">IFERROR(__xludf.DUMMYFUNCTION("""COMPUTED_VALUE"""),"-33.677154,-70.996965")</f>
        <v>-33.677154,-70.996965</v>
      </c>
      <c r="C455" s="6" t="str">
        <f ca="1">IFERROR(__xludf.DUMMYFUNCTION("""COMPUTED_VALUE"""),"PABLO ORTEGA 771")</f>
        <v>PABLO ORTEGA 771</v>
      </c>
      <c r="D455" s="6" t="str">
        <f ca="1">IFERROR(__xludf.DUMMYFUNCTION("""COMPUTED_VALUE"""),"EL MONTE")</f>
        <v>EL MONTE</v>
      </c>
    </row>
    <row r="456" spans="1:4">
      <c r="A456" s="7">
        <f ca="1">IFERROR(__xludf.DUMMYFUNCTION("""COMPUTED_VALUE"""),43945)</f>
        <v>43945</v>
      </c>
      <c r="B456" s="8" t="str">
        <f ca="1">IFERROR(__xludf.DUMMYFUNCTION("""COMPUTED_VALUE"""),"-33.732070,-70.784862")</f>
        <v>-33.732070,-70.784862</v>
      </c>
      <c r="C456" s="6" t="str">
        <f ca="1">IFERROR(__xludf.DUMMYFUNCTION("""COMPUTED_VALUE"""),"RENACIMIENTO NUMERO 5")</f>
        <v>RENACIMIENTO NUMERO 5</v>
      </c>
      <c r="D456" s="6" t="str">
        <f ca="1">IFERROR(__xludf.DUMMYFUNCTION("""COMPUTED_VALUE"""),"BUIN")</f>
        <v>BUIN</v>
      </c>
    </row>
    <row r="457" spans="1:4">
      <c r="A457" s="7">
        <f ca="1">IFERROR(__xludf.DUMMYFUNCTION("""COMPUTED_VALUE"""),43945)</f>
        <v>43945</v>
      </c>
      <c r="B457" s="8" t="str">
        <f ca="1">IFERROR(__xludf.DUMMYFUNCTION("""COMPUTED_VALUE"""),"-33.697268, -70.721521")</f>
        <v>-33.697268, -70.721521</v>
      </c>
      <c r="C457" s="6" t="str">
        <f ca="1">IFERROR(__xludf.DUMMYFUNCTION("""COMPUTED_VALUE"""),"EL RECURSO 3260")</f>
        <v>EL RECURSO 3260</v>
      </c>
      <c r="D457" s="6" t="str">
        <f ca="1">IFERROR(__xludf.DUMMYFUNCTION("""COMPUTED_VALUE"""),"BUIN")</f>
        <v>BUIN</v>
      </c>
    </row>
    <row r="458" spans="1:4">
      <c r="A458" s="7">
        <f ca="1">IFERROR(__xludf.DUMMYFUNCTION("""COMPUTED_VALUE"""),43945)</f>
        <v>43945</v>
      </c>
      <c r="B458" s="8" t="str">
        <f ca="1">IFERROR(__xludf.DUMMYFUNCTION("""COMPUTED_VALUE"""),"-33.784333,-70.817411")</f>
        <v>-33.784333,-70.817411</v>
      </c>
      <c r="C458" s="6" t="str">
        <f ca="1">IFERROR(__xludf.DUMMYFUNCTION("""COMPUTED_VALUE"""),"LAS PATAGUAS 3525 ( CAMPUSANO)")</f>
        <v>LAS PATAGUAS 3525 ( CAMPUSANO)</v>
      </c>
      <c r="D458" s="6" t="str">
        <f ca="1">IFERROR(__xludf.DUMMYFUNCTION("""COMPUTED_VALUE"""),"BUIN")</f>
        <v>BUIN</v>
      </c>
    </row>
    <row r="459" spans="1:4">
      <c r="A459" s="7">
        <f ca="1">IFERROR(__xludf.DUMMYFUNCTION("""COMPUTED_VALUE"""),43945)</f>
        <v>43945</v>
      </c>
      <c r="B459" s="8" t="str">
        <f ca="1">IFERROR(__xludf.DUMMYFUNCTION("""COMPUTED_VALUE"""),"-33.795876,-70.796020")</f>
        <v>-33.795876,-70.796020</v>
      </c>
      <c r="C459" s="6" t="str">
        <f ca="1">IFERROR(__xludf.DUMMYFUNCTION("""COMPUTED_VALUE"""),"SANTA FILOMENA 1570 SITIO 33")</f>
        <v>SANTA FILOMENA 1570 SITIO 33</v>
      </c>
      <c r="D459" s="6" t="str">
        <f ca="1">IFERROR(__xludf.DUMMYFUNCTION("""COMPUTED_VALUE"""),"BUIN")</f>
        <v>BUIN</v>
      </c>
    </row>
    <row r="460" spans="1:4">
      <c r="A460" s="7">
        <f ca="1">IFERROR(__xludf.DUMMYFUNCTION("""COMPUTED_VALUE"""),43945)</f>
        <v>43945</v>
      </c>
      <c r="B460" s="6" t="str">
        <f ca="1">IFERROR(__xludf.DUMMYFUNCTION("""COMPUTED_VALUE"""),"-33.6080212-70.8719620")</f>
        <v>-33.6080212-70.8719620</v>
      </c>
      <c r="C460" s="6" t="str">
        <f ca="1">IFERROR(__xludf.DUMMYFUNCTION("""COMPUTED_VALUE"""),"LOS ANGELES 1289")</f>
        <v>LOS ANGELES 1289</v>
      </c>
      <c r="D460" s="6" t="str">
        <f ca="1">IFERROR(__xludf.DUMMYFUNCTION("""COMPUTED_VALUE"""),"PEÑAFLOR")</f>
        <v>PEÑAFLOR</v>
      </c>
    </row>
    <row r="461" spans="1:4">
      <c r="A461" s="7">
        <f ca="1">IFERROR(__xludf.DUMMYFUNCTION("""COMPUTED_VALUE"""),43945)</f>
        <v>43945</v>
      </c>
      <c r="B461" s="6" t="str">
        <f ca="1">IFERROR(__xludf.DUMMYFUNCTION("""COMPUTED_VALUE"""),"-33.610873-70.889949")</f>
        <v>-33.610873-70.889949</v>
      </c>
      <c r="C461" s="6" t="str">
        <f ca="1">IFERROR(__xludf.DUMMYFUNCTION("""COMPUTED_VALUE"""),"PASAJE CORDILLERA DE LA COSTA 2836")</f>
        <v>PASAJE CORDILLERA DE LA COSTA 2836</v>
      </c>
      <c r="D461" s="6" t="str">
        <f ca="1">IFERROR(__xludf.DUMMYFUNCTION("""COMPUTED_VALUE"""),"PEÑAFLOR")</f>
        <v>PEÑAFLOR</v>
      </c>
    </row>
    <row r="462" spans="1:4">
      <c r="A462" s="7">
        <f ca="1">IFERROR(__xludf.DUMMYFUNCTION("""COMPUTED_VALUE"""),43945)</f>
        <v>43945</v>
      </c>
      <c r="B462" s="6" t="str">
        <f ca="1">IFERROR(__xludf.DUMMYFUNCTION("""COMPUTED_VALUE"""),"-33.601808-70.890753")</f>
        <v>-33.601808-70.890753</v>
      </c>
      <c r="C462" s="6" t="str">
        <f ca="1">IFERROR(__xludf.DUMMYFUNCTION("""COMPUTED_VALUE"""),"PASAJE RIALTO 3827")</f>
        <v>PASAJE RIALTO 3827</v>
      </c>
      <c r="D462" s="6" t="str">
        <f ca="1">IFERROR(__xludf.DUMMYFUNCTION("""COMPUTED_VALUE"""),"PEÑAFLOR")</f>
        <v>PEÑAFLOR</v>
      </c>
    </row>
    <row r="463" spans="1:4">
      <c r="A463" s="7">
        <f ca="1">IFERROR(__xludf.DUMMYFUNCTION("""COMPUTED_VALUE"""),43945)</f>
        <v>43945</v>
      </c>
      <c r="B463" s="6" t="str">
        <f ca="1">IFERROR(__xludf.DUMMYFUNCTION("""COMPUTED_VALUE"""),"-33.613273-70.899371")</f>
        <v>-33.613273-70.899371</v>
      </c>
      <c r="C463" s="6" t="str">
        <f ca="1">IFERROR(__xludf.DUMMYFUNCTION("""COMPUTED_VALUE"""),"PASAJE INES DE SUAREZ 3579")</f>
        <v>PASAJE INES DE SUAREZ 3579</v>
      </c>
      <c r="D463" s="6" t="str">
        <f ca="1">IFERROR(__xludf.DUMMYFUNCTION("""COMPUTED_VALUE"""),"PEÑAFLOR")</f>
        <v>PEÑAFLOR</v>
      </c>
    </row>
    <row r="464" spans="1:4">
      <c r="A464" s="7">
        <f ca="1">IFERROR(__xludf.DUMMYFUNCTION("""COMPUTED_VALUE"""),43945)</f>
        <v>43945</v>
      </c>
      <c r="B464" s="6" t="str">
        <f ca="1">IFERROR(__xludf.DUMMYFUNCTION("""COMPUTED_VALUE"""),"-33.6014-70.8810")</f>
        <v>-33.6014-70.8810</v>
      </c>
      <c r="C464" s="6" t="str">
        <f ca="1">IFERROR(__xludf.DUMMYFUNCTION("""COMPUTED_VALUE"""),"QUINCE DE NOVIEMBRE 2660")</f>
        <v>QUINCE DE NOVIEMBRE 2660</v>
      </c>
      <c r="D464" s="6" t="str">
        <f ca="1">IFERROR(__xludf.DUMMYFUNCTION("""COMPUTED_VALUE"""),"PEÑAFLOR")</f>
        <v>PEÑAFLOR</v>
      </c>
    </row>
    <row r="465" spans="1:4">
      <c r="A465" s="7">
        <f ca="1">IFERROR(__xludf.DUMMYFUNCTION("""COMPUTED_VALUE"""),43945)</f>
        <v>43945</v>
      </c>
      <c r="B465" s="6" t="str">
        <f ca="1">IFERROR(__xludf.DUMMYFUNCTION("""COMPUTED_VALUE"""),"-33.6007-70.8841")</f>
        <v>-33.6007-70.8841</v>
      </c>
      <c r="C465" s="6" t="str">
        <f ca="1">IFERROR(__xludf.DUMMYFUNCTION("""COMPUTED_VALUE"""),"MAIPO 2818")</f>
        <v>MAIPO 2818</v>
      </c>
      <c r="D465" s="6" t="str">
        <f ca="1">IFERROR(__xludf.DUMMYFUNCTION("""COMPUTED_VALUE"""),"PEÑAFLOR")</f>
        <v>PEÑAFLOR</v>
      </c>
    </row>
    <row r="466" spans="1:4">
      <c r="A466" s="7">
        <f ca="1">IFERROR(__xludf.DUMMYFUNCTION("""COMPUTED_VALUE"""),43945)</f>
        <v>43945</v>
      </c>
      <c r="B466" s="6" t="str">
        <f ca="1">IFERROR(__xludf.DUMMYFUNCTION("""COMPUTED_VALUE"""),"-33.6092923-70.8822905")</f>
        <v>-33.6092923-70.8822905</v>
      </c>
      <c r="C466" s="6" t="str">
        <f ca="1">IFERROR(__xludf.DUMMYFUNCTION("""COMPUTED_VALUE"""),"PASAJE NILAHUE 2427")</f>
        <v>PASAJE NILAHUE 2427</v>
      </c>
      <c r="D466" s="6" t="str">
        <f ca="1">IFERROR(__xludf.DUMMYFUNCTION("""COMPUTED_VALUE"""),"PEÑAFLOR")</f>
        <v>PEÑAFLOR</v>
      </c>
    </row>
    <row r="467" spans="1:4">
      <c r="A467" s="7">
        <f ca="1">IFERROR(__xludf.DUMMYFUNCTION("""COMPUTED_VALUE"""),43945)</f>
        <v>43945</v>
      </c>
      <c r="B467" s="6" t="str">
        <f ca="1">IFERROR(__xludf.DUMMYFUNCTION("""COMPUTED_VALUE"""),"-33.180709,70.649268")</f>
        <v>-33.180709,70.649268</v>
      </c>
      <c r="C467" s="6" t="str">
        <f ca="1">IFERROR(__xludf.DUMMYFUNCTION("""COMPUTED_VALUE"""),"COQUIMBO 125")</f>
        <v>COQUIMBO 125</v>
      </c>
      <c r="D467" s="6" t="str">
        <f ca="1">IFERROR(__xludf.DUMMYFUNCTION("""COMPUTED_VALUE"""),"COLINA")</f>
        <v>COLINA</v>
      </c>
    </row>
    <row r="468" spans="1:4">
      <c r="A468" s="7">
        <f ca="1">IFERROR(__xludf.DUMMYFUNCTION("""COMPUTED_VALUE"""),43945)</f>
        <v>43945</v>
      </c>
      <c r="B468" s="6" t="str">
        <f ca="1">IFERROR(__xludf.DUMMYFUNCTION("""COMPUTED_VALUE"""),"-33.188016,-70.625020")</f>
        <v>-33.188016,-70.625020</v>
      </c>
      <c r="C468" s="6" t="str">
        <f ca="1">IFERROR(__xludf.DUMMYFUNCTION("""COMPUTED_VALUE"""),"LA HUACA S/N (LADO PLANTA DE CLORO)")</f>
        <v>LA HUACA S/N (LADO PLANTA DE CLORO)</v>
      </c>
      <c r="D468" s="6" t="str">
        <f ca="1">IFERROR(__xludf.DUMMYFUNCTION("""COMPUTED_VALUE"""),"COLINA")</f>
        <v>COLINA</v>
      </c>
    </row>
    <row r="469" spans="1:4">
      <c r="A469" s="7">
        <f ca="1">IFERROR(__xludf.DUMMYFUNCTION("""COMPUTED_VALUE"""),43945)</f>
        <v>43945</v>
      </c>
      <c r="B469" s="6" t="str">
        <f ca="1">IFERROR(__xludf.DUMMYFUNCTION("""COMPUTED_VALUE"""),"-33.188162,-70.624764")</f>
        <v>-33.188162,-70.624764</v>
      </c>
      <c r="C469" s="6" t="str">
        <f ca="1">IFERROR(__xludf.DUMMYFUNCTION("""COMPUTED_VALUE"""),"LA HUACA S/N (LADO PLANTA DE CLORO)")</f>
        <v>LA HUACA S/N (LADO PLANTA DE CLORO)</v>
      </c>
      <c r="D469" s="6" t="str">
        <f ca="1">IFERROR(__xludf.DUMMYFUNCTION("""COMPUTED_VALUE"""),"COLINA")</f>
        <v>COLINA</v>
      </c>
    </row>
    <row r="470" spans="1:4">
      <c r="A470" s="7">
        <f ca="1">IFERROR(__xludf.DUMMYFUNCTION("""COMPUTED_VALUE"""),43945)</f>
        <v>43945</v>
      </c>
      <c r="B470" s="6" t="str">
        <f ca="1">IFERROR(__xludf.DUMMYFUNCTION("""COMPUTED_VALUE"""),"-33.186723,-70.671176")</f>
        <v>-33.186723,-70.671176</v>
      </c>
      <c r="C470" s="6" t="str">
        <f ca="1">IFERROR(__xludf.DUMMYFUNCTION("""COMPUTED_VALUE"""),"TENIENTE MATEO CAMPOS 520")</f>
        <v>TENIENTE MATEO CAMPOS 520</v>
      </c>
      <c r="D470" s="6" t="str">
        <f ca="1">IFERROR(__xludf.DUMMYFUNCTION("""COMPUTED_VALUE"""),"COLINA")</f>
        <v>COLINA</v>
      </c>
    </row>
    <row r="471" spans="1:4">
      <c r="A471" s="7">
        <f ca="1">IFERROR(__xludf.DUMMYFUNCTION("""COMPUTED_VALUE"""),43945)</f>
        <v>43945</v>
      </c>
      <c r="B471" s="6" t="str">
        <f ca="1">IFERROR(__xludf.DUMMYFUNCTION("""COMPUTED_VALUE"""),"-33.186723,-70.671176")</f>
        <v>-33.186723,-70.671176</v>
      </c>
      <c r="C471" s="6" t="str">
        <f ca="1">IFERROR(__xludf.DUMMYFUNCTION("""COMPUTED_VALUE"""),"TENIENTE MATEO CAMPOS 520")</f>
        <v>TENIENTE MATEO CAMPOS 520</v>
      </c>
      <c r="D471" s="6" t="str">
        <f ca="1">IFERROR(__xludf.DUMMYFUNCTION("""COMPUTED_VALUE"""),"COLINA")</f>
        <v>COLINA</v>
      </c>
    </row>
    <row r="472" spans="1:4">
      <c r="A472" s="7">
        <f ca="1">IFERROR(__xludf.DUMMYFUNCTION("""COMPUTED_VALUE"""),43945)</f>
        <v>43945</v>
      </c>
      <c r="B472" s="6" t="str">
        <f ca="1">IFERROR(__xludf.DUMMYFUNCTION("""COMPUTED_VALUE"""),"-33.184437,-70.671940")</f>
        <v>-33.184437,-70.671940</v>
      </c>
      <c r="C472" s="6" t="str">
        <f ca="1">IFERROR(__xludf.DUMMYFUNCTION("""COMPUTED_VALUE"""),"PJE GONZALO ROJAS 2077")</f>
        <v>PJE GONZALO ROJAS 2077</v>
      </c>
      <c r="D472" s="6" t="str">
        <f ca="1">IFERROR(__xludf.DUMMYFUNCTION("""COMPUTED_VALUE"""),"COLINA")</f>
        <v>COLINA</v>
      </c>
    </row>
    <row r="473" spans="1:4">
      <c r="A473" s="7">
        <f ca="1">IFERROR(__xludf.DUMMYFUNCTION("""COMPUTED_VALUE"""),43945)</f>
        <v>43945</v>
      </c>
      <c r="B473" s="6" t="str">
        <f ca="1">IFERROR(__xludf.DUMMYFUNCTION("""COMPUTED_VALUE"""),"-33.198239,-70.702636")</f>
        <v>-33.198239,-70.702636</v>
      </c>
      <c r="C473" s="6" t="str">
        <f ca="1">IFERROR(__xludf.DUMMYFUNCTION("""COMPUTED_VALUE"""),"REINA SUR LA CRUZ LOTE 10")</f>
        <v>REINA SUR LA CRUZ LOTE 10</v>
      </c>
      <c r="D473" s="6" t="str">
        <f ca="1">IFERROR(__xludf.DUMMYFUNCTION("""COMPUTED_VALUE"""),"COLINA")</f>
        <v>COLINA</v>
      </c>
    </row>
    <row r="474" spans="1:4">
      <c r="A474" s="7">
        <f ca="1">IFERROR(__xludf.DUMMYFUNCTION("""COMPUTED_VALUE"""),43945)</f>
        <v>43945</v>
      </c>
      <c r="B474" s="6" t="str">
        <f ca="1">IFERROR(__xludf.DUMMYFUNCTION("""COMPUTED_VALUE"""),"-33.677499,-70.997015")</f>
        <v>-33.677499,-70.997015</v>
      </c>
      <c r="C474" s="6" t="str">
        <f ca="1">IFERROR(__xludf.DUMMYFUNCTION("""COMPUTED_VALUE"""),"PEDRO MENDEZ 769")</f>
        <v>PEDRO MENDEZ 769</v>
      </c>
      <c r="D474" s="6" t="str">
        <f ca="1">IFERROR(__xludf.DUMMYFUNCTION("""COMPUTED_VALUE"""),"EL MONTE")</f>
        <v>EL MONTE</v>
      </c>
    </row>
    <row r="475" spans="1:4">
      <c r="A475" s="7">
        <f ca="1">IFERROR(__xludf.DUMMYFUNCTION("""COMPUTED_VALUE"""),43945)</f>
        <v>43945</v>
      </c>
      <c r="B475" s="6" t="str">
        <f ca="1">IFERROR(__xludf.DUMMYFUNCTION("""COMPUTED_VALUE"""),"-33.676481,-70.997221")</f>
        <v>-33.676481,-70.997221</v>
      </c>
      <c r="C475" s="6" t="str">
        <f ca="1">IFERROR(__xludf.DUMMYFUNCTION("""COMPUTED_VALUE"""),"MANUEL MONTT 765")</f>
        <v>MANUEL MONTT 765</v>
      </c>
      <c r="D475" s="6" t="str">
        <f ca="1">IFERROR(__xludf.DUMMYFUNCTION("""COMPUTED_VALUE"""),"EL MONTE")</f>
        <v>EL MONTE</v>
      </c>
    </row>
    <row r="476" spans="1:4">
      <c r="A476" s="7">
        <f ca="1">IFERROR(__xludf.DUMMYFUNCTION("""COMPUTED_VALUE"""),43946)</f>
        <v>43946</v>
      </c>
      <c r="B476" s="8" t="str">
        <f ca="1">IFERROR(__xludf.DUMMYFUNCTION("""COMPUTED_VALUE"""),"-33.654747,-70.908265")</f>
        <v>-33.654747,-70.908265</v>
      </c>
      <c r="C476" s="6" t="str">
        <f ca="1">IFERROR(__xludf.DUMMYFUNCTION("""COMPUTED_VALUE"""),"LOS CIRUELOS 586")</f>
        <v>LOS CIRUELOS 586</v>
      </c>
      <c r="D476" s="6" t="str">
        <f ca="1">IFERROR(__xludf.DUMMYFUNCTION("""COMPUTED_VALUE"""),"TALAGANTE")</f>
        <v>TALAGANTE</v>
      </c>
    </row>
    <row r="477" spans="1:4">
      <c r="A477" s="7">
        <f ca="1">IFERROR(__xludf.DUMMYFUNCTION("""COMPUTED_VALUE"""),43946)</f>
        <v>43946</v>
      </c>
      <c r="B477" s="6" t="str">
        <f ca="1">IFERROR(__xludf.DUMMYFUNCTION("""COMPUTED_VALUE"""),"-33.604940-70.905281")</f>
        <v>-33.604940-70.905281</v>
      </c>
      <c r="C477" s="6" t="str">
        <f ca="1">IFERROR(__xludf.DUMMYFUNCTION("""COMPUTED_VALUE"""),"PASAJE LUCERO 564")</f>
        <v>PASAJE LUCERO 564</v>
      </c>
      <c r="D477" s="6" t="str">
        <f ca="1">IFERROR(__xludf.DUMMYFUNCTION("""COMPUTED_VALUE"""),"PEÑAFLOR")</f>
        <v>PEÑAFLOR</v>
      </c>
    </row>
    <row r="478" spans="1:4">
      <c r="A478" s="7">
        <f ca="1">IFERROR(__xludf.DUMMYFUNCTION("""COMPUTED_VALUE"""),43946)</f>
        <v>43946</v>
      </c>
      <c r="B478" s="6" t="str">
        <f ca="1">IFERROR(__xludf.DUMMYFUNCTION("""COMPUTED_VALUE"""),"-33.679289,-70.982758")</f>
        <v>-33.679289,-70.982758</v>
      </c>
      <c r="C478" s="6" t="str">
        <f ca="1">IFERROR(__xludf.DUMMYFUNCTION("""COMPUTED_VALUE"""),"MANUEL RODRIGUEZ 455")</f>
        <v>MANUEL RODRIGUEZ 455</v>
      </c>
      <c r="D478" s="6" t="str">
        <f ca="1">IFERROR(__xludf.DUMMYFUNCTION("""COMPUTED_VALUE"""),"EL MONTE")</f>
        <v>EL MONTE</v>
      </c>
    </row>
    <row r="479" spans="1:4">
      <c r="A479" s="7">
        <f ca="1">IFERROR(__xludf.DUMMYFUNCTION("""COMPUTED_VALUE"""),43948)</f>
        <v>43948</v>
      </c>
      <c r="B479" s="8" t="str">
        <f ca="1">IFERROR(__xludf.DUMMYFUNCTION("""COMPUTED_VALUE"""),"-33.724325,-70.744")</f>
        <v>-33.724325,-70.744</v>
      </c>
      <c r="C479" s="6" t="str">
        <f ca="1">IFERROR(__xludf.DUMMYFUNCTION("""COMPUTED_VALUE"""),"POTRERILLO SALINAS 652")</f>
        <v>POTRERILLO SALINAS 652</v>
      </c>
      <c r="D479" s="6" t="str">
        <f ca="1">IFERROR(__xludf.DUMMYFUNCTION("""COMPUTED_VALUE"""),"BUIN")</f>
        <v>BUIN</v>
      </c>
    </row>
    <row r="480" spans="1:4">
      <c r="A480" s="7">
        <f ca="1">IFERROR(__xludf.DUMMYFUNCTION("""COMPUTED_VALUE"""),43948)</f>
        <v>43948</v>
      </c>
      <c r="B480" s="6" t="str">
        <f ca="1">IFERROR(__xludf.DUMMYFUNCTION("""COMPUTED_VALUE"""),"-33.601361-70.872098")</f>
        <v>-33.601361-70.872098</v>
      </c>
      <c r="C480" s="6" t="str">
        <f ca="1">IFERROR(__xludf.DUMMYFUNCTION("""COMPUTED_VALUE"""),"VIOLETA PARRA 1830")</f>
        <v>VIOLETA PARRA 1830</v>
      </c>
      <c r="D480" s="6" t="str">
        <f ca="1">IFERROR(__xludf.DUMMYFUNCTION("""COMPUTED_VALUE"""),"PEÑAFLOR")</f>
        <v>PEÑAFLOR</v>
      </c>
    </row>
    <row r="481" spans="1:4">
      <c r="A481" s="7">
        <f ca="1">IFERROR(__xludf.DUMMYFUNCTION("""COMPUTED_VALUE"""),43948)</f>
        <v>43948</v>
      </c>
      <c r="B481" s="6" t="str">
        <f ca="1">IFERROR(__xludf.DUMMYFUNCTION("""COMPUTED_VALUE"""),"-33.6019416-70.8907926")</f>
        <v>-33.6019416-70.8907926</v>
      </c>
      <c r="C481" s="6" t="str">
        <f ca="1">IFERROR(__xludf.DUMMYFUNCTION("""COMPUTED_VALUE"""),"PASAJE RIALTO 3834")</f>
        <v>PASAJE RIALTO 3834</v>
      </c>
      <c r="D481" s="6" t="str">
        <f ca="1">IFERROR(__xludf.DUMMYFUNCTION("""COMPUTED_VALUE"""),"PEÑAFLOR")</f>
        <v>PEÑAFLOR</v>
      </c>
    </row>
    <row r="482" spans="1:4">
      <c r="A482" s="7">
        <f ca="1">IFERROR(__xludf.DUMMYFUNCTION("""COMPUTED_VALUE"""),43948)</f>
        <v>43948</v>
      </c>
      <c r="B482" s="6" t="str">
        <f ca="1">IFERROR(__xludf.DUMMYFUNCTION("""COMPUTED_VALUE"""),"-33.5988-70.8894")</f>
        <v>-33.5988-70.8894</v>
      </c>
      <c r="C482" s="6" t="str">
        <f ca="1">IFERROR(__xludf.DUMMYFUNCTION("""COMPUTED_VALUE"""),"CAUPOLICAN 3681")</f>
        <v>CAUPOLICAN 3681</v>
      </c>
      <c r="D482" s="6" t="str">
        <f ca="1">IFERROR(__xludf.DUMMYFUNCTION("""COMPUTED_VALUE"""),"PEÑAFLOR")</f>
        <v>PEÑAFLOR</v>
      </c>
    </row>
    <row r="483" spans="1:4">
      <c r="A483" s="7">
        <f ca="1">IFERROR(__xludf.DUMMYFUNCTION("""COMPUTED_VALUE"""),43948)</f>
        <v>43948</v>
      </c>
      <c r="B483" s="6" t="str">
        <f ca="1">IFERROR(__xludf.DUMMYFUNCTION("""COMPUTED_VALUE"""),"-33.5988-70.8894")</f>
        <v>-33.5988-70.8894</v>
      </c>
      <c r="C483" s="6" t="str">
        <f ca="1">IFERROR(__xludf.DUMMYFUNCTION("""COMPUTED_VALUE"""),"CAUPOLICAN 3681")</f>
        <v>CAUPOLICAN 3681</v>
      </c>
      <c r="D483" s="6" t="str">
        <f ca="1">IFERROR(__xludf.DUMMYFUNCTION("""COMPUTED_VALUE"""),"PEÑAFLOR")</f>
        <v>PEÑAFLOR</v>
      </c>
    </row>
    <row r="484" spans="1:4">
      <c r="A484" s="7">
        <f ca="1">IFERROR(__xludf.DUMMYFUNCTION("""COMPUTED_VALUE"""),43948)</f>
        <v>43948</v>
      </c>
      <c r="B484" s="6" t="str">
        <f ca="1">IFERROR(__xludf.DUMMYFUNCTION("""COMPUTED_VALUE"""),"-33.6065151-70.8657458")</f>
        <v>-33.6065151-70.8657458</v>
      </c>
      <c r="C484" s="6" t="str">
        <f ca="1">IFERROR(__xludf.DUMMYFUNCTION("""COMPUTED_VALUE"""),"MADRID 671")</f>
        <v>MADRID 671</v>
      </c>
      <c r="D484" s="6" t="str">
        <f ca="1">IFERROR(__xludf.DUMMYFUNCTION("""COMPUTED_VALUE"""),"PEÑAFLOR")</f>
        <v>PEÑAFLOR</v>
      </c>
    </row>
    <row r="485" spans="1:4">
      <c r="A485" s="7">
        <f ca="1">IFERROR(__xludf.DUMMYFUNCTION("""COMPUTED_VALUE"""),43948)</f>
        <v>43948</v>
      </c>
      <c r="B485" s="6" t="str">
        <f ca="1">IFERROR(__xludf.DUMMYFUNCTION("""COMPUTED_VALUE"""),"-33.5995-70.8890")</f>
        <v>-33.5995-70.8890</v>
      </c>
      <c r="C485" s="6" t="str">
        <f ca="1">IFERROR(__xludf.DUMMYFUNCTION("""COMPUTED_VALUE"""),"CAUPOLICAN 3679")</f>
        <v>CAUPOLICAN 3679</v>
      </c>
      <c r="D485" s="6" t="str">
        <f ca="1">IFERROR(__xludf.DUMMYFUNCTION("""COMPUTED_VALUE"""),"PEÑAFLOR")</f>
        <v>PEÑAFLOR</v>
      </c>
    </row>
    <row r="486" spans="1:4">
      <c r="A486" s="7">
        <f ca="1">IFERROR(__xludf.DUMMYFUNCTION("""COMPUTED_VALUE"""),43948)</f>
        <v>43948</v>
      </c>
      <c r="B486" s="6" t="str">
        <f ca="1">IFERROR(__xludf.DUMMYFUNCTION("""COMPUTED_VALUE"""),"-33.603593-70.86003")</f>
        <v>-33.603593-70.86003</v>
      </c>
      <c r="C486" s="6" t="str">
        <f ca="1">IFERROR(__xludf.DUMMYFUNCTION("""COMPUTED_VALUE"""),"MOZART 455")</f>
        <v>MOZART 455</v>
      </c>
      <c r="D486" s="6" t="str">
        <f ca="1">IFERROR(__xludf.DUMMYFUNCTION("""COMPUTED_VALUE"""),"PEÑAFLOR")</f>
        <v>PEÑAFLOR</v>
      </c>
    </row>
    <row r="487" spans="1:4">
      <c r="A487" s="7">
        <f ca="1">IFERROR(__xludf.DUMMYFUNCTION("""COMPUTED_VALUE"""),43948)</f>
        <v>43948</v>
      </c>
      <c r="B487" s="6" t="str">
        <f ca="1">IFERROR(__xludf.DUMMYFUNCTION("""COMPUTED_VALUE"""),"-33.603593-70.868003")</f>
        <v>-33.603593-70.868003</v>
      </c>
      <c r="C487" s="6" t="str">
        <f ca="1">IFERROR(__xludf.DUMMYFUNCTION("""COMPUTED_VALUE"""),"MOZART 451")</f>
        <v>MOZART 451</v>
      </c>
      <c r="D487" s="6" t="str">
        <f ca="1">IFERROR(__xludf.DUMMYFUNCTION("""COMPUTED_VALUE"""),"PEÑAFLOR")</f>
        <v>PEÑAFLOR</v>
      </c>
    </row>
    <row r="488" spans="1:4">
      <c r="A488" s="7">
        <f ca="1">IFERROR(__xludf.DUMMYFUNCTION("""COMPUTED_VALUE"""),43948)</f>
        <v>43948</v>
      </c>
      <c r="B488" s="6" t="str">
        <f ca="1">IFERROR(__xludf.DUMMYFUNCTION("""COMPUTED_VALUE"""),"-33.198497, -70.663471")</f>
        <v>-33.198497, -70.663471</v>
      </c>
      <c r="C488" s="6" t="str">
        <f ca="1">IFERROR(__xludf.DUMMYFUNCTION("""COMPUTED_VALUE"""),"CALLE (RIVERA) 5 SUR 0242")</f>
        <v>CALLE (RIVERA) 5 SUR 0242</v>
      </c>
      <c r="D488" s="6" t="str">
        <f ca="1">IFERROR(__xludf.DUMMYFUNCTION("""COMPUTED_VALUE"""),"COLINA")</f>
        <v>COLINA</v>
      </c>
    </row>
    <row r="489" spans="1:4">
      <c r="A489" s="7">
        <f ca="1">IFERROR(__xludf.DUMMYFUNCTION("""COMPUTED_VALUE"""),43948)</f>
        <v>43948</v>
      </c>
      <c r="B489" s="6" t="str">
        <f ca="1">IFERROR(__xludf.DUMMYFUNCTION("""COMPUTED_VALUE"""),"-33.198609, -70.662595")</f>
        <v>-33.198609, -70.662595</v>
      </c>
      <c r="C489" s="6" t="str">
        <f ca="1">IFERROR(__xludf.DUMMYFUNCTION("""COMPUTED_VALUE"""),"PSJE 3 NORTE 269")</f>
        <v>PSJE 3 NORTE 269</v>
      </c>
      <c r="D489" s="6" t="str">
        <f ca="1">IFERROR(__xludf.DUMMYFUNCTION("""COMPUTED_VALUE"""),"COLINA")</f>
        <v>COLINA</v>
      </c>
    </row>
    <row r="490" spans="1:4">
      <c r="A490" s="7">
        <f ca="1">IFERROR(__xludf.DUMMYFUNCTION("""COMPUTED_VALUE"""),43948)</f>
        <v>43948</v>
      </c>
      <c r="B490" s="6" t="str">
        <f ca="1">IFERROR(__xludf.DUMMYFUNCTION("""COMPUTED_VALUE"""),"-33.668388,-70.925774")</f>
        <v>-33.668388,-70.925774</v>
      </c>
      <c r="C490" s="6" t="str">
        <f ca="1">IFERROR(__xludf.DUMMYFUNCTION("""COMPUTED_VALUE"""),"BLANCO ENCALADA 90")</f>
        <v>BLANCO ENCALADA 90</v>
      </c>
      <c r="D490" s="6" t="str">
        <f ca="1">IFERROR(__xludf.DUMMYFUNCTION("""COMPUTED_VALUE"""),"EL MONTE")</f>
        <v>EL MONTE</v>
      </c>
    </row>
    <row r="491" spans="1:4">
      <c r="A491" s="7">
        <f ca="1">IFERROR(__xludf.DUMMYFUNCTION("""COMPUTED_VALUE"""),43948)</f>
        <v>43948</v>
      </c>
      <c r="B491" s="6" t="str">
        <f ca="1">IFERROR(__xludf.DUMMYFUNCTION("""COMPUTED_VALUE"""),"-33.676841,-70.997247")</f>
        <v>-33.676841,-70.997247</v>
      </c>
      <c r="C491" s="6" t="str">
        <f ca="1">IFERROR(__xludf.DUMMYFUNCTION("""COMPUTED_VALUE"""),"MANUEL MONTT 772")</f>
        <v>MANUEL MONTT 772</v>
      </c>
      <c r="D491" s="6" t="str">
        <f ca="1">IFERROR(__xludf.DUMMYFUNCTION("""COMPUTED_VALUE"""),"EL MONTE")</f>
        <v>EL MONTE</v>
      </c>
    </row>
    <row r="492" spans="1:4">
      <c r="A492" s="7">
        <f ca="1">IFERROR(__xludf.DUMMYFUNCTION("""COMPUTED_VALUE"""),43948)</f>
        <v>43948</v>
      </c>
      <c r="B492" s="6" t="str">
        <f ca="1">IFERROR(__xludf.DUMMYFUNCTION("""COMPUTED_VALUE"""),"-33.688910,-71.036178")</f>
        <v>-33.688910,-71.036178</v>
      </c>
      <c r="C492" s="6" t="str">
        <f ca="1">IFERROR(__xludf.DUMMYFUNCTION("""COMPUTED_VALUE"""),"PANAMA 1598")</f>
        <v>PANAMA 1598</v>
      </c>
      <c r="D492" s="6" t="str">
        <f ca="1">IFERROR(__xludf.DUMMYFUNCTION("""COMPUTED_VALUE"""),"EL MONTE")</f>
        <v>EL MONTE</v>
      </c>
    </row>
    <row r="493" spans="1:4">
      <c r="A493" s="7">
        <f ca="1">IFERROR(__xludf.DUMMYFUNCTION("""COMPUTED_VALUE"""),43949)</f>
        <v>43949</v>
      </c>
      <c r="B493" s="8" t="str">
        <f ca="1">IFERROR(__xludf.DUMMYFUNCTION("""COMPUTED_VALUE"""),"-33.713644, -70.737035")</f>
        <v>-33.713644, -70.737035</v>
      </c>
      <c r="C493" s="6" t="str">
        <f ca="1">IFERROR(__xludf.DUMMYFUNCTION("""COMPUTED_VALUE"""),"LA COODINADORA 1412")</f>
        <v>LA COODINADORA 1412</v>
      </c>
      <c r="D493" s="6" t="str">
        <f ca="1">IFERROR(__xludf.DUMMYFUNCTION("""COMPUTED_VALUE"""),"BUIN")</f>
        <v>BUIN</v>
      </c>
    </row>
    <row r="494" spans="1:4">
      <c r="A494" s="7">
        <f ca="1">IFERROR(__xludf.DUMMYFUNCTION("""COMPUTED_VALUE"""),43949)</f>
        <v>43949</v>
      </c>
      <c r="B494" s="8" t="str">
        <f ca="1">IFERROR(__xludf.DUMMYFUNCTION("""COMPUTED_VALUE"""),"-33.728824,-70.745063")</f>
        <v>-33.728824,-70.745063</v>
      </c>
      <c r="C494" s="6" t="str">
        <f ca="1">IFERROR(__xludf.DUMMYFUNCTION("""COMPUTED_VALUE"""),"JOSE JOAQUIN PRIETO 7")</f>
        <v>JOSE JOAQUIN PRIETO 7</v>
      </c>
      <c r="D494" s="6" t="str">
        <f ca="1">IFERROR(__xludf.DUMMYFUNCTION("""COMPUTED_VALUE"""),"BUIN")</f>
        <v>BUIN</v>
      </c>
    </row>
    <row r="495" spans="1:4">
      <c r="A495" s="7">
        <f ca="1">IFERROR(__xludf.DUMMYFUNCTION("""COMPUTED_VALUE"""),43949)</f>
        <v>43949</v>
      </c>
      <c r="B495" s="8" t="str">
        <f ca="1">IFERROR(__xludf.DUMMYFUNCTION("""COMPUTED_VALUE"""),"-33.697835, -70.710122")</f>
        <v>-33.697835, -70.710122</v>
      </c>
      <c r="C495" s="6" t="str">
        <f ca="1">IFERROR(__xludf.DUMMYFUNCTION("""COMPUTED_VALUE"""),"CAMINO EL RECURSO 1151")</f>
        <v>CAMINO EL RECURSO 1151</v>
      </c>
      <c r="D495" s="6" t="str">
        <f ca="1">IFERROR(__xludf.DUMMYFUNCTION("""COMPUTED_VALUE"""),"BUIN")</f>
        <v>BUIN</v>
      </c>
    </row>
    <row r="496" spans="1:4">
      <c r="A496" s="7">
        <f ca="1">IFERROR(__xludf.DUMMYFUNCTION("""COMPUTED_VALUE"""),43949)</f>
        <v>43949</v>
      </c>
      <c r="B496" s="8" t="str">
        <f ca="1">IFERROR(__xludf.DUMMYFUNCTION("""COMPUTED_VALUE"""),"-33.669603,-70.929601")</f>
        <v>-33.669603,-70.929601</v>
      </c>
      <c r="C496" s="6" t="str">
        <f ca="1">IFERROR(__xludf.DUMMYFUNCTION("""COMPUTED_VALUE"""),"JUANA CANALES 1326")</f>
        <v>JUANA CANALES 1326</v>
      </c>
      <c r="D496" s="6" t="str">
        <f ca="1">IFERROR(__xludf.DUMMYFUNCTION("""COMPUTED_VALUE"""),"TALAGANTE")</f>
        <v>TALAGANTE</v>
      </c>
    </row>
    <row r="497" spans="1:4">
      <c r="A497" s="7">
        <f ca="1">IFERROR(__xludf.DUMMYFUNCTION("""COMPUTED_VALUE"""),43949)</f>
        <v>43949</v>
      </c>
      <c r="B497" s="6" t="str">
        <f ca="1">IFERROR(__xludf.DUMMYFUNCTION("""COMPUTED_VALUE"""),"-33.6158609-70.8786580")</f>
        <v>-33.6158609-70.8786580</v>
      </c>
      <c r="C497" s="6" t="str">
        <f ca="1">IFERROR(__xludf.DUMMYFUNCTION("""COMPUTED_VALUE"""),"ALFONSO DUVAL CERDA 660")</f>
        <v>ALFONSO DUVAL CERDA 660</v>
      </c>
      <c r="D497" s="6" t="str">
        <f ca="1">IFERROR(__xludf.DUMMYFUNCTION("""COMPUTED_VALUE"""),"PEÑAFLOR")</f>
        <v>PEÑAFLOR</v>
      </c>
    </row>
    <row r="498" spans="1:4">
      <c r="A498" s="7">
        <f ca="1">IFERROR(__xludf.DUMMYFUNCTION("""COMPUTED_VALUE"""),43949)</f>
        <v>43949</v>
      </c>
      <c r="B498" s="6" t="str">
        <f ca="1">IFERROR(__xludf.DUMMYFUNCTION("""COMPUTED_VALUE"""),"-33.6042024-70.8727481")</f>
        <v>-33.6042024-70.8727481</v>
      </c>
      <c r="C498" s="6" t="str">
        <f ca="1">IFERROR(__xludf.DUMMYFUNCTION("""COMPUTED_VALUE"""),"LAS HORTENCIAS 1778")</f>
        <v>LAS HORTENCIAS 1778</v>
      </c>
      <c r="D498" s="6" t="str">
        <f ca="1">IFERROR(__xludf.DUMMYFUNCTION("""COMPUTED_VALUE"""),"PEÑAFLOR")</f>
        <v>PEÑAFLOR</v>
      </c>
    </row>
    <row r="499" spans="1:4">
      <c r="A499" s="7">
        <f ca="1">IFERROR(__xludf.DUMMYFUNCTION("""COMPUTED_VALUE"""),43949)</f>
        <v>43949</v>
      </c>
      <c r="B499" s="6" t="str">
        <f ca="1">IFERROR(__xludf.DUMMYFUNCTION("""COMPUTED_VALUE"""),"-33.598787-70.879269")</f>
        <v>-33.598787-70.879269</v>
      </c>
      <c r="C499" s="6" t="str">
        <f ca="1">IFERROR(__xludf.DUMMYFUNCTION("""COMPUTED_VALUE"""),"CATORCE DE JULIO 132")</f>
        <v>CATORCE DE JULIO 132</v>
      </c>
      <c r="D499" s="6" t="str">
        <f ca="1">IFERROR(__xludf.DUMMYFUNCTION("""COMPUTED_VALUE"""),"PEÑAFLOR")</f>
        <v>PEÑAFLOR</v>
      </c>
    </row>
    <row r="500" spans="1:4">
      <c r="A500" s="7">
        <f ca="1">IFERROR(__xludf.DUMMYFUNCTION("""COMPUTED_VALUE"""),43949)</f>
        <v>43949</v>
      </c>
      <c r="B500" s="6" t="str">
        <f ca="1">IFERROR(__xludf.DUMMYFUNCTION("""COMPUTED_VALUE"""),"-33.1021-70.8552")</f>
        <v>-33.1021-70.8552</v>
      </c>
      <c r="C500" s="6" t="str">
        <f ca="1">IFERROR(__xludf.DUMMYFUNCTION("""COMPUTED_VALUE"""),"MANUEL GONZALEZ 304")</f>
        <v>MANUEL GONZALEZ 304</v>
      </c>
      <c r="D500" s="6" t="str">
        <f ca="1">IFERROR(__xludf.DUMMYFUNCTION("""COMPUTED_VALUE"""),"PEÑAFLOR")</f>
        <v>PEÑAFLOR</v>
      </c>
    </row>
    <row r="501" spans="1:4">
      <c r="A501" s="7">
        <f ca="1">IFERROR(__xludf.DUMMYFUNCTION("""COMPUTED_VALUE"""),43949)</f>
        <v>43949</v>
      </c>
      <c r="B501" s="6" t="str">
        <f ca="1">IFERROR(__xludf.DUMMYFUNCTION("""COMPUTED_VALUE"""),"-33.233916-70.809782")</f>
        <v>-33.233916-70.809782</v>
      </c>
      <c r="C501" s="6" t="str">
        <f ca="1">IFERROR(__xludf.DUMMYFUNCTION("""COMPUTED_VALUE"""),"ERRAZURIZ 417")</f>
        <v>ERRAZURIZ 417</v>
      </c>
      <c r="D501" s="6" t="str">
        <f ca="1">IFERROR(__xludf.DUMMYFUNCTION("""COMPUTED_VALUE"""),"LAMPA")</f>
        <v>LAMPA</v>
      </c>
    </row>
    <row r="502" spans="1:4">
      <c r="A502" s="7">
        <f ca="1">IFERROR(__xludf.DUMMYFUNCTION("""COMPUTED_VALUE"""),43949)</f>
        <v>43949</v>
      </c>
      <c r="B502" s="6" t="str">
        <f ca="1">IFERROR(__xludf.DUMMYFUNCTION("""COMPUTED_VALUE"""),"-33.723918-70.879070")</f>
        <v>-33.723918-70.879070</v>
      </c>
      <c r="C502" s="6" t="str">
        <f ca="1">IFERROR(__xludf.DUMMYFUNCTION("""COMPUTED_VALUE"""),"CAMINO SERVIDUMBRE PARC 30")</f>
        <v>CAMINO SERVIDUMBRE PARC 30</v>
      </c>
      <c r="D502" s="6" t="str">
        <f ca="1">IFERROR(__xludf.DUMMYFUNCTION("""COMPUTED_VALUE"""),"LAMPA")</f>
        <v>LAMPA</v>
      </c>
    </row>
    <row r="503" spans="1:4">
      <c r="A503" s="7">
        <f ca="1">IFERROR(__xludf.DUMMYFUNCTION("""COMPUTED_VALUE"""),43949)</f>
        <v>43949</v>
      </c>
      <c r="B503" s="6" t="str">
        <f ca="1">IFERROR(__xludf.DUMMYFUNCTION("""COMPUTED_VALUE"""),"-33.198165, -70.662770")</f>
        <v>-33.198165, -70.662770</v>
      </c>
      <c r="C503" s="6" t="str">
        <f ca="1">IFERROR(__xludf.DUMMYFUNCTION("""COMPUTED_VALUE"""),"PASAJE 3 NORTE 0256")</f>
        <v>PASAJE 3 NORTE 0256</v>
      </c>
      <c r="D503" s="6" t="str">
        <f ca="1">IFERROR(__xludf.DUMMYFUNCTION("""COMPUTED_VALUE"""),"COLINA")</f>
        <v>COLINA</v>
      </c>
    </row>
    <row r="504" spans="1:4">
      <c r="A504" s="7">
        <f ca="1">IFERROR(__xludf.DUMMYFUNCTION("""COMPUTED_VALUE"""),43949)</f>
        <v>43949</v>
      </c>
      <c r="B504" s="6" t="str">
        <f ca="1">IFERROR(__xludf.DUMMYFUNCTION("""COMPUTED_VALUE"""),"-33.198586, -70.662564")</f>
        <v>-33.198586, -70.662564</v>
      </c>
      <c r="C504" s="6" t="str">
        <f ca="1">IFERROR(__xludf.DUMMYFUNCTION("""COMPUTED_VALUE"""),"PASAJE 3 NORTE 268")</f>
        <v>PASAJE 3 NORTE 268</v>
      </c>
      <c r="D504" s="6" t="str">
        <f ca="1">IFERROR(__xludf.DUMMYFUNCTION("""COMPUTED_VALUE"""),"COLINA")</f>
        <v>COLINA</v>
      </c>
    </row>
    <row r="505" spans="1:4">
      <c r="A505" s="7">
        <f ca="1">IFERROR(__xludf.DUMMYFUNCTION("""COMPUTED_VALUE"""),43949)</f>
        <v>43949</v>
      </c>
      <c r="B505" s="6" t="str">
        <f ca="1">IFERROR(__xludf.DUMMYFUNCTION("""COMPUTED_VALUE"""),"-33.291682,-70.725909")</f>
        <v>-33.291682,-70.725909</v>
      </c>
      <c r="C505" s="6" t="str">
        <f ca="1">IFERROR(__xludf.DUMMYFUNCTION("""COMPUTED_VALUE"""),"CAMINO COQUIMBOS/47")</f>
        <v>CAMINO COQUIMBOS/47</v>
      </c>
      <c r="D505" s="6" t="str">
        <f ca="1">IFERROR(__xludf.DUMMYFUNCTION("""COMPUTED_VALUE"""),"COLINA")</f>
        <v>COLINA</v>
      </c>
    </row>
    <row r="506" spans="1:4">
      <c r="A506" s="7">
        <f ca="1">IFERROR(__xludf.DUMMYFUNCTION("""COMPUTED_VALUE"""),43949)</f>
        <v>43949</v>
      </c>
      <c r="B506" s="6" t="str">
        <f ca="1">IFERROR(__xludf.DUMMYFUNCTION("""COMPUTED_VALUE"""),"-33.199058,-70.664124")</f>
        <v>-33.199058,-70.664124</v>
      </c>
      <c r="C506" s="6" t="str">
        <f ca="1">IFERROR(__xludf.DUMMYFUNCTION("""COMPUTED_VALUE"""),"CALLE 5 SUR 0242")</f>
        <v>CALLE 5 SUR 0242</v>
      </c>
      <c r="D506" s="6" t="str">
        <f ca="1">IFERROR(__xludf.DUMMYFUNCTION("""COMPUTED_VALUE"""),"COLINA")</f>
        <v>COLINA</v>
      </c>
    </row>
    <row r="507" spans="1:4">
      <c r="A507" s="7">
        <f ca="1">IFERROR(__xludf.DUMMYFUNCTION("""COMPUTED_VALUE"""),43949)</f>
        <v>43949</v>
      </c>
      <c r="B507" s="6" t="str">
        <f ca="1">IFERROR(__xludf.DUMMYFUNCTION("""COMPUTED_VALUE"""),"-33.675130,-70.976057")</f>
        <v>-33.675130,-70.976057</v>
      </c>
      <c r="C507" s="6" t="str">
        <f ca="1">IFERROR(__xludf.DUMMYFUNCTION("""COMPUTED_VALUE"""),"LAS LILAS 725")</f>
        <v>LAS LILAS 725</v>
      </c>
      <c r="D507" s="6" t="str">
        <f ca="1">IFERROR(__xludf.DUMMYFUNCTION("""COMPUTED_VALUE"""),"EL MONTE")</f>
        <v>EL MONTE</v>
      </c>
    </row>
    <row r="508" spans="1:4">
      <c r="A508" s="7">
        <f ca="1">IFERROR(__xludf.DUMMYFUNCTION("""COMPUTED_VALUE"""),43949)</f>
        <v>43949</v>
      </c>
      <c r="B508" s="6" t="str">
        <f ca="1">IFERROR(__xludf.DUMMYFUNCTION("""COMPUTED_VALUE"""),"-33.678101,-70.994671")</f>
        <v>-33.678101,-70.994671</v>
      </c>
      <c r="C508" s="6" t="str">
        <f ca="1">IFERROR(__xludf.DUMMYFUNCTION("""COMPUTED_VALUE"""),"LOS CARRERA 735")</f>
        <v>LOS CARRERA 735</v>
      </c>
      <c r="D508" s="6" t="str">
        <f ca="1">IFERROR(__xludf.DUMMYFUNCTION("""COMPUTED_VALUE"""),"EL MONTE")</f>
        <v>EL MONTE</v>
      </c>
    </row>
    <row r="509" spans="1:4">
      <c r="A509" s="7">
        <f ca="1">IFERROR(__xludf.DUMMYFUNCTION("""COMPUTED_VALUE"""),43949)</f>
        <v>43949</v>
      </c>
      <c r="B509" s="6" t="str">
        <f ca="1">IFERROR(__xludf.DUMMYFUNCTION("""COMPUTED_VALUE"""),"-33.684922,-70.996356")</f>
        <v>-33.684922,-70.996356</v>
      </c>
      <c r="C509" s="6" t="str">
        <f ca="1">IFERROR(__xludf.DUMMYFUNCTION("""COMPUTED_VALUE"""),"LOS CARRERA 638")</f>
        <v>LOS CARRERA 638</v>
      </c>
      <c r="D509" s="6" t="str">
        <f ca="1">IFERROR(__xludf.DUMMYFUNCTION("""COMPUTED_VALUE"""),"EL MONTE")</f>
        <v>EL MONTE</v>
      </c>
    </row>
    <row r="510" spans="1:4">
      <c r="A510" s="7">
        <f ca="1">IFERROR(__xludf.DUMMYFUNCTION("""COMPUTED_VALUE"""),43949)</f>
        <v>43949</v>
      </c>
      <c r="B510" s="6" t="str">
        <f ca="1">IFERROR(__xludf.DUMMYFUNCTION("""COMPUTED_VALUE"""),"-33.677880,-70.995529")</f>
        <v>-33.677880,-70.995529</v>
      </c>
      <c r="C510" s="6" t="str">
        <f ca="1">IFERROR(__xludf.DUMMYFUNCTION("""COMPUTED_VALUE"""),"LOS LIRIOS 746")</f>
        <v>LOS LIRIOS 746</v>
      </c>
      <c r="D510" s="6" t="str">
        <f ca="1">IFERROR(__xludf.DUMMYFUNCTION("""COMPUTED_VALUE"""),"EL MONTE")</f>
        <v>EL MONTE</v>
      </c>
    </row>
    <row r="511" spans="1:4">
      <c r="A511" s="7">
        <f ca="1">IFERROR(__xludf.DUMMYFUNCTION("""COMPUTED_VALUE"""),43950)</f>
        <v>43950</v>
      </c>
      <c r="B511" s="8" t="str">
        <f ca="1">IFERROR(__xludf.DUMMYFUNCTION("""COMPUTED_VALUE"""),"-33.655383,-70.911342")</f>
        <v>-33.655383,-70.911342</v>
      </c>
      <c r="C511" s="6" t="str">
        <f ca="1">IFERROR(__xludf.DUMMYFUNCTION("""COMPUTED_VALUE"""),"VOLCAN HUDSON 0396")</f>
        <v>VOLCAN HUDSON 0396</v>
      </c>
      <c r="D511" s="6" t="str">
        <f ca="1">IFERROR(__xludf.DUMMYFUNCTION("""COMPUTED_VALUE"""),"TALAGANTE")</f>
        <v>TALAGANTE</v>
      </c>
    </row>
    <row r="512" spans="1:4">
      <c r="A512" s="7">
        <f ca="1">IFERROR(__xludf.DUMMYFUNCTION("""COMPUTED_VALUE"""),43950)</f>
        <v>43950</v>
      </c>
      <c r="B512" s="8" t="str">
        <f ca="1">IFERROR(__xludf.DUMMYFUNCTION("""COMPUTED_VALUE"""),"-33.677117,-70.942936")</f>
        <v>-33.677117,-70.942936</v>
      </c>
      <c r="C512" s="6" t="str">
        <f ca="1">IFERROR(__xludf.DUMMYFUNCTION("""COMPUTED_VALUE"""),"LLANQUIUE 1140")</f>
        <v>LLANQUIUE 1140</v>
      </c>
      <c r="D512" s="6" t="str">
        <f ca="1">IFERROR(__xludf.DUMMYFUNCTION("""COMPUTED_VALUE"""),"TALAGANTE")</f>
        <v>TALAGANTE</v>
      </c>
    </row>
    <row r="513" spans="1:4">
      <c r="A513" s="7">
        <f ca="1">IFERROR(__xludf.DUMMYFUNCTION("""COMPUTED_VALUE"""),43950)</f>
        <v>43950</v>
      </c>
      <c r="B513" s="6" t="str">
        <f ca="1">IFERROR(__xludf.DUMMYFUNCTION("""COMPUTED_VALUE"""),"-33.59725770.882455")</f>
        <v>-33.59725770.882455</v>
      </c>
      <c r="C513" s="6" t="str">
        <f ca="1">IFERROR(__xludf.DUMMYFUNCTION("""COMPUTED_VALUE"""),"PASAJE UNO 026")</f>
        <v>PASAJE UNO 026</v>
      </c>
      <c r="D513" s="6" t="str">
        <f ca="1">IFERROR(__xludf.DUMMYFUNCTION("""COMPUTED_VALUE"""),"PEÑAFLOR")</f>
        <v>PEÑAFLOR</v>
      </c>
    </row>
    <row r="514" spans="1:4">
      <c r="A514" s="7">
        <f ca="1">IFERROR(__xludf.DUMMYFUNCTION("""COMPUTED_VALUE"""),43950)</f>
        <v>43950</v>
      </c>
      <c r="B514" s="6" t="str">
        <f ca="1">IFERROR(__xludf.DUMMYFUNCTION("""COMPUTED_VALUE"""),"-33.6062364-70.8669961")</f>
        <v>-33.6062364-70.8669961</v>
      </c>
      <c r="C514" s="6" t="str">
        <f ca="1">IFERROR(__xludf.DUMMYFUNCTION("""COMPUTED_VALUE"""),"LISBOA 656")</f>
        <v>LISBOA 656</v>
      </c>
      <c r="D514" s="6" t="str">
        <f ca="1">IFERROR(__xludf.DUMMYFUNCTION("""COMPUTED_VALUE"""),"PEÑAFLOR")</f>
        <v>PEÑAFLOR</v>
      </c>
    </row>
    <row r="515" spans="1:4">
      <c r="A515" s="7">
        <f ca="1">IFERROR(__xludf.DUMMYFUNCTION("""COMPUTED_VALUE"""),43950)</f>
        <v>43950</v>
      </c>
      <c r="B515" s="6" t="str">
        <f ca="1">IFERROR(__xludf.DUMMYFUNCTION("""COMPUTED_VALUE"""),"-33.604269-70.874725")</f>
        <v>-33.604269-70.874725</v>
      </c>
      <c r="C515" s="6" t="str">
        <f ca="1">IFERROR(__xludf.DUMMYFUNCTION("""COMPUTED_VALUE"""),"MALLOQUITO 1959")</f>
        <v>MALLOQUITO 1959</v>
      </c>
      <c r="D515" s="6" t="str">
        <f ca="1">IFERROR(__xludf.DUMMYFUNCTION("""COMPUTED_VALUE"""),"PEÑAFLOR")</f>
        <v>PEÑAFLOR</v>
      </c>
    </row>
    <row r="516" spans="1:4">
      <c r="A516" s="7">
        <f ca="1">IFERROR(__xludf.DUMMYFUNCTION("""COMPUTED_VALUE"""),43950)</f>
        <v>43950</v>
      </c>
      <c r="B516" s="6" t="str">
        <f ca="1">IFERROR(__xludf.DUMMYFUNCTION("""COMPUTED_VALUE"""),"-33.225009-70.836815")</f>
        <v>-33.225009-70.836815</v>
      </c>
      <c r="C516" s="6" t="str">
        <f ca="1">IFERROR(__xludf.DUMMYFUNCTION("""COMPUTED_VALUE"""),"LO FONTECILLA CAMINO INTERIOR S/2")</f>
        <v>LO FONTECILLA CAMINO INTERIOR S/2</v>
      </c>
      <c r="D516" s="6" t="str">
        <f ca="1">IFERROR(__xludf.DUMMYFUNCTION("""COMPUTED_VALUE"""),"LAMPA")</f>
        <v>LAMPA</v>
      </c>
    </row>
    <row r="517" spans="1:4">
      <c r="A517" s="7">
        <f ca="1">IFERROR(__xludf.DUMMYFUNCTION("""COMPUTED_VALUE"""),43950)</f>
        <v>43950</v>
      </c>
      <c r="B517" s="6" t="str">
        <f ca="1">IFERROR(__xludf.DUMMYFUNCTION("""COMPUTED_VALUE"""),"-33.225074-70.837300")</f>
        <v>-33.225074-70.837300</v>
      </c>
      <c r="C517" s="6" t="str">
        <f ca="1">IFERROR(__xludf.DUMMYFUNCTION("""COMPUTED_VALUE"""),"LO FONTECILLA P/13")</f>
        <v>LO FONTECILLA P/13</v>
      </c>
      <c r="D517" s="6" t="str">
        <f ca="1">IFERROR(__xludf.DUMMYFUNCTION("""COMPUTED_VALUE"""),"LAMPA")</f>
        <v>LAMPA</v>
      </c>
    </row>
    <row r="518" spans="1:4">
      <c r="A518" s="7">
        <f ca="1">IFERROR(__xludf.DUMMYFUNCTION("""COMPUTED_VALUE"""),43950)</f>
        <v>43950</v>
      </c>
      <c r="B518" s="6" t="str">
        <f ca="1">IFERROR(__xludf.DUMMYFUNCTION("""COMPUTED_VALUE"""),"-33.6136-70.8972")</f>
        <v>-33.6136-70.8972</v>
      </c>
      <c r="C518" s="6" t="str">
        <f ca="1">IFERROR(__xludf.DUMMYFUNCTION("""COMPUTED_VALUE"""),"EL OMBU ORIENTE 210")</f>
        <v>EL OMBU ORIENTE 210</v>
      </c>
      <c r="D518" s="6" t="str">
        <f ca="1">IFERROR(__xludf.DUMMYFUNCTION("""COMPUTED_VALUE"""),"PEÑAFLOR")</f>
        <v>PEÑAFLOR</v>
      </c>
    </row>
    <row r="519" spans="1:4">
      <c r="A519" s="7">
        <f ca="1">IFERROR(__xludf.DUMMYFUNCTION("""COMPUTED_VALUE"""),43950)</f>
        <v>43950</v>
      </c>
      <c r="B519" s="6" t="str">
        <f ca="1">IFERROR(__xludf.DUMMYFUNCTION("""COMPUTED_VALUE"""),"-33.6124-70.8782")</f>
        <v>-33.6124-70.8782</v>
      </c>
      <c r="C519" s="6" t="str">
        <f ca="1">IFERROR(__xludf.DUMMYFUNCTION("""COMPUTED_VALUE"""),"VOLCAN DESCABEZADO 1661")</f>
        <v>VOLCAN DESCABEZADO 1661</v>
      </c>
      <c r="D519" s="6" t="str">
        <f ca="1">IFERROR(__xludf.DUMMYFUNCTION("""COMPUTED_VALUE"""),"PEÑAFLOR")</f>
        <v>PEÑAFLOR</v>
      </c>
    </row>
    <row r="520" spans="1:4">
      <c r="A520" s="7">
        <f ca="1">IFERROR(__xludf.DUMMYFUNCTION("""COMPUTED_VALUE"""),43950)</f>
        <v>43950</v>
      </c>
      <c r="B520" s="6" t="str">
        <f ca="1">IFERROR(__xludf.DUMMYFUNCTION("""COMPUTED_VALUE"""),"-33.613042-70.905386")</f>
        <v>-33.613042-70.905386</v>
      </c>
      <c r="C520" s="6" t="str">
        <f ca="1">IFERROR(__xludf.DUMMYFUNCTION("""COMPUTED_VALUE"""),"PASAJE ONCE 357")</f>
        <v>PASAJE ONCE 357</v>
      </c>
      <c r="D520" s="6" t="str">
        <f ca="1">IFERROR(__xludf.DUMMYFUNCTION("""COMPUTED_VALUE"""),"PEÑAFLOR")</f>
        <v>PEÑAFLOR</v>
      </c>
    </row>
    <row r="521" spans="1:4">
      <c r="A521" s="7">
        <f ca="1">IFERROR(__xludf.DUMMYFUNCTION("""COMPUTED_VALUE"""),43950)</f>
        <v>43950</v>
      </c>
      <c r="B521" s="6" t="str">
        <f ca="1">IFERROR(__xludf.DUMMYFUNCTION("""COMPUTED_VALUE"""),"-33.607847-70.876474")</f>
        <v>-33.607847-70.876474</v>
      </c>
      <c r="C521" s="6" t="str">
        <f ca="1">IFERROR(__xludf.DUMMYFUNCTION("""COMPUTED_VALUE"""),"CALLE DOS 1020")</f>
        <v>CALLE DOS 1020</v>
      </c>
      <c r="D521" s="6" t="str">
        <f ca="1">IFERROR(__xludf.DUMMYFUNCTION("""COMPUTED_VALUE"""),"PEÑAFLOR")</f>
        <v>PEÑAFLOR</v>
      </c>
    </row>
    <row r="522" spans="1:4">
      <c r="A522" s="7">
        <f ca="1">IFERROR(__xludf.DUMMYFUNCTION("""COMPUTED_VALUE"""),43950)</f>
        <v>43950</v>
      </c>
      <c r="B522" s="6" t="str">
        <f ca="1">IFERROR(__xludf.DUMMYFUNCTION("""COMPUTED_VALUE"""),"-33.088348,-70.921860")</f>
        <v>-33.088348,-70.921860</v>
      </c>
      <c r="C522" s="6" t="str">
        <f ca="1">IFERROR(__xludf.DUMMYFUNCTION("""COMPUTED_VALUE"""),"EL PIMIENTO A N° 56 (EL ESPINO)")</f>
        <v>EL PIMIENTO A N° 56 (EL ESPINO)</v>
      </c>
      <c r="D522" s="6" t="str">
        <f ca="1">IFERROR(__xludf.DUMMYFUNCTION("""COMPUTED_VALUE"""),"TIL TIL")</f>
        <v>TIL TIL</v>
      </c>
    </row>
    <row r="523" spans="1:4">
      <c r="A523" s="7">
        <f ca="1">IFERROR(__xludf.DUMMYFUNCTION("""COMPUTED_VALUE"""),43950)</f>
        <v>43950</v>
      </c>
      <c r="B523" s="6" t="str">
        <f ca="1">IFERROR(__xludf.DUMMYFUNCTION("""COMPUTED_VALUE"""),"-33.088256,-70.919266")</f>
        <v>-33.088256,-70.919266</v>
      </c>
      <c r="C523" s="6" t="str">
        <f ca="1">IFERROR(__xludf.DUMMYFUNCTION("""COMPUTED_VALUE"""),"BARROS ARANA N° 528")</f>
        <v>BARROS ARANA N° 528</v>
      </c>
      <c r="D523" s="6" t="str">
        <f ca="1">IFERROR(__xludf.DUMMYFUNCTION("""COMPUTED_VALUE"""),"TIL TIL")</f>
        <v>TIL TIL</v>
      </c>
    </row>
    <row r="524" spans="1:4">
      <c r="A524" s="7">
        <f ca="1">IFERROR(__xludf.DUMMYFUNCTION("""COMPUTED_VALUE"""),43950)</f>
        <v>43950</v>
      </c>
      <c r="B524" s="6" t="str">
        <f ca="1">IFERROR(__xludf.DUMMYFUNCTION("""COMPUTED_VALUE"""),"-33.684743,-70.996496")</f>
        <v>-33.684743,-70.996496</v>
      </c>
      <c r="C524" s="6" t="str">
        <f ca="1">IFERROR(__xludf.DUMMYFUNCTION("""COMPUTED_VALUE"""),"PASAJE JADE 7875")</f>
        <v>PASAJE JADE 7875</v>
      </c>
      <c r="D524" s="6" t="str">
        <f ca="1">IFERROR(__xludf.DUMMYFUNCTION("""COMPUTED_VALUE"""),"EL MONTE")</f>
        <v>EL MONTE</v>
      </c>
    </row>
    <row r="525" spans="1:4">
      <c r="A525" s="7">
        <f ca="1">IFERROR(__xludf.DUMMYFUNCTION("""COMPUTED_VALUE"""),43950)</f>
        <v>43950</v>
      </c>
      <c r="B525" s="6" t="str">
        <f ca="1">IFERROR(__xludf.DUMMYFUNCTION("""COMPUTED_VALUE"""),"-33.677775,-70.995240")</f>
        <v>-33.677775,-70.995240</v>
      </c>
      <c r="C525" s="6" t="str">
        <f ca="1">IFERROR(__xludf.DUMMYFUNCTION("""COMPUTED_VALUE"""),"LOS LIRIOS 744")</f>
        <v>LOS LIRIOS 744</v>
      </c>
      <c r="D525" s="6" t="str">
        <f ca="1">IFERROR(__xludf.DUMMYFUNCTION("""COMPUTED_VALUE"""),"EL MONTE")</f>
        <v>EL MONTE</v>
      </c>
    </row>
    <row r="526" spans="1:4">
      <c r="A526" s="7">
        <f ca="1">IFERROR(__xludf.DUMMYFUNCTION("""COMPUTED_VALUE"""),43950)</f>
        <v>43950</v>
      </c>
      <c r="B526" s="6" t="str">
        <f ca="1">IFERROR(__xludf.DUMMYFUNCTION("""COMPUTED_VALUE"""),"-33.677383,-70.994127")</f>
        <v>-33.677383,-70.994127</v>
      </c>
      <c r="C526" s="6" t="str">
        <f ca="1">IFERROR(__xludf.DUMMYFUNCTION("""COMPUTED_VALUE"""),"CARLOS CROVETTO 351")</f>
        <v>CARLOS CROVETTO 351</v>
      </c>
      <c r="D526" s="6" t="str">
        <f ca="1">IFERROR(__xludf.DUMMYFUNCTION("""COMPUTED_VALUE"""),"EL MONTE")</f>
        <v>EL MONTE</v>
      </c>
    </row>
    <row r="527" spans="1:4">
      <c r="A527" s="7">
        <f ca="1">IFERROR(__xludf.DUMMYFUNCTION("""COMPUTED_VALUE"""),43950)</f>
        <v>43950</v>
      </c>
      <c r="B527" s="6" t="str">
        <f ca="1">IFERROR(__xludf.DUMMYFUNCTION("""COMPUTED_VALUE"""),"-33.693373,-71.042326")</f>
        <v>-33.693373,-71.042326</v>
      </c>
      <c r="C527" s="6" t="str">
        <f ca="1">IFERROR(__xludf.DUMMYFUNCTION("""COMPUTED_VALUE"""),"LA RED 23")</f>
        <v>LA RED 23</v>
      </c>
      <c r="D527" s="6" t="str">
        <f ca="1">IFERROR(__xludf.DUMMYFUNCTION("""COMPUTED_VALUE"""),"EL MONTE")</f>
        <v>EL MONTE</v>
      </c>
    </row>
    <row r="528" spans="1:4">
      <c r="A528" s="7">
        <f ca="1">IFERROR(__xludf.DUMMYFUNCTION("""COMPUTED_VALUE"""),43950)</f>
        <v>43950</v>
      </c>
      <c r="B528" s="6" t="str">
        <f ca="1">IFERROR(__xludf.DUMMYFUNCTION("""COMPUTED_VALUE"""),"-33.676656,-70990431")</f>
        <v>-33.676656,-70990431</v>
      </c>
      <c r="C528" s="6" t="str">
        <f ca="1">IFERROR(__xludf.DUMMYFUNCTION("""COMPUTED_VALUE"""),"CARLOS CROVETTO 353")</f>
        <v>CARLOS CROVETTO 353</v>
      </c>
      <c r="D528" s="6" t="str">
        <f ca="1">IFERROR(__xludf.DUMMYFUNCTION("""COMPUTED_VALUE"""),"EL MONTE")</f>
        <v>EL MONTE</v>
      </c>
    </row>
    <row r="529" spans="1:4">
      <c r="A529" s="7">
        <f ca="1">IFERROR(__xludf.DUMMYFUNCTION("""COMPUTED_VALUE"""),43950)</f>
        <v>43950</v>
      </c>
      <c r="B529" s="6" t="str">
        <f ca="1">IFERROR(__xludf.DUMMYFUNCTION("""COMPUTED_VALUE"""),"-33.679681,-70.978486")</f>
        <v>-33.679681,-70.978486</v>
      </c>
      <c r="C529" s="6" t="str">
        <f ca="1">IFERROR(__xludf.DUMMYFUNCTION("""COMPUTED_VALUE"""),"AV IGNACIO CARRERA PINTO 057")</f>
        <v>AV IGNACIO CARRERA PINTO 057</v>
      </c>
      <c r="D529" s="6" t="str">
        <f ca="1">IFERROR(__xludf.DUMMYFUNCTION("""COMPUTED_VALUE"""),"EL MONTE")</f>
        <v>EL MONTE</v>
      </c>
    </row>
    <row r="530" spans="1:4">
      <c r="A530" s="7">
        <f ca="1">IFERROR(__xludf.DUMMYFUNCTION("""COMPUTED_VALUE"""),43951)</f>
        <v>43951</v>
      </c>
      <c r="B530" s="8" t="str">
        <f ca="1">IFERROR(__xludf.DUMMYFUNCTION("""COMPUTED_VALUE"""),"-33.726634, -70.744447")</f>
        <v>-33.726634, -70.744447</v>
      </c>
      <c r="C530" s="6" t="str">
        <f ca="1">IFERROR(__xludf.DUMMYFUNCTION("""COMPUTED_VALUE"""),"MANUEL BULNES 257")</f>
        <v>MANUEL BULNES 257</v>
      </c>
      <c r="D530" s="6" t="str">
        <f ca="1">IFERROR(__xludf.DUMMYFUNCTION("""COMPUTED_VALUE"""),"BUIN")</f>
        <v>BUIN</v>
      </c>
    </row>
    <row r="531" spans="1:4">
      <c r="A531" s="7">
        <f ca="1">IFERROR(__xludf.DUMMYFUNCTION("""COMPUTED_VALUE"""),43951)</f>
        <v>43951</v>
      </c>
      <c r="B531" s="8" t="str">
        <f ca="1">IFERROR(__xludf.DUMMYFUNCTION("""COMPUTED_VALUE"""),"-33.727464,-70.743583")</f>
        <v>-33.727464,-70.743583</v>
      </c>
      <c r="C531" s="6" t="str">
        <f ca="1">IFERROR(__xludf.DUMMYFUNCTION("""COMPUTED_VALUE"""),"MIGUEL CASTRO 610")</f>
        <v>MIGUEL CASTRO 610</v>
      </c>
      <c r="D531" s="6" t="str">
        <f ca="1">IFERROR(__xludf.DUMMYFUNCTION("""COMPUTED_VALUE"""),"BUIN")</f>
        <v>BUIN</v>
      </c>
    </row>
    <row r="532" spans="1:4">
      <c r="A532" s="7">
        <f ca="1">IFERROR(__xludf.DUMMYFUNCTION("""COMPUTED_VALUE"""),43951)</f>
        <v>43951</v>
      </c>
      <c r="B532" s="8" t="str">
        <f ca="1">IFERROR(__xludf.DUMMYFUNCTION("""COMPUTED_VALUE"""),"-33.7125837,-70.7415180")</f>
        <v>-33.7125837,-70.7415180</v>
      </c>
      <c r="C532" s="6" t="str">
        <f ca="1">IFERROR(__xludf.DUMMYFUNCTION("""COMPUTED_VALUE"""),"PASAJE RAUL ORTEGA 01577")</f>
        <v>PASAJE RAUL ORTEGA 01577</v>
      </c>
      <c r="D532" s="6" t="str">
        <f ca="1">IFERROR(__xludf.DUMMYFUNCTION("""COMPUTED_VALUE"""),"BUIN")</f>
        <v>BUIN</v>
      </c>
    </row>
    <row r="533" spans="1:4">
      <c r="A533" s="7">
        <f ca="1">IFERROR(__xludf.DUMMYFUNCTION("""COMPUTED_VALUE"""),43951)</f>
        <v>43951</v>
      </c>
      <c r="B533" s="8" t="str">
        <f ca="1">IFERROR(__xludf.DUMMYFUNCTION("""COMPUTED_VALUE"""),"-33.744977,-70.680412")</f>
        <v>-33.744977,-70.680412</v>
      </c>
      <c r="C533" s="6" t="str">
        <f ca="1">IFERROR(__xludf.DUMMYFUNCTION("""COMPUTED_VALUE"""),"ADAN GUZMAN 50")</f>
        <v>ADAN GUZMAN 50</v>
      </c>
      <c r="D533" s="6" t="str">
        <f ca="1">IFERROR(__xludf.DUMMYFUNCTION("""COMPUTED_VALUE"""),"BUIN")</f>
        <v>BUIN</v>
      </c>
    </row>
    <row r="534" spans="1:4">
      <c r="A534" s="7">
        <f ca="1">IFERROR(__xludf.DUMMYFUNCTION("""COMPUTED_VALUE"""),43951)</f>
        <v>43951</v>
      </c>
      <c r="B534" s="8" t="str">
        <f ca="1">IFERROR(__xludf.DUMMYFUNCTION("""COMPUTED_VALUE"""),"-33.780259,-70.795007")</f>
        <v>-33.780259,-70.795007</v>
      </c>
      <c r="C534" s="6" t="str">
        <f ca="1">IFERROR(__xludf.DUMMYFUNCTION("""COMPUTED_VALUE"""),"LAS ACACIAS CASA 11 ( VILUCO)")</f>
        <v>LAS ACACIAS CASA 11 ( VILUCO)</v>
      </c>
      <c r="D534" s="6" t="str">
        <f ca="1">IFERROR(__xludf.DUMMYFUNCTION("""COMPUTED_VALUE"""),"BUIN")</f>
        <v>BUIN</v>
      </c>
    </row>
    <row r="535" spans="1:4">
      <c r="A535" s="7">
        <f ca="1">IFERROR(__xludf.DUMMYFUNCTION("""COMPUTED_VALUE"""),43951)</f>
        <v>43951</v>
      </c>
      <c r="B535" s="6" t="str">
        <f ca="1">IFERROR(__xludf.DUMMYFUNCTION("""COMPUTED_VALUE"""),"-33.599577-70.879920")</f>
        <v>-33.599577-70.879920</v>
      </c>
      <c r="C535" s="6" t="str">
        <f ca="1">IFERROR(__xludf.DUMMYFUNCTION("""COMPUTED_VALUE"""),"AV. LARRAIN 2553")</f>
        <v>AV. LARRAIN 2553</v>
      </c>
      <c r="D535" s="6" t="str">
        <f ca="1">IFERROR(__xludf.DUMMYFUNCTION("""COMPUTED_VALUE"""),"PEÑAFLOR")</f>
        <v>PEÑAFLOR</v>
      </c>
    </row>
    <row r="536" spans="1:4">
      <c r="A536" s="7">
        <f ca="1">IFERROR(__xludf.DUMMYFUNCTION("""COMPUTED_VALUE"""),43951)</f>
        <v>43951</v>
      </c>
      <c r="B536" s="6" t="str">
        <f ca="1">IFERROR(__xludf.DUMMYFUNCTION("""COMPUTED_VALUE"""),"-33.599577-70.879920")</f>
        <v>-33.599577-70.879920</v>
      </c>
      <c r="C536" s="6" t="str">
        <f ca="1">IFERROR(__xludf.DUMMYFUNCTION("""COMPUTED_VALUE"""),"AV. LARRAIN 2553")</f>
        <v>AV. LARRAIN 2553</v>
      </c>
      <c r="D536" s="6" t="str">
        <f ca="1">IFERROR(__xludf.DUMMYFUNCTION("""COMPUTED_VALUE"""),"PEÑAFLOR")</f>
        <v>PEÑAFLOR</v>
      </c>
    </row>
    <row r="537" spans="1:4">
      <c r="A537" s="7">
        <f ca="1">IFERROR(__xludf.DUMMYFUNCTION("""COMPUTED_VALUE"""),43951)</f>
        <v>43951</v>
      </c>
      <c r="B537" s="6" t="str">
        <f ca="1">IFERROR(__xludf.DUMMYFUNCTION("""COMPUTED_VALUE"""),"-33.612405-70.876504")</f>
        <v>-33.612405-70.876504</v>
      </c>
      <c r="C537" s="6" t="str">
        <f ca="1">IFERROR(__xludf.DUMMYFUNCTION("""COMPUTED_VALUE"""),"MARIANO LATORRE 178")</f>
        <v>MARIANO LATORRE 178</v>
      </c>
      <c r="D537" s="6" t="str">
        <f ca="1">IFERROR(__xludf.DUMMYFUNCTION("""COMPUTED_VALUE"""),"PEÑAFLOR")</f>
        <v>PEÑAFLOR</v>
      </c>
    </row>
    <row r="538" spans="1:4">
      <c r="A538" s="7">
        <f ca="1">IFERROR(__xludf.DUMMYFUNCTION("""COMPUTED_VALUE"""),43951)</f>
        <v>43951</v>
      </c>
      <c r="B538" s="6" t="str">
        <f ca="1">IFERROR(__xludf.DUMMYFUNCTION("""COMPUTED_VALUE"""),"-33.6003-70.8819")</f>
        <v>-33.6003-70.8819</v>
      </c>
      <c r="C538" s="6" t="str">
        <f ca="1">IFERROR(__xludf.DUMMYFUNCTION("""COMPUTED_VALUE"""),"DOCE DE SEPTIEMBRE 2835")</f>
        <v>DOCE DE SEPTIEMBRE 2835</v>
      </c>
      <c r="D538" s="6" t="str">
        <f ca="1">IFERROR(__xludf.DUMMYFUNCTION("""COMPUTED_VALUE"""),"PEÑAFLOR")</f>
        <v>PEÑAFLOR</v>
      </c>
    </row>
    <row r="539" spans="1:4">
      <c r="A539" s="7">
        <f ca="1">IFERROR(__xludf.DUMMYFUNCTION("""COMPUTED_VALUE"""),43951)</f>
        <v>43951</v>
      </c>
      <c r="B539" s="6" t="str">
        <f ca="1">IFERROR(__xludf.DUMMYFUNCTION("""COMPUTED_VALUE"""),"-33.6039905-70.8727323")</f>
        <v>-33.6039905-70.8727323</v>
      </c>
      <c r="C539" s="6" t="str">
        <f ca="1">IFERROR(__xludf.DUMMYFUNCTION("""COMPUTED_VALUE"""),"LAS HORTENCIAS 1781")</f>
        <v>LAS HORTENCIAS 1781</v>
      </c>
      <c r="D539" s="6" t="str">
        <f ca="1">IFERROR(__xludf.DUMMYFUNCTION("""COMPUTED_VALUE"""),"PEÑAFLOR")</f>
        <v>PEÑAFLOR</v>
      </c>
    </row>
    <row r="540" spans="1:4">
      <c r="A540" s="7">
        <f ca="1">IFERROR(__xludf.DUMMYFUNCTION("""COMPUTED_VALUE"""),43951)</f>
        <v>43951</v>
      </c>
      <c r="B540" s="6" t="str">
        <f ca="1">IFERROR(__xludf.DUMMYFUNCTION("""COMPUTED_VALUE"""),"-33.6039905-70.8727323")</f>
        <v>-33.6039905-70.8727323</v>
      </c>
      <c r="C540" s="6" t="str">
        <f ca="1">IFERROR(__xludf.DUMMYFUNCTION("""COMPUTED_VALUE"""),"LAS HORTENCIAS 1781")</f>
        <v>LAS HORTENCIAS 1781</v>
      </c>
      <c r="D540" s="6" t="str">
        <f ca="1">IFERROR(__xludf.DUMMYFUNCTION("""COMPUTED_VALUE"""),"PEÑAFLOR")</f>
        <v>PEÑAFLOR</v>
      </c>
    </row>
    <row r="541" spans="1:4">
      <c r="A541" s="7">
        <f ca="1">IFERROR(__xludf.DUMMYFUNCTION("""COMPUTED_VALUE"""),43951)</f>
        <v>43951</v>
      </c>
      <c r="B541" s="6" t="str">
        <f ca="1">IFERROR(__xludf.DUMMYFUNCTION("""COMPUTED_VALUE"""),"-33.611635-70.875827")</f>
        <v>-33.611635-70.875827</v>
      </c>
      <c r="C541" s="6" t="str">
        <f ca="1">IFERROR(__xludf.DUMMYFUNCTION("""COMPUTED_VALUE"""),"MANUEL ROJAS 100")</f>
        <v>MANUEL ROJAS 100</v>
      </c>
      <c r="D541" s="6" t="str">
        <f ca="1">IFERROR(__xludf.DUMMYFUNCTION("""COMPUTED_VALUE"""),"PEÑAFLOR")</f>
        <v>PEÑAFLOR</v>
      </c>
    </row>
    <row r="542" spans="1:4">
      <c r="A542" s="7">
        <f ca="1">IFERROR(__xludf.DUMMYFUNCTION("""COMPUTED_VALUE"""),43951)</f>
        <v>43951</v>
      </c>
      <c r="B542" s="6" t="str">
        <f ca="1">IFERROR(__xludf.DUMMYFUNCTION("""COMPUTED_VALUE"""),"-33.6330-70.7573")</f>
        <v>-33.6330-70.7573</v>
      </c>
      <c r="C542" s="6" t="str">
        <f ca="1">IFERROR(__xludf.DUMMYFUNCTION("""COMPUTED_VALUE"""),"LAS ACACIAS 226")</f>
        <v>LAS ACACIAS 226</v>
      </c>
      <c r="D542" s="6" t="str">
        <f ca="1">IFERROR(__xludf.DUMMYFUNCTION("""COMPUTED_VALUE"""),"CALERA DE TANGO")</f>
        <v>CALERA DE TANGO</v>
      </c>
    </row>
    <row r="543" spans="1:4">
      <c r="A543" s="7">
        <f ca="1">IFERROR(__xludf.DUMMYFUNCTION("""COMPUTED_VALUE"""),43951)</f>
        <v>43951</v>
      </c>
      <c r="B543" s="6" t="str">
        <f ca="1">IFERROR(__xludf.DUMMYFUNCTION("""COMPUTED_VALUE"""),"-33.677423,-70.978225")</f>
        <v>-33.677423,-70.978225</v>
      </c>
      <c r="C543" s="6" t="str">
        <f ca="1">IFERROR(__xludf.DUMMYFUNCTION("""COMPUTED_VALUE"""),"ARTURO PRAT 77")</f>
        <v>ARTURO PRAT 77</v>
      </c>
      <c r="D543" s="6" t="str">
        <f ca="1">IFERROR(__xludf.DUMMYFUNCTION("""COMPUTED_VALUE"""),"EL MONTE")</f>
        <v>EL MONTE</v>
      </c>
    </row>
    <row r="544" spans="1:4">
      <c r="A544" s="7">
        <f ca="1">IFERROR(__xludf.DUMMYFUNCTION("""COMPUTED_VALUE"""),43952)</f>
        <v>43952</v>
      </c>
      <c r="B544" s="6" t="str">
        <f ca="1">IFERROR(__xludf.DUMMYFUNCTION("""COMPUTED_VALUE"""),"-33.598934-70.875848")</f>
        <v>-33.598934-70.875848</v>
      </c>
      <c r="C544" s="6" t="str">
        <f ca="1">IFERROR(__xludf.DUMMYFUNCTION("""COMPUTED_VALUE"""),"SALVADOR SILVA 2290")</f>
        <v>SALVADOR SILVA 2290</v>
      </c>
      <c r="D544" s="6" t="str">
        <f ca="1">IFERROR(__xludf.DUMMYFUNCTION("""COMPUTED_VALUE"""),"PEÑAFLOR")</f>
        <v>PEÑAFLOR</v>
      </c>
    </row>
    <row r="545" spans="1:4">
      <c r="A545" s="7">
        <f ca="1">IFERROR(__xludf.DUMMYFUNCTION("""COMPUTED_VALUE"""),43953)</f>
        <v>43953</v>
      </c>
      <c r="B545" s="6" t="str">
        <f ca="1">IFERROR(__xludf.DUMMYFUNCTION("""COMPUTED_VALUE"""),"-33.311573-70.863835")</f>
        <v>-33.311573-70.863835</v>
      </c>
      <c r="C545" s="6" t="str">
        <f ca="1">IFERROR(__xludf.DUMMYFUNCTION("""COMPUTED_VALUE"""),"CAMINO INTERIOR HACIENDA LAMPA LOTE 15")</f>
        <v>CAMINO INTERIOR HACIENDA LAMPA LOTE 15</v>
      </c>
      <c r="D545" s="6" t="str">
        <f ca="1">IFERROR(__xludf.DUMMYFUNCTION("""COMPUTED_VALUE"""),"LAMPA")</f>
        <v>LAMPA</v>
      </c>
    </row>
    <row r="546" spans="1:4">
      <c r="A546" s="7">
        <f ca="1">IFERROR(__xludf.DUMMYFUNCTION("""COMPUTED_VALUE"""),43953)</f>
        <v>43953</v>
      </c>
      <c r="B546" s="6" t="str">
        <f ca="1">IFERROR(__xludf.DUMMYFUNCTION("""COMPUTED_VALUE"""),"-33.311573-70.863835")</f>
        <v>-33.311573-70.863835</v>
      </c>
      <c r="C546" s="6" t="str">
        <f ca="1">IFERROR(__xludf.DUMMYFUNCTION("""COMPUTED_VALUE"""),"CAMINO INTERIOR HACIENDA LAMPA LOTE 15")</f>
        <v>CAMINO INTERIOR HACIENDA LAMPA LOTE 15</v>
      </c>
      <c r="D546" s="6" t="str">
        <f ca="1">IFERROR(__xludf.DUMMYFUNCTION("""COMPUTED_VALUE"""),"LAMPA")</f>
        <v>LAMPA</v>
      </c>
    </row>
    <row r="547" spans="1:4">
      <c r="A547" s="7">
        <f ca="1">IFERROR(__xludf.DUMMYFUNCTION("""COMPUTED_VALUE"""),43955)</f>
        <v>43955</v>
      </c>
      <c r="B547" s="8" t="str">
        <f ca="1">IFERROR(__xludf.DUMMYFUNCTION("""COMPUTED_VALUE"""),"-33.726033,-70.744307")</f>
        <v>-33.726033,-70.744307</v>
      </c>
      <c r="C547" s="6" t="str">
        <f ca="1">IFERROR(__xludf.DUMMYFUNCTION("""COMPUTED_VALUE"""),"OSVALDO WENZEL 656")</f>
        <v>OSVALDO WENZEL 656</v>
      </c>
      <c r="D547" s="6" t="str">
        <f ca="1">IFERROR(__xludf.DUMMYFUNCTION("""COMPUTED_VALUE"""),"BUIN")</f>
        <v>BUIN</v>
      </c>
    </row>
    <row r="548" spans="1:4">
      <c r="A548" s="7">
        <f ca="1">IFERROR(__xludf.DUMMYFUNCTION("""COMPUTED_VALUE"""),43955)</f>
        <v>43955</v>
      </c>
      <c r="B548" s="8" t="str">
        <f ca="1">IFERROR(__xludf.DUMMYFUNCTION("""COMPUTED_VALUE"""),"-33.678915,-70.950589")</f>
        <v>-33.678915,-70.950589</v>
      </c>
      <c r="C548" s="6" t="str">
        <f ca="1">IFERROR(__xludf.DUMMYFUNCTION("""COMPUTED_VALUE"""),"LOS CANELOS 1116")</f>
        <v>LOS CANELOS 1116</v>
      </c>
      <c r="D548" s="6" t="str">
        <f ca="1">IFERROR(__xludf.DUMMYFUNCTION("""COMPUTED_VALUE"""),"TALAGANTE")</f>
        <v>TALAGANTE</v>
      </c>
    </row>
    <row r="549" spans="1:4">
      <c r="A549" s="7">
        <f ca="1">IFERROR(__xludf.DUMMYFUNCTION("""COMPUTED_VALUE"""),43955)</f>
        <v>43955</v>
      </c>
      <c r="B549" s="8" t="str">
        <f ca="1">IFERROR(__xludf.DUMMYFUNCTION("""COMPUTED_VALUE"""),"-33.725300,-70.772903")</f>
        <v>-33.725300,-70.772903</v>
      </c>
      <c r="C549" s="6" t="str">
        <f ca="1">IFERROR(__xludf.DUMMYFUNCTION("""COMPUTED_VALUE"""),"LOS MAGNOLIOS 255")</f>
        <v>LOS MAGNOLIOS 255</v>
      </c>
      <c r="D549" s="6" t="str">
        <f ca="1">IFERROR(__xludf.DUMMYFUNCTION("""COMPUTED_VALUE"""),"BUIN")</f>
        <v>BUIN</v>
      </c>
    </row>
    <row r="550" spans="1:4">
      <c r="A550" s="7">
        <f ca="1">IFERROR(__xludf.DUMMYFUNCTION("""COMPUTED_VALUE"""),43955)</f>
        <v>43955</v>
      </c>
      <c r="B550" s="6" t="str">
        <f ca="1">IFERROR(__xludf.DUMMYFUNCTION("""COMPUTED_VALUE"""),"-33.60677834-70.8592385")</f>
        <v>-33.60677834-70.8592385</v>
      </c>
      <c r="C550" s="6" t="str">
        <f ca="1">IFERROR(__xludf.DUMMYFUNCTION("""COMPUTED_VALUE"""),"PASAJE RUDA 419 CASA 24")</f>
        <v>PASAJE RUDA 419 CASA 24</v>
      </c>
      <c r="D550" s="6" t="str">
        <f ca="1">IFERROR(__xludf.DUMMYFUNCTION("""COMPUTED_VALUE"""),"PEÑAFLOR")</f>
        <v>PEÑAFLOR</v>
      </c>
    </row>
    <row r="551" spans="1:4">
      <c r="A551" s="7">
        <f ca="1">IFERROR(__xludf.DUMMYFUNCTION("""COMPUTED_VALUE"""),43955)</f>
        <v>43955</v>
      </c>
      <c r="B551" s="6" t="str">
        <f ca="1">IFERROR(__xludf.DUMMYFUNCTION("""COMPUTED_VALUE"""),"-33.6107047-70.8757035")</f>
        <v>-33.6107047-70.8757035</v>
      </c>
      <c r="C551" s="6" t="str">
        <f ca="1">IFERROR(__xludf.DUMMYFUNCTION("""COMPUTED_VALUE"""),"VICUÑA MACKENNA 1584 A")</f>
        <v>VICUÑA MACKENNA 1584 A</v>
      </c>
      <c r="D551" s="6" t="str">
        <f ca="1">IFERROR(__xludf.DUMMYFUNCTION("""COMPUTED_VALUE"""),"PEÑAFLOR")</f>
        <v>PEÑAFLOR</v>
      </c>
    </row>
    <row r="552" spans="1:4">
      <c r="A552" s="7">
        <f ca="1">IFERROR(__xludf.DUMMYFUNCTION("""COMPUTED_VALUE"""),43955)</f>
        <v>43955</v>
      </c>
      <c r="B552" s="6" t="str">
        <f ca="1">IFERROR(__xludf.DUMMYFUNCTION("""COMPUTED_VALUE"""),"-33.5993-70.8751")</f>
        <v>-33.5993-70.8751</v>
      </c>
      <c r="C552" s="6" t="str">
        <f ca="1">IFERROR(__xludf.DUMMYFUNCTION("""COMPUTED_VALUE"""),"FRANCISCO BILBAO 75")</f>
        <v>FRANCISCO BILBAO 75</v>
      </c>
      <c r="D552" s="6" t="str">
        <f ca="1">IFERROR(__xludf.DUMMYFUNCTION("""COMPUTED_VALUE"""),"PEÑAFLOR")</f>
        <v>PEÑAFLOR</v>
      </c>
    </row>
    <row r="553" spans="1:4">
      <c r="A553" s="7">
        <f ca="1">IFERROR(__xludf.DUMMYFUNCTION("""COMPUTED_VALUE"""),43955)</f>
        <v>43955</v>
      </c>
      <c r="B553" s="6" t="str">
        <f ca="1">IFERROR(__xludf.DUMMYFUNCTION("""COMPUTED_VALUE"""),"-33.311573-70.8663835")</f>
        <v>-33.311573-70.8663835</v>
      </c>
      <c r="C553" s="6" t="str">
        <f ca="1">IFERROR(__xludf.DUMMYFUNCTION("""COMPUTED_VALUE"""),"CAMINO INTERIOR HACIENDA LAMPA LOTE 15")</f>
        <v>CAMINO INTERIOR HACIENDA LAMPA LOTE 15</v>
      </c>
      <c r="D553" s="6" t="str">
        <f ca="1">IFERROR(__xludf.DUMMYFUNCTION("""COMPUTED_VALUE"""),"LAMPA")</f>
        <v>LAMPA</v>
      </c>
    </row>
    <row r="554" spans="1:4">
      <c r="A554" s="7">
        <f ca="1">IFERROR(__xludf.DUMMYFUNCTION("""COMPUTED_VALUE"""),43955)</f>
        <v>43955</v>
      </c>
      <c r="B554" s="6" t="str">
        <f ca="1">IFERROR(__xludf.DUMMYFUNCTION("""COMPUTED_VALUE"""),"-33.225607-70.773819")</f>
        <v>-33.225607-70.773819</v>
      </c>
      <c r="C554" s="6" t="str">
        <f ca="1">IFERROR(__xludf.DUMMYFUNCTION("""COMPUTED_VALUE"""),"ASENT. EL MOLINO P/9")</f>
        <v>ASENT. EL MOLINO P/9</v>
      </c>
      <c r="D554" s="6" t="str">
        <f ca="1">IFERROR(__xludf.DUMMYFUNCTION("""COMPUTED_VALUE"""),"LAMPA")</f>
        <v>LAMPA</v>
      </c>
    </row>
    <row r="555" spans="1:4">
      <c r="A555" s="7">
        <f ca="1">IFERROR(__xludf.DUMMYFUNCTION("""COMPUTED_VALUE"""),43955)</f>
        <v>43955</v>
      </c>
      <c r="B555" s="6" t="str">
        <f ca="1">IFERROR(__xludf.DUMMYFUNCTION("""COMPUTED_VALUE"""),"-33.280551,-70.792531")</f>
        <v>-33.280551,-70.792531</v>
      </c>
      <c r="C555" s="6" t="str">
        <f ca="1">IFERROR(__xludf.DUMMYFUNCTION("""COMPUTED_VALUE"""),"CALLE LOS ESPINOS PAR 47")</f>
        <v>CALLE LOS ESPINOS PAR 47</v>
      </c>
      <c r="D555" s="6" t="str">
        <f ca="1">IFERROR(__xludf.DUMMYFUNCTION("""COMPUTED_VALUE"""),"LAMPA")</f>
        <v>LAMPA</v>
      </c>
    </row>
    <row r="556" spans="1:4">
      <c r="A556" s="7">
        <f ca="1">IFERROR(__xludf.DUMMYFUNCTION("""COMPUTED_VALUE"""),43955)</f>
        <v>43955</v>
      </c>
      <c r="B556" s="6" t="str">
        <f ca="1">IFERROR(__xludf.DUMMYFUNCTION("""COMPUTED_VALUE"""),"-33.681697,-70.998435")</f>
        <v>-33.681697,-70.998435</v>
      </c>
      <c r="C556" s="6" t="str">
        <f ca="1">IFERROR(__xludf.DUMMYFUNCTION("""COMPUTED_VALUE"""),"PJE CINCO PONIENTE 201")</f>
        <v>PJE CINCO PONIENTE 201</v>
      </c>
      <c r="D556" s="6" t="str">
        <f ca="1">IFERROR(__xludf.DUMMYFUNCTION("""COMPUTED_VALUE"""),"EL MONTE")</f>
        <v>EL MONTE</v>
      </c>
    </row>
    <row r="557" spans="1:4">
      <c r="A557" s="7">
        <f ca="1">IFERROR(__xludf.DUMMYFUNCTION("""COMPUTED_VALUE"""),43955)</f>
        <v>43955</v>
      </c>
      <c r="B557" s="6" t="str">
        <f ca="1">IFERROR(__xludf.DUMMYFUNCTION("""COMPUTED_VALUE"""),"-33.688931,-71.030435")</f>
        <v>-33.688931,-71.030435</v>
      </c>
      <c r="C557" s="6" t="str">
        <f ca="1">IFERROR(__xludf.DUMMYFUNCTION("""COMPUTED_VALUE"""),"EL CARMEN 090")</f>
        <v>EL CARMEN 090</v>
      </c>
      <c r="D557" s="6" t="str">
        <f ca="1">IFERROR(__xludf.DUMMYFUNCTION("""COMPUTED_VALUE"""),"EL MONTE")</f>
        <v>EL MONTE</v>
      </c>
    </row>
    <row r="558" spans="1:4">
      <c r="A558" s="7">
        <f ca="1">IFERROR(__xludf.DUMMYFUNCTION("""COMPUTED_VALUE"""),43955)</f>
        <v>43955</v>
      </c>
      <c r="B558" s="6" t="str">
        <f ca="1">IFERROR(__xludf.DUMMYFUNCTION("""COMPUTED_VALUE"""),"-33.682342,-70.998889")</f>
        <v>-33.682342,-70.998889</v>
      </c>
      <c r="C558" s="6" t="str">
        <f ca="1">IFERROR(__xludf.DUMMYFUNCTION("""COMPUTED_VALUE"""),"ERRAZURIZ 48")</f>
        <v>ERRAZURIZ 48</v>
      </c>
      <c r="D558" s="6" t="str">
        <f ca="1">IFERROR(__xludf.DUMMYFUNCTION("""COMPUTED_VALUE"""),"EL MONTE")</f>
        <v>EL MONTE</v>
      </c>
    </row>
    <row r="559" spans="1:4">
      <c r="A559" s="7">
        <f ca="1">IFERROR(__xludf.DUMMYFUNCTION("""COMPUTED_VALUE"""),43955)</f>
        <v>43955</v>
      </c>
      <c r="B559" s="6" t="str">
        <f ca="1">IFERROR(__xludf.DUMMYFUNCTION("""COMPUTED_VALUE"""),"-33.674079,-70.986169")</f>
        <v>-33.674079,-70.986169</v>
      </c>
      <c r="C559" s="6" t="str">
        <f ca="1">IFERROR(__xludf.DUMMYFUNCTION("""COMPUTED_VALUE"""),"ALTOS DEL MONTE 324")</f>
        <v>ALTOS DEL MONTE 324</v>
      </c>
      <c r="D559" s="6" t="str">
        <f ca="1">IFERROR(__xludf.DUMMYFUNCTION("""COMPUTED_VALUE"""),"EL MONTE")</f>
        <v>EL MONTE</v>
      </c>
    </row>
    <row r="560" spans="1:4">
      <c r="A560" s="7">
        <f ca="1">IFERROR(__xludf.DUMMYFUNCTION("""COMPUTED_VALUE"""),43956)</f>
        <v>43956</v>
      </c>
      <c r="B560" s="8" t="str">
        <f ca="1">IFERROR(__xludf.DUMMYFUNCTION("""COMPUTED_VALUE"""),"-33.284835,-70.882776")</f>
        <v>-33.284835,-70.882776</v>
      </c>
      <c r="C560" s="6" t="str">
        <f ca="1">IFERROR(__xludf.DUMMYFUNCTION("""COMPUTED_VALUE"""),"PADRE DEMETRIO BRAVO 680")</f>
        <v>PADRE DEMETRIO BRAVO 680</v>
      </c>
      <c r="D560" s="6" t="str">
        <f ca="1">IFERROR(__xludf.DUMMYFUNCTION("""COMPUTED_VALUE"""),"LAMPA")</f>
        <v>LAMPA</v>
      </c>
    </row>
    <row r="561" spans="1:4">
      <c r="A561" s="7">
        <f ca="1">IFERROR(__xludf.DUMMYFUNCTION("""COMPUTED_VALUE"""),43956)</f>
        <v>43956</v>
      </c>
      <c r="B561" s="8" t="str">
        <f ca="1">IFERROR(__xludf.DUMMYFUNCTION("""COMPUTED_VALUE"""),"-33.653652,-70.910784")</f>
        <v>-33.653652,-70.910784</v>
      </c>
      <c r="C561" s="6" t="str">
        <f ca="1">IFERROR(__xludf.DUMMYFUNCTION("""COMPUTED_VALUE"""),"VOLCAN HUDSON 529")</f>
        <v>VOLCAN HUDSON 529</v>
      </c>
      <c r="D561" s="6" t="str">
        <f ca="1">IFERROR(__xludf.DUMMYFUNCTION("""COMPUTED_VALUE"""),"TALAGANTE")</f>
        <v>TALAGANTE</v>
      </c>
    </row>
    <row r="562" spans="1:4">
      <c r="A562" s="7">
        <f ca="1">IFERROR(__xludf.DUMMYFUNCTION("""COMPUTED_VALUE"""),43956)</f>
        <v>43956</v>
      </c>
      <c r="B562" s="6" t="str">
        <f ca="1">IFERROR(__xludf.DUMMYFUNCTION("""COMPUTED_VALUE"""),"-33.257305-70.783425")</f>
        <v>-33.257305-70.783425</v>
      </c>
      <c r="C562" s="6" t="str">
        <f ca="1">IFERROR(__xludf.DUMMYFUNCTION("""COMPUTED_VALUE"""),"CAMINO SANTA ROSA PARC 240")</f>
        <v>CAMINO SANTA ROSA PARC 240</v>
      </c>
      <c r="D562" s="6" t="str">
        <f ca="1">IFERROR(__xludf.DUMMYFUNCTION("""COMPUTED_VALUE"""),"LAMPA")</f>
        <v>LAMPA</v>
      </c>
    </row>
    <row r="563" spans="1:4">
      <c r="A563" s="7">
        <f ca="1">IFERROR(__xludf.DUMMYFUNCTION("""COMPUTED_VALUE"""),43956)</f>
        <v>43956</v>
      </c>
      <c r="B563" s="6" t="str">
        <f ca="1">IFERROR(__xludf.DUMMYFUNCTION("""COMPUTED_VALUE"""),"-33.257305-70.783425")</f>
        <v>-33.257305-70.783425</v>
      </c>
      <c r="C563" s="6" t="str">
        <f ca="1">IFERROR(__xludf.DUMMYFUNCTION("""COMPUTED_VALUE"""),"CAMINO SANTA ROSA PARC 240")</f>
        <v>CAMINO SANTA ROSA PARC 240</v>
      </c>
      <c r="D563" s="6" t="str">
        <f ca="1">IFERROR(__xludf.DUMMYFUNCTION("""COMPUTED_VALUE"""),"LAMPA")</f>
        <v>LAMPA</v>
      </c>
    </row>
    <row r="564" spans="1:4">
      <c r="A564" s="7">
        <f ca="1">IFERROR(__xludf.DUMMYFUNCTION("""COMPUTED_VALUE"""),43956)</f>
        <v>43956</v>
      </c>
      <c r="B564" s="6" t="str">
        <f ca="1">IFERROR(__xludf.DUMMYFUNCTION("""COMPUTED_VALUE"""),"-33.252213-70.765120")</f>
        <v>-33.252213-70.765120</v>
      </c>
      <c r="C564" s="6" t="str">
        <f ca="1">IFERROR(__xludf.DUMMYFUNCTION("""COMPUTED_VALUE"""),"CAMINO SANTA ROSA 3040 PARCELA 240")</f>
        <v>CAMINO SANTA ROSA 3040 PARCELA 240</v>
      </c>
      <c r="D564" s="6" t="str">
        <f ca="1">IFERROR(__xludf.DUMMYFUNCTION("""COMPUTED_VALUE"""),"LAMPA")</f>
        <v>LAMPA</v>
      </c>
    </row>
    <row r="565" spans="1:4">
      <c r="A565" s="7">
        <f ca="1">IFERROR(__xludf.DUMMYFUNCTION("""COMPUTED_VALUE"""),43956)</f>
        <v>43956</v>
      </c>
      <c r="B565" s="6" t="str">
        <f ca="1">IFERROR(__xludf.DUMMYFUNCTION("""COMPUTED_VALUE"""),"-33.252213-70.765120")</f>
        <v>-33.252213-70.765120</v>
      </c>
      <c r="C565" s="6" t="str">
        <f ca="1">IFERROR(__xludf.DUMMYFUNCTION("""COMPUTED_VALUE"""),"CAMINO SANTA ROSA 3040 PARCELA 240")</f>
        <v>CAMINO SANTA ROSA 3040 PARCELA 240</v>
      </c>
      <c r="D565" s="6" t="str">
        <f ca="1">IFERROR(__xludf.DUMMYFUNCTION("""COMPUTED_VALUE"""),"LAMPA")</f>
        <v>LAMPA</v>
      </c>
    </row>
    <row r="566" spans="1:4">
      <c r="A566" s="7">
        <f ca="1">IFERROR(__xludf.DUMMYFUNCTION("""COMPUTED_VALUE"""),43956)</f>
        <v>43956</v>
      </c>
      <c r="B566" s="6" t="str">
        <f ca="1">IFERROR(__xludf.DUMMYFUNCTION("""COMPUTED_VALUE"""),"-33.5614007-70.8184837")</f>
        <v>-33.5614007-70.8184837</v>
      </c>
      <c r="C566" s="6" t="str">
        <f ca="1">IFERROR(__xludf.DUMMYFUNCTION("""COMPUTED_VALUE"""),"PRESIDENTE IBAÑEZ 2075")</f>
        <v>PRESIDENTE IBAÑEZ 2075</v>
      </c>
      <c r="D566" s="6" t="str">
        <f ca="1">IFERROR(__xludf.DUMMYFUNCTION("""COMPUTED_VALUE"""),"PADRE HURTADO")</f>
        <v>PADRE HURTADO</v>
      </c>
    </row>
    <row r="567" spans="1:4">
      <c r="A567" s="7">
        <f ca="1">IFERROR(__xludf.DUMMYFUNCTION("""COMPUTED_VALUE"""),43956)</f>
        <v>43956</v>
      </c>
      <c r="B567" s="6" t="str">
        <f ca="1">IFERROR(__xludf.DUMMYFUNCTION("""COMPUTED_VALUE"""),"-33.56562314-70.8186976")</f>
        <v>-33.56562314-70.8186976</v>
      </c>
      <c r="C567" s="6" t="str">
        <f ca="1">IFERROR(__xludf.DUMMYFUNCTION("""COMPUTED_VALUE"""),"JOSE LUIS CARO 615")</f>
        <v>JOSE LUIS CARO 615</v>
      </c>
      <c r="D567" s="6" t="str">
        <f ca="1">IFERROR(__xludf.DUMMYFUNCTION("""COMPUTED_VALUE"""),"PADRE HURTADO")</f>
        <v>PADRE HURTADO</v>
      </c>
    </row>
    <row r="568" spans="1:4">
      <c r="A568" s="7">
        <f ca="1">IFERROR(__xludf.DUMMYFUNCTION("""COMPUTED_VALUE"""),43956)</f>
        <v>43956</v>
      </c>
      <c r="B568" s="6" t="str">
        <f ca="1">IFERROR(__xludf.DUMMYFUNCTION("""COMPUTED_VALUE"""),"-33.617753-70.892983")</f>
        <v>-33.617753-70.892983</v>
      </c>
      <c r="C568" s="6" t="str">
        <f ca="1">IFERROR(__xludf.DUMMYFUNCTION("""COMPUTED_VALUE"""),"AV. CENTRAL 800")</f>
        <v>AV. CENTRAL 800</v>
      </c>
      <c r="D568" s="6" t="str">
        <f ca="1">IFERROR(__xludf.DUMMYFUNCTION("""COMPUTED_VALUE"""),"PEÑAFLOR")</f>
        <v>PEÑAFLOR</v>
      </c>
    </row>
    <row r="569" spans="1:4">
      <c r="A569" s="7">
        <f ca="1">IFERROR(__xludf.DUMMYFUNCTION("""COMPUTED_VALUE"""),43956)</f>
        <v>43956</v>
      </c>
      <c r="B569" s="6" t="str">
        <f ca="1">IFERROR(__xludf.DUMMYFUNCTION("""COMPUTED_VALUE"""),"-33.617753-70.892983")</f>
        <v>-33.617753-70.892983</v>
      </c>
      <c r="C569" s="6" t="str">
        <f ca="1">IFERROR(__xludf.DUMMYFUNCTION("""COMPUTED_VALUE"""),"AV. CENTRAL 800")</f>
        <v>AV. CENTRAL 800</v>
      </c>
      <c r="D569" s="6" t="str">
        <f ca="1">IFERROR(__xludf.DUMMYFUNCTION("""COMPUTED_VALUE"""),"PEÑAFLOR")</f>
        <v>PEÑAFLOR</v>
      </c>
    </row>
    <row r="570" spans="1:4">
      <c r="A570" s="7">
        <f ca="1">IFERROR(__xludf.DUMMYFUNCTION("""COMPUTED_VALUE"""),43956)</f>
        <v>43956</v>
      </c>
      <c r="B570" s="6" t="str">
        <f ca="1">IFERROR(__xludf.DUMMYFUNCTION("""COMPUTED_VALUE"""),"-33.60928624-70.8822337")</f>
        <v>-33.60928624-70.8822337</v>
      </c>
      <c r="C570" s="6" t="str">
        <f ca="1">IFERROR(__xludf.DUMMYFUNCTION("""COMPUTED_VALUE"""),"PASAJE NILAHUE 2421")</f>
        <v>PASAJE NILAHUE 2421</v>
      </c>
      <c r="D570" s="6" t="str">
        <f ca="1">IFERROR(__xludf.DUMMYFUNCTION("""COMPUTED_VALUE"""),"PEÑAFLOR")</f>
        <v>PEÑAFLOR</v>
      </c>
    </row>
    <row r="571" spans="1:4">
      <c r="A571" s="7">
        <f ca="1">IFERROR(__xludf.DUMMYFUNCTION("""COMPUTED_VALUE"""),43956)</f>
        <v>43956</v>
      </c>
      <c r="B571" s="6" t="str">
        <f ca="1">IFERROR(__xludf.DUMMYFUNCTION("""COMPUTED_VALUE"""),"-33.604606-70.850391")</f>
        <v>-33.604606-70.850391</v>
      </c>
      <c r="C571" s="6" t="str">
        <f ca="1">IFERROR(__xludf.DUMMYFUNCTION("""COMPUTED_VALUE"""),"PAUL HARRIS 180")</f>
        <v>PAUL HARRIS 180</v>
      </c>
      <c r="D571" s="6" t="str">
        <f ca="1">IFERROR(__xludf.DUMMYFUNCTION("""COMPUTED_VALUE"""),"PEÑAFLOR")</f>
        <v>PEÑAFLOR</v>
      </c>
    </row>
    <row r="572" spans="1:4">
      <c r="A572" s="7">
        <f ca="1">IFERROR(__xludf.DUMMYFUNCTION("""COMPUTED_VALUE"""),43956)</f>
        <v>43956</v>
      </c>
      <c r="B572" s="6" t="str">
        <f ca="1">IFERROR(__xludf.DUMMYFUNCTION("""COMPUTED_VALUE"""),"-33.604519-70.851986")</f>
        <v>-33.604519-70.851986</v>
      </c>
      <c r="C572" s="6" t="str">
        <f ca="1">IFERROR(__xludf.DUMMYFUNCTION("""COMPUTED_VALUE"""),"PAUL HARRIS 180 B")</f>
        <v>PAUL HARRIS 180 B</v>
      </c>
      <c r="D572" s="6" t="str">
        <f ca="1">IFERROR(__xludf.DUMMYFUNCTION("""COMPUTED_VALUE"""),"PEÑAFLOR")</f>
        <v>PEÑAFLOR</v>
      </c>
    </row>
    <row r="573" spans="1:4">
      <c r="A573" s="7">
        <f ca="1">IFERROR(__xludf.DUMMYFUNCTION("""COMPUTED_VALUE"""),43956)</f>
        <v>43956</v>
      </c>
      <c r="B573" s="6" t="str">
        <f ca="1">IFERROR(__xludf.DUMMYFUNCTION("""COMPUTED_VALUE"""),"-33.677160,-70.992838")</f>
        <v>-33.677160,-70.992838</v>
      </c>
      <c r="C573" s="6" t="str">
        <f ca="1">IFERROR(__xludf.DUMMYFUNCTION("""COMPUTED_VALUE"""),"LOS LIRIOS 326")</f>
        <v>LOS LIRIOS 326</v>
      </c>
      <c r="D573" s="6" t="str">
        <f ca="1">IFERROR(__xludf.DUMMYFUNCTION("""COMPUTED_VALUE"""),"EL MONTE")</f>
        <v>EL MONTE</v>
      </c>
    </row>
    <row r="574" spans="1:4">
      <c r="A574" s="7">
        <f ca="1">IFERROR(__xludf.DUMMYFUNCTION("""COMPUTED_VALUE"""),43956)</f>
        <v>43956</v>
      </c>
      <c r="B574" s="6" t="str">
        <f ca="1">IFERROR(__xludf.DUMMYFUNCTION("""COMPUTED_VALUE"""),"-33.686408,-71.006591")</f>
        <v>-33.686408,-71.006591</v>
      </c>
      <c r="C574" s="6" t="str">
        <f ca="1">IFERROR(__xludf.DUMMYFUNCTION("""COMPUTED_VALUE"""),"LOS TULIPANES 877")</f>
        <v>LOS TULIPANES 877</v>
      </c>
      <c r="D574" s="6" t="str">
        <f ca="1">IFERROR(__xludf.DUMMYFUNCTION("""COMPUTED_VALUE"""),"EL MONTE")</f>
        <v>EL MONTE</v>
      </c>
    </row>
    <row r="575" spans="1:4">
      <c r="A575" s="7">
        <f ca="1">IFERROR(__xludf.DUMMYFUNCTION("""COMPUTED_VALUE"""),43956)</f>
        <v>43956</v>
      </c>
      <c r="B575" s="6" t="str">
        <f ca="1">IFERROR(__xludf.DUMMYFUNCTION("""COMPUTED_VALUE"""),"-33.690065,-71.030885")</f>
        <v>-33.690065,-71.030885</v>
      </c>
      <c r="C575" s="6" t="str">
        <f ca="1">IFERROR(__xludf.DUMMYFUNCTION("""COMPUTED_VALUE"""),"YUNGAY 93")</f>
        <v>YUNGAY 93</v>
      </c>
      <c r="D575" s="6" t="str">
        <f ca="1">IFERROR(__xludf.DUMMYFUNCTION("""COMPUTED_VALUE"""),"EL MONTE")</f>
        <v>EL MONTE</v>
      </c>
    </row>
    <row r="576" spans="1:4">
      <c r="A576" s="7">
        <f ca="1">IFERROR(__xludf.DUMMYFUNCTION("""COMPUTED_VALUE"""),43956)</f>
        <v>43956</v>
      </c>
      <c r="B576" s="6" t="str">
        <f ca="1">IFERROR(__xludf.DUMMYFUNCTION("""COMPUTED_VALUE"""),"-33.676242,-70.989582")</f>
        <v>-33.676242,-70.989582</v>
      </c>
      <c r="C576" s="6" t="str">
        <f ca="1">IFERROR(__xludf.DUMMYFUNCTION("""COMPUTED_VALUE"""),"LA CONTITUCION 579")</f>
        <v>LA CONTITUCION 579</v>
      </c>
      <c r="D576" s="6" t="str">
        <f ca="1">IFERROR(__xludf.DUMMYFUNCTION("""COMPUTED_VALUE"""),"EL MONTE")</f>
        <v>EL MONTE</v>
      </c>
    </row>
    <row r="577" spans="1:4">
      <c r="A577" s="7">
        <f ca="1">IFERROR(__xludf.DUMMYFUNCTION("""COMPUTED_VALUE"""),43957)</f>
        <v>43957</v>
      </c>
      <c r="B577" s="8" t="str">
        <f ca="1">IFERROR(__xludf.DUMMYFUNCTION("""COMPUTED_VALUE"""),"-33.761347,-70.738522")</f>
        <v>-33.761347,-70.738522</v>
      </c>
      <c r="C577" s="6" t="str">
        <f ca="1">IFERROR(__xludf.DUMMYFUNCTION("""COMPUTED_VALUE"""),"LAS CAMELIAS 2453")</f>
        <v>LAS CAMELIAS 2453</v>
      </c>
      <c r="D577" s="6" t="str">
        <f ca="1">IFERROR(__xludf.DUMMYFUNCTION("""COMPUTED_VALUE"""),"BUIN")</f>
        <v>BUIN</v>
      </c>
    </row>
    <row r="578" spans="1:4">
      <c r="A578" s="7">
        <f ca="1">IFERROR(__xludf.DUMMYFUNCTION("""COMPUTED_VALUE"""),43957)</f>
        <v>43957</v>
      </c>
      <c r="B578" s="8" t="str">
        <f ca="1">IFERROR(__xludf.DUMMYFUNCTION("""COMPUTED_VALUE"""),"-33.7141890,-70.7368426")</f>
        <v>-33.7141890,-70.7368426</v>
      </c>
      <c r="C578" s="6" t="str">
        <f ca="1">IFERROR(__xludf.DUMMYFUNCTION("""COMPUTED_VALUE"""),"LA COORDINADORA01400")</f>
        <v>LA COORDINADORA01400</v>
      </c>
      <c r="D578" s="6" t="str">
        <f ca="1">IFERROR(__xludf.DUMMYFUNCTION("""COMPUTED_VALUE"""),"BUIN")</f>
        <v>BUIN</v>
      </c>
    </row>
    <row r="579" spans="1:4">
      <c r="A579" s="7">
        <f ca="1">IFERROR(__xludf.DUMMYFUNCTION("""COMPUTED_VALUE"""),43957)</f>
        <v>43957</v>
      </c>
      <c r="B579" s="8" t="str">
        <f ca="1">IFERROR(__xludf.DUMMYFUNCTION("""COMPUTED_VALUE"""),"-33.736881,-70.6817")</f>
        <v>-33.736881,-70.6817</v>
      </c>
      <c r="C579" s="6" t="str">
        <f ca="1">IFERROR(__xludf.DUMMYFUNCTION("""COMPUTED_VALUE"""),"RAMON RUBIO PEZOA 075")</f>
        <v>RAMON RUBIO PEZOA 075</v>
      </c>
      <c r="D579" s="6" t="str">
        <f ca="1">IFERROR(__xludf.DUMMYFUNCTION("""COMPUTED_VALUE"""),"BUIN")</f>
        <v>BUIN</v>
      </c>
    </row>
    <row r="580" spans="1:4">
      <c r="A580" s="7">
        <f ca="1">IFERROR(__xludf.DUMMYFUNCTION("""COMPUTED_VALUE"""),43957)</f>
        <v>43957</v>
      </c>
      <c r="B580" s="8" t="str">
        <f ca="1">IFERROR(__xludf.DUMMYFUNCTION("""COMPUTED_VALUE"""),"-33.714309,-70.742859")</f>
        <v>-33.714309,-70.742859</v>
      </c>
      <c r="C580" s="6" t="str">
        <f ca="1">IFERROR(__xludf.DUMMYFUNCTION("""COMPUTED_VALUE"""),"PRIMERA PIEDRA E 304")</f>
        <v>PRIMERA PIEDRA E 304</v>
      </c>
      <c r="D580" s="6" t="str">
        <f ca="1">IFERROR(__xludf.DUMMYFUNCTION("""COMPUTED_VALUE"""),"BUIN")</f>
        <v>BUIN</v>
      </c>
    </row>
    <row r="581" spans="1:4">
      <c r="A581" s="7">
        <f ca="1">IFERROR(__xludf.DUMMYFUNCTION("""COMPUTED_VALUE"""),43957)</f>
        <v>43957</v>
      </c>
      <c r="B581" s="8" t="str">
        <f ca="1">IFERROR(__xludf.DUMMYFUNCTION("""COMPUTED_VALUE"""),"-33.723830,-70.737185")</f>
        <v>-33.723830,-70.737185</v>
      </c>
      <c r="C581" s="6" t="str">
        <f ca="1">IFERROR(__xludf.DUMMYFUNCTION("""COMPUTED_VALUE"""),"PASAJE OCHO NRO 21")</f>
        <v>PASAJE OCHO NRO 21</v>
      </c>
      <c r="D581" s="6" t="str">
        <f ca="1">IFERROR(__xludf.DUMMYFUNCTION("""COMPUTED_VALUE"""),"BUIN")</f>
        <v>BUIN</v>
      </c>
    </row>
    <row r="582" spans="1:4">
      <c r="A582" s="7">
        <f ca="1">IFERROR(__xludf.DUMMYFUNCTION("""COMPUTED_VALUE"""),43957)</f>
        <v>43957</v>
      </c>
      <c r="B582" s="8" t="str">
        <f ca="1">IFERROR(__xludf.DUMMYFUNCTION("""COMPUTED_VALUE"""),"-33.221426,-70.777615")</f>
        <v>-33.221426,-70.777615</v>
      </c>
      <c r="C582" s="6" t="str">
        <f ca="1">IFERROR(__xludf.DUMMYFUNCTION("""COMPUTED_VALUE"""),"CAMINO INTERIOR SITIO B  NRO 1")</f>
        <v>CAMINO INTERIOR SITIO B  NRO 1</v>
      </c>
      <c r="D582" s="6" t="str">
        <f ca="1">IFERROR(__xludf.DUMMYFUNCTION("""COMPUTED_VALUE"""),"LAMPA")</f>
        <v>LAMPA</v>
      </c>
    </row>
    <row r="583" spans="1:4">
      <c r="A583" s="7">
        <f ca="1">IFERROR(__xludf.DUMMYFUNCTION("""COMPUTED_VALUE"""),43957)</f>
        <v>43957</v>
      </c>
      <c r="B583" s="8" t="str">
        <f ca="1">IFERROR(__xludf.DUMMYFUNCTION("""COMPUTED_VALUE"""),"-33.654512,-70.911408")</f>
        <v>-33.654512,-70.911408</v>
      </c>
      <c r="C583" s="6" t="str">
        <f ca="1">IFERROR(__xludf.DUMMYFUNCTION("""COMPUTED_VALUE"""),"AV SAN MARTIN 0442")</f>
        <v>AV SAN MARTIN 0442</v>
      </c>
      <c r="D583" s="6" t="str">
        <f ca="1">IFERROR(__xludf.DUMMYFUNCTION("""COMPUTED_VALUE"""),"TALAGANTE")</f>
        <v>TALAGANTE</v>
      </c>
    </row>
    <row r="584" spans="1:4">
      <c r="A584" s="7">
        <f ca="1">IFERROR(__xludf.DUMMYFUNCTION("""COMPUTED_VALUE"""),43957)</f>
        <v>43957</v>
      </c>
      <c r="B584" s="6" t="str">
        <f ca="1">IFERROR(__xludf.DUMMYFUNCTION("""COMPUTED_VALUE"""),"-33.6128597-70.8981418")</f>
        <v>-33.6128597-70.8981418</v>
      </c>
      <c r="C584" s="6" t="str">
        <f ca="1">IFERROR(__xludf.DUMMYFUNCTION("""COMPUTED_VALUE"""),"GOEMBACH 141")</f>
        <v>GOEMBACH 141</v>
      </c>
      <c r="D584" s="6" t="str">
        <f ca="1">IFERROR(__xludf.DUMMYFUNCTION("""COMPUTED_VALUE"""),"PEÑAFLOR")</f>
        <v>PEÑAFLOR</v>
      </c>
    </row>
    <row r="585" spans="1:4">
      <c r="A585" s="7">
        <f ca="1">IFERROR(__xludf.DUMMYFUNCTION("""COMPUTED_VALUE"""),43957)</f>
        <v>43957</v>
      </c>
      <c r="B585" s="6" t="str">
        <f ca="1">IFERROR(__xludf.DUMMYFUNCTION("""COMPUTED_VALUE"""),"-33.6125887-70.8977384")</f>
        <v>-33.6125887-70.8977384</v>
      </c>
      <c r="C585" s="6" t="str">
        <f ca="1">IFERROR(__xludf.DUMMYFUNCTION("""COMPUTED_VALUE"""),"GOEMBACH INTERIOR 124")</f>
        <v>GOEMBACH INTERIOR 124</v>
      </c>
      <c r="D585" s="6" t="str">
        <f ca="1">IFERROR(__xludf.DUMMYFUNCTION("""COMPUTED_VALUE"""),"PEÑAFLOR")</f>
        <v>PEÑAFLOR</v>
      </c>
    </row>
    <row r="586" spans="1:4">
      <c r="A586" s="7">
        <f ca="1">IFERROR(__xludf.DUMMYFUNCTION("""COMPUTED_VALUE"""),43957)</f>
        <v>43957</v>
      </c>
      <c r="B586" s="6" t="str">
        <f ca="1">IFERROR(__xludf.DUMMYFUNCTION("""COMPUTED_VALUE"""),"-33.614063-70.862357")</f>
        <v>-33.614063-70.862357</v>
      </c>
      <c r="C586" s="6" t="str">
        <f ca="1">IFERROR(__xludf.DUMMYFUNCTION("""COMPUTED_VALUE"""),"TORIBIO LARRAIN 1501")</f>
        <v>TORIBIO LARRAIN 1501</v>
      </c>
      <c r="D586" s="6" t="str">
        <f ca="1">IFERROR(__xludf.DUMMYFUNCTION("""COMPUTED_VALUE"""),"PEÑAFLOR")</f>
        <v>PEÑAFLOR</v>
      </c>
    </row>
    <row r="587" spans="1:4">
      <c r="A587" s="7">
        <f ca="1">IFERROR(__xludf.DUMMYFUNCTION("""COMPUTED_VALUE"""),43957)</f>
        <v>43957</v>
      </c>
      <c r="B587" s="6" t="str">
        <f ca="1">IFERROR(__xludf.DUMMYFUNCTION("""COMPUTED_VALUE"""),"-33.603446-70.867544")</f>
        <v>-33.603446-70.867544</v>
      </c>
      <c r="C587" s="6" t="str">
        <f ca="1">IFERROR(__xludf.DUMMYFUNCTION("""COMPUTED_VALUE"""),"TRONCAL 1305")</f>
        <v>TRONCAL 1305</v>
      </c>
      <c r="D587" s="6" t="str">
        <f ca="1">IFERROR(__xludf.DUMMYFUNCTION("""COMPUTED_VALUE"""),"PEÑAFLOR")</f>
        <v>PEÑAFLOR</v>
      </c>
    </row>
    <row r="588" spans="1:4">
      <c r="A588" s="7">
        <f ca="1">IFERROR(__xludf.DUMMYFUNCTION("""COMPUTED_VALUE"""),43957)</f>
        <v>43957</v>
      </c>
      <c r="B588" s="6" t="str">
        <f ca="1">IFERROR(__xludf.DUMMYFUNCTION("""COMPUTED_VALUE"""),"-33.6064273-70.8651952")</f>
        <v>-33.6064273-70.8651952</v>
      </c>
      <c r="C588" s="6" t="str">
        <f ca="1">IFERROR(__xludf.DUMMYFUNCTION("""COMPUTED_VALUE"""),"FRAY JORGE 804")</f>
        <v>FRAY JORGE 804</v>
      </c>
      <c r="D588" s="6" t="str">
        <f ca="1">IFERROR(__xludf.DUMMYFUNCTION("""COMPUTED_VALUE"""),"PEÑAFLOR")</f>
        <v>PEÑAFLOR</v>
      </c>
    </row>
    <row r="589" spans="1:4">
      <c r="A589" s="7">
        <f ca="1">IFERROR(__xludf.DUMMYFUNCTION("""COMPUTED_VALUE"""),43957)</f>
        <v>43957</v>
      </c>
      <c r="B589" s="6" t="str">
        <f ca="1">IFERROR(__xludf.DUMMYFUNCTION("""COMPUTED_VALUE"""),"-33.603531-70.871794")</f>
        <v>-33.603531-70.871794</v>
      </c>
      <c r="C589" s="6" t="str">
        <f ca="1">IFERROR(__xludf.DUMMYFUNCTION("""COMPUTED_VALUE"""),"LOS NOGALES 460")</f>
        <v>LOS NOGALES 460</v>
      </c>
      <c r="D589" s="6" t="str">
        <f ca="1">IFERROR(__xludf.DUMMYFUNCTION("""COMPUTED_VALUE"""),"PEÑAFLOR")</f>
        <v>PEÑAFLOR</v>
      </c>
    </row>
    <row r="590" spans="1:4">
      <c r="A590" s="7">
        <f ca="1">IFERROR(__xludf.DUMMYFUNCTION("""COMPUTED_VALUE"""),43957)</f>
        <v>43957</v>
      </c>
      <c r="B590" s="6" t="str">
        <f ca="1">IFERROR(__xludf.DUMMYFUNCTION("""COMPUTED_VALUE"""),"-33.61406644-70.9031202")</f>
        <v>-33.61406644-70.9031202</v>
      </c>
      <c r="C590" s="6" t="str">
        <f ca="1">IFERROR(__xludf.DUMMYFUNCTION("""COMPUTED_VALUE"""),"CALLE UNO 404")</f>
        <v>CALLE UNO 404</v>
      </c>
      <c r="D590" s="6" t="str">
        <f ca="1">IFERROR(__xludf.DUMMYFUNCTION("""COMPUTED_VALUE"""),"PEÑAFLOR")</f>
        <v>PEÑAFLOR</v>
      </c>
    </row>
    <row r="591" spans="1:4">
      <c r="A591" s="7">
        <f ca="1">IFERROR(__xludf.DUMMYFUNCTION("""COMPUTED_VALUE"""),43957)</f>
        <v>43957</v>
      </c>
      <c r="B591" s="6" t="str">
        <f ca="1">IFERROR(__xludf.DUMMYFUNCTION("""COMPUTED_VALUE"""),"-33.198536,-70.662969")</f>
        <v>-33.198536,-70.662969</v>
      </c>
      <c r="C591" s="6" t="str">
        <f ca="1">IFERROR(__xludf.DUMMYFUNCTION("""COMPUTED_VALUE"""),"PASAJE 3 NORTE 0260")</f>
        <v>PASAJE 3 NORTE 0260</v>
      </c>
      <c r="D591" s="6" t="str">
        <f ca="1">IFERROR(__xludf.DUMMYFUNCTION("""COMPUTED_VALUE"""),"COLINA")</f>
        <v>COLINA</v>
      </c>
    </row>
    <row r="592" spans="1:4">
      <c r="A592" s="7">
        <f ca="1">IFERROR(__xludf.DUMMYFUNCTION("""COMPUTED_VALUE"""),43958)</f>
        <v>43958</v>
      </c>
      <c r="B592" s="8" t="str">
        <f ca="1">IFERROR(__xludf.DUMMYFUNCTION("""COMPUTED_VALUE"""),"-33.722103,-70.772177")</f>
        <v>-33.722103,-70.772177</v>
      </c>
      <c r="C592" s="6" t="str">
        <f ca="1">IFERROR(__xludf.DUMMYFUNCTION("""COMPUTED_VALUE"""),"MARIA ELENA SOTO 642")</f>
        <v>MARIA ELENA SOTO 642</v>
      </c>
      <c r="D592" s="6" t="str">
        <f ca="1">IFERROR(__xludf.DUMMYFUNCTION("""COMPUTED_VALUE"""),"BUIN")</f>
        <v>BUIN</v>
      </c>
    </row>
    <row r="593" spans="1:4">
      <c r="A593" s="7">
        <f ca="1">IFERROR(__xludf.DUMMYFUNCTION("""COMPUTED_VALUE"""),43958)</f>
        <v>43958</v>
      </c>
      <c r="B593" s="8" t="str">
        <f ca="1">IFERROR(__xludf.DUMMYFUNCTION("""COMPUTED_VALUE"""),"-33.299745,-70.881096")</f>
        <v>-33.299745,-70.881096</v>
      </c>
      <c r="C593" s="6" t="str">
        <f ca="1">IFERROR(__xludf.DUMMYFUNCTION("""COMPUTED_VALUE"""),"CAMINO LAS FLORES 1008")</f>
        <v>CAMINO LAS FLORES 1008</v>
      </c>
      <c r="D593" s="6" t="str">
        <f ca="1">IFERROR(__xludf.DUMMYFUNCTION("""COMPUTED_VALUE"""),"LAMPA")</f>
        <v>LAMPA</v>
      </c>
    </row>
    <row r="594" spans="1:4">
      <c r="A594" s="7">
        <f ca="1">IFERROR(__xludf.DUMMYFUNCTION("""COMPUTED_VALUE"""),43958)</f>
        <v>43958</v>
      </c>
      <c r="B594" s="6" t="str">
        <f ca="1">IFERROR(__xludf.DUMMYFUNCTION("""COMPUTED_VALUE"""),"-33.225009-70.836815")</f>
        <v>-33.225009-70.836815</v>
      </c>
      <c r="C594" s="6" t="str">
        <f ca="1">IFERROR(__xludf.DUMMYFUNCTION("""COMPUTED_VALUE"""),"LO FONTECILLA INT C-2")</f>
        <v>LO FONTECILLA INT C-2</v>
      </c>
      <c r="D594" s="6" t="str">
        <f ca="1">IFERROR(__xludf.DUMMYFUNCTION("""COMPUTED_VALUE"""),"LAMPA")</f>
        <v>LAMPA</v>
      </c>
    </row>
    <row r="595" spans="1:4">
      <c r="A595" s="7">
        <f ca="1">IFERROR(__xludf.DUMMYFUNCTION("""COMPUTED_VALUE"""),43958)</f>
        <v>43958</v>
      </c>
      <c r="B595" s="6" t="str">
        <f ca="1">IFERROR(__xludf.DUMMYFUNCTION("""COMPUTED_VALUE"""),"-33.21998154-70.8329385")</f>
        <v>-33.21998154-70.8329385</v>
      </c>
      <c r="C595" s="6" t="str">
        <f ca="1">IFERROR(__xludf.DUMMYFUNCTION("""COMPUTED_VALUE"""),"PJE LAS GARZAS SUR 2717")</f>
        <v>PJE LAS GARZAS SUR 2717</v>
      </c>
      <c r="D595" s="6" t="str">
        <f ca="1">IFERROR(__xludf.DUMMYFUNCTION("""COMPUTED_VALUE"""),"LAMPA")</f>
        <v>LAMPA</v>
      </c>
    </row>
    <row r="596" spans="1:4">
      <c r="A596" s="7">
        <f ca="1">IFERROR(__xludf.DUMMYFUNCTION("""COMPUTED_VALUE"""),43958)</f>
        <v>43958</v>
      </c>
      <c r="B596" s="6" t="str">
        <f ca="1">IFERROR(__xludf.DUMMYFUNCTION("""COMPUTED_VALUE"""),"-33.627762-70.922446")</f>
        <v>-33.627762-70.922446</v>
      </c>
      <c r="C596" s="6" t="str">
        <f ca="1">IFERROR(__xludf.DUMMYFUNCTION("""COMPUTED_VALUE"""),"SANTO TORIBIO 13")</f>
        <v>SANTO TORIBIO 13</v>
      </c>
      <c r="D596" s="6" t="str">
        <f ca="1">IFERROR(__xludf.DUMMYFUNCTION("""COMPUTED_VALUE"""),"PEÑAFLOR")</f>
        <v>PEÑAFLOR</v>
      </c>
    </row>
    <row r="597" spans="1:4">
      <c r="A597" s="7">
        <f ca="1">IFERROR(__xludf.DUMMYFUNCTION("""COMPUTED_VALUE"""),43958)</f>
        <v>43958</v>
      </c>
      <c r="B597" s="6" t="str">
        <f ca="1">IFERROR(__xludf.DUMMYFUNCTION("""COMPUTED_VALUE"""),"-33.60644344-70.906547")</f>
        <v>-33.60644344-70.906547</v>
      </c>
      <c r="C597" s="6" t="str">
        <f ca="1">IFERROR(__xludf.DUMMYFUNCTION("""COMPUTED_VALUE"""),"PJE OTOÑAL 661")</f>
        <v>PJE OTOÑAL 661</v>
      </c>
      <c r="D597" s="6" t="str">
        <f ca="1">IFERROR(__xludf.DUMMYFUNCTION("""COMPUTED_VALUE"""),"PEÑAFLOR")</f>
        <v>PEÑAFLOR</v>
      </c>
    </row>
    <row r="598" spans="1:4">
      <c r="A598" s="7">
        <f ca="1">IFERROR(__xludf.DUMMYFUNCTION("""COMPUTED_VALUE"""),43958)</f>
        <v>43958</v>
      </c>
      <c r="B598" s="6" t="str">
        <f ca="1">IFERROR(__xludf.DUMMYFUNCTION("""COMPUTED_VALUE"""),"-33.619709-70.867175")</f>
        <v>-33.619709-70.867175</v>
      </c>
      <c r="C598" s="6" t="str">
        <f ca="1">IFERROR(__xludf.DUMMYFUNCTION("""COMPUTED_VALUE"""),"LAS PALMERAS 101")</f>
        <v>LAS PALMERAS 101</v>
      </c>
      <c r="D598" s="6" t="str">
        <f ca="1">IFERROR(__xludf.DUMMYFUNCTION("""COMPUTED_VALUE"""),"PEÑAFLOR")</f>
        <v>PEÑAFLOR</v>
      </c>
    </row>
    <row r="599" spans="1:4">
      <c r="A599" s="7">
        <f ca="1">IFERROR(__xludf.DUMMYFUNCTION("""COMPUTED_VALUE"""),43958)</f>
        <v>43958</v>
      </c>
      <c r="B599" s="6" t="str">
        <f ca="1">IFERROR(__xludf.DUMMYFUNCTION("""COMPUTED_VALUE"""),"-33.6089-70.8514")</f>
        <v>-33.6089-70.8514</v>
      </c>
      <c r="C599" s="6" t="str">
        <f ca="1">IFERROR(__xludf.DUMMYFUNCTION("""COMPUTED_VALUE"""),"CALETERA ORIENTE 0824")</f>
        <v>CALETERA ORIENTE 0824</v>
      </c>
      <c r="D599" s="6" t="str">
        <f ca="1">IFERROR(__xludf.DUMMYFUNCTION("""COMPUTED_VALUE"""),"PEÑAFLOR")</f>
        <v>PEÑAFLOR</v>
      </c>
    </row>
    <row r="600" spans="1:4">
      <c r="A600" s="7">
        <f ca="1">IFERROR(__xludf.DUMMYFUNCTION("""COMPUTED_VALUE"""),43958)</f>
        <v>43958</v>
      </c>
      <c r="B600" s="6" t="str">
        <f ca="1">IFERROR(__xludf.DUMMYFUNCTION("""COMPUTED_VALUE"""),"-33.6089-70.8514")</f>
        <v>-33.6089-70.8514</v>
      </c>
      <c r="C600" s="6" t="str">
        <f ca="1">IFERROR(__xludf.DUMMYFUNCTION("""COMPUTED_VALUE"""),"CALETERA ORIENTE 0824")</f>
        <v>CALETERA ORIENTE 0824</v>
      </c>
      <c r="D600" s="6" t="str">
        <f ca="1">IFERROR(__xludf.DUMMYFUNCTION("""COMPUTED_VALUE"""),"PEÑAFLOR")</f>
        <v>PEÑAFLOR</v>
      </c>
    </row>
    <row r="601" spans="1:4">
      <c r="A601" s="7">
        <f ca="1">IFERROR(__xludf.DUMMYFUNCTION("""COMPUTED_VALUE"""),43958)</f>
        <v>43958</v>
      </c>
      <c r="B601" s="6" t="str">
        <f ca="1">IFERROR(__xludf.DUMMYFUNCTION("""COMPUTED_VALUE"""),"-33.6157765-70.8724457")</f>
        <v>-33.6157765-70.8724457</v>
      </c>
      <c r="C601" s="6" t="str">
        <f ca="1">IFERROR(__xludf.DUMMYFUNCTION("""COMPUTED_VALUE"""),"LOS COPIHUES 541")</f>
        <v>LOS COPIHUES 541</v>
      </c>
      <c r="D601" s="6" t="str">
        <f ca="1">IFERROR(__xludf.DUMMYFUNCTION("""COMPUTED_VALUE"""),"PEÑAFLOR")</f>
        <v>PEÑAFLOR</v>
      </c>
    </row>
    <row r="602" spans="1:4">
      <c r="A602" s="7">
        <f ca="1">IFERROR(__xludf.DUMMYFUNCTION("""COMPUTED_VALUE"""),43958)</f>
        <v>43958</v>
      </c>
      <c r="B602" s="6" t="str">
        <f ca="1">IFERROR(__xludf.DUMMYFUNCTION("""COMPUTED_VALUE"""),"-33.612950-70.884679")</f>
        <v>-33.612950-70.884679</v>
      </c>
      <c r="C602" s="6" t="str">
        <f ca="1">IFERROR(__xludf.DUMMYFUNCTION("""COMPUTED_VALUE"""),"PJE. EL TORDO 2350")</f>
        <v>PJE. EL TORDO 2350</v>
      </c>
      <c r="D602" s="6" t="str">
        <f ca="1">IFERROR(__xludf.DUMMYFUNCTION("""COMPUTED_VALUE"""),"PEÑAFLOR")</f>
        <v>PEÑAFLOR</v>
      </c>
    </row>
    <row r="603" spans="1:4">
      <c r="A603" s="7">
        <f ca="1">IFERROR(__xludf.DUMMYFUNCTION("""COMPUTED_VALUE"""),43959)</f>
        <v>43959</v>
      </c>
      <c r="B603" s="8" t="str">
        <f ca="1">IFERROR(__xludf.DUMMYFUNCTION("""COMPUTED_VALUE"""),"-33.724764,-70.771782")</f>
        <v>-33.724764,-70.771782</v>
      </c>
      <c r="C603" s="6" t="str">
        <f ca="1">IFERROR(__xludf.DUMMYFUNCTION("""COMPUTED_VALUE"""),"ALFREDO MANSO 507")</f>
        <v>ALFREDO MANSO 507</v>
      </c>
      <c r="D603" s="6" t="str">
        <f ca="1">IFERROR(__xludf.DUMMYFUNCTION("""COMPUTED_VALUE"""),"BUIN")</f>
        <v>BUIN</v>
      </c>
    </row>
    <row r="604" spans="1:4">
      <c r="A604" s="7">
        <f ca="1">IFERROR(__xludf.DUMMYFUNCTION("""COMPUTED_VALUE"""),43959)</f>
        <v>43959</v>
      </c>
      <c r="B604" s="8" t="str">
        <f ca="1">IFERROR(__xludf.DUMMYFUNCTION("""COMPUTED_VALUE"""),"-33.751130,-70.738339")</f>
        <v>-33.751130,-70.738339</v>
      </c>
      <c r="C604" s="6" t="str">
        <f ca="1">IFERROR(__xludf.DUMMYFUNCTION("""COMPUTED_VALUE"""),"ABRAHAM MEJIAS 126")</f>
        <v>ABRAHAM MEJIAS 126</v>
      </c>
      <c r="D604" s="6" t="str">
        <f ca="1">IFERROR(__xludf.DUMMYFUNCTION("""COMPUTED_VALUE"""),"BUIN")</f>
        <v>BUIN</v>
      </c>
    </row>
    <row r="605" spans="1:4">
      <c r="A605" s="7">
        <f ca="1">IFERROR(__xludf.DUMMYFUNCTION("""COMPUTED_VALUE"""),43959)</f>
        <v>43959</v>
      </c>
      <c r="B605" s="8" t="str">
        <f ca="1">IFERROR(__xludf.DUMMYFUNCTION("""COMPUTED_VALUE"""),"-33.712443,-70.7419")</f>
        <v>-33.712443,-70.7419</v>
      </c>
      <c r="C605" s="6" t="str">
        <f ca="1">IFERROR(__xludf.DUMMYFUNCTION("""COMPUTED_VALUE"""),"LA COORDINADORA 0164")</f>
        <v>LA COORDINADORA 0164</v>
      </c>
      <c r="D605" s="6" t="str">
        <f ca="1">IFERROR(__xludf.DUMMYFUNCTION("""COMPUTED_VALUE"""),"BUIN")</f>
        <v>BUIN</v>
      </c>
    </row>
    <row r="606" spans="1:4">
      <c r="A606" s="7">
        <f ca="1">IFERROR(__xludf.DUMMYFUNCTION("""COMPUTED_VALUE"""),43959)</f>
        <v>43959</v>
      </c>
      <c r="B606" s="6" t="str">
        <f ca="1">IFERROR(__xludf.DUMMYFUNCTION("""COMPUTED_VALUE"""),"-33.603656-70.867400")</f>
        <v>-33.603656-70.867400</v>
      </c>
      <c r="C606" s="6" t="str">
        <f ca="1">IFERROR(__xludf.DUMMYFUNCTION("""COMPUTED_VALUE"""),"TRONCAL 1293")</f>
        <v>TRONCAL 1293</v>
      </c>
      <c r="D606" s="6" t="str">
        <f ca="1">IFERROR(__xludf.DUMMYFUNCTION("""COMPUTED_VALUE"""),"PEÑAFLOR")</f>
        <v>PEÑAFLOR</v>
      </c>
    </row>
    <row r="607" spans="1:4">
      <c r="A607" s="7">
        <f ca="1">IFERROR(__xludf.DUMMYFUNCTION("""COMPUTED_VALUE"""),43959)</f>
        <v>43959</v>
      </c>
      <c r="B607" s="6" t="str">
        <f ca="1">IFERROR(__xludf.DUMMYFUNCTION("""COMPUTED_VALUE"""),"-33.6120303-70.8759384")</f>
        <v>-33.6120303-70.8759384</v>
      </c>
      <c r="C607" s="6" t="str">
        <f ca="1">IFERROR(__xludf.DUMMYFUNCTION("""COMPUTED_VALUE"""),"CENTRAL 136")</f>
        <v>CENTRAL 136</v>
      </c>
      <c r="D607" s="6" t="str">
        <f ca="1">IFERROR(__xludf.DUMMYFUNCTION("""COMPUTED_VALUE"""),"PEÑAFLOR")</f>
        <v>PEÑAFLOR</v>
      </c>
    </row>
    <row r="608" spans="1:4">
      <c r="A608" s="7">
        <f ca="1">IFERROR(__xludf.DUMMYFUNCTION("""COMPUTED_VALUE"""),43959)</f>
        <v>43959</v>
      </c>
      <c r="B608" s="6" t="str">
        <f ca="1">IFERROR(__xludf.DUMMYFUNCTION("""COMPUTED_VALUE"""),"-33.5749-70.8127")</f>
        <v>-33.5749-70.8127</v>
      </c>
      <c r="C608" s="6" t="str">
        <f ca="1">IFERROR(__xludf.DUMMYFUNCTION("""COMPUTED_VALUE"""),"VOLCAN CALBUCO 682")</f>
        <v>VOLCAN CALBUCO 682</v>
      </c>
      <c r="D608" s="6" t="str">
        <f ca="1">IFERROR(__xludf.DUMMYFUNCTION("""COMPUTED_VALUE"""),"PADRE HURTADO")</f>
        <v>PADRE HURTADO</v>
      </c>
    </row>
    <row r="609" spans="1:4">
      <c r="A609" s="7">
        <f ca="1">IFERROR(__xludf.DUMMYFUNCTION("""COMPUTED_VALUE"""),43959)</f>
        <v>43959</v>
      </c>
      <c r="B609" s="6" t="str">
        <f ca="1">IFERROR(__xludf.DUMMYFUNCTION("""COMPUTED_VALUE"""),"-33.642694,-70.879311")</f>
        <v>-33.642694,-70.879311</v>
      </c>
      <c r="C609" s="6" t="str">
        <f ca="1">IFERROR(__xludf.DUMMYFUNCTION("""COMPUTED_VALUE"""),"RUTA G 78 5838(Undurraga entre las golondrinas y Loreto callejón)")</f>
        <v>RUTA G 78 5838(Undurraga entre las golondrinas y Loreto callejón)</v>
      </c>
      <c r="D609" s="6" t="str">
        <f ca="1">IFERROR(__xludf.DUMMYFUNCTION("""COMPUTED_VALUE"""),"TALAGANTE")</f>
        <v>TALAGANTE</v>
      </c>
    </row>
    <row r="610" spans="1:4">
      <c r="A610" s="7">
        <f ca="1">IFERROR(__xludf.DUMMYFUNCTION("""COMPUTED_VALUE"""),43959)</f>
        <v>43959</v>
      </c>
      <c r="B610" s="6" t="str">
        <f ca="1">IFERROR(__xludf.DUMMYFUNCTION("""COMPUTED_VALUE"""),"-33.642694,-70.879311")</f>
        <v>-33.642694,-70.879311</v>
      </c>
      <c r="C610" s="6" t="str">
        <f ca="1">IFERROR(__xludf.DUMMYFUNCTION("""COMPUTED_VALUE"""),"RUTA G 78 5838(Undurraga entre las golondrinas y Loreto callejón)")</f>
        <v>RUTA G 78 5838(Undurraga entre las golondrinas y Loreto callejón)</v>
      </c>
      <c r="D610" s="6" t="str">
        <f ca="1">IFERROR(__xludf.DUMMYFUNCTION("""COMPUTED_VALUE"""),"TALAGANTE")</f>
        <v>TALAGANTE</v>
      </c>
    </row>
    <row r="611" spans="1:4">
      <c r="A611" s="7">
        <f ca="1">IFERROR(__xludf.DUMMYFUNCTION("""COMPUTED_VALUE"""),43959)</f>
        <v>43959</v>
      </c>
      <c r="B611" s="6" t="str">
        <f ca="1">IFERROR(__xludf.DUMMYFUNCTION("""COMPUTED_VALUE"""),"-33.670067,-70.931440")</f>
        <v>-33.670067,-70.931440</v>
      </c>
      <c r="C611" s="6" t="str">
        <f ca="1">IFERROR(__xludf.DUMMYFUNCTION("""COMPUTED_VALUE"""),"JUANA CANALES 1598")</f>
        <v>JUANA CANALES 1598</v>
      </c>
      <c r="D611" s="6" t="str">
        <f ca="1">IFERROR(__xludf.DUMMYFUNCTION("""COMPUTED_VALUE"""),"TALAGANTE")</f>
        <v>TALAGANTE</v>
      </c>
    </row>
    <row r="612" spans="1:4">
      <c r="A612" s="7">
        <f ca="1">IFERROR(__xludf.DUMMYFUNCTION("""COMPUTED_VALUE"""),43959)</f>
        <v>43959</v>
      </c>
      <c r="B612" s="6" t="str">
        <f ca="1">IFERROR(__xludf.DUMMYFUNCTION("""COMPUTED_VALUE"""),"-33.670265,-70.932870")</f>
        <v>-33.670265,-70.932870</v>
      </c>
      <c r="C612" s="6" t="str">
        <f ca="1">IFERROR(__xludf.DUMMYFUNCTION("""COMPUTED_VALUE"""),"ESCARATE 1758")</f>
        <v>ESCARATE 1758</v>
      </c>
      <c r="D612" s="6" t="str">
        <f ca="1">IFERROR(__xludf.DUMMYFUNCTION("""COMPUTED_VALUE"""),"TALAGANTE")</f>
        <v>TALAGANTE</v>
      </c>
    </row>
    <row r="613" spans="1:4">
      <c r="A613" s="7">
        <f ca="1">IFERROR(__xludf.DUMMYFUNCTION("""COMPUTED_VALUE"""),43959)</f>
        <v>43959</v>
      </c>
      <c r="B613" s="6" t="str">
        <f ca="1">IFERROR(__xludf.DUMMYFUNCTION("""COMPUTED_VALUE"""),"-33.674539,-70.988473")</f>
        <v>-33.674539,-70.988473</v>
      </c>
      <c r="C613" s="6" t="str">
        <f ca="1">IFERROR(__xludf.DUMMYFUNCTION("""COMPUTED_VALUE"""),"LOS GUINDOS 643")</f>
        <v>LOS GUINDOS 643</v>
      </c>
      <c r="D613" s="6" t="str">
        <f ca="1">IFERROR(__xludf.DUMMYFUNCTION("""COMPUTED_VALUE"""),"EL MONTE")</f>
        <v>EL MONTE</v>
      </c>
    </row>
    <row r="614" spans="1:4">
      <c r="A614" s="7">
        <f ca="1">IFERROR(__xludf.DUMMYFUNCTION("""COMPUTED_VALUE"""),43959)</f>
        <v>43959</v>
      </c>
      <c r="B614" s="6" t="str">
        <f ca="1">IFERROR(__xludf.DUMMYFUNCTION("""COMPUTED_VALUE"""),"-33.690623,-71.049355")</f>
        <v>-33.690623,-71.049355</v>
      </c>
      <c r="C614" s="6" t="str">
        <f ca="1">IFERROR(__xludf.DUMMYFUNCTION("""COMPUTED_VALUE"""),"GREGORIO ORTEGA 89")</f>
        <v>GREGORIO ORTEGA 89</v>
      </c>
      <c r="D614" s="6" t="str">
        <f ca="1">IFERROR(__xludf.DUMMYFUNCTION("""COMPUTED_VALUE"""),"EL MONTE")</f>
        <v>EL MONTE</v>
      </c>
    </row>
    <row r="615" spans="1:4">
      <c r="A615" s="7">
        <f ca="1">IFERROR(__xludf.DUMMYFUNCTION("""COMPUTED_VALUE"""),43960)</f>
        <v>43960</v>
      </c>
      <c r="B615" s="8" t="str">
        <f ca="1">IFERROR(__xludf.DUMMYFUNCTION("""COMPUTED_VALUE"""),"-33.650465,-70.901614")</f>
        <v>-33.650465,-70.901614</v>
      </c>
      <c r="C615" s="6" t="str">
        <f ca="1">IFERROR(__xludf.DUMMYFUNCTION("""COMPUTED_VALUE"""),"SAN LUIS 559")</f>
        <v>SAN LUIS 559</v>
      </c>
      <c r="D615" s="6" t="str">
        <f ca="1">IFERROR(__xludf.DUMMYFUNCTION("""COMPUTED_VALUE"""),"TALAGANTE")</f>
        <v>TALAGANTE</v>
      </c>
    </row>
    <row r="616" spans="1:4">
      <c r="A616" s="7">
        <f ca="1">IFERROR(__xludf.DUMMYFUNCTION("""COMPUTED_VALUE"""),43960)</f>
        <v>43960</v>
      </c>
      <c r="B616" s="8" t="str">
        <f ca="1">IFERROR(__xludf.DUMMYFUNCTION("""COMPUTED_VALUE"""),"-33.649082,-70.927299")</f>
        <v>-33.649082,-70.927299</v>
      </c>
      <c r="C616" s="6" t="str">
        <f ca="1">IFERROR(__xludf.DUMMYFUNCTION("""COMPUTED_VALUE"""),"PAMPA GERMANIA 213")</f>
        <v>PAMPA GERMANIA 213</v>
      </c>
      <c r="D616" s="6" t="str">
        <f ca="1">IFERROR(__xludf.DUMMYFUNCTION("""COMPUTED_VALUE"""),"TALAGANTE")</f>
        <v>TALAGANTE</v>
      </c>
    </row>
    <row r="617" spans="1:4">
      <c r="A617" s="7">
        <f ca="1">IFERROR(__xludf.DUMMYFUNCTION("""COMPUTED_VALUE"""),43960)</f>
        <v>43960</v>
      </c>
      <c r="B617" s="6" t="str">
        <f ca="1">IFERROR(__xludf.DUMMYFUNCTION("""COMPUTED_VALUE"""),"-33.673969,-71.161255")</f>
        <v>-33.673969,-71.161255</v>
      </c>
      <c r="C617" s="6" t="str">
        <f ca="1">IFERROR(__xludf.DUMMYFUNCTION("""COMPUTED_VALUE"""),"LOS LIBERTADORES 949")</f>
        <v>LOS LIBERTADORES 949</v>
      </c>
      <c r="D617" s="6" t="str">
        <f ca="1">IFERROR(__xludf.DUMMYFUNCTION("""COMPUTED_VALUE"""),"EL MONTE")</f>
        <v>EL MONTE</v>
      </c>
    </row>
    <row r="618" spans="1:4">
      <c r="A618" s="7">
        <f ca="1">IFERROR(__xludf.DUMMYFUNCTION("""COMPUTED_VALUE"""),43960)</f>
        <v>43960</v>
      </c>
      <c r="B618" s="6" t="str">
        <f ca="1">IFERROR(__xludf.DUMMYFUNCTION("""COMPUTED_VALUE"""),"-33.673387,-70.994894")</f>
        <v>-33.673387,-70.994894</v>
      </c>
      <c r="C618" s="6" t="str">
        <f ca="1">IFERROR(__xludf.DUMMYFUNCTION("""COMPUTED_VALUE"""),"LOS CARRERAS 735")</f>
        <v>LOS CARRERAS 735</v>
      </c>
      <c r="D618" s="6" t="str">
        <f ca="1">IFERROR(__xludf.DUMMYFUNCTION("""COMPUTED_VALUE"""),"EL MONTE")</f>
        <v>EL MONTE</v>
      </c>
    </row>
    <row r="619" spans="1:4">
      <c r="A619" s="7">
        <f ca="1">IFERROR(__xludf.DUMMYFUNCTION("""COMPUTED_VALUE"""),43962)</f>
        <v>43962</v>
      </c>
      <c r="B619" s="8" t="str">
        <f ca="1">IFERROR(__xludf.DUMMYFUNCTION("""COMPUTED_VALUE"""),"-33.796200,-70.778405")</f>
        <v>-33.796200,-70.778405</v>
      </c>
      <c r="C619" s="6" t="str">
        <f ca="1">IFERROR(__xludf.DUMMYFUNCTION("""COMPUTED_VALUE"""),"VILUCO 6 NRO 3704")</f>
        <v>VILUCO 6 NRO 3704</v>
      </c>
      <c r="D619" s="6" t="str">
        <f ca="1">IFERROR(__xludf.DUMMYFUNCTION("""COMPUTED_VALUE"""),"BUIN")</f>
        <v>BUIN</v>
      </c>
    </row>
    <row r="620" spans="1:4">
      <c r="A620" s="7">
        <f ca="1">IFERROR(__xludf.DUMMYFUNCTION("""COMPUTED_VALUE"""),43962)</f>
        <v>43962</v>
      </c>
      <c r="B620" s="8" t="str">
        <f ca="1">IFERROR(__xludf.DUMMYFUNCTION("""COMPUTED_VALUE"""),"-33.723980,-70.736205")</f>
        <v>-33.723980,-70.736205</v>
      </c>
      <c r="C620" s="6" t="str">
        <f ca="1">IFERROR(__xludf.DUMMYFUNCTION("""COMPUTED_VALUE"""),"PASAJE 10 JUAN CANELO 43")</f>
        <v>PASAJE 10 JUAN CANELO 43</v>
      </c>
      <c r="D620" s="6" t="str">
        <f ca="1">IFERROR(__xludf.DUMMYFUNCTION("""COMPUTED_VALUE"""),"BUIN")</f>
        <v>BUIN</v>
      </c>
    </row>
    <row r="621" spans="1:4">
      <c r="A621" s="7">
        <f ca="1">IFERROR(__xludf.DUMMYFUNCTION("""COMPUTED_VALUE"""),43962)</f>
        <v>43962</v>
      </c>
      <c r="B621" s="8" t="str">
        <f ca="1">IFERROR(__xludf.DUMMYFUNCTION("""COMPUTED_VALUE"""),"-33.724200,-70.736438")</f>
        <v>-33.724200,-70.736438</v>
      </c>
      <c r="C621" s="6" t="str">
        <f ca="1">IFERROR(__xludf.DUMMYFUNCTION("""COMPUTED_VALUE"""),"PASAJE 8NRO 96")</f>
        <v>PASAJE 8NRO 96</v>
      </c>
      <c r="D621" s="6" t="str">
        <f ca="1">IFERROR(__xludf.DUMMYFUNCTION("""COMPUTED_VALUE"""),"BUIN")</f>
        <v>BUIN</v>
      </c>
    </row>
    <row r="622" spans="1:4">
      <c r="A622" s="7">
        <f ca="1">IFERROR(__xludf.DUMMYFUNCTION("""COMPUTED_VALUE"""),43962)</f>
        <v>43962</v>
      </c>
      <c r="B622" s="8" t="str">
        <f ca="1">IFERROR(__xludf.DUMMYFUNCTION("""COMPUTED_VALUE"""),"-33.697327,-70.7118")</f>
        <v>-33.697327,-70.7118</v>
      </c>
      <c r="C622" s="6" t="str">
        <f ca="1">IFERROR(__xludf.DUMMYFUNCTION("""COMPUTED_VALUE"""),"PASAJELOS SAEZ 20")</f>
        <v>PASAJELOS SAEZ 20</v>
      </c>
      <c r="D622" s="6" t="str">
        <f ca="1">IFERROR(__xludf.DUMMYFUNCTION("""COMPUTED_VALUE"""),"BUIN")</f>
        <v>BUIN</v>
      </c>
    </row>
    <row r="623" spans="1:4">
      <c r="A623" s="7">
        <f ca="1">IFERROR(__xludf.DUMMYFUNCTION("""COMPUTED_VALUE"""),43962)</f>
        <v>43962</v>
      </c>
      <c r="B623" s="8" t="str">
        <f ca="1">IFERROR(__xludf.DUMMYFUNCTION("""COMPUTED_VALUE"""),"-33.654449,-70.404984")</f>
        <v>-33.654449,-70.404984</v>
      </c>
      <c r="C623" s="6" t="str">
        <f ca="1">IFERROR(__xludf.DUMMYFUNCTION("""COMPUTED_VALUE"""),"VOLCAN ISLIGA 668")</f>
        <v>VOLCAN ISLIGA 668</v>
      </c>
      <c r="D623" s="6" t="str">
        <f ca="1">IFERROR(__xludf.DUMMYFUNCTION("""COMPUTED_VALUE"""),"TALAGANTE")</f>
        <v>TALAGANTE</v>
      </c>
    </row>
    <row r="624" spans="1:4">
      <c r="A624" s="7">
        <f ca="1">IFERROR(__xludf.DUMMYFUNCTION("""COMPUTED_VALUE"""),43962)</f>
        <v>43962</v>
      </c>
      <c r="B624" s="6" t="str">
        <f ca="1">IFERROR(__xludf.DUMMYFUNCTION("""COMPUTED_VALUE"""),"-33.6095353-70.8823079")</f>
        <v>-33.6095353-70.8823079</v>
      </c>
      <c r="C624" s="6" t="str">
        <f ca="1">IFERROR(__xludf.DUMMYFUNCTION("""COMPUTED_VALUE"""),"RANCO 1312")</f>
        <v>RANCO 1312</v>
      </c>
      <c r="D624" s="6" t="str">
        <f ca="1">IFERROR(__xludf.DUMMYFUNCTION("""COMPUTED_VALUE"""),"PEÑAFLOR")</f>
        <v>PEÑAFLOR</v>
      </c>
    </row>
    <row r="625" spans="1:4">
      <c r="A625" s="7">
        <f ca="1">IFERROR(__xludf.DUMMYFUNCTION("""COMPUTED_VALUE"""),43962)</f>
        <v>43962</v>
      </c>
      <c r="B625" s="6" t="str">
        <f ca="1">IFERROR(__xludf.DUMMYFUNCTION("""COMPUTED_VALUE"""),"-33.6150625-70.9035568")</f>
        <v>-33.6150625-70.9035568</v>
      </c>
      <c r="C625" s="6" t="str">
        <f ca="1">IFERROR(__xludf.DUMMYFUNCTION("""COMPUTED_VALUE"""),"EMPRESARIO DOMINGO MUÑOZ 681")</f>
        <v>EMPRESARIO DOMINGO MUÑOZ 681</v>
      </c>
      <c r="D625" s="6" t="str">
        <f ca="1">IFERROR(__xludf.DUMMYFUNCTION("""COMPUTED_VALUE"""),"PEÑAFLOR")</f>
        <v>PEÑAFLOR</v>
      </c>
    </row>
    <row r="626" spans="1:4">
      <c r="A626" s="7">
        <f ca="1">IFERROR(__xludf.DUMMYFUNCTION("""COMPUTED_VALUE"""),43962)</f>
        <v>43962</v>
      </c>
      <c r="B626" s="6" t="str">
        <f ca="1">IFERROR(__xludf.DUMMYFUNCTION("""COMPUTED_VALUE"""),"-33.296737-70.789747")</f>
        <v>-33.296737-70.789747</v>
      </c>
      <c r="C626" s="6" t="str">
        <f ca="1">IFERROR(__xludf.DUMMYFUNCTION("""COMPUTED_VALUE"""),"LO CASTRO S-19")</f>
        <v>LO CASTRO S-19</v>
      </c>
      <c r="D626" s="6" t="str">
        <f ca="1">IFERROR(__xludf.DUMMYFUNCTION("""COMPUTED_VALUE"""),"LAMPA")</f>
        <v>LAMPA</v>
      </c>
    </row>
    <row r="627" spans="1:4">
      <c r="A627" s="7">
        <f ca="1">IFERROR(__xludf.DUMMYFUNCTION("""COMPUTED_VALUE"""),43962)</f>
        <v>43962</v>
      </c>
      <c r="B627" s="6" t="str">
        <f ca="1">IFERROR(__xludf.DUMMYFUNCTION("""COMPUTED_VALUE"""),"-33.225016-70.837343")</f>
        <v>-33.225016-70.837343</v>
      </c>
      <c r="C627" s="6" t="str">
        <f ca="1">IFERROR(__xludf.DUMMYFUNCTION("""COMPUTED_VALUE"""),"CAMINO LAS PARCELAS FONTECILLA PARC 13")</f>
        <v>CAMINO LAS PARCELAS FONTECILLA PARC 13</v>
      </c>
      <c r="D627" s="6" t="str">
        <f ca="1">IFERROR(__xludf.DUMMYFUNCTION("""COMPUTED_VALUE"""),"LAMPA")</f>
        <v>LAMPA</v>
      </c>
    </row>
    <row r="628" spans="1:4">
      <c r="A628" s="7">
        <f ca="1">IFERROR(__xludf.DUMMYFUNCTION("""COMPUTED_VALUE"""),43962)</f>
        <v>43962</v>
      </c>
      <c r="B628" s="6" t="str">
        <f ca="1">IFERROR(__xludf.DUMMYFUNCTION("""COMPUTED_VALUE"""),"-33.57874664-70.8288268")</f>
        <v>-33.57874664-70.8288268</v>
      </c>
      <c r="C628" s="6" t="str">
        <f ca="1">IFERROR(__xludf.DUMMYFUNCTION("""COMPUTED_VALUE"""),"ELQUI 3742")</f>
        <v>ELQUI 3742</v>
      </c>
      <c r="D628" s="6" t="str">
        <f ca="1">IFERROR(__xludf.DUMMYFUNCTION("""COMPUTED_VALUE"""),"PADRE HURTADO")</f>
        <v>PADRE HURTADO</v>
      </c>
    </row>
    <row r="629" spans="1:4">
      <c r="A629" s="7">
        <f ca="1">IFERROR(__xludf.DUMMYFUNCTION("""COMPUTED_VALUE"""),43962)</f>
        <v>43962</v>
      </c>
      <c r="B629" s="6" t="str">
        <f ca="1">IFERROR(__xludf.DUMMYFUNCTION("""COMPUTED_VALUE"""),"-33.270439-70.882677")</f>
        <v>-33.270439-70.882677</v>
      </c>
      <c r="C629" s="6" t="str">
        <f ca="1">IFERROR(__xludf.DUMMYFUNCTION("""COMPUTED_VALUE"""),"MARTICORENA SITIO 3")</f>
        <v>MARTICORENA SITIO 3</v>
      </c>
      <c r="D629" s="6" t="str">
        <f ca="1">IFERROR(__xludf.DUMMYFUNCTION("""COMPUTED_VALUE"""),"LAMPA")</f>
        <v>LAMPA</v>
      </c>
    </row>
    <row r="630" spans="1:4">
      <c r="A630" s="7">
        <f ca="1">IFERROR(__xludf.DUMMYFUNCTION("""COMPUTED_VALUE"""),43962)</f>
        <v>43962</v>
      </c>
      <c r="B630" s="6" t="str">
        <f ca="1">IFERROR(__xludf.DUMMYFUNCTION("""COMPUTED_VALUE"""),"-33.270439-70.882677")</f>
        <v>-33.270439-70.882677</v>
      </c>
      <c r="C630" s="6" t="str">
        <f ca="1">IFERROR(__xludf.DUMMYFUNCTION("""COMPUTED_VALUE"""),"MARTICORENA SITIO 3")</f>
        <v>MARTICORENA SITIO 3</v>
      </c>
      <c r="D630" s="6" t="str">
        <f ca="1">IFERROR(__xludf.DUMMYFUNCTION("""COMPUTED_VALUE"""),"LAMPA")</f>
        <v>LAMPA</v>
      </c>
    </row>
    <row r="631" spans="1:4">
      <c r="A631" s="7">
        <f ca="1">IFERROR(__xludf.DUMMYFUNCTION("""COMPUTED_VALUE"""),43962)</f>
        <v>43962</v>
      </c>
      <c r="B631" s="6" t="str">
        <f ca="1">IFERROR(__xludf.DUMMYFUNCTION("""COMPUTED_VALUE"""),"-33.611466-70.889138")</f>
        <v>-33.611466-70.889138</v>
      </c>
      <c r="C631" s="6" t="str">
        <f ca="1">IFERROR(__xludf.DUMMYFUNCTION("""COMPUTED_VALUE"""),"VICUÑA MACKENNA 2756")</f>
        <v>VICUÑA MACKENNA 2756</v>
      </c>
      <c r="D631" s="6" t="str">
        <f ca="1">IFERROR(__xludf.DUMMYFUNCTION("""COMPUTED_VALUE"""),"PEÑAFLOR")</f>
        <v>PEÑAFLOR</v>
      </c>
    </row>
    <row r="632" spans="1:4">
      <c r="A632" s="7">
        <f ca="1">IFERROR(__xludf.DUMMYFUNCTION("""COMPUTED_VALUE"""),43962)</f>
        <v>43962</v>
      </c>
      <c r="B632" s="6" t="str">
        <f ca="1">IFERROR(__xludf.DUMMYFUNCTION("""COMPUTED_VALUE"""),"-33.673969,-71.161255")</f>
        <v>-33.673969,-71.161255</v>
      </c>
      <c r="C632" s="6" t="str">
        <f ca="1">IFERROR(__xludf.DUMMYFUNCTION("""COMPUTED_VALUE"""),"LOS LIBERTADORES 949")</f>
        <v>LOS LIBERTADORES 949</v>
      </c>
      <c r="D632" s="6" t="str">
        <f ca="1">IFERROR(__xludf.DUMMYFUNCTION("""COMPUTED_VALUE"""),"EL MONTE")</f>
        <v>EL MONTE</v>
      </c>
    </row>
    <row r="633" spans="1:4">
      <c r="A633" s="7">
        <f ca="1">IFERROR(__xludf.DUMMYFUNCTION("""COMPUTED_VALUE"""),43962)</f>
        <v>43962</v>
      </c>
      <c r="B633" s="6" t="str">
        <f ca="1">IFERROR(__xludf.DUMMYFUNCTION("""COMPUTED_VALUE"""),"-33.659572,-70.999103")</f>
        <v>-33.659572,-70.999103</v>
      </c>
      <c r="C633" s="6" t="str">
        <f ca="1">IFERROR(__xludf.DUMMYFUNCTION("""COMPUTED_VALUE"""),"LOS ALAMOS 23")</f>
        <v>LOS ALAMOS 23</v>
      </c>
      <c r="D633" s="6" t="str">
        <f ca="1">IFERROR(__xludf.DUMMYFUNCTION("""COMPUTED_VALUE"""),"EL MONTE")</f>
        <v>EL MONTE</v>
      </c>
    </row>
    <row r="634" spans="1:4">
      <c r="A634" s="7">
        <f ca="1">IFERROR(__xludf.DUMMYFUNCTION("""COMPUTED_VALUE"""),43962)</f>
        <v>43962</v>
      </c>
      <c r="B634" s="6" t="str">
        <f ca="1">IFERROR(__xludf.DUMMYFUNCTION("""COMPUTED_VALUE"""),"-33.677991,-70.991358")</f>
        <v>-33.677991,-70.991358</v>
      </c>
      <c r="C634" s="6" t="str">
        <f ca="1">IFERROR(__xludf.DUMMYFUNCTION("""COMPUTED_VALUE"""),"LOS CARRERAS 679")</f>
        <v>LOS CARRERAS 679</v>
      </c>
      <c r="D634" s="6" t="str">
        <f ca="1">IFERROR(__xludf.DUMMYFUNCTION("""COMPUTED_VALUE"""),"EL MONTE")</f>
        <v>EL MONTE</v>
      </c>
    </row>
    <row r="635" spans="1:4">
      <c r="A635" s="7">
        <f ca="1">IFERROR(__xludf.DUMMYFUNCTION("""COMPUTED_VALUE"""),43963)</f>
        <v>43963</v>
      </c>
      <c r="B635" s="8" t="str">
        <f ca="1">IFERROR(__xludf.DUMMYFUNCTION("""COMPUTED_VALUE"""),"-33.795860,-70.778449")</f>
        <v>-33.795860,-70.778449</v>
      </c>
      <c r="C635" s="6" t="str">
        <f ca="1">IFERROR(__xludf.DUMMYFUNCTION("""COMPUTED_VALUE"""),"VILUCO 6 NRO 3704")</f>
        <v>VILUCO 6 NRO 3704</v>
      </c>
      <c r="D635" s="6" t="str">
        <f ca="1">IFERROR(__xludf.DUMMYFUNCTION("""COMPUTED_VALUE"""),"BUIN")</f>
        <v>BUIN</v>
      </c>
    </row>
    <row r="636" spans="1:4">
      <c r="A636" s="7">
        <f ca="1">IFERROR(__xludf.DUMMYFUNCTION("""COMPUTED_VALUE"""),43963)</f>
        <v>43963</v>
      </c>
      <c r="B636" s="8" t="str">
        <f ca="1">IFERROR(__xludf.DUMMYFUNCTION("""COMPUTED_VALUE"""),"-33.732559,-70.682")</f>
        <v>-33.732559,-70.682</v>
      </c>
      <c r="C636" s="6" t="str">
        <f ca="1">IFERROR(__xludf.DUMMYFUNCTION("""COMPUTED_VALUE"""),"MARTA RAMOS BERRIOS 286")</f>
        <v>MARTA RAMOS BERRIOS 286</v>
      </c>
      <c r="D636" s="6" t="str">
        <f ca="1">IFERROR(__xludf.DUMMYFUNCTION("""COMPUTED_VALUE"""),"BUIN")</f>
        <v>BUIN</v>
      </c>
    </row>
    <row r="637" spans="1:4">
      <c r="A637" s="7">
        <f ca="1">IFERROR(__xludf.DUMMYFUNCTION("""COMPUTED_VALUE"""),43963)</f>
        <v>43963</v>
      </c>
      <c r="B637" s="8" t="str">
        <f ca="1">IFERROR(__xludf.DUMMYFUNCTION("""COMPUTED_VALUE"""),"-33.793614,-70.779887")</f>
        <v>-33.793614,-70.779887</v>
      </c>
      <c r="C637" s="6" t="str">
        <f ca="1">IFERROR(__xludf.DUMMYFUNCTION("""COMPUTED_VALUE"""),"VILUCO SITIO 7")</f>
        <v>VILUCO SITIO 7</v>
      </c>
      <c r="D637" s="6" t="str">
        <f ca="1">IFERROR(__xludf.DUMMYFUNCTION("""COMPUTED_VALUE"""),"BUIN")</f>
        <v>BUIN</v>
      </c>
    </row>
    <row r="638" spans="1:4">
      <c r="A638" s="7">
        <f ca="1">IFERROR(__xludf.DUMMYFUNCTION("""COMPUTED_VALUE"""),43963)</f>
        <v>43963</v>
      </c>
      <c r="B638" s="8" t="str">
        <f ca="1">IFERROR(__xludf.DUMMYFUNCTION("""COMPUTED_VALUE"""),"-33.793614,-70.779887")</f>
        <v>-33.793614,-70.779887</v>
      </c>
      <c r="C638" s="6" t="str">
        <f ca="1">IFERROR(__xludf.DUMMYFUNCTION("""COMPUTED_VALUE"""),"VILUCO SITIO 7")</f>
        <v>VILUCO SITIO 7</v>
      </c>
      <c r="D638" s="6" t="str">
        <f ca="1">IFERROR(__xludf.DUMMYFUNCTION("""COMPUTED_VALUE"""),"BUIN")</f>
        <v>BUIN</v>
      </c>
    </row>
    <row r="639" spans="1:4">
      <c r="A639" s="7">
        <f ca="1">IFERROR(__xludf.DUMMYFUNCTION("""COMPUTED_VALUE"""),43963)</f>
        <v>43963</v>
      </c>
      <c r="B639" s="8" t="str">
        <f ca="1">IFERROR(__xludf.DUMMYFUNCTION("""COMPUTED_VALUE"""),"-33.722154,-70.7")</f>
        <v>-33.722154,-70.7</v>
      </c>
      <c r="C639" s="6" t="str">
        <f ca="1">IFERROR(__xludf.DUMMYFUNCTION("""COMPUTED_VALUE"""),"PJE  LUISA S.PEZOA 0373")</f>
        <v>PJE  LUISA S.PEZOA 0373</v>
      </c>
      <c r="D639" s="6" t="str">
        <f ca="1">IFERROR(__xludf.DUMMYFUNCTION("""COMPUTED_VALUE"""),"BUIN")</f>
        <v>BUIN</v>
      </c>
    </row>
    <row r="640" spans="1:4">
      <c r="A640" s="7">
        <f ca="1">IFERROR(__xludf.DUMMYFUNCTION("""COMPUTED_VALUE"""),43963)</f>
        <v>43963</v>
      </c>
      <c r="B640" s="8" t="str">
        <f ca="1">IFERROR(__xludf.DUMMYFUNCTION("""COMPUTED_VALUE"""),"-33.674753,-70.941573")</f>
        <v>-33.674753,-70.941573</v>
      </c>
      <c r="C640" s="6" t="str">
        <f ca="1">IFERROR(__xludf.DUMMYFUNCTION("""COMPUTED_VALUE"""),"NUEVA UNO 1031")</f>
        <v>NUEVA UNO 1031</v>
      </c>
      <c r="D640" s="6" t="str">
        <f ca="1">IFERROR(__xludf.DUMMYFUNCTION("""COMPUTED_VALUE"""),"TALAGANTE")</f>
        <v>TALAGANTE</v>
      </c>
    </row>
    <row r="641" spans="1:4">
      <c r="A641" s="7">
        <f ca="1">IFERROR(__xludf.DUMMYFUNCTION("""COMPUTED_VALUE"""),43963)</f>
        <v>43963</v>
      </c>
      <c r="B641" s="6" t="str">
        <f ca="1">IFERROR(__xludf.DUMMYFUNCTION("""COMPUTED_VALUE"""),"-33.5980-70.8792")</f>
        <v>-33.5980-70.8792</v>
      </c>
      <c r="C641" s="6" t="str">
        <f ca="1">IFERROR(__xludf.DUMMYFUNCTION("""COMPUTED_VALUE"""),"CATORCE DE JULIO 51")</f>
        <v>CATORCE DE JULIO 51</v>
      </c>
      <c r="D641" s="6" t="str">
        <f ca="1">IFERROR(__xludf.DUMMYFUNCTION("""COMPUTED_VALUE"""),"PEÑAFLOR")</f>
        <v>PEÑAFLOR</v>
      </c>
    </row>
    <row r="642" spans="1:4">
      <c r="A642" s="7">
        <f ca="1">IFERROR(__xludf.DUMMYFUNCTION("""COMPUTED_VALUE"""),43963)</f>
        <v>43963</v>
      </c>
      <c r="B642" s="6" t="str">
        <f ca="1">IFERROR(__xludf.DUMMYFUNCTION("""COMPUTED_VALUE"""),"-33.6094212-70.8821967")</f>
        <v>-33.6094212-70.8821967</v>
      </c>
      <c r="C642" s="6" t="str">
        <f ca="1">IFERROR(__xludf.DUMMYFUNCTION("""COMPUTED_VALUE"""),"PAILAHUE 2418")</f>
        <v>PAILAHUE 2418</v>
      </c>
      <c r="D642" s="6" t="str">
        <f ca="1">IFERROR(__xludf.DUMMYFUNCTION("""COMPUTED_VALUE"""),"PEÑAFLOR")</f>
        <v>PEÑAFLOR</v>
      </c>
    </row>
    <row r="643" spans="1:4">
      <c r="A643" s="7">
        <f ca="1">IFERROR(__xludf.DUMMYFUNCTION("""COMPUTED_VALUE"""),43963)</f>
        <v>43963</v>
      </c>
      <c r="B643" s="6" t="str">
        <f ca="1">IFERROR(__xludf.DUMMYFUNCTION("""COMPUTED_VALUE"""),"-33.6002-70.8874")</f>
        <v>-33.6002-70.8874</v>
      </c>
      <c r="C643" s="6" t="str">
        <f ca="1">IFERROR(__xludf.DUMMYFUNCTION("""COMPUTED_VALUE"""),"ISLA LENNOX 3100")</f>
        <v>ISLA LENNOX 3100</v>
      </c>
      <c r="D643" s="6" t="str">
        <f ca="1">IFERROR(__xludf.DUMMYFUNCTION("""COMPUTED_VALUE"""),"PEÑAFLOR")</f>
        <v>PEÑAFLOR</v>
      </c>
    </row>
    <row r="644" spans="1:4">
      <c r="A644" s="7">
        <f ca="1">IFERROR(__xludf.DUMMYFUNCTION("""COMPUTED_VALUE"""),43963)</f>
        <v>43963</v>
      </c>
      <c r="B644" s="6" t="str">
        <f ca="1">IFERROR(__xludf.DUMMYFUNCTION("""COMPUTED_VALUE"""),"-33.6005301-70.8819230")</f>
        <v>-33.6005301-70.8819230</v>
      </c>
      <c r="C644" s="6" t="str">
        <f ca="1">IFERROR(__xludf.DUMMYFUNCTION("""COMPUTED_VALUE"""),"VICTORIA 395")</f>
        <v>VICTORIA 395</v>
      </c>
      <c r="D644" s="6" t="str">
        <f ca="1">IFERROR(__xludf.DUMMYFUNCTION("""COMPUTED_VALUE"""),"PEÑAFLOR")</f>
        <v>PEÑAFLOR</v>
      </c>
    </row>
    <row r="645" spans="1:4">
      <c r="A645" s="7">
        <f ca="1">IFERROR(__xludf.DUMMYFUNCTION("""COMPUTED_VALUE"""),43963)</f>
        <v>43963</v>
      </c>
      <c r="B645" s="6" t="str">
        <f ca="1">IFERROR(__xludf.DUMMYFUNCTION("""COMPUTED_VALUE"""),"-33.270439-70.882677")</f>
        <v>-33.270439-70.882677</v>
      </c>
      <c r="C645" s="6" t="str">
        <f ca="1">IFERROR(__xludf.DUMMYFUNCTION("""COMPUTED_VALUE"""),"MARTICORENA SITIO 3")</f>
        <v>MARTICORENA SITIO 3</v>
      </c>
      <c r="D645" s="6" t="str">
        <f ca="1">IFERROR(__xludf.DUMMYFUNCTION("""COMPUTED_VALUE"""),"LAMPA")</f>
        <v>LAMPA</v>
      </c>
    </row>
    <row r="646" spans="1:4">
      <c r="A646" s="7">
        <f ca="1">IFERROR(__xludf.DUMMYFUNCTION("""COMPUTED_VALUE"""),43963)</f>
        <v>43963</v>
      </c>
      <c r="B646" s="6" t="str">
        <f ca="1">IFERROR(__xludf.DUMMYFUNCTION("""COMPUTED_VALUE"""),"-33.659781,-70.999728")</f>
        <v>-33.659781,-70.999728</v>
      </c>
      <c r="C646" s="6" t="str">
        <f ca="1">IFERROR(__xludf.DUMMYFUNCTION("""COMPUTED_VALUE"""),"LOS OLMOS 23")</f>
        <v>LOS OLMOS 23</v>
      </c>
      <c r="D646" s="6" t="str">
        <f ca="1">IFERROR(__xludf.DUMMYFUNCTION("""COMPUTED_VALUE"""),"EL MONTE")</f>
        <v>EL MONTE</v>
      </c>
    </row>
    <row r="647" spans="1:4">
      <c r="A647" s="7">
        <f ca="1">IFERROR(__xludf.DUMMYFUNCTION("""COMPUTED_VALUE"""),43963)</f>
        <v>43963</v>
      </c>
      <c r="B647" s="6" t="str">
        <f ca="1">IFERROR(__xludf.DUMMYFUNCTION("""COMPUTED_VALUE"""),"-33.679379,-70.992016")</f>
        <v>-33.679379,-70.992016</v>
      </c>
      <c r="C647" s="6" t="str">
        <f ca="1">IFERROR(__xludf.DUMMYFUNCTION("""COMPUTED_VALUE"""),"PRIMERO DE MAYO 0661")</f>
        <v>PRIMERO DE MAYO 0661</v>
      </c>
      <c r="D647" s="6" t="str">
        <f ca="1">IFERROR(__xludf.DUMMYFUNCTION("""COMPUTED_VALUE"""),"EL MONTE")</f>
        <v>EL MONTE</v>
      </c>
    </row>
    <row r="648" spans="1:4">
      <c r="A648" s="7">
        <f ca="1">IFERROR(__xludf.DUMMYFUNCTION("""COMPUTED_VALUE"""),43964)</f>
        <v>43964</v>
      </c>
      <c r="B648" s="8" t="str">
        <f ca="1">IFERROR(__xludf.DUMMYFUNCTION("""COMPUTED_VALUE"""),"-33.749260,-70.734567")</f>
        <v>-33.749260,-70.734567</v>
      </c>
      <c r="C648" s="6" t="str">
        <f ca="1">IFERROR(__xludf.DUMMYFUNCTION("""COMPUTED_VALUE"""),"VILLA LAS 2 TORRES CALLE LOS ROSALES 0224")</f>
        <v>VILLA LAS 2 TORRES CALLE LOS ROSALES 0224</v>
      </c>
      <c r="D648" s="6" t="str">
        <f ca="1">IFERROR(__xludf.DUMMYFUNCTION("""COMPUTED_VALUE"""),"BUIN")</f>
        <v>BUIN</v>
      </c>
    </row>
    <row r="649" spans="1:4">
      <c r="A649" s="7">
        <f ca="1">IFERROR(__xludf.DUMMYFUNCTION("""COMPUTED_VALUE"""),43964)</f>
        <v>43964</v>
      </c>
      <c r="B649" s="8" t="str">
        <f ca="1">IFERROR(__xludf.DUMMYFUNCTION("""COMPUTED_VALUE"""),"-33.663760,-70.922464")</f>
        <v>-33.663760,-70.922464</v>
      </c>
      <c r="C649" s="6" t="str">
        <f ca="1">IFERROR(__xludf.DUMMYFUNCTION("""COMPUTED_VALUE"""),"MARIA NUÑEZ 743")</f>
        <v>MARIA NUÑEZ 743</v>
      </c>
      <c r="D649" s="6" t="str">
        <f ca="1">IFERROR(__xludf.DUMMYFUNCTION("""COMPUTED_VALUE"""),"TALAGANTE")</f>
        <v>TALAGANTE</v>
      </c>
    </row>
    <row r="650" spans="1:4">
      <c r="A650" s="7">
        <f ca="1">IFERROR(__xludf.DUMMYFUNCTION("""COMPUTED_VALUE"""),43964)</f>
        <v>43964</v>
      </c>
      <c r="B650" s="6" t="str">
        <f ca="1">IFERROR(__xludf.DUMMYFUNCTION("""COMPUTED_VALUE"""),"-33.6028-70.8515")</f>
        <v>-33.6028-70.8515</v>
      </c>
      <c r="C650" s="6" t="str">
        <f ca="1">IFERROR(__xludf.DUMMYFUNCTION("""COMPUTED_VALUE"""),"AV. MIRAFLORES 01")</f>
        <v>AV. MIRAFLORES 01</v>
      </c>
      <c r="D650" s="6" t="str">
        <f ca="1">IFERROR(__xludf.DUMMYFUNCTION("""COMPUTED_VALUE"""),"PEÑAFLOR")</f>
        <v>PEÑAFLOR</v>
      </c>
    </row>
    <row r="651" spans="1:4">
      <c r="A651" s="7">
        <f ca="1">IFERROR(__xludf.DUMMYFUNCTION("""COMPUTED_VALUE"""),43964)</f>
        <v>43964</v>
      </c>
      <c r="B651" s="6" t="str">
        <f ca="1">IFERROR(__xludf.DUMMYFUNCTION("""COMPUTED_VALUE"""),"-33.60020574-70.8851199")</f>
        <v>-33.60020574-70.8851199</v>
      </c>
      <c r="C651" s="6" t="str">
        <f ca="1">IFERROR(__xludf.DUMMYFUNCTION("""COMPUTED_VALUE"""),"UNO ORIENTE 3570")</f>
        <v>UNO ORIENTE 3570</v>
      </c>
      <c r="D651" s="6" t="str">
        <f ca="1">IFERROR(__xludf.DUMMYFUNCTION("""COMPUTED_VALUE"""),"PEÑAFLOR")</f>
        <v>PEÑAFLOR</v>
      </c>
    </row>
    <row r="652" spans="1:4">
      <c r="A652" s="7">
        <f ca="1">IFERROR(__xludf.DUMMYFUNCTION("""COMPUTED_VALUE"""),43964)</f>
        <v>43964</v>
      </c>
      <c r="B652" s="6" t="str">
        <f ca="1">IFERROR(__xludf.DUMMYFUNCTION("""COMPUTED_VALUE"""),"-33.607315-70.852894")</f>
        <v>-33.607315-70.852894</v>
      </c>
      <c r="C652" s="6" t="str">
        <f ca="1">IFERROR(__xludf.DUMMYFUNCTION("""COMPUTED_VALUE"""),"GABRIELA MISTRAL 213")</f>
        <v>GABRIELA MISTRAL 213</v>
      </c>
      <c r="D652" s="6" t="str">
        <f ca="1">IFERROR(__xludf.DUMMYFUNCTION("""COMPUTED_VALUE"""),"PEÑAFLOR")</f>
        <v>PEÑAFLOR</v>
      </c>
    </row>
    <row r="653" spans="1:4">
      <c r="A653" s="7">
        <f ca="1">IFERROR(__xludf.DUMMYFUNCTION("""COMPUTED_VALUE"""),43964)</f>
        <v>43964</v>
      </c>
      <c r="B653" s="6" t="str">
        <f ca="1">IFERROR(__xludf.DUMMYFUNCTION("""COMPUTED_VALUE"""),"-33.298613-70.874930")</f>
        <v>-33.298613-70.874930</v>
      </c>
      <c r="C653" s="6" t="str">
        <f ca="1">IFERROR(__xludf.DUMMYFUNCTION("""COMPUTED_VALUE"""),"LOS LIRIOS 2789")</f>
        <v>LOS LIRIOS 2789</v>
      </c>
      <c r="D653" s="6" t="str">
        <f ca="1">IFERROR(__xludf.DUMMYFUNCTION("""COMPUTED_VALUE"""),"LAMPA")</f>
        <v>LAMPA</v>
      </c>
    </row>
    <row r="654" spans="1:4">
      <c r="A654" s="7">
        <f ca="1">IFERROR(__xludf.DUMMYFUNCTION("""COMPUTED_VALUE"""),43964)</f>
        <v>43964</v>
      </c>
      <c r="B654" s="6" t="str">
        <f ca="1">IFERROR(__xludf.DUMMYFUNCTION("""COMPUTED_VALUE"""),"-33.298613-70.874930")</f>
        <v>-33.298613-70.874930</v>
      </c>
      <c r="C654" s="6" t="str">
        <f ca="1">IFERROR(__xludf.DUMMYFUNCTION("""COMPUTED_VALUE"""),"LOS LIRIOS 2789")</f>
        <v>LOS LIRIOS 2789</v>
      </c>
      <c r="D654" s="6" t="str">
        <f ca="1">IFERROR(__xludf.DUMMYFUNCTION("""COMPUTED_VALUE"""),"LAMPA")</f>
        <v>LAMPA</v>
      </c>
    </row>
    <row r="655" spans="1:4">
      <c r="A655" s="7">
        <f ca="1">IFERROR(__xludf.DUMMYFUNCTION("""COMPUTED_VALUE"""),43964)</f>
        <v>43964</v>
      </c>
      <c r="B655" s="6" t="str">
        <f ca="1">IFERROR(__xludf.DUMMYFUNCTION("""COMPUTED_VALUE"""),"-33.5633956-70.7945623")</f>
        <v>-33.5633956-70.7945623</v>
      </c>
      <c r="C655" s="6" t="str">
        <f ca="1">IFERROR(__xludf.DUMMYFUNCTION("""COMPUTED_VALUE"""),"JOSSE VAN DER REST  893")</f>
        <v>JOSSE VAN DER REST  893</v>
      </c>
      <c r="D655" s="6" t="str">
        <f ca="1">IFERROR(__xludf.DUMMYFUNCTION("""COMPUTED_VALUE"""),"PADRE HURTADO")</f>
        <v>PADRE HURTADO</v>
      </c>
    </row>
    <row r="656" spans="1:4">
      <c r="A656" s="7">
        <f ca="1">IFERROR(__xludf.DUMMYFUNCTION("""COMPUTED_VALUE"""),43964)</f>
        <v>43964</v>
      </c>
      <c r="B656" s="6" t="str">
        <f ca="1">IFERROR(__xludf.DUMMYFUNCTION("""COMPUTED_VALUE"""),"-33.5629815-70.7950777")</f>
        <v>-33.5629815-70.7950777</v>
      </c>
      <c r="C656" s="6" t="str">
        <f ca="1">IFERROR(__xludf.DUMMYFUNCTION("""COMPUTED_VALUE"""),"JOSSE VAN DER REST 832")</f>
        <v>JOSSE VAN DER REST 832</v>
      </c>
      <c r="D656" s="6" t="str">
        <f ca="1">IFERROR(__xludf.DUMMYFUNCTION("""COMPUTED_VALUE"""),"PADRE HURTADO")</f>
        <v>PADRE HURTADO</v>
      </c>
    </row>
    <row r="657" spans="1:4">
      <c r="A657" s="7">
        <f ca="1">IFERROR(__xludf.DUMMYFUNCTION("""COMPUTED_VALUE"""),43964)</f>
        <v>43964</v>
      </c>
      <c r="B657" s="6" t="str">
        <f ca="1">IFERROR(__xludf.DUMMYFUNCTION("""COMPUTED_VALUE"""),"-33.602771-70.851388")</f>
        <v>-33.602771-70.851388</v>
      </c>
      <c r="C657" s="6" t="str">
        <f ca="1">IFERROR(__xludf.DUMMYFUNCTION("""COMPUTED_VALUE"""),"MIRAFLORES 01")</f>
        <v>MIRAFLORES 01</v>
      </c>
      <c r="D657" s="6" t="str">
        <f ca="1">IFERROR(__xludf.DUMMYFUNCTION("""COMPUTED_VALUE"""),"PEÑAFLOR")</f>
        <v>PEÑAFLOR</v>
      </c>
    </row>
    <row r="658" spans="1:4">
      <c r="A658" s="7">
        <f ca="1">IFERROR(__xludf.DUMMYFUNCTION("""COMPUTED_VALUE"""),43964)</f>
        <v>43964</v>
      </c>
      <c r="B658" s="6" t="str">
        <f ca="1">IFERROR(__xludf.DUMMYFUNCTION("""COMPUTED_VALUE"""),"-33.60805864-70.86682")</f>
        <v>-33.60805864-70.86682</v>
      </c>
      <c r="C658" s="6" t="str">
        <f ca="1">IFERROR(__xludf.DUMMYFUNCTION("""COMPUTED_VALUE"""),"PASAJE TRES 1041")</f>
        <v>PASAJE TRES 1041</v>
      </c>
      <c r="D658" s="6" t="str">
        <f ca="1">IFERROR(__xludf.DUMMYFUNCTION("""COMPUTED_VALUE"""),"PEÑAFLOR")</f>
        <v>PEÑAFLOR</v>
      </c>
    </row>
    <row r="659" spans="1:4">
      <c r="A659" s="7">
        <f ca="1">IFERROR(__xludf.DUMMYFUNCTION("""COMPUTED_VALUE"""),43964)</f>
        <v>43964</v>
      </c>
      <c r="B659" s="6" t="str">
        <f ca="1">IFERROR(__xludf.DUMMYFUNCTION("""COMPUTED_VALUE"""),"-33.674763,-70.986682")</f>
        <v>-33.674763,-70.986682</v>
      </c>
      <c r="C659" s="6" t="str">
        <f ca="1">IFERROR(__xludf.DUMMYFUNCTION("""COMPUTED_VALUE"""),"GOMEZ RAMIREZ 327")</f>
        <v>GOMEZ RAMIREZ 327</v>
      </c>
      <c r="D659" s="6" t="str">
        <f ca="1">IFERROR(__xludf.DUMMYFUNCTION("""COMPUTED_VALUE"""),"EL MONTE")</f>
        <v>EL MONTE</v>
      </c>
    </row>
    <row r="660" spans="1:4">
      <c r="A660" s="7">
        <f ca="1">IFERROR(__xludf.DUMMYFUNCTION("""COMPUTED_VALUE"""),43964)</f>
        <v>43964</v>
      </c>
      <c r="B660" s="6" t="str">
        <f ca="1">IFERROR(__xludf.DUMMYFUNCTION("""COMPUTED_VALUE"""),"-33.680858,-70.998935")</f>
        <v>-33.680858,-70.998935</v>
      </c>
      <c r="C660" s="6" t="str">
        <f ca="1">IFERROR(__xludf.DUMMYFUNCTION("""COMPUTED_VALUE"""),"CALLE 4 SUR 829")</f>
        <v>CALLE 4 SUR 829</v>
      </c>
      <c r="D660" s="6" t="str">
        <f ca="1">IFERROR(__xludf.DUMMYFUNCTION("""COMPUTED_VALUE"""),"EL MONTE")</f>
        <v>EL MONTE</v>
      </c>
    </row>
    <row r="661" spans="1:4">
      <c r="A661" s="7">
        <f ca="1">IFERROR(__xludf.DUMMYFUNCTION("""COMPUTED_VALUE"""),43964)</f>
        <v>43964</v>
      </c>
      <c r="B661" s="6" t="str">
        <f ca="1">IFERROR(__xludf.DUMMYFUNCTION("""COMPUTED_VALUE"""),"-33.684648,-70.962341")</f>
        <v>-33.684648,-70.962341</v>
      </c>
      <c r="C661" s="6" t="str">
        <f ca="1">IFERROR(__xludf.DUMMYFUNCTION("""COMPUTED_VALUE"""),"LUIS ACOSTA 59")</f>
        <v>LUIS ACOSTA 59</v>
      </c>
      <c r="D661" s="6" t="str">
        <f ca="1">IFERROR(__xludf.DUMMYFUNCTION("""COMPUTED_VALUE"""),"EL MONTE")</f>
        <v>EL MONTE</v>
      </c>
    </row>
    <row r="662" spans="1:4">
      <c r="A662" s="7">
        <f ca="1">IFERROR(__xludf.DUMMYFUNCTION("""COMPUTED_VALUE"""),43964)</f>
        <v>43964</v>
      </c>
      <c r="B662" s="6" t="str">
        <f ca="1">IFERROR(__xludf.DUMMYFUNCTION("""COMPUTED_VALUE"""),"-33.679633,-70.991959")</f>
        <v>-33.679633,-70.991959</v>
      </c>
      <c r="C662" s="6" t="str">
        <f ca="1">IFERROR(__xludf.DUMMYFUNCTION("""COMPUTED_VALUE"""),"PRIMERO DE MAYO 671")</f>
        <v>PRIMERO DE MAYO 671</v>
      </c>
      <c r="D662" s="6" t="str">
        <f ca="1">IFERROR(__xludf.DUMMYFUNCTION("""COMPUTED_VALUE"""),"EL MONTE")</f>
        <v>EL MONTE</v>
      </c>
    </row>
    <row r="663" spans="1:4">
      <c r="A663" s="7">
        <f ca="1">IFERROR(__xludf.DUMMYFUNCTION("""COMPUTED_VALUE"""),43965)</f>
        <v>43965</v>
      </c>
      <c r="B663" s="8" t="str">
        <f ca="1">IFERROR(__xludf.DUMMYFUNCTION("""COMPUTED_VALUE"""),"-33.733188,-70.733873")</f>
        <v>-33.733188,-70.733873</v>
      </c>
      <c r="C663" s="6" t="str">
        <f ca="1">IFERROR(__xludf.DUMMYFUNCTION("""COMPUTED_VALUE"""),"CAMPUSANO PC 9B 6B")</f>
        <v>CAMPUSANO PC 9B 6B</v>
      </c>
      <c r="D663" s="6" t="str">
        <f ca="1">IFERROR(__xludf.DUMMYFUNCTION("""COMPUTED_VALUE"""),"BUIN")</f>
        <v>BUIN</v>
      </c>
    </row>
    <row r="664" spans="1:4">
      <c r="A664" s="7">
        <f ca="1">IFERROR(__xludf.DUMMYFUNCTION("""COMPUTED_VALUE"""),43965)</f>
        <v>43965</v>
      </c>
      <c r="B664" s="8" t="str">
        <f ca="1">IFERROR(__xludf.DUMMYFUNCTION("""COMPUTED_VALUE"""),"-33.715305,-70.738492")</f>
        <v>-33.715305,-70.738492</v>
      </c>
      <c r="C664" s="6" t="str">
        <f ca="1">IFERROR(__xludf.DUMMYFUNCTION("""COMPUTED_VALUE"""),"TEMPORERA DE LA NUEZ 0362")</f>
        <v>TEMPORERA DE LA NUEZ 0362</v>
      </c>
      <c r="D664" s="6" t="str">
        <f ca="1">IFERROR(__xludf.DUMMYFUNCTION("""COMPUTED_VALUE"""),"BUIN")</f>
        <v>BUIN</v>
      </c>
    </row>
    <row r="665" spans="1:4">
      <c r="A665" s="7">
        <f ca="1">IFERROR(__xludf.DUMMYFUNCTION("""COMPUTED_VALUE"""),43965)</f>
        <v>43965</v>
      </c>
      <c r="B665" s="6" t="str">
        <f ca="1">IFERROR(__xludf.DUMMYFUNCTION("""COMPUTED_VALUE"""),"-33.339157-70.816401")</f>
        <v>-33.339157-70.816401</v>
      </c>
      <c r="C665" s="6" t="str">
        <f ca="1">IFERROR(__xludf.DUMMYFUNCTION("""COMPUTED_VALUE"""),"CAMINO INTERIOR LOTE 22")</f>
        <v>CAMINO INTERIOR LOTE 22</v>
      </c>
      <c r="D665" s="6" t="str">
        <f ca="1">IFERROR(__xludf.DUMMYFUNCTION("""COMPUTED_VALUE"""),"LAMPA")</f>
        <v>LAMPA</v>
      </c>
    </row>
    <row r="666" spans="1:4">
      <c r="A666" s="7">
        <f ca="1">IFERROR(__xludf.DUMMYFUNCTION("""COMPUTED_VALUE"""),43965)</f>
        <v>43965</v>
      </c>
      <c r="B666" s="6" t="str">
        <f ca="1">IFERROR(__xludf.DUMMYFUNCTION("""COMPUTED_VALUE"""),"-33.604283-70.900895")</f>
        <v>-33.604283-70.900895</v>
      </c>
      <c r="C666" s="6" t="str">
        <f ca="1">IFERROR(__xludf.DUMMYFUNCTION("""COMPUTED_VALUE"""),"POBLACION BATA 112")</f>
        <v>POBLACION BATA 112</v>
      </c>
      <c r="D666" s="6" t="str">
        <f ca="1">IFERROR(__xludf.DUMMYFUNCTION("""COMPUTED_VALUE"""),"PEÑAFLOR")</f>
        <v>PEÑAFLOR</v>
      </c>
    </row>
    <row r="667" spans="1:4">
      <c r="A667" s="7">
        <f ca="1">IFERROR(__xludf.DUMMYFUNCTION("""COMPUTED_VALUE"""),43965)</f>
        <v>43965</v>
      </c>
      <c r="B667" s="6" t="str">
        <f ca="1">IFERROR(__xludf.DUMMYFUNCTION("""COMPUTED_VALUE"""),"-33.6010-70.8655")</f>
        <v>-33.6010-70.8655</v>
      </c>
      <c r="C667" s="6" t="str">
        <f ca="1">IFERROR(__xludf.DUMMYFUNCTION("""COMPUTED_VALUE"""),"MIRAFLORES 1360 C/P")</f>
        <v>MIRAFLORES 1360 C/P</v>
      </c>
      <c r="D667" s="6" t="str">
        <f ca="1">IFERROR(__xludf.DUMMYFUNCTION("""COMPUTED_VALUE"""),"PEÑAFLOR")</f>
        <v>PEÑAFLOR</v>
      </c>
    </row>
    <row r="668" spans="1:4">
      <c r="A668" s="7">
        <f ca="1">IFERROR(__xludf.DUMMYFUNCTION("""COMPUTED_VALUE"""),43965)</f>
        <v>43965</v>
      </c>
      <c r="B668" s="6" t="str">
        <f ca="1">IFERROR(__xludf.DUMMYFUNCTION("""COMPUTED_VALUE"""),"-33.597142-70.882345")</f>
        <v>-33.597142-70.882345</v>
      </c>
      <c r="C668" s="6" t="str">
        <f ca="1">IFERROR(__xludf.DUMMYFUNCTION("""COMPUTED_VALUE"""),"CAUPOLICAN 2950")</f>
        <v>CAUPOLICAN 2950</v>
      </c>
      <c r="D668" s="6" t="str">
        <f ca="1">IFERROR(__xludf.DUMMYFUNCTION("""COMPUTED_VALUE"""),"PEÑAFLOR")</f>
        <v>PEÑAFLOR</v>
      </c>
    </row>
    <row r="669" spans="1:4">
      <c r="A669" s="7">
        <f ca="1">IFERROR(__xludf.DUMMYFUNCTION("""COMPUTED_VALUE"""),43965)</f>
        <v>43965</v>
      </c>
      <c r="B669" s="6" t="str">
        <f ca="1">IFERROR(__xludf.DUMMYFUNCTION("""COMPUTED_VALUE"""),"-33.6010-70.8654")</f>
        <v>-33.6010-70.8654</v>
      </c>
      <c r="C669" s="6" t="str">
        <f ca="1">IFERROR(__xludf.DUMMYFUNCTION("""COMPUTED_VALUE"""),"MIRAFLORES 1360 C/Q")</f>
        <v>MIRAFLORES 1360 C/Q</v>
      </c>
      <c r="D669" s="6" t="str">
        <f ca="1">IFERROR(__xludf.DUMMYFUNCTION("""COMPUTED_VALUE"""),"PEÑAFLOR")</f>
        <v>PEÑAFLOR</v>
      </c>
    </row>
    <row r="670" spans="1:4">
      <c r="A670" s="7">
        <f ca="1">IFERROR(__xludf.DUMMYFUNCTION("""COMPUTED_VALUE"""),43965)</f>
        <v>43965</v>
      </c>
      <c r="B670" s="6" t="str">
        <f ca="1">IFERROR(__xludf.DUMMYFUNCTION("""COMPUTED_VALUE"""),"-33.676032,-70.979265")</f>
        <v>-33.676032,-70.979265</v>
      </c>
      <c r="C670" s="6" t="str">
        <f ca="1">IFERROR(__xludf.DUMMYFUNCTION("""COMPUTED_VALUE"""),"LUIS ACOSTA 59")</f>
        <v>LUIS ACOSTA 59</v>
      </c>
      <c r="D670" s="6" t="str">
        <f ca="1">IFERROR(__xludf.DUMMYFUNCTION("""COMPUTED_VALUE"""),"EL MONTE")</f>
        <v>EL MONTE</v>
      </c>
    </row>
    <row r="671" spans="1:4">
      <c r="A671" s="7">
        <f ca="1">IFERROR(__xludf.DUMMYFUNCTION("""COMPUTED_VALUE"""),43965)</f>
        <v>43965</v>
      </c>
      <c r="B671" s="6" t="str">
        <f ca="1">IFERROR(__xludf.DUMMYFUNCTION("""COMPUTED_VALUE"""),"-33.680923,-70.998705")</f>
        <v>-33.680923,-70.998705</v>
      </c>
      <c r="C671" s="6" t="str">
        <f ca="1">IFERROR(__xludf.DUMMYFUNCTION("""COMPUTED_VALUE"""),"CUATRO SUR 823")</f>
        <v>CUATRO SUR 823</v>
      </c>
      <c r="D671" s="6" t="str">
        <f ca="1">IFERROR(__xludf.DUMMYFUNCTION("""COMPUTED_VALUE"""),"EL MONTE")</f>
        <v>EL MONTE</v>
      </c>
    </row>
    <row r="672" spans="1:4">
      <c r="A672" s="7">
        <f ca="1">IFERROR(__xludf.DUMMYFUNCTION("""COMPUTED_VALUE"""),43965)</f>
        <v>43965</v>
      </c>
      <c r="B672" s="6" t="str">
        <f ca="1">IFERROR(__xludf.DUMMYFUNCTION("""COMPUTED_VALUE"""),"-33.689134,-71.003050")</f>
        <v>-33.689134,-71.003050</v>
      </c>
      <c r="C672" s="6" t="str">
        <f ca="1">IFERROR(__xludf.DUMMYFUNCTION("""COMPUTED_VALUE"""),"LLOPEO 3 SITIO 3")</f>
        <v>LLOPEO 3 SITIO 3</v>
      </c>
      <c r="D672" s="6" t="str">
        <f ca="1">IFERROR(__xludf.DUMMYFUNCTION("""COMPUTED_VALUE"""),"EL MONTE")</f>
        <v>EL MONTE</v>
      </c>
    </row>
    <row r="673" spans="1:4">
      <c r="A673" s="7">
        <f ca="1">IFERROR(__xludf.DUMMYFUNCTION("""COMPUTED_VALUE"""),43965)</f>
        <v>43965</v>
      </c>
      <c r="B673" s="6" t="str">
        <f ca="1">IFERROR(__xludf.DUMMYFUNCTION("""COMPUTED_VALUE"""),"-33.677189,-70.990678")</f>
        <v>-33.677189,-70.990678</v>
      </c>
      <c r="C673" s="6" t="str">
        <f ca="1">IFERROR(__xludf.DUMMYFUNCTION("""COMPUTED_VALUE"""),"CARLOS CROVETTO 338")</f>
        <v>CARLOS CROVETTO 338</v>
      </c>
      <c r="D673" s="6" t="str">
        <f ca="1">IFERROR(__xludf.DUMMYFUNCTION("""COMPUTED_VALUE"""),"EL MONTE")</f>
        <v>EL MONTE</v>
      </c>
    </row>
    <row r="674" spans="1:4">
      <c r="A674" s="7">
        <f ca="1">IFERROR(__xludf.DUMMYFUNCTION("""COMPUTED_VALUE"""),43966)</f>
        <v>43966</v>
      </c>
      <c r="B674" s="8" t="str">
        <f ca="1">IFERROR(__xludf.DUMMYFUNCTION("""COMPUTED_VALUE"""),"-33.738364,-70.792774")</f>
        <v>-33.738364,-70.792774</v>
      </c>
      <c r="C674" s="6" t="str">
        <f ca="1">IFERROR(__xludf.DUMMYFUNCTION("""COMPUTED_VALUE"""),"SAN ANTONIO 777")</f>
        <v>SAN ANTONIO 777</v>
      </c>
      <c r="D674" s="6" t="str">
        <f ca="1">IFERROR(__xludf.DUMMYFUNCTION("""COMPUTED_VALUE"""),"BUIN")</f>
        <v>BUIN</v>
      </c>
    </row>
    <row r="675" spans="1:4">
      <c r="A675" s="7">
        <f ca="1">IFERROR(__xludf.DUMMYFUNCTION("""COMPUTED_VALUE"""),43966)</f>
        <v>43966</v>
      </c>
      <c r="B675" s="8" t="str">
        <f ca="1">IFERROR(__xludf.DUMMYFUNCTION("""COMPUTED_VALUE"""),"-33.714684,-70.737826")</f>
        <v>-33.714684,-70.737826</v>
      </c>
      <c r="C675" s="6" t="str">
        <f ca="1">IFERROR(__xludf.DUMMYFUNCTION("""COMPUTED_VALUE"""),"PASAJE EL AMARRE 1395")</f>
        <v>PASAJE EL AMARRE 1395</v>
      </c>
      <c r="D675" s="6" t="str">
        <f ca="1">IFERROR(__xludf.DUMMYFUNCTION("""COMPUTED_VALUE"""),"BUIN")</f>
        <v>BUIN</v>
      </c>
    </row>
    <row r="676" spans="1:4">
      <c r="A676" s="7">
        <f ca="1">IFERROR(__xludf.DUMMYFUNCTION("""COMPUTED_VALUE"""),43966)</f>
        <v>43966</v>
      </c>
      <c r="B676" s="8" t="str">
        <f ca="1">IFERROR(__xludf.DUMMYFUNCTION("""COMPUTED_VALUE"""),"-33.725310,-70.77405")</f>
        <v>-33.725310,-70.77405</v>
      </c>
      <c r="C676" s="6" t="str">
        <f ca="1">IFERROR(__xludf.DUMMYFUNCTION("""COMPUTED_VALUE"""),"ROMELIA GOMEZ 135 PERPENDICULAR A LOS MAGNOLIOS")</f>
        <v>ROMELIA GOMEZ 135 PERPENDICULAR A LOS MAGNOLIOS</v>
      </c>
      <c r="D676" s="6" t="str">
        <f ca="1">IFERROR(__xludf.DUMMYFUNCTION("""COMPUTED_VALUE"""),"BUIN")</f>
        <v>BUIN</v>
      </c>
    </row>
    <row r="677" spans="1:4">
      <c r="A677" s="7">
        <f ca="1">IFERROR(__xludf.DUMMYFUNCTION("""COMPUTED_VALUE"""),43966)</f>
        <v>43966</v>
      </c>
      <c r="B677" s="8" t="str">
        <f ca="1">IFERROR(__xludf.DUMMYFUNCTION("""COMPUTED_VALUE"""),"-33.738318,-70.743372")</f>
        <v>-33.738318,-70.743372</v>
      </c>
      <c r="C677" s="6" t="str">
        <f ca="1">IFERROR(__xludf.DUMMYFUNCTION("""COMPUTED_VALUE"""),"SAN FRANCISCO 448")</f>
        <v>SAN FRANCISCO 448</v>
      </c>
      <c r="D677" s="6" t="str">
        <f ca="1">IFERROR(__xludf.DUMMYFUNCTION("""COMPUTED_VALUE"""),"BUIN")</f>
        <v>BUIN</v>
      </c>
    </row>
    <row r="678" spans="1:4">
      <c r="A678" s="7">
        <f ca="1">IFERROR(__xludf.DUMMYFUNCTION("""COMPUTED_VALUE"""),43966)</f>
        <v>43966</v>
      </c>
      <c r="B678" s="8" t="str">
        <f ca="1">IFERROR(__xludf.DUMMYFUNCTION("""COMPUTED_VALUE"""),"-33.730459,-70.776595")</f>
        <v>-33.730459,-70.776595</v>
      </c>
      <c r="C678" s="6" t="str">
        <f ca="1">IFERROR(__xludf.DUMMYFUNCTION("""COMPUTED_VALUE"""),"JOAQUIN BARRIENTO 27")</f>
        <v>JOAQUIN BARRIENTO 27</v>
      </c>
      <c r="D678" s="6" t="str">
        <f ca="1">IFERROR(__xludf.DUMMYFUNCTION("""COMPUTED_VALUE"""),"BUIN")</f>
        <v>BUIN</v>
      </c>
    </row>
    <row r="679" spans="1:4">
      <c r="A679" s="7">
        <f ca="1">IFERROR(__xludf.DUMMYFUNCTION("""COMPUTED_VALUE"""),43966)</f>
        <v>43966</v>
      </c>
      <c r="B679" s="6" t="str">
        <f ca="1">IFERROR(__xludf.DUMMYFUNCTION("""COMPUTED_VALUE"""),"-33.291563-70.782925")</f>
        <v>-33.291563-70.782925</v>
      </c>
      <c r="C679" s="6" t="str">
        <f ca="1">IFERROR(__xludf.DUMMYFUNCTION("""COMPUTED_VALUE"""),"LO CASTRO SITIO 19 D")</f>
        <v>LO CASTRO SITIO 19 D</v>
      </c>
      <c r="D679" s="6" t="str">
        <f ca="1">IFERROR(__xludf.DUMMYFUNCTION("""COMPUTED_VALUE"""),"LAMPA")</f>
        <v>LAMPA</v>
      </c>
    </row>
    <row r="680" spans="1:4">
      <c r="A680" s="7">
        <f ca="1">IFERROR(__xludf.DUMMYFUNCTION("""COMPUTED_VALUE"""),43966)</f>
        <v>43966</v>
      </c>
      <c r="B680" s="6" t="str">
        <f ca="1">IFERROR(__xludf.DUMMYFUNCTION("""COMPUTED_VALUE"""),"-33.286024-70.763087")</f>
        <v>-33.286024-70.763087</v>
      </c>
      <c r="C680" s="6" t="str">
        <f ca="1">IFERROR(__xludf.DUMMYFUNCTION("""COMPUTED_VALUE"""),"CAMINO SANTA ROSA PARCELA 240")</f>
        <v>CAMINO SANTA ROSA PARCELA 240</v>
      </c>
      <c r="D680" s="6" t="str">
        <f ca="1">IFERROR(__xludf.DUMMYFUNCTION("""COMPUTED_VALUE"""),"LAMPA")</f>
        <v>LAMPA</v>
      </c>
    </row>
    <row r="681" spans="1:4">
      <c r="A681" s="7">
        <f ca="1">IFERROR(__xludf.DUMMYFUNCTION("""COMPUTED_VALUE"""),43966)</f>
        <v>43966</v>
      </c>
      <c r="B681" s="6" t="str">
        <f ca="1">IFERROR(__xludf.DUMMYFUNCTION("""COMPUTED_VALUE"""),"-33.286024-70.763087")</f>
        <v>-33.286024-70.763087</v>
      </c>
      <c r="C681" s="6" t="str">
        <f ca="1">IFERROR(__xludf.DUMMYFUNCTION("""COMPUTED_VALUE"""),"CAMINO SANTA ROSA PARCELA 240")</f>
        <v>CAMINO SANTA ROSA PARCELA 240</v>
      </c>
      <c r="D681" s="6" t="str">
        <f ca="1">IFERROR(__xludf.DUMMYFUNCTION("""COMPUTED_VALUE"""),"LAMPA")</f>
        <v>LAMPA</v>
      </c>
    </row>
    <row r="682" spans="1:4">
      <c r="A682" s="7">
        <f ca="1">IFERROR(__xludf.DUMMYFUNCTION("""COMPUTED_VALUE"""),43966)</f>
        <v>43966</v>
      </c>
      <c r="B682" s="6" t="str">
        <f ca="1">IFERROR(__xludf.DUMMYFUNCTION("""COMPUTED_VALUE"""),"-33.6010617-70.8862262")</f>
        <v>-33.6010617-70.8862262</v>
      </c>
      <c r="C682" s="6" t="str">
        <f ca="1">IFERROR(__xludf.DUMMYFUNCTION("""COMPUTED_VALUE"""),"BLANCO ENCALADA 616")</f>
        <v>BLANCO ENCALADA 616</v>
      </c>
      <c r="D682" s="6" t="str">
        <f ca="1">IFERROR(__xludf.DUMMYFUNCTION("""COMPUTED_VALUE"""),"PEÑAFLOR")</f>
        <v>PEÑAFLOR</v>
      </c>
    </row>
    <row r="683" spans="1:4">
      <c r="A683" s="7">
        <f ca="1">IFERROR(__xludf.DUMMYFUNCTION("""COMPUTED_VALUE"""),43966)</f>
        <v>43966</v>
      </c>
      <c r="B683" s="6" t="str">
        <f ca="1">IFERROR(__xludf.DUMMYFUNCTION("""COMPUTED_VALUE"""),"-33.6048694-70.9067274")</f>
        <v>-33.6048694-70.9067274</v>
      </c>
      <c r="C683" s="6" t="str">
        <f ca="1">IFERROR(__xludf.DUMMYFUNCTION("""COMPUTED_VALUE"""),"CAMINO DEL ESTERO 271")</f>
        <v>CAMINO DEL ESTERO 271</v>
      </c>
      <c r="D683" s="6" t="str">
        <f ca="1">IFERROR(__xludf.DUMMYFUNCTION("""COMPUTED_VALUE"""),"PEÑAFLOR")</f>
        <v>PEÑAFLOR</v>
      </c>
    </row>
    <row r="684" spans="1:4">
      <c r="A684" s="7">
        <f ca="1">IFERROR(__xludf.DUMMYFUNCTION("""COMPUTED_VALUE"""),43966)</f>
        <v>43966</v>
      </c>
      <c r="B684" s="6" t="str">
        <f ca="1">IFERROR(__xludf.DUMMYFUNCTION("""COMPUTED_VALUE"""),"-33.647000,-70.901940")</f>
        <v>-33.647000,-70.901940</v>
      </c>
      <c r="C684" s="6" t="str">
        <f ca="1">IFERROR(__xludf.DUMMYFUNCTION("""COMPUTED_VALUE"""),"SAN ALBERTO 0187 LOTE 27")</f>
        <v>SAN ALBERTO 0187 LOTE 27</v>
      </c>
      <c r="D684" s="6" t="str">
        <f ca="1">IFERROR(__xludf.DUMMYFUNCTION("""COMPUTED_VALUE"""),"TALAGANTE")</f>
        <v>TALAGANTE</v>
      </c>
    </row>
    <row r="685" spans="1:4">
      <c r="A685" s="7">
        <f ca="1">IFERROR(__xludf.DUMMYFUNCTION("""COMPUTED_VALUE"""),43966)</f>
        <v>43966</v>
      </c>
      <c r="B685" s="6" t="str">
        <f ca="1">IFERROR(__xludf.DUMMYFUNCTION("""COMPUTED_VALUE"""),"-33.670290,-70.931683")</f>
        <v>-33.670290,-70.931683</v>
      </c>
      <c r="C685" s="6" t="str">
        <f ca="1">IFERROR(__xludf.DUMMYFUNCTION("""COMPUTED_VALUE"""),"JUANA CANALES 1627")</f>
        <v>JUANA CANALES 1627</v>
      </c>
      <c r="D685" s="6" t="str">
        <f ca="1">IFERROR(__xludf.DUMMYFUNCTION("""COMPUTED_VALUE"""),"TALAGANTE")</f>
        <v>TALAGANTE</v>
      </c>
    </row>
    <row r="686" spans="1:4">
      <c r="A686" s="7">
        <f ca="1">IFERROR(__xludf.DUMMYFUNCTION("""COMPUTED_VALUE"""),43966)</f>
        <v>43966</v>
      </c>
      <c r="B686" s="6" t="str">
        <f ca="1">IFERROR(__xludf.DUMMYFUNCTION("""COMPUTED_VALUE"""),"-33.670249,-70.931583")</f>
        <v>-33.670249,-70.931583</v>
      </c>
      <c r="C686" s="6" t="str">
        <f ca="1">IFERROR(__xludf.DUMMYFUNCTION("""COMPUTED_VALUE"""),"JUANA CANALES 1605")</f>
        <v>JUANA CANALES 1605</v>
      </c>
      <c r="D686" s="6" t="str">
        <f ca="1">IFERROR(__xludf.DUMMYFUNCTION("""COMPUTED_VALUE"""),"TALAGANTE")</f>
        <v>TALAGANTE</v>
      </c>
    </row>
    <row r="687" spans="1:4">
      <c r="A687" s="7">
        <f ca="1">IFERROR(__xludf.DUMMYFUNCTION("""COMPUTED_VALUE"""),43966)</f>
        <v>43966</v>
      </c>
      <c r="B687" s="6" t="str">
        <f ca="1">IFERROR(__xludf.DUMMYFUNCTION("""COMPUTED_VALUE"""),"-33.688879,-70.919130")</f>
        <v>-33.688879,-70.919130</v>
      </c>
      <c r="C687" s="6" t="str">
        <f ca="1">IFERROR(__xludf.DUMMYFUNCTION("""COMPUTED_VALUE"""),"MAITENES 980 (CARAMPANGUE, PARCELA SANTA CRISTINA 91)")</f>
        <v>MAITENES 980 (CARAMPANGUE, PARCELA SANTA CRISTINA 91)</v>
      </c>
      <c r="D687" s="6" t="str">
        <f ca="1">IFERROR(__xludf.DUMMYFUNCTION("""COMPUTED_VALUE"""),"TALAGANTE")</f>
        <v>TALAGANTE</v>
      </c>
    </row>
    <row r="688" spans="1:4">
      <c r="A688" s="7">
        <f ca="1">IFERROR(__xludf.DUMMYFUNCTION("""COMPUTED_VALUE"""),43966)</f>
        <v>43966</v>
      </c>
      <c r="B688" s="6" t="str">
        <f ca="1">IFERROR(__xludf.DUMMYFUNCTION("""COMPUTED_VALUE"""),"-33.688879,-70.919130")</f>
        <v>-33.688879,-70.919130</v>
      </c>
      <c r="C688" s="6" t="str">
        <f ca="1">IFERROR(__xludf.DUMMYFUNCTION("""COMPUTED_VALUE"""),"MAITENES 980 (CARAMPANGUE, PARCELA SANTA CRISTINA 91)")</f>
        <v>MAITENES 980 (CARAMPANGUE, PARCELA SANTA CRISTINA 91)</v>
      </c>
      <c r="D688" s="6" t="str">
        <f ca="1">IFERROR(__xludf.DUMMYFUNCTION("""COMPUTED_VALUE"""),"TALAGANTE")</f>
        <v>TALAGANTE</v>
      </c>
    </row>
    <row r="689" spans="1:4">
      <c r="A689" s="7">
        <f ca="1">IFERROR(__xludf.DUMMYFUNCTION("""COMPUTED_VALUE"""),43966)</f>
        <v>43966</v>
      </c>
      <c r="B689" s="6" t="str">
        <f ca="1">IFERROR(__xludf.DUMMYFUNCTION("""COMPUTED_VALUE"""),"-33.682356,-71.001153")</f>
        <v>-33.682356,-71.001153</v>
      </c>
      <c r="C689" s="6" t="str">
        <f ca="1">IFERROR(__xludf.DUMMYFUNCTION("""COMPUTED_VALUE"""),"EL ALAMO 864")</f>
        <v>EL ALAMO 864</v>
      </c>
      <c r="D689" s="6" t="str">
        <f ca="1">IFERROR(__xludf.DUMMYFUNCTION("""COMPUTED_VALUE"""),"EL MONTE")</f>
        <v>EL MONTE</v>
      </c>
    </row>
    <row r="690" spans="1:4">
      <c r="A690" s="7">
        <f ca="1">IFERROR(__xludf.DUMMYFUNCTION("""COMPUTED_VALUE"""),43966)</f>
        <v>43966</v>
      </c>
      <c r="B690" s="6" t="str">
        <f ca="1">IFERROR(__xludf.DUMMYFUNCTION("""COMPUTED_VALUE"""),"-33.681192,-70.998448")</f>
        <v>-33.681192,-70.998448</v>
      </c>
      <c r="C690" s="6" t="str">
        <f ca="1">IFERROR(__xludf.DUMMYFUNCTION("""COMPUTED_VALUE"""),"CUATRO SUR 797")</f>
        <v>CUATRO SUR 797</v>
      </c>
      <c r="D690" s="6" t="str">
        <f ca="1">IFERROR(__xludf.DUMMYFUNCTION("""COMPUTED_VALUE"""),"EL MONTE")</f>
        <v>EL MONTE</v>
      </c>
    </row>
    <row r="691" spans="1:4">
      <c r="A691" s="7">
        <f ca="1">IFERROR(__xludf.DUMMYFUNCTION("""COMPUTED_VALUE"""),43966)</f>
        <v>43966</v>
      </c>
      <c r="B691" s="6" t="str">
        <f ca="1">IFERROR(__xludf.DUMMYFUNCTION("""COMPUTED_VALUE"""),"-33.677260,-70.978107")</f>
        <v>-33.677260,-70.978107</v>
      </c>
      <c r="C691" s="6" t="str">
        <f ca="1">IFERROR(__xludf.DUMMYFUNCTION("""COMPUTED_VALUE"""),"ARTURO PRAT 77")</f>
        <v>ARTURO PRAT 77</v>
      </c>
      <c r="D691" s="6" t="str">
        <f ca="1">IFERROR(__xludf.DUMMYFUNCTION("""COMPUTED_VALUE"""),"EL MONTE")</f>
        <v>EL MONTE</v>
      </c>
    </row>
    <row r="692" spans="1:4">
      <c r="A692" s="7">
        <f ca="1">IFERROR(__xludf.DUMMYFUNCTION("""COMPUTED_VALUE"""),43967)</f>
        <v>43967</v>
      </c>
      <c r="B692" s="6" t="str">
        <f ca="1">IFERROR(__xludf.DUMMYFUNCTION("""COMPUTED_VALUE"""),"-33.601355-70.884513")</f>
        <v>-33.601355-70.884513</v>
      </c>
      <c r="C692" s="6" t="str">
        <f ca="1">IFERROR(__xludf.DUMMYFUNCTION("""COMPUTED_VALUE""")," ALMIRANTE JUAN LATORRE 586")</f>
        <v xml:space="preserve"> ALMIRANTE JUAN LATORRE 586</v>
      </c>
      <c r="D692" s="6" t="str">
        <f ca="1">IFERROR(__xludf.DUMMYFUNCTION("""COMPUTED_VALUE"""),"PEÑAFLOR")</f>
        <v>PEÑAFLOR</v>
      </c>
    </row>
    <row r="693" spans="1:4">
      <c r="A693" s="7">
        <f ca="1">IFERROR(__xludf.DUMMYFUNCTION("""COMPUTED_VALUE"""),43967)</f>
        <v>43967</v>
      </c>
      <c r="B693" s="6" t="str">
        <f ca="1">IFERROR(__xludf.DUMMYFUNCTION("""COMPUTED_VALUE"""),"-33.673186,-70.976659")</f>
        <v>-33.673186,-70.976659</v>
      </c>
      <c r="C693" s="6" t="str">
        <f ca="1">IFERROR(__xludf.DUMMYFUNCTION("""COMPUTED_VALUE"""),"BERNARDO OGGUINS 285")</f>
        <v>BERNARDO OGGUINS 285</v>
      </c>
      <c r="D693" s="6" t="str">
        <f ca="1">IFERROR(__xludf.DUMMYFUNCTION("""COMPUTED_VALUE"""),"EL MONTE")</f>
        <v>EL MONTE</v>
      </c>
    </row>
    <row r="694" spans="1:4">
      <c r="A694" s="7">
        <f ca="1">IFERROR(__xludf.DUMMYFUNCTION("""COMPUTED_VALUE"""),43967)</f>
        <v>43967</v>
      </c>
      <c r="B694" s="6" t="str">
        <f ca="1">IFERROR(__xludf.DUMMYFUNCTION("""COMPUTED_VALUE"""),"-33.683550,-71.003442")</f>
        <v>-33.683550,-71.003442</v>
      </c>
      <c r="C694" s="6" t="str">
        <f ca="1">IFERROR(__xludf.DUMMYFUNCTION("""COMPUTED_VALUE"""),"DOCTRINA DE JUDIOS 19")</f>
        <v>DOCTRINA DE JUDIOS 19</v>
      </c>
      <c r="D694" s="6" t="str">
        <f ca="1">IFERROR(__xludf.DUMMYFUNCTION("""COMPUTED_VALUE"""),"EL MONTE")</f>
        <v>EL MONTE</v>
      </c>
    </row>
    <row r="695" spans="1:4">
      <c r="A695" s="7">
        <f ca="1">IFERROR(__xludf.DUMMYFUNCTION("""COMPUTED_VALUE"""),43969)</f>
        <v>43969</v>
      </c>
      <c r="B695" s="8" t="str">
        <f ca="1">IFERROR(__xludf.DUMMYFUNCTION("""COMPUTED_VALUE"""),"-33.725229, -70.773800")</f>
        <v>-33.725229, -70.773800</v>
      </c>
      <c r="C695" s="6" t="str">
        <f ca="1">IFERROR(__xludf.DUMMYFUNCTION("""COMPUTED_VALUE"""),"PASAJE ALBERTO NALLI PEÑALOZA 405")</f>
        <v>PASAJE ALBERTO NALLI PEÑALOZA 405</v>
      </c>
      <c r="D695" s="6" t="str">
        <f ca="1">IFERROR(__xludf.DUMMYFUNCTION("""COMPUTED_VALUE"""),"BUIN")</f>
        <v>BUIN</v>
      </c>
    </row>
    <row r="696" spans="1:4">
      <c r="A696" s="7">
        <f ca="1">IFERROR(__xludf.DUMMYFUNCTION("""COMPUTED_VALUE"""),43969)</f>
        <v>43969</v>
      </c>
      <c r="B696" s="8" t="str">
        <f ca="1">IFERROR(__xludf.DUMMYFUNCTION("""COMPUTED_VALUE"""),"-33.649990,-70.927627")</f>
        <v>-33.649990,-70.927627</v>
      </c>
      <c r="C696" s="6" t="str">
        <f ca="1">IFERROR(__xludf.DUMMYFUNCTION("""COMPUTED_VALUE"""),"ALTO HOSPICIO 495")</f>
        <v>ALTO HOSPICIO 495</v>
      </c>
      <c r="D696" s="6" t="str">
        <f ca="1">IFERROR(__xludf.DUMMYFUNCTION("""COMPUTED_VALUE"""),"TALAGANTE")</f>
        <v>TALAGANTE</v>
      </c>
    </row>
    <row r="697" spans="1:4">
      <c r="A697" s="7">
        <f ca="1">IFERROR(__xludf.DUMMYFUNCTION("""COMPUTED_VALUE"""),43969)</f>
        <v>43969</v>
      </c>
      <c r="B697" s="8" t="str">
        <f ca="1">IFERROR(__xludf.DUMMYFUNCTION("""COMPUTED_VALUE"""),"-33.649990,-70.927627")</f>
        <v>-33.649990,-70.927627</v>
      </c>
      <c r="C697" s="6" t="str">
        <f ca="1">IFERROR(__xludf.DUMMYFUNCTION("""COMPUTED_VALUE"""),"ALTO HOSPICIO 495")</f>
        <v>ALTO HOSPICIO 495</v>
      </c>
      <c r="D697" s="6" t="str">
        <f ca="1">IFERROR(__xludf.DUMMYFUNCTION("""COMPUTED_VALUE"""),"TALAGANTE")</f>
        <v>TALAGANTE</v>
      </c>
    </row>
    <row r="698" spans="1:4">
      <c r="A698" s="7">
        <f ca="1">IFERROR(__xludf.DUMMYFUNCTION("""COMPUTED_VALUE"""),43969)</f>
        <v>43969</v>
      </c>
      <c r="B698" s="8" t="str">
        <f ca="1">IFERROR(__xludf.DUMMYFUNCTION("""COMPUTED_VALUE"""),"-33.650524,-70.901550")</f>
        <v>-33.650524,-70.901550</v>
      </c>
      <c r="C698" s="6" t="str">
        <f ca="1">IFERROR(__xludf.DUMMYFUNCTION("""COMPUTED_VALUE"""),"SAN LUIS 561")</f>
        <v>SAN LUIS 561</v>
      </c>
      <c r="D698" s="6" t="str">
        <f ca="1">IFERROR(__xludf.DUMMYFUNCTION("""COMPUTED_VALUE"""),"TALAGANTE")</f>
        <v>TALAGANTE</v>
      </c>
    </row>
    <row r="699" spans="1:4">
      <c r="A699" s="7">
        <f ca="1">IFERROR(__xludf.DUMMYFUNCTION("""COMPUTED_VALUE"""),43969)</f>
        <v>43969</v>
      </c>
      <c r="B699" s="6" t="str">
        <f ca="1">IFERROR(__xludf.DUMMYFUNCTION("""COMPUTED_VALUE"""),"-33.599283-70.883062")</f>
        <v>-33.599283-70.883062</v>
      </c>
      <c r="C699" s="6" t="str">
        <f ca="1">IFERROR(__xludf.DUMMYFUNCTION("""COMPUTED_VALUE"""),"PASAJE UNO 2871")</f>
        <v>PASAJE UNO 2871</v>
      </c>
      <c r="D699" s="6" t="str">
        <f ca="1">IFERROR(__xludf.DUMMYFUNCTION("""COMPUTED_VALUE"""),"PEÑAFLOR")</f>
        <v>PEÑAFLOR</v>
      </c>
    </row>
    <row r="700" spans="1:4">
      <c r="A700" s="7">
        <f ca="1">IFERROR(__xludf.DUMMYFUNCTION("""COMPUTED_VALUE"""),43969)</f>
        <v>43969</v>
      </c>
      <c r="B700" s="6" t="str">
        <f ca="1">IFERROR(__xludf.DUMMYFUNCTION("""COMPUTED_VALUE"""),"-33.6146316-70.8755038")</f>
        <v>-33.6146316-70.8755038</v>
      </c>
      <c r="C700" s="6" t="str">
        <f ca="1">IFERROR(__xludf.DUMMYFUNCTION("""COMPUTED_VALUE"""),"LAS PETUNIAS 1560")</f>
        <v>LAS PETUNIAS 1560</v>
      </c>
      <c r="D700" s="6" t="str">
        <f ca="1">IFERROR(__xludf.DUMMYFUNCTION("""COMPUTED_VALUE"""),"PEÑAFLOR")</f>
        <v>PEÑAFLOR</v>
      </c>
    </row>
    <row r="701" spans="1:4">
      <c r="A701" s="7">
        <f ca="1">IFERROR(__xludf.DUMMYFUNCTION("""COMPUTED_VALUE"""),43969)</f>
        <v>43969</v>
      </c>
      <c r="B701" s="6" t="str">
        <f ca="1">IFERROR(__xludf.DUMMYFUNCTION("""COMPUTED_VALUE"""),"'-33.6119374-70.8761357")</f>
        <v>'-33.6119374-70.8761357</v>
      </c>
      <c r="C701" s="6" t="str">
        <f ca="1">IFERROR(__xludf.DUMMYFUNCTION("""COMPUTED_VALUE"""),"CENTRAL 137")</f>
        <v>CENTRAL 137</v>
      </c>
      <c r="D701" s="6" t="str">
        <f ca="1">IFERROR(__xludf.DUMMYFUNCTION("""COMPUTED_VALUE"""),"PEÑAFLOR")</f>
        <v>PEÑAFLOR</v>
      </c>
    </row>
    <row r="702" spans="1:4">
      <c r="A702" s="7">
        <f ca="1">IFERROR(__xludf.DUMMYFUNCTION("""COMPUTED_VALUE"""),43969)</f>
        <v>43969</v>
      </c>
      <c r="B702" s="6" t="str">
        <f ca="1">IFERROR(__xludf.DUMMYFUNCTION("""COMPUTED_VALUE"""),"-33.601359-70.873835")</f>
        <v>-33.601359-70.873835</v>
      </c>
      <c r="C702" s="6" t="str">
        <f ca="1">IFERROR(__xludf.DUMMYFUNCTION("""COMPUTED_VALUE"""),"AV. LARRAIN 2049")</f>
        <v>AV. LARRAIN 2049</v>
      </c>
      <c r="D702" s="6" t="str">
        <f ca="1">IFERROR(__xludf.DUMMYFUNCTION("""COMPUTED_VALUE"""),"PEÑAFLOR")</f>
        <v>PEÑAFLOR</v>
      </c>
    </row>
    <row r="703" spans="1:4">
      <c r="A703" s="7">
        <f ca="1">IFERROR(__xludf.DUMMYFUNCTION("""COMPUTED_VALUE"""),43969)</f>
        <v>43969</v>
      </c>
      <c r="B703" s="6" t="str">
        <f ca="1">IFERROR(__xludf.DUMMYFUNCTION("""COMPUTED_VALUE"""),"-33.610024-70.882038")</f>
        <v>-33.610024-70.882038</v>
      </c>
      <c r="C703" s="6" t="str">
        <f ca="1">IFERROR(__xludf.DUMMYFUNCTION("""COMPUTED_VALUE"""),"PASAJE COLICO 2420")</f>
        <v>PASAJE COLICO 2420</v>
      </c>
      <c r="D703" s="6" t="str">
        <f ca="1">IFERROR(__xludf.DUMMYFUNCTION("""COMPUTED_VALUE"""),"PEÑAFLOR")</f>
        <v>PEÑAFLOR</v>
      </c>
    </row>
    <row r="704" spans="1:4">
      <c r="A704" s="7">
        <f ca="1">IFERROR(__xludf.DUMMYFUNCTION("""COMPUTED_VALUE"""),43969)</f>
        <v>43969</v>
      </c>
      <c r="B704" s="6" t="str">
        <f ca="1">IFERROR(__xludf.DUMMYFUNCTION("""COMPUTED_VALUE"""),"-33.5865992-70.8757056")</f>
        <v>-33.5865992-70.8757056</v>
      </c>
      <c r="C704" s="6" t="str">
        <f ca="1">IFERROR(__xludf.DUMMYFUNCTION("""COMPUTED_VALUE"""),"FUNDO SANTA CORINA S-41")</f>
        <v>FUNDO SANTA CORINA S-41</v>
      </c>
      <c r="D704" s="6" t="str">
        <f ca="1">IFERROR(__xludf.DUMMYFUNCTION("""COMPUTED_VALUE"""),"PEÑAFLOR")</f>
        <v>PEÑAFLOR</v>
      </c>
    </row>
    <row r="705" spans="1:4">
      <c r="A705" s="7">
        <f ca="1">IFERROR(__xludf.DUMMYFUNCTION("""COMPUTED_VALUE"""),43969)</f>
        <v>43969</v>
      </c>
      <c r="B705" s="6" t="str">
        <f ca="1">IFERROR(__xludf.DUMMYFUNCTION("""COMPUTED_VALUE"""),"-33.6011-70.6855")</f>
        <v>-33.6011-70.6855</v>
      </c>
      <c r="C705" s="6" t="str">
        <f ca="1">IFERROR(__xludf.DUMMYFUNCTION("""COMPUTED_VALUE"""),"AV. MIRAFLORES 1360 C/G")</f>
        <v>AV. MIRAFLORES 1360 C/G</v>
      </c>
      <c r="D705" s="6" t="str">
        <f ca="1">IFERROR(__xludf.DUMMYFUNCTION("""COMPUTED_VALUE"""),"PEÑAFLOR")</f>
        <v>PEÑAFLOR</v>
      </c>
    </row>
    <row r="706" spans="1:4">
      <c r="A706" s="7">
        <f ca="1">IFERROR(__xludf.DUMMYFUNCTION("""COMPUTED_VALUE"""),43969)</f>
        <v>43969</v>
      </c>
      <c r="B706" s="6" t="str">
        <f ca="1">IFERROR(__xludf.DUMMYFUNCTION("""COMPUTED_VALUE"""),"-33.6013-70.8655")</f>
        <v>-33.6013-70.8655</v>
      </c>
      <c r="C706" s="6" t="str">
        <f ca="1">IFERROR(__xludf.DUMMYFUNCTION("""COMPUTED_VALUE"""),"AV. MIRAFLORES 1360 CASA M")</f>
        <v>AV. MIRAFLORES 1360 CASA M</v>
      </c>
      <c r="D706" s="6" t="str">
        <f ca="1">IFERROR(__xludf.DUMMYFUNCTION("""COMPUTED_VALUE"""),"PEÑAFLOR")</f>
        <v>PEÑAFLOR</v>
      </c>
    </row>
    <row r="707" spans="1:4">
      <c r="A707" s="7">
        <f ca="1">IFERROR(__xludf.DUMMYFUNCTION("""COMPUTED_VALUE"""),43969)</f>
        <v>43969</v>
      </c>
      <c r="B707" s="6" t="str">
        <f ca="1">IFERROR(__xludf.DUMMYFUNCTION("""COMPUTED_VALUE"""),"-33.683408,-71.002452")</f>
        <v>-33.683408,-71.002452</v>
      </c>
      <c r="C707" s="6" t="str">
        <f ca="1">IFERROR(__xludf.DUMMYFUNCTION("""COMPUTED_VALUE"""),"LA ENCOMIENDA 843 B")</f>
        <v>LA ENCOMIENDA 843 B</v>
      </c>
      <c r="D707" s="6" t="str">
        <f ca="1">IFERROR(__xludf.DUMMYFUNCTION("""COMPUTED_VALUE"""),"EL MONTE")</f>
        <v>EL MONTE</v>
      </c>
    </row>
    <row r="708" spans="1:4">
      <c r="A708" s="7">
        <f ca="1">IFERROR(__xludf.DUMMYFUNCTION("""COMPUTED_VALUE"""),43969)</f>
        <v>43969</v>
      </c>
      <c r="B708" s="6" t="str">
        <f ca="1">IFERROR(__xludf.DUMMYFUNCTION("""COMPUTED_VALUE"""),"-33.683128,-71.002267")</f>
        <v>-33.683128,-71.002267</v>
      </c>
      <c r="C708" s="6" t="str">
        <f ca="1">IFERROR(__xludf.DUMMYFUNCTION("""COMPUTED_VALUE"""),"DOMINGO SANTA MARIA 183B")</f>
        <v>DOMINGO SANTA MARIA 183B</v>
      </c>
      <c r="D708" s="6" t="str">
        <f ca="1">IFERROR(__xludf.DUMMYFUNCTION("""COMPUTED_VALUE"""),"EL MONTE")</f>
        <v>EL MONTE</v>
      </c>
    </row>
    <row r="709" spans="1:4">
      <c r="A709" s="7">
        <f ca="1">IFERROR(__xludf.DUMMYFUNCTION("""COMPUTED_VALUE"""),43969)</f>
        <v>43969</v>
      </c>
      <c r="B709" s="6" t="str">
        <f ca="1">IFERROR(__xludf.DUMMYFUNCTION("""COMPUTED_VALUE"""),"-33.682393,-70.995218")</f>
        <v>-33.682393,-70.995218</v>
      </c>
      <c r="C709" s="6" t="str">
        <f ca="1">IFERROR(__xludf.DUMMYFUNCTION("""COMPUTED_VALUE"""),"HERMANOS CARRERA 19")</f>
        <v>HERMANOS CARRERA 19</v>
      </c>
      <c r="D709" s="6" t="str">
        <f ca="1">IFERROR(__xludf.DUMMYFUNCTION("""COMPUTED_VALUE"""),"EL MONTE")</f>
        <v>EL MONTE</v>
      </c>
    </row>
    <row r="710" spans="1:4">
      <c r="A710" s="7">
        <f ca="1">IFERROR(__xludf.DUMMYFUNCTION("""COMPUTED_VALUE"""),43970)</f>
        <v>43970</v>
      </c>
      <c r="B710" s="8" t="str">
        <f ca="1">IFERROR(__xludf.DUMMYFUNCTION("""COMPUTED_VALUE"""),"-33.664459,-70.919770")</f>
        <v>-33.664459,-70.919770</v>
      </c>
      <c r="C710" s="6" t="str">
        <f ca="1">IFERROR(__xludf.DUMMYFUNCTION("""COMPUTED_VALUE"""),"MARTA RODRIGUEZ 555")</f>
        <v>MARTA RODRIGUEZ 555</v>
      </c>
      <c r="D710" s="6" t="str">
        <f ca="1">IFERROR(__xludf.DUMMYFUNCTION("""COMPUTED_VALUE"""),"TALAGANTE")</f>
        <v>TALAGANTE</v>
      </c>
    </row>
    <row r="711" spans="1:4">
      <c r="A711" s="7">
        <f ca="1">IFERROR(__xludf.DUMMYFUNCTION("""COMPUTED_VALUE"""),43970)</f>
        <v>43970</v>
      </c>
      <c r="B711" s="8" t="str">
        <f ca="1">IFERROR(__xludf.DUMMYFUNCTION("""COMPUTED_VALUE"""),"-33.668713,-70.931612")</f>
        <v>-33.668713,-70.931612</v>
      </c>
      <c r="C711" s="6" t="str">
        <f ca="1">IFERROR(__xludf.DUMMYFUNCTION("""COMPUTED_VALUE"""),"LIBERTAD 1123 C 7")</f>
        <v>LIBERTAD 1123 C 7</v>
      </c>
      <c r="D711" s="6" t="str">
        <f ca="1">IFERROR(__xludf.DUMMYFUNCTION("""COMPUTED_VALUE"""),"TALAGANTE")</f>
        <v>TALAGANTE</v>
      </c>
    </row>
    <row r="712" spans="1:4">
      <c r="A712" s="7">
        <f ca="1">IFERROR(__xludf.DUMMYFUNCTION("""COMPUTED_VALUE"""),43970)</f>
        <v>43970</v>
      </c>
      <c r="B712" s="6" t="str">
        <f ca="1">IFERROR(__xludf.DUMMYFUNCTION("""COMPUTED_VALUE"""),"-33.6005794-70.8860783")</f>
        <v>-33.6005794-70.8860783</v>
      </c>
      <c r="C712" s="6" t="str">
        <f ca="1">IFERROR(__xludf.DUMMYFUNCTION("""COMPUTED_VALUE"""),"BLANCO ENCALADA 579")</f>
        <v>BLANCO ENCALADA 579</v>
      </c>
      <c r="D712" s="6" t="str">
        <f ca="1">IFERROR(__xludf.DUMMYFUNCTION("""COMPUTED_VALUE"""),"PEÑAFLOR")</f>
        <v>PEÑAFLOR</v>
      </c>
    </row>
    <row r="713" spans="1:4">
      <c r="A713" s="7">
        <f ca="1">IFERROR(__xludf.DUMMYFUNCTION("""COMPUTED_VALUE"""),43970)</f>
        <v>43970</v>
      </c>
      <c r="B713" s="6" t="str">
        <f ca="1">IFERROR(__xludf.DUMMYFUNCTION("""COMPUTED_VALUE"""),"-33.6075-70.8515")</f>
        <v>-33.6075-70.8515</v>
      </c>
      <c r="C713" s="6" t="str">
        <f ca="1">IFERROR(__xludf.DUMMYFUNCTION("""COMPUTED_VALUE"""),"CARRETERA 567")</f>
        <v>CARRETERA 567</v>
      </c>
      <c r="D713" s="6" t="str">
        <f ca="1">IFERROR(__xludf.DUMMYFUNCTION("""COMPUTED_VALUE"""),"PEÑAFLOR")</f>
        <v>PEÑAFLOR</v>
      </c>
    </row>
    <row r="714" spans="1:4">
      <c r="A714" s="7">
        <f ca="1">IFERROR(__xludf.DUMMYFUNCTION("""COMPUTED_VALUE"""),43970)</f>
        <v>43970</v>
      </c>
      <c r="B714" s="6" t="str">
        <f ca="1">IFERROR(__xludf.DUMMYFUNCTION("""COMPUTED_VALUE"""),"-33.603448-70.876972")</f>
        <v>-33.603448-70.876972</v>
      </c>
      <c r="C714" s="6" t="str">
        <f ca="1">IFERROR(__xludf.DUMMYFUNCTION("""COMPUTED_VALUE"""),"AV. FRANCISCO BILBAO 543")</f>
        <v>AV. FRANCISCO BILBAO 543</v>
      </c>
      <c r="D714" s="6" t="str">
        <f ca="1">IFERROR(__xludf.DUMMYFUNCTION("""COMPUTED_VALUE"""),"PEÑAFLOR")</f>
        <v>PEÑAFLOR</v>
      </c>
    </row>
    <row r="715" spans="1:4">
      <c r="A715" s="7">
        <f ca="1">IFERROR(__xludf.DUMMYFUNCTION("""COMPUTED_VALUE"""),43970)</f>
        <v>43970</v>
      </c>
      <c r="B715" s="6" t="str">
        <f ca="1">IFERROR(__xludf.DUMMYFUNCTION("""COMPUTED_VALUE"""),"-33.6047947-70.8788260")</f>
        <v>-33.6047947-70.8788260</v>
      </c>
      <c r="C715" s="6" t="str">
        <f ca="1">IFERROR(__xludf.DUMMYFUNCTION("""COMPUTED_VALUE"""),"PASAJE DOS 669")</f>
        <v>PASAJE DOS 669</v>
      </c>
      <c r="D715" s="6" t="str">
        <f ca="1">IFERROR(__xludf.DUMMYFUNCTION("""COMPUTED_VALUE"""),"PEÑAFLOR")</f>
        <v>PEÑAFLOR</v>
      </c>
    </row>
    <row r="716" spans="1:4">
      <c r="A716" s="7">
        <f ca="1">IFERROR(__xludf.DUMMYFUNCTION("""COMPUTED_VALUE"""),43970)</f>
        <v>43970</v>
      </c>
      <c r="B716" s="6" t="str">
        <f ca="1">IFERROR(__xludf.DUMMYFUNCTION("""COMPUTED_VALUE"""),"-33.691046,-71.044482")</f>
        <v>-33.691046,-71.044482</v>
      </c>
      <c r="C716" s="6" t="str">
        <f ca="1">IFERROR(__xludf.DUMMYFUNCTION("""COMPUTED_VALUE"""),"LA RED 8")</f>
        <v>LA RED 8</v>
      </c>
      <c r="D716" s="6" t="str">
        <f ca="1">IFERROR(__xludf.DUMMYFUNCTION("""COMPUTED_VALUE"""),"EL MONTE")</f>
        <v>EL MONTE</v>
      </c>
    </row>
    <row r="717" spans="1:4">
      <c r="A717" s="7">
        <f ca="1">IFERROR(__xludf.DUMMYFUNCTION("""COMPUTED_VALUE"""),43970)</f>
        <v>43970</v>
      </c>
      <c r="B717" s="6" t="str">
        <f ca="1">IFERROR(__xludf.DUMMYFUNCTION("""COMPUTED_VALUE"""),"-33.675156,-70.973945")</f>
        <v>-33.675156,-70.973945</v>
      </c>
      <c r="C717" s="6" t="str">
        <f ca="1">IFERROR(__xludf.DUMMYFUNCTION("""COMPUTED_VALUE"""),"U. LOS HEROES CANDELARIA 308")</f>
        <v>U. LOS HEROES CANDELARIA 308</v>
      </c>
      <c r="D717" s="6" t="str">
        <f ca="1">IFERROR(__xludf.DUMMYFUNCTION("""COMPUTED_VALUE"""),"EL MONTE")</f>
        <v>EL MONTE</v>
      </c>
    </row>
    <row r="718" spans="1:4">
      <c r="A718" s="7">
        <f ca="1">IFERROR(__xludf.DUMMYFUNCTION("""COMPUTED_VALUE"""),43970)</f>
        <v>43970</v>
      </c>
      <c r="B718" s="6" t="str">
        <f ca="1">IFERROR(__xludf.DUMMYFUNCTION("""COMPUTED_VALUE"""),"-33.676325,-70.980924")</f>
        <v>-33.676325,-70.980924</v>
      </c>
      <c r="C718" s="6" t="str">
        <f ca="1">IFERROR(__xludf.DUMMYFUNCTION("""COMPUTED_VALUE"""),"DOÑA JAVIERA 196")</f>
        <v>DOÑA JAVIERA 196</v>
      </c>
      <c r="D718" s="6" t="str">
        <f ca="1">IFERROR(__xludf.DUMMYFUNCTION("""COMPUTED_VALUE"""),"EL MONTE")</f>
        <v>EL MONTE</v>
      </c>
    </row>
    <row r="719" spans="1:4">
      <c r="A719" s="7">
        <f ca="1">IFERROR(__xludf.DUMMYFUNCTION("""COMPUTED_VALUE"""),43970)</f>
        <v>43970</v>
      </c>
      <c r="B719" s="6" t="str">
        <f ca="1">IFERROR(__xludf.DUMMYFUNCTION("""COMPUTED_VALUE"""),"-33.600863,-70.999229")</f>
        <v>-33.600863,-70.999229</v>
      </c>
      <c r="C719" s="6" t="str">
        <f ca="1">IFERROR(__xludf.DUMMYFUNCTION("""COMPUTED_VALUE"""),"CUATRO SUR 841")</f>
        <v>CUATRO SUR 841</v>
      </c>
      <c r="D719" s="6" t="str">
        <f ca="1">IFERROR(__xludf.DUMMYFUNCTION("""COMPUTED_VALUE"""),"EL MONTE")</f>
        <v>EL MONTE</v>
      </c>
    </row>
    <row r="720" spans="1:4">
      <c r="A720" s="7">
        <f ca="1">IFERROR(__xludf.DUMMYFUNCTION("""COMPUTED_VALUE"""),43971)</f>
        <v>43971</v>
      </c>
      <c r="B720" s="8" t="str">
        <f ca="1">IFERROR(__xludf.DUMMYFUNCTION("""COMPUTED_VALUE"""),"-33.7162845,-70.7386091")</f>
        <v>-33.7162845,-70.7386091</v>
      </c>
      <c r="C720" s="6" t="str">
        <f ca="1">IFERROR(__xludf.DUMMYFUNCTION("""COMPUTED_VALUE"""),"LIMITE URBANO 0327")</f>
        <v>LIMITE URBANO 0327</v>
      </c>
      <c r="D720" s="6" t="str">
        <f ca="1">IFERROR(__xludf.DUMMYFUNCTION("""COMPUTED_VALUE"""),"BUIN")</f>
        <v>BUIN</v>
      </c>
    </row>
    <row r="721" spans="1:4">
      <c r="A721" s="7">
        <f ca="1">IFERROR(__xludf.DUMMYFUNCTION("""COMPUTED_VALUE"""),43971)</f>
        <v>43971</v>
      </c>
      <c r="B721" s="8" t="str">
        <f ca="1">IFERROR(__xludf.DUMMYFUNCTION("""COMPUTED_VALUE"""),"-33.7452844.-70.6806992")</f>
        <v>-33.7452844.-70.6806992</v>
      </c>
      <c r="C721" s="6" t="str">
        <f ca="1">IFERROR(__xludf.DUMMYFUNCTION("""COMPUTED_VALUE"""),"PSJE GILBERTO SALGADO 13")</f>
        <v>PSJE GILBERTO SALGADO 13</v>
      </c>
      <c r="D721" s="6" t="str">
        <f ca="1">IFERROR(__xludf.DUMMYFUNCTION("""COMPUTED_VALUE"""),"BUIN")</f>
        <v>BUIN</v>
      </c>
    </row>
    <row r="722" spans="1:4">
      <c r="A722" s="7">
        <f ca="1">IFERROR(__xludf.DUMMYFUNCTION("""COMPUTED_VALUE"""),43971)</f>
        <v>43971</v>
      </c>
      <c r="B722" s="8" t="str">
        <f ca="1">IFERROR(__xludf.DUMMYFUNCTION("""COMPUTED_VALUE"""),"-33.722688,-70.738196")</f>
        <v>-33.722688,-70.738196</v>
      </c>
      <c r="C722" s="6" t="str">
        <f ca="1">IFERROR(__xludf.DUMMYFUNCTION("""COMPUTED_VALUE"""),"SERGIO ESPAÑA FLORES 43")</f>
        <v>SERGIO ESPAÑA FLORES 43</v>
      </c>
      <c r="D722" s="6" t="str">
        <f ca="1">IFERROR(__xludf.DUMMYFUNCTION("""COMPUTED_VALUE"""),"BUIN")</f>
        <v>BUIN</v>
      </c>
    </row>
    <row r="723" spans="1:4">
      <c r="A723" s="7">
        <f ca="1">IFERROR(__xludf.DUMMYFUNCTION("""COMPUTED_VALUE"""),43971)</f>
        <v>43971</v>
      </c>
      <c r="B723" s="8" t="str">
        <f ca="1">IFERROR(__xludf.DUMMYFUNCTION("""COMPUTED_VALUE"""),"-33.751506,-70.675033")</f>
        <v>-33.751506,-70.675033</v>
      </c>
      <c r="C723" s="6" t="str">
        <f ca="1">IFERROR(__xludf.DUMMYFUNCTION("""COMPUTED_VALUE"""),"CRUZ DEL SUR 1881 LOTE 20 A")</f>
        <v>CRUZ DEL SUR 1881 LOTE 20 A</v>
      </c>
      <c r="D723" s="6" t="str">
        <f ca="1">IFERROR(__xludf.DUMMYFUNCTION("""COMPUTED_VALUE"""),"BUIN")</f>
        <v>BUIN</v>
      </c>
    </row>
    <row r="724" spans="1:4">
      <c r="A724" s="7">
        <f ca="1">IFERROR(__xludf.DUMMYFUNCTION("""COMPUTED_VALUE"""),43971)</f>
        <v>43971</v>
      </c>
      <c r="B724" s="8" t="str">
        <f ca="1">IFERROR(__xludf.DUMMYFUNCTION("""COMPUTED_VALUE"""),"-33.798686,-70.767870")</f>
        <v>-33.798686,-70.767870</v>
      </c>
      <c r="C724" s="6" t="str">
        <f ca="1">IFERROR(__xludf.DUMMYFUNCTION("""COMPUTED_VALUE"""),"REFORMA AGRARIA 476")</f>
        <v>REFORMA AGRARIA 476</v>
      </c>
      <c r="D724" s="6" t="str">
        <f ca="1">IFERROR(__xludf.DUMMYFUNCTION("""COMPUTED_VALUE"""),"BUIN")</f>
        <v>BUIN</v>
      </c>
    </row>
    <row r="725" spans="1:4">
      <c r="A725" s="7">
        <f ca="1">IFERROR(__xludf.DUMMYFUNCTION("""COMPUTED_VALUE"""),43971)</f>
        <v>43971</v>
      </c>
      <c r="B725" s="8" t="str">
        <f ca="1">IFERROR(__xludf.DUMMYFUNCTION("""COMPUTED_VALUE"""),"-33.728177,-70.7")</f>
        <v>-33.728177,-70.7</v>
      </c>
      <c r="C725" s="6" t="str">
        <f ca="1">IFERROR(__xludf.DUMMYFUNCTION("""COMPUTED_VALUE"""),"GARCIA 286,PERPENDICULAR A CALLE LOS ALMENDROS")</f>
        <v>GARCIA 286,PERPENDICULAR A CALLE LOS ALMENDROS</v>
      </c>
      <c r="D725" s="6" t="str">
        <f ca="1">IFERROR(__xludf.DUMMYFUNCTION("""COMPUTED_VALUE"""),"BUIN")</f>
        <v>BUIN</v>
      </c>
    </row>
    <row r="726" spans="1:4">
      <c r="A726" s="7">
        <f ca="1">IFERROR(__xludf.DUMMYFUNCTION("""COMPUTED_VALUE"""),43971)</f>
        <v>43971</v>
      </c>
      <c r="B726" s="8" t="str">
        <f ca="1">IFERROR(__xludf.DUMMYFUNCTION("""COMPUTED_VALUE"""),"-33.722454,-70.737654")</f>
        <v>-33.722454,-70.737654</v>
      </c>
      <c r="C726" s="6" t="str">
        <f ca="1">IFERROR(__xludf.DUMMYFUNCTION("""COMPUTED_VALUE"""),"ANIBAL BALDES 150")</f>
        <v>ANIBAL BALDES 150</v>
      </c>
      <c r="D726" s="6" t="str">
        <f ca="1">IFERROR(__xludf.DUMMYFUNCTION("""COMPUTED_VALUE"""),"BUIN")</f>
        <v>BUIN</v>
      </c>
    </row>
    <row r="727" spans="1:4">
      <c r="A727" s="7">
        <f ca="1">IFERROR(__xludf.DUMMYFUNCTION("""COMPUTED_VALUE"""),43971)</f>
        <v>43971</v>
      </c>
      <c r="B727" s="8" t="str">
        <f ca="1">IFERROR(__xludf.DUMMYFUNCTION("""COMPUTED_VALUE"""),"-33.728738,-70.774601")</f>
        <v>-33.728738,-70.774601</v>
      </c>
      <c r="C727" s="6" t="str">
        <f ca="1">IFERROR(__xludf.DUMMYFUNCTION("""COMPUTED_VALUE"""),"PA B 48 MAIPO")</f>
        <v>PA B 48 MAIPO</v>
      </c>
      <c r="D727" s="6" t="str">
        <f ca="1">IFERROR(__xludf.DUMMYFUNCTION("""COMPUTED_VALUE"""),"BUIN")</f>
        <v>BUIN</v>
      </c>
    </row>
    <row r="728" spans="1:4">
      <c r="A728" s="7">
        <f ca="1">IFERROR(__xludf.DUMMYFUNCTION("""COMPUTED_VALUE"""),43971)</f>
        <v>43971</v>
      </c>
      <c r="B728" s="8" t="str">
        <f ca="1">IFERROR(__xludf.DUMMYFUNCTION("""COMPUTED_VALUE"""),"-33.652308,-70.904465")</f>
        <v>-33.652308,-70.904465</v>
      </c>
      <c r="C728" s="6" t="str">
        <f ca="1">IFERROR(__xludf.DUMMYFUNCTION("""COMPUTED_VALUE"""),"PASAJE UNO 589 ")</f>
        <v xml:space="preserve">PASAJE UNO 589 </v>
      </c>
      <c r="D728" s="6" t="str">
        <f ca="1">IFERROR(__xludf.DUMMYFUNCTION("""COMPUTED_VALUE"""),"TALAGANTE")</f>
        <v>TALAGANTE</v>
      </c>
    </row>
    <row r="729" spans="1:4">
      <c r="A729" s="7">
        <f ca="1">IFERROR(__xludf.DUMMYFUNCTION("""COMPUTED_VALUE"""),43971)</f>
        <v>43971</v>
      </c>
      <c r="B729" s="6" t="str">
        <f ca="1">IFERROR(__xludf.DUMMYFUNCTION("""COMPUTED_VALUE"""),"-33.6005077-70.8859112")</f>
        <v>-33.6005077-70.8859112</v>
      </c>
      <c r="C729" s="6" t="str">
        <f ca="1">IFERROR(__xludf.DUMMYFUNCTION("""COMPUTED_VALUE"""),"BLANCO ENCALADA 561")</f>
        <v>BLANCO ENCALADA 561</v>
      </c>
      <c r="D729" s="6" t="str">
        <f ca="1">IFERROR(__xludf.DUMMYFUNCTION("""COMPUTED_VALUE"""),"PEÑAFLOR")</f>
        <v>PEÑAFLOR</v>
      </c>
    </row>
    <row r="730" spans="1:4">
      <c r="A730" s="7">
        <f ca="1">IFERROR(__xludf.DUMMYFUNCTION("""COMPUTED_VALUE"""),43971)</f>
        <v>43971</v>
      </c>
      <c r="B730" s="6" t="str">
        <f ca="1">IFERROR(__xludf.DUMMYFUNCTION("""COMPUTED_VALUE"""),"-33.677778,-70.980868")</f>
        <v>-33.677778,-70.980868</v>
      </c>
      <c r="C730" s="6" t="str">
        <f ca="1">IFERROR(__xludf.DUMMYFUNCTION("""COMPUTED_VALUE"""),"AV. LOS CARRERA 324")</f>
        <v>AV. LOS CARRERA 324</v>
      </c>
      <c r="D730" s="6" t="str">
        <f ca="1">IFERROR(__xludf.DUMMYFUNCTION("""COMPUTED_VALUE"""),"EL MONTE")</f>
        <v>EL MONTE</v>
      </c>
    </row>
    <row r="731" spans="1:4">
      <c r="A731" s="7">
        <f ca="1">IFERROR(__xludf.DUMMYFUNCTION("""COMPUTED_VALUE"""),43971)</f>
        <v>43971</v>
      </c>
      <c r="B731" s="6" t="str">
        <f ca="1">IFERROR(__xludf.DUMMYFUNCTION("""COMPUTED_VALUE"""),"-33.674567,-70.989931")</f>
        <v>-33.674567,-70.989931</v>
      </c>
      <c r="C731" s="6" t="str">
        <f ca="1">IFERROR(__xludf.DUMMYFUNCTION("""COMPUTED_VALUE"""),"SAN MIGUEL 669")</f>
        <v>SAN MIGUEL 669</v>
      </c>
      <c r="D731" s="6" t="str">
        <f ca="1">IFERROR(__xludf.DUMMYFUNCTION("""COMPUTED_VALUE"""),"EL MONTE")</f>
        <v>EL MONTE</v>
      </c>
    </row>
    <row r="732" spans="1:4">
      <c r="A732" s="7">
        <f ca="1">IFERROR(__xludf.DUMMYFUNCTION("""COMPUTED_VALUE"""),43971)</f>
        <v>43971</v>
      </c>
      <c r="B732" s="6" t="str">
        <f ca="1">IFERROR(__xludf.DUMMYFUNCTION("""COMPUTED_VALUE"""),"-33.691036,-71.044799")</f>
        <v>-33.691036,-71.044799</v>
      </c>
      <c r="C732" s="6" t="str">
        <f ca="1">IFERROR(__xludf.DUMMYFUNCTION("""COMPUTED_VALUE"""),"LA RED S/N")</f>
        <v>LA RED S/N</v>
      </c>
      <c r="D732" s="6" t="str">
        <f ca="1">IFERROR(__xludf.DUMMYFUNCTION("""COMPUTED_VALUE"""),"EL MONTE")</f>
        <v>EL MONTE</v>
      </c>
    </row>
    <row r="733" spans="1:4">
      <c r="A733" s="7">
        <f ca="1">IFERROR(__xludf.DUMMYFUNCTION("""COMPUTED_VALUE"""),43973)</f>
        <v>43973</v>
      </c>
      <c r="B733" s="8" t="str">
        <f ca="1">IFERROR(__xludf.DUMMYFUNCTION("""COMPUTED_VALUE"""),"-33.649814,-70.928081")</f>
        <v>-33.649814,-70.928081</v>
      </c>
      <c r="C733" s="6" t="str">
        <f ca="1">IFERROR(__xludf.DUMMYFUNCTION("""COMPUTED_VALUE"""),"CHORRILLOS 29")</f>
        <v>CHORRILLOS 29</v>
      </c>
      <c r="D733" s="6" t="str">
        <f ca="1">IFERROR(__xludf.DUMMYFUNCTION("""COMPUTED_VALUE"""),"TALAGANTE")</f>
        <v>TALAGANTE</v>
      </c>
    </row>
    <row r="734" spans="1:4">
      <c r="A734" s="7">
        <f ca="1">IFERROR(__xludf.DUMMYFUNCTION("""COMPUTED_VALUE"""),43973)</f>
        <v>43973</v>
      </c>
      <c r="B734" s="8" t="str">
        <f ca="1">IFERROR(__xludf.DUMMYFUNCTION("""COMPUTED_VALUE"""),"-33.650590,-70.924")</f>
        <v>-33.650590,-70.924</v>
      </c>
      <c r="C734" s="6" t="str">
        <f ca="1">IFERROR(__xludf.DUMMYFUNCTION("""COMPUTED_VALUE"""),"PASAJE EDUARDO FREI 249")</f>
        <v>PASAJE EDUARDO FREI 249</v>
      </c>
      <c r="D734" s="6" t="str">
        <f ca="1">IFERROR(__xludf.DUMMYFUNCTION("""COMPUTED_VALUE"""),"TALAGANTE")</f>
        <v>TALAGANTE</v>
      </c>
    </row>
    <row r="735" spans="1:4">
      <c r="A735" s="7">
        <f ca="1">IFERROR(__xludf.DUMMYFUNCTION("""COMPUTED_VALUE"""),43973)</f>
        <v>43973</v>
      </c>
      <c r="B735" s="8" t="str">
        <f ca="1">IFERROR(__xludf.DUMMYFUNCTION("""COMPUTED_VALUE"""),"-33.733249,-70.762935")</f>
        <v>-33.733249,-70.762935</v>
      </c>
      <c r="C735" s="6" t="str">
        <f ca="1">IFERROR(__xludf.DUMMYFUNCTION("""COMPUTED_VALUE"""),"PABELLON SANTA ADELA 6")</f>
        <v>PABELLON SANTA ADELA 6</v>
      </c>
      <c r="D735" s="6" t="str">
        <f ca="1">IFERROR(__xludf.DUMMYFUNCTION("""COMPUTED_VALUE"""),"BUIN")</f>
        <v>BUIN</v>
      </c>
    </row>
    <row r="736" spans="1:4">
      <c r="A736" s="7">
        <f ca="1">IFERROR(__xludf.DUMMYFUNCTION("""COMPUTED_VALUE"""),43973)</f>
        <v>43973</v>
      </c>
      <c r="B736" s="8" t="str">
        <f ca="1">IFERROR(__xludf.DUMMYFUNCTION("""COMPUTED_VALUE"""),"-33.725325,-70.7718")</f>
        <v>-33.725325,-70.7718</v>
      </c>
      <c r="C736" s="6" t="str">
        <f ca="1">IFERROR(__xludf.DUMMYFUNCTION("""COMPUTED_VALUE"""),"PASAJE AUGUSTO ALGUERNO 463")</f>
        <v>PASAJE AUGUSTO ALGUERNO 463</v>
      </c>
      <c r="D736" s="6" t="str">
        <f ca="1">IFERROR(__xludf.DUMMYFUNCTION("""COMPUTED_VALUE"""),"BUIN")</f>
        <v>BUIN</v>
      </c>
    </row>
    <row r="737" spans="1:4">
      <c r="A737" s="7">
        <f ca="1">IFERROR(__xludf.DUMMYFUNCTION("""COMPUTED_VALUE"""),43973)</f>
        <v>43973</v>
      </c>
      <c r="B737" s="6" t="str">
        <f ca="1">IFERROR(__xludf.DUMMYFUNCTION("""COMPUTED_VALUE"""),"-33.686389,-71.049999")</f>
        <v>-33.686389,-71.049999</v>
      </c>
      <c r="C737" s="6" t="str">
        <f ca="1">IFERROR(__xludf.DUMMYFUNCTION("""COMPUTED_VALUE"""),"VILLA OHIGGINS 380")</f>
        <v>VILLA OHIGGINS 380</v>
      </c>
      <c r="D737" s="6" t="str">
        <f ca="1">IFERROR(__xludf.DUMMYFUNCTION("""COMPUTED_VALUE"""),"EL MONTE")</f>
        <v>EL MONTE</v>
      </c>
    </row>
    <row r="738" spans="1:4">
      <c r="A738" s="7">
        <f ca="1">IFERROR(__xludf.DUMMYFUNCTION("""COMPUTED_VALUE"""),43973)</f>
        <v>43973</v>
      </c>
      <c r="B738" s="6" t="str">
        <f ca="1">IFERROR(__xludf.DUMMYFUNCTION("""COMPUTED_VALUE"""),"-33.685124,-71.020792")</f>
        <v>-33.685124,-71.020792</v>
      </c>
      <c r="C738" s="6" t="str">
        <f ca="1">IFERROR(__xludf.DUMMYFUNCTION("""COMPUTED_VALUE"""),"AV CENTRAL 132")</f>
        <v>AV CENTRAL 132</v>
      </c>
      <c r="D738" s="6" t="str">
        <f ca="1">IFERROR(__xludf.DUMMYFUNCTION("""COMPUTED_VALUE"""),"EL MONTE")</f>
        <v>EL MONTE</v>
      </c>
    </row>
    <row r="739" spans="1:4">
      <c r="A739" s="7">
        <f ca="1">IFERROR(__xludf.DUMMYFUNCTION("""COMPUTED_VALUE"""),43973)</f>
        <v>43973</v>
      </c>
      <c r="B739" s="6" t="str">
        <f ca="1">IFERROR(__xludf.DUMMYFUNCTION("""COMPUTED_VALUE"""),"-33.687334,-71.050262")</f>
        <v>-33.687334,-71.050262</v>
      </c>
      <c r="C739" s="6" t="str">
        <f ca="1">IFERROR(__xludf.DUMMYFUNCTION("""COMPUTED_VALUE"""),"BERNARDO OHIGGINS 245")</f>
        <v>BERNARDO OHIGGINS 245</v>
      </c>
      <c r="D739" s="6" t="str">
        <f ca="1">IFERROR(__xludf.DUMMYFUNCTION("""COMPUTED_VALUE"""),"EL MONTE")</f>
        <v>EL MONTE</v>
      </c>
    </row>
    <row r="740" spans="1:4">
      <c r="A740" s="7">
        <f ca="1">IFERROR(__xludf.DUMMYFUNCTION("""COMPUTED_VALUE"""),43973)</f>
        <v>43973</v>
      </c>
      <c r="B740" s="6" t="str">
        <f ca="1">IFERROR(__xludf.DUMMYFUNCTION("""COMPUTED_VALUE"""),"-33.682966,-70.995500")</f>
        <v>-33.682966,-70.995500</v>
      </c>
      <c r="C740" s="6" t="str">
        <f ca="1">IFERROR(__xludf.DUMMYFUNCTION("""COMPUTED_VALUE"""),"HERMANOS CARRERA C3")</f>
        <v>HERMANOS CARRERA C3</v>
      </c>
      <c r="D740" s="6" t="str">
        <f ca="1">IFERROR(__xludf.DUMMYFUNCTION("""COMPUTED_VALUE"""),"EL MONTE")</f>
        <v>EL MONTE</v>
      </c>
    </row>
    <row r="741" spans="1:4">
      <c r="A741" s="7">
        <f ca="1">IFERROR(__xludf.DUMMYFUNCTION("""COMPUTED_VALUE"""),43973)</f>
        <v>43973</v>
      </c>
      <c r="B741" s="6" t="str">
        <f ca="1">IFERROR(__xludf.DUMMYFUNCTION("""COMPUTED_VALUE"""),"-33.684942,-71.022568")</f>
        <v>-33.684942,-71.022568</v>
      </c>
      <c r="C741" s="6" t="str">
        <f ca="1">IFERROR(__xludf.DUMMYFUNCTION("""COMPUTED_VALUE"""),"LA LUCUMA 1246")</f>
        <v>LA LUCUMA 1246</v>
      </c>
      <c r="D741" s="6" t="str">
        <f ca="1">IFERROR(__xludf.DUMMYFUNCTION("""COMPUTED_VALUE"""),"EL MONTE")</f>
        <v>EL MONTE</v>
      </c>
    </row>
    <row r="742" spans="1:4">
      <c r="A742" s="7">
        <f ca="1">IFERROR(__xludf.DUMMYFUNCTION("""COMPUTED_VALUE"""),43974)</f>
        <v>43974</v>
      </c>
      <c r="B742" s="8" t="str">
        <f ca="1">IFERROR(__xludf.DUMMYFUNCTION("""COMPUTED_VALUE"""),"-33.654596,-70.907516")</f>
        <v>-33.654596,-70.907516</v>
      </c>
      <c r="C742" s="6" t="str">
        <f ca="1">IFERROR(__xludf.DUMMYFUNCTION("""COMPUTED_VALUE"""),"VOLCAN TRONCADOR 633")</f>
        <v>VOLCAN TRONCADOR 633</v>
      </c>
      <c r="D742" s="6" t="str">
        <f ca="1">IFERROR(__xludf.DUMMYFUNCTION("""COMPUTED_VALUE"""),"TALAGANTE")</f>
        <v>TALAGANTE</v>
      </c>
    </row>
    <row r="743" spans="1:4">
      <c r="A743" s="7">
        <f ca="1">IFERROR(__xludf.DUMMYFUNCTION("""COMPUTED_VALUE"""),43974)</f>
        <v>43974</v>
      </c>
      <c r="B743" s="8" t="str">
        <f ca="1">IFERROR(__xludf.DUMMYFUNCTION("""COMPUTED_VALUE"""),"-33.715986,-70.681816")</f>
        <v>-33.715986,-70.681816</v>
      </c>
      <c r="C743" s="6" t="str">
        <f ca="1">IFERROR(__xludf.DUMMYFUNCTION("""COMPUTED_VALUE"""),"PADRE HURTADO SITIO 1")</f>
        <v>PADRE HURTADO SITIO 1</v>
      </c>
      <c r="D743" s="6" t="str">
        <f ca="1">IFERROR(__xludf.DUMMYFUNCTION("""COMPUTED_VALUE"""),"BUIN")</f>
        <v>BUIN</v>
      </c>
    </row>
    <row r="744" spans="1:4">
      <c r="A744" s="7">
        <f ca="1">IFERROR(__xludf.DUMMYFUNCTION("""COMPUTED_VALUE"""),43974)</f>
        <v>43974</v>
      </c>
      <c r="B744" s="6" t="str">
        <f ca="1">IFERROR(__xludf.DUMMYFUNCTION("""COMPUTED_VALUE"""),"-33.691369,-71.045055")</f>
        <v>-33.691369,-71.045055</v>
      </c>
      <c r="C744" s="6" t="str">
        <f ca="1">IFERROR(__xludf.DUMMYFUNCTION("""COMPUTED_VALUE"""),"LA RED 20 A")</f>
        <v>LA RED 20 A</v>
      </c>
      <c r="D744" s="6" t="str">
        <f ca="1">IFERROR(__xludf.DUMMYFUNCTION("""COMPUTED_VALUE"""),"EL MONTE")</f>
        <v>EL MONTE</v>
      </c>
    </row>
    <row r="745" spans="1:4">
      <c r="A745" s="7">
        <f ca="1">IFERROR(__xludf.DUMMYFUNCTION("""COMPUTED_VALUE"""),43974)</f>
        <v>43974</v>
      </c>
      <c r="B745" s="6" t="str">
        <f ca="1">IFERROR(__xludf.DUMMYFUNCTION("""COMPUTED_VALUE"""),"-33.679919,-70.992499")</f>
        <v>-33.679919,-70.992499</v>
      </c>
      <c r="C745" s="6" t="str">
        <f ca="1">IFERROR(__xludf.DUMMYFUNCTION("""COMPUTED_VALUE"""),"DGO STA MARIA 220")</f>
        <v>DGO STA MARIA 220</v>
      </c>
      <c r="D745" s="6" t="str">
        <f ca="1">IFERROR(__xludf.DUMMYFUNCTION("""COMPUTED_VALUE"""),"EL MONTE")</f>
        <v>EL MONTE</v>
      </c>
    </row>
    <row r="746" spans="1:4">
      <c r="A746" s="7">
        <f ca="1">IFERROR(__xludf.DUMMYFUNCTION("""COMPUTED_VALUE"""),43976)</f>
        <v>43976</v>
      </c>
      <c r="B746" s="8" t="str">
        <f ca="1">IFERROR(__xludf.DUMMYFUNCTION("""COMPUTED_VALUE"""),"-33.737524,-70.680148")</f>
        <v>-33.737524,-70.680148</v>
      </c>
      <c r="C746" s="6" t="str">
        <f ca="1">IFERROR(__xludf.DUMMYFUNCTION("""COMPUTED_VALUE"""),"LOS ESPINOS 160")</f>
        <v>LOS ESPINOS 160</v>
      </c>
      <c r="D746" s="6" t="str">
        <f ca="1">IFERROR(__xludf.DUMMYFUNCTION("""COMPUTED_VALUE"""),"BUIN")</f>
        <v>BUIN</v>
      </c>
    </row>
    <row r="747" spans="1:4">
      <c r="A747" s="7">
        <f ca="1">IFERROR(__xludf.DUMMYFUNCTION("""COMPUTED_VALUE"""),43976)</f>
        <v>43976</v>
      </c>
      <c r="B747" s="8" t="str">
        <f ca="1">IFERROR(__xludf.DUMMYFUNCTION("""COMPUTED_VALUE"""),"-33.7391417,-70.6784482")</f>
        <v>-33.7391417,-70.6784482</v>
      </c>
      <c r="C747" s="6" t="str">
        <f ca="1">IFERROR(__xludf.DUMMYFUNCTION("""COMPUTED_VALUE"""),"LOS ROBLES 206")</f>
        <v>LOS ROBLES 206</v>
      </c>
      <c r="D747" s="6" t="str">
        <f ca="1">IFERROR(__xludf.DUMMYFUNCTION("""COMPUTED_VALUE"""),"BUIN")</f>
        <v>BUIN</v>
      </c>
    </row>
    <row r="748" spans="1:4">
      <c r="A748" s="7">
        <f ca="1">IFERROR(__xludf.DUMMYFUNCTION("""COMPUTED_VALUE"""),43976)</f>
        <v>43976</v>
      </c>
      <c r="B748" s="8" t="str">
        <f ca="1">IFERROR(__xludf.DUMMYFUNCTION("""COMPUTED_VALUE"""),"-33.715154,-70,741660")</f>
        <v>-33.715154,-70,741660</v>
      </c>
      <c r="C748" s="6" t="str">
        <f ca="1">IFERROR(__xludf.DUMMYFUNCTION("""COMPUTED_VALUE"""),"LA MARCHA 01370")</f>
        <v>LA MARCHA 01370</v>
      </c>
      <c r="D748" s="6" t="str">
        <f ca="1">IFERROR(__xludf.DUMMYFUNCTION("""COMPUTED_VALUE"""),"BUIN")</f>
        <v>BUIN</v>
      </c>
    </row>
    <row r="749" spans="1:4">
      <c r="A749" s="7">
        <f ca="1">IFERROR(__xludf.DUMMYFUNCTION("""COMPUTED_VALUE"""),43976)</f>
        <v>43976</v>
      </c>
      <c r="B749" s="8" t="str">
        <f ca="1">IFERROR(__xludf.DUMMYFUNCTION("""COMPUTED_VALUE"""),"-33.733803,-70.680470")</f>
        <v>-33.733803,-70.680470</v>
      </c>
      <c r="C749" s="6" t="str">
        <f ca="1">IFERROR(__xludf.DUMMYFUNCTION("""COMPUTED_VALUE"""),"EL MOLINO 377")</f>
        <v>EL MOLINO 377</v>
      </c>
      <c r="D749" s="6" t="str">
        <f ca="1">IFERROR(__xludf.DUMMYFUNCTION("""COMPUTED_VALUE"""),"BUIN")</f>
        <v>BUIN</v>
      </c>
    </row>
    <row r="750" spans="1:4">
      <c r="A750" s="7">
        <f ca="1">IFERROR(__xludf.DUMMYFUNCTION("""COMPUTED_VALUE"""),43976)</f>
        <v>43976</v>
      </c>
      <c r="B750" s="8" t="str">
        <f ca="1">IFERROR(__xludf.DUMMYFUNCTION("""COMPUTED_VALUE"""),"-33.650330,-70.927301")</f>
        <v>-33.650330,-70.927301</v>
      </c>
      <c r="C750" s="6" t="str">
        <f ca="1">IFERROR(__xludf.DUMMYFUNCTION("""COMPUTED_VALUE"""),"ALTO HOSPICIO 308")</f>
        <v>ALTO HOSPICIO 308</v>
      </c>
      <c r="D750" s="6" t="str">
        <f ca="1">IFERROR(__xludf.DUMMYFUNCTION("""COMPUTED_VALUE"""),"TALAGANTE")</f>
        <v>TALAGANTE</v>
      </c>
    </row>
    <row r="751" spans="1:4">
      <c r="A751" s="7">
        <f ca="1">IFERROR(__xludf.DUMMYFUNCTION("""COMPUTED_VALUE"""),43976)</f>
        <v>43976</v>
      </c>
      <c r="B751" s="8" t="str">
        <f ca="1">IFERROR(__xludf.DUMMYFUNCTION("""COMPUTED_VALUE"""),"-33.650330,-70.927301")</f>
        <v>-33.650330,-70.927301</v>
      </c>
      <c r="C751" s="6" t="str">
        <f ca="1">IFERROR(__xludf.DUMMYFUNCTION("""COMPUTED_VALUE"""),"ALTO HOSPICIO 308")</f>
        <v>ALTO HOSPICIO 308</v>
      </c>
      <c r="D751" s="6" t="str">
        <f ca="1">IFERROR(__xludf.DUMMYFUNCTION("""COMPUTED_VALUE"""),"TALAGANTE")</f>
        <v>TALAGANTE</v>
      </c>
    </row>
    <row r="752" spans="1:4">
      <c r="A752" s="7">
        <f ca="1">IFERROR(__xludf.DUMMYFUNCTION("""COMPUTED_VALUE"""),43976)</f>
        <v>43976</v>
      </c>
      <c r="B752" s="6" t="str">
        <f ca="1">IFERROR(__xludf.DUMMYFUNCTION("""COMPUTED_VALUE"""),"-33.6162133-70.8779164")</f>
        <v>-33.6162133-70.8779164</v>
      </c>
      <c r="C752" s="6" t="str">
        <f ca="1">IFERROR(__xludf.DUMMYFUNCTION("""COMPUTED_VALUE"""),"GUADELINA VALDIVIA NARANJO 643")</f>
        <v>GUADELINA VALDIVIA NARANJO 643</v>
      </c>
      <c r="D752" s="6" t="str">
        <f ca="1">IFERROR(__xludf.DUMMYFUNCTION("""COMPUTED_VALUE"""),"PEÑAFLOR")</f>
        <v>PEÑAFLOR</v>
      </c>
    </row>
    <row r="753" spans="1:4">
      <c r="A753" s="7">
        <f ca="1">IFERROR(__xludf.DUMMYFUNCTION("""COMPUTED_VALUE"""),43976)</f>
        <v>43976</v>
      </c>
      <c r="B753" s="6" t="str">
        <f ca="1">IFERROR(__xludf.DUMMYFUNCTION("""COMPUTED_VALUE"""),"-33.61970494-70.894813")</f>
        <v>-33.61970494-70.894813</v>
      </c>
      <c r="C753" s="6" t="str">
        <f ca="1">IFERROR(__xludf.DUMMYFUNCTION("""COMPUTED_VALUE"""),"AV. CENTRAL 746")</f>
        <v>AV. CENTRAL 746</v>
      </c>
      <c r="D753" s="6" t="str">
        <f ca="1">IFERROR(__xludf.DUMMYFUNCTION("""COMPUTED_VALUE"""),"PEÑAFLOR")</f>
        <v>PEÑAFLOR</v>
      </c>
    </row>
    <row r="754" spans="1:4">
      <c r="A754" s="7">
        <f ca="1">IFERROR(__xludf.DUMMYFUNCTION("""COMPUTED_VALUE"""),43976)</f>
        <v>43976</v>
      </c>
      <c r="B754" s="6" t="str">
        <f ca="1">IFERROR(__xludf.DUMMYFUNCTION("""COMPUTED_VALUE"""),"-33.6027928-70.8729208")</f>
        <v>-33.6027928-70.8729208</v>
      </c>
      <c r="C754" s="6" t="str">
        <f ca="1">IFERROR(__xludf.DUMMYFUNCTION("""COMPUTED_VALUE"""),"LOS PALTOS 1830")</f>
        <v>LOS PALTOS 1830</v>
      </c>
      <c r="D754" s="6" t="str">
        <f ca="1">IFERROR(__xludf.DUMMYFUNCTION("""COMPUTED_VALUE"""),"PEÑAFLOR")</f>
        <v>PEÑAFLOR</v>
      </c>
    </row>
    <row r="755" spans="1:4">
      <c r="A755" s="7">
        <f ca="1">IFERROR(__xludf.DUMMYFUNCTION("""COMPUTED_VALUE"""),43976)</f>
        <v>43976</v>
      </c>
      <c r="B755" s="6" t="str">
        <f ca="1">IFERROR(__xludf.DUMMYFUNCTION("""COMPUTED_VALUE"""),"-33.6071072-70.8910849")</f>
        <v>-33.6071072-70.8910849</v>
      </c>
      <c r="C755" s="6" t="str">
        <f ca="1">IFERROR(__xludf.DUMMYFUNCTION("""COMPUTED_VALUE"""),"EL RODEO 2789")</f>
        <v>EL RODEO 2789</v>
      </c>
      <c r="D755" s="6" t="str">
        <f ca="1">IFERROR(__xludf.DUMMYFUNCTION("""COMPUTED_VALUE"""),"PEÑAFLOR")</f>
        <v>PEÑAFLOR</v>
      </c>
    </row>
    <row r="756" spans="1:4">
      <c r="A756" s="7">
        <f ca="1">IFERROR(__xludf.DUMMYFUNCTION("""COMPUTED_VALUE"""),43976)</f>
        <v>43976</v>
      </c>
      <c r="B756" s="6" t="str">
        <f ca="1">IFERROR(__xludf.DUMMYFUNCTION("""COMPUTED_VALUE"""),"-33.679990,-70.992266")</f>
        <v>-33.679990,-70.992266</v>
      </c>
      <c r="C756" s="6" t="str">
        <f ca="1">IFERROR(__xludf.DUMMYFUNCTION("""COMPUTED_VALUE"""),"DGO STA MARIA 230")</f>
        <v>DGO STA MARIA 230</v>
      </c>
      <c r="D756" s="6" t="str">
        <f ca="1">IFERROR(__xludf.DUMMYFUNCTION("""COMPUTED_VALUE"""),"EL MONTE")</f>
        <v>EL MONTE</v>
      </c>
    </row>
    <row r="757" spans="1:4">
      <c r="A757" s="7">
        <f ca="1">IFERROR(__xludf.DUMMYFUNCTION("""COMPUTED_VALUE"""),43976)</f>
        <v>43976</v>
      </c>
      <c r="B757" s="6" t="str">
        <f ca="1">IFERROR(__xludf.DUMMYFUNCTION("""COMPUTED_VALUE"""),"-33.683657,-70.989792")</f>
        <v>-33.683657,-70.989792</v>
      </c>
      <c r="C757" s="6" t="str">
        <f ca="1">IFERROR(__xludf.DUMMYFUNCTION("""COMPUTED_VALUE"""),"LOS LIBERTADORES 672")</f>
        <v>LOS LIBERTADORES 672</v>
      </c>
      <c r="D757" s="6" t="str">
        <f ca="1">IFERROR(__xludf.DUMMYFUNCTION("""COMPUTED_VALUE"""),"EL MONTE")</f>
        <v>EL MONTE</v>
      </c>
    </row>
    <row r="758" spans="1:4">
      <c r="A758" s="7">
        <f ca="1">IFERROR(__xludf.DUMMYFUNCTION("""COMPUTED_VALUE"""),43976)</f>
        <v>43976</v>
      </c>
      <c r="B758" s="6" t="str">
        <f ca="1">IFERROR(__xludf.DUMMYFUNCTION("""COMPUTED_VALUE"""),"-33.682659,-70.994833")</f>
        <v>-33.682659,-70.994833</v>
      </c>
      <c r="C758" s="6" t="str">
        <f ca="1">IFERROR(__xludf.DUMMYFUNCTION("""COMPUTED_VALUE"""),"HNOS CARRERA 21")</f>
        <v>HNOS CARRERA 21</v>
      </c>
      <c r="D758" s="6" t="str">
        <f ca="1">IFERROR(__xludf.DUMMYFUNCTION("""COMPUTED_VALUE"""),"EL MONTE")</f>
        <v>EL MONTE</v>
      </c>
    </row>
    <row r="759" spans="1:4">
      <c r="A759" s="7">
        <f ca="1">IFERROR(__xludf.DUMMYFUNCTION("""COMPUTED_VALUE"""),43976)</f>
        <v>43976</v>
      </c>
      <c r="B759" s="6" t="str">
        <f ca="1">IFERROR(__xludf.DUMMYFUNCTION("""COMPUTED_VALUE"""),"-33.685682,-70.999795")</f>
        <v>-33.685682,-70.999795</v>
      </c>
      <c r="C759" s="6" t="str">
        <f ca="1">IFERROR(__xludf.DUMMYFUNCTION("""COMPUTED_VALUE"""),"LOS LIBERTADORES 810")</f>
        <v>LOS LIBERTADORES 810</v>
      </c>
      <c r="D759" s="6" t="str">
        <f ca="1">IFERROR(__xludf.DUMMYFUNCTION("""COMPUTED_VALUE"""),"EL MONTE")</f>
        <v>EL MONTE</v>
      </c>
    </row>
    <row r="760" spans="1:4">
      <c r="A760" s="7">
        <f ca="1">IFERROR(__xludf.DUMMYFUNCTION("""COMPUTED_VALUE"""),43977)</f>
        <v>43977</v>
      </c>
      <c r="B760" s="8" t="str">
        <f ca="1">IFERROR(__xludf.DUMMYFUNCTION("""COMPUTED_VALUE"""),"-33.748122,-70.676281")</f>
        <v>-33.748122,-70.676281</v>
      </c>
      <c r="C760" s="6" t="str">
        <f ca="1">IFERROR(__xludf.DUMMYFUNCTION("""COMPUTED_VALUE"""),"CRUZ DEL SUR SITIO 29 B ")</f>
        <v xml:space="preserve">CRUZ DEL SUR SITIO 29 B </v>
      </c>
      <c r="D760" s="6" t="str">
        <f ca="1">IFERROR(__xludf.DUMMYFUNCTION("""COMPUTED_VALUE"""),"BUIN")</f>
        <v>BUIN</v>
      </c>
    </row>
    <row r="761" spans="1:4">
      <c r="A761" s="7">
        <f ca="1">IFERROR(__xludf.DUMMYFUNCTION("""COMPUTED_VALUE"""),43977)</f>
        <v>43977</v>
      </c>
      <c r="B761" s="6" t="str">
        <f ca="1">IFERROR(__xludf.DUMMYFUNCTION("""COMPUTED_VALUE"""),"-33.608634-70.897591")</f>
        <v>-33.608634-70.897591</v>
      </c>
      <c r="C761" s="6" t="str">
        <f ca="1">IFERROR(__xludf.DUMMYFUNCTION("""COMPUTED_VALUE"""),"PASAJE DOS 135")</f>
        <v>PASAJE DOS 135</v>
      </c>
      <c r="D761" s="6" t="str">
        <f ca="1">IFERROR(__xludf.DUMMYFUNCTION("""COMPUTED_VALUE"""),"PEÑAFLOR")</f>
        <v>PEÑAFLOR</v>
      </c>
    </row>
    <row r="762" spans="1:4">
      <c r="A762" s="7">
        <f ca="1">IFERROR(__xludf.DUMMYFUNCTION("""COMPUTED_VALUE"""),43977)</f>
        <v>43977</v>
      </c>
      <c r="B762" s="6" t="str">
        <f ca="1">IFERROR(__xludf.DUMMYFUNCTION("""COMPUTED_VALUE"""),"-33.605365-70.894028")</f>
        <v>-33.605365-70.894028</v>
      </c>
      <c r="C762" s="6" t="str">
        <f ca="1">IFERROR(__xludf.DUMMYFUNCTION("""COMPUTED_VALUE"""),"LAS FLORES 153")</f>
        <v>LAS FLORES 153</v>
      </c>
      <c r="D762" s="6" t="str">
        <f ca="1">IFERROR(__xludf.DUMMYFUNCTION("""COMPUTED_VALUE"""),"PEÑAFLOR")</f>
        <v>PEÑAFLOR</v>
      </c>
    </row>
    <row r="763" spans="1:4">
      <c r="A763" s="7">
        <f ca="1">IFERROR(__xludf.DUMMYFUNCTION("""COMPUTED_VALUE"""),43977)</f>
        <v>43977</v>
      </c>
      <c r="B763" s="6" t="str">
        <f ca="1">IFERROR(__xludf.DUMMYFUNCTION("""COMPUTED_VALUE"""),"-33.732776, -70.684380")</f>
        <v>-33.732776, -70.684380</v>
      </c>
      <c r="C763" s="6" t="str">
        <f ca="1">IFERROR(__xludf.DUMMYFUNCTION("""COMPUTED_VALUE"""),"PASAJE JAHUEL 160")</f>
        <v>PASAJE JAHUEL 160</v>
      </c>
      <c r="D763" s="6" t="str">
        <f ca="1">IFERROR(__xludf.DUMMYFUNCTION("""COMPUTED_VALUE"""),"PADRE HURTADO")</f>
        <v>PADRE HURTADO</v>
      </c>
    </row>
    <row r="764" spans="1:4">
      <c r="A764" s="7">
        <f ca="1">IFERROR(__xludf.DUMMYFUNCTION("""COMPUTED_VALUE"""),43977)</f>
        <v>43977</v>
      </c>
      <c r="B764" s="6" t="str">
        <f ca="1">IFERROR(__xludf.DUMMYFUNCTION("""COMPUTED_VALUE"""),"-33.097832-70.927461")</f>
        <v>-33.097832-70.927461</v>
      </c>
      <c r="C764" s="6" t="str">
        <f ca="1">IFERROR(__xludf.DUMMYFUNCTION("""COMPUTED_VALUE"""),"PARCELA N°1 EL SAUCE")</f>
        <v>PARCELA N°1 EL SAUCE</v>
      </c>
      <c r="D764" s="6" t="str">
        <f ca="1">IFERROR(__xludf.DUMMYFUNCTION("""COMPUTED_VALUE"""),"TIL TIL")</f>
        <v>TIL TIL</v>
      </c>
    </row>
    <row r="765" spans="1:4">
      <c r="A765" s="7">
        <f ca="1">IFERROR(__xludf.DUMMYFUNCTION("""COMPUTED_VALUE"""),43977)</f>
        <v>43977</v>
      </c>
      <c r="B765" s="6" t="str">
        <f ca="1">IFERROR(__xludf.DUMMYFUNCTION("""COMPUTED_VALUE"""),"-33.097049-70.929480")</f>
        <v>-33.097049-70.929480</v>
      </c>
      <c r="C765" s="6" t="str">
        <f ca="1">IFERROR(__xludf.DUMMYFUNCTION("""COMPUTED_VALUE"""),"EL SAUCE 701 B")</f>
        <v>EL SAUCE 701 B</v>
      </c>
      <c r="D765" s="6" t="str">
        <f ca="1">IFERROR(__xludf.DUMMYFUNCTION("""COMPUTED_VALUE"""),"TIL TIL")</f>
        <v>TIL TIL</v>
      </c>
    </row>
    <row r="766" spans="1:4">
      <c r="A766" s="7">
        <f ca="1">IFERROR(__xludf.DUMMYFUNCTION("""COMPUTED_VALUE"""),43977)</f>
        <v>43977</v>
      </c>
      <c r="B766" s="6" t="str">
        <f ca="1">IFERROR(__xludf.DUMMYFUNCTION("""COMPUTED_VALUE"""),"-33.685492,-71.023323")</f>
        <v>-33.685492,-71.023323</v>
      </c>
      <c r="C766" s="6" t="str">
        <f ca="1">IFERROR(__xludf.DUMMYFUNCTION("""COMPUTED_VALUE"""),"AV. LOS CASTAÑOS 96")</f>
        <v>AV. LOS CASTAÑOS 96</v>
      </c>
      <c r="D766" s="6" t="str">
        <f ca="1">IFERROR(__xludf.DUMMYFUNCTION("""COMPUTED_VALUE"""),"EL MONTE")</f>
        <v>EL MONTE</v>
      </c>
    </row>
    <row r="767" spans="1:4">
      <c r="A767" s="7">
        <f ca="1">IFERROR(__xludf.DUMMYFUNCTION("""COMPUTED_VALUE"""),43977)</f>
        <v>43977</v>
      </c>
      <c r="B767" s="6" t="str">
        <f ca="1">IFERROR(__xludf.DUMMYFUNCTION("""COMPUTED_VALUE"""),"-33.685517,-71.623283")</f>
        <v>-33.685517,-71.623283</v>
      </c>
      <c r="C767" s="6" t="str">
        <f ca="1">IFERROR(__xludf.DUMMYFUNCTION("""COMPUTED_VALUE"""),"LOS SAUCES 72")</f>
        <v>LOS SAUCES 72</v>
      </c>
      <c r="D767" s="6" t="str">
        <f ca="1">IFERROR(__xludf.DUMMYFUNCTION("""COMPUTED_VALUE"""),"EL MONTE")</f>
        <v>EL MONTE</v>
      </c>
    </row>
    <row r="768" spans="1:4">
      <c r="A768" s="7">
        <f ca="1">IFERROR(__xludf.DUMMYFUNCTION("""COMPUTED_VALUE"""),43977)</f>
        <v>43977</v>
      </c>
      <c r="B768" s="6" t="str">
        <f ca="1">IFERROR(__xludf.DUMMYFUNCTION("""COMPUTED_VALUE"""),"-33.652267,-71.017274")</f>
        <v>-33.652267,-71.017274</v>
      </c>
      <c r="C768" s="6" t="str">
        <f ca="1">IFERROR(__xludf.DUMMYFUNCTION("""COMPUTED_VALUE"""),"LOS HUINGANES 12")</f>
        <v>LOS HUINGANES 12</v>
      </c>
      <c r="D768" s="6" t="str">
        <f ca="1">IFERROR(__xludf.DUMMYFUNCTION("""COMPUTED_VALUE"""),"EL MONTE")</f>
        <v>EL MONTE</v>
      </c>
    </row>
    <row r="769" spans="1:4">
      <c r="A769" s="7">
        <f ca="1">IFERROR(__xludf.DUMMYFUNCTION("""COMPUTED_VALUE"""),43977)</f>
        <v>43977</v>
      </c>
      <c r="B769" s="6" t="str">
        <f ca="1">IFERROR(__xludf.DUMMYFUNCTION("""COMPUTED_VALUE"""),"-33.682184,-71.002948")</f>
        <v>-33.682184,-71.002948</v>
      </c>
      <c r="C769" s="6" t="str">
        <f ca="1">IFERROR(__xludf.DUMMYFUNCTION("""COMPUTED_VALUE"""),"CAMINO CARRETA 844")</f>
        <v>CAMINO CARRETA 844</v>
      </c>
      <c r="D769" s="6" t="str">
        <f ca="1">IFERROR(__xludf.DUMMYFUNCTION("""COMPUTED_VALUE"""),"EL MONTE")</f>
        <v>EL MONTE</v>
      </c>
    </row>
    <row r="770" spans="1:4">
      <c r="A770" s="7">
        <f ca="1">IFERROR(__xludf.DUMMYFUNCTION("""COMPUTED_VALUE"""),43977)</f>
        <v>43977</v>
      </c>
      <c r="B770" s="6" t="str">
        <f ca="1">IFERROR(__xludf.DUMMYFUNCTION("""COMPUTED_VALUE"""),"-33.687435,-71.024502")</f>
        <v>-33.687435,-71.024502</v>
      </c>
      <c r="C770" s="6" t="str">
        <f ca="1">IFERROR(__xludf.DUMMYFUNCTION("""COMPUTED_VALUE"""),"LOS LIBERTADORES 1290")</f>
        <v>LOS LIBERTADORES 1290</v>
      </c>
      <c r="D770" s="6" t="str">
        <f ca="1">IFERROR(__xludf.DUMMYFUNCTION("""COMPUTED_VALUE"""),"EL MONTE")</f>
        <v>EL MONTE</v>
      </c>
    </row>
    <row r="771" spans="1:4">
      <c r="A771" s="7">
        <f ca="1">IFERROR(__xludf.DUMMYFUNCTION("""COMPUTED_VALUE"""),43977)</f>
        <v>43977</v>
      </c>
      <c r="B771" s="6" t="str">
        <f ca="1">IFERROR(__xludf.DUMMYFUNCTION("""COMPUTED_VALUE"""),"-33.680207,-70.997814")</f>
        <v>-33.680207,-70.997814</v>
      </c>
      <c r="C771" s="6" t="str">
        <f ca="1">IFERROR(__xludf.DUMMYFUNCTION("""COMPUTED_VALUE"""),"BAQUEDANO ")</f>
        <v xml:space="preserve">BAQUEDANO </v>
      </c>
      <c r="D771" s="6" t="str">
        <f ca="1">IFERROR(__xludf.DUMMYFUNCTION("""COMPUTED_VALUE"""),"EL MONTE")</f>
        <v>EL MONTE</v>
      </c>
    </row>
    <row r="772" spans="1:4">
      <c r="A772" s="7">
        <f ca="1">IFERROR(__xludf.DUMMYFUNCTION("""COMPUTED_VALUE"""),43977)</f>
        <v>43977</v>
      </c>
      <c r="B772" s="6" t="str">
        <f ca="1">IFERROR(__xludf.DUMMYFUNCTION("""COMPUTED_VALUE"""),"-33.683600,-70.998319")</f>
        <v>-33.683600,-70.998319</v>
      </c>
      <c r="C772" s="6" t="str">
        <f ca="1">IFERROR(__xludf.DUMMYFUNCTION("""COMPUTED_VALUE"""),"LOS LIBERTADORES 793")</f>
        <v>LOS LIBERTADORES 793</v>
      </c>
      <c r="D772" s="6" t="str">
        <f ca="1">IFERROR(__xludf.DUMMYFUNCTION("""COMPUTED_VALUE"""),"EL MONTE")</f>
        <v>EL MONTE</v>
      </c>
    </row>
    <row r="773" spans="1:4">
      <c r="A773" s="7">
        <f ca="1">IFERROR(__xludf.DUMMYFUNCTION("""COMPUTED_VALUE"""),43977)</f>
        <v>43977</v>
      </c>
      <c r="B773" s="6" t="str">
        <f ca="1">IFERROR(__xludf.DUMMYFUNCTION("""COMPUTED_VALUE"""),"-33.044062,-71.365122")</f>
        <v>-33.044062,-71.365122</v>
      </c>
      <c r="C773" s="6" t="str">
        <f ca="1">IFERROR(__xludf.DUMMYFUNCTION("""COMPUTED_VALUE"""),"IGNACIO CARRERA PINTO 015")</f>
        <v>IGNACIO CARRERA PINTO 015</v>
      </c>
      <c r="D773" s="6" t="str">
        <f ca="1">IFERROR(__xludf.DUMMYFUNCTION("""COMPUTED_VALUE"""),"EL MONTE")</f>
        <v>EL MONTE</v>
      </c>
    </row>
    <row r="774" spans="1:4">
      <c r="A774" s="7">
        <f ca="1">IFERROR(__xludf.DUMMYFUNCTION("""COMPUTED_VALUE"""),43977)</f>
        <v>43977</v>
      </c>
      <c r="B774" s="6" t="str">
        <f ca="1">IFERROR(__xludf.DUMMYFUNCTION("""COMPUTED_VALUE"""),"-33681229,-70.985484")</f>
        <v>-33681229,-70.985484</v>
      </c>
      <c r="C774" s="6" t="str">
        <f ca="1">IFERROR(__xludf.DUMMYFUNCTION("""COMPUTED_VALUE"""),"MANUEL RODRIGUEZ 21")</f>
        <v>MANUEL RODRIGUEZ 21</v>
      </c>
      <c r="D774" s="6" t="str">
        <f ca="1">IFERROR(__xludf.DUMMYFUNCTION("""COMPUTED_VALUE"""),"EL MONTE")</f>
        <v>EL MONTE</v>
      </c>
    </row>
    <row r="775" spans="1:4">
      <c r="A775" s="7">
        <f ca="1">IFERROR(__xludf.DUMMYFUNCTION("""COMPUTED_VALUE"""),43977)</f>
        <v>43977</v>
      </c>
      <c r="B775" s="6" t="str">
        <f ca="1">IFERROR(__xludf.DUMMYFUNCTION("""COMPUTED_VALUE"""),"-33.682941,-71.002209")</f>
        <v>-33.682941,-71.002209</v>
      </c>
      <c r="C775" s="6" t="str">
        <f ca="1">IFERROR(__xludf.DUMMYFUNCTION("""COMPUTED_VALUE"""),"CONDE DE LA CONQUISTA 30")</f>
        <v>CONDE DE LA CONQUISTA 30</v>
      </c>
      <c r="D775" s="6" t="str">
        <f ca="1">IFERROR(__xludf.DUMMYFUNCTION("""COMPUTED_VALUE"""),"EL MONTE")</f>
        <v>EL MONTE</v>
      </c>
    </row>
    <row r="776" spans="1:4">
      <c r="A776" s="7">
        <f ca="1">IFERROR(__xludf.DUMMYFUNCTION("""COMPUTED_VALUE"""),43977)</f>
        <v>43977</v>
      </c>
      <c r="B776" s="6" t="str">
        <f ca="1">IFERROR(__xludf.DUMMYFUNCTION("""COMPUTED_VALUE"""),"-33.675249,-70.995431")</f>
        <v>-33.675249,-70.995431</v>
      </c>
      <c r="C776" s="6" t="str">
        <f ca="1">IFERROR(__xludf.DUMMYFUNCTION("""COMPUTED_VALUE"""),"SAN MIGUEL 710 BLOCK 4")</f>
        <v>SAN MIGUEL 710 BLOCK 4</v>
      </c>
      <c r="D776" s="6" t="str">
        <f ca="1">IFERROR(__xludf.DUMMYFUNCTION("""COMPUTED_VALUE"""),"EL MONTE")</f>
        <v>EL MONTE</v>
      </c>
    </row>
    <row r="777" spans="1:4">
      <c r="A777" s="7">
        <f ca="1">IFERROR(__xludf.DUMMYFUNCTION("""COMPUTED_VALUE"""),43978)</f>
        <v>43978</v>
      </c>
      <c r="B777" s="8" t="str">
        <f ca="1">IFERROR(__xludf.DUMMYFUNCTION("""COMPUTED_VALUE"""),"-33.785120,-70.789121")</f>
        <v>-33.785120,-70.789121</v>
      </c>
      <c r="C777" s="6" t="str">
        <f ca="1">IFERROR(__xludf.DUMMYFUNCTION("""COMPUTED_VALUE"""),"CAMINO PAINE 21 B")</f>
        <v>CAMINO PAINE 21 B</v>
      </c>
      <c r="D777" s="6" t="str">
        <f ca="1">IFERROR(__xludf.DUMMYFUNCTION("""COMPUTED_VALUE"""),"BUIN")</f>
        <v>BUIN</v>
      </c>
    </row>
    <row r="778" spans="1:4">
      <c r="A778" s="7">
        <f ca="1">IFERROR(__xludf.DUMMYFUNCTION("""COMPUTED_VALUE"""),43978)</f>
        <v>43978</v>
      </c>
      <c r="B778" s="6" t="str">
        <f ca="1">IFERROR(__xludf.DUMMYFUNCTION("""COMPUTED_VALUE"""),"-33.095974-70.929890")</f>
        <v>-33.095974-70.929890</v>
      </c>
      <c r="C778" s="6" t="str">
        <f ca="1">IFERROR(__xludf.DUMMYFUNCTION("""COMPUTED_VALUE"""),"PARCELA N°1 EL SAUCE")</f>
        <v>PARCELA N°1 EL SAUCE</v>
      </c>
      <c r="D778" s="6" t="str">
        <f ca="1">IFERROR(__xludf.DUMMYFUNCTION("""COMPUTED_VALUE"""),"TIL TIL")</f>
        <v>TIL TIL</v>
      </c>
    </row>
    <row r="779" spans="1:4">
      <c r="A779" s="7">
        <f ca="1">IFERROR(__xludf.DUMMYFUNCTION("""COMPUTED_VALUE"""),43978)</f>
        <v>43978</v>
      </c>
      <c r="B779" s="6" t="str">
        <f ca="1">IFERROR(__xludf.DUMMYFUNCTION("""COMPUTED_VALUE"""),"-33.602448-70.872837")</f>
        <v>-33.602448-70.872837</v>
      </c>
      <c r="C779" s="6" t="str">
        <f ca="1">IFERROR(__xludf.DUMMYFUNCTION("""COMPUTED_VALUE"""),"CALLE NUEVA 411")</f>
        <v>CALLE NUEVA 411</v>
      </c>
      <c r="D779" s="6" t="str">
        <f ca="1">IFERROR(__xludf.DUMMYFUNCTION("""COMPUTED_VALUE"""),"PEÑAFLOR")</f>
        <v>PEÑAFLOR</v>
      </c>
    </row>
    <row r="780" spans="1:4">
      <c r="A780" s="7">
        <f ca="1">IFERROR(__xludf.DUMMYFUNCTION("""COMPUTED_VALUE"""),43978)</f>
        <v>43978</v>
      </c>
      <c r="B780" s="6" t="str">
        <f ca="1">IFERROR(__xludf.DUMMYFUNCTION("""COMPUTED_VALUE"""),"-33.607829-70.895189")</f>
        <v>-33.607829-70.895189</v>
      </c>
      <c r="C780" s="6" t="str">
        <f ca="1">IFERROR(__xludf.DUMMYFUNCTION("""COMPUTED_VALUE"""),"PORVENIR 3051")</f>
        <v>PORVENIR 3051</v>
      </c>
      <c r="D780" s="6" t="str">
        <f ca="1">IFERROR(__xludf.DUMMYFUNCTION("""COMPUTED_VALUE"""),"PEÑAFLOR")</f>
        <v>PEÑAFLOR</v>
      </c>
    </row>
    <row r="781" spans="1:4">
      <c r="A781" s="7">
        <f ca="1">IFERROR(__xludf.DUMMYFUNCTION("""COMPUTED_VALUE"""),43978)</f>
        <v>43978</v>
      </c>
      <c r="B781" s="6" t="str">
        <f ca="1">IFERROR(__xludf.DUMMYFUNCTION("""COMPUTED_VALUE"""),"-33.6072742-70.8908449")</f>
        <v>-33.6072742-70.8908449</v>
      </c>
      <c r="C781" s="6" t="str">
        <f ca="1">IFERROR(__xludf.DUMMYFUNCTION("""COMPUTED_VALUE"""),"EL RODEO 2790")</f>
        <v>EL RODEO 2790</v>
      </c>
      <c r="D781" s="6" t="str">
        <f ca="1">IFERROR(__xludf.DUMMYFUNCTION("""COMPUTED_VALUE"""),"PEÑAFLOR")</f>
        <v>PEÑAFLOR</v>
      </c>
    </row>
    <row r="782" spans="1:4">
      <c r="A782" s="7">
        <f ca="1">IFERROR(__xludf.DUMMYFUNCTION("""COMPUTED_VALUE"""),43978)</f>
        <v>43978</v>
      </c>
      <c r="B782" s="6" t="str">
        <f ca="1">IFERROR(__xludf.DUMMYFUNCTION("""COMPUTED_VALUE"""),"-33.607924-70.881646")</f>
        <v>-33.607924-70.881646</v>
      </c>
      <c r="C782" s="6" t="str">
        <f ca="1">IFERROR(__xludf.DUMMYFUNCTION("""COMPUTED_VALUE"""),"EL COMENDADOR 1067")</f>
        <v>EL COMENDADOR 1067</v>
      </c>
      <c r="D782" s="6" t="str">
        <f ca="1">IFERROR(__xludf.DUMMYFUNCTION("""COMPUTED_VALUE"""),"PEÑAFLOR")</f>
        <v>PEÑAFLOR</v>
      </c>
    </row>
    <row r="783" spans="1:4">
      <c r="A783" s="7">
        <f ca="1">IFERROR(__xludf.DUMMYFUNCTION("""COMPUTED_VALUE"""),43978)</f>
        <v>43978</v>
      </c>
      <c r="B783" s="6" t="str">
        <f ca="1">IFERROR(__xludf.DUMMYFUNCTION("""COMPUTED_VALUE"""),"-33.6059256-70.8895173")</f>
        <v>-33.6059256-70.8895173</v>
      </c>
      <c r="C783" s="6" t="str">
        <f ca="1">IFERROR(__xludf.DUMMYFUNCTION("""COMPUTED_VALUE"""),"PICA 3286")</f>
        <v>PICA 3286</v>
      </c>
      <c r="D783" s="6" t="str">
        <f ca="1">IFERROR(__xludf.DUMMYFUNCTION("""COMPUTED_VALUE"""),"PEÑAFLOR")</f>
        <v>PEÑAFLOR</v>
      </c>
    </row>
    <row r="784" spans="1:4">
      <c r="A784" s="7">
        <f ca="1">IFERROR(__xludf.DUMMYFUNCTION("""COMPUTED_VALUE"""),43979)</f>
        <v>43979</v>
      </c>
      <c r="B784" s="8" t="str">
        <f ca="1">IFERROR(__xludf.DUMMYFUNCTION("""COMPUTED_VALUE"""),"-33.726339,-70.737756")</f>
        <v>-33.726339,-70.737756</v>
      </c>
      <c r="C784" s="6" t="str">
        <f ca="1">IFERROR(__xludf.DUMMYFUNCTION("""COMPUTED_VALUE"""),"MATARELIOS 0256")</f>
        <v>MATARELIOS 0256</v>
      </c>
      <c r="D784" s="6" t="str">
        <f ca="1">IFERROR(__xludf.DUMMYFUNCTION("""COMPUTED_VALUE"""),"BUIN")</f>
        <v>BUIN</v>
      </c>
    </row>
    <row r="785" spans="1:4">
      <c r="A785" s="7">
        <f ca="1">IFERROR(__xludf.DUMMYFUNCTION("""COMPUTED_VALUE"""),43979)</f>
        <v>43979</v>
      </c>
      <c r="B785" s="8" t="str">
        <f ca="1">IFERROR(__xludf.DUMMYFUNCTION("""COMPUTED_VALUE"""),"-33.711170,-70.741349")</f>
        <v>-33.711170,-70.741349</v>
      </c>
      <c r="C785" s="6" t="str">
        <f ca="1">IFERROR(__xludf.DUMMYFUNCTION("""COMPUTED_VALUE"""),"PSJE LOS ROBLES UNIDOS 0260")</f>
        <v>PSJE LOS ROBLES UNIDOS 0260</v>
      </c>
      <c r="D785" s="6" t="str">
        <f ca="1">IFERROR(__xludf.DUMMYFUNCTION("""COMPUTED_VALUE"""),"BUIN")</f>
        <v>BUIN</v>
      </c>
    </row>
    <row r="786" spans="1:4">
      <c r="A786" s="7">
        <f ca="1">IFERROR(__xludf.DUMMYFUNCTION("""COMPUTED_VALUE"""),43979)</f>
        <v>43979</v>
      </c>
      <c r="B786" s="8" t="str">
        <f ca="1">IFERROR(__xludf.DUMMYFUNCTION("""COMPUTED_VALUE"""),"-33.7360394,-70.6830686")</f>
        <v>-33.7360394,-70.6830686</v>
      </c>
      <c r="C786" s="6" t="str">
        <f ca="1">IFERROR(__xludf.DUMMYFUNCTION("""COMPUTED_VALUE"""),"CANDIDO GRACIAN 40")</f>
        <v>CANDIDO GRACIAN 40</v>
      </c>
      <c r="D786" s="6" t="str">
        <f ca="1">IFERROR(__xludf.DUMMYFUNCTION("""COMPUTED_VALUE"""),"BUIN")</f>
        <v>BUIN</v>
      </c>
    </row>
    <row r="787" spans="1:4">
      <c r="A787" s="7">
        <f ca="1">IFERROR(__xludf.DUMMYFUNCTION("""COMPUTED_VALUE"""),43980)</f>
        <v>43980</v>
      </c>
      <c r="B787" s="6" t="str">
        <f ca="1">IFERROR(__xludf.DUMMYFUNCTION("""COMPUTED_VALUE"""),"-33.6118758-70.8831354")</f>
        <v>-33.6118758-70.8831354</v>
      </c>
      <c r="C787" s="6" t="str">
        <f ca="1">IFERROR(__xludf.DUMMYFUNCTION("""COMPUTED_VALUE"""),"EL PELICANO 1582")</f>
        <v>EL PELICANO 1582</v>
      </c>
      <c r="D787" s="6" t="str">
        <f ca="1">IFERROR(__xludf.DUMMYFUNCTION("""COMPUTED_VALUE"""),"PEÑAFLOR")</f>
        <v>PEÑAFLOR</v>
      </c>
    </row>
    <row r="788" spans="1:4">
      <c r="A788" s="7">
        <f ca="1">IFERROR(__xludf.DUMMYFUNCTION("""COMPUTED_VALUE"""),43980)</f>
        <v>43980</v>
      </c>
      <c r="B788" s="6" t="str">
        <f ca="1">IFERROR(__xludf.DUMMYFUNCTION("""COMPUTED_VALUE"""),"-33.5997307-70.8825921")</f>
        <v>-33.5997307-70.8825921</v>
      </c>
      <c r="C788" s="6" t="str">
        <f ca="1">IFERROR(__xludf.DUMMYFUNCTION("""COMPUTED_VALUE"""),"JUNCAL 2817")</f>
        <v>JUNCAL 2817</v>
      </c>
      <c r="D788" s="6" t="str">
        <f ca="1">IFERROR(__xludf.DUMMYFUNCTION("""COMPUTED_VALUE"""),"PEÑAFLOR")</f>
        <v>PEÑAFLOR</v>
      </c>
    </row>
    <row r="789" spans="1:4">
      <c r="A789" s="7">
        <f ca="1">IFERROR(__xludf.DUMMYFUNCTION("""COMPUTED_VALUE"""),43980)</f>
        <v>43980</v>
      </c>
      <c r="B789" s="6" t="str">
        <f ca="1">IFERROR(__xludf.DUMMYFUNCTION("""COMPUTED_VALUE"""),"-33.682546,-71.002834")</f>
        <v>-33.682546,-71.002834</v>
      </c>
      <c r="C789" s="6" t="str">
        <f ca="1">IFERROR(__xludf.DUMMYFUNCTION("""COMPUTED_VALUE"""),"LA MERCED 52")</f>
        <v>LA MERCED 52</v>
      </c>
      <c r="D789" s="6" t="str">
        <f ca="1">IFERROR(__xludf.DUMMYFUNCTION("""COMPUTED_VALUE"""),"EL MONTE")</f>
        <v>EL MONTE</v>
      </c>
    </row>
    <row r="790" spans="1:4">
      <c r="A790" s="7">
        <f ca="1">IFERROR(__xludf.DUMMYFUNCTION("""COMPUTED_VALUE"""),43980)</f>
        <v>43980</v>
      </c>
      <c r="B790" s="6" t="str">
        <f ca="1">IFERROR(__xludf.DUMMYFUNCTION("""COMPUTED_VALUE"""),"-33.674740,-70.977268")</f>
        <v>-33.674740,-70.977268</v>
      </c>
      <c r="C790" s="6" t="str">
        <f ca="1">IFERROR(__xludf.DUMMYFUNCTION("""COMPUTED_VALUE"""),"PJE ROD ORELLANA 368 BLOCK 6")</f>
        <v>PJE ROD ORELLANA 368 BLOCK 6</v>
      </c>
      <c r="D790" s="6" t="str">
        <f ca="1">IFERROR(__xludf.DUMMYFUNCTION("""COMPUTED_VALUE"""),"EL MONTE")</f>
        <v>EL MONTE</v>
      </c>
    </row>
    <row r="791" spans="1:4">
      <c r="A791" s="7">
        <f ca="1">IFERROR(__xludf.DUMMYFUNCTION("""COMPUTED_VALUE"""),43980)</f>
        <v>43980</v>
      </c>
      <c r="B791" s="6" t="str">
        <f ca="1">IFERROR(__xludf.DUMMYFUNCTION("""COMPUTED_VALUE"""),"-33.686825,-71.003308")</f>
        <v>-33.686825,-71.003308</v>
      </c>
      <c r="C791" s="6" t="str">
        <f ca="1">IFERROR(__xludf.DUMMYFUNCTION("""COMPUTED_VALUE"""),"EL MONTE LLOPEO 0333")</f>
        <v>EL MONTE LLOPEO 0333</v>
      </c>
      <c r="D791" s="6" t="str">
        <f ca="1">IFERROR(__xludf.DUMMYFUNCTION("""COMPUTED_VALUE"""),"EL MONTE")</f>
        <v>EL MONTE</v>
      </c>
    </row>
    <row r="792" spans="1:4">
      <c r="A792" s="7">
        <f ca="1">IFERROR(__xludf.DUMMYFUNCTION("""COMPUTED_VALUE"""),43980)</f>
        <v>43980</v>
      </c>
      <c r="B792" s="6" t="str">
        <f ca="1">IFERROR(__xludf.DUMMYFUNCTION("""COMPUTED_VALUE"""),"-33.675911,-70.976110")</f>
        <v>-33.675911,-70.976110</v>
      </c>
      <c r="C792" s="6" t="str">
        <f ca="1">IFERROR(__xludf.DUMMYFUNCTION("""COMPUTED_VALUE"""),"ELEUTERIO RAMIREZ 135")</f>
        <v>ELEUTERIO RAMIREZ 135</v>
      </c>
      <c r="D792" s="6" t="str">
        <f ca="1">IFERROR(__xludf.DUMMYFUNCTION("""COMPUTED_VALUE"""),"EL MONTE")</f>
        <v>EL MONTE</v>
      </c>
    </row>
    <row r="793" spans="1:4">
      <c r="A793" s="7">
        <f ca="1">IFERROR(__xludf.DUMMYFUNCTION("""COMPUTED_VALUE"""),43981)</f>
        <v>43981</v>
      </c>
      <c r="B793" s="6" t="str">
        <f ca="1">IFERROR(__xludf.DUMMYFUNCTION("""COMPUTED_VALUE"""),"-33.426531,-71.67640")</f>
        <v>-33.426531,-71.67640</v>
      </c>
      <c r="C793" s="6" t="str">
        <f ca="1">IFERROR(__xludf.DUMMYFUNCTION("""COMPUTED_VALUE"""),"1 SUR 700")</f>
        <v>1 SUR 700</v>
      </c>
      <c r="D793" s="6" t="str">
        <f ca="1">IFERROR(__xludf.DUMMYFUNCTION("""COMPUTED_VALUE"""),"EL MONTE")</f>
        <v>EL MONTE</v>
      </c>
    </row>
    <row r="794" spans="1:4">
      <c r="A794" s="7">
        <f ca="1">IFERROR(__xludf.DUMMYFUNCTION("""COMPUTED_VALUE"""),43981)</f>
        <v>43981</v>
      </c>
      <c r="B794" s="6" t="str">
        <f ca="1">IFERROR(__xludf.DUMMYFUNCTION("""COMPUTED_VALUE"""),"-33.684152,-70.999609")</f>
        <v>-33.684152,-70.999609</v>
      </c>
      <c r="C794" s="6" t="str">
        <f ca="1">IFERROR(__xludf.DUMMYFUNCTION("""COMPUTED_VALUE"""),"PJE MEXICO 1597 B")</f>
        <v>PJE MEXICO 1597 B</v>
      </c>
      <c r="D794" s="6" t="str">
        <f ca="1">IFERROR(__xludf.DUMMYFUNCTION("""COMPUTED_VALUE"""),"EL MONTE")</f>
        <v>EL MONTE</v>
      </c>
    </row>
    <row r="795" spans="1:4">
      <c r="A795" s="7">
        <f ca="1">IFERROR(__xludf.DUMMYFUNCTION("""COMPUTED_VALUE"""),43983)</f>
        <v>43983</v>
      </c>
      <c r="B795" s="8" t="str">
        <f ca="1">IFERROR(__xludf.DUMMYFUNCTION("""COMPUTED_VALUE"""),"-33.780567,-70.814021")</f>
        <v>-33.780567,-70.814021</v>
      </c>
      <c r="C795" s="6" t="str">
        <f ca="1">IFERROR(__xludf.DUMMYFUNCTION("""COMPUTED_VALUE"""),"CAMPUSANO PC 9B SITIO 27 A")</f>
        <v>CAMPUSANO PC 9B SITIO 27 A</v>
      </c>
      <c r="D795" s="6" t="str">
        <f ca="1">IFERROR(__xludf.DUMMYFUNCTION("""COMPUTED_VALUE"""),"BUIN")</f>
        <v>BUIN</v>
      </c>
    </row>
    <row r="796" spans="1:4">
      <c r="A796" s="7">
        <f ca="1">IFERROR(__xludf.DUMMYFUNCTION("""COMPUTED_VALUE"""),43983)</f>
        <v>43983</v>
      </c>
      <c r="B796" s="8" t="str">
        <f ca="1">IFERROR(__xludf.DUMMYFUNCTION("""COMPUTED_VALUE"""),"-33.7258402,-70.7437922")</f>
        <v>-33.7258402,-70.7437922</v>
      </c>
      <c r="C796" s="6" t="str">
        <f ca="1">IFERROR(__xludf.DUMMYFUNCTION("""COMPUTED_VALUE"""),"PASAJE CATORCE 270")</f>
        <v>PASAJE CATORCE 270</v>
      </c>
      <c r="D796" s="6" t="str">
        <f ca="1">IFERROR(__xludf.DUMMYFUNCTION("""COMPUTED_VALUE"""),"BUIN")</f>
        <v>BUIN</v>
      </c>
    </row>
    <row r="797" spans="1:4">
      <c r="A797" s="7">
        <f ca="1">IFERROR(__xludf.DUMMYFUNCTION("""COMPUTED_VALUE"""),43983)</f>
        <v>43983</v>
      </c>
      <c r="B797" s="8" t="str">
        <f ca="1">IFERROR(__xludf.DUMMYFUNCTION("""COMPUTED_VALUE"""),"-33.725952,-70.44243")</f>
        <v>-33.725952,-70.44243</v>
      </c>
      <c r="C797" s="6" t="str">
        <f ca="1">IFERROR(__xludf.DUMMYFUNCTION("""COMPUTED_VALUE"""),"OSVALDO WENZEL 645")</f>
        <v>OSVALDO WENZEL 645</v>
      </c>
      <c r="D797" s="6" t="str">
        <f ca="1">IFERROR(__xludf.DUMMYFUNCTION("""COMPUTED_VALUE"""),"BUIN")</f>
        <v>BUIN</v>
      </c>
    </row>
    <row r="798" spans="1:4">
      <c r="A798" s="7">
        <f ca="1">IFERROR(__xludf.DUMMYFUNCTION("""COMPUTED_VALUE"""),43983)</f>
        <v>43983</v>
      </c>
      <c r="B798" s="8" t="str">
        <f ca="1">IFERROR(__xludf.DUMMYFUNCTION("""COMPUTED_VALUE"""),"-33.711104,-70.738303")</f>
        <v>-33.711104,-70.738303</v>
      </c>
      <c r="C798" s="6" t="str">
        <f ca="1">IFERROR(__xludf.DUMMYFUNCTION("""COMPUTED_VALUE"""),"PASAJE LA COSECHA 01628")</f>
        <v>PASAJE LA COSECHA 01628</v>
      </c>
      <c r="D798" s="6" t="str">
        <f ca="1">IFERROR(__xludf.DUMMYFUNCTION("""COMPUTED_VALUE"""),"BUIN")</f>
        <v>BUIN</v>
      </c>
    </row>
    <row r="799" spans="1:4">
      <c r="A799" s="7">
        <f ca="1">IFERROR(__xludf.DUMMYFUNCTION("""COMPUTED_VALUE"""),43983)</f>
        <v>43983</v>
      </c>
      <c r="B799" s="8" t="str">
        <f ca="1">IFERROR(__xludf.DUMMYFUNCTION("""COMPUTED_VALUE"""),"-33.708592,-70.740407")</f>
        <v>-33.708592,-70.740407</v>
      </c>
      <c r="C799" s="6" t="str">
        <f ca="1">IFERROR(__xludf.DUMMYFUNCTION("""COMPUTED_VALUE"""),"HERNAN ALIAGA 391")</f>
        <v>HERNAN ALIAGA 391</v>
      </c>
      <c r="D799" s="6" t="str">
        <f ca="1">IFERROR(__xludf.DUMMYFUNCTION("""COMPUTED_VALUE"""),"BUIN")</f>
        <v>BUIN</v>
      </c>
    </row>
    <row r="800" spans="1:4">
      <c r="A800" s="7">
        <f ca="1">IFERROR(__xludf.DUMMYFUNCTION("""COMPUTED_VALUE"""),43983)</f>
        <v>43983</v>
      </c>
      <c r="B800" s="8" t="str">
        <f ca="1">IFERROR(__xludf.DUMMYFUNCTION("""COMPUTED_VALUE"""),"-33.775369,-70.811690")</f>
        <v>-33.775369,-70.811690</v>
      </c>
      <c r="C800" s="6" t="str">
        <f ca="1">IFERROR(__xludf.DUMMYFUNCTION("""COMPUTED_VALUE"""),"LAS PATAGUAS SN 8 VILUCO")</f>
        <v>LAS PATAGUAS SN 8 VILUCO</v>
      </c>
      <c r="D800" s="6" t="str">
        <f ca="1">IFERROR(__xludf.DUMMYFUNCTION("""COMPUTED_VALUE"""),"BUIN")</f>
        <v>BUIN</v>
      </c>
    </row>
    <row r="801" spans="1:4">
      <c r="A801" s="7">
        <f ca="1">IFERROR(__xludf.DUMMYFUNCTION("""COMPUTED_VALUE"""),43983)</f>
        <v>43983</v>
      </c>
      <c r="B801" s="8" t="str">
        <f ca="1">IFERROR(__xludf.DUMMYFUNCTION("""COMPUTED_VALUE"""),"-33.7260276,-70.7440171")</f>
        <v>-33.7260276,-70.7440171</v>
      </c>
      <c r="C801" s="6" t="str">
        <f ca="1">IFERROR(__xludf.DUMMYFUNCTION("""COMPUTED_VALUE"""),"OSVALDO WENZEL 612")</f>
        <v>OSVALDO WENZEL 612</v>
      </c>
      <c r="D801" s="6" t="str">
        <f ca="1">IFERROR(__xludf.DUMMYFUNCTION("""COMPUTED_VALUE"""),"BUIN")</f>
        <v>BUIN</v>
      </c>
    </row>
    <row r="802" spans="1:4">
      <c r="A802" s="7">
        <f ca="1">IFERROR(__xludf.DUMMYFUNCTION("""COMPUTED_VALUE"""),43983)</f>
        <v>43983</v>
      </c>
      <c r="B802" s="8" t="str">
        <f ca="1">IFERROR(__xludf.DUMMYFUNCTION("""COMPUTED_VALUE"""),"-33.780374,-70.814771")</f>
        <v>-33.780374,-70.814771</v>
      </c>
      <c r="C802" s="6" t="str">
        <f ca="1">IFERROR(__xludf.DUMMYFUNCTION("""COMPUTED_VALUE"""),"CAMPUSANO PC 9B SITIO 24")</f>
        <v>CAMPUSANO PC 9B SITIO 24</v>
      </c>
      <c r="D802" s="6" t="str">
        <f ca="1">IFERROR(__xludf.DUMMYFUNCTION("""COMPUTED_VALUE"""),"BUIN")</f>
        <v>BUIN</v>
      </c>
    </row>
    <row r="803" spans="1:4">
      <c r="A803" s="7">
        <f ca="1">IFERROR(__xludf.DUMMYFUNCTION("""COMPUTED_VALUE"""),43983)</f>
        <v>43983</v>
      </c>
      <c r="B803" s="6" t="str">
        <f ca="1">IFERROR(__xludf.DUMMYFUNCTION("""COMPUTED_VALUE"""),"-33.6057937-70.8757382")</f>
        <v>-33.6057937-70.8757382</v>
      </c>
      <c r="C803" s="6" t="str">
        <f ca="1">IFERROR(__xludf.DUMMYFUNCTION("""COMPUTED_VALUE"""),"LOS LITRES 1956")</f>
        <v>LOS LITRES 1956</v>
      </c>
      <c r="D803" s="6" t="str">
        <f ca="1">IFERROR(__xludf.DUMMYFUNCTION("""COMPUTED_VALUE"""),"PEÑAFLOR")</f>
        <v>PEÑAFLOR</v>
      </c>
    </row>
    <row r="804" spans="1:4">
      <c r="A804" s="7">
        <f ca="1">IFERROR(__xludf.DUMMYFUNCTION("""COMPUTED_VALUE"""),43983)</f>
        <v>43983</v>
      </c>
      <c r="B804" s="6" t="str">
        <f ca="1">IFERROR(__xludf.DUMMYFUNCTION("""COMPUTED_VALUE"""),"-33.677918,-70.990167")</f>
        <v>-33.677918,-70.990167</v>
      </c>
      <c r="C804" s="6" t="str">
        <f ca="1">IFERROR(__xludf.DUMMYFUNCTION("""COMPUTED_VALUE"""),"AV LOS CARRERAS 609")</f>
        <v>AV LOS CARRERAS 609</v>
      </c>
      <c r="D804" s="6" t="str">
        <f ca="1">IFERROR(__xludf.DUMMYFUNCTION("""COMPUTED_VALUE"""),"EL MONTE")</f>
        <v>EL MONTE</v>
      </c>
    </row>
    <row r="805" spans="1:4">
      <c r="A805" s="7">
        <f ca="1">IFERROR(__xludf.DUMMYFUNCTION("""COMPUTED_VALUE"""),43983)</f>
        <v>43983</v>
      </c>
      <c r="B805" s="6" t="str">
        <f ca="1">IFERROR(__xludf.DUMMYFUNCTION("""COMPUTED_VALUE"""),"-33.683811,-70.999402")</f>
        <v>-33.683811,-70.999402</v>
      </c>
      <c r="C805" s="6" t="str">
        <f ca="1">IFERROR(__xludf.DUMMYFUNCTION("""COMPUTED_VALUE"""),"LAS ROSAS 884")</f>
        <v>LAS ROSAS 884</v>
      </c>
      <c r="D805" s="6" t="str">
        <f ca="1">IFERROR(__xludf.DUMMYFUNCTION("""COMPUTED_VALUE"""),"EL MONTE")</f>
        <v>EL MONTE</v>
      </c>
    </row>
    <row r="806" spans="1:4">
      <c r="A806" s="7">
        <f ca="1">IFERROR(__xludf.DUMMYFUNCTION("""COMPUTED_VALUE"""),43983)</f>
        <v>43983</v>
      </c>
      <c r="B806" s="6" t="str">
        <f ca="1">IFERROR(__xludf.DUMMYFUNCTION("""COMPUTED_VALUE"""),"-33.680909,-70.991795")</f>
        <v>-33.680909,-70.991795</v>
      </c>
      <c r="C806" s="6" t="str">
        <f ca="1">IFERROR(__xludf.DUMMYFUNCTION("""COMPUTED_VALUE"""),"MANUEL RODRIGUEZ 690")</f>
        <v>MANUEL RODRIGUEZ 690</v>
      </c>
      <c r="D806" s="6" t="str">
        <f ca="1">IFERROR(__xludf.DUMMYFUNCTION("""COMPUTED_VALUE"""),"EL MONTE")</f>
        <v>EL MONTE</v>
      </c>
    </row>
    <row r="807" spans="1:4">
      <c r="A807" s="7">
        <f ca="1">IFERROR(__xludf.DUMMYFUNCTION("""COMPUTED_VALUE"""),43983)</f>
        <v>43983</v>
      </c>
      <c r="B807" s="6" t="str">
        <f ca="1">IFERROR(__xludf.DUMMYFUNCTION("""COMPUTED_VALUE"""),"-33.677775,-70.989834")</f>
        <v>-33.677775,-70.989834</v>
      </c>
      <c r="C807" s="6" t="str">
        <f ca="1">IFERROR(__xludf.DUMMYFUNCTION("""COMPUTED_VALUE"""),"LOS CARRERAS 611")</f>
        <v>LOS CARRERAS 611</v>
      </c>
      <c r="D807" s="6" t="str">
        <f ca="1">IFERROR(__xludf.DUMMYFUNCTION("""COMPUTED_VALUE"""),"EL MONTE")</f>
        <v>EL MONTE</v>
      </c>
    </row>
    <row r="808" spans="1:4">
      <c r="A808" s="7">
        <f ca="1">IFERROR(__xludf.DUMMYFUNCTION("""COMPUTED_VALUE"""),43984)</f>
        <v>43984</v>
      </c>
      <c r="B808" s="8" t="str">
        <f ca="1">IFERROR(__xludf.DUMMYFUNCTION("""COMPUTED_VALUE"""),"-33.711894,-70.738678")</f>
        <v>-33.711894,-70.738678</v>
      </c>
      <c r="C808" s="6" t="str">
        <f ca="1">IFERROR(__xludf.DUMMYFUNCTION("""COMPUTED_VALUE"""),"AN NUEVO BUIN ORIENTE 0498")</f>
        <v>AN NUEVO BUIN ORIENTE 0498</v>
      </c>
      <c r="D808" s="6" t="str">
        <f ca="1">IFERROR(__xludf.DUMMYFUNCTION("""COMPUTED_VALUE"""),"BUIN")</f>
        <v>BUIN</v>
      </c>
    </row>
    <row r="809" spans="1:4">
      <c r="A809" s="7">
        <f ca="1">IFERROR(__xludf.DUMMYFUNCTION("""COMPUTED_VALUE"""),43984)</f>
        <v>43984</v>
      </c>
      <c r="B809" s="8" t="str">
        <f ca="1">IFERROR(__xludf.DUMMYFUNCTION("""COMPUTED_VALUE"""),"-33.709145,-70.740")</f>
        <v>-33.709145,-70.740</v>
      </c>
      <c r="C809" s="6" t="str">
        <f ca="1">IFERROR(__xludf.DUMMYFUNCTION("""COMPUTED_VALUE"""),"JUAN HERNANDEZ CESPED 381")</f>
        <v>JUAN HERNANDEZ CESPED 381</v>
      </c>
      <c r="D809" s="6" t="str">
        <f ca="1">IFERROR(__xludf.DUMMYFUNCTION("""COMPUTED_VALUE"""),"BUIN")</f>
        <v>BUIN</v>
      </c>
    </row>
    <row r="810" spans="1:4">
      <c r="A810" s="7">
        <f ca="1">IFERROR(__xludf.DUMMYFUNCTION("""COMPUTED_VALUE"""),43984)</f>
        <v>43984</v>
      </c>
      <c r="B810" s="8" t="str">
        <f ca="1">IFERROR(__xludf.DUMMYFUNCTION("""COMPUTED_VALUE"""),"-33,7259810,-70.7441295")</f>
        <v>-33,7259810,-70.7441295</v>
      </c>
      <c r="C810" s="6" t="str">
        <f ca="1">IFERROR(__xludf.DUMMYFUNCTION("""COMPUTED_VALUE"""),"OSVALDO WENZEL 0625")</f>
        <v>OSVALDO WENZEL 0625</v>
      </c>
      <c r="D810" s="6" t="str">
        <f ca="1">IFERROR(__xludf.DUMMYFUNCTION("""COMPUTED_VALUE"""),"BUIN")</f>
        <v>BUIN</v>
      </c>
    </row>
    <row r="811" spans="1:4">
      <c r="A811" s="7">
        <f ca="1">IFERROR(__xludf.DUMMYFUNCTION("""COMPUTED_VALUE"""),43984)</f>
        <v>43984</v>
      </c>
      <c r="B811" s="8" t="str">
        <f ca="1">IFERROR(__xludf.DUMMYFUNCTION("""COMPUTED_VALUE"""),"-33.714103,-70.739964")</f>
        <v>-33.714103,-70.739964</v>
      </c>
      <c r="C811" s="6" t="str">
        <f ca="1">IFERROR(__xludf.DUMMYFUNCTION("""COMPUTED_VALUE"""),"AV NUEVO BUIN 01356")</f>
        <v>AV NUEVO BUIN 01356</v>
      </c>
      <c r="D811" s="6" t="str">
        <f ca="1">IFERROR(__xludf.DUMMYFUNCTION("""COMPUTED_VALUE"""),"BUIN")</f>
        <v>BUIN</v>
      </c>
    </row>
    <row r="812" spans="1:4">
      <c r="A812" s="7">
        <f ca="1">IFERROR(__xludf.DUMMYFUNCTION("""COMPUTED_VALUE"""),43984)</f>
        <v>43984</v>
      </c>
      <c r="B812" s="8" t="str">
        <f ca="1">IFERROR(__xludf.DUMMYFUNCTION("""COMPUTED_VALUE"""),"-33.727120,-70.7")</f>
        <v>-33.727120,-70.7</v>
      </c>
      <c r="C812" s="6" t="str">
        <f ca="1">IFERROR(__xludf.DUMMYFUNCTION("""COMPUTED_VALUE"""),"ALCALDE ALBERTO KRUM 650")</f>
        <v>ALCALDE ALBERTO KRUM 650</v>
      </c>
      <c r="D812" s="6" t="str">
        <f ca="1">IFERROR(__xludf.DUMMYFUNCTION("""COMPUTED_VALUE"""),"BUIN")</f>
        <v>BUIN</v>
      </c>
    </row>
    <row r="813" spans="1:4">
      <c r="A813" s="7">
        <f ca="1">IFERROR(__xludf.DUMMYFUNCTION("""COMPUTED_VALUE"""),43984)</f>
        <v>43984</v>
      </c>
      <c r="B813" s="8" t="str">
        <f ca="1">IFERROR(__xludf.DUMMYFUNCTION("""COMPUTED_VALUE"""),"-33.713825,-70.736397")</f>
        <v>-33.713825,-70.736397</v>
      </c>
      <c r="C813" s="6" t="str">
        <f ca="1">IFERROR(__xludf.DUMMYFUNCTION("""COMPUTED_VALUE"""),"INVERNADERO 19")</f>
        <v>INVERNADERO 19</v>
      </c>
      <c r="D813" s="6" t="str">
        <f ca="1">IFERROR(__xludf.DUMMYFUNCTION("""COMPUTED_VALUE"""),"BUIN")</f>
        <v>BUIN</v>
      </c>
    </row>
    <row r="814" spans="1:4">
      <c r="A814" s="7">
        <f ca="1">IFERROR(__xludf.DUMMYFUNCTION("""COMPUTED_VALUE"""),43984)</f>
        <v>43984</v>
      </c>
      <c r="B814" s="8" t="str">
        <f ca="1">IFERROR(__xludf.DUMMYFUNCTION("""COMPUTED_VALUE"""),"-33.775058,70.794")</f>
        <v>-33.775058,70.794</v>
      </c>
      <c r="C814" s="6" t="str">
        <f ca="1">IFERROR(__xludf.DUMMYFUNCTION("""COMPUTED_VALUE"""),"CAMINO BUIN VILUCO 4650")</f>
        <v>CAMINO BUIN VILUCO 4650</v>
      </c>
      <c r="D814" s="6" t="str">
        <f ca="1">IFERROR(__xludf.DUMMYFUNCTION("""COMPUTED_VALUE"""),"BUIN")</f>
        <v>BUIN</v>
      </c>
    </row>
    <row r="815" spans="1:4">
      <c r="A815" s="7">
        <f ca="1">IFERROR(__xludf.DUMMYFUNCTION("""COMPUTED_VALUE"""),43984)</f>
        <v>43984</v>
      </c>
      <c r="B815" s="8" t="str">
        <f ca="1">IFERROR(__xludf.DUMMYFUNCTION("""COMPUTED_VALUE"""),"-33.723002,-70.739431")</f>
        <v>-33.723002,-70.739431</v>
      </c>
      <c r="C815" s="6" t="str">
        <f ca="1">IFERROR(__xludf.DUMMYFUNCTION("""COMPUTED_VALUE"""),"PASAJE GUSTAVO RENCORET 23")</f>
        <v>PASAJE GUSTAVO RENCORET 23</v>
      </c>
      <c r="D815" s="6" t="str">
        <f ca="1">IFERROR(__xludf.DUMMYFUNCTION("""COMPUTED_VALUE"""),"BUIN")</f>
        <v>BUIN</v>
      </c>
    </row>
    <row r="816" spans="1:4">
      <c r="A816" s="7">
        <f ca="1">IFERROR(__xludf.DUMMYFUNCTION("""COMPUTED_VALUE"""),43984)</f>
        <v>43984</v>
      </c>
      <c r="B816" s="6" t="str">
        <f ca="1">IFERROR(__xludf.DUMMYFUNCTION("""COMPUTED_VALUE"""),"-33.6056485-70.8919255")</f>
        <v>-33.6056485-70.8919255</v>
      </c>
      <c r="C816" s="6" t="str">
        <f ca="1">IFERROR(__xludf.DUMMYFUNCTION("""COMPUTED_VALUE"""),"JOSE BARRALES 557")</f>
        <v>JOSE BARRALES 557</v>
      </c>
      <c r="D816" s="6" t="str">
        <f ca="1">IFERROR(__xludf.DUMMYFUNCTION("""COMPUTED_VALUE"""),"PEÑAFLOR")</f>
        <v>PEÑAFLOR</v>
      </c>
    </row>
    <row r="817" spans="1:4">
      <c r="A817" s="7">
        <f ca="1">IFERROR(__xludf.DUMMYFUNCTION("""COMPUTED_VALUE"""),43984)</f>
        <v>43984</v>
      </c>
      <c r="B817" s="6" t="str">
        <f ca="1">IFERROR(__xludf.DUMMYFUNCTION("""COMPUTED_VALUE"""),"-33.6059750-70.8871892")</f>
        <v>-33.6059750-70.8871892</v>
      </c>
      <c r="C817" s="6" t="str">
        <f ca="1">IFERROR(__xludf.DUMMYFUNCTION("""COMPUTED_VALUE"""),"EL CANELILLO 1026")</f>
        <v>EL CANELILLO 1026</v>
      </c>
      <c r="D817" s="6" t="str">
        <f ca="1">IFERROR(__xludf.DUMMYFUNCTION("""COMPUTED_VALUE"""),"PEÑAFLOR")</f>
        <v>PEÑAFLOR</v>
      </c>
    </row>
    <row r="818" spans="1:4">
      <c r="A818" s="7">
        <f ca="1">IFERROR(__xludf.DUMMYFUNCTION("""COMPUTED_VALUE"""),43984)</f>
        <v>43984</v>
      </c>
      <c r="B818" s="6" t="str">
        <f ca="1">IFERROR(__xludf.DUMMYFUNCTION("""COMPUTED_VALUE"""),"-33.234633-70.838805")</f>
        <v>-33.234633-70.838805</v>
      </c>
      <c r="C818" s="6" t="str">
        <f ca="1">IFERROR(__xludf.DUMMYFUNCTION("""COMPUTED_VALUE"""),"LO FONTECILLA S/N SITIO 2")</f>
        <v>LO FONTECILLA S/N SITIO 2</v>
      </c>
      <c r="D818" s="6" t="str">
        <f ca="1">IFERROR(__xludf.DUMMYFUNCTION("""COMPUTED_VALUE"""),"LAMPA")</f>
        <v>LAMPA</v>
      </c>
    </row>
    <row r="819" spans="1:4">
      <c r="A819" s="7">
        <f ca="1">IFERROR(__xludf.DUMMYFUNCTION("""COMPUTED_VALUE"""),43984)</f>
        <v>43984</v>
      </c>
      <c r="B819" s="6" t="str">
        <f ca="1">IFERROR(__xludf.DUMMYFUNCTION("""COMPUTED_VALUE"""),"-33.234633-70.838805")</f>
        <v>-33.234633-70.838805</v>
      </c>
      <c r="C819" s="6" t="str">
        <f ca="1">IFERROR(__xludf.DUMMYFUNCTION("""COMPUTED_VALUE"""),"LO FONTECILLA S/N SITIO 2")</f>
        <v>LO FONTECILLA S/N SITIO 2</v>
      </c>
      <c r="D819" s="6" t="str">
        <f ca="1">IFERROR(__xludf.DUMMYFUNCTION("""COMPUTED_VALUE"""),"LAMPA")</f>
        <v>LAMPA</v>
      </c>
    </row>
    <row r="820" spans="1:4">
      <c r="A820" s="7">
        <f ca="1">IFERROR(__xludf.DUMMYFUNCTION("""COMPUTED_VALUE"""),43984)</f>
        <v>43984</v>
      </c>
      <c r="B820" s="6" t="str">
        <f ca="1">IFERROR(__xludf.DUMMYFUNCTION("""COMPUTED_VALUE"""),"-33.710785,-70.854128")</f>
        <v>-33.710785,-70.854128</v>
      </c>
      <c r="C820" s="6" t="str">
        <f ca="1">IFERROR(__xludf.DUMMYFUNCTION("""COMPUTED_VALUE"""),"SEC. 4 CALLE EL PROGRESO AREA 1 ST.035 (Sta Teresa de Los Andes 43-33)")</f>
        <v>SEC. 4 CALLE EL PROGRESO AREA 1 ST.035 (Sta Teresa de Los Andes 43-33)</v>
      </c>
      <c r="D820" s="6" t="str">
        <f ca="1">IFERROR(__xludf.DUMMYFUNCTION("""COMPUTED_VALUE"""),"TALAGANTE")</f>
        <v>TALAGANTE</v>
      </c>
    </row>
    <row r="821" spans="1:4">
      <c r="A821" s="7">
        <f ca="1">IFERROR(__xludf.DUMMYFUNCTION("""COMPUTED_VALUE"""),43984)</f>
        <v>43984</v>
      </c>
      <c r="B821" s="6" t="str">
        <f ca="1">IFERROR(__xludf.DUMMYFUNCTION("""COMPUTED_VALUE"""),"-33.710897,-70.854183")</f>
        <v>-33.710897,-70.854183</v>
      </c>
      <c r="C821" s="6" t="str">
        <f ca="1">IFERROR(__xludf.DUMMYFUNCTION("""COMPUTED_VALUE"""),"PROGRESO 27 (Sta Teresa de Los Andes 43-339")</f>
        <v>PROGRESO 27 (Sta Teresa de Los Andes 43-339</v>
      </c>
      <c r="D821" s="6" t="str">
        <f ca="1">IFERROR(__xludf.DUMMYFUNCTION("""COMPUTED_VALUE"""),"TALAGANTE")</f>
        <v>TALAGANTE</v>
      </c>
    </row>
    <row r="822" spans="1:4">
      <c r="A822" s="7">
        <f ca="1">IFERROR(__xludf.DUMMYFUNCTION("""COMPUTED_VALUE"""),43984)</f>
        <v>43984</v>
      </c>
      <c r="B822" s="6" t="str">
        <f ca="1">IFERROR(__xludf.DUMMYFUNCTION("""COMPUTED_VALUE"""),"-33.653464,-70.908492")</f>
        <v>-33.653464,-70.908492</v>
      </c>
      <c r="C822" s="6" t="str">
        <f ca="1">IFERROR(__xludf.DUMMYFUNCTION("""COMPUTED_VALUE"""),"TORRES DEL PAINE 557")</f>
        <v>TORRES DEL PAINE 557</v>
      </c>
      <c r="D822" s="6" t="str">
        <f ca="1">IFERROR(__xludf.DUMMYFUNCTION("""COMPUTED_VALUE"""),"TALAGANTE")</f>
        <v>TALAGANTE</v>
      </c>
    </row>
    <row r="823" spans="1:4">
      <c r="A823" s="7">
        <f ca="1">IFERROR(__xludf.DUMMYFUNCTION("""COMPUTED_VALUE"""),43984)</f>
        <v>43984</v>
      </c>
      <c r="B823" s="6" t="str">
        <f ca="1">IFERROR(__xludf.DUMMYFUNCTION("""COMPUTED_VALUE"""),"-33.669985,-70.930246")</f>
        <v>-33.669985,-70.930246</v>
      </c>
      <c r="C823" s="6" t="str">
        <f ca="1">IFERROR(__xludf.DUMMYFUNCTION("""COMPUTED_VALUE"""),"JUANA CANALES 1418-P LOS PORTONES")</f>
        <v>JUANA CANALES 1418-P LOS PORTONES</v>
      </c>
      <c r="D823" s="6" t="str">
        <f ca="1">IFERROR(__xludf.DUMMYFUNCTION("""COMPUTED_VALUE"""),"TALAGANTE")</f>
        <v>TALAGANTE</v>
      </c>
    </row>
    <row r="824" spans="1:4">
      <c r="A824" s="7">
        <f ca="1">IFERROR(__xludf.DUMMYFUNCTION("""COMPUTED_VALUE"""),43984)</f>
        <v>43984</v>
      </c>
      <c r="B824" s="6" t="str">
        <f ca="1">IFERROR(__xludf.DUMMYFUNCTION("""COMPUTED_VALUE"""),"-33.652988,-70.900294")</f>
        <v>-33.652988,-70.900294</v>
      </c>
      <c r="C824" s="6" t="str">
        <f ca="1">IFERROR(__xludf.DUMMYFUNCTION("""COMPUTED_VALUE"""),"SAN LUIS 715 C/101 COND. SAN LUIS")</f>
        <v>SAN LUIS 715 C/101 COND. SAN LUIS</v>
      </c>
      <c r="D824" s="6" t="str">
        <f ca="1">IFERROR(__xludf.DUMMYFUNCTION("""COMPUTED_VALUE"""),"TALAGANTE")</f>
        <v>TALAGANTE</v>
      </c>
    </row>
    <row r="825" spans="1:4">
      <c r="A825" s="7">
        <f ca="1">IFERROR(__xludf.DUMMYFUNCTION("""COMPUTED_VALUE"""),43984)</f>
        <v>43984</v>
      </c>
      <c r="B825" s="6" t="str">
        <f ca="1">IFERROR(__xludf.DUMMYFUNCTION("""COMPUTED_VALUE"""),"-33.677468,-70.989673")</f>
        <v>-33.677468,-70.989673</v>
      </c>
      <c r="C825" s="6" t="str">
        <f ca="1">IFERROR(__xludf.DUMMYFUNCTION("""COMPUTED_VALUE"""),"LOS CARRERAS 615")</f>
        <v>LOS CARRERAS 615</v>
      </c>
      <c r="D825" s="6" t="str">
        <f ca="1">IFERROR(__xludf.DUMMYFUNCTION("""COMPUTED_VALUE"""),"EL MONTE")</f>
        <v>EL MONTE</v>
      </c>
    </row>
    <row r="826" spans="1:4">
      <c r="A826" s="7">
        <f ca="1">IFERROR(__xludf.DUMMYFUNCTION("""COMPUTED_VALUE"""),43984)</f>
        <v>43984</v>
      </c>
      <c r="B826" s="6" t="str">
        <f ca="1">IFERROR(__xludf.DUMMYFUNCTION("""COMPUTED_VALUE"""),"-33.678200,-70.992675")</f>
        <v>-33.678200,-70.992675</v>
      </c>
      <c r="C826" s="6" t="str">
        <f ca="1">IFERROR(__xludf.DUMMYFUNCTION("""COMPUTED_VALUE"""),"DGO SANTA MARIA 478")</f>
        <v>DGO SANTA MARIA 478</v>
      </c>
      <c r="D826" s="6" t="str">
        <f ca="1">IFERROR(__xludf.DUMMYFUNCTION("""COMPUTED_VALUE"""),"EL MONTE")</f>
        <v>EL MONTE</v>
      </c>
    </row>
    <row r="827" spans="1:4">
      <c r="A827" s="7">
        <f ca="1">IFERROR(__xludf.DUMMYFUNCTION("""COMPUTED_VALUE"""),43984)</f>
        <v>43984</v>
      </c>
      <c r="B827" s="6" t="str">
        <f ca="1">IFERROR(__xludf.DUMMYFUNCTION("""COMPUTED_VALUE"""),"-33.67622,-70.986105")</f>
        <v>-33.67622,-70.986105</v>
      </c>
      <c r="C827" s="6" t="str">
        <f ca="1">IFERROR(__xludf.DUMMYFUNCTION("""COMPUTED_VALUE"""),"PJE 10 CASA 73 LOS NOGALES")</f>
        <v>PJE 10 CASA 73 LOS NOGALES</v>
      </c>
      <c r="D827" s="6" t="str">
        <f ca="1">IFERROR(__xludf.DUMMYFUNCTION("""COMPUTED_VALUE"""),"EL MONTE")</f>
        <v>EL MONTE</v>
      </c>
    </row>
    <row r="828" spans="1:4">
      <c r="A828" s="7">
        <f ca="1">IFERROR(__xludf.DUMMYFUNCTION("""COMPUTED_VALUE"""),43984)</f>
        <v>43984</v>
      </c>
      <c r="B828" s="6" t="str">
        <f ca="1">IFERROR(__xludf.DUMMYFUNCTION("""COMPUTED_VALUE"""),"-33.679653,-70.979107")</f>
        <v>-33.679653,-70.979107</v>
      </c>
      <c r="C828" s="6" t="str">
        <f ca="1">IFERROR(__xludf.DUMMYFUNCTION("""COMPUTED_VALUE"""),"ARTURO PRAT 141")</f>
        <v>ARTURO PRAT 141</v>
      </c>
      <c r="D828" s="6" t="str">
        <f ca="1">IFERROR(__xludf.DUMMYFUNCTION("""COMPUTED_VALUE"""),"EL MONTE")</f>
        <v>EL MONTE</v>
      </c>
    </row>
    <row r="829" spans="1:4">
      <c r="A829" s="7">
        <f ca="1">IFERROR(__xludf.DUMMYFUNCTION("""COMPUTED_VALUE"""),43985)</f>
        <v>43985</v>
      </c>
      <c r="B829" s="8" t="str">
        <f ca="1">IFERROR(__xludf.DUMMYFUNCTION("""COMPUTED_VALUE"""),"-33.727053,-70.744893")</f>
        <v>-33.727053,-70.744893</v>
      </c>
      <c r="C829" s="6" t="str">
        <f ca="1">IFERROR(__xludf.DUMMYFUNCTION("""COMPUTED_VALUE"""),"PASAJE DIEZ 0201")</f>
        <v>PASAJE DIEZ 0201</v>
      </c>
      <c r="D829" s="6" t="str">
        <f ca="1">IFERROR(__xludf.DUMMYFUNCTION("""COMPUTED_VALUE"""),"BUIN")</f>
        <v>BUIN</v>
      </c>
    </row>
    <row r="830" spans="1:4">
      <c r="A830" s="7">
        <f ca="1">IFERROR(__xludf.DUMMYFUNCTION("""COMPUTED_VALUE"""),43985)</f>
        <v>43985</v>
      </c>
      <c r="B830" s="8" t="str">
        <f ca="1">IFERROR(__xludf.DUMMYFUNCTION("""COMPUTED_VALUE"""),"-33.788724,-70.783984")</f>
        <v>-33.788724,-70.783984</v>
      </c>
      <c r="C830" s="6" t="str">
        <f ca="1">IFERROR(__xludf.DUMMYFUNCTION("""COMPUTED_VALUE"""),"PAINE 4813")</f>
        <v>PAINE 4813</v>
      </c>
      <c r="D830" s="6" t="str">
        <f ca="1">IFERROR(__xludf.DUMMYFUNCTION("""COMPUTED_VALUE"""),"BUIN")</f>
        <v>BUIN</v>
      </c>
    </row>
    <row r="831" spans="1:4">
      <c r="A831" s="7">
        <f ca="1">IFERROR(__xludf.DUMMYFUNCTION("""COMPUTED_VALUE"""),43985)</f>
        <v>43985</v>
      </c>
      <c r="B831" s="8" t="str">
        <f ca="1">IFERROR(__xludf.DUMMYFUNCTION("""COMPUTED_VALUE"""),"-33.744465,-70.736943")</f>
        <v>-33.744465,-70.736943</v>
      </c>
      <c r="C831" s="6" t="str">
        <f ca="1">IFERROR(__xludf.DUMMYFUNCTION("""COMPUTED_VALUE"""),"DOCTOR PATRICIO ROMERO 087")</f>
        <v>DOCTOR PATRICIO ROMERO 087</v>
      </c>
      <c r="D831" s="6" t="str">
        <f ca="1">IFERROR(__xludf.DUMMYFUNCTION("""COMPUTED_VALUE"""),"BUIN")</f>
        <v>BUIN</v>
      </c>
    </row>
    <row r="832" spans="1:4">
      <c r="A832" s="7">
        <f ca="1">IFERROR(__xludf.DUMMYFUNCTION("""COMPUTED_VALUE"""),43985)</f>
        <v>43985</v>
      </c>
      <c r="B832" s="8" t="str">
        <f ca="1">IFERROR(__xludf.DUMMYFUNCTION("""COMPUTED_VALUE"""),"-33.723403,-70.743012")</f>
        <v>-33.723403,-70.743012</v>
      </c>
      <c r="C832" s="6" t="str">
        <f ca="1">IFERROR(__xludf.DUMMYFUNCTION("""COMPUTED_VALUE"""),"CARLOS STRUTZ 546")</f>
        <v>CARLOS STRUTZ 546</v>
      </c>
      <c r="D832" s="6" t="str">
        <f ca="1">IFERROR(__xludf.DUMMYFUNCTION("""COMPUTED_VALUE"""),"BUIN")</f>
        <v>BUIN</v>
      </c>
    </row>
    <row r="833" spans="1:4">
      <c r="A833" s="7">
        <f ca="1">IFERROR(__xludf.DUMMYFUNCTION("""COMPUTED_VALUE"""),43985)</f>
        <v>43985</v>
      </c>
      <c r="B833" s="8" t="str">
        <f ca="1">IFERROR(__xludf.DUMMYFUNCTION("""COMPUTED_VALUE"""),"-33.737823,-70-683559")</f>
        <v>-33.737823,-70-683559</v>
      </c>
      <c r="C833" s="6" t="str">
        <f ca="1">IFERROR(__xludf.DUMMYFUNCTION("""COMPUTED_VALUE"""),"SAN LUIS 319")</f>
        <v>SAN LUIS 319</v>
      </c>
      <c r="D833" s="6" t="str">
        <f ca="1">IFERROR(__xludf.DUMMYFUNCTION("""COMPUTED_VALUE"""),"BUIN")</f>
        <v>BUIN</v>
      </c>
    </row>
    <row r="834" spans="1:4">
      <c r="A834" s="7">
        <f ca="1">IFERROR(__xludf.DUMMYFUNCTION("""COMPUTED_VALUE"""),43985)</f>
        <v>43985</v>
      </c>
      <c r="B834" s="8" t="str">
        <f ca="1">IFERROR(__xludf.DUMMYFUNCTION("""COMPUTED_VALUE"""),"-33.727774,-70.73937")</f>
        <v>-33.727774,-70.73937</v>
      </c>
      <c r="C834" s="6" t="str">
        <f ca="1">IFERROR(__xludf.DUMMYFUNCTION("""COMPUTED_VALUE"""),"PASAJE PORTUGAL 074")</f>
        <v>PASAJE PORTUGAL 074</v>
      </c>
      <c r="D834" s="6" t="str">
        <f ca="1">IFERROR(__xludf.DUMMYFUNCTION("""COMPUTED_VALUE"""),"BUIN")</f>
        <v>BUIN</v>
      </c>
    </row>
    <row r="835" spans="1:4">
      <c r="A835" s="7">
        <f ca="1">IFERROR(__xludf.DUMMYFUNCTION("""COMPUTED_VALUE"""),43985)</f>
        <v>43985</v>
      </c>
      <c r="B835" s="6" t="str">
        <f ca="1">IFERROR(__xludf.DUMMYFUNCTION("""COMPUTED_VALUE"""),"-33.339099-70.816619")</f>
        <v>-33.339099-70.816619</v>
      </c>
      <c r="C835" s="6" t="str">
        <f ca="1">IFERROR(__xludf.DUMMYFUNCTION("""COMPUTED_VALUE"""),"CAMINO INTERIOR S/N C/3 LOTE 21")</f>
        <v>CAMINO INTERIOR S/N C/3 LOTE 21</v>
      </c>
      <c r="D835" s="6" t="str">
        <f ca="1">IFERROR(__xludf.DUMMYFUNCTION("""COMPUTED_VALUE"""),"LAMPA")</f>
        <v>LAMPA</v>
      </c>
    </row>
    <row r="836" spans="1:4">
      <c r="A836" s="7">
        <f ca="1">IFERROR(__xludf.DUMMYFUNCTION("""COMPUTED_VALUE"""),43985)</f>
        <v>43985</v>
      </c>
      <c r="B836" s="6" t="str">
        <f ca="1">IFERROR(__xludf.DUMMYFUNCTION("""COMPUTED_VALUE"""),"-33.266008-70.772032")</f>
        <v>-33.266008-70.772032</v>
      </c>
      <c r="C836" s="6" t="str">
        <f ca="1">IFERROR(__xludf.DUMMYFUNCTION("""COMPUTED_VALUE"""),"CAMINO SANTA ROSA S/N")</f>
        <v>CAMINO SANTA ROSA S/N</v>
      </c>
      <c r="D836" s="6" t="str">
        <f ca="1">IFERROR(__xludf.DUMMYFUNCTION("""COMPUTED_VALUE"""),"LAMPA")</f>
        <v>LAMPA</v>
      </c>
    </row>
    <row r="837" spans="1:4">
      <c r="A837" s="7">
        <f ca="1">IFERROR(__xludf.DUMMYFUNCTION("""COMPUTED_VALUE"""),43985)</f>
        <v>43985</v>
      </c>
      <c r="B837" s="6" t="str">
        <f ca="1">IFERROR(__xludf.DUMMYFUNCTION("""COMPUTED_VALUE"""),"-33.266008-70.772032")</f>
        <v>-33.266008-70.772032</v>
      </c>
      <c r="C837" s="6" t="str">
        <f ca="1">IFERROR(__xludf.DUMMYFUNCTION("""COMPUTED_VALUE"""),"CAMINO SANTA ROSA S/N")</f>
        <v>CAMINO SANTA ROSA S/N</v>
      </c>
      <c r="D837" s="6" t="str">
        <f ca="1">IFERROR(__xludf.DUMMYFUNCTION("""COMPUTED_VALUE"""),"LAMPA")</f>
        <v>LAMPA</v>
      </c>
    </row>
    <row r="838" spans="1:4">
      <c r="A838" s="7">
        <f ca="1">IFERROR(__xludf.DUMMYFUNCTION("""COMPUTED_VALUE"""),43985)</f>
        <v>43985</v>
      </c>
      <c r="B838" s="6" t="str">
        <f ca="1">IFERROR(__xludf.DUMMYFUNCTION("""COMPUTED_VALUE"""),"-33.606395-70.878940")</f>
        <v>-33.606395-70.878940</v>
      </c>
      <c r="C838" s="6" t="str">
        <f ca="1">IFERROR(__xludf.DUMMYFUNCTION("""COMPUTED_VALUE"""),"FRANCISCO BILBAO 927")</f>
        <v>FRANCISCO BILBAO 927</v>
      </c>
      <c r="D838" s="6" t="str">
        <f ca="1">IFERROR(__xludf.DUMMYFUNCTION("""COMPUTED_VALUE"""),"PEÑAFLOR")</f>
        <v>PEÑAFLOR</v>
      </c>
    </row>
    <row r="839" spans="1:4">
      <c r="A839" s="7">
        <f ca="1">IFERROR(__xludf.DUMMYFUNCTION("""COMPUTED_VALUE"""),43985)</f>
        <v>43985</v>
      </c>
      <c r="B839" s="6" t="str">
        <f ca="1">IFERROR(__xludf.DUMMYFUNCTION("""COMPUTED_VALUE"""),"-33.5996313-70.8731447")</f>
        <v>-33.5996313-70.8731447</v>
      </c>
      <c r="C839" s="6" t="str">
        <f ca="1">IFERROR(__xludf.DUMMYFUNCTION("""COMPUTED_VALUE"""),"ROBERTO MATTA 2002")</f>
        <v>ROBERTO MATTA 2002</v>
      </c>
      <c r="D839" s="6" t="str">
        <f ca="1">IFERROR(__xludf.DUMMYFUNCTION("""COMPUTED_VALUE"""),"PEÑAFLOR")</f>
        <v>PEÑAFLOR</v>
      </c>
    </row>
    <row r="840" spans="1:4">
      <c r="A840" s="7">
        <f ca="1">IFERROR(__xludf.DUMMYFUNCTION("""COMPUTED_VALUE"""),43985)</f>
        <v>43985</v>
      </c>
      <c r="B840" s="6" t="str">
        <f ca="1">IFERROR(__xludf.DUMMYFUNCTION("""COMPUTED_VALUE"""),"-33.6003-70.8871")</f>
        <v>-33.6003-70.8871</v>
      </c>
      <c r="C840" s="6" t="str">
        <f ca="1">IFERROR(__xludf.DUMMYFUNCTION("""COMPUTED_VALUE"""),"ISLA LENNOX 3080")</f>
        <v>ISLA LENNOX 3080</v>
      </c>
      <c r="D840" s="6" t="str">
        <f ca="1">IFERROR(__xludf.DUMMYFUNCTION("""COMPUTED_VALUE"""),"PEÑAFLOR")</f>
        <v>PEÑAFLOR</v>
      </c>
    </row>
    <row r="841" spans="1:4">
      <c r="A841" s="7">
        <f ca="1">IFERROR(__xludf.DUMMYFUNCTION("""COMPUTED_VALUE"""),43985)</f>
        <v>43985</v>
      </c>
      <c r="B841" s="6" t="str">
        <f ca="1">IFERROR(__xludf.DUMMYFUNCTION("""COMPUTED_VALUE"""),"-33.589363-70.886657")</f>
        <v>-33.589363-70.886657</v>
      </c>
      <c r="C841" s="6" t="str">
        <f ca="1">IFERROR(__xludf.DUMMYFUNCTION("""COMPUTED_VALUE"""),"EL GUANACO 1283")</f>
        <v>EL GUANACO 1283</v>
      </c>
      <c r="D841" s="6" t="str">
        <f ca="1">IFERROR(__xludf.DUMMYFUNCTION("""COMPUTED_VALUE"""),"PEÑAFLOR")</f>
        <v>PEÑAFLOR</v>
      </c>
    </row>
    <row r="842" spans="1:4">
      <c r="A842" s="7">
        <f ca="1">IFERROR(__xludf.DUMMYFUNCTION("""COMPUTED_VALUE"""),43985)</f>
        <v>43985</v>
      </c>
      <c r="B842" s="6" t="str">
        <f ca="1">IFERROR(__xludf.DUMMYFUNCTION("""COMPUTED_VALUE"""),"-33.6096884-70.8790832")</f>
        <v>-33.6096884-70.8790832</v>
      </c>
      <c r="C842" s="6" t="str">
        <f ca="1">IFERROR(__xludf.DUMMYFUNCTION("""COMPUTED_VALUE"""),"UNIVERSO 2089")</f>
        <v>UNIVERSO 2089</v>
      </c>
      <c r="D842" s="6" t="str">
        <f ca="1">IFERROR(__xludf.DUMMYFUNCTION("""COMPUTED_VALUE"""),"PEÑAFLOR")</f>
        <v>PEÑAFLOR</v>
      </c>
    </row>
    <row r="843" spans="1:4">
      <c r="A843" s="7">
        <f ca="1">IFERROR(__xludf.DUMMYFUNCTION("""COMPUTED_VALUE"""),43985)</f>
        <v>43985</v>
      </c>
      <c r="B843" s="6" t="str">
        <f ca="1">IFERROR(__xludf.DUMMYFUNCTION("""COMPUTED_VALUE"""),"-33.677381,-70.982338")</f>
        <v>-33.677381,-70.982338</v>
      </c>
      <c r="C843" s="6" t="str">
        <f ca="1">IFERROR(__xludf.DUMMYFUNCTION("""COMPUTED_VALUE"""),"AV LOS CARRERAS 399 B")</f>
        <v>AV LOS CARRERAS 399 B</v>
      </c>
      <c r="D843" s="6" t="str">
        <f ca="1">IFERROR(__xludf.DUMMYFUNCTION("""COMPUTED_VALUE"""),"EL MONTE")</f>
        <v>EL MONTE</v>
      </c>
    </row>
    <row r="844" spans="1:4">
      <c r="A844" s="7">
        <f ca="1">IFERROR(__xludf.DUMMYFUNCTION("""COMPUTED_VALUE"""),43985)</f>
        <v>43985</v>
      </c>
      <c r="B844" s="6" t="str">
        <f ca="1">IFERROR(__xludf.DUMMYFUNCTION("""COMPUTED_VALUE"""),"-33.677601,-70.979458")</f>
        <v>-33.677601,-70.979458</v>
      </c>
      <c r="C844" s="6" t="str">
        <f ca="1">IFERROR(__xludf.DUMMYFUNCTION("""COMPUTED_VALUE"""),"MIGUEL VALDES 67")</f>
        <v>MIGUEL VALDES 67</v>
      </c>
      <c r="D844" s="6" t="str">
        <f ca="1">IFERROR(__xludf.DUMMYFUNCTION("""COMPUTED_VALUE"""),"EL MONTE")</f>
        <v>EL MONTE</v>
      </c>
    </row>
    <row r="845" spans="1:4">
      <c r="A845" s="7">
        <f ca="1">IFERROR(__xludf.DUMMYFUNCTION("""COMPUTED_VALUE"""),43985)</f>
        <v>43985</v>
      </c>
      <c r="B845" s="6" t="str">
        <f ca="1">IFERROR(__xludf.DUMMYFUNCTION("""COMPUTED_VALUE"""),"-33.677598,-70.982283")</f>
        <v>-33.677598,-70.982283</v>
      </c>
      <c r="C845" s="6" t="str">
        <f ca="1">IFERROR(__xludf.DUMMYFUNCTION("""COMPUTED_VALUE"""),"AV LOS CARRERAS 393")</f>
        <v>AV LOS CARRERAS 393</v>
      </c>
      <c r="D845" s="6" t="str">
        <f ca="1">IFERROR(__xludf.DUMMYFUNCTION("""COMPUTED_VALUE"""),"EL MONTE")</f>
        <v>EL MONTE</v>
      </c>
    </row>
    <row r="846" spans="1:4">
      <c r="A846" s="7">
        <f ca="1">IFERROR(__xludf.DUMMYFUNCTION("""COMPUTED_VALUE"""),43985)</f>
        <v>43985</v>
      </c>
      <c r="B846" s="6" t="str">
        <f ca="1">IFERROR(__xludf.DUMMYFUNCTION("""COMPUTED_VALUE"""),"-33.677350,-70.995355")</f>
        <v>-33.677350,-70.995355</v>
      </c>
      <c r="C846" s="6" t="str">
        <f ca="1">IFERROR(__xludf.DUMMYFUNCTION("""COMPUTED_VALUE"""),"LAS TINAJAS 458 ALTOS DEL MONTE")</f>
        <v>LAS TINAJAS 458 ALTOS DEL MONTE</v>
      </c>
      <c r="D846" s="6" t="str">
        <f ca="1">IFERROR(__xludf.DUMMYFUNCTION("""COMPUTED_VALUE"""),"EL MONTE")</f>
        <v>EL MONTE</v>
      </c>
    </row>
    <row r="847" spans="1:4">
      <c r="A847" s="7">
        <f ca="1">IFERROR(__xludf.DUMMYFUNCTION("""COMPUTED_VALUE"""),43985)</f>
        <v>43985</v>
      </c>
      <c r="B847" s="6" t="str">
        <f ca="1">IFERROR(__xludf.DUMMYFUNCTION("""COMPUTED_VALUE"""),"-33.677351,-70.995384")</f>
        <v>-33.677351,-70.995384</v>
      </c>
      <c r="C847" s="6" t="str">
        <f ca="1">IFERROR(__xludf.DUMMYFUNCTION("""COMPUTED_VALUE"""),"LAS LILAS 746")</f>
        <v>LAS LILAS 746</v>
      </c>
      <c r="D847" s="6" t="str">
        <f ca="1">IFERROR(__xludf.DUMMYFUNCTION("""COMPUTED_VALUE"""),"EL MONTE")</f>
        <v>EL MONTE</v>
      </c>
    </row>
    <row r="848" spans="1:4">
      <c r="A848" s="7">
        <f ca="1">IFERROR(__xludf.DUMMYFUNCTION("""COMPUTED_VALUE"""),43985)</f>
        <v>43985</v>
      </c>
      <c r="B848" s="6" t="str">
        <f ca="1">IFERROR(__xludf.DUMMYFUNCTION("""COMPUTED_VALUE"""),"-33.676335,-70.990152")</f>
        <v>-33.676335,-70.990152</v>
      </c>
      <c r="C848" s="6" t="str">
        <f ca="1">IFERROR(__xludf.DUMMYFUNCTION("""COMPUTED_VALUE"""),"PJE LOS PLATANOS 1280")</f>
        <v>PJE LOS PLATANOS 1280</v>
      </c>
      <c r="D848" s="6" t="str">
        <f ca="1">IFERROR(__xludf.DUMMYFUNCTION("""COMPUTED_VALUE"""),"EL MONTE")</f>
        <v>EL MONTE</v>
      </c>
    </row>
    <row r="849" spans="1:4">
      <c r="A849" s="7">
        <f ca="1">IFERROR(__xludf.DUMMYFUNCTION("""COMPUTED_VALUE"""),43986)</f>
        <v>43986</v>
      </c>
      <c r="B849" s="8" t="str">
        <f ca="1">IFERROR(__xludf.DUMMYFUNCTION("""COMPUTED_VALUE"""),"-33.762092,-70.737162")</f>
        <v>-33.762092,-70.737162</v>
      </c>
      <c r="C849" s="6" t="str">
        <f ca="1">IFERROR(__xludf.DUMMYFUNCTION("""COMPUTED_VALUE"""),"FLOR DE AROMO 337")</f>
        <v>FLOR DE AROMO 337</v>
      </c>
      <c r="D849" s="6" t="str">
        <f ca="1">IFERROR(__xludf.DUMMYFUNCTION("""COMPUTED_VALUE"""),"BUIN")</f>
        <v>BUIN</v>
      </c>
    </row>
    <row r="850" spans="1:4">
      <c r="A850" s="7">
        <f ca="1">IFERROR(__xludf.DUMMYFUNCTION("""COMPUTED_VALUE"""),43986)</f>
        <v>43986</v>
      </c>
      <c r="B850" s="8" t="str">
        <f ca="1">IFERROR(__xludf.DUMMYFUNCTION("""COMPUTED_VALUE"""),"-33.715570,-70.740493")</f>
        <v>-33.715570,-70.740493</v>
      </c>
      <c r="C850" s="6" t="str">
        <f ca="1">IFERROR(__xludf.DUMMYFUNCTION("""COMPUTED_VALUE"""),"COMITE HABITACIONAL 168")</f>
        <v>COMITE HABITACIONAL 168</v>
      </c>
      <c r="D850" s="6" t="str">
        <f ca="1">IFERROR(__xludf.DUMMYFUNCTION("""COMPUTED_VALUE"""),"BUIN")</f>
        <v>BUIN</v>
      </c>
    </row>
    <row r="851" spans="1:4">
      <c r="A851" s="7">
        <f ca="1">IFERROR(__xludf.DUMMYFUNCTION("""COMPUTED_VALUE"""),43986)</f>
        <v>43986</v>
      </c>
      <c r="B851" s="8" t="str">
        <f ca="1">IFERROR(__xludf.DUMMYFUNCTION("""COMPUTED_VALUE"""),"-33.7359666,-70.7581373")</f>
        <v>-33.7359666,-70.7581373</v>
      </c>
      <c r="C851" s="6" t="str">
        <f ca="1">IFERROR(__xludf.DUMMYFUNCTION("""COMPUTED_VALUE"""),"JUAN LEDESMA GONZALEZ")</f>
        <v>JUAN LEDESMA GONZALEZ</v>
      </c>
      <c r="D851" s="6" t="str">
        <f ca="1">IFERROR(__xludf.DUMMYFUNCTION("""COMPUTED_VALUE"""),"BUIN")</f>
        <v>BUIN</v>
      </c>
    </row>
    <row r="852" spans="1:4">
      <c r="A852" s="7">
        <f ca="1">IFERROR(__xludf.DUMMYFUNCTION("""COMPUTED_VALUE"""),43986)</f>
        <v>43986</v>
      </c>
      <c r="B852" s="8" t="str">
        <f ca="1">IFERROR(__xludf.DUMMYFUNCTION("""COMPUTED_VALUE"""),"-33.762024,-70.736340")</f>
        <v>-33.762024,-70.736340</v>
      </c>
      <c r="C852" s="6" t="str">
        <f ca="1">IFERROR(__xludf.DUMMYFUNCTION("""COMPUTED_VALUE"""),"FLOR DE AROMO 329 C ")</f>
        <v xml:space="preserve">FLOR DE AROMO 329 C </v>
      </c>
      <c r="D852" s="6" t="str">
        <f ca="1">IFERROR(__xludf.DUMMYFUNCTION("""COMPUTED_VALUE"""),"BUIN")</f>
        <v>BUIN</v>
      </c>
    </row>
    <row r="853" spans="1:4">
      <c r="A853" s="7">
        <f ca="1">IFERROR(__xludf.DUMMYFUNCTION("""COMPUTED_VALUE"""),43986)</f>
        <v>43986</v>
      </c>
      <c r="B853" s="8" t="str">
        <f ca="1">IFERROR(__xludf.DUMMYFUNCTION("""COMPUTED_VALUE"""),"-33.660853,-70.915772")</f>
        <v>-33.660853,-70.915772</v>
      </c>
      <c r="C853" s="6" t="str">
        <f ca="1">IFERROR(__xludf.DUMMYFUNCTION("""COMPUTED_VALUE"""),"LLANQUIHUE 56")</f>
        <v>LLANQUIHUE 56</v>
      </c>
      <c r="D853" s="6" t="str">
        <f ca="1">IFERROR(__xludf.DUMMYFUNCTION("""COMPUTED_VALUE"""),"TALAGANTE")</f>
        <v>TALAGANTE</v>
      </c>
    </row>
    <row r="854" spans="1:4">
      <c r="A854" s="7">
        <f ca="1">IFERROR(__xludf.DUMMYFUNCTION("""COMPUTED_VALUE"""),43986)</f>
        <v>43986</v>
      </c>
      <c r="B854" s="8" t="str">
        <f ca="1">IFERROR(__xludf.DUMMYFUNCTION("""COMPUTED_VALUE"""),"-33.650936,-70.928586")</f>
        <v>-33.650936,-70.928586</v>
      </c>
      <c r="C854" s="6" t="str">
        <f ca="1">IFERROR(__xludf.DUMMYFUNCTION("""COMPUTED_VALUE"""),"HUAMACHUCO 386")</f>
        <v>HUAMACHUCO 386</v>
      </c>
      <c r="D854" s="6" t="str">
        <f ca="1">IFERROR(__xludf.DUMMYFUNCTION("""COMPUTED_VALUE"""),"TALAGANTE")</f>
        <v>TALAGANTE</v>
      </c>
    </row>
    <row r="855" spans="1:4">
      <c r="A855" s="7">
        <f ca="1">IFERROR(__xludf.DUMMYFUNCTION("""COMPUTED_VALUE"""),43986)</f>
        <v>43986</v>
      </c>
      <c r="B855" s="8" t="str">
        <f ca="1">IFERROR(__xludf.DUMMYFUNCTION("""COMPUTED_VALUE"""),"-33.671194,-70.939946")</f>
        <v>-33.671194,-70.939946</v>
      </c>
      <c r="C855" s="6" t="str">
        <f ca="1">IFERROR(__xludf.DUMMYFUNCTION("""COMPUTED_VALUE"""),"AZABACHE 867")</f>
        <v>AZABACHE 867</v>
      </c>
      <c r="D855" s="6" t="str">
        <f ca="1">IFERROR(__xludf.DUMMYFUNCTION("""COMPUTED_VALUE"""),"TALAGANTE")</f>
        <v>TALAGANTE</v>
      </c>
    </row>
    <row r="856" spans="1:4">
      <c r="A856" s="7">
        <f ca="1">IFERROR(__xludf.DUMMYFUNCTION("""COMPUTED_VALUE"""),43986)</f>
        <v>43986</v>
      </c>
      <c r="B856" s="8" t="str">
        <f ca="1">IFERROR(__xludf.DUMMYFUNCTION("""COMPUTED_VALUE"""),"-33.728044,-70.776539")</f>
        <v>-33.728044,-70.776539</v>
      </c>
      <c r="C856" s="6" t="str">
        <f ca="1">IFERROR(__xludf.DUMMYFUNCTION("""COMPUTED_VALUE"""),"LOS NOGALES 151")</f>
        <v>LOS NOGALES 151</v>
      </c>
      <c r="D856" s="6" t="str">
        <f ca="1">IFERROR(__xludf.DUMMYFUNCTION("""COMPUTED_VALUE"""),"BUIN")</f>
        <v>BUIN</v>
      </c>
    </row>
    <row r="857" spans="1:4">
      <c r="A857" s="7">
        <f ca="1">IFERROR(__xludf.DUMMYFUNCTION("""COMPUTED_VALUE"""),43986)</f>
        <v>43986</v>
      </c>
      <c r="B857" s="6" t="str">
        <f ca="1">IFERROR(__xludf.DUMMYFUNCTION("""COMPUTED_VALUE"""),"-33.606580-70.906480")</f>
        <v>-33.606580-70.906480</v>
      </c>
      <c r="C857" s="6" t="str">
        <f ca="1">IFERROR(__xludf.DUMMYFUNCTION("""COMPUTED_VALUE"""),"OTOÑAL 641")</f>
        <v>OTOÑAL 641</v>
      </c>
      <c r="D857" s="6" t="str">
        <f ca="1">IFERROR(__xludf.DUMMYFUNCTION("""COMPUTED_VALUE"""),"PEÑAFLOR")</f>
        <v>PEÑAFLOR</v>
      </c>
    </row>
    <row r="858" spans="1:4">
      <c r="A858" s="7">
        <f ca="1">IFERROR(__xludf.DUMMYFUNCTION("""COMPUTED_VALUE"""),43986)</f>
        <v>43986</v>
      </c>
      <c r="B858" s="6" t="str">
        <f ca="1">IFERROR(__xludf.DUMMYFUNCTION("""COMPUTED_VALUE"""),"-33.1081-70.8973")</f>
        <v>-33.1081-70.8973</v>
      </c>
      <c r="C858" s="6" t="str">
        <f ca="1">IFERROR(__xludf.DUMMYFUNCTION("""COMPUTED_VALUE"""),"PORVENIR 914")</f>
        <v>PORVENIR 914</v>
      </c>
      <c r="D858" s="6" t="str">
        <f ca="1">IFERROR(__xludf.DUMMYFUNCTION("""COMPUTED_VALUE"""),"PEÑAFLOR")</f>
        <v>PEÑAFLOR</v>
      </c>
    </row>
    <row r="859" spans="1:4">
      <c r="A859" s="7">
        <f ca="1">IFERROR(__xludf.DUMMYFUNCTION("""COMPUTED_VALUE"""),43986)</f>
        <v>43986</v>
      </c>
      <c r="B859" s="6" t="str">
        <f ca="1">IFERROR(__xludf.DUMMYFUNCTION("""COMPUTED_VALUE"""),"-33.6001274-70.8678532")</f>
        <v>-33.6001274-70.8678532</v>
      </c>
      <c r="C859" s="6" t="str">
        <f ca="1">IFERROR(__xludf.DUMMYFUNCTION("""COMPUTED_VALUE"""),"AV. MIRAFLORES 1622")</f>
        <v>AV. MIRAFLORES 1622</v>
      </c>
      <c r="D859" s="6" t="str">
        <f ca="1">IFERROR(__xludf.DUMMYFUNCTION("""COMPUTED_VALUE"""),"PEÑAFLOR")</f>
        <v>PEÑAFLOR</v>
      </c>
    </row>
    <row r="860" spans="1:4">
      <c r="A860" s="7">
        <f ca="1">IFERROR(__xludf.DUMMYFUNCTION("""COMPUTED_VALUE"""),43986)</f>
        <v>43986</v>
      </c>
      <c r="B860" s="6" t="str">
        <f ca="1">IFERROR(__xludf.DUMMYFUNCTION("""COMPUTED_VALUE"""),"-33.597773-70.879263")</f>
        <v>-33.597773-70.879263</v>
      </c>
      <c r="C860" s="6" t="str">
        <f ca="1">IFERROR(__xludf.DUMMYFUNCTION("""COMPUTED_VALUE"""),"SALVADOR SILVA 2680")</f>
        <v>SALVADOR SILVA 2680</v>
      </c>
      <c r="D860" s="6" t="str">
        <f ca="1">IFERROR(__xludf.DUMMYFUNCTION("""COMPUTED_VALUE"""),"PEÑAFLOR")</f>
        <v>PEÑAFLOR</v>
      </c>
    </row>
    <row r="861" spans="1:4">
      <c r="A861" s="7">
        <f ca="1">IFERROR(__xludf.DUMMYFUNCTION("""COMPUTED_VALUE"""),43986)</f>
        <v>43986</v>
      </c>
      <c r="B861" s="6" t="str">
        <f ca="1">IFERROR(__xludf.DUMMYFUNCTION("""COMPUTED_VALUE"""),"-33.61298454-70.8902894")</f>
        <v>-33.61298454-70.8902894</v>
      </c>
      <c r="C861" s="6" t="str">
        <f ca="1">IFERROR(__xludf.DUMMYFUNCTION("""COMPUTED_VALUE"""),"SIGLO XXI 2860")</f>
        <v>SIGLO XXI 2860</v>
      </c>
      <c r="D861" s="6" t="str">
        <f ca="1">IFERROR(__xludf.DUMMYFUNCTION("""COMPUTED_VALUE"""),"PEÑAFLOR")</f>
        <v>PEÑAFLOR</v>
      </c>
    </row>
    <row r="862" spans="1:4">
      <c r="A862" s="7">
        <f ca="1">IFERROR(__xludf.DUMMYFUNCTION("""COMPUTED_VALUE"""),43986)</f>
        <v>43986</v>
      </c>
      <c r="B862" s="6" t="str">
        <f ca="1">IFERROR(__xludf.DUMMYFUNCTION("""COMPUTED_VALUE"""),"-33.606282-70.889100")</f>
        <v>-33.606282-70.889100</v>
      </c>
      <c r="C862" s="6" t="str">
        <f ca="1">IFERROR(__xludf.DUMMYFUNCTION("""COMPUTED_VALUE"""),"PJE. PUTRE 3240 ( POZO ALMONTE)")</f>
        <v>PJE. PUTRE 3240 ( POZO ALMONTE)</v>
      </c>
      <c r="D862" s="6" t="str">
        <f ca="1">IFERROR(__xludf.DUMMYFUNCTION("""COMPUTED_VALUE"""),"PEÑAFLOR")</f>
        <v>PEÑAFLOR</v>
      </c>
    </row>
    <row r="863" spans="1:4">
      <c r="A863" s="7">
        <f ca="1">IFERROR(__xludf.DUMMYFUNCTION("""COMPUTED_VALUE"""),43986)</f>
        <v>43986</v>
      </c>
      <c r="B863" s="6" t="str">
        <f ca="1">IFERROR(__xludf.DUMMYFUNCTION("""COMPUTED_VALUE"""),"-33.6027-70.8518")</f>
        <v>-33.6027-70.8518</v>
      </c>
      <c r="C863" s="6" t="str">
        <f ca="1">IFERROR(__xludf.DUMMYFUNCTION("""COMPUTED_VALUE"""),"MIRAFLORES 73")</f>
        <v>MIRAFLORES 73</v>
      </c>
      <c r="D863" s="6" t="str">
        <f ca="1">IFERROR(__xludf.DUMMYFUNCTION("""COMPUTED_VALUE"""),"PEÑAFLOR")</f>
        <v>PEÑAFLOR</v>
      </c>
    </row>
    <row r="864" spans="1:4">
      <c r="A864" s="7">
        <f ca="1">IFERROR(__xludf.DUMMYFUNCTION("""COMPUTED_VALUE"""),43986)</f>
        <v>43986</v>
      </c>
      <c r="B864" s="6" t="str">
        <f ca="1">IFERROR(__xludf.DUMMYFUNCTION("""COMPUTED_VALUE"""),"-33.339149-70.816282")</f>
        <v>-33.339149-70.816282</v>
      </c>
      <c r="C864" s="6" t="str">
        <f ca="1">IFERROR(__xludf.DUMMYFUNCTION("""COMPUTED_VALUE"""),"CAMINO INTERIOR LOTE 22")</f>
        <v>CAMINO INTERIOR LOTE 22</v>
      </c>
      <c r="D864" s="6" t="str">
        <f ca="1">IFERROR(__xludf.DUMMYFUNCTION("""COMPUTED_VALUE"""),"LAMPA")</f>
        <v>LAMPA</v>
      </c>
    </row>
    <row r="865" spans="1:4">
      <c r="A865" s="7">
        <f ca="1">IFERROR(__xludf.DUMMYFUNCTION("""COMPUTED_VALUE"""),43986)</f>
        <v>43986</v>
      </c>
      <c r="B865" s="6" t="str">
        <f ca="1">IFERROR(__xludf.DUMMYFUNCTION("""COMPUTED_VALUE"""),"-33.686966,-71.022930")</f>
        <v>-33.686966,-71.022930</v>
      </c>
      <c r="C865" s="6" t="str">
        <f ca="1">IFERROR(__xludf.DUMMYFUNCTION("""COMPUTED_VALUE"""),"PJE LAS CHIRIMOYAS 1249")</f>
        <v>PJE LAS CHIRIMOYAS 1249</v>
      </c>
      <c r="D865" s="6" t="str">
        <f ca="1">IFERROR(__xludf.DUMMYFUNCTION("""COMPUTED_VALUE"""),"EL MONTE")</f>
        <v>EL MONTE</v>
      </c>
    </row>
    <row r="866" spans="1:4">
      <c r="A866" s="7">
        <f ca="1">IFERROR(__xludf.DUMMYFUNCTION("""COMPUTED_VALUE"""),43986)</f>
        <v>43986</v>
      </c>
      <c r="B866" s="6" t="str">
        <f ca="1">IFERROR(__xludf.DUMMYFUNCTION("""COMPUTED_VALUE"""),"-33.676866,-70.987614")</f>
        <v>-33.676866,-70.987614</v>
      </c>
      <c r="C866" s="6" t="str">
        <f ca="1">IFERROR(__xludf.DUMMYFUNCTION("""COMPUTED_VALUE"""),"PJE LAS ROSAS 882")</f>
        <v>PJE LAS ROSAS 882</v>
      </c>
      <c r="D866" s="6" t="str">
        <f ca="1">IFERROR(__xludf.DUMMYFUNCTION("""COMPUTED_VALUE"""),"EL MONTE")</f>
        <v>EL MONTE</v>
      </c>
    </row>
    <row r="867" spans="1:4">
      <c r="A867" s="7">
        <f ca="1">IFERROR(__xludf.DUMMYFUNCTION("""COMPUTED_VALUE"""),43986)</f>
        <v>43986</v>
      </c>
      <c r="B867" s="6" t="str">
        <f ca="1">IFERROR(__xludf.DUMMYFUNCTION("""COMPUTED_VALUE"""),"-33.682657,-70.995277")</f>
        <v>-33.682657,-70.995277</v>
      </c>
      <c r="C867" s="6" t="str">
        <f ca="1">IFERROR(__xludf.DUMMYFUNCTION("""COMPUTED_VALUE"""),"CALLE UNO 19")</f>
        <v>CALLE UNO 19</v>
      </c>
      <c r="D867" s="6" t="str">
        <f ca="1">IFERROR(__xludf.DUMMYFUNCTION("""COMPUTED_VALUE"""),"EL MONTE")</f>
        <v>EL MONTE</v>
      </c>
    </row>
    <row r="868" spans="1:4">
      <c r="A868" s="7">
        <f ca="1">IFERROR(__xludf.DUMMYFUNCTION("""COMPUTED_VALUE"""),43986)</f>
        <v>43986</v>
      </c>
      <c r="B868" s="6" t="str">
        <f ca="1">IFERROR(__xludf.DUMMYFUNCTION("""COMPUTED_VALUE"""),"-33.682508,-70.985388")</f>
        <v>-33.682508,-70.985388</v>
      </c>
      <c r="C868" s="6" t="str">
        <f ca="1">IFERROR(__xludf.DUMMYFUNCTION("""COMPUTED_VALUE"""),"CACIQUE MILLACURA 42")</f>
        <v>CACIQUE MILLACURA 42</v>
      </c>
      <c r="D868" s="6" t="str">
        <f ca="1">IFERROR(__xludf.DUMMYFUNCTION("""COMPUTED_VALUE"""),"EL MONTE")</f>
        <v>EL MONTE</v>
      </c>
    </row>
    <row r="869" spans="1:4">
      <c r="A869" s="7">
        <f ca="1">IFERROR(__xludf.DUMMYFUNCTION("""COMPUTED_VALUE"""),43987)</f>
        <v>43987</v>
      </c>
      <c r="B869" s="8" t="str">
        <f ca="1">IFERROR(__xludf.DUMMYFUNCTION("""COMPUTED_VALUE"""),"-33.727298,-70.739998")</f>
        <v>-33.727298,-70.739998</v>
      </c>
      <c r="C869" s="6" t="str">
        <f ca="1">IFERROR(__xludf.DUMMYFUNCTION("""COMPUTED_VALUE"""),"PASAJE LAS MALVAS 0106")</f>
        <v>PASAJE LAS MALVAS 0106</v>
      </c>
      <c r="D869" s="6" t="str">
        <f ca="1">IFERROR(__xludf.DUMMYFUNCTION("""COMPUTED_VALUE"""),"BUIN")</f>
        <v>BUIN</v>
      </c>
    </row>
    <row r="870" spans="1:4">
      <c r="A870" s="7">
        <f ca="1">IFERROR(__xludf.DUMMYFUNCTION("""COMPUTED_VALUE"""),43987)</f>
        <v>43987</v>
      </c>
      <c r="B870" s="8" t="str">
        <f ca="1">IFERROR(__xludf.DUMMYFUNCTION("""COMPUTED_VALUE"""),"-33.730512,-70.779936")</f>
        <v>-33.730512,-70.779936</v>
      </c>
      <c r="C870" s="6" t="str">
        <f ca="1">IFERROR(__xludf.DUMMYFUNCTION("""COMPUTED_VALUE"""),"LAUTARO 177")</f>
        <v>LAUTARO 177</v>
      </c>
      <c r="D870" s="6" t="str">
        <f ca="1">IFERROR(__xludf.DUMMYFUNCTION("""COMPUTED_VALUE"""),"BUIN")</f>
        <v>BUIN</v>
      </c>
    </row>
    <row r="871" spans="1:4">
      <c r="A871" s="7">
        <f ca="1">IFERROR(__xludf.DUMMYFUNCTION("""COMPUTED_VALUE"""),43987)</f>
        <v>43987</v>
      </c>
      <c r="B871" s="8" t="str">
        <f ca="1">IFERROR(__xludf.DUMMYFUNCTION("""COMPUTED_VALUE"""),"-33.7613837,-70.7384338")</f>
        <v>-33.7613837,-70.7384338</v>
      </c>
      <c r="C871" s="6" t="str">
        <f ca="1">IFERROR(__xludf.DUMMYFUNCTION("""COMPUTED_VALUE"""),"LAS CAMELIAS 2445")</f>
        <v>LAS CAMELIAS 2445</v>
      </c>
      <c r="D871" s="6" t="str">
        <f ca="1">IFERROR(__xludf.DUMMYFUNCTION("""COMPUTED_VALUE"""),"BUIN")</f>
        <v>BUIN</v>
      </c>
    </row>
    <row r="872" spans="1:4">
      <c r="A872" s="7">
        <f ca="1">IFERROR(__xludf.DUMMYFUNCTION("""COMPUTED_VALUE"""),43987)</f>
        <v>43987</v>
      </c>
      <c r="B872" s="8" t="str">
        <f ca="1">IFERROR(__xludf.DUMMYFUNCTION("""COMPUTED_VALUE"""),"-33.652924,-70.928961")</f>
        <v>-33.652924,-70.928961</v>
      </c>
      <c r="C872" s="6" t="str">
        <f ca="1">IFERROR(__xludf.DUMMYFUNCTION("""COMPUTED_VALUE"""),"CARLOS CAMACHO 335")</f>
        <v>CARLOS CAMACHO 335</v>
      </c>
      <c r="D872" s="6" t="str">
        <f ca="1">IFERROR(__xludf.DUMMYFUNCTION("""COMPUTED_VALUE"""),"TALAGANTE")</f>
        <v>TALAGANTE</v>
      </c>
    </row>
    <row r="873" spans="1:4">
      <c r="A873" s="7">
        <f ca="1">IFERROR(__xludf.DUMMYFUNCTION("""COMPUTED_VALUE"""),43987)</f>
        <v>43987</v>
      </c>
      <c r="B873" s="8" t="str">
        <f ca="1">IFERROR(__xludf.DUMMYFUNCTION("""COMPUTED_VALUE"""),"-33.712679,-70.742552")</f>
        <v>-33.712679,-70.742552</v>
      </c>
      <c r="C873" s="6" t="str">
        <f ca="1">IFERROR(__xludf.DUMMYFUNCTION("""COMPUTED_VALUE"""),"LA COORDINADORA 122")</f>
        <v>LA COORDINADORA 122</v>
      </c>
      <c r="D873" s="6" t="str">
        <f ca="1">IFERROR(__xludf.DUMMYFUNCTION("""COMPUTED_VALUE"""),"BUIN")</f>
        <v>BUIN</v>
      </c>
    </row>
    <row r="874" spans="1:4">
      <c r="A874" s="7">
        <f ca="1">IFERROR(__xludf.DUMMYFUNCTION("""COMPUTED_VALUE"""),43987)</f>
        <v>43987</v>
      </c>
      <c r="B874" s="6" t="str">
        <f ca="1">IFERROR(__xludf.DUMMYFUNCTION("""COMPUTED_VALUE"""),"-33.6049003-70.8891179")</f>
        <v>-33.6049003-70.8891179</v>
      </c>
      <c r="C874" s="6" t="str">
        <f ca="1">IFERROR(__xludf.DUMMYFUNCTION("""COMPUTED_VALUE"""),"VEINTIUNO DE MAYO 3134")</f>
        <v>VEINTIUNO DE MAYO 3134</v>
      </c>
      <c r="D874" s="6" t="str">
        <f ca="1">IFERROR(__xludf.DUMMYFUNCTION("""COMPUTED_VALUE"""),"PEÑAFLOR")</f>
        <v>PEÑAFLOR</v>
      </c>
    </row>
    <row r="875" spans="1:4">
      <c r="A875" s="7">
        <f ca="1">IFERROR(__xludf.DUMMYFUNCTION("""COMPUTED_VALUE"""),43987)</f>
        <v>43987</v>
      </c>
      <c r="B875" s="6" t="str">
        <f ca="1">IFERROR(__xludf.DUMMYFUNCTION("""COMPUTED_VALUE"""),"-33.6100-70.8900")</f>
        <v>-33.6100-70.8900</v>
      </c>
      <c r="C875" s="6" t="str">
        <f ca="1">IFERROR(__xludf.DUMMYFUNCTION("""COMPUTED_VALUE"""),"CORDILLERA DE LA SAL 122")</f>
        <v>CORDILLERA DE LA SAL 122</v>
      </c>
      <c r="D875" s="6" t="str">
        <f ca="1">IFERROR(__xludf.DUMMYFUNCTION("""COMPUTED_VALUE"""),"PEÑAFLOR")</f>
        <v>PEÑAFLOR</v>
      </c>
    </row>
    <row r="876" spans="1:4">
      <c r="A876" s="7">
        <f ca="1">IFERROR(__xludf.DUMMYFUNCTION("""COMPUTED_VALUE"""),43987)</f>
        <v>43987</v>
      </c>
      <c r="B876" s="6" t="str">
        <f ca="1">IFERROR(__xludf.DUMMYFUNCTION("""COMPUTED_VALUE""")," '-33.6084002-70.8972648")</f>
        <v xml:space="preserve"> '-33.6084002-70.8972648</v>
      </c>
      <c r="C876" s="6" t="str">
        <f ca="1">IFERROR(__xludf.DUMMYFUNCTION("""COMPUTED_VALUE"""),"UNO 531")</f>
        <v>UNO 531</v>
      </c>
      <c r="D876" s="6" t="str">
        <f ca="1">IFERROR(__xludf.DUMMYFUNCTION("""COMPUTED_VALUE"""),"PEÑAFLOR")</f>
        <v>PEÑAFLOR</v>
      </c>
    </row>
    <row r="877" spans="1:4">
      <c r="A877" s="7">
        <f ca="1">IFERROR(__xludf.DUMMYFUNCTION("""COMPUTED_VALUE"""),43987)</f>
        <v>43987</v>
      </c>
      <c r="B877" s="6" t="str">
        <f ca="1">IFERROR(__xludf.DUMMYFUNCTION("""COMPUTED_VALUE"""),"-33.242443-70.770253")</f>
        <v>-33.242443-70.770253</v>
      </c>
      <c r="C877" s="6" t="str">
        <f ca="1">IFERROR(__xludf.DUMMYFUNCTION("""COMPUTED_VALUE"""),"LOS GUERREROS PARC 6")</f>
        <v>LOS GUERREROS PARC 6</v>
      </c>
      <c r="D877" s="6" t="str">
        <f ca="1">IFERROR(__xludf.DUMMYFUNCTION("""COMPUTED_VALUE"""),"LAMPA")</f>
        <v>LAMPA</v>
      </c>
    </row>
    <row r="878" spans="1:4">
      <c r="A878" s="7">
        <f ca="1">IFERROR(__xludf.DUMMYFUNCTION("""COMPUTED_VALUE"""),43987)</f>
        <v>43987</v>
      </c>
      <c r="B878" s="6" t="str">
        <f ca="1">IFERROR(__xludf.DUMMYFUNCTION("""COMPUTED_VALUE"""),"-33.242443-70.770253")</f>
        <v>-33.242443-70.770253</v>
      </c>
      <c r="C878" s="6" t="str">
        <f ca="1">IFERROR(__xludf.DUMMYFUNCTION("""COMPUTED_VALUE"""),"LOS GUERREROS PARC 6")</f>
        <v>LOS GUERREROS PARC 6</v>
      </c>
      <c r="D878" s="6" t="str">
        <f ca="1">IFERROR(__xludf.DUMMYFUNCTION("""COMPUTED_VALUE"""),"LAMPA")</f>
        <v>LAMPA</v>
      </c>
    </row>
    <row r="879" spans="1:4">
      <c r="A879" s="7">
        <f ca="1">IFERROR(__xludf.DUMMYFUNCTION("""COMPUTED_VALUE"""),43987)</f>
        <v>43987</v>
      </c>
      <c r="B879" s="6" t="str">
        <f ca="1">IFERROR(__xludf.DUMMYFUNCTION("""COMPUTED_VALUE"""),"-33.682622,-70.995239")</f>
        <v>-33.682622,-70.995239</v>
      </c>
      <c r="C879" s="6" t="str">
        <f ca="1">IFERROR(__xludf.DUMMYFUNCTION("""COMPUTED_VALUE"""),"HERMANOS CARRERA 112")</f>
        <v>HERMANOS CARRERA 112</v>
      </c>
      <c r="D879" s="6" t="str">
        <f ca="1">IFERROR(__xludf.DUMMYFUNCTION("""COMPUTED_VALUE"""),"EL MONTE")</f>
        <v>EL MONTE</v>
      </c>
    </row>
    <row r="880" spans="1:4">
      <c r="A880" s="7">
        <f ca="1">IFERROR(__xludf.DUMMYFUNCTION("""COMPUTED_VALUE"""),43987)</f>
        <v>43987</v>
      </c>
      <c r="B880" s="6" t="str">
        <f ca="1">IFERROR(__xludf.DUMMYFUNCTION("""COMPUTED_VALUE"""),"-33.685667,-71.023925")</f>
        <v>-33.685667,-71.023925</v>
      </c>
      <c r="C880" s="6" t="str">
        <f ca="1">IFERROR(__xludf.DUMMYFUNCTION("""COMPUTED_VALUE"""),"PJE LOS DAMASCOS 1277")</f>
        <v>PJE LOS DAMASCOS 1277</v>
      </c>
      <c r="D880" s="6" t="str">
        <f ca="1">IFERROR(__xludf.DUMMYFUNCTION("""COMPUTED_VALUE"""),"EL MONTE")</f>
        <v>EL MONTE</v>
      </c>
    </row>
    <row r="881" spans="1:4">
      <c r="A881" s="7">
        <f ca="1">IFERROR(__xludf.DUMMYFUNCTION("""COMPUTED_VALUE"""),43987)</f>
        <v>43987</v>
      </c>
      <c r="B881" s="6" t="str">
        <f ca="1">IFERROR(__xludf.DUMMYFUNCTION("""COMPUTED_VALUE"""),"-33.682946,-70.994912")</f>
        <v>-33.682946,-70.994912</v>
      </c>
      <c r="C881" s="6" t="str">
        <f ca="1">IFERROR(__xludf.DUMMYFUNCTION("""COMPUTED_VALUE"""),"PJE TRES SUR 702")</f>
        <v>PJE TRES SUR 702</v>
      </c>
      <c r="D881" s="6" t="str">
        <f ca="1">IFERROR(__xludf.DUMMYFUNCTION("""COMPUTED_VALUE"""),"EL MONTE")</f>
        <v>EL MONTE</v>
      </c>
    </row>
    <row r="882" spans="1:4">
      <c r="A882" s="7">
        <f ca="1">IFERROR(__xludf.DUMMYFUNCTION("""COMPUTED_VALUE"""),43987)</f>
        <v>43987</v>
      </c>
      <c r="B882" s="6" t="str">
        <f ca="1">IFERROR(__xludf.DUMMYFUNCTION("""COMPUTED_VALUE"""),"-33.658645,-70.998968")</f>
        <v>-33.658645,-70.998968</v>
      </c>
      <c r="C882" s="6" t="str">
        <f ca="1">IFERROR(__xludf.DUMMYFUNCTION("""COMPUTED_VALUE"""),"STA ADRIANA PARC 1 CALLE LOS OLMOS")</f>
        <v>STA ADRIANA PARC 1 CALLE LOS OLMOS</v>
      </c>
      <c r="D882" s="6" t="str">
        <f ca="1">IFERROR(__xludf.DUMMYFUNCTION("""COMPUTED_VALUE"""),"EL MONTE")</f>
        <v>EL MONTE</v>
      </c>
    </row>
    <row r="883" spans="1:4">
      <c r="A883" s="7">
        <f ca="1">IFERROR(__xludf.DUMMYFUNCTION("""COMPUTED_VALUE"""),43987)</f>
        <v>43987</v>
      </c>
      <c r="B883" s="6" t="str">
        <f ca="1">IFERROR(__xludf.DUMMYFUNCTION("""COMPUTED_VALUE"""),"-33.658645,-70.998968")</f>
        <v>-33.658645,-70.998968</v>
      </c>
      <c r="C883" s="6" t="str">
        <f ca="1">IFERROR(__xludf.DUMMYFUNCTION("""COMPUTED_VALUE"""),"LOS SAUCES 64")</f>
        <v>LOS SAUCES 64</v>
      </c>
      <c r="D883" s="6" t="str">
        <f ca="1">IFERROR(__xludf.DUMMYFUNCTION("""COMPUTED_VALUE"""),"EL MONTE")</f>
        <v>EL MONTE</v>
      </c>
    </row>
    <row r="884" spans="1:4">
      <c r="A884" s="7">
        <f ca="1">IFERROR(__xludf.DUMMYFUNCTION("""COMPUTED_VALUE"""),43987)</f>
        <v>43987</v>
      </c>
      <c r="B884" s="6" t="str">
        <f ca="1">IFERROR(__xludf.DUMMYFUNCTION("""COMPUTED_VALUE"""),"-33.674287,-70.987341")</f>
        <v>-33.674287,-70.987341</v>
      </c>
      <c r="C884" s="6" t="str">
        <f ca="1">IFERROR(__xludf.DUMMYFUNCTION("""COMPUTED_VALUE"""),"LACATAM 325")</f>
        <v>LACATAM 325</v>
      </c>
      <c r="D884" s="6" t="str">
        <f ca="1">IFERROR(__xludf.DUMMYFUNCTION("""COMPUTED_VALUE"""),"EL MONTE")</f>
        <v>EL MONTE</v>
      </c>
    </row>
    <row r="885" spans="1:4">
      <c r="A885" s="7">
        <f ca="1">IFERROR(__xludf.DUMMYFUNCTION("""COMPUTED_VALUE"""),43988)</f>
        <v>43988</v>
      </c>
      <c r="B885" s="8" t="str">
        <f ca="1">IFERROR(__xludf.DUMMYFUNCTION("""COMPUTED_VALUE"""),"-33.655662,-70-908185")</f>
        <v>-33.655662,-70-908185</v>
      </c>
      <c r="C885" s="6" t="str">
        <f ca="1">IFERROR(__xludf.DUMMYFUNCTION("""COMPUTED_VALUE"""),"LOS AROMOS 555")</f>
        <v>LOS AROMOS 555</v>
      </c>
      <c r="D885" s="6" t="str">
        <f ca="1">IFERROR(__xludf.DUMMYFUNCTION("""COMPUTED_VALUE"""),"TALAGANTE")</f>
        <v>TALAGANTE</v>
      </c>
    </row>
    <row r="886" spans="1:4">
      <c r="A886" s="7">
        <f ca="1">IFERROR(__xludf.DUMMYFUNCTION("""COMPUTED_VALUE"""),43988)</f>
        <v>43988</v>
      </c>
      <c r="B886" s="8" t="str">
        <f ca="1">IFERROR(__xludf.DUMMYFUNCTION("""COMPUTED_VALUE"""),"-33.748762,-70.677399")</f>
        <v>-33.748762,-70.677399</v>
      </c>
      <c r="C886" s="6" t="str">
        <f ca="1">IFERROR(__xludf.DUMMYFUNCTION("""COMPUTED_VALUE"""),"CAMPO HURTADO 29")</f>
        <v>CAMPO HURTADO 29</v>
      </c>
      <c r="D886" s="6" t="str">
        <f ca="1">IFERROR(__xludf.DUMMYFUNCTION("""COMPUTED_VALUE"""),"BUIN")</f>
        <v>BUIN</v>
      </c>
    </row>
    <row r="887" spans="1:4">
      <c r="A887" s="7">
        <f ca="1">IFERROR(__xludf.DUMMYFUNCTION("""COMPUTED_VALUE"""),43988)</f>
        <v>43988</v>
      </c>
      <c r="B887" s="8" t="str">
        <f ca="1">IFERROR(__xludf.DUMMYFUNCTION("""COMPUTED_VALUE"""),"-33.728895,-70.780616")</f>
        <v>-33.728895,-70.780616</v>
      </c>
      <c r="C887" s="6" t="str">
        <f ca="1">IFERROR(__xludf.DUMMYFUNCTION("""COMPUTED_VALUE"""),"LO MORALES 083")</f>
        <v>LO MORALES 083</v>
      </c>
      <c r="D887" s="6" t="str">
        <f ca="1">IFERROR(__xludf.DUMMYFUNCTION("""COMPUTED_VALUE"""),"BUIN")</f>
        <v>BUIN</v>
      </c>
    </row>
    <row r="888" spans="1:4">
      <c r="A888" s="7">
        <f ca="1">IFERROR(__xludf.DUMMYFUNCTION("""COMPUTED_VALUE"""),43988)</f>
        <v>43988</v>
      </c>
      <c r="B888" s="6" t="str">
        <f ca="1">IFERROR(__xludf.DUMMYFUNCTION("""COMPUTED_VALUE"""),"-33.686048,-71.012697")</f>
        <v>-33.686048,-71.012697</v>
      </c>
      <c r="C888" s="6" t="str">
        <f ca="1">IFERROR(__xludf.DUMMYFUNCTION("""COMPUTED_VALUE"""),"REBECA MATTE 929")</f>
        <v>REBECA MATTE 929</v>
      </c>
      <c r="D888" s="6" t="str">
        <f ca="1">IFERROR(__xludf.DUMMYFUNCTION("""COMPUTED_VALUE"""),"EL MONTE")</f>
        <v>EL MONTE</v>
      </c>
    </row>
    <row r="889" spans="1:4">
      <c r="A889" s="7">
        <f ca="1">IFERROR(__xludf.DUMMYFUNCTION("""COMPUTED_VALUE"""),43988)</f>
        <v>43988</v>
      </c>
      <c r="B889" s="6" t="str">
        <f ca="1">IFERROR(__xludf.DUMMYFUNCTION("""COMPUTED_VALUE"""),"-33.682119,-70.994875")</f>
        <v>-33.682119,-70.994875</v>
      </c>
      <c r="C889" s="6" t="str">
        <f ca="1">IFERROR(__xludf.DUMMYFUNCTION("""COMPUTED_VALUE"""),"POB. HERMANOS CARRERA 32")</f>
        <v>POB. HERMANOS CARRERA 32</v>
      </c>
      <c r="D889" s="6" t="str">
        <f ca="1">IFERROR(__xludf.DUMMYFUNCTION("""COMPUTED_VALUE"""),"EL MONTE")</f>
        <v>EL MONTE</v>
      </c>
    </row>
    <row r="890" spans="1:4">
      <c r="A890" s="7">
        <f ca="1">IFERROR(__xludf.DUMMYFUNCTION("""COMPUTED_VALUE"""),43990)</f>
        <v>43990</v>
      </c>
      <c r="B890" s="8" t="str">
        <f ca="1">IFERROR(__xludf.DUMMYFUNCTION("""COMPUTED_VALUE"""),"-33.740102,-70.683874")</f>
        <v>-33.740102,-70.683874</v>
      </c>
      <c r="C890" s="6" t="str">
        <f ca="1">IFERROR(__xludf.DUMMYFUNCTION("""COMPUTED_VALUE"""),"SAN LUIS 50 LOTE C")</f>
        <v>SAN LUIS 50 LOTE C</v>
      </c>
      <c r="D890" s="6" t="str">
        <f ca="1">IFERROR(__xludf.DUMMYFUNCTION("""COMPUTED_VALUE"""),"BUIN")</f>
        <v>BUIN</v>
      </c>
    </row>
    <row r="891" spans="1:4">
      <c r="A891" s="7">
        <f ca="1">IFERROR(__xludf.DUMMYFUNCTION("""COMPUTED_VALUE"""),43990)</f>
        <v>43990</v>
      </c>
      <c r="B891" s="8" t="str">
        <f ca="1">IFERROR(__xludf.DUMMYFUNCTION("""COMPUTED_VALUE"""),"-33.7619281,-70.7424256")</f>
        <v>-33.7619281,-70.7424256</v>
      </c>
      <c r="C891" s="6" t="str">
        <f ca="1">IFERROR(__xludf.DUMMYFUNCTION("""COMPUTED_VALUE"""),"LONGISUR 4227")</f>
        <v>LONGISUR 4227</v>
      </c>
      <c r="D891" s="6" t="str">
        <f ca="1">IFERROR(__xludf.DUMMYFUNCTION("""COMPUTED_VALUE"""),"BUIN")</f>
        <v>BUIN</v>
      </c>
    </row>
    <row r="892" spans="1:4">
      <c r="A892" s="7">
        <f ca="1">IFERROR(__xludf.DUMMYFUNCTION("""COMPUTED_VALUE"""),43990)</f>
        <v>43990</v>
      </c>
      <c r="B892" s="8" t="str">
        <f ca="1">IFERROR(__xludf.DUMMYFUNCTION("""COMPUTED_VALUE"""),"-33.747500,-70.750479")</f>
        <v>-33.747500,-70.750479</v>
      </c>
      <c r="C892" s="6" t="str">
        <f ca="1">IFERROR(__xludf.DUMMYFUNCTION("""COMPUTED_VALUE"""),"SANDOVAL 1533")</f>
        <v>SANDOVAL 1533</v>
      </c>
      <c r="D892" s="6" t="str">
        <f ca="1">IFERROR(__xludf.DUMMYFUNCTION("""COMPUTED_VALUE"""),"BUIN")</f>
        <v>BUIN</v>
      </c>
    </row>
    <row r="893" spans="1:4">
      <c r="A893" s="10">
        <f ca="1">IFERROR(__xludf.DUMMYFUNCTION("""COMPUTED_VALUE"""),43990)</f>
        <v>43990</v>
      </c>
      <c r="B893" s="11" t="str">
        <f ca="1">IFERROR(__xludf.DUMMYFUNCTION("""COMPUTED_VALUE"""),"-33.727922,-70.732173
")</f>
        <v xml:space="preserve">-33.727922,-70.732173
</v>
      </c>
      <c r="C893" s="9" t="str">
        <f ca="1">IFERROR(__xludf.DUMMYFUNCTION("""COMPUTED_VALUE"""),"AV EL RODEO 035")</f>
        <v>AV EL RODEO 035</v>
      </c>
      <c r="D893" s="9" t="str">
        <f ca="1">IFERROR(__xludf.DUMMYFUNCTION("""COMPUTED_VALUE"""),"BUIN")</f>
        <v>BUIN</v>
      </c>
    </row>
    <row r="894" spans="1:4">
      <c r="A894" s="7">
        <f ca="1">IFERROR(__xludf.DUMMYFUNCTION("""COMPUTED_VALUE"""),43990)</f>
        <v>43990</v>
      </c>
      <c r="B894" s="8" t="str">
        <f ca="1">IFERROR(__xludf.DUMMYFUNCTION("""COMPUTED_VALUE"""),"-33.724239,-70.746251")</f>
        <v>-33.724239,-70.746251</v>
      </c>
      <c r="C894" s="6" t="str">
        <f ca="1">IFERROR(__xludf.DUMMYFUNCTION("""COMPUTED_VALUE"""),"JOSE MIGUEL CARRERA 637")</f>
        <v>JOSE MIGUEL CARRERA 637</v>
      </c>
      <c r="D894" s="6" t="str">
        <f ca="1">IFERROR(__xludf.DUMMYFUNCTION("""COMPUTED_VALUE"""),"BUIN")</f>
        <v>BUIN</v>
      </c>
    </row>
    <row r="895" spans="1:4">
      <c r="A895" s="7">
        <f ca="1">IFERROR(__xludf.DUMMYFUNCTION("""COMPUTED_VALUE"""),43990)</f>
        <v>43990</v>
      </c>
      <c r="B895" s="8" t="str">
        <f ca="1">IFERROR(__xludf.DUMMYFUNCTION("""COMPUTED_VALUE"""),"-33.732734,-70.760207")</f>
        <v>-33.732734,-70.760207</v>
      </c>
      <c r="C895" s="6" t="str">
        <f ca="1">IFERROR(__xludf.DUMMYFUNCTION("""COMPUTED_VALUE"""),"CAMINO BUIN 1967")</f>
        <v>CAMINO BUIN 1967</v>
      </c>
      <c r="D895" s="6" t="str">
        <f ca="1">IFERROR(__xludf.DUMMYFUNCTION("""COMPUTED_VALUE"""),"BUIN")</f>
        <v>BUIN</v>
      </c>
    </row>
    <row r="896" spans="1:4">
      <c r="A896" s="7">
        <f ca="1">IFERROR(__xludf.DUMMYFUNCTION("""COMPUTED_VALUE"""),43990)</f>
        <v>43990</v>
      </c>
      <c r="B896" s="8" t="str">
        <f ca="1">IFERROR(__xludf.DUMMYFUNCTION("""COMPUTED_VALUE"""),"-33.750870,-70.674800")</f>
        <v>-33.750870,-70.674800</v>
      </c>
      <c r="C896" s="6" t="str">
        <f ca="1">IFERROR(__xludf.DUMMYFUNCTION("""COMPUTED_VALUE"""),"CRUZ DEL SUR 21")</f>
        <v>CRUZ DEL SUR 21</v>
      </c>
      <c r="D896" s="6" t="str">
        <f ca="1">IFERROR(__xludf.DUMMYFUNCTION("""COMPUTED_VALUE"""),"BUIN")</f>
        <v>BUIN</v>
      </c>
    </row>
    <row r="897" spans="1:4">
      <c r="A897" s="7">
        <f ca="1">IFERROR(__xludf.DUMMYFUNCTION("""COMPUTED_VALUE"""),43990)</f>
        <v>43990</v>
      </c>
      <c r="B897" s="8" t="str">
        <f ca="1">IFERROR(__xludf.DUMMYFUNCTION("""COMPUTED_VALUE"""),"-33.681285,-70.951206")</f>
        <v>-33.681285,-70.951206</v>
      </c>
      <c r="C897" s="6" t="str">
        <f ca="1">IFERROR(__xludf.DUMMYFUNCTION("""COMPUTED_VALUE"""),"PASAJE A OVALLE 1170")</f>
        <v>PASAJE A OVALLE 1170</v>
      </c>
      <c r="D897" s="6" t="str">
        <f ca="1">IFERROR(__xludf.DUMMYFUNCTION("""COMPUTED_VALUE"""),"BUIN")</f>
        <v>BUIN</v>
      </c>
    </row>
    <row r="898" spans="1:4">
      <c r="A898" s="7">
        <f ca="1">IFERROR(__xludf.DUMMYFUNCTION("""COMPUTED_VALUE"""),43990)</f>
        <v>43990</v>
      </c>
      <c r="B898" s="6" t="str">
        <f ca="1">IFERROR(__xludf.DUMMYFUNCTION("""COMPUTED_VALUE"""),"-33.619472-70.866861")</f>
        <v>-33.619472-70.866861</v>
      </c>
      <c r="C898" s="6" t="str">
        <f ca="1">IFERROR(__xludf.DUMMYFUNCTION("""COMPUTED_VALUE"""),"LAS PALMERAS 101")</f>
        <v>LAS PALMERAS 101</v>
      </c>
      <c r="D898" s="6" t="str">
        <f ca="1">IFERROR(__xludf.DUMMYFUNCTION("""COMPUTED_VALUE"""),"PEÑAFLOR")</f>
        <v>PEÑAFLOR</v>
      </c>
    </row>
    <row r="899" spans="1:4">
      <c r="A899" s="7">
        <f ca="1">IFERROR(__xludf.DUMMYFUNCTION("""COMPUTED_VALUE"""),43990)</f>
        <v>43990</v>
      </c>
      <c r="B899" s="6" t="str">
        <f ca="1">IFERROR(__xludf.DUMMYFUNCTION("""COMPUTED_VALUE"""),"-33.6036282-70.8973349")</f>
        <v>-33.6036282-70.8973349</v>
      </c>
      <c r="C899" s="6" t="str">
        <f ca="1">IFERROR(__xludf.DUMMYFUNCTION("""COMPUTED_VALUE"""),"LOS PATOS 210")</f>
        <v>LOS PATOS 210</v>
      </c>
      <c r="D899" s="6" t="str">
        <f ca="1">IFERROR(__xludf.DUMMYFUNCTION("""COMPUTED_VALUE"""),"PEÑAFLOR")</f>
        <v>PEÑAFLOR</v>
      </c>
    </row>
    <row r="900" spans="1:4">
      <c r="A900" s="7">
        <f ca="1">IFERROR(__xludf.DUMMYFUNCTION("""COMPUTED_VALUE"""),43990)</f>
        <v>43990</v>
      </c>
      <c r="B900" s="6" t="str">
        <f ca="1">IFERROR(__xludf.DUMMYFUNCTION("""COMPUTED_VALUE"""),"-33.6090-70.8975")</f>
        <v>-33.6090-70.8975</v>
      </c>
      <c r="C900" s="6" t="str">
        <f ca="1">IFERROR(__xludf.DUMMYFUNCTION("""COMPUTED_VALUE"""),"DOS 175")</f>
        <v>DOS 175</v>
      </c>
      <c r="D900" s="6" t="str">
        <f ca="1">IFERROR(__xludf.DUMMYFUNCTION("""COMPUTED_VALUE"""),"PEÑAFLOR")</f>
        <v>PEÑAFLOR</v>
      </c>
    </row>
    <row r="901" spans="1:4">
      <c r="A901" s="7">
        <f ca="1">IFERROR(__xludf.DUMMYFUNCTION("""COMPUTED_VALUE"""),43990)</f>
        <v>43990</v>
      </c>
      <c r="B901" s="6" t="str">
        <f ca="1">IFERROR(__xludf.DUMMYFUNCTION("""COMPUTED_VALUE"""),"-33.6026078-70.8809665")</f>
        <v>-33.6026078-70.8809665</v>
      </c>
      <c r="C901" s="6" t="str">
        <f ca="1">IFERROR(__xludf.DUMMYFUNCTION("""COMPUTED_VALUE"""),"CERRO TORO 2469")</f>
        <v>CERRO TORO 2469</v>
      </c>
      <c r="D901" s="6" t="str">
        <f ca="1">IFERROR(__xludf.DUMMYFUNCTION("""COMPUTED_VALUE"""),"PEÑAFLOR")</f>
        <v>PEÑAFLOR</v>
      </c>
    </row>
    <row r="902" spans="1:4">
      <c r="A902" s="7">
        <f ca="1">IFERROR(__xludf.DUMMYFUNCTION("""COMPUTED_VALUE"""),43990)</f>
        <v>43990</v>
      </c>
      <c r="B902" s="6" t="str">
        <f ca="1">IFERROR(__xludf.DUMMYFUNCTION("""COMPUTED_VALUE"""),"-33.662901,-70.995370")</f>
        <v>-33.662901,-70.995370</v>
      </c>
      <c r="C902" s="6" t="str">
        <f ca="1">IFERROR(__xludf.DUMMYFUNCTION("""COMPUTED_VALUE"""),"PJE. OSCAR CORTES 752")</f>
        <v>PJE. OSCAR CORTES 752</v>
      </c>
      <c r="D902" s="6" t="str">
        <f ca="1">IFERROR(__xludf.DUMMYFUNCTION("""COMPUTED_VALUE"""),"EL MONTE")</f>
        <v>EL MONTE</v>
      </c>
    </row>
    <row r="903" spans="1:4">
      <c r="A903" s="7">
        <f ca="1">IFERROR(__xludf.DUMMYFUNCTION("""COMPUTED_VALUE"""),43990)</f>
        <v>43990</v>
      </c>
      <c r="B903" s="6" t="str">
        <f ca="1">IFERROR(__xludf.DUMMYFUNCTION("""COMPUTED_VALUE"""),"-33.685378,-71.019335")</f>
        <v>-33.685378,-71.019335</v>
      </c>
      <c r="C903" s="6" t="str">
        <f ca="1">IFERROR(__xludf.DUMMYFUNCTION("""COMPUTED_VALUE"""),"CALLE UNO ORIENTE 29")</f>
        <v>CALLE UNO ORIENTE 29</v>
      </c>
      <c r="D903" s="6" t="str">
        <f ca="1">IFERROR(__xludf.DUMMYFUNCTION("""COMPUTED_VALUE"""),"EL MONTE")</f>
        <v>EL MONTE</v>
      </c>
    </row>
    <row r="904" spans="1:4">
      <c r="A904" s="7">
        <f ca="1">IFERROR(__xludf.DUMMYFUNCTION("""COMPUTED_VALUE"""),43990)</f>
        <v>43990</v>
      </c>
      <c r="B904" s="6" t="str">
        <f ca="1">IFERROR(__xludf.DUMMYFUNCTION("""COMPUTED_VALUE"""),"-33.663836,-70.979647")</f>
        <v>-33.663836,-70.979647</v>
      </c>
      <c r="C904" s="6" t="str">
        <f ca="1">IFERROR(__xludf.DUMMYFUNCTION("""COMPUTED_VALUE"""),"O. CASTRO 750")</f>
        <v>O. CASTRO 750</v>
      </c>
      <c r="D904" s="6" t="str">
        <f ca="1">IFERROR(__xludf.DUMMYFUNCTION("""COMPUTED_VALUE"""),"EL MONTE")</f>
        <v>EL MONTE</v>
      </c>
    </row>
    <row r="905" spans="1:4">
      <c r="A905" s="7">
        <f ca="1">IFERROR(__xludf.DUMMYFUNCTION("""COMPUTED_VALUE"""),43990)</f>
        <v>43990</v>
      </c>
      <c r="B905" s="6" t="str">
        <f ca="1">IFERROR(__xludf.DUMMYFUNCTION("""COMPUTED_VALUE"""),"-33.683704,-70.994641")</f>
        <v>-33.683704,-70.994641</v>
      </c>
      <c r="C905" s="6" t="str">
        <f ca="1">IFERROR(__xludf.DUMMYFUNCTION("""COMPUTED_VALUE"""),"SAN SEBASTIAN 41")</f>
        <v>SAN SEBASTIAN 41</v>
      </c>
      <c r="D905" s="6" t="str">
        <f ca="1">IFERROR(__xludf.DUMMYFUNCTION("""COMPUTED_VALUE"""),"EL MONTE")</f>
        <v>EL MONTE</v>
      </c>
    </row>
    <row r="906" spans="1:4">
      <c r="A906" s="7">
        <f ca="1">IFERROR(__xludf.DUMMYFUNCTION("""COMPUTED_VALUE"""),43991)</f>
        <v>43991</v>
      </c>
      <c r="B906" s="8" t="str">
        <f ca="1">IFERROR(__xludf.DUMMYFUNCTION("""COMPUTED_VALUE"""),"-33.723787,-70.743956")</f>
        <v>-33.723787,-70.743956</v>
      </c>
      <c r="C906" s="6" t="str">
        <f ca="1">IFERROR(__xludf.DUMMYFUNCTION("""COMPUTED_VALUE"""),"PASAJE VEINTIUNO 0482")</f>
        <v>PASAJE VEINTIUNO 0482</v>
      </c>
      <c r="D906" s="6" t="str">
        <f ca="1">IFERROR(__xludf.DUMMYFUNCTION("""COMPUTED_VALUE"""),"BUIN")</f>
        <v>BUIN</v>
      </c>
    </row>
    <row r="907" spans="1:4">
      <c r="A907" s="7">
        <f ca="1">IFERROR(__xludf.DUMMYFUNCTION("""COMPUTED_VALUE"""),43991)</f>
        <v>43991</v>
      </c>
      <c r="B907" s="8" t="str">
        <f ca="1">IFERROR(__xludf.DUMMYFUNCTION("""COMPUTED_VALUE"""),"-33.766833,-70.733185")</f>
        <v>-33.766833,-70.733185</v>
      </c>
      <c r="C907" s="6" t="str">
        <f ca="1">IFERROR(__xludf.DUMMYFUNCTION("""COMPUTED_VALUE"""),"EL CERRILLO 475")</f>
        <v>EL CERRILLO 475</v>
      </c>
      <c r="D907" s="6" t="str">
        <f ca="1">IFERROR(__xludf.DUMMYFUNCTION("""COMPUTED_VALUE"""),"BUIN")</f>
        <v>BUIN</v>
      </c>
    </row>
    <row r="908" spans="1:4">
      <c r="A908" s="7">
        <f ca="1">IFERROR(__xludf.DUMMYFUNCTION("""COMPUTED_VALUE"""),43991)</f>
        <v>43991</v>
      </c>
      <c r="B908" s="8" t="str">
        <f ca="1">IFERROR(__xludf.DUMMYFUNCTION("""COMPUTED_VALUE"""),"-33,.715776,-70.742176")</f>
        <v>-33,.715776,-70.742176</v>
      </c>
      <c r="C908" s="6" t="str">
        <f ca="1">IFERROR(__xludf.DUMMYFUNCTION("""COMPUTED_VALUE"""),"PASAJE UN SUEÑO 033")</f>
        <v>PASAJE UN SUEÑO 033</v>
      </c>
      <c r="D908" s="6" t="str">
        <f ca="1">IFERROR(__xludf.DUMMYFUNCTION("""COMPUTED_VALUE"""),"BUIN")</f>
        <v>BUIN</v>
      </c>
    </row>
    <row r="909" spans="1:4">
      <c r="A909" s="7">
        <f ca="1">IFERROR(__xludf.DUMMYFUNCTION("""COMPUTED_VALUE"""),43991)</f>
        <v>43991</v>
      </c>
      <c r="B909" s="8" t="str">
        <f ca="1">IFERROR(__xludf.DUMMYFUNCTION("""COMPUTED_VALUE"""),"-33.7449251,-70.6800525")</f>
        <v>-33.7449251,-70.6800525</v>
      </c>
      <c r="C909" s="6" t="str">
        <f ca="1">IFERROR(__xludf.DUMMYFUNCTION("""COMPUTED_VALUE"""),"PASAJE ADAN GUZMAN 82")</f>
        <v>PASAJE ADAN GUZMAN 82</v>
      </c>
      <c r="D909" s="6" t="str">
        <f ca="1">IFERROR(__xludf.DUMMYFUNCTION("""COMPUTED_VALUE"""),"BUIN")</f>
        <v>BUIN</v>
      </c>
    </row>
    <row r="910" spans="1:4">
      <c r="A910" s="7">
        <f ca="1">IFERROR(__xludf.DUMMYFUNCTION("""COMPUTED_VALUE"""),43991)</f>
        <v>43991</v>
      </c>
      <c r="B910" s="8" t="str">
        <f ca="1">IFERROR(__xludf.DUMMYFUNCTION("""COMPUTED_VALUE"""),"-33.715147,-70.737945")</f>
        <v>-33.715147,-70.737945</v>
      </c>
      <c r="C910" s="6" t="str">
        <f ca="1">IFERROR(__xludf.DUMMYFUNCTION("""COMPUTED_VALUE"""),"TEMPORERA DE LA NUEZ 0362")</f>
        <v>TEMPORERA DE LA NUEZ 0362</v>
      </c>
      <c r="D910" s="6" t="str">
        <f ca="1">IFERROR(__xludf.DUMMYFUNCTION("""COMPUTED_VALUE"""),"BUIN")</f>
        <v>BUIN</v>
      </c>
    </row>
    <row r="911" spans="1:4">
      <c r="A911" s="7">
        <f ca="1">IFERROR(__xludf.DUMMYFUNCTION("""COMPUTED_VALUE"""),43991)</f>
        <v>43991</v>
      </c>
      <c r="B911" s="8" t="str">
        <f ca="1">IFERROR(__xludf.DUMMYFUNCTION("""COMPUTED_VALUE"""),"-33.727568,-70.734448")</f>
        <v>-33.727568,-70.734448</v>
      </c>
      <c r="C911" s="6" t="str">
        <f ca="1">IFERROR(__xludf.DUMMYFUNCTION("""COMPUTED_VALUE"""),"EL ARRIERO 0109 V")</f>
        <v>EL ARRIERO 0109 V</v>
      </c>
      <c r="D911" s="6" t="str">
        <f ca="1">IFERROR(__xludf.DUMMYFUNCTION("""COMPUTED_VALUE"""),"BUIN")</f>
        <v>BUIN</v>
      </c>
    </row>
    <row r="912" spans="1:4">
      <c r="A912" s="7">
        <f ca="1">IFERROR(__xludf.DUMMYFUNCTION("""COMPUTED_VALUE"""),43991)</f>
        <v>43991</v>
      </c>
      <c r="B912" s="8" t="str">
        <f ca="1">IFERROR(__xludf.DUMMYFUNCTION("""COMPUTED_VALUE"""),"-33.724126,-70.743825")</f>
        <v>-33.724126,-70.743825</v>
      </c>
      <c r="C912" s="6" t="str">
        <f ca="1">IFERROR(__xludf.DUMMYFUNCTION("""COMPUTED_VALUE"""),"POTRERILLOS SALINA 520")</f>
        <v>POTRERILLOS SALINA 520</v>
      </c>
      <c r="D912" s="6" t="str">
        <f ca="1">IFERROR(__xludf.DUMMYFUNCTION("""COMPUTED_VALUE"""),"BUIN")</f>
        <v>BUIN</v>
      </c>
    </row>
    <row r="913" spans="1:4">
      <c r="A913" s="7">
        <f ca="1">IFERROR(__xludf.DUMMYFUNCTION("""COMPUTED_VALUE"""),43991)</f>
        <v>43991</v>
      </c>
      <c r="B913" s="8" t="str">
        <f ca="1">IFERROR(__xludf.DUMMYFUNCTION("""COMPUTED_VALUE"""),"-33.715722,-70.742165")</f>
        <v>-33.715722,-70.742165</v>
      </c>
      <c r="C913" s="6" t="str">
        <f ca="1">IFERROR(__xludf.DUMMYFUNCTION("""COMPUTED_VALUE"""),"PASAJE UN SUEÑO 039")</f>
        <v>PASAJE UN SUEÑO 039</v>
      </c>
      <c r="D913" s="6" t="str">
        <f ca="1">IFERROR(__xludf.DUMMYFUNCTION("""COMPUTED_VALUE"""),"BUIN")</f>
        <v>BUIN</v>
      </c>
    </row>
    <row r="914" spans="1:4">
      <c r="A914" s="7">
        <f ca="1">IFERROR(__xludf.DUMMYFUNCTION("""COMPUTED_VALUE"""),43991)</f>
        <v>43991</v>
      </c>
      <c r="B914" s="8" t="str">
        <f ca="1">IFERROR(__xludf.DUMMYFUNCTION("""COMPUTED_VALUE"""),"-33.654267,-70.926063")</f>
        <v>-33.654267,-70.926063</v>
      </c>
      <c r="C914" s="6" t="str">
        <f ca="1">IFERROR(__xludf.DUMMYFUNCTION("""COMPUTED_VALUE"""),"MANUEL RODRIGUEZ 221")</f>
        <v>MANUEL RODRIGUEZ 221</v>
      </c>
      <c r="D914" s="6" t="str">
        <f ca="1">IFERROR(__xludf.DUMMYFUNCTION("""COMPUTED_VALUE"""),"BUIN")</f>
        <v>BUIN</v>
      </c>
    </row>
    <row r="915" spans="1:4">
      <c r="A915" s="7">
        <f ca="1">IFERROR(__xludf.DUMMYFUNCTION("""COMPUTED_VALUE"""),43991)</f>
        <v>43991</v>
      </c>
      <c r="B915" s="6" t="str">
        <f ca="1">IFERROR(__xludf.DUMMYFUNCTION("""COMPUTED_VALUE"""),"-33.256194-70.775896")</f>
        <v>-33.256194-70.775896</v>
      </c>
      <c r="C915" s="6" t="str">
        <f ca="1">IFERROR(__xludf.DUMMYFUNCTION("""COMPUTED_VALUE"""),"CNO SANTA ROSA PARC 240")</f>
        <v>CNO SANTA ROSA PARC 240</v>
      </c>
      <c r="D915" s="6" t="str">
        <f ca="1">IFERROR(__xludf.DUMMYFUNCTION("""COMPUTED_VALUE"""),"LAMPA")</f>
        <v>LAMPA</v>
      </c>
    </row>
    <row r="916" spans="1:4">
      <c r="A916" s="7">
        <f ca="1">IFERROR(__xludf.DUMMYFUNCTION("""COMPUTED_VALUE"""),43991)</f>
        <v>43991</v>
      </c>
      <c r="B916" s="6" t="str">
        <f ca="1">IFERROR(__xludf.DUMMYFUNCTION("""COMPUTED_VALUE"""),"-33.256391-70.775960")</f>
        <v>-33.256391-70.775960</v>
      </c>
      <c r="C916" s="6" t="str">
        <f ca="1">IFERROR(__xludf.DUMMYFUNCTION("""COMPUTED_VALUE"""),"CNO SANTA ROSA PARC 240")</f>
        <v>CNO SANTA ROSA PARC 240</v>
      </c>
      <c r="D916" s="6" t="str">
        <f ca="1">IFERROR(__xludf.DUMMYFUNCTION("""COMPUTED_VALUE"""),"LAMPA")</f>
        <v>LAMPA</v>
      </c>
    </row>
    <row r="917" spans="1:4">
      <c r="A917" s="7">
        <f ca="1">IFERROR(__xludf.DUMMYFUNCTION("""COMPUTED_VALUE"""),43991)</f>
        <v>43991</v>
      </c>
      <c r="B917" s="6" t="str">
        <f ca="1">IFERROR(__xludf.DUMMYFUNCTION("""COMPUTED_VALUE"""),"-33.625712-70.918802")</f>
        <v>-33.625712-70.918802</v>
      </c>
      <c r="C917" s="6" t="str">
        <f ca="1">IFERROR(__xludf.DUMMYFUNCTION("""COMPUTED_VALUE"""),"AV. PEÑAFLOR 1")</f>
        <v>AV. PEÑAFLOR 1</v>
      </c>
      <c r="D917" s="6" t="str">
        <f ca="1">IFERROR(__xludf.DUMMYFUNCTION("""COMPUTED_VALUE"""),"PEÑAFLOR")</f>
        <v>PEÑAFLOR</v>
      </c>
    </row>
    <row r="918" spans="1:4">
      <c r="A918" s="7">
        <f ca="1">IFERROR(__xludf.DUMMYFUNCTION("""COMPUTED_VALUE"""),43991)</f>
        <v>43991</v>
      </c>
      <c r="B918" s="6" t="str">
        <f ca="1">IFERROR(__xludf.DUMMYFUNCTION("""COMPUTED_VALUE"""),"-33.5999907-70.885024")</f>
        <v>-33.5999907-70.885024</v>
      </c>
      <c r="C918" s="6" t="str">
        <f ca="1">IFERROR(__xludf.DUMMYFUNCTION("""COMPUTED_VALUE"""),"UNO ORIENTE 3552")</f>
        <v>UNO ORIENTE 3552</v>
      </c>
      <c r="D918" s="6" t="str">
        <f ca="1">IFERROR(__xludf.DUMMYFUNCTION("""COMPUTED_VALUE"""),"PEÑAFLOR")</f>
        <v>PEÑAFLOR</v>
      </c>
    </row>
    <row r="919" spans="1:4">
      <c r="A919" s="7">
        <f ca="1">IFERROR(__xludf.DUMMYFUNCTION("""COMPUTED_VALUE"""),43991)</f>
        <v>43991</v>
      </c>
      <c r="B919" s="6" t="str">
        <f ca="1">IFERROR(__xludf.DUMMYFUNCTION("""COMPUTED_VALUE"""),"-33.604638-70.851120")</f>
        <v>-33.604638-70.851120</v>
      </c>
      <c r="C919" s="6" t="str">
        <f ca="1">IFERROR(__xludf.DUMMYFUNCTION("""COMPUTED_VALUE"""),"PAUL HARRIS 180")</f>
        <v>PAUL HARRIS 180</v>
      </c>
      <c r="D919" s="6" t="str">
        <f ca="1">IFERROR(__xludf.DUMMYFUNCTION("""COMPUTED_VALUE"""),"PEÑAFLOR")</f>
        <v>PEÑAFLOR</v>
      </c>
    </row>
    <row r="920" spans="1:4">
      <c r="A920" s="7">
        <f ca="1">IFERROR(__xludf.DUMMYFUNCTION("""COMPUTED_VALUE"""),43991)</f>
        <v>43991</v>
      </c>
      <c r="B920" s="6" t="str">
        <f ca="1">IFERROR(__xludf.DUMMYFUNCTION("""COMPUTED_VALUE"""),"-33.6031-70.8519")</f>
        <v>-33.6031-70.8519</v>
      </c>
      <c r="C920" s="6" t="str">
        <f ca="1">IFERROR(__xludf.DUMMYFUNCTION("""COMPUTED_VALUE"""),"MIRAFLORES 72")</f>
        <v>MIRAFLORES 72</v>
      </c>
      <c r="D920" s="6" t="str">
        <f ca="1">IFERROR(__xludf.DUMMYFUNCTION("""COMPUTED_VALUE"""),"PEÑAFLOR")</f>
        <v>PEÑAFLOR</v>
      </c>
    </row>
    <row r="921" spans="1:4">
      <c r="A921" s="7">
        <f ca="1">IFERROR(__xludf.DUMMYFUNCTION("""COMPUTED_VALUE"""),43991)</f>
        <v>43991</v>
      </c>
      <c r="B921" s="6" t="str">
        <f ca="1">IFERROR(__xludf.DUMMYFUNCTION("""COMPUTED_VALUE"""),"-33.606956-70.9042855")</f>
        <v>-33.606956-70.9042855</v>
      </c>
      <c r="C921" s="6" t="str">
        <f ca="1">IFERROR(__xludf.DUMMYFUNCTION("""COMPUTED_VALUE"""),"PASEO LA UNIDAD 166")</f>
        <v>PASEO LA UNIDAD 166</v>
      </c>
      <c r="D921" s="6" t="str">
        <f ca="1">IFERROR(__xludf.DUMMYFUNCTION("""COMPUTED_VALUE"""),"PEÑAFLOR")</f>
        <v>PEÑAFLOR</v>
      </c>
    </row>
    <row r="922" spans="1:4">
      <c r="A922" s="7">
        <f ca="1">IFERROR(__xludf.DUMMYFUNCTION("""COMPUTED_VALUE"""),43991)</f>
        <v>43991</v>
      </c>
      <c r="B922" s="6" t="str">
        <f ca="1">IFERROR(__xludf.DUMMYFUNCTION("""COMPUTED_VALUE"""),"-33.606956-70.9042855")</f>
        <v>-33.606956-70.9042855</v>
      </c>
      <c r="C922" s="6" t="str">
        <f ca="1">IFERROR(__xludf.DUMMYFUNCTION("""COMPUTED_VALUE"""),"PASEO LA UNIDAD 166")</f>
        <v>PASEO LA UNIDAD 166</v>
      </c>
      <c r="D922" s="6" t="str">
        <f ca="1">IFERROR(__xludf.DUMMYFUNCTION("""COMPUTED_VALUE"""),"PEÑAFLOR")</f>
        <v>PEÑAFLOR</v>
      </c>
    </row>
    <row r="923" spans="1:4">
      <c r="A923" s="7">
        <f ca="1">IFERROR(__xludf.DUMMYFUNCTION("""COMPUTED_VALUE"""),43991)</f>
        <v>43991</v>
      </c>
      <c r="B923" s="6" t="str">
        <f ca="1">IFERROR(__xludf.DUMMYFUNCTION("""COMPUTED_VALUE"""),"-33.629133-70.921982")</f>
        <v>-33.629133-70.921982</v>
      </c>
      <c r="C923" s="6" t="str">
        <f ca="1">IFERROR(__xludf.DUMMYFUNCTION("""COMPUTED_VALUE"""),"SANTO TORIBIO S/N LOTE 17")</f>
        <v>SANTO TORIBIO S/N LOTE 17</v>
      </c>
      <c r="D923" s="6" t="str">
        <f ca="1">IFERROR(__xludf.DUMMYFUNCTION("""COMPUTED_VALUE"""),"PEÑAFLOR")</f>
        <v>PEÑAFLOR</v>
      </c>
    </row>
    <row r="924" spans="1:4">
      <c r="A924" s="7">
        <f ca="1">IFERROR(__xludf.DUMMYFUNCTION("""COMPUTED_VALUE"""),43991)</f>
        <v>43991</v>
      </c>
      <c r="B924" s="6" t="str">
        <f ca="1">IFERROR(__xludf.DUMMYFUNCTION("""COMPUTED_VALUE"""),"-33.601744-70.873356")</f>
        <v>-33.601744-70.873356</v>
      </c>
      <c r="C924" s="6" t="str">
        <f ca="1">IFERROR(__xludf.DUMMYFUNCTION("""COMPUTED_VALUE"""),"VICTORIA 350")</f>
        <v>VICTORIA 350</v>
      </c>
      <c r="D924" s="6" t="str">
        <f ca="1">IFERROR(__xludf.DUMMYFUNCTION("""COMPUTED_VALUE"""),"PEÑAFLOR")</f>
        <v>PEÑAFLOR</v>
      </c>
    </row>
    <row r="925" spans="1:4">
      <c r="A925" s="7">
        <f ca="1">IFERROR(__xludf.DUMMYFUNCTION("""COMPUTED_VALUE"""),43991)</f>
        <v>43991</v>
      </c>
      <c r="B925" s="6" t="str">
        <f ca="1">IFERROR(__xludf.DUMMYFUNCTION("""COMPUTED_VALUE"""),"-33.6077522-70.905914")</f>
        <v>-33.6077522-70.905914</v>
      </c>
      <c r="C925" s="6" t="str">
        <f ca="1">IFERROR(__xludf.DUMMYFUNCTION("""COMPUTED_VALUE"""),"CORONA DEL SOLAR 242")</f>
        <v>CORONA DEL SOLAR 242</v>
      </c>
      <c r="D925" s="6" t="str">
        <f ca="1">IFERROR(__xludf.DUMMYFUNCTION("""COMPUTED_VALUE"""),"PEÑAFLOR")</f>
        <v>PEÑAFLOR</v>
      </c>
    </row>
    <row r="926" spans="1:4">
      <c r="A926" s="7">
        <f ca="1">IFERROR(__xludf.DUMMYFUNCTION("""COMPUTED_VALUE"""),43991)</f>
        <v>43991</v>
      </c>
      <c r="B926" s="6" t="str">
        <f ca="1">IFERROR(__xludf.DUMMYFUNCTION("""COMPUTED_VALUE"""),"-33.686626,-71.074106")</f>
        <v>-33.686626,-71.074106</v>
      </c>
      <c r="C926" s="6" t="str">
        <f ca="1">IFERROR(__xludf.DUMMYFUNCTION("""COMPUTED_VALUE"""),"SAN ANDRES PARC.22")</f>
        <v>SAN ANDRES PARC.22</v>
      </c>
      <c r="D926" s="6" t="str">
        <f ca="1">IFERROR(__xludf.DUMMYFUNCTION("""COMPUTED_VALUE"""),"EL MONTE")</f>
        <v>EL MONTE</v>
      </c>
    </row>
    <row r="927" spans="1:4">
      <c r="A927" s="7">
        <f ca="1">IFERROR(__xludf.DUMMYFUNCTION("""COMPUTED_VALUE"""),43991)</f>
        <v>43991</v>
      </c>
      <c r="B927" s="6" t="str">
        <f ca="1">IFERROR(__xludf.DUMMYFUNCTION("""COMPUTED_VALUE"""),"-33.682259,-70.999441")</f>
        <v>-33.682259,-70.999441</v>
      </c>
      <c r="C927" s="6" t="str">
        <f ca="1">IFERROR(__xludf.DUMMYFUNCTION("""COMPUTED_VALUE"""),"ZACIRO ERRAZURIZ 065")</f>
        <v>ZACIRO ERRAZURIZ 065</v>
      </c>
      <c r="D927" s="6" t="str">
        <f ca="1">IFERROR(__xludf.DUMMYFUNCTION("""COMPUTED_VALUE"""),"EL MONTE")</f>
        <v>EL MONTE</v>
      </c>
    </row>
    <row r="928" spans="1:4">
      <c r="A928" s="7">
        <f ca="1">IFERROR(__xludf.DUMMYFUNCTION("""COMPUTED_VALUE"""),43992)</f>
        <v>43992</v>
      </c>
      <c r="B928" s="8" t="str">
        <f ca="1">IFERROR(__xludf.DUMMYFUNCTION("""COMPUTED_VALUE"""),"-33.726159,-70.734484")</f>
        <v>-33.726159,-70.734484</v>
      </c>
      <c r="C928" s="6" t="str">
        <f ca="1">IFERROR(__xludf.DUMMYFUNCTION("""COMPUTED_VALUE"""),"ARTURO MATTE 215 ")</f>
        <v xml:space="preserve">ARTURO MATTE 215 </v>
      </c>
      <c r="D928" s="6" t="str">
        <f ca="1">IFERROR(__xludf.DUMMYFUNCTION("""COMPUTED_VALUE"""),"BUIN")</f>
        <v>BUIN</v>
      </c>
    </row>
    <row r="929" spans="1:4">
      <c r="A929" s="7">
        <f ca="1">IFERROR(__xludf.DUMMYFUNCTION("""COMPUTED_VALUE"""),43992)</f>
        <v>43992</v>
      </c>
      <c r="B929" s="8" t="str">
        <f ca="1">IFERROR(__xludf.DUMMYFUNCTION("""COMPUTED_VALUE"""),"-33.771310,-70.736681")</f>
        <v>-33.771310,-70.736681</v>
      </c>
      <c r="C929" s="6" t="str">
        <f ca="1">IFERROR(__xludf.DUMMYFUNCTION("""COMPUTED_VALUE"""),"F.J KRUGGER 4890")</f>
        <v>F.J KRUGGER 4890</v>
      </c>
      <c r="D929" s="6" t="str">
        <f ca="1">IFERROR(__xludf.DUMMYFUNCTION("""COMPUTED_VALUE"""),"BUIN")</f>
        <v>BUIN</v>
      </c>
    </row>
    <row r="930" spans="1:4">
      <c r="A930" s="7">
        <f ca="1">IFERROR(__xludf.DUMMYFUNCTION("""COMPUTED_VALUE"""),43992)</f>
        <v>43992</v>
      </c>
      <c r="B930" s="8" t="str">
        <f ca="1">IFERROR(__xludf.DUMMYFUNCTION("""COMPUTED_VALUE"""),"-33.723918,-70.744049")</f>
        <v>-33.723918,-70.744049</v>
      </c>
      <c r="C930" s="6" t="str">
        <f ca="1">IFERROR(__xludf.DUMMYFUNCTION("""COMPUTED_VALUE"""),"PSJE VEINTIUNO 472")</f>
        <v>PSJE VEINTIUNO 472</v>
      </c>
      <c r="D930" s="6" t="str">
        <f ca="1">IFERROR(__xludf.DUMMYFUNCTION("""COMPUTED_VALUE"""),"BUIN")</f>
        <v>BUIN</v>
      </c>
    </row>
    <row r="931" spans="1:4">
      <c r="A931" s="7">
        <f ca="1">IFERROR(__xludf.DUMMYFUNCTION("""COMPUTED_VALUE"""),43992)</f>
        <v>43992</v>
      </c>
      <c r="B931" s="8" t="str">
        <f ca="1">IFERROR(__xludf.DUMMYFUNCTION("""COMPUTED_VALUE"""),"-33.8021228,-70.8002346")</f>
        <v>-33.8021228,-70.8002346</v>
      </c>
      <c r="C931" s="6" t="str">
        <f ca="1">IFERROR(__xludf.DUMMYFUNCTION("""COMPUTED_VALUE"""),"SANTA FILOMENA 2304")</f>
        <v>SANTA FILOMENA 2304</v>
      </c>
      <c r="D931" s="6" t="str">
        <f ca="1">IFERROR(__xludf.DUMMYFUNCTION("""COMPUTED_VALUE"""),"BUIN")</f>
        <v>BUIN</v>
      </c>
    </row>
    <row r="932" spans="1:4">
      <c r="A932" s="7">
        <f ca="1">IFERROR(__xludf.DUMMYFUNCTION("""COMPUTED_VALUE"""),43992)</f>
        <v>43992</v>
      </c>
      <c r="B932" s="8" t="str">
        <f ca="1">IFERROR(__xludf.DUMMYFUNCTION("""COMPUTED_VALUE"""),"-33.8021228,-70.8002346")</f>
        <v>-33.8021228,-70.8002346</v>
      </c>
      <c r="C932" s="6" t="str">
        <f ca="1">IFERROR(__xludf.DUMMYFUNCTION("""COMPUTED_VALUE"""),"SANTA FILOMENA 2304")</f>
        <v>SANTA FILOMENA 2304</v>
      </c>
      <c r="D932" s="6" t="str">
        <f ca="1">IFERROR(__xludf.DUMMYFUNCTION("""COMPUTED_VALUE"""),"BUIN")</f>
        <v>BUIN</v>
      </c>
    </row>
    <row r="933" spans="1:4">
      <c r="A933" s="7">
        <f ca="1">IFERROR(__xludf.DUMMYFUNCTION("""COMPUTED_VALUE"""),43992)</f>
        <v>43992</v>
      </c>
      <c r="B933" s="8" t="str">
        <f ca="1">IFERROR(__xludf.DUMMYFUNCTION("""COMPUTED_VALUE"""),"-33.728638,-70.733")</f>
        <v>-33.728638,-70.733</v>
      </c>
      <c r="C933" s="6" t="str">
        <f ca="1">IFERROR(__xludf.DUMMYFUNCTION("""COMPUTED_VALUE"""),"AV MANUEL RODRIGUEZ 0299")</f>
        <v>AV MANUEL RODRIGUEZ 0299</v>
      </c>
      <c r="D933" s="6" t="str">
        <f ca="1">IFERROR(__xludf.DUMMYFUNCTION("""COMPUTED_VALUE"""),"BUIN")</f>
        <v>BUIN</v>
      </c>
    </row>
    <row r="934" spans="1:4">
      <c r="A934" s="7">
        <f ca="1">IFERROR(__xludf.DUMMYFUNCTION("""COMPUTED_VALUE"""),43992)</f>
        <v>43992</v>
      </c>
      <c r="B934" s="8" t="str">
        <f ca="1">IFERROR(__xludf.DUMMYFUNCTION("""COMPUTED_VALUE"""),"-33.740965,-70.741388")</f>
        <v>-33.740965,-70.741388</v>
      </c>
      <c r="C934" s="6" t="str">
        <f ca="1">IFERROR(__xludf.DUMMYFUNCTION("""COMPUTED_VALUE"""),"PASAJE MARTA BRUNET 308")</f>
        <v>PASAJE MARTA BRUNET 308</v>
      </c>
      <c r="D934" s="6" t="str">
        <f ca="1">IFERROR(__xludf.DUMMYFUNCTION("""COMPUTED_VALUE"""),"BUIN")</f>
        <v>BUIN</v>
      </c>
    </row>
    <row r="935" spans="1:4">
      <c r="A935" s="7">
        <f ca="1">IFERROR(__xludf.DUMMYFUNCTION("""COMPUTED_VALUE"""),43992)</f>
        <v>43992</v>
      </c>
      <c r="B935" s="8" t="str">
        <f ca="1">IFERROR(__xludf.DUMMYFUNCTION("""COMPUTED_VALUE"""),"-33.712695,-70.741894")</f>
        <v>-33.712695,-70.741894</v>
      </c>
      <c r="C935" s="6" t="str">
        <f ca="1">IFERROR(__xludf.DUMMYFUNCTION("""COMPUTED_VALUE"""),"NUESTRA ILUSION 0171")</f>
        <v>NUESTRA ILUSION 0171</v>
      </c>
      <c r="D935" s="6" t="str">
        <f ca="1">IFERROR(__xludf.DUMMYFUNCTION("""COMPUTED_VALUE"""),"BUIN")</f>
        <v>BUIN</v>
      </c>
    </row>
    <row r="936" spans="1:4">
      <c r="A936" s="7">
        <f ca="1">IFERROR(__xludf.DUMMYFUNCTION("""COMPUTED_VALUE"""),43992)</f>
        <v>43992</v>
      </c>
      <c r="B936" s="8" t="str">
        <f ca="1">IFERROR(__xludf.DUMMYFUNCTION("""COMPUTED_VALUE"""),"-33.761501,-70.737012")</f>
        <v>-33.761501,-70.737012</v>
      </c>
      <c r="C936" s="6" t="str">
        <f ca="1">IFERROR(__xludf.DUMMYFUNCTION("""COMPUTED_VALUE"""),"LAS ORQUIDEAS 301")</f>
        <v>LAS ORQUIDEAS 301</v>
      </c>
      <c r="D936" s="6" t="str">
        <f ca="1">IFERROR(__xludf.DUMMYFUNCTION("""COMPUTED_VALUE"""),"BUIN")</f>
        <v>BUIN</v>
      </c>
    </row>
    <row r="937" spans="1:4">
      <c r="A937" s="7">
        <f ca="1">IFERROR(__xludf.DUMMYFUNCTION("""COMPUTED_VALUE"""),43992)</f>
        <v>43992</v>
      </c>
      <c r="B937" s="8" t="str">
        <f ca="1">IFERROR(__xludf.DUMMYFUNCTION("""COMPUTED_VALUE"""),"-33.654699,-70.925252")</f>
        <v>-33.654699,-70.925252</v>
      </c>
      <c r="C937" s="6" t="str">
        <f ca="1">IFERROR(__xludf.DUMMYFUNCTION("""COMPUTED_VALUE"""),"MANUEL RODRIGUEZ ")</f>
        <v xml:space="preserve">MANUEL RODRIGUEZ </v>
      </c>
      <c r="D937" s="6" t="str">
        <f ca="1">IFERROR(__xludf.DUMMYFUNCTION("""COMPUTED_VALUE"""),"BUIN")</f>
        <v>BUIN</v>
      </c>
    </row>
    <row r="938" spans="1:4">
      <c r="A938" s="7">
        <f ca="1">IFERROR(__xludf.DUMMYFUNCTION("""COMPUTED_VALUE"""),43992)</f>
        <v>43992</v>
      </c>
      <c r="B938" s="6" t="str">
        <f ca="1">IFERROR(__xludf.DUMMYFUNCTION("""COMPUTED_VALUE"""),"-33.613524-70.892013")</f>
        <v>-33.613524-70.892013</v>
      </c>
      <c r="C938" s="6" t="str">
        <f ca="1">IFERROR(__xludf.DUMMYFUNCTION("""COMPUTED_VALUE"""),"AV. CENTRAL 256")</f>
        <v>AV. CENTRAL 256</v>
      </c>
      <c r="D938" s="6" t="str">
        <f ca="1">IFERROR(__xludf.DUMMYFUNCTION("""COMPUTED_VALUE"""),"PEÑAFLOR")</f>
        <v>PEÑAFLOR</v>
      </c>
    </row>
    <row r="939" spans="1:4">
      <c r="A939" s="7">
        <f ca="1">IFERROR(__xludf.DUMMYFUNCTION("""COMPUTED_VALUE"""),43992)</f>
        <v>43992</v>
      </c>
      <c r="B939" s="6" t="str">
        <f ca="1">IFERROR(__xludf.DUMMYFUNCTION("""COMPUTED_VALUE"""),"-33.6070382-70.9053237")</f>
        <v>-33.6070382-70.9053237</v>
      </c>
      <c r="C939" s="6" t="str">
        <f ca="1">IFERROR(__xludf.DUMMYFUNCTION("""COMPUTED_VALUE"""),"EL CREPUSCULO 221")</f>
        <v>EL CREPUSCULO 221</v>
      </c>
      <c r="D939" s="6" t="str">
        <f ca="1">IFERROR(__xludf.DUMMYFUNCTION("""COMPUTED_VALUE"""),"PEÑAFLOR")</f>
        <v>PEÑAFLOR</v>
      </c>
    </row>
    <row r="940" spans="1:4">
      <c r="A940" s="7">
        <f ca="1">IFERROR(__xludf.DUMMYFUNCTION("""COMPUTED_VALUE"""),43992)</f>
        <v>43992</v>
      </c>
      <c r="B940" s="6" t="str">
        <f ca="1">IFERROR(__xludf.DUMMYFUNCTION("""COMPUTED_VALUE"""),"-33.6072-70.8913")</f>
        <v>-33.6072-70.8913</v>
      </c>
      <c r="C940" s="6" t="str">
        <f ca="1">IFERROR(__xludf.DUMMYFUNCTION("""COMPUTED_VALUE"""),"EL ARPA 802")</f>
        <v>EL ARPA 802</v>
      </c>
      <c r="D940" s="6" t="str">
        <f ca="1">IFERROR(__xludf.DUMMYFUNCTION("""COMPUTED_VALUE"""),"PEÑAFLOR")</f>
        <v>PEÑAFLOR</v>
      </c>
    </row>
    <row r="941" spans="1:4">
      <c r="A941" s="7">
        <f ca="1">IFERROR(__xludf.DUMMYFUNCTION("""COMPUTED_VALUE"""),43992)</f>
        <v>43992</v>
      </c>
      <c r="B941" s="6" t="str">
        <f ca="1">IFERROR(__xludf.DUMMYFUNCTION("""COMPUTED_VALUE"""),"-33.6060402-70.8874053")</f>
        <v>-33.6060402-70.8874053</v>
      </c>
      <c r="C941" s="6" t="str">
        <f ca="1">IFERROR(__xludf.DUMMYFUNCTION("""COMPUTED_VALUE"""),"AV. EL CANELO 1041")</f>
        <v>AV. EL CANELO 1041</v>
      </c>
      <c r="D941" s="6" t="str">
        <f ca="1">IFERROR(__xludf.DUMMYFUNCTION("""COMPUTED_VALUE"""),"PEÑAFLOR")</f>
        <v>PEÑAFLOR</v>
      </c>
    </row>
    <row r="942" spans="1:4">
      <c r="A942" s="7">
        <f ca="1">IFERROR(__xludf.DUMMYFUNCTION("""COMPUTED_VALUE"""),43992)</f>
        <v>43992</v>
      </c>
      <c r="B942" s="6" t="str">
        <f ca="1">IFERROR(__xludf.DUMMYFUNCTION("""COMPUTED_VALUE"""),"-33.6091869-70.8975126")</f>
        <v>-33.6091869-70.8975126</v>
      </c>
      <c r="C942" s="6" t="str">
        <f ca="1">IFERROR(__xludf.DUMMYFUNCTION("""COMPUTED_VALUE"""),"PJE.DOS 198")</f>
        <v>PJE.DOS 198</v>
      </c>
      <c r="D942" s="6" t="str">
        <f ca="1">IFERROR(__xludf.DUMMYFUNCTION("""COMPUTED_VALUE"""),"PEÑAFLOR")</f>
        <v>PEÑAFLOR</v>
      </c>
    </row>
    <row r="943" spans="1:4">
      <c r="A943" s="7">
        <f ca="1">IFERROR(__xludf.DUMMYFUNCTION("""COMPUTED_VALUE"""),43992)</f>
        <v>43992</v>
      </c>
      <c r="B943" s="6" t="str">
        <f ca="1">IFERROR(__xludf.DUMMYFUNCTION("""COMPUTED_VALUE"""),"-33.6082737-70.9053933")</f>
        <v>-33.6082737-70.9053933</v>
      </c>
      <c r="C943" s="6" t="str">
        <f ca="1">IFERROR(__xludf.DUMMYFUNCTION("""COMPUTED_VALUE"""),"ALBORADA 32")</f>
        <v>ALBORADA 32</v>
      </c>
      <c r="D943" s="6" t="str">
        <f ca="1">IFERROR(__xludf.DUMMYFUNCTION("""COMPUTED_VALUE"""),"PEÑAFLOR")</f>
        <v>PEÑAFLOR</v>
      </c>
    </row>
    <row r="944" spans="1:4">
      <c r="A944" s="7">
        <f ca="1">IFERROR(__xludf.DUMMYFUNCTION("""COMPUTED_VALUE"""),43992)</f>
        <v>43992</v>
      </c>
      <c r="B944" s="6" t="str">
        <f ca="1">IFERROR(__xludf.DUMMYFUNCTION("""COMPUTED_VALUE"""),"-33.228478-70.796377")</f>
        <v>-33.228478-70.796377</v>
      </c>
      <c r="C944" s="6" t="str">
        <f ca="1">IFERROR(__xludf.DUMMYFUNCTION("""COMPUTED_VALUE"""),"LOS AROMOS S/27")</f>
        <v>LOS AROMOS S/27</v>
      </c>
      <c r="D944" s="6" t="str">
        <f ca="1">IFERROR(__xludf.DUMMYFUNCTION("""COMPUTED_VALUE"""),"LAMPA")</f>
        <v>LAMPA</v>
      </c>
    </row>
    <row r="945" spans="1:4">
      <c r="A945" s="7">
        <f ca="1">IFERROR(__xludf.DUMMYFUNCTION("""COMPUTED_VALUE"""),43992)</f>
        <v>43992</v>
      </c>
      <c r="B945" s="6" t="str">
        <f ca="1">IFERROR(__xludf.DUMMYFUNCTION("""COMPUTED_VALUE"""),"-33.228478-70.796377")</f>
        <v>-33.228478-70.796377</v>
      </c>
      <c r="C945" s="6" t="str">
        <f ca="1">IFERROR(__xludf.DUMMYFUNCTION("""COMPUTED_VALUE"""),"LOS AROMOS S/27")</f>
        <v>LOS AROMOS S/27</v>
      </c>
      <c r="D945" s="6" t="str">
        <f ca="1">IFERROR(__xludf.DUMMYFUNCTION("""COMPUTED_VALUE"""),"LAMPA")</f>
        <v>LAMPA</v>
      </c>
    </row>
    <row r="946" spans="1:4">
      <c r="A946" s="7">
        <f ca="1">IFERROR(__xludf.DUMMYFUNCTION("""COMPUTED_VALUE"""),43992)</f>
        <v>43992</v>
      </c>
      <c r="B946" s="6" t="str">
        <f ca="1">IFERROR(__xludf.DUMMYFUNCTION("""COMPUTED_VALUE"""),"-33.676564,-70.987265")</f>
        <v>-33.676564,-70.987265</v>
      </c>
      <c r="C946" s="6" t="str">
        <f ca="1">IFERROR(__xludf.DUMMYFUNCTION("""COMPUTED_VALUE"""),"LOS NOGALES 36")</f>
        <v>LOS NOGALES 36</v>
      </c>
      <c r="D946" s="6" t="str">
        <f ca="1">IFERROR(__xludf.DUMMYFUNCTION("""COMPUTED_VALUE"""),"EL MONTE")</f>
        <v>EL MONTE</v>
      </c>
    </row>
    <row r="947" spans="1:4">
      <c r="A947" s="7">
        <f ca="1">IFERROR(__xludf.DUMMYFUNCTION("""COMPUTED_VALUE"""),43992)</f>
        <v>43992</v>
      </c>
      <c r="B947" s="6" t="str">
        <f ca="1">IFERROR(__xludf.DUMMYFUNCTION("""COMPUTED_VALUE"""),"-33.658471,-70.998213")</f>
        <v>-33.658471,-70.998213</v>
      </c>
      <c r="C947" s="6" t="str">
        <f ca="1">IFERROR(__xludf.DUMMYFUNCTION("""COMPUTED_VALUE"""),"LOS OLMOS 2")</f>
        <v>LOS OLMOS 2</v>
      </c>
      <c r="D947" s="6" t="str">
        <f ca="1">IFERROR(__xludf.DUMMYFUNCTION("""COMPUTED_VALUE"""),"EL MONTE")</f>
        <v>EL MONTE</v>
      </c>
    </row>
    <row r="948" spans="1:4">
      <c r="A948" s="7">
        <f ca="1">IFERROR(__xludf.DUMMYFUNCTION("""COMPUTED_VALUE"""),43992)</f>
        <v>43992</v>
      </c>
      <c r="B948" s="6" t="str">
        <f ca="1">IFERROR(__xludf.DUMMYFUNCTION("""COMPUTED_VALUE"""),"-33.682170,-71.000478")</f>
        <v>-33.682170,-71.000478</v>
      </c>
      <c r="C948" s="6" t="str">
        <f ca="1">IFERROR(__xludf.DUMMYFUNCTION("""COMPUTED_VALUE"""),"PJE 8 PNTE 213")</f>
        <v>PJE 8 PNTE 213</v>
      </c>
      <c r="D948" s="6" t="str">
        <f ca="1">IFERROR(__xludf.DUMMYFUNCTION("""COMPUTED_VALUE"""),"EL MONTE")</f>
        <v>EL MONTE</v>
      </c>
    </row>
    <row r="949" spans="1:4">
      <c r="A949" s="7">
        <f ca="1">IFERROR(__xludf.DUMMYFUNCTION("""COMPUTED_VALUE"""),43992)</f>
        <v>43992</v>
      </c>
      <c r="B949" s="6" t="str">
        <f ca="1">IFERROR(__xludf.DUMMYFUNCTION("""COMPUTED_VALUE"""),"-33.685166,-71.022889")</f>
        <v>-33.685166,-71.022889</v>
      </c>
      <c r="C949" s="6" t="str">
        <f ca="1">IFERROR(__xludf.DUMMYFUNCTION("""COMPUTED_VALUE"""),"LOS MANZANOS 1232")</f>
        <v>LOS MANZANOS 1232</v>
      </c>
      <c r="D949" s="6" t="str">
        <f ca="1">IFERROR(__xludf.DUMMYFUNCTION("""COMPUTED_VALUE"""),"EL MONTE")</f>
        <v>EL MONTE</v>
      </c>
    </row>
    <row r="950" spans="1:4">
      <c r="A950" s="7">
        <f ca="1">IFERROR(__xludf.DUMMYFUNCTION("""COMPUTED_VALUE"""),43992)</f>
        <v>43992</v>
      </c>
      <c r="B950" s="6" t="str">
        <f ca="1">IFERROR(__xludf.DUMMYFUNCTION("""COMPUTED_VALUE"""),"-33.676244,-70.992053")</f>
        <v>-33.676244,-70.992053</v>
      </c>
      <c r="C950" s="6" t="str">
        <f ca="1">IFERROR(__xludf.DUMMYFUNCTION("""COMPUTED_VALUE"""),"STA MARIA 348")</f>
        <v>STA MARIA 348</v>
      </c>
      <c r="D950" s="6" t="str">
        <f ca="1">IFERROR(__xludf.DUMMYFUNCTION("""COMPUTED_VALUE"""),"EL MONTE")</f>
        <v>EL MONTE</v>
      </c>
    </row>
    <row r="951" spans="1:4">
      <c r="A951" s="7">
        <f ca="1">IFERROR(__xludf.DUMMYFUNCTION("""COMPUTED_VALUE"""),43992)</f>
        <v>43992</v>
      </c>
      <c r="B951" s="6" t="str">
        <f ca="1">IFERROR(__xludf.DUMMYFUNCTION("""COMPUTED_VALUE"""),"-33.674329,-70.989174")</f>
        <v>-33.674329,-70.989174</v>
      </c>
      <c r="C951" s="6" t="str">
        <f ca="1">IFERROR(__xludf.DUMMYFUNCTION("""COMPUTED_VALUE"""),"LAS ARAUCARIAS 348")</f>
        <v>LAS ARAUCARIAS 348</v>
      </c>
      <c r="D951" s="6" t="str">
        <f ca="1">IFERROR(__xludf.DUMMYFUNCTION("""COMPUTED_VALUE"""),"EL MONTE")</f>
        <v>EL MONTE</v>
      </c>
    </row>
    <row r="952" spans="1:4">
      <c r="A952" s="7">
        <f ca="1">IFERROR(__xludf.DUMMYFUNCTION("""COMPUTED_VALUE"""),43992)</f>
        <v>43992</v>
      </c>
      <c r="B952" s="6" t="str">
        <f ca="1">IFERROR(__xludf.DUMMYFUNCTION("""COMPUTED_VALUE"""),"-33.2997779-70.8808722")</f>
        <v>-33.2997779-70.8808722</v>
      </c>
      <c r="C952" s="6" t="str">
        <f ca="1">IFERROR(__xludf.DUMMYFUNCTION("""COMPUTED_VALUE"""),"CAMINO LAS FLORES 1008 C/101")</f>
        <v>CAMINO LAS FLORES 1008 C/101</v>
      </c>
      <c r="D952" s="6" t="str">
        <f ca="1">IFERROR(__xludf.DUMMYFUNCTION("""COMPUTED_VALUE"""),"LAMPA")</f>
        <v>LAMPA</v>
      </c>
    </row>
    <row r="953" spans="1:4">
      <c r="A953" s="7">
        <f ca="1">IFERROR(__xludf.DUMMYFUNCTION("""COMPUTED_VALUE"""),43993)</f>
        <v>43993</v>
      </c>
      <c r="B953" s="8" t="str">
        <f ca="1">IFERROR(__xludf.DUMMYFUNCTION("""COMPUTED_VALUE"""),"-33.711388,-70.738536")</f>
        <v>-33.711388,-70.738536</v>
      </c>
      <c r="C953" s="6" t="str">
        <f ca="1">IFERROR(__xludf.DUMMYFUNCTION("""COMPUTED_VALUE"""),"LA TIERRA 1615")</f>
        <v>LA TIERRA 1615</v>
      </c>
      <c r="D953" s="6" t="str">
        <f ca="1">IFERROR(__xludf.DUMMYFUNCTION("""COMPUTED_VALUE"""),"BUIN")</f>
        <v>BUIN</v>
      </c>
    </row>
    <row r="954" spans="1:4">
      <c r="A954" s="7">
        <f ca="1">IFERROR(__xludf.DUMMYFUNCTION("""COMPUTED_VALUE"""),43993)</f>
        <v>43993</v>
      </c>
      <c r="B954" s="8" t="str">
        <f ca="1">IFERROR(__xludf.DUMMYFUNCTION("""COMPUTED_VALUE"""),"-33.7316880,-70.7682408")</f>
        <v>-33.7316880,-70.7682408</v>
      </c>
      <c r="C954" s="6" t="str">
        <f ca="1">IFERROR(__xludf.DUMMYFUNCTION("""COMPUTED_VALUE"""),"CAMINO BIN MAIPO 2645")</f>
        <v>CAMINO BIN MAIPO 2645</v>
      </c>
      <c r="D954" s="6" t="str">
        <f ca="1">IFERROR(__xludf.DUMMYFUNCTION("""COMPUTED_VALUE"""),"BUIN")</f>
        <v>BUIN</v>
      </c>
    </row>
    <row r="955" spans="1:4">
      <c r="A955" s="7">
        <f ca="1">IFERROR(__xludf.DUMMYFUNCTION("""COMPUTED_VALUE"""),43993)</f>
        <v>43993</v>
      </c>
      <c r="B955" s="8" t="str">
        <f ca="1">IFERROR(__xludf.DUMMYFUNCTION("""COMPUTED_VALUE"""),"-33.785450,-70.789612")</f>
        <v>-33.785450,-70.789612</v>
      </c>
      <c r="C955" s="6" t="str">
        <f ca="1">IFERROR(__xludf.DUMMYFUNCTION("""COMPUTED_VALUE"""),"CAMINO MAIPU VILUCO 21")</f>
        <v>CAMINO MAIPU VILUCO 21</v>
      </c>
      <c r="D955" s="6" t="str">
        <f ca="1">IFERROR(__xludf.DUMMYFUNCTION("""COMPUTED_VALUE"""),"BUIN")</f>
        <v>BUIN</v>
      </c>
    </row>
    <row r="956" spans="1:4">
      <c r="A956" s="7">
        <f ca="1">IFERROR(__xludf.DUMMYFUNCTION("""COMPUTED_VALUE"""),43993)</f>
        <v>43993</v>
      </c>
      <c r="B956" s="8" t="str">
        <f ca="1">IFERROR(__xludf.DUMMYFUNCTION("""COMPUTED_VALUE"""),"-33.713987,-70.737948")</f>
        <v>-33.713987,-70.737948</v>
      </c>
      <c r="C956" s="6" t="str">
        <f ca="1">IFERROR(__xludf.DUMMYFUNCTION("""COMPUTED_VALUE"""),"EL RODEO 1456")</f>
        <v>EL RODEO 1456</v>
      </c>
      <c r="D956" s="6" t="str">
        <f ca="1">IFERROR(__xludf.DUMMYFUNCTION("""COMPUTED_VALUE"""),"BUIN")</f>
        <v>BUIN</v>
      </c>
    </row>
    <row r="957" spans="1:4">
      <c r="A957" s="7">
        <f ca="1">IFERROR(__xludf.DUMMYFUNCTION("""COMPUTED_VALUE"""),43993)</f>
        <v>43993</v>
      </c>
      <c r="B957" s="8" t="str">
        <f ca="1">IFERROR(__xludf.DUMMYFUNCTION("""COMPUTED_VALUE"""),"-33.728876,-70.687199")</f>
        <v>-33.728876,-70.687199</v>
      </c>
      <c r="C957" s="6" t="str">
        <f ca="1">IFERROR(__xludf.DUMMYFUNCTION("""COMPUTED_VALUE"""),"EL ARPA 251")</f>
        <v>EL ARPA 251</v>
      </c>
      <c r="D957" s="6" t="str">
        <f ca="1">IFERROR(__xludf.DUMMYFUNCTION("""COMPUTED_VALUE"""),"BUIN")</f>
        <v>BUIN</v>
      </c>
    </row>
    <row r="958" spans="1:4">
      <c r="A958" s="7">
        <f ca="1">IFERROR(__xludf.DUMMYFUNCTION("""COMPUTED_VALUE"""),43993)</f>
        <v>43993</v>
      </c>
      <c r="B958" s="8" t="str">
        <f ca="1">IFERROR(__xludf.DUMMYFUNCTION("""COMPUTED_VALUE"""),"-33.725661,-70.732952")</f>
        <v>-33.725661,-70.732952</v>
      </c>
      <c r="C958" s="6" t="str">
        <f ca="1">IFERROR(__xludf.DUMMYFUNCTION("""COMPUTED_VALUE"""),"AV EL RODEO LOS JARDINES II")</f>
        <v>AV EL RODEO LOS JARDINES II</v>
      </c>
      <c r="D958" s="6" t="str">
        <f ca="1">IFERROR(__xludf.DUMMYFUNCTION("""COMPUTED_VALUE"""),"BUIN")</f>
        <v>BUIN</v>
      </c>
    </row>
    <row r="959" spans="1:4">
      <c r="A959" s="7">
        <f ca="1">IFERROR(__xludf.DUMMYFUNCTION("""COMPUTED_VALUE"""),43993)</f>
        <v>43993</v>
      </c>
      <c r="B959" s="8" t="str">
        <f ca="1">IFERROR(__xludf.DUMMYFUNCTION("""COMPUTED_VALUE"""),"-33.669185,-70.933409")</f>
        <v>-33.669185,-70.933409</v>
      </c>
      <c r="C959" s="6" t="str">
        <f ca="1">IFERROR(__xludf.DUMMYFUNCTION("""COMPUTED_VALUE"""),"JULIO VEWKEN 1768")</f>
        <v>JULIO VEWKEN 1768</v>
      </c>
      <c r="D959" s="6" t="str">
        <f ca="1">IFERROR(__xludf.DUMMYFUNCTION("""COMPUTED_VALUE"""),"TALAGANTE")</f>
        <v>TALAGANTE</v>
      </c>
    </row>
    <row r="960" spans="1:4">
      <c r="A960" s="7">
        <f ca="1">IFERROR(__xludf.DUMMYFUNCTION("""COMPUTED_VALUE"""),43993)</f>
        <v>43993</v>
      </c>
      <c r="B960" s="8" t="str">
        <f ca="1">IFERROR(__xludf.DUMMYFUNCTION("""COMPUTED_VALUE"""),"-33.667637,-70.934027")</f>
        <v>-33.667637,-70.934027</v>
      </c>
      <c r="C960" s="6" t="str">
        <f ca="1">IFERROR(__xludf.DUMMYFUNCTION("""COMPUTED_VALUE"""),"ESMERALDA 1630")</f>
        <v>ESMERALDA 1630</v>
      </c>
      <c r="D960" s="6" t="str">
        <f ca="1">IFERROR(__xludf.DUMMYFUNCTION("""COMPUTED_VALUE"""),"TALAGANTE")</f>
        <v>TALAGANTE</v>
      </c>
    </row>
    <row r="961" spans="1:4">
      <c r="A961" s="7">
        <f ca="1">IFERROR(__xludf.DUMMYFUNCTION("""COMPUTED_VALUE"""),43993)</f>
        <v>43993</v>
      </c>
      <c r="B961" s="8" t="str">
        <f ca="1">IFERROR(__xludf.DUMMYFUNCTION("""COMPUTED_VALUE"""),"-33.218353,-70.794448")</f>
        <v>-33.218353,-70.794448</v>
      </c>
      <c r="C961" s="6" t="str">
        <f ca="1">IFERROR(__xludf.DUMMYFUNCTION("""COMPUTED_VALUE"""),"SANTA CAROLINA PARCELA 17")</f>
        <v>SANTA CAROLINA PARCELA 17</v>
      </c>
      <c r="D961" s="6" t="str">
        <f ca="1">IFERROR(__xludf.DUMMYFUNCTION("""COMPUTED_VALUE"""),"LAMPA")</f>
        <v>LAMPA</v>
      </c>
    </row>
    <row r="962" spans="1:4">
      <c r="A962" s="7">
        <f ca="1">IFERROR(__xludf.DUMMYFUNCTION("""COMPUTED_VALUE"""),43993)</f>
        <v>43993</v>
      </c>
      <c r="B962" s="6" t="str">
        <f ca="1">IFERROR(__xludf.DUMMYFUNCTION("""COMPUTED_VALUE"""),"-33.600906-70.886276")</f>
        <v>-33.600906-70.886276</v>
      </c>
      <c r="C962" s="6" t="str">
        <f ca="1">IFERROR(__xludf.DUMMYFUNCTION("""COMPUTED_VALUE"""),"BLANCO ENCALADA 619")</f>
        <v>BLANCO ENCALADA 619</v>
      </c>
      <c r="D962" s="6" t="str">
        <f ca="1">IFERROR(__xludf.DUMMYFUNCTION("""COMPUTED_VALUE"""),"PEÑAFLOR")</f>
        <v>PEÑAFLOR</v>
      </c>
    </row>
    <row r="963" spans="1:4">
      <c r="A963" s="7">
        <f ca="1">IFERROR(__xludf.DUMMYFUNCTION("""COMPUTED_VALUE"""),43993)</f>
        <v>43993</v>
      </c>
      <c r="B963" s="6" t="str">
        <f ca="1">IFERROR(__xludf.DUMMYFUNCTION("""COMPUTED_VALUE"""),"-33.602183-70.888216")</f>
        <v>-33.602183-70.888216</v>
      </c>
      <c r="C963" s="6" t="str">
        <f ca="1">IFERROR(__xludf.DUMMYFUNCTION("""COMPUTED_VALUE"""),"DIECIOCHO SUR 3139")</f>
        <v>DIECIOCHO SUR 3139</v>
      </c>
      <c r="D963" s="6" t="str">
        <f ca="1">IFERROR(__xludf.DUMMYFUNCTION("""COMPUTED_VALUE"""),"PEÑAFLOR")</f>
        <v>PEÑAFLOR</v>
      </c>
    </row>
    <row r="964" spans="1:4">
      <c r="A964" s="7">
        <f ca="1">IFERROR(__xludf.DUMMYFUNCTION("""COMPUTED_VALUE"""),43993)</f>
        <v>43993</v>
      </c>
      <c r="B964" s="6" t="str">
        <f ca="1">IFERROR(__xludf.DUMMYFUNCTION("""COMPUTED_VALUE"""),"-33.6334081-70.9177234")</f>
        <v>-33.6334081-70.9177234</v>
      </c>
      <c r="C964" s="6" t="str">
        <f ca="1">IFERROR(__xludf.DUMMYFUNCTION("""COMPUTED_VALUE"""),"EL ROSARIO LOTE 10")</f>
        <v>EL ROSARIO LOTE 10</v>
      </c>
      <c r="D964" s="6" t="str">
        <f ca="1">IFERROR(__xludf.DUMMYFUNCTION("""COMPUTED_VALUE"""),"PEÑAFLOR")</f>
        <v>PEÑAFLOR</v>
      </c>
    </row>
    <row r="965" spans="1:4">
      <c r="A965" s="7">
        <f ca="1">IFERROR(__xludf.DUMMYFUNCTION("""COMPUTED_VALUE"""),43993)</f>
        <v>43993</v>
      </c>
      <c r="B965" s="6" t="str">
        <f ca="1">IFERROR(__xludf.DUMMYFUNCTION("""COMPUTED_VALUE"""),"-33.608741-70.867458")</f>
        <v>-33.608741-70.867458</v>
      </c>
      <c r="C965" s="6" t="str">
        <f ca="1">IFERROR(__xludf.DUMMYFUNCTION("""COMPUTED_VALUE"""),"VEINTIUNO DE MAYO 1009")</f>
        <v>VEINTIUNO DE MAYO 1009</v>
      </c>
      <c r="D965" s="6" t="str">
        <f ca="1">IFERROR(__xludf.DUMMYFUNCTION("""COMPUTED_VALUE"""),"PEÑAFLOR")</f>
        <v>PEÑAFLOR</v>
      </c>
    </row>
    <row r="966" spans="1:4">
      <c r="A966" s="7">
        <f ca="1">IFERROR(__xludf.DUMMYFUNCTION("""COMPUTED_VALUE"""),43993)</f>
        <v>43993</v>
      </c>
      <c r="B966" s="6" t="str">
        <f ca="1">IFERROR(__xludf.DUMMYFUNCTION("""COMPUTED_VALUE"""),"-33.6052-70.8992")</f>
        <v>-33.6052-70.8992</v>
      </c>
      <c r="C966" s="6" t="str">
        <f ca="1">IFERROR(__xludf.DUMMYFUNCTION("""COMPUTED_VALUE"""),"EMILIA LASCAR 214")</f>
        <v>EMILIA LASCAR 214</v>
      </c>
      <c r="D966" s="6" t="str">
        <f ca="1">IFERROR(__xludf.DUMMYFUNCTION("""COMPUTED_VALUE"""),"PEÑAFLOR")</f>
        <v>PEÑAFLOR</v>
      </c>
    </row>
    <row r="967" spans="1:4">
      <c r="A967" s="7">
        <f ca="1">IFERROR(__xludf.DUMMYFUNCTION("""COMPUTED_VALUE"""),43993)</f>
        <v>43993</v>
      </c>
      <c r="B967" s="6" t="str">
        <f ca="1">IFERROR(__xludf.DUMMYFUNCTION("""COMPUTED_VALUE"""),"-33.593906-70.850274")</f>
        <v>-33.593906-70.850274</v>
      </c>
      <c r="C967" s="6" t="str">
        <f ca="1">IFERROR(__xludf.DUMMYFUNCTION("""COMPUTED_VALUE"""),"PAJARITOS 10 B")</f>
        <v>PAJARITOS 10 B</v>
      </c>
      <c r="D967" s="6" t="str">
        <f ca="1">IFERROR(__xludf.DUMMYFUNCTION("""COMPUTED_VALUE"""),"PEÑAFLOR")</f>
        <v>PEÑAFLOR</v>
      </c>
    </row>
    <row r="968" spans="1:4">
      <c r="A968" s="7">
        <f ca="1">IFERROR(__xludf.DUMMYFUNCTION("""COMPUTED_VALUE"""),43993)</f>
        <v>43993</v>
      </c>
      <c r="B968" s="6" t="str">
        <f ca="1">IFERROR(__xludf.DUMMYFUNCTION("""COMPUTED_VALUE"""),"-33.6049234-70.8798733")</f>
        <v>-33.6049234-70.8798733</v>
      </c>
      <c r="C968" s="6" t="str">
        <f ca="1">IFERROR(__xludf.DUMMYFUNCTION("""COMPUTED_VALUE"""),"TRES ORIENTE 708")</f>
        <v>TRES ORIENTE 708</v>
      </c>
      <c r="D968" s="6" t="str">
        <f ca="1">IFERROR(__xludf.DUMMYFUNCTION("""COMPUTED_VALUE"""),"PEÑAFLOR")</f>
        <v>PEÑAFLOR</v>
      </c>
    </row>
    <row r="969" spans="1:4">
      <c r="A969" s="7">
        <f ca="1">IFERROR(__xludf.DUMMYFUNCTION("""COMPUTED_VALUE"""),43993)</f>
        <v>43993</v>
      </c>
      <c r="B969" s="6" t="str">
        <f ca="1">IFERROR(__xludf.DUMMYFUNCTION("""COMPUTED_VALUE"""),"-33.6112709-70.8759948")</f>
        <v>-33.6112709-70.8759948</v>
      </c>
      <c r="C969" s="6" t="str">
        <f ca="1">IFERROR(__xludf.DUMMYFUNCTION("""COMPUTED_VALUE"""),"MANUEL ROJAS 80")</f>
        <v>MANUEL ROJAS 80</v>
      </c>
      <c r="D969" s="6" t="str">
        <f ca="1">IFERROR(__xludf.DUMMYFUNCTION("""COMPUTED_VALUE"""),"PEÑAFLOR")</f>
        <v>PEÑAFLOR</v>
      </c>
    </row>
    <row r="970" spans="1:4">
      <c r="A970" s="7">
        <f ca="1">IFERROR(__xludf.DUMMYFUNCTION("""COMPUTED_VALUE"""),43993)</f>
        <v>43993</v>
      </c>
      <c r="B970" s="6" t="str">
        <f ca="1">IFERROR(__xludf.DUMMYFUNCTION("""COMPUTED_VALUE"""),"-33.593860-70.850245")</f>
        <v>-33.593860-70.850245</v>
      </c>
      <c r="C970" s="6" t="str">
        <f ca="1">IFERROR(__xludf.DUMMYFUNCTION("""COMPUTED_VALUE"""),"PAJARITOS 10 B")</f>
        <v>PAJARITOS 10 B</v>
      </c>
      <c r="D970" s="6" t="str">
        <f ca="1">IFERROR(__xludf.DUMMYFUNCTION("""COMPUTED_VALUE"""),"PEÑAFLOR")</f>
        <v>PEÑAFLOR</v>
      </c>
    </row>
    <row r="971" spans="1:4">
      <c r="A971" s="7">
        <f ca="1">IFERROR(__xludf.DUMMYFUNCTION("""COMPUTED_VALUE"""),43993)</f>
        <v>43993</v>
      </c>
      <c r="B971" s="6" t="str">
        <f ca="1">IFERROR(__xludf.DUMMYFUNCTION("""COMPUTED_VALUE"""),"-33.6067-70.9063")</f>
        <v>-33.6067-70.9063</v>
      </c>
      <c r="C971" s="6" t="str">
        <f ca="1">IFERROR(__xludf.DUMMYFUNCTION("""COMPUTED_VALUE"""),"OTOÑAL 611")</f>
        <v>OTOÑAL 611</v>
      </c>
      <c r="D971" s="6" t="str">
        <f ca="1">IFERROR(__xludf.DUMMYFUNCTION("""COMPUTED_VALUE"""),"PEÑAFLOR")</f>
        <v>PEÑAFLOR</v>
      </c>
    </row>
    <row r="972" spans="1:4">
      <c r="A972" s="7">
        <f ca="1">IFERROR(__xludf.DUMMYFUNCTION("""COMPUTED_VALUE"""),43993)</f>
        <v>43993</v>
      </c>
      <c r="B972" s="6" t="str">
        <f ca="1">IFERROR(__xludf.DUMMYFUNCTION("""COMPUTED_VALUE"""),"-33.652233,-70.900329")</f>
        <v>-33.652233,-70.900329</v>
      </c>
      <c r="C972" s="6" t="str">
        <f ca="1">IFERROR(__xludf.DUMMYFUNCTION("""COMPUTED_VALUE"""),"SAN LUIS 715 CASA 87")</f>
        <v>SAN LUIS 715 CASA 87</v>
      </c>
      <c r="D972" s="6" t="str">
        <f ca="1">IFERROR(__xludf.DUMMYFUNCTION("""COMPUTED_VALUE"""),"TALAGANTE")</f>
        <v>TALAGANTE</v>
      </c>
    </row>
    <row r="973" spans="1:4">
      <c r="A973" s="7">
        <f ca="1">IFERROR(__xludf.DUMMYFUNCTION("""COMPUTED_VALUE"""),43993)</f>
        <v>43993</v>
      </c>
      <c r="B973" s="6" t="str">
        <f ca="1">IFERROR(__xludf.DUMMYFUNCTION("""COMPUTED_VALUE"""),"-33.684750,-70.952997")</f>
        <v>-33.684750,-70.952997</v>
      </c>
      <c r="C973" s="6" t="str">
        <f ca="1">IFERROR(__xludf.DUMMYFUNCTION("""COMPUTED_VALUE"""),"PJ FEDERICO ERRAZURIZ ZAÑARTO 208-P")</f>
        <v>PJ FEDERICO ERRAZURIZ ZAÑARTO 208-P</v>
      </c>
      <c r="D973" s="6" t="str">
        <f ca="1">IFERROR(__xludf.DUMMYFUNCTION("""COMPUTED_VALUE"""),"TALAGANTE")</f>
        <v>TALAGANTE</v>
      </c>
    </row>
    <row r="974" spans="1:4">
      <c r="A974" s="7">
        <f ca="1">IFERROR(__xludf.DUMMYFUNCTION("""COMPUTED_VALUE"""),43993)</f>
        <v>43993</v>
      </c>
      <c r="B974" s="6" t="str">
        <f ca="1">IFERROR(__xludf.DUMMYFUNCTION("""COMPUTED_VALUE"""),"-33.667084,-70.925187")</f>
        <v>-33.667084,-70.925187</v>
      </c>
      <c r="C974" s="6" t="str">
        <f ca="1">IFERROR(__xludf.DUMMYFUNCTION("""COMPUTED_VALUE"""),"JOSE LEYAN Z 1220")</f>
        <v>JOSE LEYAN Z 1220</v>
      </c>
      <c r="D974" s="6" t="str">
        <f ca="1">IFERROR(__xludf.DUMMYFUNCTION("""COMPUTED_VALUE"""),"TALAGANTE")</f>
        <v>TALAGANTE</v>
      </c>
    </row>
    <row r="975" spans="1:4">
      <c r="A975" s="7">
        <f ca="1">IFERROR(__xludf.DUMMYFUNCTION("""COMPUTED_VALUE"""),43993)</f>
        <v>43993</v>
      </c>
      <c r="B975" s="6" t="str">
        <f ca="1">IFERROR(__xludf.DUMMYFUNCTION("""COMPUTED_VALUE"""),"-33.664397,-70.918448")</f>
        <v>-33.664397,-70.918448</v>
      </c>
      <c r="C975" s="6" t="str">
        <f ca="1">IFERROR(__xludf.DUMMYFUNCTION("""COMPUTED_VALUE"""),"JUANA CANALES 421")</f>
        <v>JUANA CANALES 421</v>
      </c>
      <c r="D975" s="6" t="str">
        <f ca="1">IFERROR(__xludf.DUMMYFUNCTION("""COMPUTED_VALUE"""),"TALAGANTE")</f>
        <v>TALAGANTE</v>
      </c>
    </row>
    <row r="976" spans="1:4">
      <c r="A976" s="7">
        <f ca="1">IFERROR(__xludf.DUMMYFUNCTION("""COMPUTED_VALUE"""),43993)</f>
        <v>43993</v>
      </c>
      <c r="B976" s="6" t="str">
        <f ca="1">IFERROR(__xludf.DUMMYFUNCTION("""COMPUTED_VALUE"""),"-33.653655,-70.922896")</f>
        <v>-33.653655,-70.922896</v>
      </c>
      <c r="C976" s="6" t="str">
        <f ca="1">IFERROR(__xludf.DUMMYFUNCTION("""COMPUTED_VALUE"""),"SAMUEL SANTANA 284")</f>
        <v>SAMUEL SANTANA 284</v>
      </c>
      <c r="D976" s="6" t="str">
        <f ca="1">IFERROR(__xludf.DUMMYFUNCTION("""COMPUTED_VALUE"""),"TALAGANTE")</f>
        <v>TALAGANTE</v>
      </c>
    </row>
    <row r="977" spans="1:4">
      <c r="A977" s="7">
        <f ca="1">IFERROR(__xludf.DUMMYFUNCTION("""COMPUTED_VALUE"""),43993)</f>
        <v>43993</v>
      </c>
      <c r="B977" s="6" t="str">
        <f ca="1">IFERROR(__xludf.DUMMYFUNCTION("""COMPUTED_VALUE"""),"-33.631398,-70.765889")</f>
        <v>-33.631398,-70.765889</v>
      </c>
      <c r="C977" s="6" t="str">
        <f ca="1">IFERROR(__xludf.DUMMYFUNCTION("""COMPUTED_VALUE"""),"EL VIÑEDO N° 242")</f>
        <v>EL VIÑEDO N° 242</v>
      </c>
      <c r="D977" s="6" t="str">
        <f ca="1">IFERROR(__xludf.DUMMYFUNCTION("""COMPUTED_VALUE"""),"CALERA DE TANGO")</f>
        <v>CALERA DE TANGO</v>
      </c>
    </row>
    <row r="978" spans="1:4">
      <c r="A978" s="7">
        <f ca="1">IFERROR(__xludf.DUMMYFUNCTION("""COMPUTED_VALUE"""),43993)</f>
        <v>43993</v>
      </c>
      <c r="B978" s="6" t="str">
        <f ca="1">IFERROR(__xludf.DUMMYFUNCTION("""COMPUTED_VALUE"""),"-33.631785,-70.766587")</f>
        <v>-33.631785,-70.766587</v>
      </c>
      <c r="C978" s="6" t="str">
        <f ca="1">IFERROR(__xludf.DUMMYFUNCTION("""COMPUTED_VALUE"""),"PA EL NOGAL 266")</f>
        <v>PA EL NOGAL 266</v>
      </c>
      <c r="D978" s="6" t="str">
        <f ca="1">IFERROR(__xludf.DUMMYFUNCTION("""COMPUTED_VALUE"""),"CALERA DE TANGO")</f>
        <v>CALERA DE TANGO</v>
      </c>
    </row>
    <row r="979" spans="1:4">
      <c r="A979" s="7">
        <f ca="1">IFERROR(__xludf.DUMMYFUNCTION("""COMPUTED_VALUE"""),43993)</f>
        <v>43993</v>
      </c>
      <c r="B979" s="6" t="str">
        <f ca="1">IFERROR(__xludf.DUMMYFUNCTION("""COMPUTED_VALUE"""),"-33.673879,-70.989762")</f>
        <v>-33.673879,-70.989762</v>
      </c>
      <c r="C979" s="6" t="str">
        <f ca="1">IFERROR(__xludf.DUMMYFUNCTION("""COMPUTED_VALUE"""),"LOS CEREZOS 662")</f>
        <v>LOS CEREZOS 662</v>
      </c>
      <c r="D979" s="6" t="str">
        <f ca="1">IFERROR(__xludf.DUMMYFUNCTION("""COMPUTED_VALUE"""),"EL MONTE")</f>
        <v>EL MONTE</v>
      </c>
    </row>
    <row r="980" spans="1:4">
      <c r="A980" s="7">
        <f ca="1">IFERROR(__xludf.DUMMYFUNCTION("""COMPUTED_VALUE"""),43993)</f>
        <v>43993</v>
      </c>
      <c r="B980" s="6" t="str">
        <f ca="1">IFERROR(__xludf.DUMMYFUNCTION("""COMPUTED_VALUE"""),"-33.684069,-71.000513")</f>
        <v>-33.684069,-71.000513</v>
      </c>
      <c r="C980" s="6" t="str">
        <f ca="1">IFERROR(__xludf.DUMMYFUNCTION("""COMPUTED_VALUE"""),"AV. LIBERTADORES 815")</f>
        <v>AV. LIBERTADORES 815</v>
      </c>
      <c r="D980" s="6" t="str">
        <f ca="1">IFERROR(__xludf.DUMMYFUNCTION("""COMPUTED_VALUE"""),"EL MONTE")</f>
        <v>EL MONTE</v>
      </c>
    </row>
    <row r="981" spans="1:4">
      <c r="A981" s="7">
        <f ca="1">IFERROR(__xludf.DUMMYFUNCTION("""COMPUTED_VALUE"""),43993)</f>
        <v>43993</v>
      </c>
      <c r="B981" s="6" t="str">
        <f ca="1">IFERROR(__xludf.DUMMYFUNCTION("""COMPUTED_VALUE"""),"-33.681233,-70998353")</f>
        <v>-33.681233,-70998353</v>
      </c>
      <c r="C981" s="6" t="str">
        <f ca="1">IFERROR(__xludf.DUMMYFUNCTION("""COMPUTED_VALUE"""),"5 PONIENTE 210")</f>
        <v>5 PONIENTE 210</v>
      </c>
      <c r="D981" s="6" t="str">
        <f ca="1">IFERROR(__xludf.DUMMYFUNCTION("""COMPUTED_VALUE"""),"EL MONTE")</f>
        <v>EL MONTE</v>
      </c>
    </row>
    <row r="982" spans="1:4">
      <c r="A982" s="7">
        <f ca="1">IFERROR(__xludf.DUMMYFUNCTION("""COMPUTED_VALUE"""),43993)</f>
        <v>43993</v>
      </c>
      <c r="B982" s="6" t="str">
        <f ca="1">IFERROR(__xludf.DUMMYFUNCTION("""COMPUTED_VALUE"""),"-33.676127,-70.988293")</f>
        <v>-33.676127,-70.988293</v>
      </c>
      <c r="C982" s="6" t="str">
        <f ca="1">IFERROR(__xludf.DUMMYFUNCTION("""COMPUTED_VALUE"""),"PJE LAPIZLAZULI 554")</f>
        <v>PJE LAPIZLAZULI 554</v>
      </c>
      <c r="D982" s="6" t="str">
        <f ca="1">IFERROR(__xludf.DUMMYFUNCTION("""COMPUTED_VALUE"""),"EL MONTE")</f>
        <v>EL MONTE</v>
      </c>
    </row>
    <row r="983" spans="1:4">
      <c r="A983" s="7">
        <f ca="1">IFERROR(__xludf.DUMMYFUNCTION("""COMPUTED_VALUE"""),43994)</f>
        <v>43994</v>
      </c>
      <c r="B983" s="8" t="str">
        <f ca="1">IFERROR(__xludf.DUMMYFUNCTION("""COMPUTED_VALUE"""),"-33.664924,-70.934382")</f>
        <v>-33.664924,-70.934382</v>
      </c>
      <c r="C983" s="6" t="str">
        <f ca="1">IFERROR(__xludf.DUMMYFUNCTION("""COMPUTED_VALUE"""),"LA QUINTRALA 691")</f>
        <v>LA QUINTRALA 691</v>
      </c>
      <c r="D983" s="6" t="str">
        <f ca="1">IFERROR(__xludf.DUMMYFUNCTION("""COMPUTED_VALUE"""),"TALAGANTE")</f>
        <v>TALAGANTE</v>
      </c>
    </row>
    <row r="984" spans="1:4">
      <c r="A984" s="7">
        <f ca="1">IFERROR(__xludf.DUMMYFUNCTION("""COMPUTED_VALUE"""),43994)</f>
        <v>43994</v>
      </c>
      <c r="B984" s="8" t="str">
        <f ca="1">IFERROR(__xludf.DUMMYFUNCTION("""COMPUTED_VALUE"""),"-33.761883.-70.739137")</f>
        <v>-33.761883.-70.739137</v>
      </c>
      <c r="C984" s="6" t="str">
        <f ca="1">IFERROR(__xludf.DUMMYFUNCTION("""COMPUTED_VALUE"""),"HERMANO CARRERA 691")</f>
        <v>HERMANO CARRERA 691</v>
      </c>
      <c r="D984" s="6" t="str">
        <f ca="1">IFERROR(__xludf.DUMMYFUNCTION("""COMPUTED_VALUE"""),"BUIN")</f>
        <v>BUIN</v>
      </c>
    </row>
    <row r="985" spans="1:4">
      <c r="A985" s="7">
        <f ca="1">IFERROR(__xludf.DUMMYFUNCTION("""COMPUTED_VALUE"""),43994)</f>
        <v>43994</v>
      </c>
      <c r="B985" s="8" t="str">
        <f ca="1">IFERROR(__xludf.DUMMYFUNCTION("""COMPUTED_VALUE"""),"-33.728467,-70.734269")</f>
        <v>-33.728467,-70.734269</v>
      </c>
      <c r="C985" s="6" t="str">
        <f ca="1">IFERROR(__xludf.DUMMYFUNCTION("""COMPUTED_VALUE"""),"AV MANUEL RODRIGUEZ 0251")</f>
        <v>AV MANUEL RODRIGUEZ 0251</v>
      </c>
      <c r="D985" s="6" t="str">
        <f ca="1">IFERROR(__xludf.DUMMYFUNCTION("""COMPUTED_VALUE"""),"BUIN")</f>
        <v>BUIN</v>
      </c>
    </row>
    <row r="986" spans="1:4">
      <c r="A986" s="7">
        <f ca="1">IFERROR(__xludf.DUMMYFUNCTION("""COMPUTED_VALUE"""),43994)</f>
        <v>43994</v>
      </c>
      <c r="B986" s="8" t="str">
        <f ca="1">IFERROR(__xludf.DUMMYFUNCTION("""COMPUTED_VALUE"""),"-33.710167,-70.73952")</f>
        <v>-33.710167,-70.73952</v>
      </c>
      <c r="C986" s="6" t="str">
        <f ca="1">IFERROR(__xludf.DUMMYFUNCTION("""COMPUTED_VALUE"""),"EL NARANJAL 0377")</f>
        <v>EL NARANJAL 0377</v>
      </c>
      <c r="D986" s="6" t="str">
        <f ca="1">IFERROR(__xludf.DUMMYFUNCTION("""COMPUTED_VALUE"""),"BUIN")</f>
        <v>BUIN</v>
      </c>
    </row>
    <row r="987" spans="1:4">
      <c r="A987" s="7">
        <f ca="1">IFERROR(__xludf.DUMMYFUNCTION("""COMPUTED_VALUE"""),43994)</f>
        <v>43994</v>
      </c>
      <c r="B987" s="6" t="str">
        <f ca="1">IFERROR(__xludf.DUMMYFUNCTION("""COMPUTED_VALUE"""),"-33.6174-70.8789")</f>
        <v>-33.6174-70.8789</v>
      </c>
      <c r="C987" s="6" t="str">
        <f ca="1">IFERROR(__xludf.DUMMYFUNCTION("""COMPUTED_VALUE"""),"CARLOS ROJAS VILLALON 839")</f>
        <v>CARLOS ROJAS VILLALON 839</v>
      </c>
      <c r="D987" s="6" t="str">
        <f ca="1">IFERROR(__xludf.DUMMYFUNCTION("""COMPUTED_VALUE"""),"PEÑAFLOR")</f>
        <v>PEÑAFLOR</v>
      </c>
    </row>
    <row r="988" spans="1:4">
      <c r="A988" s="7">
        <f ca="1">IFERROR(__xludf.DUMMYFUNCTION("""COMPUTED_VALUE"""),43995)</f>
        <v>43995</v>
      </c>
      <c r="B988" s="8" t="str">
        <f ca="1">IFERROR(__xludf.DUMMYFUNCTION("""COMPUTED_VALUE"""),"-33.723286,-70.734912")</f>
        <v>-33.723286,-70.734912</v>
      </c>
      <c r="C988" s="6" t="str">
        <f ca="1">IFERROR(__xludf.DUMMYFUNCTION("""COMPUTED_VALUE"""),"AV EL PARQUE 0450")</f>
        <v>AV EL PARQUE 0450</v>
      </c>
      <c r="D988" s="6" t="str">
        <f ca="1">IFERROR(__xludf.DUMMYFUNCTION("""COMPUTED_VALUE"""),"BUIN")</f>
        <v>BUIN</v>
      </c>
    </row>
    <row r="989" spans="1:4">
      <c r="A989" s="7">
        <f ca="1">IFERROR(__xludf.DUMMYFUNCTION("""COMPUTED_VALUE"""),43995)</f>
        <v>43995</v>
      </c>
      <c r="B989" s="8" t="str">
        <f ca="1">IFERROR(__xludf.DUMMYFUNCTION("""COMPUTED_VALUE"""),"-33.680665,-70.943127")</f>
        <v>-33.680665,-70.943127</v>
      </c>
      <c r="C989" s="6" t="str">
        <f ca="1">IFERROR(__xludf.DUMMYFUNCTION("""COMPUTED_VALUE"""),"CIRCUNVALACION 2991")</f>
        <v>CIRCUNVALACION 2991</v>
      </c>
      <c r="D989" s="6" t="str">
        <f ca="1">IFERROR(__xludf.DUMMYFUNCTION("""COMPUTED_VALUE"""),"TALAGANTE")</f>
        <v>TALAGANTE</v>
      </c>
    </row>
    <row r="990" spans="1:4">
      <c r="A990" s="7">
        <f ca="1">IFERROR(__xludf.DUMMYFUNCTION("""COMPUTED_VALUE"""),43995)</f>
        <v>43995</v>
      </c>
      <c r="B990" s="6" t="str">
        <f ca="1">IFERROR(__xludf.DUMMYFUNCTION("""COMPUTED_VALUE"""),"-33.673220,-70.939623")</f>
        <v>-33.673220,-70.939623</v>
      </c>
      <c r="C990" s="6" t="str">
        <f ca="1">IFERROR(__xludf.DUMMYFUNCTION("""COMPUTED_VALUE"""),"PLATINO 2218")</f>
        <v>PLATINO 2218</v>
      </c>
      <c r="D990" s="6" t="str">
        <f ca="1">IFERROR(__xludf.DUMMYFUNCTION("""COMPUTED_VALUE"""),"TALAGANTE")</f>
        <v>TALAGANTE</v>
      </c>
    </row>
    <row r="991" spans="1:4">
      <c r="A991" s="7">
        <f ca="1">IFERROR(__xludf.DUMMYFUNCTION("""COMPUTED_VALUE"""),43995)</f>
        <v>43995</v>
      </c>
      <c r="B991" s="6" t="str">
        <f ca="1">IFERROR(__xludf.DUMMYFUNCTION("""COMPUTED_VALUE"""),"-33.672289,-70.939475")</f>
        <v>-33.672289,-70.939475</v>
      </c>
      <c r="C991" s="6" t="str">
        <f ca="1">IFERROR(__xludf.DUMMYFUNCTION("""COMPUTED_VALUE"""),"CORAL 2209")</f>
        <v>CORAL 2209</v>
      </c>
      <c r="D991" s="6" t="str">
        <f ca="1">IFERROR(__xludf.DUMMYFUNCTION("""COMPUTED_VALUE"""),"TALAGANTE")</f>
        <v>TALAGANTE</v>
      </c>
    </row>
    <row r="992" spans="1:4">
      <c r="A992" s="7">
        <f ca="1">IFERROR(__xludf.DUMMYFUNCTION("""COMPUTED_VALUE"""),43995)</f>
        <v>43995</v>
      </c>
      <c r="B992" s="6" t="str">
        <f ca="1">IFERROR(__xludf.DUMMYFUNCTION("""COMPUTED_VALUE"""),"-33.673840,-70.937640")</f>
        <v>-33.673840,-70.937640</v>
      </c>
      <c r="C992" s="6" t="str">
        <f ca="1">IFERROR(__xludf.DUMMYFUNCTION("""COMPUTED_VALUE"""),"BERILIO 1040")</f>
        <v>BERILIO 1040</v>
      </c>
      <c r="D992" s="6" t="str">
        <f ca="1">IFERROR(__xludf.DUMMYFUNCTION("""COMPUTED_VALUE"""),"TALAGANTE")</f>
        <v>TALAGANTE</v>
      </c>
    </row>
    <row r="993" spans="1:4">
      <c r="A993" s="7">
        <f ca="1">IFERROR(__xludf.DUMMYFUNCTION("""COMPUTED_VALUE"""),43995)</f>
        <v>43995</v>
      </c>
      <c r="B993" s="6" t="str">
        <f ca="1">IFERROR(__xludf.DUMMYFUNCTION("""COMPUTED_VALUE"""),"-33.687148,-70.974383")</f>
        <v>-33.687148,-70.974383</v>
      </c>
      <c r="C993" s="6" t="str">
        <f ca="1">IFERROR(__xludf.DUMMYFUNCTION("""COMPUTED_VALUE"""),"SECTOR LO AGUIRRE S/N")</f>
        <v>SECTOR LO AGUIRRE S/N</v>
      </c>
      <c r="D993" s="6" t="str">
        <f ca="1">IFERROR(__xludf.DUMMYFUNCTION("""COMPUTED_VALUE"""),"TALAGANTE")</f>
        <v>TALAGANTE</v>
      </c>
    </row>
    <row r="994" spans="1:4">
      <c r="A994" s="7">
        <f ca="1">IFERROR(__xludf.DUMMYFUNCTION("""COMPUTED_VALUE"""),43995)</f>
        <v>43995</v>
      </c>
      <c r="B994" s="6" t="str">
        <f ca="1">IFERROR(__xludf.DUMMYFUNCTION("""COMPUTED_VALUE"""),"-33.625662,-70.783666")</f>
        <v>-33.625662,-70.783666</v>
      </c>
      <c r="C994" s="6" t="str">
        <f ca="1">IFERROR(__xludf.DUMMYFUNCTION("""COMPUTED_VALUE"""),"CO CALERA DE TANGO P/9 1/2 SN POSTE 272194")</f>
        <v>CO CALERA DE TANGO P/9 1/2 SN POSTE 272194</v>
      </c>
      <c r="D994" s="6" t="str">
        <f ca="1">IFERROR(__xludf.DUMMYFUNCTION("""COMPUTED_VALUE"""),"CALERA DE TANGO")</f>
        <v>CALERA DE TANGO</v>
      </c>
    </row>
    <row r="995" spans="1:4">
      <c r="A995" s="7">
        <f ca="1">IFERROR(__xludf.DUMMYFUNCTION("""COMPUTED_VALUE"""),43995)</f>
        <v>43995</v>
      </c>
      <c r="B995" s="6" t="str">
        <f ca="1">IFERROR(__xludf.DUMMYFUNCTION("""COMPUTED_VALUE"""),"-33.680536,-70.996159")</f>
        <v>-33.680536,-70.996159</v>
      </c>
      <c r="C995" s="6" t="str">
        <f ca="1">IFERROR(__xludf.DUMMYFUNCTION("""COMPUTED_VALUE"""),"1 SUR 695")</f>
        <v>1 SUR 695</v>
      </c>
      <c r="D995" s="6" t="str">
        <f ca="1">IFERROR(__xludf.DUMMYFUNCTION("""COMPUTED_VALUE"""),"EL MONTE")</f>
        <v>EL MONTE</v>
      </c>
    </row>
    <row r="996" spans="1:4">
      <c r="A996" s="7">
        <f ca="1">IFERROR(__xludf.DUMMYFUNCTION("""COMPUTED_VALUE"""),43995)</f>
        <v>43995</v>
      </c>
      <c r="B996" s="6" t="str">
        <f ca="1">IFERROR(__xludf.DUMMYFUNCTION("""COMPUTED_VALUE"""),"-33.680929,-70.996161")</f>
        <v>-33.680929,-70.996161</v>
      </c>
      <c r="C996" s="6" t="str">
        <f ca="1">IFERROR(__xludf.DUMMYFUNCTION("""COMPUTED_VALUE"""),"PJE UNO SUR 696")</f>
        <v>PJE UNO SUR 696</v>
      </c>
      <c r="D996" s="6" t="str">
        <f ca="1">IFERROR(__xludf.DUMMYFUNCTION("""COMPUTED_VALUE"""),"EL MONTE")</f>
        <v>EL MONTE</v>
      </c>
    </row>
    <row r="997" spans="1:4">
      <c r="A997" s="7">
        <f ca="1">IFERROR(__xludf.DUMMYFUNCTION("""COMPUTED_VALUE"""),43995)</f>
        <v>43995</v>
      </c>
      <c r="B997" s="6" t="str">
        <f ca="1">IFERROR(__xludf.DUMMYFUNCTION("""COMPUTED_VALUE"""),"-33.683813,-71.000955")</f>
        <v>-33.683813,-71.000955</v>
      </c>
      <c r="C997" s="6" t="str">
        <f ca="1">IFERROR(__xludf.DUMMYFUNCTION("""COMPUTED_VALUE"""),"LOS LIBERTADORES 825")</f>
        <v>LOS LIBERTADORES 825</v>
      </c>
      <c r="D997" s="6" t="str">
        <f ca="1">IFERROR(__xludf.DUMMYFUNCTION("""COMPUTED_VALUE"""),"EL MONTE")</f>
        <v>EL MONTE</v>
      </c>
    </row>
    <row r="998" spans="1:4">
      <c r="A998" s="7">
        <f ca="1">IFERROR(__xludf.DUMMYFUNCTION("""COMPUTED_VALUE"""),43997)</f>
        <v>43997</v>
      </c>
      <c r="B998" s="8" t="str">
        <f ca="1">IFERROR(__xludf.DUMMYFUNCTION("""COMPUTED_VALUE"""),"-33.731346,-70.738303")</f>
        <v>-33.731346,-70.738303</v>
      </c>
      <c r="C998" s="6" t="str">
        <f ca="1">IFERROR(__xludf.DUMMYFUNCTION("""COMPUTED_VALUE"""),"LOS BALIOS 204")</f>
        <v>LOS BALIOS 204</v>
      </c>
      <c r="D998" s="6" t="str">
        <f ca="1">IFERROR(__xludf.DUMMYFUNCTION("""COMPUTED_VALUE"""),"BUIN")</f>
        <v>BUIN</v>
      </c>
    </row>
    <row r="999" spans="1:4">
      <c r="A999" s="7">
        <f ca="1">IFERROR(__xludf.DUMMYFUNCTION("""COMPUTED_VALUE"""),43997)</f>
        <v>43997</v>
      </c>
      <c r="B999" s="8" t="str">
        <f ca="1">IFERROR(__xludf.DUMMYFUNCTION("""COMPUTED_VALUE"""),"-33.7622548,-70.7370048")</f>
        <v>-33.7622548,-70.7370048</v>
      </c>
      <c r="C999" s="6" t="str">
        <f ca="1">IFERROR(__xludf.DUMMYFUNCTION("""COMPUTED_VALUE"""),"FLOR DE LOTO 2458")</f>
        <v>FLOR DE LOTO 2458</v>
      </c>
      <c r="D999" s="6" t="str">
        <f ca="1">IFERROR(__xludf.DUMMYFUNCTION("""COMPUTED_VALUE"""),"BUIN")</f>
        <v>BUIN</v>
      </c>
    </row>
    <row r="1000" spans="1:4">
      <c r="A1000" s="7">
        <f ca="1">IFERROR(__xludf.DUMMYFUNCTION("""COMPUTED_VALUE"""),43997)</f>
        <v>43997</v>
      </c>
      <c r="B1000" s="8" t="str">
        <f ca="1">IFERROR(__xludf.DUMMYFUNCTION("""COMPUTED_VALUE"""),"-33.732264,-70.716484")</f>
        <v>-33.732264,-70.716484</v>
      </c>
      <c r="C1000" s="6" t="str">
        <f ca="1">IFERROR(__xludf.DUMMYFUNCTION("""COMPUTED_VALUE"""),"MARIA GUERRERO AGUILERA 1525")</f>
        <v>MARIA GUERRERO AGUILERA 1525</v>
      </c>
      <c r="D1000" s="6" t="str">
        <f ca="1">IFERROR(__xludf.DUMMYFUNCTION("""COMPUTED_VALUE"""),"BUIN")</f>
        <v>BUIN</v>
      </c>
    </row>
    <row r="1001" spans="1:4">
      <c r="A1001" s="7">
        <f ca="1">IFERROR(__xludf.DUMMYFUNCTION("""COMPUTED_VALUE"""),43997)</f>
        <v>43997</v>
      </c>
      <c r="B1001" s="8" t="str">
        <f ca="1">IFERROR(__xludf.DUMMYFUNCTION("""COMPUTED_VALUE"""),"-33.761296,-70.736074")</f>
        <v>-33.761296,-70.736074</v>
      </c>
      <c r="C1001" s="6" t="str">
        <f ca="1">IFERROR(__xludf.DUMMYFUNCTION("""COMPUTED_VALUE"""),"FRANCISCO JAVIER KRUGGER 81")</f>
        <v>FRANCISCO JAVIER KRUGGER 81</v>
      </c>
      <c r="D1001" s="6" t="str">
        <f ca="1">IFERROR(__xludf.DUMMYFUNCTION("""COMPUTED_VALUE"""),"BUIN")</f>
        <v>BUIN</v>
      </c>
    </row>
    <row r="1002" spans="1:4">
      <c r="A1002" s="7">
        <f ca="1">IFERROR(__xludf.DUMMYFUNCTION("""COMPUTED_VALUE"""),43997)</f>
        <v>43997</v>
      </c>
      <c r="B1002" s="8" t="str">
        <f ca="1">IFERROR(__xludf.DUMMYFUNCTION("""COMPUTED_VALUE"""),"-33.728051,-70.732898")</f>
        <v>-33.728051,-70.732898</v>
      </c>
      <c r="C1002" s="6" t="str">
        <f ca="1">IFERROR(__xludf.DUMMYFUNCTION("""COMPUTED_VALUE"""),"AV EL RODEO 023")</f>
        <v>AV EL RODEO 023</v>
      </c>
      <c r="D1002" s="6" t="str">
        <f ca="1">IFERROR(__xludf.DUMMYFUNCTION("""COMPUTED_VALUE"""),"BUIN")</f>
        <v>BUIN</v>
      </c>
    </row>
    <row r="1003" spans="1:4">
      <c r="A1003" s="7">
        <f ca="1">IFERROR(__xludf.DUMMYFUNCTION("""COMPUTED_VALUE"""),43997)</f>
        <v>43997</v>
      </c>
      <c r="B1003" s="8" t="str">
        <f ca="1">IFERROR(__xludf.DUMMYFUNCTION("""COMPUTED_VALUE"""),"-33.7234822,-70.7341181")</f>
        <v>-33.7234822,-70.7341181</v>
      </c>
      <c r="C1003" s="6" t="str">
        <f ca="1">IFERROR(__xludf.DUMMYFUNCTION("""COMPUTED_VALUE"""),"PASAJE FEDERICO ARTEAGA 422")</f>
        <v>PASAJE FEDERICO ARTEAGA 422</v>
      </c>
      <c r="D1003" s="6" t="str">
        <f ca="1">IFERROR(__xludf.DUMMYFUNCTION("""COMPUTED_VALUE"""),"BUIN")</f>
        <v>BUIN</v>
      </c>
    </row>
    <row r="1004" spans="1:4">
      <c r="A1004" s="7">
        <f ca="1">IFERROR(__xludf.DUMMYFUNCTION("""COMPUTED_VALUE"""),43997)</f>
        <v>43997</v>
      </c>
      <c r="B1004" s="8" t="str">
        <f ca="1">IFERROR(__xludf.DUMMYFUNCTION("""COMPUTED_VALUE"""),"-33.723951,-70.736616")</f>
        <v>-33.723951,-70.736616</v>
      </c>
      <c r="C1004" s="6" t="str">
        <f ca="1">IFERROR(__xludf.DUMMYFUNCTION("""COMPUTED_VALUE"""),"FELIX BOMER 37")</f>
        <v>FELIX BOMER 37</v>
      </c>
      <c r="D1004" s="6" t="str">
        <f ca="1">IFERROR(__xludf.DUMMYFUNCTION("""COMPUTED_VALUE"""),"BUIN")</f>
        <v>BUIN</v>
      </c>
    </row>
    <row r="1005" spans="1:4">
      <c r="A1005" s="7">
        <f ca="1">IFERROR(__xludf.DUMMYFUNCTION("""COMPUTED_VALUE"""),43997)</f>
        <v>43997</v>
      </c>
      <c r="B1005" s="6" t="str">
        <f ca="1">IFERROR(__xludf.DUMMYFUNCTION("""COMPUTED_VALUE"""),"-33.229599-70.80175")</f>
        <v>-33.229599-70.80175</v>
      </c>
      <c r="C1005" s="6" t="str">
        <f ca="1">IFERROR(__xludf.DUMMYFUNCTION("""COMPUTED_VALUE"""),"PJE. BELICE 1394")</f>
        <v>PJE. BELICE 1394</v>
      </c>
      <c r="D1005" s="6" t="str">
        <f ca="1">IFERROR(__xludf.DUMMYFUNCTION("""COMPUTED_VALUE"""),"LAMPA")</f>
        <v>LAMPA</v>
      </c>
    </row>
    <row r="1006" spans="1:4">
      <c r="A1006" s="7">
        <f ca="1">IFERROR(__xludf.DUMMYFUNCTION("""COMPUTED_VALUE"""),43997)</f>
        <v>43997</v>
      </c>
      <c r="B1006" s="6" t="str">
        <f ca="1">IFERROR(__xludf.DUMMYFUNCTION("""COMPUTED_VALUE"""),"-33.327629-70.762852")</f>
        <v>-33.327629-70.762852</v>
      </c>
      <c r="C1006" s="6" t="str">
        <f ca="1">IFERROR(__xludf.DUMMYFUNCTION("""COMPUTED_VALUE"""),"TOTORALILLO 711")</f>
        <v>TOTORALILLO 711</v>
      </c>
      <c r="D1006" s="6" t="str">
        <f ca="1">IFERROR(__xludf.DUMMYFUNCTION("""COMPUTED_VALUE"""),"LAMPA")</f>
        <v>LAMPA</v>
      </c>
    </row>
    <row r="1007" spans="1:4">
      <c r="A1007" s="7">
        <f ca="1">IFERROR(__xludf.DUMMYFUNCTION("""COMPUTED_VALUE"""),43997)</f>
        <v>43997</v>
      </c>
      <c r="B1007" s="6" t="str">
        <f ca="1">IFERROR(__xludf.DUMMYFUNCTION("""COMPUTED_VALUE"""),"-33.327636-70.762852")</f>
        <v>-33.327636-70.762852</v>
      </c>
      <c r="C1007" s="6" t="str">
        <f ca="1">IFERROR(__xludf.DUMMYFUNCTION("""COMPUTED_VALUE"""),"TOTORALILLO 712")</f>
        <v>TOTORALILLO 712</v>
      </c>
      <c r="D1007" s="6" t="str">
        <f ca="1">IFERROR(__xludf.DUMMYFUNCTION("""COMPUTED_VALUE"""),"LAMPA")</f>
        <v>LAMPA</v>
      </c>
    </row>
    <row r="1008" spans="1:4">
      <c r="A1008" s="7">
        <f ca="1">IFERROR(__xludf.DUMMYFUNCTION("""COMPUTED_VALUE"""),43997)</f>
        <v>43997</v>
      </c>
      <c r="B1008" s="6" t="str">
        <f ca="1">IFERROR(__xludf.DUMMYFUNCTION("""COMPUTED_VALUE"""),"-33.327662-70.762772")</f>
        <v>-33.327662-70.762772</v>
      </c>
      <c r="C1008" s="6" t="str">
        <f ca="1">IFERROR(__xludf.DUMMYFUNCTION("""COMPUTED_VALUE"""),"TOTORALILLO 697")</f>
        <v>TOTORALILLO 697</v>
      </c>
      <c r="D1008" s="6" t="str">
        <f ca="1">IFERROR(__xludf.DUMMYFUNCTION("""COMPUTED_VALUE"""),"LAMPA")</f>
        <v>LAMPA</v>
      </c>
    </row>
    <row r="1009" spans="1:4">
      <c r="A1009" s="7">
        <f ca="1">IFERROR(__xludf.DUMMYFUNCTION("""COMPUTED_VALUE"""),43997)</f>
        <v>43997</v>
      </c>
      <c r="B1009" s="6" t="str">
        <f ca="1">IFERROR(__xludf.DUMMYFUNCTION("""COMPUTED_VALUE"""),"-33.592652-70.853027")</f>
        <v>-33.592652-70.853027</v>
      </c>
      <c r="C1009" s="6" t="str">
        <f ca="1">IFERROR(__xludf.DUMMYFUNCTION("""COMPUTED_VALUE"""),"LOS PAJARITO 10")</f>
        <v>LOS PAJARITO 10</v>
      </c>
      <c r="D1009" s="6" t="str">
        <f ca="1">IFERROR(__xludf.DUMMYFUNCTION("""COMPUTED_VALUE"""),"PEÑAFLOR")</f>
        <v>PEÑAFLOR</v>
      </c>
    </row>
    <row r="1010" spans="1:4">
      <c r="A1010" s="7">
        <f ca="1">IFERROR(__xludf.DUMMYFUNCTION("""COMPUTED_VALUE"""),43997)</f>
        <v>43997</v>
      </c>
      <c r="B1010" s="6" t="str">
        <f ca="1">IFERROR(__xludf.DUMMYFUNCTION("""COMPUTED_VALUE"""),"-33.6139-70.8794")</f>
        <v>-33.6139-70.8794</v>
      </c>
      <c r="C1010" s="6" t="str">
        <f ca="1">IFERROR(__xludf.DUMMYFUNCTION("""COMPUTED_VALUE"""),"LEON GRAIDE 322")</f>
        <v>LEON GRAIDE 322</v>
      </c>
      <c r="D1010" s="6" t="str">
        <f ca="1">IFERROR(__xludf.DUMMYFUNCTION("""COMPUTED_VALUE"""),"PEÑAFLOR")</f>
        <v>PEÑAFLOR</v>
      </c>
    </row>
    <row r="1011" spans="1:4">
      <c r="A1011" s="7">
        <f ca="1">IFERROR(__xludf.DUMMYFUNCTION("""COMPUTED_VALUE"""),43997)</f>
        <v>43997</v>
      </c>
      <c r="B1011" s="6" t="str">
        <f ca="1">IFERROR(__xludf.DUMMYFUNCTION("""COMPUTED_VALUE"""),"-33.602842-70.8954949")</f>
        <v>-33.602842-70.8954949</v>
      </c>
      <c r="C1011" s="6" t="str">
        <f ca="1">IFERROR(__xludf.DUMMYFUNCTION("""COMPUTED_VALUE"""),"IRARRAZABAL 371")</f>
        <v>IRARRAZABAL 371</v>
      </c>
      <c r="D1011" s="6" t="str">
        <f ca="1">IFERROR(__xludf.DUMMYFUNCTION("""COMPUTED_VALUE"""),"PEÑAFLOR")</f>
        <v>PEÑAFLOR</v>
      </c>
    </row>
    <row r="1012" spans="1:4">
      <c r="A1012" s="7">
        <f ca="1">IFERROR(__xludf.DUMMYFUNCTION("""COMPUTED_VALUE"""),43997)</f>
        <v>43997</v>
      </c>
      <c r="B1012" s="6" t="str">
        <f ca="1">IFERROR(__xludf.DUMMYFUNCTION("""COMPUTED_VALUE"""),"-33.593468-70.850343")</f>
        <v>-33.593468-70.850343</v>
      </c>
      <c r="C1012" s="6" t="str">
        <f ca="1">IFERROR(__xludf.DUMMYFUNCTION("""COMPUTED_VALUE"""),"PAJARITOS 10 B")</f>
        <v>PAJARITOS 10 B</v>
      </c>
      <c r="D1012" s="6" t="str">
        <f ca="1">IFERROR(__xludf.DUMMYFUNCTION("""COMPUTED_VALUE"""),"PEÑAFLOR")</f>
        <v>PEÑAFLOR</v>
      </c>
    </row>
    <row r="1013" spans="1:4">
      <c r="A1013" s="7">
        <f ca="1">IFERROR(__xludf.DUMMYFUNCTION("""COMPUTED_VALUE"""),43997)</f>
        <v>43997</v>
      </c>
      <c r="B1013" s="6" t="str">
        <f ca="1">IFERROR(__xludf.DUMMYFUNCTION("""COMPUTED_VALUE"""),"-33.6004-70.8915")</f>
        <v>-33.6004-70.8915</v>
      </c>
      <c r="C1013" s="6" t="str">
        <f ca="1">IFERROR(__xludf.DUMMYFUNCTION("""COMPUTED_VALUE"""),"CAUPOLICAN 3967")</f>
        <v>CAUPOLICAN 3967</v>
      </c>
      <c r="D1013" s="6" t="str">
        <f ca="1">IFERROR(__xludf.DUMMYFUNCTION("""COMPUTED_VALUE"""),"PEÑAFLOR")</f>
        <v>PEÑAFLOR</v>
      </c>
    </row>
    <row r="1014" spans="1:4">
      <c r="A1014" s="7">
        <f ca="1">IFERROR(__xludf.DUMMYFUNCTION("""COMPUTED_VALUE"""),43997)</f>
        <v>43997</v>
      </c>
      <c r="B1014" s="6" t="str">
        <f ca="1">IFERROR(__xludf.DUMMYFUNCTION("""COMPUTED_VALUE"""),"-33.6058653-70.8874516")</f>
        <v>-33.6058653-70.8874516</v>
      </c>
      <c r="C1014" s="6" t="str">
        <f ca="1">IFERROR(__xludf.DUMMYFUNCTION("""COMPUTED_VALUE"""),"EL CANELO 1021")</f>
        <v>EL CANELO 1021</v>
      </c>
      <c r="D1014" s="6" t="str">
        <f ca="1">IFERROR(__xludf.DUMMYFUNCTION("""COMPUTED_VALUE"""),"PEÑAFLOR")</f>
        <v>PEÑAFLOR</v>
      </c>
    </row>
    <row r="1015" spans="1:4">
      <c r="A1015" s="7">
        <f ca="1">IFERROR(__xludf.DUMMYFUNCTION("""COMPUTED_VALUE"""),43997)</f>
        <v>43997</v>
      </c>
      <c r="B1015" s="6" t="str">
        <f ca="1">IFERROR(__xludf.DUMMYFUNCTION("""COMPUTED_VALUE"""),"-33.658478,-70.997333")</f>
        <v>-33.658478,-70.997333</v>
      </c>
      <c r="C1015" s="6" t="str">
        <f ca="1">IFERROR(__xludf.DUMMYFUNCTION("""COMPUTED_VALUE"""),"CAM. LA PUNTILLA SITIO 7")</f>
        <v>CAM. LA PUNTILLA SITIO 7</v>
      </c>
      <c r="D1015" s="6" t="str">
        <f ca="1">IFERROR(__xludf.DUMMYFUNCTION("""COMPUTED_VALUE"""),"EL MONTE")</f>
        <v>EL MONTE</v>
      </c>
    </row>
    <row r="1016" spans="1:4">
      <c r="A1016" s="7">
        <f ca="1">IFERROR(__xludf.DUMMYFUNCTION("""COMPUTED_VALUE"""),43997)</f>
        <v>43997</v>
      </c>
      <c r="B1016" s="6" t="str">
        <f ca="1">IFERROR(__xludf.DUMMYFUNCTION("""COMPUTED_VALUE"""),"-33.673260,-70.987037")</f>
        <v>-33.673260,-70.987037</v>
      </c>
      <c r="C1016" s="6" t="str">
        <f ca="1">IFERROR(__xludf.DUMMYFUNCTION("""COMPUTED_VALUE"""),"GOMEZ RAMIREZ 318")</f>
        <v>GOMEZ RAMIREZ 318</v>
      </c>
      <c r="D1016" s="6" t="str">
        <f ca="1">IFERROR(__xludf.DUMMYFUNCTION("""COMPUTED_VALUE"""),"EL MONTE")</f>
        <v>EL MONTE</v>
      </c>
    </row>
    <row r="1017" spans="1:4">
      <c r="A1017" s="7">
        <f ca="1">IFERROR(__xludf.DUMMYFUNCTION("""COMPUTED_VALUE"""),43997)</f>
        <v>43997</v>
      </c>
      <c r="B1017" s="6" t="str">
        <f ca="1">IFERROR(__xludf.DUMMYFUNCTION("""COMPUTED_VALUE"""),"-33.677657,-70.9977399")</f>
        <v>-33.677657,-70.9977399</v>
      </c>
      <c r="C1017" s="6" t="str">
        <f ca="1">IFERROR(__xludf.DUMMYFUNCTION("""COMPUTED_VALUE"""),"GABRIEL SILVA 783")</f>
        <v>GABRIEL SILVA 783</v>
      </c>
      <c r="D1017" s="6" t="str">
        <f ca="1">IFERROR(__xludf.DUMMYFUNCTION("""COMPUTED_VALUE"""),"EL MONTE")</f>
        <v>EL MONTE</v>
      </c>
    </row>
    <row r="1018" spans="1:4">
      <c r="A1018" s="7">
        <f ca="1">IFERROR(__xludf.DUMMYFUNCTION("""COMPUTED_VALUE"""),43997)</f>
        <v>43997</v>
      </c>
      <c r="B1018" s="6" t="str">
        <f ca="1">IFERROR(__xludf.DUMMYFUNCTION("""COMPUTED_VALUE"""),"-33.693093,-70.987363")</f>
        <v>-33.693093,-70.987363</v>
      </c>
      <c r="C1018" s="6" t="str">
        <f ca="1">IFERROR(__xludf.DUMMYFUNCTION("""COMPUTED_VALUE"""),"PJE CONSTITUCION 539")</f>
        <v>PJE CONSTITUCION 539</v>
      </c>
      <c r="D1018" s="6" t="str">
        <f ca="1">IFERROR(__xludf.DUMMYFUNCTION("""COMPUTED_VALUE"""),"EL MONTE")</f>
        <v>EL MONTE</v>
      </c>
    </row>
    <row r="1019" spans="1:4">
      <c r="A1019" s="7">
        <f ca="1">IFERROR(__xludf.DUMMYFUNCTION("""COMPUTED_VALUE"""),43997)</f>
        <v>43997</v>
      </c>
      <c r="B1019" s="6" t="str">
        <f ca="1">IFERROR(__xludf.DUMMYFUNCTION("""COMPUTED_VALUE"""),"-33.686681,-71.627870")</f>
        <v>-33.686681,-71.627870</v>
      </c>
      <c r="C1019" s="6" t="str">
        <f ca="1">IFERROR(__xludf.DUMMYFUNCTION("""COMPUTED_VALUE"""),"PJE MAIHUE 1359 D")</f>
        <v>PJE MAIHUE 1359 D</v>
      </c>
      <c r="D1019" s="6" t="str">
        <f ca="1">IFERROR(__xludf.DUMMYFUNCTION("""COMPUTED_VALUE"""),"EL MONTE")</f>
        <v>EL MONTE</v>
      </c>
    </row>
    <row r="1020" spans="1:4">
      <c r="A1020" s="7">
        <f ca="1">IFERROR(__xludf.DUMMYFUNCTION("""COMPUTED_VALUE"""),43997)</f>
        <v>43997</v>
      </c>
      <c r="B1020" s="6" t="str">
        <f ca="1">IFERROR(__xludf.DUMMYFUNCTION("""COMPUTED_VALUE"""),"-33.676555,-70.998279")</f>
        <v>-33.676555,-70.998279</v>
      </c>
      <c r="C1020" s="6" t="str">
        <f ca="1">IFERROR(__xludf.DUMMYFUNCTION("""COMPUTED_VALUE"""),"MANUEL MONTT 807")</f>
        <v>MANUEL MONTT 807</v>
      </c>
      <c r="D1020" s="6" t="str">
        <f ca="1">IFERROR(__xludf.DUMMYFUNCTION("""COMPUTED_VALUE"""),"EL MONTE")</f>
        <v>EL MONTE</v>
      </c>
    </row>
    <row r="1021" spans="1:4">
      <c r="A1021" s="7">
        <f ca="1">IFERROR(__xludf.DUMMYFUNCTION("""COMPUTED_VALUE"""),43998)</f>
        <v>43998</v>
      </c>
      <c r="B1021" s="8" t="str">
        <f ca="1">IFERROR(__xludf.DUMMYFUNCTION("""COMPUTED_VALUE"""),"-33.771240,-70.705528")</f>
        <v>-33.771240,-70.705528</v>
      </c>
      <c r="C1021" s="6" t="str">
        <f ca="1">IFERROR(__xludf.DUMMYFUNCTION("""COMPUTED_VALUE"""),"LINDEROS PARC SAN JOSE 2512")</f>
        <v>LINDEROS PARC SAN JOSE 2512</v>
      </c>
      <c r="D1021" s="6" t="str">
        <f ca="1">IFERROR(__xludf.DUMMYFUNCTION("""COMPUTED_VALUE"""),"BUIN")</f>
        <v>BUIN</v>
      </c>
    </row>
    <row r="1022" spans="1:4">
      <c r="A1022" s="7">
        <f ca="1">IFERROR(__xludf.DUMMYFUNCTION("""COMPUTED_VALUE"""),43998)</f>
        <v>43998</v>
      </c>
      <c r="B1022" s="8" t="str">
        <f ca="1">IFERROR(__xludf.DUMMYFUNCTION("""COMPUTED_VALUE"""),"-33.751258.-70.674762")</f>
        <v>-33.751258.-70.674762</v>
      </c>
      <c r="C1022" s="6" t="str">
        <f ca="1">IFERROR(__xludf.DUMMYFUNCTION("""COMPUTED_VALUE"""),"CRUZ DEL SUR 20")</f>
        <v>CRUZ DEL SUR 20</v>
      </c>
      <c r="D1022" s="6" t="str">
        <f ca="1">IFERROR(__xludf.DUMMYFUNCTION("""COMPUTED_VALUE"""),"BUIN")</f>
        <v>BUIN</v>
      </c>
    </row>
    <row r="1023" spans="1:4">
      <c r="A1023" s="7">
        <f ca="1">IFERROR(__xludf.DUMMYFUNCTION("""COMPUTED_VALUE"""),43998)</f>
        <v>43998</v>
      </c>
      <c r="B1023" s="8" t="str">
        <f ca="1">IFERROR(__xludf.DUMMYFUNCTION("""COMPUTED_VALUE"""),"-33.728988,-70.687236")</f>
        <v>-33.728988,-70.687236</v>
      </c>
      <c r="C1023" s="6" t="str">
        <f ca="1">IFERROR(__xludf.DUMMYFUNCTION("""COMPUTED_VALUE"""),"EL ARPA 251")</f>
        <v>EL ARPA 251</v>
      </c>
      <c r="D1023" s="6" t="str">
        <f ca="1">IFERROR(__xludf.DUMMYFUNCTION("""COMPUTED_VALUE"""),"BUIN")</f>
        <v>BUIN</v>
      </c>
    </row>
    <row r="1024" spans="1:4">
      <c r="A1024" s="7">
        <f ca="1">IFERROR(__xludf.DUMMYFUNCTION("""COMPUTED_VALUE"""),43998)</f>
        <v>43998</v>
      </c>
      <c r="B1024" s="8" t="str">
        <f ca="1">IFERROR(__xludf.DUMMYFUNCTION("""COMPUTED_VALUE"""),"-33.733457,-70.757034")</f>
        <v>-33.733457,-70.757034</v>
      </c>
      <c r="C1024" s="6" t="str">
        <f ca="1">IFERROR(__xludf.DUMMYFUNCTION("""COMPUTED_VALUE"""),"ENRIQUE RODRIGUEZ 1575")</f>
        <v>ENRIQUE RODRIGUEZ 1575</v>
      </c>
      <c r="D1024" s="6" t="str">
        <f ca="1">IFERROR(__xludf.DUMMYFUNCTION("""COMPUTED_VALUE"""),"BUIN")</f>
        <v>BUIN</v>
      </c>
    </row>
    <row r="1025" spans="1:4">
      <c r="A1025" s="7">
        <f ca="1">IFERROR(__xludf.DUMMYFUNCTION("""COMPUTED_VALUE"""),43998)</f>
        <v>43998</v>
      </c>
      <c r="B1025" s="8" t="str">
        <f ca="1">IFERROR(__xludf.DUMMYFUNCTION("""COMPUTED_VALUE"""),"-33.7619281,-70.737395")</f>
        <v>-33.7619281,-70.737395</v>
      </c>
      <c r="C1025" s="6" t="str">
        <f ca="1">IFERROR(__xludf.DUMMYFUNCTION("""COMPUTED_VALUE"""),"FLOR DE AROMO 313")</f>
        <v>FLOR DE AROMO 313</v>
      </c>
      <c r="D1025" s="6" t="str">
        <f ca="1">IFERROR(__xludf.DUMMYFUNCTION("""COMPUTED_VALUE"""),"BUIN")</f>
        <v>BUIN</v>
      </c>
    </row>
    <row r="1026" spans="1:4">
      <c r="A1026" s="7">
        <f ca="1">IFERROR(__xludf.DUMMYFUNCTION("""COMPUTED_VALUE"""),43998)</f>
        <v>43998</v>
      </c>
      <c r="B1026" s="8" t="str">
        <f ca="1">IFERROR(__xludf.DUMMYFUNCTION("""COMPUTED_VALUE"""),"-33.748760,-70.750168")</f>
        <v>-33.748760,-70.750168</v>
      </c>
      <c r="C1026" s="6" t="str">
        <f ca="1">IFERROR(__xludf.DUMMYFUNCTION("""COMPUTED_VALUE"""),"ELOY GONZALEZ 785")</f>
        <v>ELOY GONZALEZ 785</v>
      </c>
      <c r="D1026" s="6" t="str">
        <f ca="1">IFERROR(__xludf.DUMMYFUNCTION("""COMPUTED_VALUE"""),"BUIN")</f>
        <v>BUIN</v>
      </c>
    </row>
    <row r="1027" spans="1:4">
      <c r="A1027" s="7">
        <f ca="1">IFERROR(__xludf.DUMMYFUNCTION("""COMPUTED_VALUE"""),43998)</f>
        <v>43998</v>
      </c>
      <c r="B1027" s="8" t="str">
        <f ca="1">IFERROR(__xludf.DUMMYFUNCTION("""COMPUTED_VALUE"""),"-33.6536249,-70.9089515")</f>
        <v>-33.6536249,-70.9089515</v>
      </c>
      <c r="C1027" s="6" t="str">
        <f ca="1">IFERROR(__xludf.DUMMYFUNCTION("""COMPUTED_VALUE"""),"LOS QUILLAYES 549")</f>
        <v>LOS QUILLAYES 549</v>
      </c>
      <c r="D1027" s="6" t="str">
        <f ca="1">IFERROR(__xludf.DUMMYFUNCTION("""COMPUTED_VALUE"""),"TALAGANTE")</f>
        <v>TALAGANTE</v>
      </c>
    </row>
    <row r="1028" spans="1:4">
      <c r="A1028" s="7">
        <f ca="1">IFERROR(__xludf.DUMMYFUNCTION("""COMPUTED_VALUE"""),43998)</f>
        <v>43998</v>
      </c>
      <c r="B1028" s="6" t="str">
        <f ca="1">IFERROR(__xludf.DUMMYFUNCTION("""COMPUTED_VALUE"""),"-33.327626-70.762797")</f>
        <v>-33.327626-70.762797</v>
      </c>
      <c r="C1028" s="6" t="str">
        <f ca="1">IFERROR(__xludf.DUMMYFUNCTION("""COMPUTED_VALUE"""),"TOTORALILLO 703")</f>
        <v>TOTORALILLO 703</v>
      </c>
      <c r="D1028" s="6" t="str">
        <f ca="1">IFERROR(__xludf.DUMMYFUNCTION("""COMPUTED_VALUE"""),"LAMPA")</f>
        <v>LAMPA</v>
      </c>
    </row>
    <row r="1029" spans="1:4">
      <c r="A1029" s="7">
        <f ca="1">IFERROR(__xludf.DUMMYFUNCTION("""COMPUTED_VALUE"""),43998)</f>
        <v>43998</v>
      </c>
      <c r="B1029" s="6" t="str">
        <f ca="1">IFERROR(__xludf.DUMMYFUNCTION("""COMPUTED_VALUE"""),"-33.327602-70.763251")</f>
        <v>-33.327602-70.763251</v>
      </c>
      <c r="C1029" s="6" t="str">
        <f ca="1">IFERROR(__xludf.DUMMYFUNCTION("""COMPUTED_VALUE"""),"TOTORALILLO 768")</f>
        <v>TOTORALILLO 768</v>
      </c>
      <c r="D1029" s="6" t="str">
        <f ca="1">IFERROR(__xludf.DUMMYFUNCTION("""COMPUTED_VALUE"""),"LAMPA")</f>
        <v>LAMPA</v>
      </c>
    </row>
    <row r="1030" spans="1:4">
      <c r="A1030" s="7">
        <f ca="1">IFERROR(__xludf.DUMMYFUNCTION("""COMPUTED_VALUE"""),43998)</f>
        <v>43998</v>
      </c>
      <c r="B1030" s="6" t="str">
        <f ca="1">IFERROR(__xludf.DUMMYFUNCTION("""COMPUTED_VALUE"""),"-33.593800-70.850665")</f>
        <v>-33.593800-70.850665</v>
      </c>
      <c r="C1030" s="6" t="str">
        <f ca="1">IFERROR(__xludf.DUMMYFUNCTION("""COMPUTED_VALUE"""),"PAJARITOS 10 B")</f>
        <v>PAJARITOS 10 B</v>
      </c>
      <c r="D1030" s="6" t="str">
        <f ca="1">IFERROR(__xludf.DUMMYFUNCTION("""COMPUTED_VALUE"""),"PEÑAFLOR")</f>
        <v>PEÑAFLOR</v>
      </c>
    </row>
    <row r="1031" spans="1:4">
      <c r="A1031" s="7">
        <f ca="1">IFERROR(__xludf.DUMMYFUNCTION("""COMPUTED_VALUE"""),43998)</f>
        <v>43998</v>
      </c>
      <c r="B1031" s="6" t="str">
        <f ca="1">IFERROR(__xludf.DUMMYFUNCTION("""COMPUTED_VALUE"""),"-33.6076-70.8914")</f>
        <v>-33.6076-70.8914</v>
      </c>
      <c r="C1031" s="6" t="str">
        <f ca="1">IFERROR(__xludf.DUMMYFUNCTION("""COMPUTED_VALUE"""),"CANTARITO DE GREDA 2824")</f>
        <v>CANTARITO DE GREDA 2824</v>
      </c>
      <c r="D1031" s="6" t="str">
        <f ca="1">IFERROR(__xludf.DUMMYFUNCTION("""COMPUTED_VALUE"""),"PEÑAFLOR")</f>
        <v>PEÑAFLOR</v>
      </c>
    </row>
    <row r="1032" spans="1:4">
      <c r="A1032" s="7">
        <f ca="1">IFERROR(__xludf.DUMMYFUNCTION("""COMPUTED_VALUE"""),43998)</f>
        <v>43998</v>
      </c>
      <c r="B1032" s="6" t="str">
        <f ca="1">IFERROR(__xludf.DUMMYFUNCTION("""COMPUTED_VALUE"""),"-33.6127522-70.8908503")</f>
        <v>-33.6127522-70.8908503</v>
      </c>
      <c r="C1032" s="6" t="str">
        <f ca="1">IFERROR(__xludf.DUMMYFUNCTION("""COMPUTED_VALUE"""),"SIGLO XXI 2875")</f>
        <v>SIGLO XXI 2875</v>
      </c>
      <c r="D1032" s="6" t="str">
        <f ca="1">IFERROR(__xludf.DUMMYFUNCTION("""COMPUTED_VALUE"""),"PEÑAFLOR")</f>
        <v>PEÑAFLOR</v>
      </c>
    </row>
    <row r="1033" spans="1:4">
      <c r="A1033" s="7">
        <f ca="1">IFERROR(__xludf.DUMMYFUNCTION("""COMPUTED_VALUE"""),43998)</f>
        <v>43998</v>
      </c>
      <c r="B1033" s="6" t="str">
        <f ca="1">IFERROR(__xludf.DUMMYFUNCTION("""COMPUTED_VALUE"""),"-33.5846-70.8092")</f>
        <v>-33.5846-70.8092</v>
      </c>
      <c r="C1033" s="6" t="str">
        <f ca="1">IFERROR(__xludf.DUMMYFUNCTION("""COMPUTED_VALUE"""),"SAN IGNACIO 21")</f>
        <v>SAN IGNACIO 21</v>
      </c>
      <c r="D1033" s="6" t="str">
        <f ca="1">IFERROR(__xludf.DUMMYFUNCTION("""COMPUTED_VALUE"""),"PADRE HURTADO")</f>
        <v>PADRE HURTADO</v>
      </c>
    </row>
    <row r="1034" spans="1:4">
      <c r="A1034" s="7">
        <f ca="1">IFERROR(__xludf.DUMMYFUNCTION("""COMPUTED_VALUE"""),43998)</f>
        <v>43998</v>
      </c>
      <c r="B1034" s="6" t="str">
        <f ca="1">IFERROR(__xludf.DUMMYFUNCTION("""COMPUTED_VALUE"""),"-33.551199-70.819382")</f>
        <v>-33.551199-70.819382</v>
      </c>
      <c r="C1034" s="6" t="str">
        <f ca="1">IFERROR(__xludf.DUMMYFUNCTION("""COMPUTED_VALUE"""),"PRESIDENTE MANUEL MONTT 863")</f>
        <v>PRESIDENTE MANUEL MONTT 863</v>
      </c>
      <c r="D1034" s="6" t="str">
        <f ca="1">IFERROR(__xludf.DUMMYFUNCTION("""COMPUTED_VALUE"""),"PADRE HURTADO")</f>
        <v>PADRE HURTADO</v>
      </c>
    </row>
    <row r="1035" spans="1:4">
      <c r="A1035" s="7">
        <f ca="1">IFERROR(__xludf.DUMMYFUNCTION("""COMPUTED_VALUE"""),43998)</f>
        <v>43998</v>
      </c>
      <c r="B1035" s="6" t="str">
        <f ca="1">IFERROR(__xludf.DUMMYFUNCTION("""COMPUTED_VALUE"""),"-33.689167,-71.031762")</f>
        <v>-33.689167,-71.031762</v>
      </c>
      <c r="C1035" s="6" t="str">
        <f ca="1">IFERROR(__xludf.DUMMYFUNCTION("""COMPUTED_VALUE"""),"PJE PERU 088")</f>
        <v>PJE PERU 088</v>
      </c>
      <c r="D1035" s="6" t="str">
        <f ca="1">IFERROR(__xludf.DUMMYFUNCTION("""COMPUTED_VALUE"""),"EL MONTE")</f>
        <v>EL MONTE</v>
      </c>
    </row>
    <row r="1036" spans="1:4">
      <c r="A1036" s="7">
        <f ca="1">IFERROR(__xludf.DUMMYFUNCTION("""COMPUTED_VALUE"""),43998)</f>
        <v>43998</v>
      </c>
      <c r="B1036" s="6" t="str">
        <f ca="1">IFERROR(__xludf.DUMMYFUNCTION("""COMPUTED_VALUE"""),"-33.689199,-71.032527")</f>
        <v>-33.689199,-71.032527</v>
      </c>
      <c r="C1036" s="6" t="str">
        <f ca="1">IFERROR(__xludf.DUMMYFUNCTION("""COMPUTED_VALUE"""),"SURINAME 091- B 0")</f>
        <v>SURINAME 091- B 0</v>
      </c>
      <c r="D1036" s="6" t="str">
        <f ca="1">IFERROR(__xludf.DUMMYFUNCTION("""COMPUTED_VALUE"""),"EL MONTE")</f>
        <v>EL MONTE</v>
      </c>
    </row>
    <row r="1037" spans="1:4">
      <c r="A1037" s="7">
        <f ca="1">IFERROR(__xludf.DUMMYFUNCTION("""COMPUTED_VALUE"""),43998)</f>
        <v>43998</v>
      </c>
      <c r="B1037" s="6" t="str">
        <f ca="1">IFERROR(__xludf.DUMMYFUNCTION("""COMPUTED_VALUE"""),"-33.682961,-70.988220")</f>
        <v>-33.682961,-70.988220</v>
      </c>
      <c r="C1037" s="6" t="str">
        <f ca="1">IFERROR(__xludf.DUMMYFUNCTION("""COMPUTED_VALUE"""),"MOISES CHACON 46")</f>
        <v>MOISES CHACON 46</v>
      </c>
      <c r="D1037" s="6" t="str">
        <f ca="1">IFERROR(__xludf.DUMMYFUNCTION("""COMPUTED_VALUE"""),"EL MONTE")</f>
        <v>EL MONTE</v>
      </c>
    </row>
    <row r="1038" spans="1:4">
      <c r="A1038" s="7">
        <f ca="1">IFERROR(__xludf.DUMMYFUNCTION("""COMPUTED_VALUE"""),43998)</f>
        <v>43998</v>
      </c>
      <c r="B1038" s="6" t="str">
        <f ca="1">IFERROR(__xludf.DUMMYFUNCTION("""COMPUTED_VALUE"""),"-33.682926,-71.003324")</f>
        <v>-33.682926,-71.003324</v>
      </c>
      <c r="C1038" s="6" t="str">
        <f ca="1">IFERROR(__xludf.DUMMYFUNCTION("""COMPUTED_VALUE"""),"DOCTRINA DE INDIOS 33")</f>
        <v>DOCTRINA DE INDIOS 33</v>
      </c>
      <c r="D1038" s="6" t="str">
        <f ca="1">IFERROR(__xludf.DUMMYFUNCTION("""COMPUTED_VALUE"""),"EL MONTE")</f>
        <v>EL MONTE</v>
      </c>
    </row>
    <row r="1039" spans="1:4">
      <c r="A1039" s="7">
        <f ca="1">IFERROR(__xludf.DUMMYFUNCTION("""COMPUTED_VALUE"""),43998)</f>
        <v>43998</v>
      </c>
      <c r="B1039" s="6" t="str">
        <f ca="1">IFERROR(__xludf.DUMMYFUNCTION("""COMPUTED_VALUE"""),"-33.279051-70.754045")</f>
        <v>-33.279051-70.754045</v>
      </c>
      <c r="C1039" s="6" t="str">
        <f ca="1">IFERROR(__xludf.DUMMYFUNCTION("""COMPUTED_VALUE"""),"PJE LOS 75-34")</f>
        <v>PJE LOS 75-34</v>
      </c>
      <c r="D1039" s="6" t="str">
        <f ca="1">IFERROR(__xludf.DUMMYFUNCTION("""COMPUTED_VALUE"""),"LAMPA")</f>
        <v>LAMPA</v>
      </c>
    </row>
    <row r="1040" spans="1:4">
      <c r="A1040" s="7">
        <f ca="1">IFERROR(__xludf.DUMMYFUNCTION("""COMPUTED_VALUE"""),43999)</f>
        <v>43999</v>
      </c>
      <c r="B1040" s="8" t="str">
        <f ca="1">IFERROR(__xludf.DUMMYFUNCTION("""COMPUTED_VALUE"""),"-33.654408,-70.925017")</f>
        <v>-33.654408,-70.925017</v>
      </c>
      <c r="C1040" s="6" t="str">
        <f ca="1">IFERROR(__xludf.DUMMYFUNCTION("""COMPUTED_VALUE"""),"GABREILA MISTRAL 246")</f>
        <v>GABREILA MISTRAL 246</v>
      </c>
      <c r="D1040" s="6" t="str">
        <f ca="1">IFERROR(__xludf.DUMMYFUNCTION("""COMPUTED_VALUE"""),"TALAGANTE")</f>
        <v>TALAGANTE</v>
      </c>
    </row>
    <row r="1041" spans="1:4">
      <c r="A1041" s="7">
        <f ca="1">IFERROR(__xludf.DUMMYFUNCTION("""COMPUTED_VALUE"""),43999)</f>
        <v>43999</v>
      </c>
      <c r="B1041" s="8" t="str">
        <f ca="1">IFERROR(__xludf.DUMMYFUNCTION("""COMPUTED_VALUE"""),"-33.761723,-70.727806")</f>
        <v>-33.761723,-70.727806</v>
      </c>
      <c r="C1041" s="6" t="str">
        <f ca="1">IFERROR(__xludf.DUMMYFUNCTION("""COMPUTED_VALUE"""),"ALTO JAHUEL 500 LOTE 2")</f>
        <v>ALTO JAHUEL 500 LOTE 2</v>
      </c>
      <c r="D1041" s="6" t="str">
        <f ca="1">IFERROR(__xludf.DUMMYFUNCTION("""COMPUTED_VALUE"""),"BUIN")</f>
        <v>BUIN</v>
      </c>
    </row>
    <row r="1042" spans="1:4">
      <c r="A1042" s="7">
        <f ca="1">IFERROR(__xludf.DUMMYFUNCTION("""COMPUTED_VALUE"""),43999)</f>
        <v>43999</v>
      </c>
      <c r="B1042" s="8" t="str">
        <f ca="1">IFERROR(__xludf.DUMMYFUNCTION("""COMPUTED_VALUE"""),"-33.725061,-70.744970")</f>
        <v>-33.725061,-70.744970</v>
      </c>
      <c r="C1042" s="6" t="str">
        <f ca="1">IFERROR(__xludf.DUMMYFUNCTION("""COMPUTED_VALUE"""),"MANUEL BULNES 361")</f>
        <v>MANUEL BULNES 361</v>
      </c>
      <c r="D1042" s="6" t="str">
        <f ca="1">IFERROR(__xludf.DUMMYFUNCTION("""COMPUTED_VALUE"""),"BUIN")</f>
        <v>BUIN</v>
      </c>
    </row>
    <row r="1043" spans="1:4">
      <c r="A1043" s="7">
        <f ca="1">IFERROR(__xludf.DUMMYFUNCTION("""COMPUTED_VALUE"""),43999)</f>
        <v>43999</v>
      </c>
      <c r="B1043" s="8" t="str">
        <f ca="1">IFERROR(__xludf.DUMMYFUNCTION("""COMPUTED_VALUE"""),"-33.724344,-70.743670")</f>
        <v>-33.724344,-70.743670</v>
      </c>
      <c r="C1043" s="6" t="str">
        <f ca="1">IFERROR(__xludf.DUMMYFUNCTION("""COMPUTED_VALUE"""),"PASAJE VEINTIUNO 0405")</f>
        <v>PASAJE VEINTIUNO 0405</v>
      </c>
      <c r="D1043" s="6" t="str">
        <f ca="1">IFERROR(__xludf.DUMMYFUNCTION("""COMPUTED_VALUE"""),"BUIN")</f>
        <v>BUIN</v>
      </c>
    </row>
    <row r="1044" spans="1:4">
      <c r="A1044" s="10">
        <f ca="1">IFERROR(__xludf.DUMMYFUNCTION("""COMPUTED_VALUE"""),43999)</f>
        <v>43999</v>
      </c>
      <c r="B1044" s="11" t="str">
        <f ca="1">IFERROR(__xludf.DUMMYFUNCTION("""COMPUTED_VALUE"""),"-33.735095,-70.784961
")</f>
        <v xml:space="preserve">-33.735095,-70.784961
</v>
      </c>
      <c r="C1044" s="9" t="str">
        <f ca="1">IFERROR(__xludf.DUMMYFUNCTION("""COMPUTED_VALUE"""),"MOLINA 623")</f>
        <v>MOLINA 623</v>
      </c>
      <c r="D1044" s="9" t="str">
        <f ca="1">IFERROR(__xludf.DUMMYFUNCTION("""COMPUTED_VALUE"""),"BUIN")</f>
        <v>BUIN</v>
      </c>
    </row>
    <row r="1045" spans="1:4">
      <c r="A1045" s="7">
        <f ca="1">IFERROR(__xludf.DUMMYFUNCTION("""COMPUTED_VALUE"""),43999)</f>
        <v>43999</v>
      </c>
      <c r="B1045" s="8" t="str">
        <f ca="1">IFERROR(__xludf.DUMMYFUNCTION("""COMPUTED_VALUE"""),"-33.807457,-70.852681")</f>
        <v>-33.807457,-70.852681</v>
      </c>
      <c r="C1045" s="6" t="str">
        <f ca="1">IFERROR(__xludf.DUMMYFUNCTION("""COMPUTED_VALUE"""),"LOS AROMOS 364")</f>
        <v>LOS AROMOS 364</v>
      </c>
      <c r="D1045" s="6" t="str">
        <f ca="1">IFERROR(__xludf.DUMMYFUNCTION("""COMPUTED_VALUE"""),"BUIN")</f>
        <v>BUIN</v>
      </c>
    </row>
    <row r="1046" spans="1:4">
      <c r="A1046" s="7">
        <f ca="1">IFERROR(__xludf.DUMMYFUNCTION("""COMPUTED_VALUE"""),43999)</f>
        <v>43999</v>
      </c>
      <c r="B1046" s="6" t="str">
        <f ca="1">IFERROR(__xludf.DUMMYFUNCTION("""COMPUTED_VALUE"""),"-33.601900-70.888330")</f>
        <v>-33.601900-70.888330</v>
      </c>
      <c r="C1046" s="6" t="str">
        <f ca="1">IFERROR(__xludf.DUMMYFUNCTION("""COMPUTED_VALUE"""),"MALLOQUITO 3110")</f>
        <v>MALLOQUITO 3110</v>
      </c>
      <c r="D1046" s="6" t="str">
        <f ca="1">IFERROR(__xludf.DUMMYFUNCTION("""COMPUTED_VALUE"""),"PEÑAFLOR")</f>
        <v>PEÑAFLOR</v>
      </c>
    </row>
    <row r="1047" spans="1:4">
      <c r="A1047" s="7">
        <f ca="1">IFERROR(__xludf.DUMMYFUNCTION("""COMPUTED_VALUE"""),43999)</f>
        <v>43999</v>
      </c>
      <c r="B1047" s="6" t="str">
        <f ca="1">IFERROR(__xludf.DUMMYFUNCTION("""COMPUTED_VALUE"""),"-33.601843-70.887997")</f>
        <v>-33.601843-70.887997</v>
      </c>
      <c r="C1047" s="6" t="str">
        <f ca="1">IFERROR(__xludf.DUMMYFUNCTION("""COMPUTED_VALUE"""),"MALLOQUITO 3100")</f>
        <v>MALLOQUITO 3100</v>
      </c>
      <c r="D1047" s="6" t="str">
        <f ca="1">IFERROR(__xludf.DUMMYFUNCTION("""COMPUTED_VALUE"""),"PEÑAFLOR")</f>
        <v>PEÑAFLOR</v>
      </c>
    </row>
    <row r="1048" spans="1:4">
      <c r="A1048" s="7">
        <f ca="1">IFERROR(__xludf.DUMMYFUNCTION("""COMPUTED_VALUE"""),44000)</f>
        <v>44000</v>
      </c>
      <c r="B1048" s="8" t="str">
        <f ca="1">IFERROR(__xludf.DUMMYFUNCTION("""COMPUTED_VALUE"""),"-33.727659,-70.744093")</f>
        <v>-33.727659,-70.744093</v>
      </c>
      <c r="C1048" s="6" t="str">
        <f ca="1">IFERROR(__xludf.DUMMYFUNCTION("""COMPUTED_VALUE"""),"CALLIPI 055")</f>
        <v>CALLIPI 055</v>
      </c>
      <c r="D1048" s="6" t="str">
        <f ca="1">IFERROR(__xludf.DUMMYFUNCTION("""COMPUTED_VALUE"""),"BUIN")</f>
        <v>BUIN</v>
      </c>
    </row>
    <row r="1049" spans="1:4">
      <c r="A1049" s="7">
        <f ca="1">IFERROR(__xludf.DUMMYFUNCTION("""COMPUTED_VALUE"""),44000)</f>
        <v>44000</v>
      </c>
      <c r="B1049" s="8" t="str">
        <f ca="1">IFERROR(__xludf.DUMMYFUNCTION("""COMPUTED_VALUE"""),"-33.725004,-70.744101")</f>
        <v>-33.725004,-70.744101</v>
      </c>
      <c r="C1049" s="6" t="str">
        <f ca="1">IFERROR(__xludf.DUMMYFUNCTION("""COMPUTED_VALUE"""),"ORLANDO GUAITA 603")</f>
        <v>ORLANDO GUAITA 603</v>
      </c>
      <c r="D1049" s="6" t="str">
        <f ca="1">IFERROR(__xludf.DUMMYFUNCTION("""COMPUTED_VALUE"""),"BUIN")</f>
        <v>BUIN</v>
      </c>
    </row>
    <row r="1050" spans="1:4">
      <c r="A1050" s="7">
        <f ca="1">IFERROR(__xludf.DUMMYFUNCTION("""COMPUTED_VALUE"""),44000)</f>
        <v>44000</v>
      </c>
      <c r="B1050" s="8" t="str">
        <f ca="1">IFERROR(__xludf.DUMMYFUNCTION("""COMPUTED_VALUE"""),"-33.696934,-70.673795")</f>
        <v>-33.696934,-70.673795</v>
      </c>
      <c r="C1050" s="6" t="str">
        <f ca="1">IFERROR(__xludf.DUMMYFUNCTION("""COMPUTED_VALUE"""),"PADRE HURTADO 13-645")</f>
        <v>PADRE HURTADO 13-645</v>
      </c>
      <c r="D1050" s="6" t="str">
        <f ca="1">IFERROR(__xludf.DUMMYFUNCTION("""COMPUTED_VALUE"""),"BUIN")</f>
        <v>BUIN</v>
      </c>
    </row>
    <row r="1051" spans="1:4">
      <c r="A1051" s="7">
        <f ca="1">IFERROR(__xludf.DUMMYFUNCTION("""COMPUTED_VALUE"""),44000)</f>
        <v>44000</v>
      </c>
      <c r="B1051" s="8" t="str">
        <f ca="1">IFERROR(__xludf.DUMMYFUNCTION("""COMPUTED_VALUE"""),"-33.712776,-70.742003")</f>
        <v>-33.712776,-70.742003</v>
      </c>
      <c r="C1051" s="6" t="str">
        <f ca="1">IFERROR(__xludf.DUMMYFUNCTION("""COMPUTED_VALUE"""),"NUESTRA ILUSION 0165")</f>
        <v>NUESTRA ILUSION 0165</v>
      </c>
      <c r="D1051" s="6" t="str">
        <f ca="1">IFERROR(__xludf.DUMMYFUNCTION("""COMPUTED_VALUE"""),"BUIN")</f>
        <v>BUIN</v>
      </c>
    </row>
    <row r="1052" spans="1:4">
      <c r="A1052" s="7">
        <f ca="1">IFERROR(__xludf.DUMMYFUNCTION("""COMPUTED_VALUE"""),44000)</f>
        <v>44000</v>
      </c>
      <c r="B1052" s="8" t="str">
        <f ca="1">IFERROR(__xludf.DUMMYFUNCTION("""COMPUTED_VALUE"""),"-33.726431,-70.744506")</f>
        <v>-33.726431,-70.744506</v>
      </c>
      <c r="C1052" s="6" t="str">
        <f ca="1">IFERROR(__xludf.DUMMYFUNCTION("""COMPUTED_VALUE"""),"MANUEL BULNES 229")</f>
        <v>MANUEL BULNES 229</v>
      </c>
      <c r="D1052" s="6" t="str">
        <f ca="1">IFERROR(__xludf.DUMMYFUNCTION("""COMPUTED_VALUE"""),"BUIN")</f>
        <v>BUIN</v>
      </c>
    </row>
    <row r="1053" spans="1:4">
      <c r="A1053" s="7">
        <f ca="1">IFERROR(__xludf.DUMMYFUNCTION("""COMPUTED_VALUE"""),44000)</f>
        <v>44000</v>
      </c>
      <c r="B1053" s="8" t="str">
        <f ca="1">IFERROR(__xludf.DUMMYFUNCTION("""COMPUTED_VALUE"""),"-33.766800,-70.732783")</f>
        <v>-33.766800,-70.732783</v>
      </c>
      <c r="C1053" s="6" t="str">
        <f ca="1">IFERROR(__xludf.DUMMYFUNCTION("""COMPUTED_VALUE"""),"CAMINO EL CERRILLO 475")</f>
        <v>CAMINO EL CERRILLO 475</v>
      </c>
      <c r="D1053" s="6" t="str">
        <f ca="1">IFERROR(__xludf.DUMMYFUNCTION("""COMPUTED_VALUE"""),"BUIN")</f>
        <v>BUIN</v>
      </c>
    </row>
    <row r="1054" spans="1:4">
      <c r="A1054" s="7">
        <f ca="1">IFERROR(__xludf.DUMMYFUNCTION("""COMPUTED_VALUE"""),44000)</f>
        <v>44000</v>
      </c>
      <c r="B1054" s="8" t="str">
        <f ca="1">IFERROR(__xludf.DUMMYFUNCTION("""COMPUTED_VALUE"""),"-33.649656,-70.927921")</f>
        <v>-33.649656,-70.927921</v>
      </c>
      <c r="C1054" s="6" t="str">
        <f ca="1">IFERROR(__xludf.DUMMYFUNCTION("""COMPUTED_VALUE"""),"MIRAFLORES 267")</f>
        <v>MIRAFLORES 267</v>
      </c>
      <c r="D1054" s="6" t="str">
        <f ca="1">IFERROR(__xludf.DUMMYFUNCTION("""COMPUTED_VALUE"""),"TALAGANTE")</f>
        <v>TALAGANTE</v>
      </c>
    </row>
    <row r="1055" spans="1:4">
      <c r="A1055" s="7">
        <f ca="1">IFERROR(__xludf.DUMMYFUNCTION("""COMPUTED_VALUE"""),44000)</f>
        <v>44000</v>
      </c>
      <c r="B1055" s="8" t="str">
        <f ca="1">IFERROR(__xludf.DUMMYFUNCTION("""COMPUTED_VALUE"""),"-33.6665300,-70.9172466")</f>
        <v>-33.6665300,-70.9172466</v>
      </c>
      <c r="C1055" s="6" t="str">
        <f ca="1">IFERROR(__xludf.DUMMYFUNCTION("""COMPUTED_VALUE"""),"LOS TEJEDORES 1530")</f>
        <v>LOS TEJEDORES 1530</v>
      </c>
      <c r="D1055" s="6" t="str">
        <f ca="1">IFERROR(__xludf.DUMMYFUNCTION("""COMPUTED_VALUE"""),"TALAGANTE")</f>
        <v>TALAGANTE</v>
      </c>
    </row>
    <row r="1056" spans="1:4">
      <c r="A1056" s="7">
        <f ca="1">IFERROR(__xludf.DUMMYFUNCTION("""COMPUTED_VALUE"""),44000)</f>
        <v>44000</v>
      </c>
      <c r="B1056" s="6" t="str">
        <f ca="1">IFERROR(__xludf.DUMMYFUNCTION("""COMPUTED_VALUE"""),"-33.612141-70.897255")</f>
        <v>-33.612141-70.897255</v>
      </c>
      <c r="C1056" s="6" t="str">
        <f ca="1">IFERROR(__xludf.DUMMYFUNCTION("""COMPUTED_VALUE"""),"EL OMBU PONIENTE 61")</f>
        <v>EL OMBU PONIENTE 61</v>
      </c>
      <c r="D1056" s="6" t="str">
        <f ca="1">IFERROR(__xludf.DUMMYFUNCTION("""COMPUTED_VALUE"""),"PEÑAFLOR")</f>
        <v>PEÑAFLOR</v>
      </c>
    </row>
    <row r="1057" spans="1:4">
      <c r="A1057" s="7">
        <f ca="1">IFERROR(__xludf.DUMMYFUNCTION("""COMPUTED_VALUE"""),44000)</f>
        <v>44000</v>
      </c>
      <c r="B1057" s="6" t="str">
        <f ca="1">IFERROR(__xludf.DUMMYFUNCTION("""COMPUTED_VALUE"""),"-33.6023-70.8720")</f>
        <v>-33.6023-70.8720</v>
      </c>
      <c r="C1057" s="6" t="str">
        <f ca="1">IFERROR(__xludf.DUMMYFUNCTION("""COMPUTED_VALUE"""),"SANTA VICTORIA 1781")</f>
        <v>SANTA VICTORIA 1781</v>
      </c>
      <c r="D1057" s="6" t="str">
        <f ca="1">IFERROR(__xludf.DUMMYFUNCTION("""COMPUTED_VALUE"""),"PEÑAFLOR")</f>
        <v>PEÑAFLOR</v>
      </c>
    </row>
    <row r="1058" spans="1:4">
      <c r="A1058" s="7">
        <f ca="1">IFERROR(__xludf.DUMMYFUNCTION("""COMPUTED_VALUE"""),44000)</f>
        <v>44000</v>
      </c>
      <c r="B1058" s="6" t="str">
        <f ca="1">IFERROR(__xludf.DUMMYFUNCTION("""COMPUTED_VALUE"""),"-33.609716-70.881398")</f>
        <v>-33.609716-70.881398</v>
      </c>
      <c r="C1058" s="6" t="str">
        <f ca="1">IFERROR(__xludf.DUMMYFUNCTION("""COMPUTED_VALUE"""),"RUPANCO 1332")</f>
        <v>RUPANCO 1332</v>
      </c>
      <c r="D1058" s="6" t="str">
        <f ca="1">IFERROR(__xludf.DUMMYFUNCTION("""COMPUTED_VALUE"""),"PEÑAFLOR")</f>
        <v>PEÑAFLOR</v>
      </c>
    </row>
    <row r="1059" spans="1:4">
      <c r="A1059" s="7">
        <f ca="1">IFERROR(__xludf.DUMMYFUNCTION("""COMPUTED_VALUE"""),44000)</f>
        <v>44000</v>
      </c>
      <c r="B1059" s="6" t="str">
        <f ca="1">IFERROR(__xludf.DUMMYFUNCTION("""COMPUTED_VALUE"""),"-33.6062099-70.8874549")</f>
        <v>-33.6062099-70.8874549</v>
      </c>
      <c r="C1059" s="6" t="str">
        <f ca="1">IFERROR(__xludf.DUMMYFUNCTION("""COMPUTED_VALUE"""),"CANELO 1075")</f>
        <v>CANELO 1075</v>
      </c>
      <c r="D1059" s="6" t="str">
        <f ca="1">IFERROR(__xludf.DUMMYFUNCTION("""COMPUTED_VALUE"""),"PEÑAFLOR")</f>
        <v>PEÑAFLOR</v>
      </c>
    </row>
    <row r="1060" spans="1:4">
      <c r="A1060" s="7">
        <f ca="1">IFERROR(__xludf.DUMMYFUNCTION("""COMPUTED_VALUE"""),44000)</f>
        <v>44000</v>
      </c>
      <c r="B1060" s="6" t="str">
        <f ca="1">IFERROR(__xludf.DUMMYFUNCTION("""COMPUTED_VALUE"""),"-33.5976813-70.8796684")</f>
        <v>-33.5976813-70.8796684</v>
      </c>
      <c r="C1060" s="6" t="str">
        <f ca="1">IFERROR(__xludf.DUMMYFUNCTION("""COMPUTED_VALUE"""),"AV. SALVADOR SILVA 2722")</f>
        <v>AV. SALVADOR SILVA 2722</v>
      </c>
      <c r="D1060" s="6" t="str">
        <f ca="1">IFERROR(__xludf.DUMMYFUNCTION("""COMPUTED_VALUE"""),"PEÑAFLOR")</f>
        <v>PEÑAFLOR</v>
      </c>
    </row>
    <row r="1061" spans="1:4">
      <c r="A1061" s="7">
        <f ca="1">IFERROR(__xludf.DUMMYFUNCTION("""COMPUTED_VALUE"""),44000)</f>
        <v>44000</v>
      </c>
      <c r="B1061" s="6" t="str">
        <f ca="1">IFERROR(__xludf.DUMMYFUNCTION("""COMPUTED_VALUE"""),"-33.632436,-70.878937")</f>
        <v>-33.632436,-70.878937</v>
      </c>
      <c r="C1061" s="6" t="str">
        <f ca="1">IFERROR(__xludf.DUMMYFUNCTION("""COMPUTED_VALUE"""),"LAS ARB DE NONGUEN 0467")</f>
        <v>LAS ARB DE NONGUEN 0467</v>
      </c>
      <c r="D1061" s="6" t="str">
        <f ca="1">IFERROR(__xludf.DUMMYFUNCTION("""COMPUTED_VALUE"""),"TALAGANTE")</f>
        <v>TALAGANTE</v>
      </c>
    </row>
    <row r="1062" spans="1:4">
      <c r="A1062" s="7">
        <f ca="1">IFERROR(__xludf.DUMMYFUNCTION("""COMPUTED_VALUE"""),44000)</f>
        <v>44000</v>
      </c>
      <c r="B1062" s="6" t="str">
        <f ca="1">IFERROR(__xludf.DUMMYFUNCTION("""COMPUTED_VALUE"""),"-33.709955,70.853359")</f>
        <v>-33.709955,70.853359</v>
      </c>
      <c r="C1062" s="6" t="str">
        <f ca="1">IFERROR(__xludf.DUMMYFUNCTION("""COMPUTED_VALUE"""),"PA EL AROMO 49 VILLA ESPERANZA")</f>
        <v>PA EL AROMO 49 VILLA ESPERANZA</v>
      </c>
      <c r="D1062" s="6" t="str">
        <f ca="1">IFERROR(__xludf.DUMMYFUNCTION("""COMPUTED_VALUE"""),"TALAGANTE")</f>
        <v>TALAGANTE</v>
      </c>
    </row>
    <row r="1063" spans="1:4">
      <c r="A1063" s="7">
        <f ca="1">IFERROR(__xludf.DUMMYFUNCTION("""COMPUTED_VALUE"""),44000)</f>
        <v>44000</v>
      </c>
      <c r="B1063" s="6" t="str">
        <f ca="1">IFERROR(__xludf.DUMMYFUNCTION("""COMPUTED_VALUE"""),"-33.680368,-70.946830")</f>
        <v>-33.680368,-70.946830</v>
      </c>
      <c r="C1063" s="6" t="str">
        <f ca="1">IFERROR(__xludf.DUMMYFUNCTION("""COMPUTED_VALUE"""),"CIRCUNVALACION 2963")</f>
        <v>CIRCUNVALACION 2963</v>
      </c>
      <c r="D1063" s="6" t="str">
        <f ca="1">IFERROR(__xludf.DUMMYFUNCTION("""COMPUTED_VALUE"""),"TALAGANTE")</f>
        <v>TALAGANTE</v>
      </c>
    </row>
    <row r="1064" spans="1:4">
      <c r="A1064" s="7">
        <f ca="1">IFERROR(__xludf.DUMMYFUNCTION("""COMPUTED_VALUE"""),44000)</f>
        <v>44000</v>
      </c>
      <c r="B1064" s="6" t="str">
        <f ca="1">IFERROR(__xludf.DUMMYFUNCTION("""COMPUTED_VALUE"""),"-33.656695,-70.931449")</f>
        <v>-33.656695,-70.931449</v>
      </c>
      <c r="C1064" s="6" t="str">
        <f ca="1">IFERROR(__xludf.DUMMYFUNCTION("""COMPUTED_VALUE"""),"MERCEDES 967")</f>
        <v>MERCEDES 967</v>
      </c>
      <c r="D1064" s="6" t="str">
        <f ca="1">IFERROR(__xludf.DUMMYFUNCTION("""COMPUTED_VALUE"""),"TALAGANTE")</f>
        <v>TALAGANTE</v>
      </c>
    </row>
    <row r="1065" spans="1:4">
      <c r="A1065" s="7">
        <f ca="1">IFERROR(__xludf.DUMMYFUNCTION("""COMPUTED_VALUE"""),44000)</f>
        <v>44000</v>
      </c>
      <c r="B1065" s="6" t="str">
        <f ca="1">IFERROR(__xludf.DUMMYFUNCTION("""COMPUTED_VALUE"""),"-33.688806,-70.853644")</f>
        <v>-33.688806,-70.853644</v>
      </c>
      <c r="C1065" s="6" t="str">
        <f ca="1">IFERROR(__xludf.DUMMYFUNCTION("""COMPUTED_VALUE"""),"LONQUEN SUR 2585 F S/3 EL CUADRO")</f>
        <v>LONQUEN SUR 2585 F S/3 EL CUADRO</v>
      </c>
      <c r="D1065" s="6" t="str">
        <f ca="1">IFERROR(__xludf.DUMMYFUNCTION("""COMPUTED_VALUE"""),"TALAGANTE")</f>
        <v>TALAGANTE</v>
      </c>
    </row>
    <row r="1066" spans="1:4">
      <c r="A1066" s="7">
        <f ca="1">IFERROR(__xludf.DUMMYFUNCTION("""COMPUTED_VALUE"""),44000)</f>
        <v>44000</v>
      </c>
      <c r="B1066" s="6" t="str">
        <f ca="1">IFERROR(__xludf.DUMMYFUNCTION("""COMPUTED_VALUE"""),"-33.663931,-70.816774")</f>
        <v>-33.663931,-70.816774</v>
      </c>
      <c r="C1066" s="6" t="str">
        <f ca="1">IFERROR(__xludf.DUMMYFUNCTION("""COMPUTED_VALUE"""),"CASILLA 15 LOS BAJOS")</f>
        <v>CASILLA 15 LOS BAJOS</v>
      </c>
      <c r="D1066" s="6" t="str">
        <f ca="1">IFERROR(__xludf.DUMMYFUNCTION("""COMPUTED_VALUE"""),"CALERA DE TANGO")</f>
        <v>CALERA DE TANGO</v>
      </c>
    </row>
    <row r="1067" spans="1:4">
      <c r="A1067" s="7">
        <f ca="1">IFERROR(__xludf.DUMMYFUNCTION("""COMPUTED_VALUE"""),44000)</f>
        <v>44000</v>
      </c>
      <c r="B1067" s="6" t="str">
        <f ca="1">IFERROR(__xludf.DUMMYFUNCTION("""COMPUTED_VALUE"""),"-33.685022,-71.025474")</f>
        <v>-33.685022,-71.025474</v>
      </c>
      <c r="C1067" s="6" t="str">
        <f ca="1">IFERROR(__xludf.DUMMYFUNCTION("""COMPUTED_VALUE"""),"PJE LAGO CALAFQUEN 1334 A")</f>
        <v>PJE LAGO CALAFQUEN 1334 A</v>
      </c>
      <c r="D1067" s="6" t="str">
        <f ca="1">IFERROR(__xludf.DUMMYFUNCTION("""COMPUTED_VALUE"""),"EL MONTE")</f>
        <v>EL MONTE</v>
      </c>
    </row>
    <row r="1068" spans="1:4">
      <c r="A1068" s="7">
        <f ca="1">IFERROR(__xludf.DUMMYFUNCTION("""COMPUTED_VALUE"""),44000)</f>
        <v>44000</v>
      </c>
      <c r="B1068" s="6" t="str">
        <f ca="1">IFERROR(__xludf.DUMMYFUNCTION("""COMPUTED_VALUE"""),"-33.676374,-70.999460")</f>
        <v>-33.676374,-70.999460</v>
      </c>
      <c r="C1068" s="6" t="str">
        <f ca="1">IFERROR(__xludf.DUMMYFUNCTION("""COMPUTED_VALUE"""),"ERRAZURIZ 404")</f>
        <v>ERRAZURIZ 404</v>
      </c>
      <c r="D1068" s="6" t="str">
        <f ca="1">IFERROR(__xludf.DUMMYFUNCTION("""COMPUTED_VALUE"""),"EL MONTE")</f>
        <v>EL MONTE</v>
      </c>
    </row>
    <row r="1069" spans="1:4">
      <c r="A1069" s="7">
        <f ca="1">IFERROR(__xludf.DUMMYFUNCTION("""COMPUTED_VALUE"""),44000)</f>
        <v>44000</v>
      </c>
      <c r="B1069" s="6" t="str">
        <f ca="1">IFERROR(__xludf.DUMMYFUNCTION("""COMPUTED_VALUE"""),"-33.699759,-71.055091")</f>
        <v>-33.699759,-71.055091</v>
      </c>
      <c r="C1069" s="6" t="str">
        <f ca="1">IFERROR(__xludf.DUMMYFUNCTION("""COMPUTED_VALUE"""),"NAZARIO ARAOS 1916")</f>
        <v>NAZARIO ARAOS 1916</v>
      </c>
      <c r="D1069" s="6" t="str">
        <f ca="1">IFERROR(__xludf.DUMMYFUNCTION("""COMPUTED_VALUE"""),"EL MONTE")</f>
        <v>EL MONTE</v>
      </c>
    </row>
    <row r="1070" spans="1:4">
      <c r="A1070" s="7">
        <f ca="1">IFERROR(__xludf.DUMMYFUNCTION("""COMPUTED_VALUE"""),44000)</f>
        <v>44000</v>
      </c>
      <c r="B1070" s="6" t="str">
        <f ca="1">IFERROR(__xludf.DUMMYFUNCTION("""COMPUTED_VALUE"""),"-33.677494,-70.978859")</f>
        <v>-33.677494,-70.978859</v>
      </c>
      <c r="C1070" s="6" t="str">
        <f ca="1">IFERROR(__xludf.DUMMYFUNCTION("""COMPUTED_VALUE"""),"CALLE COLON 068 LO CHACON")</f>
        <v>CALLE COLON 068 LO CHACON</v>
      </c>
      <c r="D1070" s="6" t="str">
        <f ca="1">IFERROR(__xludf.DUMMYFUNCTION("""COMPUTED_VALUE"""),"EL MONTE")</f>
        <v>EL MONTE</v>
      </c>
    </row>
    <row r="1071" spans="1:4">
      <c r="A1071" s="7">
        <f ca="1">IFERROR(__xludf.DUMMYFUNCTION("""COMPUTED_VALUE"""),44000)</f>
        <v>44000</v>
      </c>
      <c r="B1071" s="6" t="str">
        <f ca="1">IFERROR(__xludf.DUMMYFUNCTION("""COMPUTED_VALUE"""),"-33.668434,-70.997105")</f>
        <v>-33.668434,-70.997105</v>
      </c>
      <c r="C1071" s="6" t="str">
        <f ca="1">IFERROR(__xludf.DUMMYFUNCTION("""COMPUTED_VALUE"""),"PJE LOS PEÑA LOTE 11 LOS OLMOS")</f>
        <v>PJE LOS PEÑA LOTE 11 LOS OLMOS</v>
      </c>
      <c r="D1071" s="6" t="str">
        <f ca="1">IFERROR(__xludf.DUMMYFUNCTION("""COMPUTED_VALUE"""),"EL MONTE")</f>
        <v>EL MONTE</v>
      </c>
    </row>
    <row r="1072" spans="1:4">
      <c r="A1072" s="7">
        <f ca="1">IFERROR(__xludf.DUMMYFUNCTION("""COMPUTED_VALUE"""),44000)</f>
        <v>44000</v>
      </c>
      <c r="B1072" s="6" t="str">
        <f ca="1">IFERROR(__xludf.DUMMYFUNCTION("""COMPUTED_VALUE"""),"-33.689707,-71.031178")</f>
        <v>-33.689707,-71.031178</v>
      </c>
      <c r="C1072" s="6" t="str">
        <f ca="1">IFERROR(__xludf.DUMMYFUNCTION("""COMPUTED_VALUE"""),"YUNGAY 089")</f>
        <v>YUNGAY 089</v>
      </c>
      <c r="D1072" s="6" t="str">
        <f ca="1">IFERROR(__xludf.DUMMYFUNCTION("""COMPUTED_VALUE"""),"EL MONTE")</f>
        <v>EL MONTE</v>
      </c>
    </row>
    <row r="1073" spans="1:4">
      <c r="A1073" s="7">
        <f ca="1">IFERROR(__xludf.DUMMYFUNCTION("""COMPUTED_VALUE"""),44000)</f>
        <v>44000</v>
      </c>
      <c r="B1073" s="6" t="str">
        <f ca="1">IFERROR(__xludf.DUMMYFUNCTION("""COMPUTED_VALUE"""),"-33.689685,-71.031222")</f>
        <v>-33.689685,-71.031222</v>
      </c>
      <c r="C1073" s="6" t="str">
        <f ca="1">IFERROR(__xludf.DUMMYFUNCTION("""COMPUTED_VALUE"""),"ANGEL ORTEGA 1468")</f>
        <v>ANGEL ORTEGA 1468</v>
      </c>
      <c r="D1073" s="6" t="str">
        <f ca="1">IFERROR(__xludf.DUMMYFUNCTION("""COMPUTED_VALUE"""),"EL MONTE")</f>
        <v>EL MONTE</v>
      </c>
    </row>
    <row r="1074" spans="1:4">
      <c r="A1074" s="7">
        <f ca="1">IFERROR(__xludf.DUMMYFUNCTION("""COMPUTED_VALUE"""),44000)</f>
        <v>44000</v>
      </c>
      <c r="B1074" s="6" t="str">
        <f ca="1">IFERROR(__xludf.DUMMYFUNCTION("""COMPUTED_VALUE"""),"-33.676865,-70.993225")</f>
        <v>-33.676865,-70.993225</v>
      </c>
      <c r="C1074" s="6" t="str">
        <f ca="1">IFERROR(__xludf.DUMMYFUNCTION("""COMPUTED_VALUE"""),"LAS LILAS 713")</f>
        <v>LAS LILAS 713</v>
      </c>
      <c r="D1074" s="6" t="str">
        <f ca="1">IFERROR(__xludf.DUMMYFUNCTION("""COMPUTED_VALUE"""),"EL MONTE")</f>
        <v>EL MONTE</v>
      </c>
    </row>
    <row r="1075" spans="1:4">
      <c r="A1075" s="7">
        <f ca="1">IFERROR(__xludf.DUMMYFUNCTION("""COMPUTED_VALUE"""),44000)</f>
        <v>44000</v>
      </c>
      <c r="B1075" s="6" t="str">
        <f ca="1">IFERROR(__xludf.DUMMYFUNCTION("""COMPUTED_VALUE"""),"-33.680418,-70.996277")</f>
        <v>-33.680418,-70.996277</v>
      </c>
      <c r="C1075" s="6" t="str">
        <f ca="1">IFERROR(__xludf.DUMMYFUNCTION("""COMPUTED_VALUE"""),"PJE UNO SUR 694")</f>
        <v>PJE UNO SUR 694</v>
      </c>
      <c r="D1075" s="6" t="str">
        <f ca="1">IFERROR(__xludf.DUMMYFUNCTION("""COMPUTED_VALUE"""),"EL MONTE")</f>
        <v>EL MONTE</v>
      </c>
    </row>
    <row r="1076" spans="1:4">
      <c r="A1076" s="7">
        <f ca="1">IFERROR(__xludf.DUMMYFUNCTION("""COMPUTED_VALUE"""),44000)</f>
        <v>44000</v>
      </c>
      <c r="B1076" s="6" t="str">
        <f ca="1">IFERROR(__xludf.DUMMYFUNCTION("""COMPUTED_VALUE"""),"-33.166240-70.887374")</f>
        <v>-33.166240-70.887374</v>
      </c>
      <c r="C1076" s="6" t="str">
        <f ca="1">IFERROR(__xludf.DUMMYFUNCTION("""COMPUTED_VALUE"""),"RIVERA DEL RIO N° 20 POLPAICO ")</f>
        <v xml:space="preserve">RIVERA DEL RIO N° 20 POLPAICO </v>
      </c>
      <c r="D1076" s="6" t="str">
        <f ca="1">IFERROR(__xludf.DUMMYFUNCTION("""COMPUTED_VALUE"""),"TIL TIL")</f>
        <v>TIL TIL</v>
      </c>
    </row>
    <row r="1077" spans="1:4">
      <c r="A1077" s="7">
        <f ca="1">IFERROR(__xludf.DUMMYFUNCTION("""COMPUTED_VALUE"""),44000)</f>
        <v>44000</v>
      </c>
      <c r="B1077" s="6" t="str">
        <f ca="1">IFERROR(__xludf.DUMMYFUNCTION("""COMPUTED_VALUE"""),"-33.128379-70.800845")</f>
        <v>-33.128379-70.800845</v>
      </c>
      <c r="C1077" s="6" t="str">
        <f ca="1">IFERROR(__xludf.DUMMYFUNCTION("""COMPUTED_VALUE"""),"PJE EL OLIVO N° 2")</f>
        <v>PJE EL OLIVO N° 2</v>
      </c>
      <c r="D1077" s="6" t="str">
        <f ca="1">IFERROR(__xludf.DUMMYFUNCTION("""COMPUTED_VALUE"""),"TIL TIL")</f>
        <v>TIL TIL</v>
      </c>
    </row>
    <row r="1078" spans="1:4">
      <c r="A1078" s="7">
        <f ca="1">IFERROR(__xludf.DUMMYFUNCTION("""COMPUTED_VALUE"""),44001)</f>
        <v>44001</v>
      </c>
      <c r="B1078" s="8" t="str">
        <f ca="1">IFERROR(__xludf.DUMMYFUNCTION("""COMPUTED_VALUE"""),"-33.734524,-70.785138")</f>
        <v>-33.734524,-70.785138</v>
      </c>
      <c r="C1078" s="6" t="str">
        <f ca="1">IFERROR(__xludf.DUMMYFUNCTION("""COMPUTED_VALUE"""),"MOLINA 623")</f>
        <v>MOLINA 623</v>
      </c>
      <c r="D1078" s="6" t="str">
        <f ca="1">IFERROR(__xludf.DUMMYFUNCTION("""COMPUTED_VALUE"""),"BUIN")</f>
        <v>BUIN</v>
      </c>
    </row>
    <row r="1079" spans="1:4">
      <c r="A1079" s="7">
        <f ca="1">IFERROR(__xludf.DUMMYFUNCTION("""COMPUTED_VALUE"""),44001)</f>
        <v>44001</v>
      </c>
      <c r="B1079" s="8" t="str">
        <f ca="1">IFERROR(__xludf.DUMMYFUNCTION("""COMPUTED_VALUE"""),"-33.683603,-70.949899")</f>
        <v>-33.683603,-70.949899</v>
      </c>
      <c r="C1079" s="6" t="str">
        <f ca="1">IFERROR(__xludf.DUMMYFUNCTION("""COMPUTED_VALUE"""),"TEGUALDA P/C SITIO4")</f>
        <v>TEGUALDA P/C SITIO4</v>
      </c>
      <c r="D1079" s="6" t="str">
        <f ca="1">IFERROR(__xludf.DUMMYFUNCTION("""COMPUTED_VALUE"""),"TALAGANTE")</f>
        <v>TALAGANTE</v>
      </c>
    </row>
    <row r="1080" spans="1:4">
      <c r="A1080" s="7">
        <f ca="1">IFERROR(__xludf.DUMMYFUNCTION("""COMPUTED_VALUE"""),44001)</f>
        <v>44001</v>
      </c>
      <c r="B1080" s="8" t="str">
        <f ca="1">IFERROR(__xludf.DUMMYFUNCTION("""COMPUTED_VALUE"""),"-33.6634342,-70.9186477")</f>
        <v>-33.6634342,-70.9186477</v>
      </c>
      <c r="C1080" s="6" t="str">
        <f ca="1">IFERROR(__xludf.DUMMYFUNCTION("""COMPUTED_VALUE"""),"EL NIÑO JESUS 1135")</f>
        <v>EL NIÑO JESUS 1135</v>
      </c>
      <c r="D1080" s="6" t="str">
        <f ca="1">IFERROR(__xludf.DUMMYFUNCTION("""COMPUTED_VALUE"""),"TALAGANTE")</f>
        <v>TALAGANTE</v>
      </c>
    </row>
    <row r="1081" spans="1:4">
      <c r="A1081" s="7">
        <f ca="1">IFERROR(__xludf.DUMMYFUNCTION("""COMPUTED_VALUE"""),44001)</f>
        <v>44001</v>
      </c>
      <c r="B1081" s="6" t="str">
        <f ca="1">IFERROR(__xludf.DUMMYFUNCTION("""COMPUTED_VALUE"""),"-33.607368-70.891734")</f>
        <v>-33.607368-70.891734</v>
      </c>
      <c r="C1081" s="6" t="str">
        <f ca="1">IFERROR(__xludf.DUMMYFUNCTION("""COMPUTED_VALUE"""),"LAS TONADAS 792")</f>
        <v>LAS TONADAS 792</v>
      </c>
      <c r="D1081" s="6" t="str">
        <f ca="1">IFERROR(__xludf.DUMMYFUNCTION("""COMPUTED_VALUE"""),"PEÑAFLOR")</f>
        <v>PEÑAFLOR</v>
      </c>
    </row>
    <row r="1082" spans="1:4">
      <c r="A1082" s="7">
        <f ca="1">IFERROR(__xludf.DUMMYFUNCTION("""COMPUTED_VALUE"""),44001)</f>
        <v>44001</v>
      </c>
      <c r="B1082" s="6" t="str">
        <f ca="1">IFERROR(__xludf.DUMMYFUNCTION("""COMPUTED_VALUE"""),"-33.6355833-70.9197451")</f>
        <v>-33.6355833-70.9197451</v>
      </c>
      <c r="C1082" s="6" t="str">
        <f ca="1">IFERROR(__xludf.DUMMYFUNCTION("""COMPUTED_VALUE"""),"CAMINO EL ROSARIO 22")</f>
        <v>CAMINO EL ROSARIO 22</v>
      </c>
      <c r="D1082" s="6" t="str">
        <f ca="1">IFERROR(__xludf.DUMMYFUNCTION("""COMPUTED_VALUE"""),"PEÑAFLOR")</f>
        <v>PEÑAFLOR</v>
      </c>
    </row>
    <row r="1083" spans="1:4">
      <c r="A1083" s="7">
        <f ca="1">IFERROR(__xludf.DUMMYFUNCTION("""COMPUTED_VALUE"""),44001)</f>
        <v>44001</v>
      </c>
      <c r="B1083" s="6" t="str">
        <f ca="1">IFERROR(__xludf.DUMMYFUNCTION("""COMPUTED_VALUE"""),"-33.6355833-70.9197451")</f>
        <v>-33.6355833-70.9197451</v>
      </c>
      <c r="C1083" s="6" t="str">
        <f ca="1">IFERROR(__xludf.DUMMYFUNCTION("""COMPUTED_VALUE"""),"CAMINO EL ROSARIO 22")</f>
        <v>CAMINO EL ROSARIO 22</v>
      </c>
      <c r="D1083" s="6" t="str">
        <f ca="1">IFERROR(__xludf.DUMMYFUNCTION("""COMPUTED_VALUE"""),"PEÑAFLOR")</f>
        <v>PEÑAFLOR</v>
      </c>
    </row>
    <row r="1084" spans="1:4">
      <c r="A1084" s="7">
        <f ca="1">IFERROR(__xludf.DUMMYFUNCTION("""COMPUTED_VALUE"""),44001)</f>
        <v>44001</v>
      </c>
      <c r="B1084" s="6" t="str">
        <f ca="1">IFERROR(__xludf.DUMMYFUNCTION("""COMPUTED_VALUE"""),"-33.6015-70.8715")</f>
        <v>-33.6015-70.8715</v>
      </c>
      <c r="C1084" s="6" t="str">
        <f ca="1">IFERROR(__xludf.DUMMYFUNCTION("""COMPUTED_VALUE"""),"VIOLETA PARRA 1781")</f>
        <v>VIOLETA PARRA 1781</v>
      </c>
      <c r="D1084" s="6" t="str">
        <f ca="1">IFERROR(__xludf.DUMMYFUNCTION("""COMPUTED_VALUE"""),"PEÑAFLOR")</f>
        <v>PEÑAFLOR</v>
      </c>
    </row>
    <row r="1085" spans="1:4">
      <c r="A1085" s="7">
        <f ca="1">IFERROR(__xludf.DUMMYFUNCTION("""COMPUTED_VALUE"""),44001)</f>
        <v>44001</v>
      </c>
      <c r="B1085" s="6" t="str">
        <f ca="1">IFERROR(__xludf.DUMMYFUNCTION("""COMPUTED_VALUE"""),"-33.299274 - 70.881476")</f>
        <v>-33.299274 - 70.881476</v>
      </c>
      <c r="C1085" s="6" t="str">
        <f ca="1">IFERROR(__xludf.DUMMYFUNCTION("""COMPUTED_VALUE"""),"CAMINO LAS FLORES 1008 C/114")</f>
        <v>CAMINO LAS FLORES 1008 C/114</v>
      </c>
      <c r="D1085" s="6" t="str">
        <f ca="1">IFERROR(__xludf.DUMMYFUNCTION("""COMPUTED_VALUE"""),"LAMPA")</f>
        <v>LAMPA</v>
      </c>
    </row>
    <row r="1086" spans="1:4">
      <c r="A1086" s="7">
        <f ca="1">IFERROR(__xludf.DUMMYFUNCTION("""COMPUTED_VALUE"""),44001)</f>
        <v>44001</v>
      </c>
      <c r="B1086" s="6" t="str">
        <f ca="1">IFERROR(__xludf.DUMMYFUNCTION("""COMPUTED_VALUE"""),"-33.184969 - 70.662250")</f>
        <v>-33.184969 - 70.662250</v>
      </c>
      <c r="C1086" s="6" t="str">
        <f ca="1">IFERROR(__xludf.DUMMYFUNCTION("""COMPUTED_VALUE"""),"MARCELOS RIOS 1373 ")</f>
        <v xml:space="preserve">MARCELOS RIOS 1373 </v>
      </c>
      <c r="D1086" s="6" t="str">
        <f ca="1">IFERROR(__xludf.DUMMYFUNCTION("""COMPUTED_VALUE"""),"COLINA")</f>
        <v>COLINA</v>
      </c>
    </row>
    <row r="1087" spans="1:4">
      <c r="A1087" s="7">
        <f ca="1">IFERROR(__xludf.DUMMYFUNCTION("""COMPUTED_VALUE"""),44002)</f>
        <v>44002</v>
      </c>
      <c r="B1087" s="8" t="str">
        <f ca="1">IFERROR(__xludf.DUMMYFUNCTION("""COMPUTED_VALUE"""),"-33.693310,-70.923700")</f>
        <v>-33.693310,-70.923700</v>
      </c>
      <c r="C1087" s="6" t="str">
        <f ca="1">IFERROR(__xludf.DUMMYFUNCTION("""COMPUTED_VALUE"""),"LOS CANALES 3024")</f>
        <v>LOS CANALES 3024</v>
      </c>
      <c r="D1087" s="6" t="str">
        <f ca="1">IFERROR(__xludf.DUMMYFUNCTION("""COMPUTED_VALUE"""),"TALAGANTE")</f>
        <v>TALAGANTE</v>
      </c>
    </row>
    <row r="1088" spans="1:4">
      <c r="A1088" s="7">
        <f ca="1">IFERROR(__xludf.DUMMYFUNCTION("""COMPUTED_VALUE"""),44002)</f>
        <v>44002</v>
      </c>
      <c r="B1088" s="8" t="str">
        <f ca="1">IFERROR(__xludf.DUMMYFUNCTION("""COMPUTED_VALUE"""),"-33.690986,-70.700247")</f>
        <v>-33.690986,-70.700247</v>
      </c>
      <c r="C1088" s="6" t="str">
        <f ca="1">IFERROR(__xludf.DUMMYFUNCTION("""COMPUTED_VALUE"""),"EL RECURSO SITIO 35")</f>
        <v>EL RECURSO SITIO 35</v>
      </c>
      <c r="D1088" s="6" t="str">
        <f ca="1">IFERROR(__xludf.DUMMYFUNCTION("""COMPUTED_VALUE"""),"BUIN")</f>
        <v>BUIN</v>
      </c>
    </row>
    <row r="1089" spans="1:4">
      <c r="A1089" s="7">
        <f ca="1">IFERROR(__xludf.DUMMYFUNCTION("""COMPUTED_VALUE"""),44002)</f>
        <v>44002</v>
      </c>
      <c r="B1089" s="6" t="str">
        <f ca="1">IFERROR(__xludf.DUMMYFUNCTION("""COMPUTED_VALUE"""),"-33.670116,-70.930605")</f>
        <v>-33.670116,-70.930605</v>
      </c>
      <c r="C1089" s="6" t="str">
        <f ca="1">IFERROR(__xludf.DUMMYFUNCTION("""COMPUTED_VALUE"""),"JUANA CANALES 1476")</f>
        <v>JUANA CANALES 1476</v>
      </c>
      <c r="D1089" s="6" t="str">
        <f ca="1">IFERROR(__xludf.DUMMYFUNCTION("""COMPUTED_VALUE"""),"TALAGANTE")</f>
        <v>TALAGANTE</v>
      </c>
    </row>
    <row r="1090" spans="1:4">
      <c r="A1090" s="7">
        <f ca="1">IFERROR(__xludf.DUMMYFUNCTION("""COMPUTED_VALUE"""),44002)</f>
        <v>44002</v>
      </c>
      <c r="B1090" s="6" t="str">
        <f ca="1">IFERROR(__xludf.DUMMYFUNCTION("""COMPUTED_VALUE"""),"-33.651888,-70.903599")</f>
        <v>-33.651888,-70.903599</v>
      </c>
      <c r="C1090" s="6" t="str">
        <f ca="1">IFERROR(__xludf.DUMMYFUNCTION("""COMPUTED_VALUE"""),"DOS ORIENTE 584")</f>
        <v>DOS ORIENTE 584</v>
      </c>
      <c r="D1090" s="6" t="str">
        <f ca="1">IFERROR(__xludf.DUMMYFUNCTION("""COMPUTED_VALUE"""),"TALAGANTE")</f>
        <v>TALAGANTE</v>
      </c>
    </row>
    <row r="1091" spans="1:4">
      <c r="A1091" s="7">
        <f ca="1">IFERROR(__xludf.DUMMYFUNCTION("""COMPUTED_VALUE"""),44002)</f>
        <v>44002</v>
      </c>
      <c r="B1091" s="6" t="str">
        <f ca="1">IFERROR(__xludf.DUMMYFUNCTION("""COMPUTED_VALUE"""),"-33.689186,-70.853586")</f>
        <v>-33.689186,-70.853586</v>
      </c>
      <c r="C1091" s="6" t="str">
        <f ca="1">IFERROR(__xludf.DUMMYFUNCTION("""COMPUTED_VALUE"""),"CA LONQUEN SUR S/N PARADERO 36 1/2 SITIO 3")</f>
        <v>CA LONQUEN SUR S/N PARADERO 36 1/2 SITIO 3</v>
      </c>
      <c r="D1091" s="6" t="str">
        <f ca="1">IFERROR(__xludf.DUMMYFUNCTION("""COMPUTED_VALUE"""),"CALERA DE TANGO")</f>
        <v>CALERA DE TANGO</v>
      </c>
    </row>
    <row r="1092" spans="1:4">
      <c r="A1092" s="7">
        <f ca="1">IFERROR(__xludf.DUMMYFUNCTION("""COMPUTED_VALUE"""),44002)</f>
        <v>44002</v>
      </c>
      <c r="B1092" s="6" t="str">
        <f ca="1">IFERROR(__xludf.DUMMYFUNCTION("""COMPUTED_VALUE"""),"-33.684487,-70.953025")</f>
        <v>-33.684487,-70.953025</v>
      </c>
      <c r="C1092" s="6" t="str">
        <f ca="1">IFERROR(__xludf.DUMMYFUNCTION("""COMPUTED_VALUE"""),"PASAJE DOMINGO SANTA MARIA 132")</f>
        <v>PASAJE DOMINGO SANTA MARIA 132</v>
      </c>
      <c r="D1092" s="6" t="str">
        <f ca="1">IFERROR(__xludf.DUMMYFUNCTION("""COMPUTED_VALUE"""),"TALAGANTE")</f>
        <v>TALAGANTE</v>
      </c>
    </row>
    <row r="1093" spans="1:4">
      <c r="A1093" s="7">
        <f ca="1">IFERROR(__xludf.DUMMYFUNCTION("""COMPUTED_VALUE"""),44002)</f>
        <v>44002</v>
      </c>
      <c r="B1093" s="6" t="str">
        <f ca="1">IFERROR(__xludf.DUMMYFUNCTION("""COMPUTED_VALUE"""),"-33.689803,-71.032914")</f>
        <v>-33.689803,-71.032914</v>
      </c>
      <c r="C1093" s="6" t="str">
        <f ca="1">IFERROR(__xludf.DUMMYFUNCTION("""COMPUTED_VALUE"""),"PARAGUAY 091")</f>
        <v>PARAGUAY 091</v>
      </c>
      <c r="D1093" s="6" t="str">
        <f ca="1">IFERROR(__xludf.DUMMYFUNCTION("""COMPUTED_VALUE"""),"EL MONTE")</f>
        <v>EL MONTE</v>
      </c>
    </row>
    <row r="1094" spans="1:4">
      <c r="A1094" s="7">
        <f ca="1">IFERROR(__xludf.DUMMYFUNCTION("""COMPUTED_VALUE"""),44002)</f>
        <v>44002</v>
      </c>
      <c r="B1094" s="6" t="str">
        <f ca="1">IFERROR(__xludf.DUMMYFUNCTION("""COMPUTED_VALUE"""),"-33.688622,-71.042676")</f>
        <v>-33.688622,-71.042676</v>
      </c>
      <c r="C1094" s="6" t="str">
        <f ca="1">IFERROR(__xludf.DUMMYFUNCTION("""COMPUTED_VALUE"""),"AV LOS LIBERTADORES 1699")</f>
        <v>AV LOS LIBERTADORES 1699</v>
      </c>
      <c r="D1094" s="6" t="str">
        <f ca="1">IFERROR(__xludf.DUMMYFUNCTION("""COMPUTED_VALUE"""),"EL MONTE")</f>
        <v>EL MONTE</v>
      </c>
    </row>
    <row r="1095" spans="1:4">
      <c r="A1095" s="7">
        <f ca="1">IFERROR(__xludf.DUMMYFUNCTION("""COMPUTED_VALUE"""),44002)</f>
        <v>44002</v>
      </c>
      <c r="B1095" s="6" t="str">
        <f ca="1">IFERROR(__xludf.DUMMYFUNCTION("""COMPUTED_VALUE"""),"-33.677629,-70.988529")</f>
        <v>-33.677629,-70.988529</v>
      </c>
      <c r="C1095" s="6" t="str">
        <f ca="1">IFERROR(__xludf.DUMMYFUNCTION("""COMPUTED_VALUE"""),"PJE PAPIZLAZULI 569")</f>
        <v>PJE PAPIZLAZULI 569</v>
      </c>
      <c r="D1095" s="6" t="str">
        <f ca="1">IFERROR(__xludf.DUMMYFUNCTION("""COMPUTED_VALUE"""),"EL MONTE")</f>
        <v>EL MONTE</v>
      </c>
    </row>
    <row r="1096" spans="1:4">
      <c r="A1096" s="7">
        <f ca="1">IFERROR(__xludf.DUMMYFUNCTION("""COMPUTED_VALUE"""),44004)</f>
        <v>44004</v>
      </c>
      <c r="B1096" s="8" t="str">
        <f ca="1">IFERROR(__xludf.DUMMYFUNCTION("""COMPUTED_VALUE"""),"-33.661538,-70.924499")</f>
        <v>-33.661538,-70.924499</v>
      </c>
      <c r="C1096" s="6" t="str">
        <f ca="1">IFERROR(__xludf.DUMMYFUNCTION("""COMPUTED_VALUE"""),"PASAJE SUECIA 731")</f>
        <v>PASAJE SUECIA 731</v>
      </c>
      <c r="D1096" s="6" t="str">
        <f ca="1">IFERROR(__xludf.DUMMYFUNCTION("""COMPUTED_VALUE"""),"TALAGANTE")</f>
        <v>TALAGANTE</v>
      </c>
    </row>
    <row r="1097" spans="1:4">
      <c r="A1097" s="7">
        <f ca="1">IFERROR(__xludf.DUMMYFUNCTION("""COMPUTED_VALUE"""),44004)</f>
        <v>44004</v>
      </c>
      <c r="B1097" s="8" t="str">
        <f ca="1">IFERROR(__xludf.DUMMYFUNCTION("""COMPUTED_VALUE"""),"-33.654558,-70.906966")</f>
        <v>-33.654558,-70.906966</v>
      </c>
      <c r="C1097" s="6" t="str">
        <f ca="1">IFERROR(__xludf.DUMMYFUNCTION("""COMPUTED_VALUE"""),"VOLCAN QUIPAZU 636")</f>
        <v>VOLCAN QUIPAZU 636</v>
      </c>
      <c r="D1097" s="6" t="str">
        <f ca="1">IFERROR(__xludf.DUMMYFUNCTION("""COMPUTED_VALUE"""),"TALAGANTE")</f>
        <v>TALAGANTE</v>
      </c>
    </row>
    <row r="1098" spans="1:4">
      <c r="A1098" s="7">
        <f ca="1">IFERROR(__xludf.DUMMYFUNCTION("""COMPUTED_VALUE"""),44004)</f>
        <v>44004</v>
      </c>
      <c r="B1098" s="6" t="str">
        <f ca="1">IFERROR(__xludf.DUMMYFUNCTION("""COMPUTED_VALUE"""),"-33.074991-70.928329")</f>
        <v>-33.074991-70.928329</v>
      </c>
      <c r="C1098" s="6" t="str">
        <f ca="1">IFERROR(__xludf.DUMMYFUNCTION("""COMPUTED_VALUE"""),"LA DORMIDA 906")</f>
        <v>LA DORMIDA 906</v>
      </c>
      <c r="D1098" s="6" t="str">
        <f ca="1">IFERROR(__xludf.DUMMYFUNCTION("""COMPUTED_VALUE"""),"TIL TIL")</f>
        <v>TIL TIL</v>
      </c>
    </row>
    <row r="1099" spans="1:4">
      <c r="A1099" s="7">
        <f ca="1">IFERROR(__xludf.DUMMYFUNCTION("""COMPUTED_VALUE"""),44004)</f>
        <v>44004</v>
      </c>
      <c r="B1099" s="6" t="str">
        <f ca="1">IFERROR(__xludf.DUMMYFUNCTION("""COMPUTED_VALUE"""),"-33.089651-70.923133")</f>
        <v>-33.089651-70.923133</v>
      </c>
      <c r="C1099" s="6" t="str">
        <f ca="1">IFERROR(__xludf.DUMMYFUNCTION("""COMPUTED_VALUE"""),"DEDAL DE ORO 16")</f>
        <v>DEDAL DE ORO 16</v>
      </c>
      <c r="D1099" s="6" t="str">
        <f ca="1">IFERROR(__xludf.DUMMYFUNCTION("""COMPUTED_VALUE"""),"TIL TIL")</f>
        <v>TIL TIL</v>
      </c>
    </row>
    <row r="1100" spans="1:4">
      <c r="A1100" s="7">
        <f ca="1">IFERROR(__xludf.DUMMYFUNCTION("""COMPUTED_VALUE"""),44004)</f>
        <v>44004</v>
      </c>
      <c r="B1100" s="6" t="str">
        <f ca="1">IFERROR(__xludf.DUMMYFUNCTION("""COMPUTED_VALUE"""),"-33.6047757-70.8544695")</f>
        <v>-33.6047757-70.8544695</v>
      </c>
      <c r="C1100" s="6" t="str">
        <f ca="1">IFERROR(__xludf.DUMMYFUNCTION("""COMPUTED_VALUE"""),"ANGEL ESPINOZA 115")</f>
        <v>ANGEL ESPINOZA 115</v>
      </c>
      <c r="D1100" s="6" t="str">
        <f ca="1">IFERROR(__xludf.DUMMYFUNCTION("""COMPUTED_VALUE"""),"PEÑAFLOR")</f>
        <v>PEÑAFLOR</v>
      </c>
    </row>
    <row r="1101" spans="1:4">
      <c r="A1101" s="7">
        <f ca="1">IFERROR(__xludf.DUMMYFUNCTION("""COMPUTED_VALUE"""),44004)</f>
        <v>44004</v>
      </c>
      <c r="B1101" s="6" t="str">
        <f ca="1">IFERROR(__xludf.DUMMYFUNCTION("""COMPUTED_VALUE"""),"-33.6101455-70.865309")</f>
        <v>-33.6101455-70.865309</v>
      </c>
      <c r="C1101" s="6" t="str">
        <f ca="1">IFERROR(__xludf.DUMMYFUNCTION("""COMPUTED_VALUE"""),"AV. VICUÑA MACKENNA 668")</f>
        <v>AV. VICUÑA MACKENNA 668</v>
      </c>
      <c r="D1101" s="6" t="str">
        <f ca="1">IFERROR(__xludf.DUMMYFUNCTION("""COMPUTED_VALUE"""),"PEÑAFLOR")</f>
        <v>PEÑAFLOR</v>
      </c>
    </row>
    <row r="1102" spans="1:4">
      <c r="A1102" s="7">
        <f ca="1">IFERROR(__xludf.DUMMYFUNCTION("""COMPUTED_VALUE"""),44004)</f>
        <v>44004</v>
      </c>
      <c r="B1102" s="6" t="str">
        <f ca="1">IFERROR(__xludf.DUMMYFUNCTION("""COMPUTED_VALUE"""),"-33.6093-70.8954")</f>
        <v>-33.6093-70.8954</v>
      </c>
      <c r="C1102" s="6" t="str">
        <f ca="1">IFERROR(__xludf.DUMMYFUNCTION("""COMPUTED_VALUE"""),"LO MARQUEZ 3863")</f>
        <v>LO MARQUEZ 3863</v>
      </c>
      <c r="D1102" s="6" t="str">
        <f ca="1">IFERROR(__xludf.DUMMYFUNCTION("""COMPUTED_VALUE"""),"PEÑAFLOR")</f>
        <v>PEÑAFLOR</v>
      </c>
    </row>
    <row r="1103" spans="1:4">
      <c r="A1103" s="7">
        <f ca="1">IFERROR(__xludf.DUMMYFUNCTION("""COMPUTED_VALUE"""),44004)</f>
        <v>44004</v>
      </c>
      <c r="B1103" s="6" t="str">
        <f ca="1">IFERROR(__xludf.DUMMYFUNCTION("""COMPUTED_VALUE"""),"-33.669063,-70.997058")</f>
        <v>-33.669063,-70.997058</v>
      </c>
      <c r="C1103" s="6" t="str">
        <f ca="1">IFERROR(__xludf.DUMMYFUNCTION("""COMPUTED_VALUE"""),"LOS OLMOS PARCELA 1")</f>
        <v>LOS OLMOS PARCELA 1</v>
      </c>
      <c r="D1103" s="6" t="str">
        <f ca="1">IFERROR(__xludf.DUMMYFUNCTION("""COMPUTED_VALUE"""),"EL MONTE")</f>
        <v>EL MONTE</v>
      </c>
    </row>
    <row r="1104" spans="1:4">
      <c r="A1104" s="7">
        <f ca="1">IFERROR(__xludf.DUMMYFUNCTION("""COMPUTED_VALUE"""),44004)</f>
        <v>44004</v>
      </c>
      <c r="B1104" s="6" t="str">
        <f ca="1">IFERROR(__xludf.DUMMYFUNCTION("""COMPUTED_VALUE"""),"-33.677680,-70.995912")</f>
        <v>-33.677680,-70.995912</v>
      </c>
      <c r="C1104" s="6" t="str">
        <f ca="1">IFERROR(__xludf.DUMMYFUNCTION("""COMPUTED_VALUE"""),"LOS LIRIOS 753")</f>
        <v>LOS LIRIOS 753</v>
      </c>
      <c r="D1104" s="6" t="str">
        <f ca="1">IFERROR(__xludf.DUMMYFUNCTION("""COMPUTED_VALUE"""),"EL MONTE")</f>
        <v>EL MONTE</v>
      </c>
    </row>
    <row r="1105" spans="1:4">
      <c r="A1105" s="7">
        <f ca="1">IFERROR(__xludf.DUMMYFUNCTION("""COMPUTED_VALUE"""),44004)</f>
        <v>44004</v>
      </c>
      <c r="B1105" s="6" t="str">
        <f ca="1">IFERROR(__xludf.DUMMYFUNCTION("""COMPUTED_VALUE"""),"-33.668617,-70.997917")</f>
        <v>-33.668617,-70.997917</v>
      </c>
      <c r="C1105" s="6" t="str">
        <f ca="1">IFERROR(__xludf.DUMMYFUNCTION("""COMPUTED_VALUE"""),"NALTAGUA 5 PJE GABRIEL")</f>
        <v>NALTAGUA 5 PJE GABRIEL</v>
      </c>
      <c r="D1105" s="6" t="str">
        <f ca="1">IFERROR(__xludf.DUMMYFUNCTION("""COMPUTED_VALUE"""),"EL MONTE")</f>
        <v>EL MONTE</v>
      </c>
    </row>
    <row r="1106" spans="1:4">
      <c r="A1106" s="7">
        <f ca="1">IFERROR(__xludf.DUMMYFUNCTION("""COMPUTED_VALUE"""),44004)</f>
        <v>44004</v>
      </c>
      <c r="B1106" s="6" t="str">
        <f ca="1">IFERROR(__xludf.DUMMYFUNCTION("""COMPUTED_VALUE"""),"-33.677665,-70.988740")</f>
        <v>-33.677665,-70.988740</v>
      </c>
      <c r="C1106" s="6" t="str">
        <f ca="1">IFERROR(__xludf.DUMMYFUNCTION("""COMPUTED_VALUE"""),"LAPIZLAZULI 573")</f>
        <v>LAPIZLAZULI 573</v>
      </c>
      <c r="D1106" s="6" t="str">
        <f ca="1">IFERROR(__xludf.DUMMYFUNCTION("""COMPUTED_VALUE"""),"EL MONTE")</f>
        <v>EL MONTE</v>
      </c>
    </row>
    <row r="1107" spans="1:4">
      <c r="A1107" s="7">
        <f ca="1">IFERROR(__xludf.DUMMYFUNCTION("""COMPUTED_VALUE"""),44005)</f>
        <v>44005</v>
      </c>
      <c r="B1107" s="8" t="str">
        <f ca="1">IFERROR(__xludf.DUMMYFUNCTION("""COMPUTED_VALUE"""),"-33.654318,-70.923566")</f>
        <v>-33.654318,-70.923566</v>
      </c>
      <c r="C1107" s="6" t="str">
        <f ca="1">IFERROR(__xludf.DUMMYFUNCTION("""COMPUTED_VALUE"""),"MANUEL VARGAS 292")</f>
        <v>MANUEL VARGAS 292</v>
      </c>
      <c r="D1107" s="6" t="str">
        <f ca="1">IFERROR(__xludf.DUMMYFUNCTION("""COMPUTED_VALUE"""),"TALAGANTE")</f>
        <v>TALAGANTE</v>
      </c>
    </row>
    <row r="1108" spans="1:4">
      <c r="A1108" s="7">
        <f ca="1">IFERROR(__xludf.DUMMYFUNCTION("""COMPUTED_VALUE"""),44005)</f>
        <v>44005</v>
      </c>
      <c r="B1108" s="8" t="str">
        <f ca="1">IFERROR(__xludf.DUMMYFUNCTION("""COMPUTED_VALUE"""),"-33.7347152,-70.7602157")</f>
        <v>-33.7347152,-70.7602157</v>
      </c>
      <c r="C1108" s="6" t="str">
        <f ca="1">IFERROR(__xludf.DUMMYFUNCTION("""COMPUTED_VALUE"""),"GRAL RAFAEL GUALDA PALMA 5")</f>
        <v>GRAL RAFAEL GUALDA PALMA 5</v>
      </c>
      <c r="D1108" s="6" t="str">
        <f ca="1">IFERROR(__xludf.DUMMYFUNCTION("""COMPUTED_VALUE"""),"BUIN")</f>
        <v>BUIN</v>
      </c>
    </row>
    <row r="1109" spans="1:4">
      <c r="A1109" s="7">
        <f ca="1">IFERROR(__xludf.DUMMYFUNCTION("""COMPUTED_VALUE"""),44005)</f>
        <v>44005</v>
      </c>
      <c r="B1109" s="8" t="str">
        <f ca="1">IFERROR(__xludf.DUMMYFUNCTION("""COMPUTED_VALUE"""),"-33.723495,-70.745552")</f>
        <v>-33.723495,-70.745552</v>
      </c>
      <c r="C1109" s="6" t="str">
        <f ca="1">IFERROR(__xludf.DUMMYFUNCTION("""COMPUTED_VALUE"""),"JOSE MIGUEL CARRERA 582")</f>
        <v>JOSE MIGUEL CARRERA 582</v>
      </c>
      <c r="D1109" s="6" t="str">
        <f ca="1">IFERROR(__xludf.DUMMYFUNCTION("""COMPUTED_VALUE"""),"BUIN")</f>
        <v>BUIN</v>
      </c>
    </row>
    <row r="1110" spans="1:4">
      <c r="A1110" s="7">
        <f ca="1">IFERROR(__xludf.DUMMYFUNCTION("""COMPUTED_VALUE"""),44005)</f>
        <v>44005</v>
      </c>
      <c r="B1110" s="6" t="str">
        <f ca="1">IFERROR(__xludf.DUMMYFUNCTION("""COMPUTED_VALUE"""),"-33.5676021-70.7882676")</f>
        <v>-33.5676021-70.7882676</v>
      </c>
      <c r="C1110" s="6" t="str">
        <f ca="1">IFERROR(__xludf.DUMMYFUNCTION("""COMPUTED_VALUE"""),"VIDA NUEVA 1578")</f>
        <v>VIDA NUEVA 1578</v>
      </c>
      <c r="D1110" s="6" t="str">
        <f ca="1">IFERROR(__xludf.DUMMYFUNCTION("""COMPUTED_VALUE"""),"PADRE HURTADO")</f>
        <v>PADRE HURTADO</v>
      </c>
    </row>
    <row r="1111" spans="1:4">
      <c r="A1111" s="7">
        <f ca="1">IFERROR(__xludf.DUMMYFUNCTION("""COMPUTED_VALUE"""),44005)</f>
        <v>44005</v>
      </c>
      <c r="B1111" s="6" t="str">
        <f ca="1">IFERROR(__xludf.DUMMYFUNCTION("""COMPUTED_VALUE"""),"-33.658981,-70.997750")</f>
        <v>-33.658981,-70.997750</v>
      </c>
      <c r="C1111" s="6" t="str">
        <f ca="1">IFERROR(__xludf.DUMMYFUNCTION("""COMPUTED_VALUE"""),"LOS OLMOS SITIO 5")</f>
        <v>LOS OLMOS SITIO 5</v>
      </c>
      <c r="D1111" s="6" t="str">
        <f ca="1">IFERROR(__xludf.DUMMYFUNCTION("""COMPUTED_VALUE"""),"EL MONTE")</f>
        <v>EL MONTE</v>
      </c>
    </row>
    <row r="1112" spans="1:4">
      <c r="A1112" s="7">
        <f ca="1">IFERROR(__xludf.DUMMYFUNCTION("""COMPUTED_VALUE"""),44005)</f>
        <v>44005</v>
      </c>
      <c r="B1112" s="6" t="str">
        <f ca="1">IFERROR(__xludf.DUMMYFUNCTION("""COMPUTED_VALUE"""),"-33.681303,-70.991505")</f>
        <v>-33.681303,-70.991505</v>
      </c>
      <c r="C1112" s="6" t="str">
        <f ca="1">IFERROR(__xludf.DUMMYFUNCTION("""COMPUTED_VALUE"""),"MANUEL RODRIGUEZ 694")</f>
        <v>MANUEL RODRIGUEZ 694</v>
      </c>
      <c r="D1112" s="6" t="str">
        <f ca="1">IFERROR(__xludf.DUMMYFUNCTION("""COMPUTED_VALUE"""),"EL MONTE")</f>
        <v>EL MONTE</v>
      </c>
    </row>
    <row r="1113" spans="1:4">
      <c r="A1113" s="7">
        <f ca="1">IFERROR(__xludf.DUMMYFUNCTION("""COMPUTED_VALUE"""),44005)</f>
        <v>44005</v>
      </c>
      <c r="B1113" s="6" t="str">
        <f ca="1">IFERROR(__xludf.DUMMYFUNCTION("""COMPUTED_VALUE"""),"-33.674790,-70.998736")</f>
        <v>-33.674790,-70.998736</v>
      </c>
      <c r="C1113" s="6" t="str">
        <f ca="1">IFERROR(__xludf.DUMMYFUNCTION("""COMPUTED_VALUE"""),"SAN MIGUEL 974 CASA 4")</f>
        <v>SAN MIGUEL 974 CASA 4</v>
      </c>
      <c r="D1113" s="6" t="str">
        <f ca="1">IFERROR(__xludf.DUMMYFUNCTION("""COMPUTED_VALUE"""),"EL MONTE")</f>
        <v>EL MONTE</v>
      </c>
    </row>
    <row r="1114" spans="1:4">
      <c r="A1114" s="7">
        <f ca="1">IFERROR(__xludf.DUMMYFUNCTION("""COMPUTED_VALUE"""),44006)</f>
        <v>44006</v>
      </c>
      <c r="B1114" s="8" t="str">
        <f ca="1">IFERROR(__xludf.DUMMYFUNCTION("""COMPUTED_VALUE"""),"-33.758609,-70.734794")</f>
        <v>-33.758609,-70.734794</v>
      </c>
      <c r="C1114" s="6" t="str">
        <f ca="1">IFERROR(__xludf.DUMMYFUNCTION("""COMPUTED_VALUE"""),"CALLEJON LA CRUZ 111")</f>
        <v>CALLEJON LA CRUZ 111</v>
      </c>
      <c r="D1114" s="6" t="str">
        <f ca="1">IFERROR(__xludf.DUMMYFUNCTION("""COMPUTED_VALUE"""),"BUIN")</f>
        <v>BUIN</v>
      </c>
    </row>
    <row r="1115" spans="1:4">
      <c r="A1115" s="7">
        <f ca="1">IFERROR(__xludf.DUMMYFUNCTION("""COMPUTED_VALUE"""),44006)</f>
        <v>44006</v>
      </c>
      <c r="B1115" s="8" t="str">
        <f ca="1">IFERROR(__xludf.DUMMYFUNCTION("""COMPUTED_VALUE"""),"-33.6661302,-70.924398")</f>
        <v>-33.6661302,-70.924398</v>
      </c>
      <c r="C1115" s="6" t="str">
        <f ca="1">IFERROR(__xludf.DUMMYFUNCTION("""COMPUTED_VALUE"""),"PASAJE SUECIA 719")</f>
        <v>PASAJE SUECIA 719</v>
      </c>
      <c r="D1115" s="6" t="str">
        <f ca="1">IFERROR(__xludf.DUMMYFUNCTION("""COMPUTED_VALUE"""),"TALAGANTE")</f>
        <v>TALAGANTE</v>
      </c>
    </row>
    <row r="1116" spans="1:4">
      <c r="A1116" s="7">
        <f ca="1">IFERROR(__xludf.DUMMYFUNCTION("""COMPUTED_VALUE"""),44006)</f>
        <v>44006</v>
      </c>
      <c r="B1116" s="6" t="str">
        <f ca="1">IFERROR(__xludf.DUMMYFUNCTION("""COMPUTED_VALUE"""),"-33.6002306-70.8502174")</f>
        <v>-33.6002306-70.8502174</v>
      </c>
      <c r="C1116" s="6" t="str">
        <f ca="1">IFERROR(__xludf.DUMMYFUNCTION("""COMPUTED_VALUE"""),"SANTA RITA 144")</f>
        <v>SANTA RITA 144</v>
      </c>
      <c r="D1116" s="6" t="str">
        <f ca="1">IFERROR(__xludf.DUMMYFUNCTION("""COMPUTED_VALUE"""),"PEÑAFLOR")</f>
        <v>PEÑAFLOR</v>
      </c>
    </row>
    <row r="1117" spans="1:4">
      <c r="A1117" s="7">
        <f ca="1">IFERROR(__xludf.DUMMYFUNCTION("""COMPUTED_VALUE"""),44006)</f>
        <v>44006</v>
      </c>
      <c r="B1117" s="6" t="str">
        <f ca="1">IFERROR(__xludf.DUMMYFUNCTION("""COMPUTED_VALUE"""),"-33.6052343-70.8637172")</f>
        <v>-33.6052343-70.8637172</v>
      </c>
      <c r="C1117" s="6" t="str">
        <f ca="1">IFERROR(__xludf.DUMMYFUNCTION("""COMPUTED_VALUE"""),"LOS CONQUISTADORES 741")</f>
        <v>LOS CONQUISTADORES 741</v>
      </c>
      <c r="D1117" s="6" t="str">
        <f ca="1">IFERROR(__xludf.DUMMYFUNCTION("""COMPUTED_VALUE"""),"PEÑAFLOR")</f>
        <v>PEÑAFLOR</v>
      </c>
    </row>
    <row r="1118" spans="1:4">
      <c r="A1118" s="7">
        <f ca="1">IFERROR(__xludf.DUMMYFUNCTION("""COMPUTED_VALUE"""),44006)</f>
        <v>44006</v>
      </c>
      <c r="B1118" s="6" t="str">
        <f ca="1">IFERROR(__xludf.DUMMYFUNCTION("""COMPUTED_VALUE"""),"-33.5881-70.8488")</f>
        <v>-33.5881-70.8488</v>
      </c>
      <c r="C1118" s="6" t="str">
        <f ca="1">IFERROR(__xludf.DUMMYFUNCTION("""COMPUTED_VALUE"""),"PAJARITO PARCELA 22")</f>
        <v>PAJARITO PARCELA 22</v>
      </c>
      <c r="D1118" s="6" t="str">
        <f ca="1">IFERROR(__xludf.DUMMYFUNCTION("""COMPUTED_VALUE"""),"PEÑAFLOR")</f>
        <v>PEÑAFLOR</v>
      </c>
    </row>
    <row r="1119" spans="1:4">
      <c r="A1119" s="7">
        <f ca="1">IFERROR(__xludf.DUMMYFUNCTION("""COMPUTED_VALUE"""),44006)</f>
        <v>44006</v>
      </c>
      <c r="B1119" s="6" t="str">
        <f ca="1">IFERROR(__xludf.DUMMYFUNCTION("""COMPUTED_VALUE"""),"-33.6073729-70.8819776")</f>
        <v>-33.6073729-70.8819776</v>
      </c>
      <c r="C1119" s="6" t="str">
        <f ca="1">IFERROR(__xludf.DUMMYFUNCTION("""COMPUTED_VALUE"""),"SANTA RAQUEL 300")</f>
        <v>SANTA RAQUEL 300</v>
      </c>
      <c r="D1119" s="6" t="str">
        <f ca="1">IFERROR(__xludf.DUMMYFUNCTION("""COMPUTED_VALUE"""),"PEÑAFLOR")</f>
        <v>PEÑAFLOR</v>
      </c>
    </row>
    <row r="1120" spans="1:4">
      <c r="A1120" s="7">
        <f ca="1">IFERROR(__xludf.DUMMYFUNCTION("""COMPUTED_VALUE"""),44006)</f>
        <v>44006</v>
      </c>
      <c r="B1120" s="6" t="str">
        <f ca="1">IFERROR(__xludf.DUMMYFUNCTION("""COMPUTED_VALUE"""),"-33.578950-70.806105")</f>
        <v>-33.578950-70.806105</v>
      </c>
      <c r="C1120" s="6" t="str">
        <f ca="1">IFERROR(__xludf.DUMMYFUNCTION("""COMPUTED_VALUE"""),"PASAJE UNO 1420")</f>
        <v>PASAJE UNO 1420</v>
      </c>
      <c r="D1120" s="6" t="str">
        <f ca="1">IFERROR(__xludf.DUMMYFUNCTION("""COMPUTED_VALUE"""),"PADRE HURTADO")</f>
        <v>PADRE HURTADO</v>
      </c>
    </row>
    <row r="1121" spans="1:4">
      <c r="A1121" s="7">
        <f ca="1">IFERROR(__xludf.DUMMYFUNCTION("""COMPUTED_VALUE"""),44006)</f>
        <v>44006</v>
      </c>
      <c r="B1121" s="6" t="str">
        <f ca="1">IFERROR(__xludf.DUMMYFUNCTION("""COMPUTED_VALUE"""),"-33.5789041-70.8058145")</f>
        <v>-33.5789041-70.8058145</v>
      </c>
      <c r="C1121" s="6" t="str">
        <f ca="1">IFERROR(__xludf.DUMMYFUNCTION("""COMPUTED_VALUE"""),"CALLE DOS 2360")</f>
        <v>CALLE DOS 2360</v>
      </c>
      <c r="D1121" s="6" t="str">
        <f ca="1">IFERROR(__xludf.DUMMYFUNCTION("""COMPUTED_VALUE"""),"PADRE HURTADO")</f>
        <v>PADRE HURTADO</v>
      </c>
    </row>
    <row r="1122" spans="1:4">
      <c r="A1122" s="7">
        <f ca="1">IFERROR(__xludf.DUMMYFUNCTION("""COMPUTED_VALUE"""),44006)</f>
        <v>44006</v>
      </c>
      <c r="B1122" s="6" t="str">
        <f ca="1">IFERROR(__xludf.DUMMYFUNCTION("""COMPUTED_VALUE"""),"-33.340052-70.817090")</f>
        <v>-33.340052-70.817090</v>
      </c>
      <c r="C1122" s="6" t="str">
        <f ca="1">IFERROR(__xludf.DUMMYFUNCTION("""COMPUTED_VALUE"""),"CAMINO INTERIOR 36")</f>
        <v>CAMINO INTERIOR 36</v>
      </c>
      <c r="D1122" s="6" t="str">
        <f ca="1">IFERROR(__xludf.DUMMYFUNCTION("""COMPUTED_VALUE"""),"LAMPA")</f>
        <v>LAMPA</v>
      </c>
    </row>
    <row r="1123" spans="1:4">
      <c r="A1123" s="7">
        <f ca="1">IFERROR(__xludf.DUMMYFUNCTION("""COMPUTED_VALUE"""),44006)</f>
        <v>44006</v>
      </c>
      <c r="B1123" s="6" t="str">
        <f ca="1">IFERROR(__xludf.DUMMYFUNCTION("""COMPUTED_VALUE"""),"-33.674701,-70.998736")</f>
        <v>-33.674701,-70.998736</v>
      </c>
      <c r="C1123" s="6" t="str">
        <f ca="1">IFERROR(__xludf.DUMMYFUNCTION("""COMPUTED_VALUE"""),"SAN MIGUEL 979 L 1")</f>
        <v>SAN MIGUEL 979 L 1</v>
      </c>
      <c r="D1123" s="6" t="str">
        <f ca="1">IFERROR(__xludf.DUMMYFUNCTION("""COMPUTED_VALUE"""),"EL MONTE")</f>
        <v>EL MONTE</v>
      </c>
    </row>
    <row r="1124" spans="1:4">
      <c r="A1124" s="7">
        <f ca="1">IFERROR(__xludf.DUMMYFUNCTION("""COMPUTED_VALUE"""),44006)</f>
        <v>44006</v>
      </c>
      <c r="B1124" s="6" t="str">
        <f ca="1">IFERROR(__xludf.DUMMYFUNCTION("""COMPUTED_VALUE"""),"-33.696099,-71.032985")</f>
        <v>-33.696099,-71.032985</v>
      </c>
      <c r="C1124" s="6" t="str">
        <f ca="1">IFERROR(__xludf.DUMMYFUNCTION("""COMPUTED_VALUE"""),"GREGORIO ORTEGA 01070")</f>
        <v>GREGORIO ORTEGA 01070</v>
      </c>
      <c r="D1124" s="6" t="str">
        <f ca="1">IFERROR(__xludf.DUMMYFUNCTION("""COMPUTED_VALUE"""),"EL MONTE")</f>
        <v>EL MONTE</v>
      </c>
    </row>
    <row r="1125" spans="1:4">
      <c r="A1125" s="7">
        <f ca="1">IFERROR(__xludf.DUMMYFUNCTION("""COMPUTED_VALUE"""),44006)</f>
        <v>44006</v>
      </c>
      <c r="B1125" s="6" t="str">
        <f ca="1">IFERROR(__xludf.DUMMYFUNCTION("""COMPUTED_VALUE"""),"-33.683620,-71.006849")</f>
        <v>-33.683620,-71.006849</v>
      </c>
      <c r="C1125" s="6" t="str">
        <f ca="1">IFERROR(__xludf.DUMMYFUNCTION("""COMPUTED_VALUE"""),"AV LOS LIBERTADORES 881")</f>
        <v>AV LOS LIBERTADORES 881</v>
      </c>
      <c r="D1125" s="6" t="str">
        <f ca="1">IFERROR(__xludf.DUMMYFUNCTION("""COMPUTED_VALUE"""),"EL MONTE")</f>
        <v>EL MONTE</v>
      </c>
    </row>
    <row r="1126" spans="1:4">
      <c r="A1126" s="7">
        <f ca="1">IFERROR(__xludf.DUMMYFUNCTION("""COMPUTED_VALUE"""),44006)</f>
        <v>44006</v>
      </c>
      <c r="B1126" s="6" t="str">
        <f ca="1">IFERROR(__xludf.DUMMYFUNCTION("""COMPUTED_VALUE"""),"-33.678059,-70.997332")</f>
        <v>-33.678059,-70.997332</v>
      </c>
      <c r="C1126" s="6" t="str">
        <f ca="1">IFERROR(__xludf.DUMMYFUNCTION("""COMPUTED_VALUE"""),"PJE GABRIEL SILVA 780")</f>
        <v>PJE GABRIEL SILVA 780</v>
      </c>
      <c r="D1126" s="6" t="str">
        <f ca="1">IFERROR(__xludf.DUMMYFUNCTION("""COMPUTED_VALUE"""),"EL MONTE")</f>
        <v>EL MONTE</v>
      </c>
    </row>
    <row r="1127" spans="1:4">
      <c r="A1127" s="7">
        <f ca="1">IFERROR(__xludf.DUMMYFUNCTION("""COMPUTED_VALUE"""),44006)</f>
        <v>44006</v>
      </c>
      <c r="B1127" s="6" t="str">
        <f ca="1">IFERROR(__xludf.DUMMYFUNCTION("""COMPUTED_VALUE"""),"-33.683535,-71.006887")</f>
        <v>-33.683535,-71.006887</v>
      </c>
      <c r="C1127" s="6" t="str">
        <f ca="1">IFERROR(__xludf.DUMMYFUNCTION("""COMPUTED_VALUE"""),"AV LOS LIBERTADORES 881")</f>
        <v>AV LOS LIBERTADORES 881</v>
      </c>
      <c r="D1127" s="6" t="str">
        <f ca="1">IFERROR(__xludf.DUMMYFUNCTION("""COMPUTED_VALUE"""),"EL MONTE")</f>
        <v>EL MONTE</v>
      </c>
    </row>
    <row r="1128" spans="1:4">
      <c r="A1128" s="7">
        <f ca="1">IFERROR(__xludf.DUMMYFUNCTION("""COMPUTED_VALUE"""),44006)</f>
        <v>44006</v>
      </c>
      <c r="B1128" s="6" t="str">
        <f ca="1">IFERROR(__xludf.DUMMYFUNCTION("""COMPUTED_VALUE"""),"-33.673519,-70.974647")</f>
        <v>-33.673519,-70.974647</v>
      </c>
      <c r="C1128" s="6" t="str">
        <f ca="1">IFERROR(__xludf.DUMMYFUNCTION("""COMPUTED_VALUE"""),"PJE LUIS CRUZ MARTINEZ 163")</f>
        <v>PJE LUIS CRUZ MARTINEZ 163</v>
      </c>
      <c r="D1128" s="6" t="str">
        <f ca="1">IFERROR(__xludf.DUMMYFUNCTION("""COMPUTED_VALUE"""),"EL MONTE")</f>
        <v>EL MONTE</v>
      </c>
    </row>
    <row r="1129" spans="1:4">
      <c r="A1129" s="7">
        <f ca="1">IFERROR(__xludf.DUMMYFUNCTION("""COMPUTED_VALUE"""),44006)</f>
        <v>44006</v>
      </c>
      <c r="B1129" s="6" t="str">
        <f ca="1">IFERROR(__xludf.DUMMYFUNCTION("""COMPUTED_VALUE"""),"-33.268010 - 70.697569")</f>
        <v>-33.268010 - 70.697569</v>
      </c>
      <c r="C1129" s="6" t="str">
        <f ca="1">IFERROR(__xludf.DUMMYFUNCTION("""COMPUTED_VALUE"""),"SANTA LUCIA DE CHICUREO L 6 S N ")</f>
        <v xml:space="preserve">SANTA LUCIA DE CHICUREO L 6 S N </v>
      </c>
      <c r="D1129" s="6" t="str">
        <f ca="1">IFERROR(__xludf.DUMMYFUNCTION("""COMPUTED_VALUE"""),"COLINA")</f>
        <v>COLINA</v>
      </c>
    </row>
    <row r="1130" spans="1:4">
      <c r="A1130" s="7">
        <f ca="1">IFERROR(__xludf.DUMMYFUNCTION("""COMPUTED_VALUE"""),44006)</f>
        <v>44006</v>
      </c>
      <c r="B1130" s="6" t="str">
        <f ca="1">IFERROR(__xludf.DUMMYFUNCTION("""COMPUTED_VALUE"""),"-33.268010 - 70.697569")</f>
        <v>-33.268010 - 70.697569</v>
      </c>
      <c r="C1130" s="6" t="str">
        <f ca="1">IFERROR(__xludf.DUMMYFUNCTION("""COMPUTED_VALUE"""),"SANTA LUCIA DE CHICUREO L 6 S N ")</f>
        <v xml:space="preserve">SANTA LUCIA DE CHICUREO L 6 S N </v>
      </c>
      <c r="D1130" s="6" t="str">
        <f ca="1">IFERROR(__xludf.DUMMYFUNCTION("""COMPUTED_VALUE"""),"COLINA")</f>
        <v>COLINA</v>
      </c>
    </row>
    <row r="1131" spans="1:4">
      <c r="A1131" s="7">
        <f ca="1">IFERROR(__xludf.DUMMYFUNCTION("""COMPUTED_VALUE"""),44006)</f>
        <v>44006</v>
      </c>
      <c r="B1131" s="6" t="str">
        <f ca="1">IFERROR(__xludf.DUMMYFUNCTION("""COMPUTED_VALUE"""),"-33.268010 - 70.697569")</f>
        <v>-33.268010 - 70.697569</v>
      </c>
      <c r="C1131" s="6" t="str">
        <f ca="1">IFERROR(__xludf.DUMMYFUNCTION("""COMPUTED_VALUE"""),"SANTA LUCIA DE CHICUREO L 6 S N ")</f>
        <v xml:space="preserve">SANTA LUCIA DE CHICUREO L 6 S N </v>
      </c>
      <c r="D1131" s="6" t="str">
        <f ca="1">IFERROR(__xludf.DUMMYFUNCTION("""COMPUTED_VALUE"""),"COLINA")</f>
        <v>COLINA</v>
      </c>
    </row>
    <row r="1132" spans="1:4">
      <c r="A1132" s="7">
        <f ca="1">IFERROR(__xludf.DUMMYFUNCTION("""COMPUTED_VALUE"""),44007)</f>
        <v>44007</v>
      </c>
      <c r="B1132" s="8" t="str">
        <f ca="1">IFERROR(__xludf.DUMMYFUNCTION("""COMPUTED_VALUE"""),"-33.748767,-70.749481")</f>
        <v>-33.748767,-70.749481</v>
      </c>
      <c r="C1132" s="6" t="str">
        <f ca="1">IFERROR(__xludf.DUMMYFUNCTION("""COMPUTED_VALUE"""),"PASAJE GUILLEREMO SANDOVAL 742")</f>
        <v>PASAJE GUILLEREMO SANDOVAL 742</v>
      </c>
      <c r="D1132" s="6" t="str">
        <f ca="1">IFERROR(__xludf.DUMMYFUNCTION("""COMPUTED_VALUE"""),"BUIN")</f>
        <v>BUIN</v>
      </c>
    </row>
    <row r="1133" spans="1:4">
      <c r="A1133" s="7">
        <f ca="1">IFERROR(__xludf.DUMMYFUNCTION("""COMPUTED_VALUE"""),44007)</f>
        <v>44007</v>
      </c>
      <c r="B1133" s="8" t="str">
        <f ca="1">IFERROR(__xludf.DUMMYFUNCTION("""COMPUTED_VALUE"""),"-33.723599,-70.745809")</f>
        <v>-33.723599,-70.745809</v>
      </c>
      <c r="C1133" s="6" t="str">
        <f ca="1">IFERROR(__xludf.DUMMYFUNCTION("""COMPUTED_VALUE"""),"JOSE MIGUEL CARRERA 586")</f>
        <v>JOSE MIGUEL CARRERA 586</v>
      </c>
      <c r="D1133" s="6" t="str">
        <f ca="1">IFERROR(__xludf.DUMMYFUNCTION("""COMPUTED_VALUE"""),"BUIN")</f>
        <v>BUIN</v>
      </c>
    </row>
    <row r="1134" spans="1:4">
      <c r="A1134" s="7">
        <f ca="1">IFERROR(__xludf.DUMMYFUNCTION("""COMPUTED_VALUE"""),44007)</f>
        <v>44007</v>
      </c>
      <c r="B1134" s="6" t="str">
        <f ca="1">IFERROR(__xludf.DUMMYFUNCTION("""COMPUTED_VALUE"""),"-33.236056-70.804166")</f>
        <v>-33.236056-70.804166</v>
      </c>
      <c r="C1134" s="6" t="str">
        <f ca="1">IFERROR(__xludf.DUMMYFUNCTION("""COMPUTED_VALUE"""),"AV. ESPAÑA 2826")</f>
        <v>AV. ESPAÑA 2826</v>
      </c>
      <c r="D1134" s="6" t="str">
        <f ca="1">IFERROR(__xludf.DUMMYFUNCTION("""COMPUTED_VALUE"""),"LAMPA")</f>
        <v>LAMPA</v>
      </c>
    </row>
    <row r="1135" spans="1:4">
      <c r="A1135" s="7">
        <f ca="1">IFERROR(__xludf.DUMMYFUNCTION("""COMPUTED_VALUE"""),44007)</f>
        <v>44007</v>
      </c>
      <c r="B1135" s="6" t="str">
        <f ca="1">IFERROR(__xludf.DUMMYFUNCTION("""COMPUTED_VALUE"""),"-33.5737526-70.8148767")</f>
        <v>-33.5737526-70.8148767</v>
      </c>
      <c r="C1135" s="6" t="str">
        <f ca="1">IFERROR(__xludf.DUMMYFUNCTION("""COMPUTED_VALUE"""),"SAN SIMON 2601")</f>
        <v>SAN SIMON 2601</v>
      </c>
      <c r="D1135" s="6" t="str">
        <f ca="1">IFERROR(__xludf.DUMMYFUNCTION("""COMPUTED_VALUE"""),"PADRE HURTADO")</f>
        <v>PADRE HURTADO</v>
      </c>
    </row>
    <row r="1136" spans="1:4">
      <c r="A1136" s="7">
        <f ca="1">IFERROR(__xludf.DUMMYFUNCTION("""COMPUTED_VALUE"""),44007)</f>
        <v>44007</v>
      </c>
      <c r="B1136" s="6" t="str">
        <f ca="1">IFERROR(__xludf.DUMMYFUNCTION("""COMPUTED_VALUE"""),"-33.5783602-70.808292")</f>
        <v>-33.5783602-70.808292</v>
      </c>
      <c r="C1136" s="6" t="str">
        <f ca="1">IFERROR(__xludf.DUMMYFUNCTION("""COMPUTED_VALUE"""),"RIO ACONCAGUA 1220")</f>
        <v>RIO ACONCAGUA 1220</v>
      </c>
      <c r="D1136" s="6" t="str">
        <f ca="1">IFERROR(__xludf.DUMMYFUNCTION("""COMPUTED_VALUE"""),"PADRE HURTADO")</f>
        <v>PADRE HURTADO</v>
      </c>
    </row>
    <row r="1137" spans="1:4">
      <c r="A1137" s="7">
        <f ca="1">IFERROR(__xludf.DUMMYFUNCTION("""COMPUTED_VALUE"""),44007)</f>
        <v>44007</v>
      </c>
      <c r="B1137" s="6" t="str">
        <f ca="1">IFERROR(__xludf.DUMMYFUNCTION("""COMPUTED_VALUE"""),"-33.600574-70.872451")</f>
        <v>-33.600574-70.872451</v>
      </c>
      <c r="C1137" s="6" t="str">
        <f ca="1">IFERROR(__xludf.DUMMYFUNCTION("""COMPUTED_VALUE"""),"PASAJE TRES 1965")</f>
        <v>PASAJE TRES 1965</v>
      </c>
      <c r="D1137" s="6" t="str">
        <f ca="1">IFERROR(__xludf.DUMMYFUNCTION("""COMPUTED_VALUE"""),"PEÑAFLOR")</f>
        <v>PEÑAFLOR</v>
      </c>
    </row>
    <row r="1138" spans="1:4">
      <c r="A1138" s="7">
        <f ca="1">IFERROR(__xludf.DUMMYFUNCTION("""COMPUTED_VALUE"""),44007)</f>
        <v>44007</v>
      </c>
      <c r="B1138" s="6" t="str">
        <f ca="1">IFERROR(__xludf.DUMMYFUNCTION("""COMPUTED_VALUE"""),"-33.601293-70.871857")</f>
        <v>-33.601293-70.871857</v>
      </c>
      <c r="C1138" s="6" t="str">
        <f ca="1">IFERROR(__xludf.DUMMYFUNCTION("""COMPUTED_VALUE"""),"VIOLETA PARRA 1820")</f>
        <v>VIOLETA PARRA 1820</v>
      </c>
      <c r="D1138" s="6" t="str">
        <f ca="1">IFERROR(__xludf.DUMMYFUNCTION("""COMPUTED_VALUE"""),"PEÑAFLOR")</f>
        <v>PEÑAFLOR</v>
      </c>
    </row>
    <row r="1139" spans="1:4">
      <c r="A1139" s="7">
        <f ca="1">IFERROR(__xludf.DUMMYFUNCTION("""COMPUTED_VALUE"""),44007)</f>
        <v>44007</v>
      </c>
      <c r="B1139" s="6" t="str">
        <f ca="1">IFERROR(__xludf.DUMMYFUNCTION("""COMPUTED_VALUE"""),"-33.6002-70.8678")</f>
        <v>-33.6002-70.8678</v>
      </c>
      <c r="C1139" s="6" t="str">
        <f ca="1">IFERROR(__xludf.DUMMYFUNCTION("""COMPUTED_VALUE"""),"MIRAFLORES 1632")</f>
        <v>MIRAFLORES 1632</v>
      </c>
      <c r="D1139" s="6" t="str">
        <f ca="1">IFERROR(__xludf.DUMMYFUNCTION("""COMPUTED_VALUE"""),"PEÑAFLOR")</f>
        <v>PEÑAFLOR</v>
      </c>
    </row>
    <row r="1140" spans="1:4">
      <c r="A1140" s="7">
        <f ca="1">IFERROR(__xludf.DUMMYFUNCTION("""COMPUTED_VALUE"""),44007)</f>
        <v>44007</v>
      </c>
      <c r="B1140" s="6" t="str">
        <f ca="1">IFERROR(__xludf.DUMMYFUNCTION("""COMPUTED_VALUE"""),"-33.5356673-70.9099579")</f>
        <v>-33.5356673-70.9099579</v>
      </c>
      <c r="C1140" s="6" t="str">
        <f ca="1">IFERROR(__xludf.DUMMYFUNCTION("""COMPUTED_VALUE"""),"SANTA MONICA S/N SITIO 32")</f>
        <v>SANTA MONICA S/N SITIO 32</v>
      </c>
      <c r="D1140" s="6" t="str">
        <f ca="1">IFERROR(__xludf.DUMMYFUNCTION("""COMPUTED_VALUE"""),"PADRE HURTADO")</f>
        <v>PADRE HURTADO</v>
      </c>
    </row>
    <row r="1141" spans="1:4">
      <c r="A1141" s="7">
        <f ca="1">IFERROR(__xludf.DUMMYFUNCTION("""COMPUTED_VALUE"""),44007)</f>
        <v>44007</v>
      </c>
      <c r="B1141" s="6" t="str">
        <f ca="1">IFERROR(__xludf.DUMMYFUNCTION("""COMPUTED_VALUE"""),"-33.689350,-71.036343")</f>
        <v>-33.689350,-71.036343</v>
      </c>
      <c r="C1141" s="6" t="str">
        <f ca="1">IFERROR(__xludf.DUMMYFUNCTION("""COMPUTED_VALUE"""),"CALLE PERU 088")</f>
        <v>CALLE PERU 088</v>
      </c>
      <c r="D1141" s="6" t="str">
        <f ca="1">IFERROR(__xludf.DUMMYFUNCTION("""COMPUTED_VALUE"""),"EL MONTE")</f>
        <v>EL MONTE</v>
      </c>
    </row>
    <row r="1142" spans="1:4">
      <c r="A1142" s="7">
        <f ca="1">IFERROR(__xludf.DUMMYFUNCTION("""COMPUTED_VALUE"""),44007)</f>
        <v>44007</v>
      </c>
      <c r="B1142" s="6" t="str">
        <f ca="1">IFERROR(__xludf.DUMMYFUNCTION("""COMPUTED_VALUE"""),"-33.675347,-70.994612")</f>
        <v>-33.675347,-70.994612</v>
      </c>
      <c r="C1142" s="6" t="str">
        <f ca="1">IFERROR(__xludf.DUMMYFUNCTION("""COMPUTED_VALUE"""),"JOSE CARREÑO 347")</f>
        <v>JOSE CARREÑO 347</v>
      </c>
      <c r="D1142" s="6" t="str">
        <f ca="1">IFERROR(__xludf.DUMMYFUNCTION("""COMPUTED_VALUE"""),"EL MONTE")</f>
        <v>EL MONTE</v>
      </c>
    </row>
    <row r="1143" spans="1:4">
      <c r="A1143" s="7">
        <f ca="1">IFERROR(__xludf.DUMMYFUNCTION("""COMPUTED_VALUE"""),44007)</f>
        <v>44007</v>
      </c>
      <c r="B1143" s="6" t="str">
        <f ca="1">IFERROR(__xludf.DUMMYFUNCTION("""COMPUTED_VALUE"""),"-33.676440,-70.988129")</f>
        <v>-33.676440,-70.988129</v>
      </c>
      <c r="C1143" s="6" t="str">
        <f ca="1">IFERROR(__xludf.DUMMYFUNCTION("""COMPUTED_VALUE"""),"PJE LAPIZLAZULI 554")</f>
        <v>PJE LAPIZLAZULI 554</v>
      </c>
      <c r="D1143" s="6" t="str">
        <f ca="1">IFERROR(__xludf.DUMMYFUNCTION("""COMPUTED_VALUE"""),"EL MONTE")</f>
        <v>EL MONTE</v>
      </c>
    </row>
    <row r="1144" spans="1:4">
      <c r="A1144" s="7">
        <f ca="1">IFERROR(__xludf.DUMMYFUNCTION("""COMPUTED_VALUE"""),44007)</f>
        <v>44007</v>
      </c>
      <c r="B1144" s="6" t="str">
        <f ca="1">IFERROR(__xludf.DUMMYFUNCTION("""COMPUTED_VALUE"""),"-33.680783,-70.997314")</f>
        <v>-33.680783,-70.997314</v>
      </c>
      <c r="C1144" s="6" t="str">
        <f ca="1">IFERROR(__xludf.DUMMYFUNCTION("""COMPUTED_VALUE"""),"3 PONIENTE 224")</f>
        <v>3 PONIENTE 224</v>
      </c>
      <c r="D1144" s="6" t="str">
        <f ca="1">IFERROR(__xludf.DUMMYFUNCTION("""COMPUTED_VALUE"""),"EL MONTE")</f>
        <v>EL MONTE</v>
      </c>
    </row>
    <row r="1145" spans="1:4">
      <c r="A1145" s="7">
        <f ca="1">IFERROR(__xludf.DUMMYFUNCTION("""COMPUTED_VALUE"""),44007)</f>
        <v>44007</v>
      </c>
      <c r="B1145" s="6" t="str">
        <f ca="1">IFERROR(__xludf.DUMMYFUNCTION("""COMPUTED_VALUE"""),"-33.293207 - 70.874789")</f>
        <v>-33.293207 - 70.874789</v>
      </c>
      <c r="C1145" s="6" t="str">
        <f ca="1">IFERROR(__xludf.DUMMYFUNCTION("""COMPUTED_VALUE"""),"CALLE EL MACAL 1421")</f>
        <v>CALLE EL MACAL 1421</v>
      </c>
      <c r="D1145" s="6" t="str">
        <f ca="1">IFERROR(__xludf.DUMMYFUNCTION("""COMPUTED_VALUE"""),"LAMPA")</f>
        <v>LAMPA</v>
      </c>
    </row>
    <row r="1146" spans="1:4">
      <c r="A1146" s="7">
        <f ca="1">IFERROR(__xludf.DUMMYFUNCTION("""COMPUTED_VALUE"""),44008)</f>
        <v>44008</v>
      </c>
      <c r="B1146" s="8" t="str">
        <f ca="1">IFERROR(__xludf.DUMMYFUNCTION("""COMPUTED_VALUE"""),"-33.715674,-70.742110")</f>
        <v>-33.715674,-70.742110</v>
      </c>
      <c r="C1146" s="6" t="str">
        <f ca="1">IFERROR(__xludf.DUMMYFUNCTION("""COMPUTED_VALUE"""),"UN SUEÑO 045")</f>
        <v>UN SUEÑO 045</v>
      </c>
      <c r="D1146" s="6" t="str">
        <f ca="1">IFERROR(__xludf.DUMMYFUNCTION("""COMPUTED_VALUE"""),"BUIN")</f>
        <v>BUIN</v>
      </c>
    </row>
    <row r="1147" spans="1:4">
      <c r="A1147" s="7">
        <f ca="1">IFERROR(__xludf.DUMMYFUNCTION("""COMPUTED_VALUE"""),44008)</f>
        <v>44008</v>
      </c>
      <c r="B1147" s="8" t="str">
        <f ca="1">IFERROR(__xludf.DUMMYFUNCTION("""COMPUTED_VALUE"""),"-33.730703,-70.778583")</f>
        <v>-33.730703,-70.778583</v>
      </c>
      <c r="C1147" s="6" t="str">
        <f ca="1">IFERROR(__xludf.DUMMYFUNCTION("""COMPUTED_VALUE"""),"LOS HALCONES 082")</f>
        <v>LOS HALCONES 082</v>
      </c>
      <c r="D1147" s="6" t="str">
        <f ca="1">IFERROR(__xludf.DUMMYFUNCTION("""COMPUTED_VALUE"""),"BUIN")</f>
        <v>BUIN</v>
      </c>
    </row>
    <row r="1148" spans="1:4">
      <c r="A1148" s="7">
        <f ca="1">IFERROR(__xludf.DUMMYFUNCTION("""COMPUTED_VALUE"""),44008)</f>
        <v>44008</v>
      </c>
      <c r="B1148" s="8" t="str">
        <f ca="1">IFERROR(__xludf.DUMMYFUNCTION("""COMPUTED_VALUE"""),"-33.727854,-70.744559")</f>
        <v>-33.727854,-70.744559</v>
      </c>
      <c r="C1148" s="6" t="str">
        <f ca="1">IFERROR(__xludf.DUMMYFUNCTION("""COMPUTED_VALUE"""),"FRANCISCO LE FEBRE 047")</f>
        <v>FRANCISCO LE FEBRE 047</v>
      </c>
      <c r="D1148" s="6" t="str">
        <f ca="1">IFERROR(__xludf.DUMMYFUNCTION("""COMPUTED_VALUE"""),"BUIN")</f>
        <v>BUIN</v>
      </c>
    </row>
    <row r="1149" spans="1:4">
      <c r="A1149" s="7">
        <f ca="1">IFERROR(__xludf.DUMMYFUNCTION("""COMPUTED_VALUE"""),44008)</f>
        <v>44008</v>
      </c>
      <c r="B1149" s="8" t="str">
        <f ca="1">IFERROR(__xludf.DUMMYFUNCTION("""COMPUTED_VALUE"""),"-33.744620,-70.680431")</f>
        <v>-33.744620,-70.680431</v>
      </c>
      <c r="C1149" s="6" t="str">
        <f ca="1">IFERROR(__xludf.DUMMYFUNCTION("""COMPUTED_VALUE"""),"CARLOS CORTES 66")</f>
        <v>CARLOS CORTES 66</v>
      </c>
      <c r="D1149" s="6" t="str">
        <f ca="1">IFERROR(__xludf.DUMMYFUNCTION("""COMPUTED_VALUE"""),"BUIN")</f>
        <v>BUIN</v>
      </c>
    </row>
    <row r="1150" spans="1:4">
      <c r="A1150" s="7">
        <f ca="1">IFERROR(__xludf.DUMMYFUNCTION("""COMPUTED_VALUE"""),44008)</f>
        <v>44008</v>
      </c>
      <c r="B1150" s="8" t="str">
        <f ca="1">IFERROR(__xludf.DUMMYFUNCTION("""COMPUTED_VALUE"""),"-33.660262,-70.917249")</f>
        <v>-33.660262,-70.917249</v>
      </c>
      <c r="C1150" s="6" t="str">
        <f ca="1">IFERROR(__xludf.DUMMYFUNCTION("""COMPUTED_VALUE"""),"ESMERALDA 78")</f>
        <v>ESMERALDA 78</v>
      </c>
      <c r="D1150" s="6" t="str">
        <f ca="1">IFERROR(__xludf.DUMMYFUNCTION("""COMPUTED_VALUE"""),"TALAGANTE")</f>
        <v>TALAGANTE</v>
      </c>
    </row>
    <row r="1151" spans="1:4">
      <c r="A1151" s="7">
        <f ca="1">IFERROR(__xludf.DUMMYFUNCTION("""COMPUTED_VALUE"""),44008)</f>
        <v>44008</v>
      </c>
      <c r="B1151" s="8" t="str">
        <f ca="1">IFERROR(__xludf.DUMMYFUNCTION("""COMPUTED_VALUE"""),"-33.667073,-70.916261")</f>
        <v>-33.667073,-70.916261</v>
      </c>
      <c r="C1151" s="6" t="str">
        <f ca="1">IFERROR(__xludf.DUMMYFUNCTION("""COMPUTED_VALUE"""),"ESMERALDA 89")</f>
        <v>ESMERALDA 89</v>
      </c>
      <c r="D1151" s="6" t="str">
        <f ca="1">IFERROR(__xludf.DUMMYFUNCTION("""COMPUTED_VALUE"""),"TALAGANTE")</f>
        <v>TALAGANTE</v>
      </c>
    </row>
    <row r="1152" spans="1:4">
      <c r="A1152" s="7">
        <f ca="1">IFERROR(__xludf.DUMMYFUNCTION("""COMPUTED_VALUE"""),44008)</f>
        <v>44008</v>
      </c>
      <c r="B1152" s="8" t="str">
        <f ca="1">IFERROR(__xludf.DUMMYFUNCTION("""COMPUTED_VALUE"""),"-33.407578,-71.133480")</f>
        <v>-33.407578,-71.133480</v>
      </c>
      <c r="C1152" s="6" t="str">
        <f ca="1">IFERROR(__xludf.DUMMYFUNCTION("""COMPUTED_VALUE"""),"ALEJANDRO CONTRERAS ")</f>
        <v xml:space="preserve">ALEJANDRO CONTRERAS </v>
      </c>
      <c r="D1152" s="6" t="str">
        <f ca="1">IFERROR(__xludf.DUMMYFUNCTION("""COMPUTED_VALUE"""),"CURACAVI")</f>
        <v>CURACAVI</v>
      </c>
    </row>
    <row r="1153" spans="1:4">
      <c r="A1153" s="7">
        <f ca="1">IFERROR(__xludf.DUMMYFUNCTION("""COMPUTED_VALUE"""),44008)</f>
        <v>44008</v>
      </c>
      <c r="B1153" s="6" t="str">
        <f ca="1">IFERROR(__xludf.DUMMYFUNCTION("""COMPUTED_VALUE"""),"-33.614146-70.872240")</f>
        <v>-33.614146-70.872240</v>
      </c>
      <c r="C1153" s="6" t="str">
        <f ca="1">IFERROR(__xludf.DUMMYFUNCTION("""COMPUTED_VALUE"""),"LOS ALERCES 1203")</f>
        <v>LOS ALERCES 1203</v>
      </c>
      <c r="D1153" s="6" t="str">
        <f ca="1">IFERROR(__xludf.DUMMYFUNCTION("""COMPUTED_VALUE"""),"PEÑAFLOR")</f>
        <v>PEÑAFLOR</v>
      </c>
    </row>
    <row r="1154" spans="1:4">
      <c r="A1154" s="7">
        <f ca="1">IFERROR(__xludf.DUMMYFUNCTION("""COMPUTED_VALUE"""),44008)</f>
        <v>44008</v>
      </c>
      <c r="B1154" s="6" t="str">
        <f ca="1">IFERROR(__xludf.DUMMYFUNCTION("""COMPUTED_VALUE"""),"-33.5988-70.8470")</f>
        <v>-33.5988-70.8470</v>
      </c>
      <c r="C1154" s="6" t="str">
        <f ca="1">IFERROR(__xludf.DUMMYFUNCTION("""COMPUTED_VALUE"""),"BALMACEDA 0612")</f>
        <v>BALMACEDA 0612</v>
      </c>
      <c r="D1154" s="6" t="str">
        <f ca="1">IFERROR(__xludf.DUMMYFUNCTION("""COMPUTED_VALUE"""),"PEÑAFLOR")</f>
        <v>PEÑAFLOR</v>
      </c>
    </row>
    <row r="1155" spans="1:4">
      <c r="A1155" s="7">
        <f ca="1">IFERROR(__xludf.DUMMYFUNCTION("""COMPUTED_VALUE"""),44008)</f>
        <v>44008</v>
      </c>
      <c r="B1155" s="6" t="str">
        <f ca="1">IFERROR(__xludf.DUMMYFUNCTION("""COMPUTED_VALUE"""),"-33.5586542-70.8245519")</f>
        <v>-33.5586542-70.8245519</v>
      </c>
      <c r="C1155" s="6" t="str">
        <f ca="1">IFERROR(__xludf.DUMMYFUNCTION("""COMPUTED_VALUE"""),"JOSE LUIS CARO 1694")</f>
        <v>JOSE LUIS CARO 1694</v>
      </c>
      <c r="D1155" s="6" t="str">
        <f ca="1">IFERROR(__xludf.DUMMYFUNCTION("""COMPUTED_VALUE"""),"PADRE HURTADO")</f>
        <v>PADRE HURTADO</v>
      </c>
    </row>
    <row r="1156" spans="1:4">
      <c r="A1156" s="7">
        <f ca="1">IFERROR(__xludf.DUMMYFUNCTION("""COMPUTED_VALUE"""),44008)</f>
        <v>44008</v>
      </c>
      <c r="B1156" s="6" t="str">
        <f ca="1">IFERROR(__xludf.DUMMYFUNCTION("""COMPUTED_VALUE"""),"-33.5338-70.9068")</f>
        <v>-33.5338-70.9068</v>
      </c>
      <c r="C1156" s="6" t="str">
        <f ca="1">IFERROR(__xludf.DUMMYFUNCTION("""COMPUTED_VALUE"""),"SANTA MONICA S/N P6")</f>
        <v>SANTA MONICA S/N P6</v>
      </c>
      <c r="D1156" s="6" t="str">
        <f ca="1">IFERROR(__xludf.DUMMYFUNCTION("""COMPUTED_VALUE"""),"PADRE HURTADO")</f>
        <v>PADRE HURTADO</v>
      </c>
    </row>
    <row r="1157" spans="1:4">
      <c r="A1157" s="7">
        <f ca="1">IFERROR(__xludf.DUMMYFUNCTION("""COMPUTED_VALUE"""),44008)</f>
        <v>44008</v>
      </c>
      <c r="B1157" s="6" t="str">
        <f ca="1">IFERROR(__xludf.DUMMYFUNCTION("""COMPUTED_VALUE"""),"-33.5597245-70.8247958")</f>
        <v>-33.5597245-70.8247958</v>
      </c>
      <c r="C1157" s="6" t="str">
        <f ca="1">IFERROR(__xludf.DUMMYFUNCTION("""COMPUTED_VALUE"""),"LOS MAITENES 1683")</f>
        <v>LOS MAITENES 1683</v>
      </c>
      <c r="D1157" s="6" t="str">
        <f ca="1">IFERROR(__xludf.DUMMYFUNCTION("""COMPUTED_VALUE"""),"PADRE HURTADO")</f>
        <v>PADRE HURTADO</v>
      </c>
    </row>
    <row r="1158" spans="1:4">
      <c r="A1158" s="7">
        <f ca="1">IFERROR(__xludf.DUMMYFUNCTION("""COMPUTED_VALUE"""),44008)</f>
        <v>44008</v>
      </c>
      <c r="B1158" s="6" t="str">
        <f ca="1">IFERROR(__xludf.DUMMYFUNCTION("""COMPUTED_VALUE"""),"-33.703927,-70.872975")</f>
        <v>-33.703927,-70.872975</v>
      </c>
      <c r="C1158" s="6" t="str">
        <f ca="1">IFERROR(__xludf.DUMMYFUNCTION("""COMPUTED_VALUE"""),"EL LABRADOR SITIO 25 EL LABRADOR")</f>
        <v>EL LABRADOR SITIO 25 EL LABRADOR</v>
      </c>
      <c r="D1158" s="6" t="str">
        <f ca="1">IFERROR(__xludf.DUMMYFUNCTION("""COMPUTED_VALUE"""),"TALAGANTE")</f>
        <v>TALAGANTE</v>
      </c>
    </row>
    <row r="1159" spans="1:4">
      <c r="A1159" s="7">
        <f ca="1">IFERROR(__xludf.DUMMYFUNCTION("""COMPUTED_VALUE"""),44008)</f>
        <v>44008</v>
      </c>
      <c r="B1159" s="6" t="str">
        <f ca="1">IFERROR(__xludf.DUMMYFUNCTION("""COMPUTED_VALUE"""),"-33.637453,-70.876161")</f>
        <v>-33.637453,-70.876161</v>
      </c>
      <c r="C1159" s="6" t="str">
        <f ca="1">IFERROR(__xludf.DUMMYFUNCTION("""COMPUTED_VALUE"""),"LOS PALTOS 3265")</f>
        <v>LOS PALTOS 3265</v>
      </c>
      <c r="D1159" s="6" t="str">
        <f ca="1">IFERROR(__xludf.DUMMYFUNCTION("""COMPUTED_VALUE"""),"TALAGANTE")</f>
        <v>TALAGANTE</v>
      </c>
    </row>
    <row r="1160" spans="1:4">
      <c r="A1160" s="7">
        <f ca="1">IFERROR(__xludf.DUMMYFUNCTION("""COMPUTED_VALUE"""),44008)</f>
        <v>44008</v>
      </c>
      <c r="B1160" s="6" t="str">
        <f ca="1">IFERROR(__xludf.DUMMYFUNCTION("""COMPUTED_VALUE"""),"-33.657627,-70.996115")</f>
        <v>-33.657627,-70.996115</v>
      </c>
      <c r="C1160" s="6" t="str">
        <f ca="1">IFERROR(__xludf.DUMMYFUNCTION("""COMPUTED_VALUE"""),"SANTA ADRIANA PARC12")</f>
        <v>SANTA ADRIANA PARC12</v>
      </c>
      <c r="D1160" s="6" t="str">
        <f ca="1">IFERROR(__xludf.DUMMYFUNCTION("""COMPUTED_VALUE"""),"EL MONTE")</f>
        <v>EL MONTE</v>
      </c>
    </row>
    <row r="1161" spans="1:4">
      <c r="A1161" s="7">
        <f ca="1">IFERROR(__xludf.DUMMYFUNCTION("""COMPUTED_VALUE"""),44008)</f>
        <v>44008</v>
      </c>
      <c r="B1161" s="6" t="str">
        <f ca="1">IFERROR(__xludf.DUMMYFUNCTION("""COMPUTED_VALUE"""),"-33.689363,-71.036217")</f>
        <v>-33.689363,-71.036217</v>
      </c>
      <c r="C1161" s="6" t="str">
        <f ca="1">IFERROR(__xludf.DUMMYFUNCTION("""COMPUTED_VALUE"""),"PJE GUAYANA B 093")</f>
        <v>PJE GUAYANA B 093</v>
      </c>
      <c r="D1161" s="6" t="str">
        <f ca="1">IFERROR(__xludf.DUMMYFUNCTION("""COMPUTED_VALUE"""),"EL MONTE")</f>
        <v>EL MONTE</v>
      </c>
    </row>
    <row r="1162" spans="1:4">
      <c r="A1162" s="7">
        <f ca="1">IFERROR(__xludf.DUMMYFUNCTION("""COMPUTED_VALUE"""),44008)</f>
        <v>44008</v>
      </c>
      <c r="B1162" s="6" t="str">
        <f ca="1">IFERROR(__xludf.DUMMYFUNCTION("""COMPUTED_VALUE"""),"-33.684799,-71.020088")</f>
        <v>-33.684799,-71.020088</v>
      </c>
      <c r="C1162" s="6" t="str">
        <f ca="1">IFERROR(__xludf.DUMMYFUNCTION("""COMPUTED_VALUE"""),"CALLE OUCE DE ABRIL 130")</f>
        <v>CALLE OUCE DE ABRIL 130</v>
      </c>
      <c r="D1162" s="6" t="str">
        <f ca="1">IFERROR(__xludf.DUMMYFUNCTION("""COMPUTED_VALUE"""),"EL MONTE")</f>
        <v>EL MONTE</v>
      </c>
    </row>
    <row r="1163" spans="1:4">
      <c r="A1163" s="7">
        <f ca="1">IFERROR(__xludf.DUMMYFUNCTION("""COMPUTED_VALUE"""),44008)</f>
        <v>44008</v>
      </c>
      <c r="B1163" s="6" t="str">
        <f ca="1">IFERROR(__xludf.DUMMYFUNCTION("""COMPUTED_VALUE"""),"-33.683390,-71.006809")</f>
        <v>-33.683390,-71.006809</v>
      </c>
      <c r="C1163" s="6" t="str">
        <f ca="1">IFERROR(__xludf.DUMMYFUNCTION("""COMPUTED_VALUE"""),"AV. LOS LIBERTADORES 889")</f>
        <v>AV. LOS LIBERTADORES 889</v>
      </c>
      <c r="D1163" s="6" t="str">
        <f ca="1">IFERROR(__xludf.DUMMYFUNCTION("""COMPUTED_VALUE"""),"EL MONTE")</f>
        <v>EL MONTE</v>
      </c>
    </row>
    <row r="1164" spans="1:4">
      <c r="A1164" s="7">
        <f ca="1">IFERROR(__xludf.DUMMYFUNCTION("""COMPUTED_VALUE"""),44009)</f>
        <v>44009</v>
      </c>
      <c r="B1164" s="8" t="str">
        <f ca="1">IFERROR(__xludf.DUMMYFUNCTION("""COMPUTED_VALUE"""),"-33.276030,-70.862862")</f>
        <v>-33.276030,-70.862862</v>
      </c>
      <c r="C1164" s="6" t="str">
        <f ca="1">IFERROR(__xludf.DUMMYFUNCTION("""COMPUTED_VALUE"""),"LO VARGAS P11 LOTE 1 LA CAMPIÑA")</f>
        <v>LO VARGAS P11 LOTE 1 LA CAMPIÑA</v>
      </c>
      <c r="D1164" s="6" t="str">
        <f ca="1">IFERROR(__xludf.DUMMYFUNCTION("""COMPUTED_VALUE"""),"LAMPA")</f>
        <v>LAMPA</v>
      </c>
    </row>
    <row r="1165" spans="1:4">
      <c r="A1165" s="7">
        <f ca="1">IFERROR(__xludf.DUMMYFUNCTION("""COMPUTED_VALUE"""),44009)</f>
        <v>44009</v>
      </c>
      <c r="B1165" s="6" t="str">
        <f ca="1">IFERROR(__xludf.DUMMYFUNCTION("""COMPUTED_VALUE"""),"-33.229936-70.840814")</f>
        <v>-33.229936-70.840814</v>
      </c>
      <c r="C1165" s="6" t="str">
        <f ca="1">IFERROR(__xludf.DUMMYFUNCTION("""COMPUTED_VALUE"""),"LAS PARCELAS S/N PARCELA 4")</f>
        <v>LAS PARCELAS S/N PARCELA 4</v>
      </c>
      <c r="D1165" s="6" t="str">
        <f ca="1">IFERROR(__xludf.DUMMYFUNCTION("""COMPUTED_VALUE"""),"LAMPA")</f>
        <v>LAMPA</v>
      </c>
    </row>
    <row r="1166" spans="1:4">
      <c r="A1166" s="7">
        <f ca="1">IFERROR(__xludf.DUMMYFUNCTION("""COMPUTED_VALUE"""),44009)</f>
        <v>44009</v>
      </c>
      <c r="B1166" s="6" t="str">
        <f ca="1">IFERROR(__xludf.DUMMYFUNCTION("""COMPUTED_VALUE"""),"-33.229936-70.840814")</f>
        <v>-33.229936-70.840814</v>
      </c>
      <c r="C1166" s="6" t="str">
        <f ca="1">IFERROR(__xludf.DUMMYFUNCTION("""COMPUTED_VALUE"""),"LAS PARCELAS S/N PARCELA 4")</f>
        <v>LAS PARCELAS S/N PARCELA 4</v>
      </c>
      <c r="D1166" s="6" t="str">
        <f ca="1">IFERROR(__xludf.DUMMYFUNCTION("""COMPUTED_VALUE"""),"LAMPA")</f>
        <v>LAMPA</v>
      </c>
    </row>
    <row r="1167" spans="1:4">
      <c r="A1167" s="7">
        <f ca="1">IFERROR(__xludf.DUMMYFUNCTION("""COMPUTED_VALUE"""),44009)</f>
        <v>44009</v>
      </c>
      <c r="B1167" s="6" t="str">
        <f ca="1">IFERROR(__xludf.DUMMYFUNCTION("""COMPUTED_VALUE"""),"-33.238665-70.810857")</f>
        <v>-33.238665-70.810857</v>
      </c>
      <c r="C1167" s="6" t="str">
        <f ca="1">IFERROR(__xludf.DUMMYFUNCTION("""COMPUTED_VALUE"""),"ESPAÑA M/2 S/2")</f>
        <v>ESPAÑA M/2 S/2</v>
      </c>
      <c r="D1167" s="6" t="str">
        <f ca="1">IFERROR(__xludf.DUMMYFUNCTION("""COMPUTED_VALUE"""),"LAMPA")</f>
        <v>LAMPA</v>
      </c>
    </row>
    <row r="1168" spans="1:4">
      <c r="A1168" s="7">
        <f ca="1">IFERROR(__xludf.DUMMYFUNCTION("""COMPUTED_VALUE"""),44009)</f>
        <v>44009</v>
      </c>
      <c r="B1168" s="6" t="str">
        <f ca="1">IFERROR(__xludf.DUMMYFUNCTION("""COMPUTED_VALUE"""),"-33.676553,-70.994460")</f>
        <v>-33.676553,-70.994460</v>
      </c>
      <c r="C1168" s="6" t="str">
        <f ca="1">IFERROR(__xludf.DUMMYFUNCTION("""COMPUTED_VALUE"""),"JOSE CARREÑO 347")</f>
        <v>JOSE CARREÑO 347</v>
      </c>
      <c r="D1168" s="6" t="str">
        <f ca="1">IFERROR(__xludf.DUMMYFUNCTION("""COMPUTED_VALUE"""),"EL MONTE")</f>
        <v>EL MONTE</v>
      </c>
    </row>
    <row r="1169" spans="1:4">
      <c r="A1169" s="7">
        <f ca="1">IFERROR(__xludf.DUMMYFUNCTION("""COMPUTED_VALUE"""),44009)</f>
        <v>44009</v>
      </c>
      <c r="B1169" s="6" t="str">
        <f ca="1">IFERROR(__xludf.DUMMYFUNCTION("""COMPUTED_VALUE"""),"-33676447,-70.991160")</f>
        <v>-33676447,-70.991160</v>
      </c>
      <c r="C1169" s="6" t="str">
        <f ca="1">IFERROR(__xludf.DUMMYFUNCTION("""COMPUTED_VALUE"""),"JULIO TORRES 346")</f>
        <v>JULIO TORRES 346</v>
      </c>
      <c r="D1169" s="6" t="str">
        <f ca="1">IFERROR(__xludf.DUMMYFUNCTION("""COMPUTED_VALUE"""),"EL MONTE")</f>
        <v>EL MONTE</v>
      </c>
    </row>
    <row r="1170" spans="1:4">
      <c r="A1170" s="7">
        <f ca="1">IFERROR(__xludf.DUMMYFUNCTION("""COMPUTED_VALUE"""),44009)</f>
        <v>44009</v>
      </c>
      <c r="B1170" s="6" t="str">
        <f ca="1">IFERROR(__xludf.DUMMYFUNCTION("""COMPUTED_VALUE"""),"-33.673207,-70.986868")</f>
        <v>-33.673207,-70.986868</v>
      </c>
      <c r="C1170" s="6" t="str">
        <f ca="1">IFERROR(__xludf.DUMMYFUNCTION("""COMPUTED_VALUE"""),"EL SOLAR 368")</f>
        <v>EL SOLAR 368</v>
      </c>
      <c r="D1170" s="6" t="str">
        <f ca="1">IFERROR(__xludf.DUMMYFUNCTION("""COMPUTED_VALUE"""),"EL MONTE")</f>
        <v>EL MONTE</v>
      </c>
    </row>
    <row r="1171" spans="1:4">
      <c r="A1171" s="7">
        <f ca="1">IFERROR(__xludf.DUMMYFUNCTION("""COMPUTED_VALUE"""),44009)</f>
        <v>44009</v>
      </c>
      <c r="B1171" s="6" t="str">
        <f ca="1">IFERROR(__xludf.DUMMYFUNCTION("""COMPUTED_VALUE"""),"-33.676119,-70.989167")</f>
        <v>-33.676119,-70.989167</v>
      </c>
      <c r="C1171" s="6" t="str">
        <f ca="1">IFERROR(__xludf.DUMMYFUNCTION("""COMPUTED_VALUE"""),"PJE LAPIZLAZULI 563")</f>
        <v>PJE LAPIZLAZULI 563</v>
      </c>
      <c r="D1171" s="6" t="str">
        <f ca="1">IFERROR(__xludf.DUMMYFUNCTION("""COMPUTED_VALUE"""),"EL MONTE")</f>
        <v>EL MONTE</v>
      </c>
    </row>
    <row r="1172" spans="1:4">
      <c r="A1172" s="7">
        <f ca="1">IFERROR(__xludf.DUMMYFUNCTION("""COMPUTED_VALUE"""),44010)</f>
        <v>44010</v>
      </c>
      <c r="B1172" s="6" t="str">
        <f ca="1">IFERROR(__xludf.DUMMYFUNCTION("""COMPUTED_VALUE"""),"-33.260568-70.888963")</f>
        <v>-33.260568-70.888963</v>
      </c>
      <c r="C1172" s="6" t="str">
        <f ca="1">IFERROR(__xludf.DUMMYFUNCTION("""COMPUTED_VALUE"""),"JOAQUIN UNDURRAGA P28")</f>
        <v>JOAQUIN UNDURRAGA P28</v>
      </c>
      <c r="D1172" s="6" t="str">
        <f ca="1">IFERROR(__xludf.DUMMYFUNCTION("""COMPUTED_VALUE"""),"LAMPA")</f>
        <v>LAMPA</v>
      </c>
    </row>
    <row r="1173" spans="1:4">
      <c r="A1173" s="7">
        <f ca="1">IFERROR(__xludf.DUMMYFUNCTION("""COMPUTED_VALUE"""),44010)</f>
        <v>44010</v>
      </c>
      <c r="B1173" s="6" t="str">
        <f ca="1">IFERROR(__xludf.DUMMYFUNCTION("""COMPUTED_VALUE"""),"-33.240671-70.818638")</f>
        <v>-33.240671-70.818638</v>
      </c>
      <c r="C1173" s="6" t="str">
        <f ca="1">IFERROR(__xludf.DUMMYFUNCTION("""COMPUTED_VALUE"""),"CAMINO INTERIOR 36")</f>
        <v>CAMINO INTERIOR 36</v>
      </c>
      <c r="D1173" s="6" t="str">
        <f ca="1">IFERROR(__xludf.DUMMYFUNCTION("""COMPUTED_VALUE"""),"LAMPA")</f>
        <v>LAMPA</v>
      </c>
    </row>
    <row r="1174" spans="1:4">
      <c r="A1174" s="7">
        <f ca="1">IFERROR(__xludf.DUMMYFUNCTION("""COMPUTED_VALUE"""),44012)</f>
        <v>44012</v>
      </c>
      <c r="B1174" s="8" t="str">
        <f ca="1">IFERROR(__xludf.DUMMYFUNCTION("""COMPUTED_VALUE"""),"-33.661696,-70.924333")</f>
        <v>-33.661696,-70.924333</v>
      </c>
      <c r="C1174" s="6" t="str">
        <f ca="1">IFERROR(__xludf.DUMMYFUNCTION("""COMPUTED_VALUE"""),"SUECIA 713")</f>
        <v>SUECIA 713</v>
      </c>
      <c r="D1174" s="6" t="str">
        <f ca="1">IFERROR(__xludf.DUMMYFUNCTION("""COMPUTED_VALUE"""),"TALAGANTE")</f>
        <v>TALAGANTE</v>
      </c>
    </row>
    <row r="1175" spans="1:4">
      <c r="A1175" s="7">
        <f ca="1">IFERROR(__xludf.DUMMYFUNCTION("""COMPUTED_VALUE"""),44012)</f>
        <v>44012</v>
      </c>
      <c r="B1175" s="8" t="str">
        <f ca="1">IFERROR(__xludf.DUMMYFUNCTION("""COMPUTED_VALUE"""),"-33.650613,-70.926204")</f>
        <v>-33.650613,-70.926204</v>
      </c>
      <c r="C1175" s="6" t="str">
        <f ca="1">IFERROR(__xludf.DUMMYFUNCTION("""COMPUTED_VALUE"""),"SAMUEL SANTANA 31")</f>
        <v>SAMUEL SANTANA 31</v>
      </c>
      <c r="D1175" s="6" t="str">
        <f ca="1">IFERROR(__xludf.DUMMYFUNCTION("""COMPUTED_VALUE"""),"TALAGANTE")</f>
        <v>TALAGANTE</v>
      </c>
    </row>
    <row r="1176" spans="1:4">
      <c r="A1176" s="7">
        <f ca="1">IFERROR(__xludf.DUMMYFUNCTION("""COMPUTED_VALUE"""),44012)</f>
        <v>44012</v>
      </c>
      <c r="B1176" s="8" t="str">
        <f ca="1">IFERROR(__xludf.DUMMYFUNCTION("""COMPUTED_VALUE"""),"-33.716322,-70.744571")</f>
        <v>-33.716322,-70.744571</v>
      </c>
      <c r="C1176" s="6" t="str">
        <f ca="1">IFERROR(__xludf.DUMMYFUNCTION("""COMPUTED_VALUE"""),"PASAJE OSCAR JIMENEZ ZUÑIGA 010")</f>
        <v>PASAJE OSCAR JIMENEZ ZUÑIGA 010</v>
      </c>
      <c r="D1176" s="6" t="str">
        <f ca="1">IFERROR(__xludf.DUMMYFUNCTION("""COMPUTED_VALUE"""),"BUIN")</f>
        <v>BUIN</v>
      </c>
    </row>
    <row r="1177" spans="1:4">
      <c r="A1177" s="7">
        <f ca="1">IFERROR(__xludf.DUMMYFUNCTION("""COMPUTED_VALUE"""),44012)</f>
        <v>44012</v>
      </c>
      <c r="B1177" s="8" t="str">
        <f ca="1">IFERROR(__xludf.DUMMYFUNCTION("""COMPUTED_VALUE"""),"-33.781028,-70.794111")</f>
        <v>-33.781028,-70.794111</v>
      </c>
      <c r="C1177" s="6" t="str">
        <f ca="1">IFERROR(__xludf.DUMMYFUNCTION("""COMPUTED_VALUE"""),"LAS ACACIAS 5850")</f>
        <v>LAS ACACIAS 5850</v>
      </c>
      <c r="D1177" s="6" t="str">
        <f ca="1">IFERROR(__xludf.DUMMYFUNCTION("""COMPUTED_VALUE"""),"BUIN")</f>
        <v>BUIN</v>
      </c>
    </row>
    <row r="1178" spans="1:4">
      <c r="A1178" s="7">
        <f ca="1">IFERROR(__xludf.DUMMYFUNCTION("""COMPUTED_VALUE"""),44012)</f>
        <v>44012</v>
      </c>
      <c r="B1178" s="6" t="str">
        <f ca="1">IFERROR(__xludf.DUMMYFUNCTION("""COMPUTED_VALUE"""),"-33.610325-70.891794")</f>
        <v>-33.610325-70.891794</v>
      </c>
      <c r="C1178" s="6" t="str">
        <f ca="1">IFERROR(__xludf.DUMMYFUNCTION("""COMPUTED_VALUE"""),"PASAJE UNO 0116")</f>
        <v>PASAJE UNO 0116</v>
      </c>
      <c r="D1178" s="6" t="str">
        <f ca="1">IFERROR(__xludf.DUMMYFUNCTION("""COMPUTED_VALUE"""),"PEÑAFLOR")</f>
        <v>PEÑAFLOR</v>
      </c>
    </row>
    <row r="1179" spans="1:4">
      <c r="A1179" s="7">
        <f ca="1">IFERROR(__xludf.DUMMYFUNCTION("""COMPUTED_VALUE"""),44012)</f>
        <v>44012</v>
      </c>
      <c r="B1179" s="6" t="str">
        <f ca="1">IFERROR(__xludf.DUMMYFUNCTION("""COMPUTED_VALUE"""),"-33.6035823-70.8902720")</f>
        <v>-33.6035823-70.8902720</v>
      </c>
      <c r="C1179" s="6" t="str">
        <f ca="1">IFERROR(__xludf.DUMMYFUNCTION("""COMPUTED_VALUE"""),"ILUSION 524")</f>
        <v>ILUSION 524</v>
      </c>
      <c r="D1179" s="6" t="str">
        <f ca="1">IFERROR(__xludf.DUMMYFUNCTION("""COMPUTED_VALUE"""),"PEÑAFLOR")</f>
        <v>PEÑAFLOR</v>
      </c>
    </row>
    <row r="1180" spans="1:4">
      <c r="A1180" s="7">
        <f ca="1">IFERROR(__xludf.DUMMYFUNCTION("""COMPUTED_VALUE"""),44012)</f>
        <v>44012</v>
      </c>
      <c r="B1180" s="6" t="str">
        <f ca="1">IFERROR(__xludf.DUMMYFUNCTION("""COMPUTED_VALUE"""),"-33.5959-70.8771")</f>
        <v>-33.5959-70.8771</v>
      </c>
      <c r="C1180" s="6" t="str">
        <f ca="1">IFERROR(__xludf.DUMMYFUNCTION("""COMPUTED_VALUE"""),"LOS PAJARITOS 2420")</f>
        <v>LOS PAJARITOS 2420</v>
      </c>
      <c r="D1180" s="6" t="str">
        <f ca="1">IFERROR(__xludf.DUMMYFUNCTION("""COMPUTED_VALUE"""),"PEÑAFLOR")</f>
        <v>PEÑAFLOR</v>
      </c>
    </row>
    <row r="1181" spans="1:4">
      <c r="A1181" s="7">
        <f ca="1">IFERROR(__xludf.DUMMYFUNCTION("""COMPUTED_VALUE"""),44012)</f>
        <v>44012</v>
      </c>
      <c r="B1181" s="6" t="str">
        <f ca="1">IFERROR(__xludf.DUMMYFUNCTION("""COMPUTED_VALUE"""),"-33.6097001-70.8886306")</f>
        <v>-33.6097001-70.8886306</v>
      </c>
      <c r="C1181" s="6" t="str">
        <f ca="1">IFERROR(__xludf.DUMMYFUNCTION("""COMPUTED_VALUE"""),"PASAJE CORDILLERA DE NAHUELBUTA 168")</f>
        <v>PASAJE CORDILLERA DE NAHUELBUTA 168</v>
      </c>
      <c r="D1181" s="6" t="str">
        <f ca="1">IFERROR(__xludf.DUMMYFUNCTION("""COMPUTED_VALUE"""),"PEÑAFLOR")</f>
        <v>PEÑAFLOR</v>
      </c>
    </row>
    <row r="1182" spans="1:4">
      <c r="A1182" s="7">
        <f ca="1">IFERROR(__xludf.DUMMYFUNCTION("""COMPUTED_VALUE"""),44012)</f>
        <v>44012</v>
      </c>
      <c r="B1182" s="6" t="str">
        <f ca="1">IFERROR(__xludf.DUMMYFUNCTION("""COMPUTED_VALUE"""),"-33.612643-70.888378")</f>
        <v>-33.612643-70.888378</v>
      </c>
      <c r="C1182" s="6" t="str">
        <f ca="1">IFERROR(__xludf.DUMMYFUNCTION("""COMPUTED_VALUE"""),"LOS PRUNOS 2745")</f>
        <v>LOS PRUNOS 2745</v>
      </c>
      <c r="D1182" s="6" t="str">
        <f ca="1">IFERROR(__xludf.DUMMYFUNCTION("""COMPUTED_VALUE"""),"PEÑAFLOR")</f>
        <v>PEÑAFLOR</v>
      </c>
    </row>
    <row r="1183" spans="1:4">
      <c r="A1183" s="7">
        <f ca="1">IFERROR(__xludf.DUMMYFUNCTION("""COMPUTED_VALUE"""),44012)</f>
        <v>44012</v>
      </c>
      <c r="B1183" s="6" t="str">
        <f ca="1">IFERROR(__xludf.DUMMYFUNCTION("""COMPUTED_VALUE"""),"-33.6003-70.8680")</f>
        <v>-33.6003-70.8680</v>
      </c>
      <c r="C1183" s="6" t="str">
        <f ca="1">IFERROR(__xludf.DUMMYFUNCTION("""COMPUTED_VALUE"""),"CHITO FARO 2091")</f>
        <v>CHITO FARO 2091</v>
      </c>
      <c r="D1183" s="6" t="str">
        <f ca="1">IFERROR(__xludf.DUMMYFUNCTION("""COMPUTED_VALUE"""),"PEÑAFLOR")</f>
        <v>PEÑAFLOR</v>
      </c>
    </row>
    <row r="1184" spans="1:4">
      <c r="A1184" s="7">
        <f ca="1">IFERROR(__xludf.DUMMYFUNCTION("""COMPUTED_VALUE"""),44012)</f>
        <v>44012</v>
      </c>
      <c r="B1184" s="6" t="str">
        <f ca="1">IFERROR(__xludf.DUMMYFUNCTION("""COMPUTED_VALUE"""),"-33.675598,-70.988245")</f>
        <v>-33.675598,-70.988245</v>
      </c>
      <c r="C1184" s="6" t="str">
        <f ca="1">IFERROR(__xludf.DUMMYFUNCTION("""COMPUTED_VALUE"""),"PJE LOS REALISTAS 577")</f>
        <v>PJE LOS REALISTAS 577</v>
      </c>
      <c r="D1184" s="6" t="str">
        <f ca="1">IFERROR(__xludf.DUMMYFUNCTION("""COMPUTED_VALUE"""),"EL MONTE")</f>
        <v>EL MONTE</v>
      </c>
    </row>
    <row r="1185" spans="1:4">
      <c r="A1185" s="7">
        <f ca="1">IFERROR(__xludf.DUMMYFUNCTION("""COMPUTED_VALUE"""),44012)</f>
        <v>44012</v>
      </c>
      <c r="B1185" s="6" t="str">
        <f ca="1">IFERROR(__xludf.DUMMYFUNCTION("""COMPUTED_VALUE"""),"-33.674381,-70.976164")</f>
        <v>-33.674381,-70.976164</v>
      </c>
      <c r="C1185" s="6" t="str">
        <f ca="1">IFERROR(__xludf.DUMMYFUNCTION("""COMPUTED_VALUE"""),"BLANCO ENCALA 88")</f>
        <v>BLANCO ENCALA 88</v>
      </c>
      <c r="D1185" s="6" t="str">
        <f ca="1">IFERROR(__xludf.DUMMYFUNCTION("""COMPUTED_VALUE"""),"EL MONTE")</f>
        <v>EL MONTE</v>
      </c>
    </row>
    <row r="1186" spans="1:4">
      <c r="A1186" s="7">
        <f ca="1">IFERROR(__xludf.DUMMYFUNCTION("""COMPUTED_VALUE"""),44012)</f>
        <v>44012</v>
      </c>
      <c r="B1186" s="6" t="str">
        <f ca="1">IFERROR(__xludf.DUMMYFUNCTION("""COMPUTED_VALUE"""),"-33.688874,-71.0341275")</f>
        <v>-33.688874,-71.0341275</v>
      </c>
      <c r="C1186" s="6" t="str">
        <f ca="1">IFERROR(__xludf.DUMMYFUNCTION("""COMPUTED_VALUE"""),"PJE REPUBLICA 099")</f>
        <v>PJE REPUBLICA 099</v>
      </c>
      <c r="D1186" s="6" t="str">
        <f ca="1">IFERROR(__xludf.DUMMYFUNCTION("""COMPUTED_VALUE"""),"EL MONTE")</f>
        <v>EL MONTE</v>
      </c>
    </row>
    <row r="1187" spans="1:4">
      <c r="A1187" s="7">
        <f ca="1">IFERROR(__xludf.DUMMYFUNCTION("""COMPUTED_VALUE"""),44012)</f>
        <v>44012</v>
      </c>
      <c r="B1187" s="6" t="str">
        <f ca="1">IFERROR(__xludf.DUMMYFUNCTION("""COMPUTED_VALUE"""),"-33.157810,-70.886472")</f>
        <v>-33.157810,-70.886472</v>
      </c>
      <c r="C1187" s="6" t="str">
        <f ca="1">IFERROR(__xludf.DUMMYFUNCTION("""COMPUTED_VALUE"""),"PLAZUELA POLPAICO S/N")</f>
        <v>PLAZUELA POLPAICO S/N</v>
      </c>
      <c r="D1187" s="6" t="str">
        <f ca="1">IFERROR(__xludf.DUMMYFUNCTION("""COMPUTED_VALUE"""),"LAMPA")</f>
        <v>LAMPA</v>
      </c>
    </row>
    <row r="1188" spans="1:4">
      <c r="A1188" s="7">
        <f ca="1">IFERROR(__xludf.DUMMYFUNCTION("""COMPUTED_VALUE"""),44012)</f>
        <v>44012</v>
      </c>
      <c r="B1188" s="6" t="str">
        <f ca="1">IFERROR(__xludf.DUMMYFUNCTION("""COMPUTED_VALUE"""),"-33.672883,-70.988297")</f>
        <v>-33.672883,-70.988297</v>
      </c>
      <c r="C1188" s="6" t="str">
        <f ca="1">IFERROR(__xludf.DUMMYFUNCTION("""COMPUTED_VALUE"""),"PJE GOMEZ RAMIREZ 478")</f>
        <v>PJE GOMEZ RAMIREZ 478</v>
      </c>
      <c r="D1188" s="6" t="str">
        <f ca="1">IFERROR(__xludf.DUMMYFUNCTION("""COMPUTED_VALUE"""),"EL MONTE")</f>
        <v>EL MONTE</v>
      </c>
    </row>
    <row r="1189" spans="1:4">
      <c r="A1189" s="7">
        <f ca="1">IFERROR(__xludf.DUMMYFUNCTION("""COMPUTED_VALUE"""),44012)</f>
        <v>44012</v>
      </c>
      <c r="B1189" s="6" t="str">
        <f ca="1">IFERROR(__xludf.DUMMYFUNCTION("""COMPUTED_VALUE"""),"-33.268649 - 70.695987")</f>
        <v>-33.268649 - 70.695987</v>
      </c>
      <c r="C1189" s="6" t="str">
        <f ca="1">IFERROR(__xludf.DUMMYFUNCTION("""COMPUTED_VALUE"""),"COND. SANTA LUISA CHICUREO 16")</f>
        <v>COND. SANTA LUISA CHICUREO 16</v>
      </c>
      <c r="D1189" s="6" t="str">
        <f ca="1">IFERROR(__xludf.DUMMYFUNCTION("""COMPUTED_VALUE"""),"COLINA")</f>
        <v>COLINA</v>
      </c>
    </row>
    <row r="1190" spans="1:4">
      <c r="A1190" s="7">
        <f ca="1">IFERROR(__xludf.DUMMYFUNCTION("""COMPUTED_VALUE"""),44012)</f>
        <v>44012</v>
      </c>
      <c r="B1190" s="6" t="str">
        <f ca="1">IFERROR(__xludf.DUMMYFUNCTION("""COMPUTED_VALUE"""),"-33.280091 - 70.862339")</f>
        <v>-33.280091 - 70.862339</v>
      </c>
      <c r="C1190" s="6" t="str">
        <f ca="1">IFERROR(__xludf.DUMMYFUNCTION("""COMPUTED_VALUE"""),"NUEVO PORVENIR RUTA G150 AREA 1")</f>
        <v>NUEVO PORVENIR RUTA G150 AREA 1</v>
      </c>
      <c r="D1190" s="6" t="str">
        <f ca="1">IFERROR(__xludf.DUMMYFUNCTION("""COMPUTED_VALUE"""),"LAMPA")</f>
        <v>LAMPA</v>
      </c>
    </row>
    <row r="1191" spans="1:4">
      <c r="A1191" s="7">
        <f ca="1">IFERROR(__xludf.DUMMYFUNCTION("""COMPUTED_VALUE"""),44013)</f>
        <v>44013</v>
      </c>
      <c r="B1191" s="8" t="str">
        <f ca="1">IFERROR(__xludf.DUMMYFUNCTION("""COMPUTED_VALUE"""),"-33.733583,-70.777166")</f>
        <v>-33.733583,-70.777166</v>
      </c>
      <c r="C1191" s="6" t="str">
        <f ca="1">IFERROR(__xludf.DUMMYFUNCTION("""COMPUTED_VALUE"""),"PASAJE BOYO 133 VILLA PROGRESO")</f>
        <v>PASAJE BOYO 133 VILLA PROGRESO</v>
      </c>
      <c r="D1191" s="6" t="str">
        <f ca="1">IFERROR(__xludf.DUMMYFUNCTION("""COMPUTED_VALUE"""),"BUIN")</f>
        <v>BUIN</v>
      </c>
    </row>
    <row r="1192" spans="1:4">
      <c r="A1192" s="7">
        <f ca="1">IFERROR(__xludf.DUMMYFUNCTION("""COMPUTED_VALUE"""),44013)</f>
        <v>44013</v>
      </c>
      <c r="B1192" s="8" t="str">
        <f ca="1">IFERROR(__xludf.DUMMYFUNCTION("""COMPUTED_VALUE"""),"-33.780962,-70.793656")</f>
        <v>-33.780962,-70.793656</v>
      </c>
      <c r="C1192" s="6" t="str">
        <f ca="1">IFERROR(__xludf.DUMMYFUNCTION("""COMPUTED_VALUE"""),"ESTACION VILUCO SITIO 16")</f>
        <v>ESTACION VILUCO SITIO 16</v>
      </c>
      <c r="D1192" s="6" t="str">
        <f ca="1">IFERROR(__xludf.DUMMYFUNCTION("""COMPUTED_VALUE"""),"BUIN")</f>
        <v>BUIN</v>
      </c>
    </row>
    <row r="1193" spans="1:4">
      <c r="A1193" s="7">
        <f ca="1">IFERROR(__xludf.DUMMYFUNCTION("""COMPUTED_VALUE"""),44013)</f>
        <v>44013</v>
      </c>
      <c r="B1193" s="8" t="str">
        <f ca="1">IFERROR(__xludf.DUMMYFUNCTION("""COMPUTED_VALUE"""),"-33.780962,-70.793656")</f>
        <v>-33.780962,-70.793656</v>
      </c>
      <c r="C1193" s="6" t="str">
        <f ca="1">IFERROR(__xludf.DUMMYFUNCTION("""COMPUTED_VALUE"""),"ESTACION VILUCO SITIO 16")</f>
        <v>ESTACION VILUCO SITIO 16</v>
      </c>
      <c r="D1193" s="6" t="str">
        <f ca="1">IFERROR(__xludf.DUMMYFUNCTION("""COMPUTED_VALUE"""),"BUIN")</f>
        <v>BUIN</v>
      </c>
    </row>
    <row r="1194" spans="1:4">
      <c r="A1194" s="7">
        <f ca="1">IFERROR(__xludf.DUMMYFUNCTION("""COMPUTED_VALUE"""),44013)</f>
        <v>44013</v>
      </c>
      <c r="B1194" s="8" t="str">
        <f ca="1">IFERROR(__xludf.DUMMYFUNCTION("""COMPUTED_VALUE"""),"-33.288681,-70.864886")</f>
        <v>-33.288681,-70.864886</v>
      </c>
      <c r="C1194" s="6" t="str">
        <f ca="1">IFERROR(__xludf.DUMMYFUNCTION("""COMPUTED_VALUE"""),"LAS HIGUERAS 346")</f>
        <v>LAS HIGUERAS 346</v>
      </c>
      <c r="D1194" s="6" t="str">
        <f ca="1">IFERROR(__xludf.DUMMYFUNCTION("""COMPUTED_VALUE"""),"LAMPA")</f>
        <v>LAMPA</v>
      </c>
    </row>
    <row r="1195" spans="1:4">
      <c r="A1195" s="7">
        <f ca="1">IFERROR(__xludf.DUMMYFUNCTION("""COMPUTED_VALUE"""),44013)</f>
        <v>44013</v>
      </c>
      <c r="B1195" s="8" t="str">
        <f ca="1">IFERROR(__xludf.DUMMYFUNCTION("""COMPUTED_VALUE"""),"-33.683356,-70.949346")</f>
        <v>-33.683356,-70.949346</v>
      </c>
      <c r="C1195" s="6" t="str">
        <f ca="1">IFERROR(__xludf.DUMMYFUNCTION("""COMPUTED_VALUE"""),"TEGUALDA P/C 6 SITIO SN")</f>
        <v>TEGUALDA P/C 6 SITIO SN</v>
      </c>
      <c r="D1195" s="6" t="str">
        <f ca="1">IFERROR(__xludf.DUMMYFUNCTION("""COMPUTED_VALUE"""),"TALAGANTE")</f>
        <v>TALAGANTE</v>
      </c>
    </row>
    <row r="1196" spans="1:4">
      <c r="A1196" s="7">
        <f ca="1">IFERROR(__xludf.DUMMYFUNCTION("""COMPUTED_VALUE"""),44013)</f>
        <v>44013</v>
      </c>
      <c r="B1196" s="6" t="str">
        <f ca="1">IFERROR(__xludf.DUMMYFUNCTION("""COMPUTED_VALUE"""),"-33.5791629-70.8060451")</f>
        <v>-33.5791629-70.8060451</v>
      </c>
      <c r="C1196" s="6" t="str">
        <f ca="1">IFERROR(__xludf.DUMMYFUNCTION("""COMPUTED_VALUE"""),"CALLE DOS 2380")</f>
        <v>CALLE DOS 2380</v>
      </c>
      <c r="D1196" s="6" t="str">
        <f ca="1">IFERROR(__xludf.DUMMYFUNCTION("""COMPUTED_VALUE"""),"PADRE HURTADO")</f>
        <v>PADRE HURTADO</v>
      </c>
    </row>
    <row r="1197" spans="1:4">
      <c r="A1197" s="7">
        <f ca="1">IFERROR(__xludf.DUMMYFUNCTION("""COMPUTED_VALUE"""),44013)</f>
        <v>44013</v>
      </c>
      <c r="B1197" s="6" t="str">
        <f ca="1">IFERROR(__xludf.DUMMYFUNCTION("""COMPUTED_VALUE"""),"-33.689158,-71.032490")</f>
        <v>-33.689158,-71.032490</v>
      </c>
      <c r="C1197" s="6" t="str">
        <f ca="1">IFERROR(__xludf.DUMMYFUNCTION("""COMPUTED_VALUE"""),"PJE SURINAME 093")</f>
        <v>PJE SURINAME 093</v>
      </c>
      <c r="D1197" s="6" t="str">
        <f ca="1">IFERROR(__xludf.DUMMYFUNCTION("""COMPUTED_VALUE"""),"EL MONTE")</f>
        <v>EL MONTE</v>
      </c>
    </row>
    <row r="1198" spans="1:4">
      <c r="A1198" s="7">
        <f ca="1">IFERROR(__xludf.DUMMYFUNCTION("""COMPUTED_VALUE"""),44013)</f>
        <v>44013</v>
      </c>
      <c r="B1198" s="6" t="str">
        <f ca="1">IFERROR(__xludf.DUMMYFUNCTION("""COMPUTED_VALUE"""),"-33.745792,-70.897929")</f>
        <v>-33.745792,-70.897929</v>
      </c>
      <c r="C1198" s="6" t="str">
        <f ca="1">IFERROR(__xludf.DUMMYFUNCTION("""COMPUTED_VALUE"""),"PJE LAS ROSAS 898")</f>
        <v>PJE LAS ROSAS 898</v>
      </c>
      <c r="D1198" s="6" t="str">
        <f ca="1">IFERROR(__xludf.DUMMYFUNCTION("""COMPUTED_VALUE"""),"EL MONTE")</f>
        <v>EL MONTE</v>
      </c>
    </row>
    <row r="1199" spans="1:4">
      <c r="A1199" s="7">
        <f ca="1">IFERROR(__xludf.DUMMYFUNCTION("""COMPUTED_VALUE"""),44014)</f>
        <v>44014</v>
      </c>
      <c r="B1199" s="8" t="str">
        <f ca="1">IFERROR(__xludf.DUMMYFUNCTION("""COMPUTED_VALUE"""),"-33.692400,-70.854733")</f>
        <v>-33.692400,-70.854733</v>
      </c>
      <c r="C1199" s="6" t="str">
        <f ca="1">IFERROR(__xludf.DUMMYFUNCTION("""COMPUTED_VALUE"""),"CAMINO LONQUEN SUR 169")</f>
        <v>CAMINO LONQUEN SUR 169</v>
      </c>
      <c r="D1199" s="6" t="str">
        <f ca="1">IFERROR(__xludf.DUMMYFUNCTION("""COMPUTED_VALUE"""),"TALAGANTE")</f>
        <v>TALAGANTE</v>
      </c>
    </row>
    <row r="1200" spans="1:4">
      <c r="A1200" s="7">
        <f ca="1">IFERROR(__xludf.DUMMYFUNCTION("""COMPUTED_VALUE"""),44014)</f>
        <v>44014</v>
      </c>
      <c r="B1200" s="8" t="str">
        <f ca="1">IFERROR(__xludf.DUMMYFUNCTION("""COMPUTED_VALUE"""),"-33.659936,-70.916201")</f>
        <v>-33.659936,-70.916201</v>
      </c>
      <c r="C1200" s="6" t="str">
        <f ca="1">IFERROR(__xludf.DUMMYFUNCTION("""COMPUTED_VALUE"""),"ESMERALDA 7")</f>
        <v>ESMERALDA 7</v>
      </c>
      <c r="D1200" s="6" t="str">
        <f ca="1">IFERROR(__xludf.DUMMYFUNCTION("""COMPUTED_VALUE"""),"TALAGANTE")</f>
        <v>TALAGANTE</v>
      </c>
    </row>
    <row r="1201" spans="1:4">
      <c r="A1201" s="7">
        <f ca="1">IFERROR(__xludf.DUMMYFUNCTION("""COMPUTED_VALUE"""),44014)</f>
        <v>44014</v>
      </c>
      <c r="B1201" s="8" t="str">
        <f ca="1">IFERROR(__xludf.DUMMYFUNCTION("""COMPUTED_VALUE"""),"-33.712864,-70.742214")</f>
        <v>-33.712864,-70.742214</v>
      </c>
      <c r="C1201" s="6" t="str">
        <f ca="1">IFERROR(__xludf.DUMMYFUNCTION("""COMPUTED_VALUE"""),"PASAJE NUESTRA ILUSION 0135")</f>
        <v>PASAJE NUESTRA ILUSION 0135</v>
      </c>
      <c r="D1201" s="6" t="str">
        <f ca="1">IFERROR(__xludf.DUMMYFUNCTION("""COMPUTED_VALUE"""),"BUIN")</f>
        <v>BUIN</v>
      </c>
    </row>
    <row r="1202" spans="1:4">
      <c r="A1202" s="7">
        <f ca="1">IFERROR(__xludf.DUMMYFUNCTION("""COMPUTED_VALUE"""),44014)</f>
        <v>44014</v>
      </c>
      <c r="B1202" s="6" t="str">
        <f ca="1">IFERROR(__xludf.DUMMYFUNCTION("""COMPUTED_VALUE"""),"-33.597953-70.879641")</f>
        <v>-33.597953-70.879641</v>
      </c>
      <c r="C1202" s="6" t="str">
        <f ca="1">IFERROR(__xludf.DUMMYFUNCTION("""COMPUTED_VALUE"""),"CATORCE DE JULIO 61 K")</f>
        <v>CATORCE DE JULIO 61 K</v>
      </c>
      <c r="D1202" s="6" t="str">
        <f ca="1">IFERROR(__xludf.DUMMYFUNCTION("""COMPUTED_VALUE"""),"PEÑAFLOR")</f>
        <v>PEÑAFLOR</v>
      </c>
    </row>
    <row r="1203" spans="1:4">
      <c r="A1203" s="7">
        <f ca="1">IFERROR(__xludf.DUMMYFUNCTION("""COMPUTED_VALUE"""),44014)</f>
        <v>44014</v>
      </c>
      <c r="B1203" s="6" t="str">
        <f ca="1">IFERROR(__xludf.DUMMYFUNCTION("""COMPUTED_VALUE"""),"-33.6092-70.8954")</f>
        <v>-33.6092-70.8954</v>
      </c>
      <c r="C1203" s="6" t="str">
        <f ca="1">IFERROR(__xludf.DUMMYFUNCTION("""COMPUTED_VALUE"""),"LO MARQUEZ 432")</f>
        <v>LO MARQUEZ 432</v>
      </c>
      <c r="D1203" s="6" t="str">
        <f ca="1">IFERROR(__xludf.DUMMYFUNCTION("""COMPUTED_VALUE"""),"PEÑAFLOR")</f>
        <v>PEÑAFLOR</v>
      </c>
    </row>
    <row r="1204" spans="1:4">
      <c r="A1204" s="7">
        <f ca="1">IFERROR(__xludf.DUMMYFUNCTION("""COMPUTED_VALUE"""),44014)</f>
        <v>44014</v>
      </c>
      <c r="B1204" s="6" t="str">
        <f ca="1">IFERROR(__xludf.DUMMYFUNCTION("""COMPUTED_VALUE"""),"-33.586596-70.874999")</f>
        <v>-33.586596-70.874999</v>
      </c>
      <c r="C1204" s="6" t="str">
        <f ca="1">IFERROR(__xludf.DUMMYFUNCTION("""COMPUTED_VALUE"""),"LAS ACACIAS 20")</f>
        <v>LAS ACACIAS 20</v>
      </c>
      <c r="D1204" s="6" t="str">
        <f ca="1">IFERROR(__xludf.DUMMYFUNCTION("""COMPUTED_VALUE"""),"PEÑAFLOR")</f>
        <v>PEÑAFLOR</v>
      </c>
    </row>
    <row r="1205" spans="1:4">
      <c r="A1205" s="7">
        <f ca="1">IFERROR(__xludf.DUMMYFUNCTION("""COMPUTED_VALUE"""),44014)</f>
        <v>44014</v>
      </c>
      <c r="B1205" s="6" t="str">
        <f ca="1">IFERROR(__xludf.DUMMYFUNCTION("""COMPUTED_VALUE"""),"-33.6019-70.8793")</f>
        <v>-33.6019-70.8793</v>
      </c>
      <c r="C1205" s="6" t="str">
        <f ca="1">IFERROR(__xludf.DUMMYFUNCTION("""COMPUTED_VALUE"""),"LOS LIRIOS 482")</f>
        <v>LOS LIRIOS 482</v>
      </c>
      <c r="D1205" s="6" t="str">
        <f ca="1">IFERROR(__xludf.DUMMYFUNCTION("""COMPUTED_VALUE"""),"PEÑAFLOR")</f>
        <v>PEÑAFLOR</v>
      </c>
    </row>
    <row r="1206" spans="1:4">
      <c r="A1206" s="7">
        <f ca="1">IFERROR(__xludf.DUMMYFUNCTION("""COMPUTED_VALUE"""),44014)</f>
        <v>44014</v>
      </c>
      <c r="B1206" s="6" t="str">
        <f ca="1">IFERROR(__xludf.DUMMYFUNCTION("""COMPUTED_VALUE"""),"-33.258723-70.783407")</f>
        <v>-33.258723-70.783407</v>
      </c>
      <c r="C1206" s="6" t="str">
        <f ca="1">IFERROR(__xludf.DUMMYFUNCTION("""COMPUTED_VALUE"""),"CAMINO SANTA ROSA PARCELA 240")</f>
        <v>CAMINO SANTA ROSA PARCELA 240</v>
      </c>
      <c r="D1206" s="6" t="str">
        <f ca="1">IFERROR(__xludf.DUMMYFUNCTION("""COMPUTED_VALUE"""),"LAMPA")</f>
        <v>LAMPA</v>
      </c>
    </row>
    <row r="1207" spans="1:4">
      <c r="A1207" s="7">
        <f ca="1">IFERROR(__xludf.DUMMYFUNCTION("""COMPUTED_VALUE"""),44014)</f>
        <v>44014</v>
      </c>
      <c r="B1207" s="6" t="str">
        <f ca="1">IFERROR(__xludf.DUMMYFUNCTION("""COMPUTED_VALUE"""),"-33.258723-70.783407")</f>
        <v>-33.258723-70.783407</v>
      </c>
      <c r="C1207" s="6" t="str">
        <f ca="1">IFERROR(__xludf.DUMMYFUNCTION("""COMPUTED_VALUE"""),"CAMINO SANTA ROSA PARCELA 240")</f>
        <v>CAMINO SANTA ROSA PARCELA 240</v>
      </c>
      <c r="D1207" s="6" t="str">
        <f ca="1">IFERROR(__xludf.DUMMYFUNCTION("""COMPUTED_VALUE"""),"LAMPA")</f>
        <v>LAMPA</v>
      </c>
    </row>
    <row r="1208" spans="1:4">
      <c r="A1208" s="7">
        <f ca="1">IFERROR(__xludf.DUMMYFUNCTION("""COMPUTED_VALUE"""),44014)</f>
        <v>44014</v>
      </c>
      <c r="B1208" s="6" t="str">
        <f ca="1">IFERROR(__xludf.DUMMYFUNCTION("""COMPUTED_VALUE"""),"-33.2580061-70.800388")</f>
        <v>-33.2580061-70.800388</v>
      </c>
      <c r="C1208" s="6" t="str">
        <f ca="1">IFERROR(__xludf.DUMMYFUNCTION("""COMPUTED_VALUE"""),"COND MIRADOR DEL VALLE P/22")</f>
        <v>COND MIRADOR DEL VALLE P/22</v>
      </c>
      <c r="D1208" s="6" t="str">
        <f ca="1">IFERROR(__xludf.DUMMYFUNCTION("""COMPUTED_VALUE"""),"LAMPA")</f>
        <v>LAMPA</v>
      </c>
    </row>
    <row r="1209" spans="1:4">
      <c r="A1209" s="7">
        <f ca="1">IFERROR(__xludf.DUMMYFUNCTION("""COMPUTED_VALUE"""),44014)</f>
        <v>44014</v>
      </c>
      <c r="B1209" s="6" t="str">
        <f ca="1">IFERROR(__xludf.DUMMYFUNCTION("""COMPUTED_VALUE"""),"-33.2580061-70.800388")</f>
        <v>-33.2580061-70.800388</v>
      </c>
      <c r="C1209" s="6" t="str">
        <f ca="1">IFERROR(__xludf.DUMMYFUNCTION("""COMPUTED_VALUE"""),"COND MIRADOR DEL VALLE P/22")</f>
        <v>COND MIRADOR DEL VALLE P/22</v>
      </c>
      <c r="D1209" s="6" t="str">
        <f ca="1">IFERROR(__xludf.DUMMYFUNCTION("""COMPUTED_VALUE"""),"LAMPA")</f>
        <v>LAMPA</v>
      </c>
    </row>
    <row r="1210" spans="1:4">
      <c r="A1210" s="7">
        <f ca="1">IFERROR(__xludf.DUMMYFUNCTION("""COMPUTED_VALUE"""),44014)</f>
        <v>44014</v>
      </c>
      <c r="B1210" s="6" t="str">
        <f ca="1">IFERROR(__xludf.DUMMYFUNCTION("""COMPUTED_VALUE"""),"-33.677119,-70.994240")</f>
        <v>-33.677119,-70.994240</v>
      </c>
      <c r="C1210" s="6" t="str">
        <f ca="1">IFERROR(__xludf.DUMMYFUNCTION("""COMPUTED_VALUE"""),"LAS LILAS 727")</f>
        <v>LAS LILAS 727</v>
      </c>
      <c r="D1210" s="6" t="str">
        <f ca="1">IFERROR(__xludf.DUMMYFUNCTION("""COMPUTED_VALUE"""),"EL MONTE")</f>
        <v>EL MONTE</v>
      </c>
    </row>
    <row r="1211" spans="1:4">
      <c r="A1211" s="7">
        <f ca="1">IFERROR(__xludf.DUMMYFUNCTION("""COMPUTED_VALUE"""),44014)</f>
        <v>44014</v>
      </c>
      <c r="B1211" s="6" t="str">
        <f ca="1">IFERROR(__xludf.DUMMYFUNCTION("""COMPUTED_VALUE"""),"-33.674580,-70.975086")</f>
        <v>-33.674580,-70.975086</v>
      </c>
      <c r="C1211" s="6" t="str">
        <f ca="1">IFERROR(__xludf.DUMMYFUNCTION("""COMPUTED_VALUE"""),"PJE SARGENTO CANDELARIA 339")</f>
        <v>PJE SARGENTO CANDELARIA 339</v>
      </c>
      <c r="D1211" s="6" t="str">
        <f ca="1">IFERROR(__xludf.DUMMYFUNCTION("""COMPUTED_VALUE"""),"EL MONTE")</f>
        <v>EL MONTE</v>
      </c>
    </row>
    <row r="1212" spans="1:4">
      <c r="A1212" s="7">
        <f ca="1">IFERROR(__xludf.DUMMYFUNCTION("""COMPUTED_VALUE"""),44014)</f>
        <v>44014</v>
      </c>
      <c r="B1212" s="6" t="str">
        <f ca="1">IFERROR(__xludf.DUMMYFUNCTION("""COMPUTED_VALUE"""),"-33676481,-70.993556")</f>
        <v>-33676481,-70.993556</v>
      </c>
      <c r="C1212" s="6" t="str">
        <f ca="1">IFERROR(__xludf.DUMMYFUNCTION("""COMPUTED_VALUE"""),"LAS DALIAS 715")</f>
        <v>LAS DALIAS 715</v>
      </c>
      <c r="D1212" s="6" t="str">
        <f ca="1">IFERROR(__xludf.DUMMYFUNCTION("""COMPUTED_VALUE"""),"EL MONTE")</f>
        <v>EL MONTE</v>
      </c>
    </row>
    <row r="1213" spans="1:4">
      <c r="A1213" s="7">
        <f ca="1">IFERROR(__xludf.DUMMYFUNCTION("""COMPUTED_VALUE"""),44014)</f>
        <v>44014</v>
      </c>
      <c r="B1213" s="6" t="str">
        <f ca="1">IFERROR(__xludf.DUMMYFUNCTION("""COMPUTED_VALUE"""),"-33.137101,-70.795579")</f>
        <v>-33.137101,-70.795579</v>
      </c>
      <c r="C1213" s="6" t="str">
        <f ca="1">IFERROR(__xludf.DUMMYFUNCTION("""COMPUTED_VALUE"""),"4 ORIENTE 298")</f>
        <v>4 ORIENTE 298</v>
      </c>
      <c r="D1213" s="6" t="str">
        <f ca="1">IFERROR(__xludf.DUMMYFUNCTION("""COMPUTED_VALUE"""),"LAMPA")</f>
        <v>LAMPA</v>
      </c>
    </row>
    <row r="1214" spans="1:4">
      <c r="A1214" s="7">
        <f ca="1">IFERROR(__xludf.DUMMYFUNCTION("""COMPUTED_VALUE"""),44014)</f>
        <v>44014</v>
      </c>
      <c r="B1214" s="6" t="str">
        <f ca="1">IFERROR(__xludf.DUMMYFUNCTION("""COMPUTED_VALUE"""),"-33.224936,-70.773492")</f>
        <v>-33.224936,-70.773492</v>
      </c>
      <c r="C1214" s="6" t="str">
        <f ca="1">IFERROR(__xludf.DUMMYFUNCTION("""COMPUTED_VALUE"""),"SANTA SARA P9 S1")</f>
        <v>SANTA SARA P9 S1</v>
      </c>
      <c r="D1214" s="6" t="str">
        <f ca="1">IFERROR(__xludf.DUMMYFUNCTION("""COMPUTED_VALUE"""),"LAMPA")</f>
        <v>LAMPA</v>
      </c>
    </row>
    <row r="1215" spans="1:4">
      <c r="A1215" s="7">
        <f ca="1">IFERROR(__xludf.DUMMYFUNCTION("""COMPUTED_VALUE"""),44014)</f>
        <v>44014</v>
      </c>
      <c r="B1215" s="6" t="str">
        <f ca="1">IFERROR(__xludf.DUMMYFUNCTION("""COMPUTED_VALUE"""),"-33.677145,-70.992975")</f>
        <v>-33.677145,-70.992975</v>
      </c>
      <c r="C1215" s="6" t="str">
        <f ca="1">IFERROR(__xludf.DUMMYFUNCTION("""COMPUTED_VALUE"""),"LAS DALIAS 715")</f>
        <v>LAS DALIAS 715</v>
      </c>
      <c r="D1215" s="6" t="str">
        <f ca="1">IFERROR(__xludf.DUMMYFUNCTION("""COMPUTED_VALUE"""),"EL MONTE")</f>
        <v>EL MONTE</v>
      </c>
    </row>
    <row r="1216" spans="1:4">
      <c r="A1216" s="7">
        <f ca="1">IFERROR(__xludf.DUMMYFUNCTION("""COMPUTED_VALUE"""),44014)</f>
        <v>44014</v>
      </c>
      <c r="B1216" s="6" t="str">
        <f ca="1">IFERROR(__xludf.DUMMYFUNCTION("""COMPUTED_VALUE"""),"-33.297568 - 70.869373")</f>
        <v>-33.297568 - 70.869373</v>
      </c>
      <c r="C1216" s="6" t="str">
        <f ca="1">IFERROR(__xludf.DUMMYFUNCTION("""COMPUTED_VALUE"""),"PASAJE LAS PETUNIAS ORIENTE 2724")</f>
        <v>PASAJE LAS PETUNIAS ORIENTE 2724</v>
      </c>
      <c r="D1216" s="6" t="str">
        <f ca="1">IFERROR(__xludf.DUMMYFUNCTION("""COMPUTED_VALUE"""),"LAMPA")</f>
        <v>LAMPA</v>
      </c>
    </row>
    <row r="1217" spans="1:4">
      <c r="A1217" s="7">
        <f ca="1">IFERROR(__xludf.DUMMYFUNCTION("""COMPUTED_VALUE"""),44014)</f>
        <v>44014</v>
      </c>
      <c r="B1217" s="6" t="str">
        <f ca="1">IFERROR(__xludf.DUMMYFUNCTION("""COMPUTED_VALUE"""),"-33.229560 - 70.800909")</f>
        <v>-33.229560 - 70.800909</v>
      </c>
      <c r="C1217" s="6" t="str">
        <f ca="1">IFERROR(__xludf.DUMMYFUNCTION("""COMPUTED_VALUE"""),"GARBALDI 1328")</f>
        <v>GARBALDI 1328</v>
      </c>
      <c r="D1217" s="6" t="str">
        <f ca="1">IFERROR(__xludf.DUMMYFUNCTION("""COMPUTED_VALUE"""),"LAMPA")</f>
        <v>LAMPA</v>
      </c>
    </row>
    <row r="1218" spans="1:4">
      <c r="A1218" s="7">
        <f ca="1">IFERROR(__xludf.DUMMYFUNCTION("""COMPUTED_VALUE"""),44015)</f>
        <v>44015</v>
      </c>
      <c r="B1218" s="8" t="str">
        <f ca="1">IFERROR(__xludf.DUMMYFUNCTION("""COMPUTED_VALUE"""),"-33.667995,-70.924343")</f>
        <v>-33.667995,-70.924343</v>
      </c>
      <c r="C1218" s="6" t="str">
        <f ca="1">IFERROR(__xludf.DUMMYFUNCTION("""COMPUTED_VALUE"""),"JUANA CANALES 1326")</f>
        <v>JUANA CANALES 1326</v>
      </c>
      <c r="D1218" s="6" t="str">
        <f ca="1">IFERROR(__xludf.DUMMYFUNCTION("""COMPUTED_VALUE"""),"TALAGANTE")</f>
        <v>TALAGANTE</v>
      </c>
    </row>
    <row r="1219" spans="1:4">
      <c r="A1219" s="7">
        <f ca="1">IFERROR(__xludf.DUMMYFUNCTION("""COMPUTED_VALUE"""),44015)</f>
        <v>44015</v>
      </c>
      <c r="B1219" s="8" t="str">
        <f ca="1">IFERROR(__xludf.DUMMYFUNCTION("""COMPUTED_VALUE"""),"-33.810636,-70.860467")</f>
        <v>-33.810636,-70.860467</v>
      </c>
      <c r="C1219" s="6" t="str">
        <f ca="1">IFERROR(__xludf.DUMMYFUNCTION("""COMPUTED_VALUE"""),"AV CHILE 1023")</f>
        <v>AV CHILE 1023</v>
      </c>
      <c r="D1219" s="6" t="str">
        <f ca="1">IFERROR(__xludf.DUMMYFUNCTION("""COMPUTED_VALUE"""),"BUIN")</f>
        <v>BUIN</v>
      </c>
    </row>
    <row r="1220" spans="1:4">
      <c r="A1220" s="7">
        <f ca="1">IFERROR(__xludf.DUMMYFUNCTION("""COMPUTED_VALUE"""),44015)</f>
        <v>44015</v>
      </c>
      <c r="B1220" s="8" t="str">
        <f ca="1">IFERROR(__xludf.DUMMYFUNCTION("""COMPUTED_VALUE"""),"-33.733095,-70.756121")</f>
        <v>-33.733095,-70.756121</v>
      </c>
      <c r="C1220" s="6" t="str">
        <f ca="1">IFERROR(__xludf.DUMMYFUNCTION("""COMPUTED_VALUE"""),"EUGENIO CONTRERAS 290")</f>
        <v>EUGENIO CONTRERAS 290</v>
      </c>
      <c r="D1220" s="6" t="str">
        <f ca="1">IFERROR(__xludf.DUMMYFUNCTION("""COMPUTED_VALUE"""),"BUIN")</f>
        <v>BUIN</v>
      </c>
    </row>
    <row r="1221" spans="1:4">
      <c r="A1221" s="7">
        <f ca="1">IFERROR(__xludf.DUMMYFUNCTION("""COMPUTED_VALUE"""),44015)</f>
        <v>44015</v>
      </c>
      <c r="B1221" s="8" t="str">
        <f ca="1">IFERROR(__xludf.DUMMYFUNCTION("""COMPUTED_VALUE"""),"-33.662076,-70.665385")</f>
        <v>-33.662076,-70.665385</v>
      </c>
      <c r="C1221" s="6" t="str">
        <f ca="1">IFERROR(__xludf.DUMMYFUNCTION("""COMPUTED_VALUE"""),"LOS ARENEROS 24")</f>
        <v>LOS ARENEROS 24</v>
      </c>
      <c r="D1221" s="6" t="str">
        <f ca="1">IFERROR(__xludf.DUMMYFUNCTION("""COMPUTED_VALUE"""),"BUIN")</f>
        <v>BUIN</v>
      </c>
    </row>
    <row r="1222" spans="1:4">
      <c r="A1222" s="7">
        <f ca="1">IFERROR(__xludf.DUMMYFUNCTION("""COMPUTED_VALUE"""),44015)</f>
        <v>44015</v>
      </c>
      <c r="B1222" s="6" t="str">
        <f ca="1">IFERROR(__xludf.DUMMYFUNCTION("""COMPUTED_VALUE"""),"-33.6106673-70.8757983")</f>
        <v>-33.6106673-70.8757983</v>
      </c>
      <c r="C1222" s="6" t="str">
        <f ca="1">IFERROR(__xludf.DUMMYFUNCTION("""COMPUTED_VALUE"""),"VICUÑA MACKENNA 1572")</f>
        <v>VICUÑA MACKENNA 1572</v>
      </c>
      <c r="D1222" s="6" t="str">
        <f ca="1">IFERROR(__xludf.DUMMYFUNCTION("""COMPUTED_VALUE"""),"PEÑAFLOR")</f>
        <v>PEÑAFLOR</v>
      </c>
    </row>
    <row r="1223" spans="1:4">
      <c r="A1223" s="7">
        <f ca="1">IFERROR(__xludf.DUMMYFUNCTION("""COMPUTED_VALUE"""),44015)</f>
        <v>44015</v>
      </c>
      <c r="B1223" s="6" t="str">
        <f ca="1">IFERROR(__xludf.DUMMYFUNCTION("""COMPUTED_VALUE"""),"-33.667755,-70.925125")</f>
        <v>-33.667755,-70.925125</v>
      </c>
      <c r="C1223" s="6" t="str">
        <f ca="1">IFERROR(__xludf.DUMMYFUNCTION("""COMPUTED_VALUE"""),"JUANA CANALES 1139")</f>
        <v>JUANA CANALES 1139</v>
      </c>
      <c r="D1223" s="6" t="str">
        <f ca="1">IFERROR(__xludf.DUMMYFUNCTION("""COMPUTED_VALUE"""),"TALAGANTE")</f>
        <v>TALAGANTE</v>
      </c>
    </row>
    <row r="1224" spans="1:4">
      <c r="A1224" s="7">
        <f ca="1">IFERROR(__xludf.DUMMYFUNCTION("""COMPUTED_VALUE"""),44015)</f>
        <v>44015</v>
      </c>
      <c r="B1224" s="6" t="str">
        <f ca="1">IFERROR(__xludf.DUMMYFUNCTION("""COMPUTED_VALUE"""),"-33.665204,-70.817234")</f>
        <v>-33.665204,-70.817234</v>
      </c>
      <c r="C1224" s="6" t="str">
        <f ca="1">IFERROR(__xludf.DUMMYFUNCTION("""COMPUTED_VALUE"""),"CO DEL INCA 3900 PC40 LOTE 13")</f>
        <v>CO DEL INCA 3900 PC40 LOTE 13</v>
      </c>
      <c r="D1224" s="6" t="str">
        <f ca="1">IFERROR(__xludf.DUMMYFUNCTION("""COMPUTED_VALUE"""),"TALAGANTE")</f>
        <v>TALAGANTE</v>
      </c>
    </row>
    <row r="1225" spans="1:4">
      <c r="A1225" s="7">
        <f ca="1">IFERROR(__xludf.DUMMYFUNCTION("""COMPUTED_VALUE"""),44015)</f>
        <v>44015</v>
      </c>
      <c r="B1225" s="6" t="str">
        <f ca="1">IFERROR(__xludf.DUMMYFUNCTION("""COMPUTED_VALUE"""),"-33.667103,-70.838319")</f>
        <v>-33.667103,-70.838319</v>
      </c>
      <c r="C1225" s="6" t="str">
        <f ca="1">IFERROR(__xludf.DUMMYFUNCTION("""COMPUTED_VALUE"""),"CI EL LITRE 6721")</f>
        <v>CI EL LITRE 6721</v>
      </c>
      <c r="D1225" s="6" t="str">
        <f ca="1">IFERROR(__xludf.DUMMYFUNCTION("""COMPUTED_VALUE"""),"TALAGANTE")</f>
        <v>TALAGANTE</v>
      </c>
    </row>
    <row r="1226" spans="1:4">
      <c r="A1226" s="7">
        <f ca="1">IFERROR(__xludf.DUMMYFUNCTION("""COMPUTED_VALUE"""),44015)</f>
        <v>44015</v>
      </c>
      <c r="B1226" s="6" t="str">
        <f ca="1">IFERROR(__xludf.DUMMYFUNCTION("""COMPUTED_VALUE"""),"-33.710133,-70.855508")</f>
        <v>-33.710133,-70.855508</v>
      </c>
      <c r="C1226" s="6" t="str">
        <f ca="1">IFERROR(__xludf.DUMMYFUNCTION("""COMPUTED_VALUE"""),"VICTOR JARA 017 27 1-B")</f>
        <v>VICTOR JARA 017 27 1-B</v>
      </c>
      <c r="D1226" s="6" t="str">
        <f ca="1">IFERROR(__xludf.DUMMYFUNCTION("""COMPUTED_VALUE"""),"TALAGANTE")</f>
        <v>TALAGANTE</v>
      </c>
    </row>
    <row r="1227" spans="1:4">
      <c r="A1227" s="7">
        <f ca="1">IFERROR(__xludf.DUMMYFUNCTION("""COMPUTED_VALUE"""),44015)</f>
        <v>44015</v>
      </c>
      <c r="B1227" s="6" t="str">
        <f ca="1">IFERROR(__xludf.DUMMYFUNCTION("""COMPUTED_VALUE"""),"-33.679931,-70.997755")</f>
        <v>-33.679931,-70.997755</v>
      </c>
      <c r="C1227" s="6" t="str">
        <f ca="1">IFERROR(__xludf.DUMMYFUNCTION("""COMPUTED_VALUE"""),"ONCE DE OCTUBRE 201")</f>
        <v>ONCE DE OCTUBRE 201</v>
      </c>
      <c r="D1227" s="6" t="str">
        <f ca="1">IFERROR(__xludf.DUMMYFUNCTION("""COMPUTED_VALUE"""),"EL MONTE")</f>
        <v>EL MONTE</v>
      </c>
    </row>
    <row r="1228" spans="1:4">
      <c r="A1228" s="7">
        <f ca="1">IFERROR(__xludf.DUMMYFUNCTION("""COMPUTED_VALUE"""),44015)</f>
        <v>44015</v>
      </c>
      <c r="B1228" s="6" t="str">
        <f ca="1">IFERROR(__xludf.DUMMYFUNCTION("""COMPUTED_VALUE"""),"-33.674561,-70.995452")</f>
        <v>-33.674561,-70.995452</v>
      </c>
      <c r="C1228" s="6" t="str">
        <f ca="1">IFERROR(__xludf.DUMMYFUNCTION("""COMPUTED_VALUE"""),"AV. SAN MIGUEL 715")</f>
        <v>AV. SAN MIGUEL 715</v>
      </c>
      <c r="D1228" s="6" t="str">
        <f ca="1">IFERROR(__xludf.DUMMYFUNCTION("""COMPUTED_VALUE"""),"EL MONTE")</f>
        <v>EL MONTE</v>
      </c>
    </row>
    <row r="1229" spans="1:4">
      <c r="A1229" s="7">
        <f ca="1">IFERROR(__xludf.DUMMYFUNCTION("""COMPUTED_VALUE"""),44015)</f>
        <v>44015</v>
      </c>
      <c r="B1229" s="6" t="str">
        <f ca="1">IFERROR(__xludf.DUMMYFUNCTION("""COMPUTED_VALUE"""),"-33.674356,-70.988971")</f>
        <v>-33.674356,-70.988971</v>
      </c>
      <c r="C1229" s="6" t="str">
        <f ca="1">IFERROR(__xludf.DUMMYFUNCTION("""COMPUTED_VALUE"""),"LA ESTACION 311")</f>
        <v>LA ESTACION 311</v>
      </c>
      <c r="D1229" s="6" t="str">
        <f ca="1">IFERROR(__xludf.DUMMYFUNCTION("""COMPUTED_VALUE"""),"EL MONTE")</f>
        <v>EL MONTE</v>
      </c>
    </row>
    <row r="1230" spans="1:4">
      <c r="A1230" s="7">
        <f ca="1">IFERROR(__xludf.DUMMYFUNCTION("""COMPUTED_VALUE"""),44016)</f>
        <v>44016</v>
      </c>
      <c r="B1230" s="8" t="str">
        <f ca="1">IFERROR(__xludf.DUMMYFUNCTION("""COMPUTED_VALUE"""),"-33.667995,-70.924343")</f>
        <v>-33.667995,-70.924343</v>
      </c>
      <c r="C1230" s="6" t="str">
        <f ca="1">IFERROR(__xludf.DUMMYFUNCTION("""COMPUTED_VALUE"""),"JUANA CANALES 1326")</f>
        <v>JUANA CANALES 1326</v>
      </c>
      <c r="D1230" s="6" t="str">
        <f ca="1">IFERROR(__xludf.DUMMYFUNCTION("""COMPUTED_VALUE"""),"TALAGANTE")</f>
        <v>TALAGANTE</v>
      </c>
    </row>
    <row r="1231" spans="1:4">
      <c r="A1231" s="7">
        <f ca="1">IFERROR(__xludf.DUMMYFUNCTION("""COMPUTED_VALUE"""),44018)</f>
        <v>44018</v>
      </c>
      <c r="B1231" s="8" t="str">
        <f ca="1">IFERROR(__xludf.DUMMYFUNCTION("""COMPUTED_VALUE"""),"-33.655404,-70.926675")</f>
        <v>-33.655404,-70.926675</v>
      </c>
      <c r="C1231" s="6" t="str">
        <f ca="1">IFERROR(__xludf.DUMMYFUNCTION("""COMPUTED_VALUE"""),"LOS JARDINES 512")</f>
        <v>LOS JARDINES 512</v>
      </c>
      <c r="D1231" s="6" t="str">
        <f ca="1">IFERROR(__xludf.DUMMYFUNCTION("""COMPUTED_VALUE"""),"TALAGANTE")</f>
        <v>TALAGANTE</v>
      </c>
    </row>
    <row r="1232" spans="1:4">
      <c r="A1232" s="7">
        <f ca="1">IFERROR(__xludf.DUMMYFUNCTION("""COMPUTED_VALUE"""),44018)</f>
        <v>44018</v>
      </c>
      <c r="B1232" s="8" t="str">
        <f ca="1">IFERROR(__xludf.DUMMYFUNCTION("""COMPUTED_VALUE"""),"-33.683615,-70,949881")</f>
        <v>-33.683615,-70,949881</v>
      </c>
      <c r="C1232" s="6" t="str">
        <f ca="1">IFERROR(__xludf.DUMMYFUNCTION("""COMPUTED_VALUE"""),"TEGUALDA PC 6 SITIO S/N")</f>
        <v>TEGUALDA PC 6 SITIO S/N</v>
      </c>
      <c r="D1232" s="6" t="str">
        <f ca="1">IFERROR(__xludf.DUMMYFUNCTION("""COMPUTED_VALUE"""),"TALAGANTE")</f>
        <v>TALAGANTE</v>
      </c>
    </row>
    <row r="1233" spans="1:4">
      <c r="A1233" s="7">
        <f ca="1">IFERROR(__xludf.DUMMYFUNCTION("""COMPUTED_VALUE"""),44018)</f>
        <v>44018</v>
      </c>
      <c r="B1233" s="8" t="str">
        <f ca="1">IFERROR(__xludf.DUMMYFUNCTION("""COMPUTED_VALUE"""),"-33.284631,-70.868318")</f>
        <v>-33.284631,-70.868318</v>
      </c>
      <c r="C1233" s="6" t="str">
        <f ca="1">IFERROR(__xludf.DUMMYFUNCTION("""COMPUTED_VALUE"""),"BARROS LUCO 1423")</f>
        <v>BARROS LUCO 1423</v>
      </c>
      <c r="D1233" s="6" t="str">
        <f ca="1">IFERROR(__xludf.DUMMYFUNCTION("""COMPUTED_VALUE"""),"LAMPA")</f>
        <v>LAMPA</v>
      </c>
    </row>
    <row r="1234" spans="1:4">
      <c r="A1234" s="7">
        <f ca="1">IFERROR(__xludf.DUMMYFUNCTION("""COMPUTED_VALUE"""),44018)</f>
        <v>44018</v>
      </c>
      <c r="B1234" s="8" t="str">
        <f ca="1">IFERROR(__xludf.DUMMYFUNCTION("""COMPUTED_VALUE"""),"-33.712387,-70.741671")</f>
        <v>-33.712387,-70.741671</v>
      </c>
      <c r="C1234" s="6" t="str">
        <f ca="1">IFERROR(__xludf.DUMMYFUNCTION("""COMPUTED_VALUE"""),"RAUL ORTEGA 01590")</f>
        <v>RAUL ORTEGA 01590</v>
      </c>
      <c r="D1234" s="6" t="str">
        <f ca="1">IFERROR(__xludf.DUMMYFUNCTION("""COMPUTED_VALUE"""),"BUIN")</f>
        <v>BUIN</v>
      </c>
    </row>
    <row r="1235" spans="1:4">
      <c r="A1235" s="7">
        <f ca="1">IFERROR(__xludf.DUMMYFUNCTION("""COMPUTED_VALUE"""),44018)</f>
        <v>44018</v>
      </c>
      <c r="B1235" s="6" t="str">
        <f ca="1">IFERROR(__xludf.DUMMYFUNCTION("""COMPUTED_VALUE"""),"-33.6116666-70.8729667")</f>
        <v>-33.6116666-70.8729667</v>
      </c>
      <c r="C1235" s="6" t="str">
        <f ca="1">IFERROR(__xludf.DUMMYFUNCTION("""COMPUTED_VALUE"""),"LAS VERTIENTES 90 BLOCK 1 D/31")</f>
        <v>LAS VERTIENTES 90 BLOCK 1 D/31</v>
      </c>
      <c r="D1235" s="6" t="str">
        <f ca="1">IFERROR(__xludf.DUMMYFUNCTION("""COMPUTED_VALUE"""),"PEÑAFLOR")</f>
        <v>PEÑAFLOR</v>
      </c>
    </row>
    <row r="1236" spans="1:4">
      <c r="A1236" s="7">
        <f ca="1">IFERROR(__xludf.DUMMYFUNCTION("""COMPUTED_VALUE"""),44018)</f>
        <v>44018</v>
      </c>
      <c r="B1236" s="6" t="str">
        <f ca="1">IFERROR(__xludf.DUMMYFUNCTION("""COMPUTED_VALUE"""),"-33.669909,70.834610")</f>
        <v>-33.669909,70.834610</v>
      </c>
      <c r="C1236" s="6" t="str">
        <f ca="1">IFERROR(__xludf.DUMMYFUNCTION("""COMPUTED_VALUE"""),"CI EL RINCON 6708")</f>
        <v>CI EL RINCON 6708</v>
      </c>
      <c r="D1236" s="6" t="str">
        <f ca="1">IFERROR(__xludf.DUMMYFUNCTION("""COMPUTED_VALUE"""),"TALAGANTE")</f>
        <v>TALAGANTE</v>
      </c>
    </row>
    <row r="1237" spans="1:4">
      <c r="A1237" s="7">
        <f ca="1">IFERROR(__xludf.DUMMYFUNCTION("""COMPUTED_VALUE"""),44018)</f>
        <v>44018</v>
      </c>
      <c r="B1237" s="6" t="str">
        <f ca="1">IFERROR(__xludf.DUMMYFUNCTION("""COMPUTED_VALUE"""),"-33.667210,70.927352")</f>
        <v>-33.667210,70.927352</v>
      </c>
      <c r="C1237" s="6" t="str">
        <f ca="1">IFERROR(__xludf.DUMMYFUNCTION("""COMPUTED_VALUE"""),"FRANCISCO CHACON 1149")</f>
        <v>FRANCISCO CHACON 1149</v>
      </c>
      <c r="D1237" s="6" t="str">
        <f ca="1">IFERROR(__xludf.DUMMYFUNCTION("""COMPUTED_VALUE"""),"TALAGANTE")</f>
        <v>TALAGANTE</v>
      </c>
    </row>
    <row r="1238" spans="1:4">
      <c r="A1238" s="7">
        <f ca="1">IFERROR(__xludf.DUMMYFUNCTION("""COMPUTED_VALUE"""),44018)</f>
        <v>44018</v>
      </c>
      <c r="B1238" s="6" t="str">
        <f ca="1">IFERROR(__xludf.DUMMYFUNCTION("""COMPUTED_VALUE"""),"-33.669603,70.9300653")</f>
        <v>-33.669603,70.9300653</v>
      </c>
      <c r="C1238" s="6" t="str">
        <f ca="1">IFERROR(__xludf.DUMMYFUNCTION("""COMPUTED_VALUE"""),"JUANA CANALES 1455")</f>
        <v>JUANA CANALES 1455</v>
      </c>
      <c r="D1238" s="6" t="str">
        <f ca="1">IFERROR(__xludf.DUMMYFUNCTION("""COMPUTED_VALUE"""),"TALAGANTE")</f>
        <v>TALAGANTE</v>
      </c>
    </row>
    <row r="1239" spans="1:4">
      <c r="A1239" s="7">
        <f ca="1">IFERROR(__xludf.DUMMYFUNCTION("""COMPUTED_VALUE"""),44018)</f>
        <v>44018</v>
      </c>
      <c r="B1239" s="6" t="str">
        <f ca="1">IFERROR(__xludf.DUMMYFUNCTION("""COMPUTED_VALUE"""),"-33.669973,-70.930424")</f>
        <v>-33.669973,-70.930424</v>
      </c>
      <c r="C1239" s="6" t="str">
        <f ca="1">IFERROR(__xludf.DUMMYFUNCTION("""COMPUTED_VALUE"""),"JUANA CANALES 1469")</f>
        <v>JUANA CANALES 1469</v>
      </c>
      <c r="D1239" s="6" t="str">
        <f ca="1">IFERROR(__xludf.DUMMYFUNCTION("""COMPUTED_VALUE"""),"TALAGANTE")</f>
        <v>TALAGANTE</v>
      </c>
    </row>
    <row r="1240" spans="1:4">
      <c r="A1240" s="7">
        <f ca="1">IFERROR(__xludf.DUMMYFUNCTION("""COMPUTED_VALUE"""),44018)</f>
        <v>44018</v>
      </c>
      <c r="B1240" s="6" t="str">
        <f ca="1">IFERROR(__xludf.DUMMYFUNCTION("""COMPUTED_VALUE"""),"-33.68789,-70.997907")</f>
        <v>-33.68789,-70.997907</v>
      </c>
      <c r="C1240" s="6" t="str">
        <f ca="1">IFERROR(__xludf.DUMMYFUNCTION("""COMPUTED_VALUE"""),"OCHO PONIENTE 208")</f>
        <v>OCHO PONIENTE 208</v>
      </c>
      <c r="D1240" s="6" t="str">
        <f ca="1">IFERROR(__xludf.DUMMYFUNCTION("""COMPUTED_VALUE"""),"EL MONTE")</f>
        <v>EL MONTE</v>
      </c>
    </row>
    <row r="1241" spans="1:4">
      <c r="A1241" s="7">
        <f ca="1">IFERROR(__xludf.DUMMYFUNCTION("""COMPUTED_VALUE"""),44018)</f>
        <v>44018</v>
      </c>
      <c r="B1241" s="6" t="str">
        <f ca="1">IFERROR(__xludf.DUMMYFUNCTION("""COMPUTED_VALUE"""),"-33.677130,-70.996172")</f>
        <v>-33.677130,-70.996172</v>
      </c>
      <c r="C1241" s="6" t="str">
        <f ca="1">IFERROR(__xludf.DUMMYFUNCTION("""COMPUTED_VALUE"""),"LAS LILAS 765")</f>
        <v>LAS LILAS 765</v>
      </c>
      <c r="D1241" s="6" t="str">
        <f ca="1">IFERROR(__xludf.DUMMYFUNCTION("""COMPUTED_VALUE"""),"EL MONTE")</f>
        <v>EL MONTE</v>
      </c>
    </row>
    <row r="1242" spans="1:4">
      <c r="A1242" s="7">
        <f ca="1">IFERROR(__xludf.DUMMYFUNCTION("""COMPUTED_VALUE"""),44018)</f>
        <v>44018</v>
      </c>
      <c r="B1242" s="6" t="str">
        <f ca="1">IFERROR(__xludf.DUMMYFUNCTION("""COMPUTED_VALUE"""),"-33.670602,-70.942237")</f>
        <v>-33.670602,-70.942237</v>
      </c>
      <c r="C1242" s="6" t="str">
        <f ca="1">IFERROR(__xludf.DUMMYFUNCTION("""COMPUTED_VALUE"""),"XAFINO 565")</f>
        <v>XAFINO 565</v>
      </c>
      <c r="D1242" s="6" t="str">
        <f ca="1">IFERROR(__xludf.DUMMYFUNCTION("""COMPUTED_VALUE"""),"EL MONTE")</f>
        <v>EL MONTE</v>
      </c>
    </row>
    <row r="1243" spans="1:4">
      <c r="A1243" s="7">
        <f ca="1">IFERROR(__xludf.DUMMYFUNCTION("""COMPUTED_VALUE"""),44018)</f>
        <v>44018</v>
      </c>
      <c r="B1243" s="6" t="str">
        <f ca="1">IFERROR(__xludf.DUMMYFUNCTION("""COMPUTED_VALUE"""),"-33.673003,-70.987334")</f>
        <v>-33.673003,-70.987334</v>
      </c>
      <c r="C1243" s="6" t="str">
        <f ca="1">IFERROR(__xludf.DUMMYFUNCTION("""COMPUTED_VALUE"""),"LAS TIMAJAS 565")</f>
        <v>LAS TIMAJAS 565</v>
      </c>
      <c r="D1243" s="6" t="str">
        <f ca="1">IFERROR(__xludf.DUMMYFUNCTION("""COMPUTED_VALUE"""),"EL MONTE")</f>
        <v>EL MONTE</v>
      </c>
    </row>
    <row r="1244" spans="1:4">
      <c r="A1244" s="7">
        <f ca="1">IFERROR(__xludf.DUMMYFUNCTION("""COMPUTED_VALUE"""),44018)</f>
        <v>44018</v>
      </c>
      <c r="B1244" s="6" t="str">
        <f ca="1">IFERROR(__xludf.DUMMYFUNCTION("""COMPUTED_VALUE"""),"-33.673874,-70.987881")</f>
        <v>-33.673874,-70.987881</v>
      </c>
      <c r="C1244" s="6" t="str">
        <f ca="1">IFERROR(__xludf.DUMMYFUNCTION("""COMPUTED_VALUE"""),"LA HACIENDA 374")</f>
        <v>LA HACIENDA 374</v>
      </c>
      <c r="D1244" s="6" t="str">
        <f ca="1">IFERROR(__xludf.DUMMYFUNCTION("""COMPUTED_VALUE"""),"EL MONTE")</f>
        <v>EL MONTE</v>
      </c>
    </row>
    <row r="1245" spans="1:4">
      <c r="A1245" s="7">
        <f ca="1">IFERROR(__xludf.DUMMYFUNCTION("""COMPUTED_VALUE"""),44018)</f>
        <v>44018</v>
      </c>
      <c r="B1245" s="6" t="str">
        <f ca="1">IFERROR(__xludf.DUMMYFUNCTION("""COMPUTED_VALUE"""),"-33.674330,-70.988769")</f>
        <v>-33.674330,-70.988769</v>
      </c>
      <c r="C1245" s="6" t="str">
        <f ca="1">IFERROR(__xludf.DUMMYFUNCTION("""COMPUTED_VALUE"""),"LAS ARAUCARIAS 332")</f>
        <v>LAS ARAUCARIAS 332</v>
      </c>
      <c r="D1245" s="6" t="str">
        <f ca="1">IFERROR(__xludf.DUMMYFUNCTION("""COMPUTED_VALUE"""),"EL MONTE")</f>
        <v>EL MONTE</v>
      </c>
    </row>
    <row r="1246" spans="1:4">
      <c r="A1246" s="7">
        <f ca="1">IFERROR(__xludf.DUMMYFUNCTION("""COMPUTED_VALUE"""),44018)</f>
        <v>44018</v>
      </c>
      <c r="B1246" s="6" t="str">
        <f ca="1">IFERROR(__xludf.DUMMYFUNCTION("""COMPUTED_VALUE"""),"-33.218143 - 70.795389")</f>
        <v>-33.218143 - 70.795389</v>
      </c>
      <c r="C1246" s="6" t="str">
        <f ca="1">IFERROR(__xludf.DUMMYFUNCTION("""COMPUTED_VALUE"""),"SANTA CAROLINA PORCION 5 S/N C/2")</f>
        <v>SANTA CAROLINA PORCION 5 S/N C/2</v>
      </c>
      <c r="D1246" s="6" t="str">
        <f ca="1">IFERROR(__xludf.DUMMYFUNCTION("""COMPUTED_VALUE"""),"LAMPA")</f>
        <v>LAMPA</v>
      </c>
    </row>
    <row r="1247" spans="1:4">
      <c r="A1247" s="7">
        <f ca="1">IFERROR(__xludf.DUMMYFUNCTION("""COMPUTED_VALUE"""),44018)</f>
        <v>44018</v>
      </c>
      <c r="B1247" s="6" t="str">
        <f ca="1">IFERROR(__xludf.DUMMYFUNCTION("""COMPUTED_VALUE"""),"-33.225054 - 70.773840")</f>
        <v>-33.225054 - 70.773840</v>
      </c>
      <c r="C1247" s="6" t="str">
        <f ca="1">IFERROR(__xludf.DUMMYFUNCTION("""COMPUTED_VALUE"""),"SANTA SARA PARC 9 LOTE 2 ")</f>
        <v xml:space="preserve">SANTA SARA PARC 9 LOTE 2 </v>
      </c>
      <c r="D1247" s="6" t="str">
        <f ca="1">IFERROR(__xludf.DUMMYFUNCTION("""COMPUTED_VALUE"""),"LAMPA")</f>
        <v>LAMPA</v>
      </c>
    </row>
    <row r="1248" spans="1:4">
      <c r="A1248" s="7">
        <f ca="1">IFERROR(__xludf.DUMMYFUNCTION("""COMPUTED_VALUE"""),44019)</f>
        <v>44019</v>
      </c>
      <c r="B1248" s="8" t="str">
        <f ca="1">IFERROR(__xludf.DUMMYFUNCTION("""COMPUTED_VALUE"""),"-33.725651,-70.731195")</f>
        <v>-33.725651,-70.731195</v>
      </c>
      <c r="C1248" s="6" t="str">
        <f ca="1">IFERROR(__xludf.DUMMYFUNCTION("""COMPUTED_VALUE"""),"DELIA RAMIREZ DIAZ 0483")</f>
        <v>DELIA RAMIREZ DIAZ 0483</v>
      </c>
      <c r="D1248" s="6" t="str">
        <f ca="1">IFERROR(__xludf.DUMMYFUNCTION("""COMPUTED_VALUE"""),"BUIN")</f>
        <v>BUIN</v>
      </c>
    </row>
    <row r="1249" spans="1:4">
      <c r="A1249" s="7">
        <f ca="1">IFERROR(__xludf.DUMMYFUNCTION("""COMPUTED_VALUE"""),44019)</f>
        <v>44019</v>
      </c>
      <c r="B1249" s="8" t="str">
        <f ca="1">IFERROR(__xludf.DUMMYFUNCTION("""COMPUTED_VALUE"""),"-33.732871,-70.756187")</f>
        <v>-33.732871,-70.756187</v>
      </c>
      <c r="C1249" s="6" t="str">
        <f ca="1">IFERROR(__xludf.DUMMYFUNCTION("""COMPUTED_VALUE"""),"ENRIQUE QUEIROLO 1520")</f>
        <v>ENRIQUE QUEIROLO 1520</v>
      </c>
      <c r="D1249" s="6" t="str">
        <f ca="1">IFERROR(__xludf.DUMMYFUNCTION("""COMPUTED_VALUE"""),"BUIN")</f>
        <v>BUIN</v>
      </c>
    </row>
    <row r="1250" spans="1:4">
      <c r="A1250" s="7">
        <f ca="1">IFERROR(__xludf.DUMMYFUNCTION("""COMPUTED_VALUE"""),44019)</f>
        <v>44019</v>
      </c>
      <c r="B1250" s="8" t="str">
        <f ca="1">IFERROR(__xludf.DUMMYFUNCTION("""COMPUTED_VALUE"""),"-33.754645,-70.810446")</f>
        <v>-33.754645,-70.810446</v>
      </c>
      <c r="C1250" s="6" t="str">
        <f ca="1">IFERROR(__xludf.DUMMYFUNCTION("""COMPUTED_VALUE"""),"LA ESTANCIA 22")</f>
        <v>LA ESTANCIA 22</v>
      </c>
      <c r="D1250" s="6" t="str">
        <f ca="1">IFERROR(__xludf.DUMMYFUNCTION("""COMPUTED_VALUE"""),"BUIN")</f>
        <v>BUIN</v>
      </c>
    </row>
    <row r="1251" spans="1:4">
      <c r="A1251" s="7">
        <f ca="1">IFERROR(__xludf.DUMMYFUNCTION("""COMPUTED_VALUE"""),44019)</f>
        <v>44019</v>
      </c>
      <c r="B1251" s="8" t="str">
        <f ca="1">IFERROR(__xludf.DUMMYFUNCTION("""COMPUTED_VALUE"""),"-33.793621,-70.779492")</f>
        <v>-33.793621,-70.779492</v>
      </c>
      <c r="C1251" s="6" t="str">
        <f ca="1">IFERROR(__xludf.DUMMYFUNCTION("""COMPUTED_VALUE"""),"CAMINO LONQUEN 1270")</f>
        <v>CAMINO LONQUEN 1270</v>
      </c>
      <c r="D1251" s="6" t="str">
        <f ca="1">IFERROR(__xludf.DUMMYFUNCTION("""COMPUTED_VALUE"""),"BUIN")</f>
        <v>BUIN</v>
      </c>
    </row>
    <row r="1252" spans="1:4">
      <c r="A1252" s="7">
        <f ca="1">IFERROR(__xludf.DUMMYFUNCTION("""COMPUTED_VALUE"""),44019)</f>
        <v>44019</v>
      </c>
      <c r="B1252" s="8" t="str">
        <f ca="1">IFERROR(__xludf.DUMMYFUNCTION("""COMPUTED_VALUE"""),"-33.666728,-70.934984")</f>
        <v>-33.666728,-70.934984</v>
      </c>
      <c r="C1252" s="6" t="str">
        <f ca="1">IFERROR(__xludf.DUMMYFUNCTION("""COMPUTED_VALUE"""),"BERNARDO OHIGGINS 1602")</f>
        <v>BERNARDO OHIGGINS 1602</v>
      </c>
      <c r="D1252" s="6" t="str">
        <f ca="1">IFERROR(__xludf.DUMMYFUNCTION("""COMPUTED_VALUE"""),"TALAGANTE")</f>
        <v>TALAGANTE</v>
      </c>
    </row>
    <row r="1253" spans="1:4">
      <c r="A1253" s="7">
        <f ca="1">IFERROR(__xludf.DUMMYFUNCTION("""COMPUTED_VALUE"""),44019)</f>
        <v>44019</v>
      </c>
      <c r="B1253" s="8" t="str">
        <f ca="1">IFERROR(__xludf.DUMMYFUNCTION("""COMPUTED_VALUE"""),"-33.680589,-70.929147")</f>
        <v>-33.680589,-70.929147</v>
      </c>
      <c r="C1253" s="6" t="str">
        <f ca="1">IFERROR(__xludf.DUMMYFUNCTION("""COMPUTED_VALUE"""),"MANUEL RODRIGUEZ 20")</f>
        <v>MANUEL RODRIGUEZ 20</v>
      </c>
      <c r="D1253" s="6" t="str">
        <f ca="1">IFERROR(__xludf.DUMMYFUNCTION("""COMPUTED_VALUE"""),"TALAGANTE")</f>
        <v>TALAGANTE</v>
      </c>
    </row>
    <row r="1254" spans="1:4">
      <c r="A1254" s="7">
        <f ca="1">IFERROR(__xludf.DUMMYFUNCTION("""COMPUTED_VALUE"""),44019)</f>
        <v>44019</v>
      </c>
      <c r="B1254" s="8" t="str">
        <f ca="1">IFERROR(__xludf.DUMMYFUNCTION("""COMPUTED_VALUE"""),"-33.6522086,-70.9035110")</f>
        <v>-33.6522086,-70.9035110</v>
      </c>
      <c r="C1254" s="6" t="str">
        <f ca="1">IFERROR(__xludf.DUMMYFUNCTION("""COMPUTED_VALUE"""),"DOS ORIENTE 591")</f>
        <v>DOS ORIENTE 591</v>
      </c>
      <c r="D1254" s="6" t="str">
        <f ca="1">IFERROR(__xludf.DUMMYFUNCTION("""COMPUTED_VALUE"""),"TALAGANTE")</f>
        <v>TALAGANTE</v>
      </c>
    </row>
    <row r="1255" spans="1:4">
      <c r="A1255" s="7">
        <f ca="1">IFERROR(__xludf.DUMMYFUNCTION("""COMPUTED_VALUE"""),44019)</f>
        <v>44019</v>
      </c>
      <c r="B1255" s="8" t="str">
        <f ca="1">IFERROR(__xludf.DUMMYFUNCTION("""COMPUTED_VALUE"""),"-33.277176,-70.862195")</f>
        <v>-33.277176,-70.862195</v>
      </c>
      <c r="C1255" s="6" t="str">
        <f ca="1">IFERROR(__xludf.DUMMYFUNCTION("""COMPUTED_VALUE"""),"LA CAMPIÑA CENTRAL PARCELA 9A")</f>
        <v>LA CAMPIÑA CENTRAL PARCELA 9A</v>
      </c>
      <c r="D1255" s="6" t="str">
        <f ca="1">IFERROR(__xludf.DUMMYFUNCTION("""COMPUTED_VALUE"""),"LAMPA")</f>
        <v>LAMPA</v>
      </c>
    </row>
    <row r="1256" spans="1:4">
      <c r="A1256" s="7">
        <f ca="1">IFERROR(__xludf.DUMMYFUNCTION("""COMPUTED_VALUE"""),44019)</f>
        <v>44019</v>
      </c>
      <c r="B1256" s="6" t="str">
        <f ca="1">IFERROR(__xludf.DUMMYFUNCTION("""COMPUTED_VALUE"""),"-33.600390-70.886305")</f>
        <v>-33.600390-70.886305</v>
      </c>
      <c r="C1256" s="6" t="str">
        <f ca="1">IFERROR(__xludf.DUMMYFUNCTION("""COMPUTED_VALUE"""),"GABRIELA MISTRAL 574")</f>
        <v>GABRIELA MISTRAL 574</v>
      </c>
      <c r="D1256" s="6" t="str">
        <f ca="1">IFERROR(__xludf.DUMMYFUNCTION("""COMPUTED_VALUE"""),"PEÑAFLOR")</f>
        <v>PEÑAFLOR</v>
      </c>
    </row>
    <row r="1257" spans="1:4">
      <c r="A1257" s="7">
        <f ca="1">IFERROR(__xludf.DUMMYFUNCTION("""COMPUTED_VALUE"""),44019)</f>
        <v>44019</v>
      </c>
      <c r="B1257" s="6" t="str">
        <f ca="1">IFERROR(__xludf.DUMMYFUNCTION("""COMPUTED_VALUE"""),"-33.599687-70.884962")</f>
        <v>-33.599687-70.884962</v>
      </c>
      <c r="C1257" s="6" t="str">
        <f ca="1">IFERROR(__xludf.DUMMYFUNCTION("""COMPUTED_VALUE"""),"UNO ORIENTE 3528")</f>
        <v>UNO ORIENTE 3528</v>
      </c>
      <c r="D1257" s="6" t="str">
        <f ca="1">IFERROR(__xludf.DUMMYFUNCTION("""COMPUTED_VALUE"""),"PEÑAFLOR")</f>
        <v>PEÑAFLOR</v>
      </c>
    </row>
    <row r="1258" spans="1:4">
      <c r="A1258" s="7">
        <f ca="1">IFERROR(__xludf.DUMMYFUNCTION("""COMPUTED_VALUE"""),44019)</f>
        <v>44019</v>
      </c>
      <c r="B1258" s="6" t="str">
        <f ca="1">IFERROR(__xludf.DUMMYFUNCTION("""COMPUTED_VALUE"""),"-33.5992863-70.8829037")</f>
        <v>-33.5992863-70.8829037</v>
      </c>
      <c r="C1258" s="6" t="str">
        <f ca="1">IFERROR(__xludf.DUMMYFUNCTION("""COMPUTED_VALUE"""),"PASAJE UNO 2865")</f>
        <v>PASAJE UNO 2865</v>
      </c>
      <c r="D1258" s="6" t="str">
        <f ca="1">IFERROR(__xludf.DUMMYFUNCTION("""COMPUTED_VALUE"""),"PEÑAFLOR")</f>
        <v>PEÑAFLOR</v>
      </c>
    </row>
    <row r="1259" spans="1:4">
      <c r="A1259" s="7">
        <f ca="1">IFERROR(__xludf.DUMMYFUNCTION("""COMPUTED_VALUE"""),44019)</f>
        <v>44019</v>
      </c>
      <c r="B1259" s="6" t="str">
        <f ca="1">IFERROR(__xludf.DUMMYFUNCTION("""COMPUTED_VALUE"""),"-33.361404-70.776488")</f>
        <v>-33.361404-70.776488</v>
      </c>
      <c r="C1259" s="6" t="str">
        <f ca="1">IFERROR(__xludf.DUMMYFUNCTION("""COMPUTED_VALUE"""),"CAMINO VECINAL LOTE L SANTA SARA")</f>
        <v>CAMINO VECINAL LOTE L SANTA SARA</v>
      </c>
      <c r="D1259" s="6" t="str">
        <f ca="1">IFERROR(__xludf.DUMMYFUNCTION("""COMPUTED_VALUE"""),"LAMPA")</f>
        <v>LAMPA</v>
      </c>
    </row>
    <row r="1260" spans="1:4">
      <c r="A1260" s="7">
        <f ca="1">IFERROR(__xludf.DUMMYFUNCTION("""COMPUTED_VALUE"""),44019)</f>
        <v>44019</v>
      </c>
      <c r="B1260" s="6" t="str">
        <f ca="1">IFERROR(__xludf.DUMMYFUNCTION("""COMPUTED_VALUE"""),"-33.673165,-70.988391")</f>
        <v>-33.673165,-70.988391</v>
      </c>
      <c r="C1260" s="6" t="str">
        <f ca="1">IFERROR(__xludf.DUMMYFUNCTION("""COMPUTED_VALUE"""),"LOS CANELOS 376")</f>
        <v>LOS CANELOS 376</v>
      </c>
      <c r="D1260" s="6" t="str">
        <f ca="1">IFERROR(__xludf.DUMMYFUNCTION("""COMPUTED_VALUE"""),"EL MONTE")</f>
        <v>EL MONTE</v>
      </c>
    </row>
    <row r="1261" spans="1:4">
      <c r="A1261" s="7">
        <f ca="1">IFERROR(__xludf.DUMMYFUNCTION("""COMPUTED_VALUE"""),44019)</f>
        <v>44019</v>
      </c>
      <c r="B1261" s="6" t="str">
        <f ca="1">IFERROR(__xludf.DUMMYFUNCTION("""COMPUTED_VALUE"""),"-33.694846,-71.021191")</f>
        <v>-33.694846,-71.021191</v>
      </c>
      <c r="C1261" s="6" t="str">
        <f ca="1">IFERROR(__xludf.DUMMYFUNCTION("""COMPUTED_VALUE"""),"LOS COPIHUES 1179")</f>
        <v>LOS COPIHUES 1179</v>
      </c>
      <c r="D1261" s="6" t="str">
        <f ca="1">IFERROR(__xludf.DUMMYFUNCTION("""COMPUTED_VALUE"""),"EL MONTE")</f>
        <v>EL MONTE</v>
      </c>
    </row>
    <row r="1262" spans="1:4">
      <c r="A1262" s="7">
        <f ca="1">IFERROR(__xludf.DUMMYFUNCTION("""COMPUTED_VALUE"""),44019)</f>
        <v>44019</v>
      </c>
      <c r="B1262" s="6" t="str">
        <f ca="1">IFERROR(__xludf.DUMMYFUNCTION("""COMPUTED_VALUE"""),"-33.679787,-70.995767")</f>
        <v>-33.679787,-70.995767</v>
      </c>
      <c r="C1262" s="6" t="str">
        <f ca="1">IFERROR(__xludf.DUMMYFUNCTION("""COMPUTED_VALUE"""),"BAQUEDANO 783")</f>
        <v>BAQUEDANO 783</v>
      </c>
      <c r="D1262" s="6" t="str">
        <f ca="1">IFERROR(__xludf.DUMMYFUNCTION("""COMPUTED_VALUE"""),"EL MONTE")</f>
        <v>EL MONTE</v>
      </c>
    </row>
    <row r="1263" spans="1:4">
      <c r="A1263" s="7">
        <f ca="1">IFERROR(__xludf.DUMMYFUNCTION("""COMPUTED_VALUE"""),44019)</f>
        <v>44019</v>
      </c>
      <c r="B1263" s="6" t="str">
        <f ca="1">IFERROR(__xludf.DUMMYFUNCTION("""COMPUTED_VALUE"""),"-33.676572,-70.974623")</f>
        <v>-33.676572,-70.974623</v>
      </c>
      <c r="C1263" s="6" t="str">
        <f ca="1">IFERROR(__xludf.DUMMYFUNCTION("""COMPUTED_VALUE"""),"FRANCISCO DE PAULAS 44")</f>
        <v>FRANCISCO DE PAULAS 44</v>
      </c>
      <c r="D1263" s="6" t="str">
        <f ca="1">IFERROR(__xludf.DUMMYFUNCTION("""COMPUTED_VALUE"""),"EL MONTE")</f>
        <v>EL MONTE</v>
      </c>
    </row>
    <row r="1264" spans="1:4">
      <c r="A1264" s="7">
        <f ca="1">IFERROR(__xludf.DUMMYFUNCTION("""COMPUTED_VALUE"""),44019)</f>
        <v>44019</v>
      </c>
      <c r="B1264" s="6" t="str">
        <f ca="1">IFERROR(__xludf.DUMMYFUNCTION("""COMPUTED_VALUE"""),"-33.680030,-70.997621")</f>
        <v>-33.680030,-70.997621</v>
      </c>
      <c r="C1264" s="6" t="str">
        <f ca="1">IFERROR(__xludf.DUMMYFUNCTION("""COMPUTED_VALUE"""),"BAQUEDANO 755")</f>
        <v>BAQUEDANO 755</v>
      </c>
      <c r="D1264" s="6" t="str">
        <f ca="1">IFERROR(__xludf.DUMMYFUNCTION("""COMPUTED_VALUE"""),"EL MONTE")</f>
        <v>EL MONTE</v>
      </c>
    </row>
    <row r="1265" spans="1:4">
      <c r="A1265" s="7">
        <f ca="1">IFERROR(__xludf.DUMMYFUNCTION("""COMPUTED_VALUE"""),44019)</f>
        <v>44019</v>
      </c>
      <c r="B1265" s="6" t="str">
        <f ca="1">IFERROR(__xludf.DUMMYFUNCTION("""COMPUTED_VALUE"""),"-33.611821,-70.792312")</f>
        <v>-33.611821,-70.792312</v>
      </c>
      <c r="C1265" s="6" t="str">
        <f ca="1">IFERROR(__xludf.DUMMYFUNCTION("""COMPUTED_VALUE"""),"EL MANZANO 1241")</f>
        <v>EL MANZANO 1241</v>
      </c>
      <c r="D1265" s="6" t="str">
        <f ca="1">IFERROR(__xludf.DUMMYFUNCTION("""COMPUTED_VALUE"""),"EL MONTE")</f>
        <v>EL MONTE</v>
      </c>
    </row>
    <row r="1266" spans="1:4">
      <c r="A1266" s="7">
        <f ca="1">IFERROR(__xludf.DUMMYFUNCTION("""COMPUTED_VALUE"""),44019)</f>
        <v>44019</v>
      </c>
      <c r="B1266" s="6" t="str">
        <f ca="1">IFERROR(__xludf.DUMMYFUNCTION("""COMPUTED_VALUE"""),"-33.284196 - 70.765453")</f>
        <v>-33.284196 - 70.765453</v>
      </c>
      <c r="C1266" s="6" t="str">
        <f ca="1">IFERROR(__xludf.DUMMYFUNCTION("""COMPUTED_VALUE"""),"LO SOLAR SITIO 4 PARCELA 7 C/5 ")</f>
        <v xml:space="preserve">LO SOLAR SITIO 4 PARCELA 7 C/5 </v>
      </c>
      <c r="D1266" s="6" t="str">
        <f ca="1">IFERROR(__xludf.DUMMYFUNCTION("""COMPUTED_VALUE"""),"LAMPA")</f>
        <v>LAMPA</v>
      </c>
    </row>
    <row r="1267" spans="1:4">
      <c r="A1267" s="7">
        <f ca="1">IFERROR(__xludf.DUMMYFUNCTION("""COMPUTED_VALUE"""),44020)</f>
        <v>44020</v>
      </c>
      <c r="B1267" s="8" t="str">
        <f ca="1">IFERROR(__xludf.DUMMYFUNCTION("""COMPUTED_VALUE"""),"-33.725224,-70.737551")</f>
        <v>-33.725224,-70.737551</v>
      </c>
      <c r="C1267" s="6" t="str">
        <f ca="1">IFERROR(__xludf.DUMMYFUNCTION("""COMPUTED_VALUE"""),"MARIA GONZALEZ ARRUE 98")</f>
        <v>MARIA GONZALEZ ARRUE 98</v>
      </c>
      <c r="D1267" s="6" t="str">
        <f ca="1">IFERROR(__xludf.DUMMYFUNCTION("""COMPUTED_VALUE"""),"BUIN")</f>
        <v>BUIN</v>
      </c>
    </row>
    <row r="1268" spans="1:4">
      <c r="A1268" s="7">
        <f ca="1">IFERROR(__xludf.DUMMYFUNCTION("""COMPUTED_VALUE"""),44020)</f>
        <v>44020</v>
      </c>
      <c r="B1268" s="8" t="str">
        <f ca="1">IFERROR(__xludf.DUMMYFUNCTION("""COMPUTED_VALUE"""),"-33.662106,-70.665067")</f>
        <v>-33.662106,-70.665067</v>
      </c>
      <c r="C1268" s="6" t="str">
        <f ca="1">IFERROR(__xludf.DUMMYFUNCTION("""COMPUTED_VALUE"""),"LOS ARENEROS 116")</f>
        <v>LOS ARENEROS 116</v>
      </c>
      <c r="D1268" s="6" t="str">
        <f ca="1">IFERROR(__xludf.DUMMYFUNCTION("""COMPUTED_VALUE"""),"BUIN")</f>
        <v>BUIN</v>
      </c>
    </row>
    <row r="1269" spans="1:4">
      <c r="A1269" s="7">
        <f ca="1">IFERROR(__xludf.DUMMYFUNCTION("""COMPUTED_VALUE"""),44020)</f>
        <v>44020</v>
      </c>
      <c r="B1269" s="8" t="str">
        <f ca="1">IFERROR(__xludf.DUMMYFUNCTION("""COMPUTED_VALUE"""),"-33.732437,-70.741504")</f>
        <v>-33.732437,-70.741504</v>
      </c>
      <c r="C1269" s="6" t="str">
        <f ca="1">IFERROR(__xludf.DUMMYFUNCTION("""COMPUTED_VALUE"""),"JOSE BALMACEDA 402")</f>
        <v>JOSE BALMACEDA 402</v>
      </c>
      <c r="D1269" s="6" t="str">
        <f ca="1">IFERROR(__xludf.DUMMYFUNCTION("""COMPUTED_VALUE"""),"BUIN")</f>
        <v>BUIN</v>
      </c>
    </row>
    <row r="1270" spans="1:4">
      <c r="A1270" s="7">
        <f ca="1">IFERROR(__xludf.DUMMYFUNCTION("""COMPUTED_VALUE"""),44020)</f>
        <v>44020</v>
      </c>
      <c r="B1270" s="8" t="str">
        <f ca="1">IFERROR(__xludf.DUMMYFUNCTION("""COMPUTED_VALUE"""),"-33..664681,-70.920327")</f>
        <v>-33..664681,-70.920327</v>
      </c>
      <c r="C1270" s="6" t="str">
        <f ca="1">IFERROR(__xludf.DUMMYFUNCTION("""COMPUTED_VALUE"""),"PASAJE OCHO 562")</f>
        <v>PASAJE OCHO 562</v>
      </c>
      <c r="D1270" s="6" t="str">
        <f ca="1">IFERROR(__xludf.DUMMYFUNCTION("""COMPUTED_VALUE"""),"TALAGANTE")</f>
        <v>TALAGANTE</v>
      </c>
    </row>
    <row r="1271" spans="1:4">
      <c r="A1271" s="7">
        <f ca="1">IFERROR(__xludf.DUMMYFUNCTION("""COMPUTED_VALUE"""),44020)</f>
        <v>44020</v>
      </c>
      <c r="B1271" s="6" t="str">
        <f ca="1">IFERROR(__xludf.DUMMYFUNCTION("""COMPUTED_VALUE"""),"-33.326022-70.767216")</f>
        <v>-33.326022-70.767216</v>
      </c>
      <c r="C1271" s="6" t="str">
        <f ca="1">IFERROR(__xludf.DUMMYFUNCTION("""COMPUTED_VALUE"""),"LA CAÑADA 376")</f>
        <v>LA CAÑADA 376</v>
      </c>
      <c r="D1271" s="6" t="str">
        <f ca="1">IFERROR(__xludf.DUMMYFUNCTION("""COMPUTED_VALUE"""),"LAMPA")</f>
        <v>LAMPA</v>
      </c>
    </row>
    <row r="1272" spans="1:4">
      <c r="A1272" s="7">
        <f ca="1">IFERROR(__xludf.DUMMYFUNCTION("""COMPUTED_VALUE"""),44020)</f>
        <v>44020</v>
      </c>
      <c r="B1272" s="6" t="str">
        <f ca="1">IFERROR(__xludf.DUMMYFUNCTION("""COMPUTED_VALUE"""),"-33.326022-70.767216")</f>
        <v>-33.326022-70.767216</v>
      </c>
      <c r="C1272" s="6" t="str">
        <f ca="1">IFERROR(__xludf.DUMMYFUNCTION("""COMPUTED_VALUE"""),"LA CAÑADA 376")</f>
        <v>LA CAÑADA 376</v>
      </c>
      <c r="D1272" s="6" t="str">
        <f ca="1">IFERROR(__xludf.DUMMYFUNCTION("""COMPUTED_VALUE"""),"LAMPA")</f>
        <v>LAMPA</v>
      </c>
    </row>
    <row r="1273" spans="1:4">
      <c r="A1273" s="7">
        <f ca="1">IFERROR(__xludf.DUMMYFUNCTION("""COMPUTED_VALUE"""),44020)</f>
        <v>44020</v>
      </c>
      <c r="B1273" s="6" t="str">
        <f ca="1">IFERROR(__xludf.DUMMYFUNCTION("""COMPUTED_VALUE"""),"-33.667845,-71.045142")</f>
        <v>-33.667845,-71.045142</v>
      </c>
      <c r="C1273" s="6" t="str">
        <f ca="1">IFERROR(__xludf.DUMMYFUNCTION("""COMPUTED_VALUE"""),"DAICO ALTO 9B")</f>
        <v>DAICO ALTO 9B</v>
      </c>
      <c r="D1273" s="6" t="str">
        <f ca="1">IFERROR(__xludf.DUMMYFUNCTION("""COMPUTED_VALUE"""),"EL MONTE")</f>
        <v>EL MONTE</v>
      </c>
    </row>
    <row r="1274" spans="1:4">
      <c r="A1274" s="7">
        <f ca="1">IFERROR(__xludf.DUMMYFUNCTION("""COMPUTED_VALUE"""),44020)</f>
        <v>44020</v>
      </c>
      <c r="B1274" s="6" t="str">
        <f ca="1">IFERROR(__xludf.DUMMYFUNCTION("""COMPUTED_VALUE"""),"-33.688598,-71.044022")</f>
        <v>-33.688598,-71.044022</v>
      </c>
      <c r="C1274" s="6" t="str">
        <f ca="1">IFERROR(__xludf.DUMMYFUNCTION("""COMPUTED_VALUE"""),"LOS CARRERAS 591")</f>
        <v>LOS CARRERAS 591</v>
      </c>
      <c r="D1274" s="6" t="str">
        <f ca="1">IFERROR(__xludf.DUMMYFUNCTION("""COMPUTED_VALUE"""),"EL MONTE")</f>
        <v>EL MONTE</v>
      </c>
    </row>
    <row r="1275" spans="1:4">
      <c r="A1275" s="7">
        <f ca="1">IFERROR(__xludf.DUMMYFUNCTION("""COMPUTED_VALUE"""),44020)</f>
        <v>44020</v>
      </c>
      <c r="B1275" s="6" t="str">
        <f ca="1">IFERROR(__xludf.DUMMYFUNCTION("""COMPUTED_VALUE"""),"-33.684095,-71.990724")</f>
        <v>-33.684095,-71.990724</v>
      </c>
      <c r="C1275" s="6" t="str">
        <f ca="1">IFERROR(__xludf.DUMMYFUNCTION("""COMPUTED_VALUE"""),"AV. LIBERTADORES 884")</f>
        <v>AV. LIBERTADORES 884</v>
      </c>
      <c r="D1275" s="6" t="str">
        <f ca="1">IFERROR(__xludf.DUMMYFUNCTION("""COMPUTED_VALUE"""),"EL MONTE")</f>
        <v>EL MONTE</v>
      </c>
    </row>
    <row r="1276" spans="1:4">
      <c r="A1276" s="7">
        <f ca="1">IFERROR(__xludf.DUMMYFUNCTION("""COMPUTED_VALUE"""),44020)</f>
        <v>44020</v>
      </c>
      <c r="B1276" s="6" t="str">
        <f ca="1">IFERROR(__xludf.DUMMYFUNCTION("""COMPUTED_VALUE"""),"-33.473790,-70.687922")</f>
        <v>-33.473790,-70.687922</v>
      </c>
      <c r="C1276" s="6" t="str">
        <f ca="1">IFERROR(__xludf.DUMMYFUNCTION("""COMPUTED_VALUE"""),"SANTA ADRIANA PARC12")</f>
        <v>SANTA ADRIANA PARC12</v>
      </c>
      <c r="D1276" s="6" t="str">
        <f ca="1">IFERROR(__xludf.DUMMYFUNCTION("""COMPUTED_VALUE"""),"EL MONTE")</f>
        <v>EL MONTE</v>
      </c>
    </row>
    <row r="1277" spans="1:4">
      <c r="A1277" s="7">
        <f ca="1">IFERROR(__xludf.DUMMYFUNCTION("""COMPUTED_VALUE"""),44020)</f>
        <v>44020</v>
      </c>
      <c r="B1277" s="6" t="str">
        <f ca="1">IFERROR(__xludf.DUMMYFUNCTION("""COMPUTED_VALUE"""),"-33.686747,-71.003245")</f>
        <v>-33.686747,-71.003245</v>
      </c>
      <c r="C1277" s="6" t="str">
        <f ca="1">IFERROR(__xludf.DUMMYFUNCTION("""COMPUTED_VALUE"""),"LLOPEO 302")</f>
        <v>LLOPEO 302</v>
      </c>
      <c r="D1277" s="6" t="str">
        <f ca="1">IFERROR(__xludf.DUMMYFUNCTION("""COMPUTED_VALUE"""),"EL MONTE")</f>
        <v>EL MONTE</v>
      </c>
    </row>
    <row r="1278" spans="1:4">
      <c r="A1278" s="7">
        <f ca="1">IFERROR(__xludf.DUMMYFUNCTION("""COMPUTED_VALUE"""),44020)</f>
        <v>44020</v>
      </c>
      <c r="B1278" s="6" t="str">
        <f ca="1">IFERROR(__xludf.DUMMYFUNCTION("""COMPUTED_VALUE"""),"-33.690887,-71.038697")</f>
        <v>-33.690887,-71.038697</v>
      </c>
      <c r="C1278" s="6" t="str">
        <f ca="1">IFERROR(__xludf.DUMMYFUNCTION("""COMPUTED_VALUE"""),"CAMINO EL PAIQUITO 240")</f>
        <v>CAMINO EL PAIQUITO 240</v>
      </c>
      <c r="D1278" s="6" t="str">
        <f ca="1">IFERROR(__xludf.DUMMYFUNCTION("""COMPUTED_VALUE"""),"EL MONTE")</f>
        <v>EL MONTE</v>
      </c>
    </row>
    <row r="1279" spans="1:4">
      <c r="A1279" s="7">
        <f ca="1">IFERROR(__xludf.DUMMYFUNCTION("""COMPUTED_VALUE"""),44021)</f>
        <v>44021</v>
      </c>
      <c r="B1279" s="8" t="str">
        <f ca="1">IFERROR(__xludf.DUMMYFUNCTION("""COMPUTED_VALUE"""),"-33.651425,-70.925448")</f>
        <v>-33.651425,-70.925448</v>
      </c>
      <c r="C1279" s="6" t="str">
        <f ca="1">IFERROR(__xludf.DUMMYFUNCTION("""COMPUTED_VALUE"""),"CUATRO DE SEPTIEMBRE 219")</f>
        <v>CUATRO DE SEPTIEMBRE 219</v>
      </c>
      <c r="D1279" s="6" t="str">
        <f ca="1">IFERROR(__xludf.DUMMYFUNCTION("""COMPUTED_VALUE"""),"TALAGANTE")</f>
        <v>TALAGANTE</v>
      </c>
    </row>
    <row r="1280" spans="1:4">
      <c r="A1280" s="7">
        <f ca="1">IFERROR(__xludf.DUMMYFUNCTION("""COMPUTED_VALUE"""),44021)</f>
        <v>44021</v>
      </c>
      <c r="B1280" s="8" t="str">
        <f ca="1">IFERROR(__xludf.DUMMYFUNCTION("""COMPUTED_VALUE"""),"-33.650826,-70.924556")</f>
        <v>-33.650826,-70.924556</v>
      </c>
      <c r="C1280" s="6" t="str">
        <f ca="1">IFERROR(__xludf.DUMMYFUNCTION("""COMPUTED_VALUE"""),"CUATRO DE SEPTIEMBRE 165")</f>
        <v>CUATRO DE SEPTIEMBRE 165</v>
      </c>
      <c r="D1280" s="6" t="str">
        <f ca="1">IFERROR(__xludf.DUMMYFUNCTION("""COMPUTED_VALUE"""),"TALAGANTE")</f>
        <v>TALAGANTE</v>
      </c>
    </row>
    <row r="1281" spans="1:4">
      <c r="A1281" s="7">
        <f ca="1">IFERROR(__xludf.DUMMYFUNCTION("""COMPUTED_VALUE"""),44021)</f>
        <v>44021</v>
      </c>
      <c r="B1281" s="8" t="str">
        <f ca="1">IFERROR(__xludf.DUMMYFUNCTION("""COMPUTED_VALUE"""),"-33.679439,-70.947781")</f>
        <v>-33.679439,-70.947781</v>
      </c>
      <c r="C1281" s="6" t="str">
        <f ca="1">IFERROR(__xludf.DUMMYFUNCTION("""COMPUTED_VALUE"""),"PASAJE ROBERTO SIMPSON 2975")</f>
        <v>PASAJE ROBERTO SIMPSON 2975</v>
      </c>
      <c r="D1281" s="6" t="str">
        <f ca="1">IFERROR(__xludf.DUMMYFUNCTION("""COMPUTED_VALUE"""),"TALAGANTE")</f>
        <v>TALAGANTE</v>
      </c>
    </row>
    <row r="1282" spans="1:4">
      <c r="A1282" s="7">
        <f ca="1">IFERROR(__xludf.DUMMYFUNCTION("""COMPUTED_VALUE"""),44021)</f>
        <v>44021</v>
      </c>
      <c r="B1282" s="8" t="str">
        <f ca="1">IFERROR(__xludf.DUMMYFUNCTION("""COMPUTED_VALUE"""),"-33.662103,-70.664434")</f>
        <v>-33.662103,-70.664434</v>
      </c>
      <c r="C1282" s="6" t="str">
        <f ca="1">IFERROR(__xludf.DUMMYFUNCTION("""COMPUTED_VALUE"""),"GAVIONES 159")</f>
        <v>GAVIONES 159</v>
      </c>
      <c r="D1282" s="6" t="str">
        <f ca="1">IFERROR(__xludf.DUMMYFUNCTION("""COMPUTED_VALUE"""),"BUIN")</f>
        <v>BUIN</v>
      </c>
    </row>
    <row r="1283" spans="1:4">
      <c r="A1283" s="7">
        <f ca="1">IFERROR(__xludf.DUMMYFUNCTION("""COMPUTED_VALUE"""),44021)</f>
        <v>44021</v>
      </c>
      <c r="B1283" s="8" t="str">
        <f ca="1">IFERROR(__xludf.DUMMYFUNCTION("""COMPUTED_VALUE"""),"-33.714597,-70.737934")</f>
        <v>-33.714597,-70.737934</v>
      </c>
      <c r="C1283" s="6" t="str">
        <f ca="1">IFERROR(__xludf.DUMMYFUNCTION("""COMPUTED_VALUE"""),"EL AMARRE 01409")</f>
        <v>EL AMARRE 01409</v>
      </c>
      <c r="D1283" s="6" t="str">
        <f ca="1">IFERROR(__xludf.DUMMYFUNCTION("""COMPUTED_VALUE"""),"BUIN")</f>
        <v>BUIN</v>
      </c>
    </row>
    <row r="1284" spans="1:4">
      <c r="A1284" s="7">
        <f ca="1">IFERROR(__xludf.DUMMYFUNCTION("""COMPUTED_VALUE"""),44021)</f>
        <v>44021</v>
      </c>
      <c r="B1284" s="8" t="str">
        <f ca="1">IFERROR(__xludf.DUMMYFUNCTION("""COMPUTED_VALUE"""),"-33.702477,-70.675463")</f>
        <v>-33.702477,-70.675463</v>
      </c>
      <c r="C1284" s="6" t="str">
        <f ca="1">IFERROR(__xludf.DUMMYFUNCTION("""COMPUTED_VALUE"""),"CAMINO PADRE HURTADO SITIO 15")</f>
        <v>CAMINO PADRE HURTADO SITIO 15</v>
      </c>
      <c r="D1284" s="6" t="str">
        <f ca="1">IFERROR(__xludf.DUMMYFUNCTION("""COMPUTED_VALUE"""),"BUIN")</f>
        <v>BUIN</v>
      </c>
    </row>
    <row r="1285" spans="1:4">
      <c r="A1285" s="7">
        <f ca="1">IFERROR(__xludf.DUMMYFUNCTION("""COMPUTED_VALUE"""),44021)</f>
        <v>44021</v>
      </c>
      <c r="B1285" s="6" t="str">
        <f ca="1">IFERROR(__xludf.DUMMYFUNCTION("""COMPUTED_VALUE"""),"-33.616267-70.904098")</f>
        <v>-33.616267-70.904098</v>
      </c>
      <c r="C1285" s="6" t="str">
        <f ca="1">IFERROR(__xludf.DUMMYFUNCTION("""COMPUTED_VALUE"""),"PJE. SOCIO JONATHAN BRAVO 3873")</f>
        <v>PJE. SOCIO JONATHAN BRAVO 3873</v>
      </c>
      <c r="D1285" s="6" t="str">
        <f ca="1">IFERROR(__xludf.DUMMYFUNCTION("""COMPUTED_VALUE"""),"PEÑAFLOR")</f>
        <v>PEÑAFLOR</v>
      </c>
    </row>
    <row r="1286" spans="1:4">
      <c r="A1286" s="7">
        <f ca="1">IFERROR(__xludf.DUMMYFUNCTION("""COMPUTED_VALUE"""),44021)</f>
        <v>44021</v>
      </c>
      <c r="B1286" s="6" t="str">
        <f ca="1">IFERROR(__xludf.DUMMYFUNCTION("""COMPUTED_VALUE"""),"-33.611584-70.859995")</f>
        <v>-33.611584-70.859995</v>
      </c>
      <c r="C1286" s="6" t="str">
        <f ca="1">IFERROR(__xludf.DUMMYFUNCTION("""COMPUTED_VALUE"""),"TORIBIO LARRAIN 1232")</f>
        <v>TORIBIO LARRAIN 1232</v>
      </c>
      <c r="D1286" s="6" t="str">
        <f ca="1">IFERROR(__xludf.DUMMYFUNCTION("""COMPUTED_VALUE"""),"PEÑAFLOR")</f>
        <v>PEÑAFLOR</v>
      </c>
    </row>
    <row r="1287" spans="1:4">
      <c r="A1287" s="7">
        <f ca="1">IFERROR(__xludf.DUMMYFUNCTION("""COMPUTED_VALUE"""),44021)</f>
        <v>44021</v>
      </c>
      <c r="B1287" s="6" t="str">
        <f ca="1">IFERROR(__xludf.DUMMYFUNCTION("""COMPUTED_VALUE"""),"-33.5985358-70.8834977")</f>
        <v>-33.5985358-70.8834977</v>
      </c>
      <c r="C1287" s="6" t="str">
        <f ca="1">IFERROR(__xludf.DUMMYFUNCTION("""COMPUTED_VALUE"""),"AV. LARRAIN 2964 CASA 8")</f>
        <v>AV. LARRAIN 2964 CASA 8</v>
      </c>
      <c r="D1287" s="6" t="str">
        <f ca="1">IFERROR(__xludf.DUMMYFUNCTION("""COMPUTED_VALUE"""),"PEÑAFLOR")</f>
        <v>PEÑAFLOR</v>
      </c>
    </row>
    <row r="1288" spans="1:4">
      <c r="A1288" s="7">
        <f ca="1">IFERROR(__xludf.DUMMYFUNCTION("""COMPUTED_VALUE"""),44021)</f>
        <v>44021</v>
      </c>
      <c r="B1288" s="6" t="str">
        <f ca="1">IFERROR(__xludf.DUMMYFUNCTION("""COMPUTED_VALUE"""),"-33.5985358-70.8834977")</f>
        <v>-33.5985358-70.8834977</v>
      </c>
      <c r="C1288" s="6" t="str">
        <f ca="1">IFERROR(__xludf.DUMMYFUNCTION("""COMPUTED_VALUE"""),"AV. LARRAIN 2964 CASA 8")</f>
        <v>AV. LARRAIN 2964 CASA 8</v>
      </c>
      <c r="D1288" s="6" t="str">
        <f ca="1">IFERROR(__xludf.DUMMYFUNCTION("""COMPUTED_VALUE"""),"PEÑAFLOR")</f>
        <v>PEÑAFLOR</v>
      </c>
    </row>
    <row r="1289" spans="1:4">
      <c r="A1289" s="7">
        <f ca="1">IFERROR(__xludf.DUMMYFUNCTION("""COMPUTED_VALUE"""),44021)</f>
        <v>44021</v>
      </c>
      <c r="B1289" s="6" t="str">
        <f ca="1">IFERROR(__xludf.DUMMYFUNCTION("""COMPUTED_VALUE"""),"-33.278696,-70.884472")</f>
        <v>-33.278696,-70.884472</v>
      </c>
      <c r="C1289" s="6" t="str">
        <f ca="1">IFERROR(__xludf.DUMMYFUNCTION("""COMPUTED_VALUE"""),"PJ BALDOMERO LILLO 55")</f>
        <v>PJ BALDOMERO LILLO 55</v>
      </c>
      <c r="D1289" s="6" t="str">
        <f ca="1">IFERROR(__xludf.DUMMYFUNCTION("""COMPUTED_VALUE"""),"LAMPA")</f>
        <v>LAMPA</v>
      </c>
    </row>
    <row r="1290" spans="1:4">
      <c r="A1290" s="7">
        <f ca="1">IFERROR(__xludf.DUMMYFUNCTION("""COMPUTED_VALUE"""),44021)</f>
        <v>44021</v>
      </c>
      <c r="B1290" s="6" t="str">
        <f ca="1">IFERROR(__xludf.DUMMYFUNCTION("""COMPUTED_VALUE"""),"-33.317658,-70.845977")</f>
        <v>-33.317658,-70.845977</v>
      </c>
      <c r="C1290" s="6" t="str">
        <f ca="1">IFERROR(__xludf.DUMMYFUNCTION("""COMPUTED_VALUE"""),"PASAJE EL COBRE 30")</f>
        <v>PASAJE EL COBRE 30</v>
      </c>
      <c r="D1290" s="6" t="str">
        <f ca="1">IFERROR(__xludf.DUMMYFUNCTION("""COMPUTED_VALUE"""),"LAMPA")</f>
        <v>LAMPA</v>
      </c>
    </row>
    <row r="1291" spans="1:4">
      <c r="A1291" s="7">
        <f ca="1">IFERROR(__xludf.DUMMYFUNCTION("""COMPUTED_VALUE"""),44021)</f>
        <v>44021</v>
      </c>
      <c r="B1291" s="6" t="str">
        <f ca="1">IFERROR(__xludf.DUMMYFUNCTION("""COMPUTED_VALUE"""),"-33.287954,-70.878012")</f>
        <v>-33.287954,-70.878012</v>
      </c>
      <c r="C1291" s="6" t="str">
        <f ca="1">IFERROR(__xludf.DUMMYFUNCTION("""COMPUTED_VALUE"""),"ALC JOSE SOLANO BERNAL 24")</f>
        <v>ALC JOSE SOLANO BERNAL 24</v>
      </c>
      <c r="D1291" s="6" t="str">
        <f ca="1">IFERROR(__xludf.DUMMYFUNCTION("""COMPUTED_VALUE"""),"LAMPA")</f>
        <v>LAMPA</v>
      </c>
    </row>
    <row r="1292" spans="1:4">
      <c r="A1292" s="7">
        <f ca="1">IFERROR(__xludf.DUMMYFUNCTION("""COMPUTED_VALUE"""),44021)</f>
        <v>44021</v>
      </c>
      <c r="B1292" s="6" t="str">
        <f ca="1">IFERROR(__xludf.DUMMYFUNCTION("""COMPUTED_VALUE"""),"-33.317658,-70.845977")</f>
        <v>-33.317658,-70.845977</v>
      </c>
      <c r="C1292" s="6" t="str">
        <f ca="1">IFERROR(__xludf.DUMMYFUNCTION("""COMPUTED_VALUE"""),"CALLE LOS LOTOS 2569")</f>
        <v>CALLE LOS LOTOS 2569</v>
      </c>
      <c r="D1292" s="6" t="str">
        <f ca="1">IFERROR(__xludf.DUMMYFUNCTION("""COMPUTED_VALUE"""),"LAMPA")</f>
        <v>LAMPA</v>
      </c>
    </row>
    <row r="1293" spans="1:4">
      <c r="A1293" s="7">
        <f ca="1">IFERROR(__xludf.DUMMYFUNCTION("""COMPUTED_VALUE"""),44021)</f>
        <v>44021</v>
      </c>
      <c r="B1293" s="6" t="str">
        <f ca="1">IFERROR(__xludf.DUMMYFUNCTION("""COMPUTED_VALUE"""),"-33.317715,-70.846623")</f>
        <v>-33.317715,-70.846623</v>
      </c>
      <c r="C1293" s="6" t="str">
        <f ca="1">IFERROR(__xludf.DUMMYFUNCTION("""COMPUTED_VALUE"""),"CAMINO SERVIDUMBRE S/N PARC 109 LOTE 3")</f>
        <v>CAMINO SERVIDUMBRE S/N PARC 109 LOTE 3</v>
      </c>
      <c r="D1293" s="6" t="str">
        <f ca="1">IFERROR(__xludf.DUMMYFUNCTION("""COMPUTED_VALUE"""),"LAMPA")</f>
        <v>LAMPA</v>
      </c>
    </row>
    <row r="1294" spans="1:4">
      <c r="A1294" s="7">
        <f ca="1">IFERROR(__xludf.DUMMYFUNCTION("""COMPUTED_VALUE"""),44021)</f>
        <v>44021</v>
      </c>
      <c r="B1294" s="6" t="str">
        <f ca="1">IFERROR(__xludf.DUMMYFUNCTION("""COMPUTED_VALUE"""),"-33.182662,-70.657051")</f>
        <v>-33.182662,-70.657051</v>
      </c>
      <c r="C1294" s="6" t="str">
        <f ca="1">IFERROR(__xludf.DUMMYFUNCTION("""COMPUTED_VALUE"""),"PJE. SAN JUAN 0443")</f>
        <v>PJE. SAN JUAN 0443</v>
      </c>
      <c r="D1294" s="6" t="str">
        <f ca="1">IFERROR(__xludf.DUMMYFUNCTION("""COMPUTED_VALUE"""),"COLINA")</f>
        <v>COLINA</v>
      </c>
    </row>
    <row r="1295" spans="1:4">
      <c r="A1295" s="7">
        <f ca="1">IFERROR(__xludf.DUMMYFUNCTION("""COMPUTED_VALUE"""),44021)</f>
        <v>44021</v>
      </c>
      <c r="B1295" s="6" t="str">
        <f ca="1">IFERROR(__xludf.DUMMYFUNCTION("""COMPUTED_VALUE"""),"-33.186624,-70.668723")</f>
        <v>-33.186624,-70.668723</v>
      </c>
      <c r="C1295" s="6" t="str">
        <f ca="1">IFERROR(__xludf.DUMMYFUNCTION("""COMPUTED_VALUE"""),"AYUDANTE MAYOR AGUSTIN CASANOVA 42")</f>
        <v>AYUDANTE MAYOR AGUSTIN CASANOVA 42</v>
      </c>
      <c r="D1295" s="6" t="str">
        <f ca="1">IFERROR(__xludf.DUMMYFUNCTION("""COMPUTED_VALUE"""),"COLINA")</f>
        <v>COLINA</v>
      </c>
    </row>
    <row r="1296" spans="1:4">
      <c r="A1296" s="7">
        <f ca="1">IFERROR(__xludf.DUMMYFUNCTION("""COMPUTED_VALUE"""),44021)</f>
        <v>44021</v>
      </c>
      <c r="B1296" s="6" t="str">
        <f ca="1">IFERROR(__xludf.DUMMYFUNCTION("""COMPUTED_VALUE"""),"-33.688791,-71.029756")</f>
        <v>-33.688791,-71.029756</v>
      </c>
      <c r="C1296" s="6" t="str">
        <f ca="1">IFERROR(__xludf.DUMMYFUNCTION("""COMPUTED_VALUE"""),"EL CARMEN 088")</f>
        <v>EL CARMEN 088</v>
      </c>
      <c r="D1296" s="6" t="str">
        <f ca="1">IFERROR(__xludf.DUMMYFUNCTION("""COMPUTED_VALUE"""),"EL MONTE")</f>
        <v>EL MONTE</v>
      </c>
    </row>
    <row r="1297" spans="1:4">
      <c r="A1297" s="7">
        <f ca="1">IFERROR(__xludf.DUMMYFUNCTION("""COMPUTED_VALUE"""),44021)</f>
        <v>44021</v>
      </c>
      <c r="B1297" s="6" t="str">
        <f ca="1">IFERROR(__xludf.DUMMYFUNCTION("""COMPUTED_VALUE"""),"-33.680852,-70.999235")</f>
        <v>-33.680852,-70.999235</v>
      </c>
      <c r="C1297" s="6" t="str">
        <f ca="1">IFERROR(__xludf.DUMMYFUNCTION("""COMPUTED_VALUE"""),"4 SUR 841")</f>
        <v>4 SUR 841</v>
      </c>
      <c r="D1297" s="6" t="str">
        <f ca="1">IFERROR(__xludf.DUMMYFUNCTION("""COMPUTED_VALUE"""),"EL MONTE")</f>
        <v>EL MONTE</v>
      </c>
    </row>
    <row r="1298" spans="1:4">
      <c r="A1298" s="7">
        <f ca="1">IFERROR(__xludf.DUMMYFUNCTION("""COMPUTED_VALUE"""),44021)</f>
        <v>44021</v>
      </c>
      <c r="B1298" s="6" t="str">
        <f ca="1">IFERROR(__xludf.DUMMYFUNCTION("""COMPUTED_VALUE"""),"-33699285,-71.055006")</f>
        <v>-33699285,-71.055006</v>
      </c>
      <c r="C1298" s="6" t="str">
        <f ca="1">IFERROR(__xludf.DUMMYFUNCTION("""COMPUTED_VALUE"""),"NAZARIO ARAOS 17")</f>
        <v>NAZARIO ARAOS 17</v>
      </c>
      <c r="D1298" s="6" t="str">
        <f ca="1">IFERROR(__xludf.DUMMYFUNCTION("""COMPUTED_VALUE"""),"EL MONTE")</f>
        <v>EL MONTE</v>
      </c>
    </row>
    <row r="1299" spans="1:4">
      <c r="A1299" s="7">
        <f ca="1">IFERROR(__xludf.DUMMYFUNCTION("""COMPUTED_VALUE"""),44021)</f>
        <v>44021</v>
      </c>
      <c r="B1299" s="6" t="str">
        <f ca="1">IFERROR(__xludf.DUMMYFUNCTION("""COMPUTED_VALUE"""),"-33.678118,-70.998091")</f>
        <v>-33.678118,-70.998091</v>
      </c>
      <c r="C1299" s="6" t="str">
        <f ca="1">IFERROR(__xludf.DUMMYFUNCTION("""COMPUTED_VALUE"""),"Calle once de octubre 0231")</f>
        <v>Calle once de octubre 0231</v>
      </c>
      <c r="D1299" s="6" t="str">
        <f ca="1">IFERROR(__xludf.DUMMYFUNCTION("""COMPUTED_VALUE"""),"EL MONTE")</f>
        <v>EL MONTE</v>
      </c>
    </row>
    <row r="1300" spans="1:4">
      <c r="A1300" s="7">
        <f ca="1">IFERROR(__xludf.DUMMYFUNCTION("""COMPUTED_VALUE"""),44021)</f>
        <v>44021</v>
      </c>
      <c r="B1300" s="6" t="str">
        <f ca="1">IFERROR(__xludf.DUMMYFUNCTION("""COMPUTED_VALUE"""),"-33.685512,-71.025694")</f>
        <v>-33.685512,-71.025694</v>
      </c>
      <c r="C1300" s="6" t="str">
        <f ca="1">IFERROR(__xludf.DUMMYFUNCTION("""COMPUTED_VALUE"""),"PJE LAGO RAUCO 1331B")</f>
        <v>PJE LAGO RAUCO 1331B</v>
      </c>
      <c r="D1300" s="6" t="str">
        <f ca="1">IFERROR(__xludf.DUMMYFUNCTION("""COMPUTED_VALUE"""),"EL MONTE")</f>
        <v>EL MONTE</v>
      </c>
    </row>
    <row r="1301" spans="1:4">
      <c r="A1301" s="7">
        <f ca="1">IFERROR(__xludf.DUMMYFUNCTION("""COMPUTED_VALUE"""),44021)</f>
        <v>44021</v>
      </c>
      <c r="B1301" s="6" t="str">
        <f ca="1">IFERROR(__xludf.DUMMYFUNCTION("""COMPUTED_VALUE"""),"-33.697575,-71.050518")</f>
        <v>-33.697575,-71.050518</v>
      </c>
      <c r="C1301" s="6" t="str">
        <f ca="1">IFERROR(__xludf.DUMMYFUNCTION("""COMPUTED_VALUE"""),"GREGORIO ORTEGA 6-2")</f>
        <v>GREGORIO ORTEGA 6-2</v>
      </c>
      <c r="D1301" s="6" t="str">
        <f ca="1">IFERROR(__xludf.DUMMYFUNCTION("""COMPUTED_VALUE"""),"EL MONTE")</f>
        <v>EL MONTE</v>
      </c>
    </row>
    <row r="1302" spans="1:4">
      <c r="A1302" s="7">
        <f ca="1">IFERROR(__xludf.DUMMYFUNCTION("""COMPUTED_VALUE"""),44021)</f>
        <v>44021</v>
      </c>
      <c r="B1302" s="6" t="str">
        <f ca="1">IFERROR(__xludf.DUMMYFUNCTION("""COMPUTED_VALUE"""),"-33.280046 - 70.862280")</f>
        <v>-33.280046 - 70.862280</v>
      </c>
      <c r="C1302" s="6" t="str">
        <f ca="1">IFERROR(__xludf.DUMMYFUNCTION("""COMPUTED_VALUE"""),"NUEVO PORVENIR RUTA G150 AREA 1")</f>
        <v>NUEVO PORVENIR RUTA G150 AREA 1</v>
      </c>
      <c r="D1302" s="6" t="str">
        <f ca="1">IFERROR(__xludf.DUMMYFUNCTION("""COMPUTED_VALUE"""),"LAMPA")</f>
        <v>LAMPA</v>
      </c>
    </row>
    <row r="1303" spans="1:4">
      <c r="A1303" s="7">
        <f ca="1">IFERROR(__xludf.DUMMYFUNCTION("""COMPUTED_VALUE"""),44021)</f>
        <v>44021</v>
      </c>
      <c r="B1303" s="6" t="str">
        <f ca="1">IFERROR(__xludf.DUMMYFUNCTION("""COMPUTED_VALUE"""),"-33.224805 - 70.722903")</f>
        <v>-33.224805 - 70.722903</v>
      </c>
      <c r="C1303" s="6" t="str">
        <f ca="1">IFERROR(__xludf.DUMMYFUNCTION("""COMPUTED_VALUE"""),"SANTA ELENA SUR S/N PARC 11 SIT/C")</f>
        <v>SANTA ELENA SUR S/N PARC 11 SIT/C</v>
      </c>
      <c r="D1303" s="6" t="str">
        <f ca="1">IFERROR(__xludf.DUMMYFUNCTION("""COMPUTED_VALUE"""),"COLINA")</f>
        <v>COLINA</v>
      </c>
    </row>
    <row r="1304" spans="1:4">
      <c r="A1304" s="7">
        <f ca="1">IFERROR(__xludf.DUMMYFUNCTION("""COMPUTED_VALUE"""),44022)</f>
        <v>44022</v>
      </c>
      <c r="B1304" s="8" t="str">
        <f ca="1">IFERROR(__xludf.DUMMYFUNCTION("""COMPUTED_VALUE"""),"-33.726213,-70.774661")</f>
        <v>-33.726213,-70.774661</v>
      </c>
      <c r="C1304" s="6" t="str">
        <f ca="1">IFERROR(__xludf.DUMMYFUNCTION("""COMPUTED_VALUE"""),"FRANCISCO ENDDI 172")</f>
        <v>FRANCISCO ENDDI 172</v>
      </c>
      <c r="D1304" s="6" t="str">
        <f ca="1">IFERROR(__xludf.DUMMYFUNCTION("""COMPUTED_VALUE"""),"BUIN")</f>
        <v>BUIN</v>
      </c>
    </row>
    <row r="1305" spans="1:4">
      <c r="A1305" s="7">
        <f ca="1">IFERROR(__xludf.DUMMYFUNCTION("""COMPUTED_VALUE"""),44022)</f>
        <v>44022</v>
      </c>
      <c r="B1305" s="8" t="str">
        <f ca="1">IFERROR(__xludf.DUMMYFUNCTION("""COMPUTED_VALUE"""),"-33.726213,-70.774661")</f>
        <v>-33.726213,-70.774661</v>
      </c>
      <c r="C1305" s="6" t="str">
        <f ca="1">IFERROR(__xludf.DUMMYFUNCTION("""COMPUTED_VALUE"""),"ALBERTO NALLI 401")</f>
        <v>ALBERTO NALLI 401</v>
      </c>
      <c r="D1305" s="6" t="str">
        <f ca="1">IFERROR(__xludf.DUMMYFUNCTION("""COMPUTED_VALUE"""),"BUIN")</f>
        <v>BUIN</v>
      </c>
    </row>
    <row r="1306" spans="1:4">
      <c r="A1306" s="7">
        <f ca="1">IFERROR(__xludf.DUMMYFUNCTION("""COMPUTED_VALUE"""),44022)</f>
        <v>44022</v>
      </c>
      <c r="B1306" s="8" t="str">
        <f ca="1">IFERROR(__xludf.DUMMYFUNCTION("""COMPUTED_VALUE"""),"-33.684539,-70.953243")</f>
        <v>-33.684539,-70.953243</v>
      </c>
      <c r="C1306" s="6" t="str">
        <f ca="1">IFERROR(__xludf.DUMMYFUNCTION("""COMPUTED_VALUE"""),"SALVADOR ALLENDE 1215")</f>
        <v>SALVADOR ALLENDE 1215</v>
      </c>
      <c r="D1306" s="6" t="str">
        <f ca="1">IFERROR(__xludf.DUMMYFUNCTION("""COMPUTED_VALUE"""),"BUIN")</f>
        <v>BUIN</v>
      </c>
    </row>
    <row r="1307" spans="1:4">
      <c r="A1307" s="7">
        <f ca="1">IFERROR(__xludf.DUMMYFUNCTION("""COMPUTED_VALUE"""),44022)</f>
        <v>44022</v>
      </c>
      <c r="B1307" s="8" t="str">
        <f ca="1">IFERROR(__xludf.DUMMYFUNCTION("""COMPUTED_VALUE"""),"-33.233328,-70.004668")</f>
        <v>-33.233328,-70.004668</v>
      </c>
      <c r="C1307" s="6" t="str">
        <f ca="1">IFERROR(__xludf.DUMMYFUNCTION("""COMPUTED_VALUE"""),"ERRAZURIS 901")</f>
        <v>ERRAZURIS 901</v>
      </c>
      <c r="D1307" s="6" t="str">
        <f ca="1">IFERROR(__xludf.DUMMYFUNCTION("""COMPUTED_VALUE"""),"LAMPA")</f>
        <v>LAMPA</v>
      </c>
    </row>
    <row r="1308" spans="1:4">
      <c r="A1308" s="7">
        <f ca="1">IFERROR(__xludf.DUMMYFUNCTION("""COMPUTED_VALUE"""),44022)</f>
        <v>44022</v>
      </c>
      <c r="B1308" s="6" t="str">
        <f ca="1">IFERROR(__xludf.DUMMYFUNCTION("""COMPUTED_VALUE"""),"-33.6079492-70-8719339")</f>
        <v>-33.6079492-70-8719339</v>
      </c>
      <c r="C1308" s="6" t="str">
        <f ca="1">IFERROR(__xludf.DUMMYFUNCTION("""COMPUTED_VALUE"""),"LOS  ANGELES 293")</f>
        <v>LOS  ANGELES 293</v>
      </c>
      <c r="D1308" s="6" t="str">
        <f ca="1">IFERROR(__xludf.DUMMYFUNCTION("""COMPUTED_VALUE"""),"PEÑAFLOR")</f>
        <v>PEÑAFLOR</v>
      </c>
    </row>
    <row r="1309" spans="1:4">
      <c r="A1309" s="7">
        <f ca="1">IFERROR(__xludf.DUMMYFUNCTION("""COMPUTED_VALUE"""),44022)</f>
        <v>44022</v>
      </c>
      <c r="B1309" s="6" t="str">
        <f ca="1">IFERROR(__xludf.DUMMYFUNCTION("""COMPUTED_VALUE"""),"-33.604923-70.63579")</f>
        <v>-33.604923-70.63579</v>
      </c>
      <c r="C1309" s="6" t="str">
        <f ca="1">IFERROR(__xludf.DUMMYFUNCTION("""COMPUTED_VALUE"""),"PJE. SANTO DOMINGO 743")</f>
        <v>PJE. SANTO DOMINGO 743</v>
      </c>
      <c r="D1309" s="6" t="str">
        <f ca="1">IFERROR(__xludf.DUMMYFUNCTION("""COMPUTED_VALUE"""),"PEÑAFLOR")</f>
        <v>PEÑAFLOR</v>
      </c>
    </row>
    <row r="1310" spans="1:4">
      <c r="A1310" s="7">
        <f ca="1">IFERROR(__xludf.DUMMYFUNCTION("""COMPUTED_VALUE"""),44022)</f>
        <v>44022</v>
      </c>
      <c r="B1310" s="6" t="str">
        <f ca="1">IFERROR(__xludf.DUMMYFUNCTION("""COMPUTED_VALUE"""),"-33.566113-70.807010")</f>
        <v>-33.566113-70.807010</v>
      </c>
      <c r="C1310" s="6" t="str">
        <f ca="1">IFERROR(__xludf.DUMMYFUNCTION("""COMPUTED_VALUE"""),"SAN PEDRO 254")</f>
        <v>SAN PEDRO 254</v>
      </c>
      <c r="D1310" s="6" t="str">
        <f ca="1">IFERROR(__xludf.DUMMYFUNCTION("""COMPUTED_VALUE"""),"PADRE HURTADO")</f>
        <v>PADRE HURTADO</v>
      </c>
    </row>
    <row r="1311" spans="1:4">
      <c r="A1311" s="7">
        <f ca="1">IFERROR(__xludf.DUMMYFUNCTION("""COMPUTED_VALUE"""),44022)</f>
        <v>44022</v>
      </c>
      <c r="B1311" s="6" t="str">
        <f ca="1">IFERROR(__xludf.DUMMYFUNCTION("""COMPUTED_VALUE"""),"-33.232909-70.841223")</f>
        <v>-33.232909-70.841223</v>
      </c>
      <c r="C1311" s="6" t="str">
        <f ca="1">IFERROR(__xludf.DUMMYFUNCTION("""COMPUTED_VALUE"""),"CAMINO INTERIOR S/N LOTE 2")</f>
        <v>CAMINO INTERIOR S/N LOTE 2</v>
      </c>
      <c r="D1311" s="6" t="str">
        <f ca="1">IFERROR(__xludf.DUMMYFUNCTION("""COMPUTED_VALUE"""),"LAMPA")</f>
        <v>LAMPA</v>
      </c>
    </row>
    <row r="1312" spans="1:4">
      <c r="A1312" s="7">
        <f ca="1">IFERROR(__xludf.DUMMYFUNCTION("""COMPUTED_VALUE"""),44022)</f>
        <v>44022</v>
      </c>
      <c r="B1312" s="6" t="str">
        <f ca="1">IFERROR(__xludf.DUMMYFUNCTION("""COMPUTED_VALUE"""),"-33.230459-70.840100")</f>
        <v>-33.230459-70.840100</v>
      </c>
      <c r="C1312" s="6" t="str">
        <f ca="1">IFERROR(__xludf.DUMMYFUNCTION("""COMPUTED_VALUE"""),"LAS PARCELAS S/N PARCELA 4")</f>
        <v>LAS PARCELAS S/N PARCELA 4</v>
      </c>
      <c r="D1312" s="6" t="str">
        <f ca="1">IFERROR(__xludf.DUMMYFUNCTION("""COMPUTED_VALUE"""),"LAMPA")</f>
        <v>LAMPA</v>
      </c>
    </row>
    <row r="1313" spans="1:4">
      <c r="A1313" s="7">
        <f ca="1">IFERROR(__xludf.DUMMYFUNCTION("""COMPUTED_VALUE"""),44022)</f>
        <v>44022</v>
      </c>
      <c r="B1313" s="6" t="str">
        <f ca="1">IFERROR(__xludf.DUMMYFUNCTION("""COMPUTED_VALUE"""),"-33.604706-70.826779")</f>
        <v>-33.604706-70.826779</v>
      </c>
      <c r="C1313" s="6" t="str">
        <f ca="1">IFERROR(__xludf.DUMMYFUNCTION("""COMPUTED_VALUE"""),"TRAPICHE 97")</f>
        <v>TRAPICHE 97</v>
      </c>
      <c r="D1313" s="6" t="str">
        <f ca="1">IFERROR(__xludf.DUMMYFUNCTION("""COMPUTED_VALUE"""),"PEÑAFLOR")</f>
        <v>PEÑAFLOR</v>
      </c>
    </row>
    <row r="1314" spans="1:4">
      <c r="A1314" s="7">
        <f ca="1">IFERROR(__xludf.DUMMYFUNCTION("""COMPUTED_VALUE"""),44022)</f>
        <v>44022</v>
      </c>
      <c r="B1314" s="6" t="str">
        <f ca="1">IFERROR(__xludf.DUMMYFUNCTION("""COMPUTED_VALUE"""),"-33.672915,-70.945635")</f>
        <v>-33.672915,-70.945635</v>
      </c>
      <c r="C1314" s="6" t="str">
        <f ca="1">IFERROR(__xludf.DUMMYFUNCTION("""COMPUTED_VALUE"""),"ESMERALDA 2749")</f>
        <v>ESMERALDA 2749</v>
      </c>
      <c r="D1314" s="6" t="str">
        <f ca="1">IFERROR(__xludf.DUMMYFUNCTION("""COMPUTED_VALUE"""),"TALAGANTE")</f>
        <v>TALAGANTE</v>
      </c>
    </row>
    <row r="1315" spans="1:4">
      <c r="A1315" s="7">
        <f ca="1">IFERROR(__xludf.DUMMYFUNCTION("""COMPUTED_VALUE"""),44022)</f>
        <v>44022</v>
      </c>
      <c r="B1315" s="6" t="str">
        <f ca="1">IFERROR(__xludf.DUMMYFUNCTION("""COMPUTED_VALUE"""),"-33.670403,-70.930730")</f>
        <v>-33.670403,-70.930730</v>
      </c>
      <c r="C1315" s="6" t="str">
        <f ca="1">IFERROR(__xludf.DUMMYFUNCTION("""COMPUTED_VALUE"""),"LOS PORTONES 1515 PASAJE ")</f>
        <v xml:space="preserve">LOS PORTONES 1515 PASAJE </v>
      </c>
      <c r="D1315" s="6" t="str">
        <f ca="1">IFERROR(__xludf.DUMMYFUNCTION("""COMPUTED_VALUE"""),"TALAGANTE")</f>
        <v>TALAGANTE</v>
      </c>
    </row>
    <row r="1316" spans="1:4">
      <c r="A1316" s="7">
        <f ca="1">IFERROR(__xludf.DUMMYFUNCTION("""COMPUTED_VALUE"""),44022)</f>
        <v>44022</v>
      </c>
      <c r="B1316" s="6" t="str">
        <f ca="1">IFERROR(__xludf.DUMMYFUNCTION("""COMPUTED_VALUE"""),"-33.684061,-70.997198")</f>
        <v>-33.684061,-70.997198</v>
      </c>
      <c r="C1316" s="6" t="str">
        <f ca="1">IFERROR(__xludf.DUMMYFUNCTION("""COMPUTED_VALUE"""),"DON JOSE LUIS 0130")</f>
        <v>DON JOSE LUIS 0130</v>
      </c>
      <c r="D1316" s="6" t="str">
        <f ca="1">IFERROR(__xludf.DUMMYFUNCTION("""COMPUTED_VALUE"""),"EL MONTE")</f>
        <v>EL MONTE</v>
      </c>
    </row>
    <row r="1317" spans="1:4">
      <c r="A1317" s="7">
        <f ca="1">IFERROR(__xludf.DUMMYFUNCTION("""COMPUTED_VALUE"""),44022)</f>
        <v>44022</v>
      </c>
      <c r="B1317" s="6" t="str">
        <f ca="1">IFERROR(__xludf.DUMMYFUNCTION("""COMPUTED_VALUE"""),"-33.684470,-71.026445")</f>
        <v>-33.684470,-71.026445</v>
      </c>
      <c r="C1317" s="6" t="str">
        <f ca="1">IFERROR(__xludf.DUMMYFUNCTION("""COMPUTED_VALUE"""),"LAGOS MELTUNE 223")</f>
        <v>LAGOS MELTUNE 223</v>
      </c>
      <c r="D1317" s="6" t="str">
        <f ca="1">IFERROR(__xludf.DUMMYFUNCTION("""COMPUTED_VALUE"""),"EL MONTE")</f>
        <v>EL MONTE</v>
      </c>
    </row>
    <row r="1318" spans="1:4">
      <c r="A1318" s="7">
        <f ca="1">IFERROR(__xludf.DUMMYFUNCTION("""COMPUTED_VALUE"""),44022)</f>
        <v>44022</v>
      </c>
      <c r="B1318" s="6" t="str">
        <f ca="1">IFERROR(__xludf.DUMMYFUNCTION("""COMPUTED_VALUE"""),"-33.682370,-70.995782")</f>
        <v>-33.682370,-70.995782</v>
      </c>
      <c r="C1318" s="6" t="str">
        <f ca="1">IFERROR(__xludf.DUMMYFUNCTION("""COMPUTED_VALUE""")," HERMANOS CARRERA18")</f>
        <v xml:space="preserve"> HERMANOS CARRERA18</v>
      </c>
      <c r="D1318" s="6" t="str">
        <f ca="1">IFERROR(__xludf.DUMMYFUNCTION("""COMPUTED_VALUE"""),"EL MONTE")</f>
        <v>EL MONTE</v>
      </c>
    </row>
    <row r="1319" spans="1:4">
      <c r="A1319" s="7">
        <f ca="1">IFERROR(__xludf.DUMMYFUNCTION("""COMPUTED_VALUE"""),44022)</f>
        <v>44022</v>
      </c>
      <c r="B1319" s="6" t="str">
        <f ca="1">IFERROR(__xludf.DUMMYFUNCTION("""COMPUTED_VALUE"""),"-33688430,-71.033093")</f>
        <v>-33688430,-71.033093</v>
      </c>
      <c r="C1319" s="6" t="str">
        <f ca="1">IFERROR(__xludf.DUMMYFUNCTION("""COMPUTED_VALUE"""),"SAN MIGUEL 979")</f>
        <v>SAN MIGUEL 979</v>
      </c>
      <c r="D1319" s="6" t="str">
        <f ca="1">IFERROR(__xludf.DUMMYFUNCTION("""COMPUTED_VALUE"""),"EL MONTE")</f>
        <v>EL MONTE</v>
      </c>
    </row>
    <row r="1320" spans="1:4">
      <c r="A1320" s="7">
        <f ca="1">IFERROR(__xludf.DUMMYFUNCTION("""COMPUTED_VALUE"""),44022)</f>
        <v>44022</v>
      </c>
      <c r="B1320" s="6" t="str">
        <f ca="1">IFERROR(__xludf.DUMMYFUNCTION("""COMPUTED_VALUE"""),"-33.680932,-70.998997")</f>
        <v>-33.680932,-70.998997</v>
      </c>
      <c r="C1320" s="6" t="str">
        <f ca="1">IFERROR(__xludf.DUMMYFUNCTION("""COMPUTED_VALUE"""),"2 SUR 739")</f>
        <v>2 SUR 739</v>
      </c>
      <c r="D1320" s="6" t="str">
        <f ca="1">IFERROR(__xludf.DUMMYFUNCTION("""COMPUTED_VALUE"""),"EL MONTE")</f>
        <v>EL MONTE</v>
      </c>
    </row>
    <row r="1321" spans="1:4">
      <c r="A1321" s="7">
        <f ca="1">IFERROR(__xludf.DUMMYFUNCTION("""COMPUTED_VALUE"""),44022)</f>
        <v>44022</v>
      </c>
      <c r="B1321" s="6" t="str">
        <f ca="1">IFERROR(__xludf.DUMMYFUNCTION("""COMPUTED_VALUE"""),"-33.133190,-70.812128")</f>
        <v>-33.133190,-70.812128</v>
      </c>
      <c r="C1321" s="6" t="str">
        <f ca="1">IFERROR(__xludf.DUMMYFUNCTION("""COMPUTED_VALUE"""),"1 ORIENTE 010 B")</f>
        <v>1 ORIENTE 010 B</v>
      </c>
      <c r="D1321" s="6" t="str">
        <f ca="1">IFERROR(__xludf.DUMMYFUNCTION("""COMPUTED_VALUE"""),"LAMPA")</f>
        <v>LAMPA</v>
      </c>
    </row>
    <row r="1322" spans="1:4">
      <c r="A1322" s="7">
        <f ca="1">IFERROR(__xludf.DUMMYFUNCTION("""COMPUTED_VALUE"""),44023)</f>
        <v>44023</v>
      </c>
      <c r="B1322" s="8" t="str">
        <f ca="1">IFERROR(__xludf.DUMMYFUNCTION("""COMPUTED_VALUE"""),"-33.761600,-70.737934")</f>
        <v>-33.761600,-70.737934</v>
      </c>
      <c r="C1322" s="6" t="str">
        <f ca="1">IFERROR(__xludf.DUMMYFUNCTION("""COMPUTED_VALUE"""),"LOS CLAVELES 229")</f>
        <v>LOS CLAVELES 229</v>
      </c>
      <c r="D1322" s="6" t="str">
        <f ca="1">IFERROR(__xludf.DUMMYFUNCTION("""COMPUTED_VALUE"""),"BUIN")</f>
        <v>BUIN</v>
      </c>
    </row>
    <row r="1323" spans="1:4">
      <c r="A1323" s="7">
        <f ca="1">IFERROR(__xludf.DUMMYFUNCTION("""COMPUTED_VALUE"""),44023)</f>
        <v>44023</v>
      </c>
      <c r="B1323" s="8" t="str">
        <f ca="1">IFERROR(__xludf.DUMMYFUNCTION("""COMPUTED_VALUE"""),"-33.6530726,-70.9234210")</f>
        <v>-33.6530726,-70.9234210</v>
      </c>
      <c r="C1323" s="6" t="str">
        <f ca="1">IFERROR(__xludf.DUMMYFUNCTION("""COMPUTED_VALUE"""),"SAMUEL SANTANA 236")</f>
        <v>SAMUEL SANTANA 236</v>
      </c>
      <c r="D1323" s="6" t="str">
        <f ca="1">IFERROR(__xludf.DUMMYFUNCTION("""COMPUTED_VALUE"""),"TALAGANTE")</f>
        <v>TALAGANTE</v>
      </c>
    </row>
    <row r="1324" spans="1:4">
      <c r="A1324" s="7">
        <f ca="1">IFERROR(__xludf.DUMMYFUNCTION("""COMPUTED_VALUE"""),44025)</f>
        <v>44025</v>
      </c>
      <c r="B1324" s="8" t="str">
        <f ca="1">IFERROR(__xludf.DUMMYFUNCTION("""COMPUTED_VALUE"""),"-33.662206,-70.925571")</f>
        <v>-33.662206,-70.925571</v>
      </c>
      <c r="C1324" s="6" t="str">
        <f ca="1">IFERROR(__xludf.DUMMYFUNCTION("""COMPUTED_VALUE"""),"PASAJE OCHO 562")</f>
        <v>PASAJE OCHO 562</v>
      </c>
      <c r="D1324" s="6" t="str">
        <f ca="1">IFERROR(__xludf.DUMMYFUNCTION("""COMPUTED_VALUE"""),"TALAGANTE")</f>
        <v>TALAGANTE</v>
      </c>
    </row>
    <row r="1325" spans="1:4">
      <c r="A1325" s="7">
        <f ca="1">IFERROR(__xludf.DUMMYFUNCTION("""COMPUTED_VALUE"""),44025)</f>
        <v>44025</v>
      </c>
      <c r="B1325" s="6" t="str">
        <f ca="1">IFERROR(__xludf.DUMMYFUNCTION("""COMPUTED_VALUE"""),"-33.613509-70.871047")</f>
        <v>-33.613509-70.871047</v>
      </c>
      <c r="C1325" s="6" t="str">
        <f ca="1">IFERROR(__xludf.DUMMYFUNCTION("""COMPUTED_VALUE"""),"ALONSO DE ERCILLA 1079")</f>
        <v>ALONSO DE ERCILLA 1079</v>
      </c>
      <c r="D1325" s="6" t="str">
        <f ca="1">IFERROR(__xludf.DUMMYFUNCTION("""COMPUTED_VALUE"""),"PEÑAFLOR")</f>
        <v>PEÑAFLOR</v>
      </c>
    </row>
    <row r="1326" spans="1:4">
      <c r="A1326" s="7">
        <f ca="1">IFERROR(__xludf.DUMMYFUNCTION("""COMPUTED_VALUE"""),44025)</f>
        <v>44025</v>
      </c>
      <c r="B1326" s="6" t="str">
        <f ca="1">IFERROR(__xludf.DUMMYFUNCTION("""COMPUTED_VALUE"""),"-33.6070311-70.8800165")</f>
        <v>-33.6070311-70.8800165</v>
      </c>
      <c r="C1326" s="6" t="str">
        <f ca="1">IFERROR(__xludf.DUMMYFUNCTION("""COMPUTED_VALUE"""),"EUSEBIO LILLO 2265")</f>
        <v>EUSEBIO LILLO 2265</v>
      </c>
      <c r="D1326" s="6" t="str">
        <f ca="1">IFERROR(__xludf.DUMMYFUNCTION("""COMPUTED_VALUE"""),"PEÑAFLOR")</f>
        <v>PEÑAFLOR</v>
      </c>
    </row>
    <row r="1327" spans="1:4">
      <c r="A1327" s="7">
        <f ca="1">IFERROR(__xludf.DUMMYFUNCTION("""COMPUTED_VALUE"""),44025)</f>
        <v>44025</v>
      </c>
      <c r="B1327" s="6" t="str">
        <f ca="1">IFERROR(__xludf.DUMMYFUNCTION("""COMPUTED_VALUE"""),"-33.4409226-70.6234774")</f>
        <v>-33.4409226-70.6234774</v>
      </c>
      <c r="C1327" s="6" t="str">
        <f ca="1">IFERROR(__xludf.DUMMYFUNCTION("""COMPUTED_VALUE"""),"FRANCISCO BILBAO 677")</f>
        <v>FRANCISCO BILBAO 677</v>
      </c>
      <c r="D1327" s="6" t="str">
        <f ca="1">IFERROR(__xludf.DUMMYFUNCTION("""COMPUTED_VALUE"""),"PEÑAFLOR")</f>
        <v>PEÑAFLOR</v>
      </c>
    </row>
    <row r="1328" spans="1:4">
      <c r="A1328" s="7">
        <f ca="1">IFERROR(__xludf.DUMMYFUNCTION("""COMPUTED_VALUE"""),44025)</f>
        <v>44025</v>
      </c>
      <c r="B1328" s="6" t="str">
        <f ca="1">IFERROR(__xludf.DUMMYFUNCTION("""COMPUTED_VALUE"""),"-33.5648-70.7888")</f>
        <v>-33.5648-70.7888</v>
      </c>
      <c r="C1328" s="6" t="str">
        <f ca="1">IFERROR(__xludf.DUMMYFUNCTION("""COMPUTED_VALUE"""),"LOS CIRUELOS 99")</f>
        <v>LOS CIRUELOS 99</v>
      </c>
      <c r="D1328" s="6" t="str">
        <f ca="1">IFERROR(__xludf.DUMMYFUNCTION("""COMPUTED_VALUE"""),"PADRE HURTADO")</f>
        <v>PADRE HURTADO</v>
      </c>
    </row>
    <row r="1329" spans="1:4">
      <c r="A1329" s="7">
        <f ca="1">IFERROR(__xludf.DUMMYFUNCTION("""COMPUTED_VALUE"""),44025)</f>
        <v>44025</v>
      </c>
      <c r="B1329" s="6" t="str">
        <f ca="1">IFERROR(__xludf.DUMMYFUNCTION("""COMPUTED_VALUE"""),"-33.3275-70.7631")</f>
        <v>-33.3275-70.7631</v>
      </c>
      <c r="C1329" s="6" t="str">
        <f ca="1">IFERROR(__xludf.DUMMYFUNCTION("""COMPUTED_VALUE"""),"PJE. CHAÑARAL 807")</f>
        <v>PJE. CHAÑARAL 807</v>
      </c>
      <c r="D1329" s="6" t="str">
        <f ca="1">IFERROR(__xludf.DUMMYFUNCTION("""COMPUTED_VALUE"""),"LAMPA")</f>
        <v>LAMPA</v>
      </c>
    </row>
    <row r="1330" spans="1:4">
      <c r="A1330" s="7">
        <f ca="1">IFERROR(__xludf.DUMMYFUNCTION("""COMPUTED_VALUE"""),44025)</f>
        <v>44025</v>
      </c>
      <c r="B1330" s="6" t="str">
        <f ca="1">IFERROR(__xludf.DUMMYFUNCTION("""COMPUTED_VALUE"""),"-33.133837,-70.808649")</f>
        <v>-33.133837,-70.808649</v>
      </c>
      <c r="C1330" s="6" t="str">
        <f ca="1">IFERROR(__xludf.DUMMYFUNCTION("""COMPUTED_VALUE"""),"1 ORIENTE 010 B")</f>
        <v>1 ORIENTE 010 B</v>
      </c>
      <c r="D1330" s="6" t="str">
        <f ca="1">IFERROR(__xludf.DUMMYFUNCTION("""COMPUTED_VALUE"""),"LAMPA")</f>
        <v>LAMPA</v>
      </c>
    </row>
    <row r="1331" spans="1:4">
      <c r="A1331" s="7">
        <f ca="1">IFERROR(__xludf.DUMMYFUNCTION("""COMPUTED_VALUE"""),44025)</f>
        <v>44025</v>
      </c>
      <c r="B1331" s="6" t="str">
        <f ca="1">IFERROR(__xludf.DUMMYFUNCTION("""COMPUTED_VALUE"""),"-33.086615,-70.934269")</f>
        <v>-33.086615,-70.934269</v>
      </c>
      <c r="C1331" s="6" t="str">
        <f ca="1">IFERROR(__xludf.DUMMYFUNCTION("""COMPUTED_VALUE"""),"EL ATOJO 350 A")</f>
        <v>EL ATOJO 350 A</v>
      </c>
      <c r="D1331" s="6" t="str">
        <f ca="1">IFERROR(__xludf.DUMMYFUNCTION("""COMPUTED_VALUE"""),"LAMPA")</f>
        <v>LAMPA</v>
      </c>
    </row>
    <row r="1332" spans="1:4">
      <c r="A1332" s="7">
        <f ca="1">IFERROR(__xludf.DUMMYFUNCTION("""COMPUTED_VALUE"""),44026)</f>
        <v>44026</v>
      </c>
      <c r="B1332" s="6" t="str">
        <f ca="1">IFERROR(__xludf.DUMMYFUNCTION("""COMPUTED_VALUE"""),"-33.6192467-70.8660484")</f>
        <v>-33.6192467-70.8660484</v>
      </c>
      <c r="C1332" s="6" t="str">
        <f ca="1">IFERROR(__xludf.DUMMYFUNCTION("""COMPUTED_VALUE"""),"TORIBIO LARRAIN 2203")</f>
        <v>TORIBIO LARRAIN 2203</v>
      </c>
      <c r="D1332" s="6" t="str">
        <f ca="1">IFERROR(__xludf.DUMMYFUNCTION("""COMPUTED_VALUE"""),"PEÑAFLOR")</f>
        <v>PEÑAFLOR</v>
      </c>
    </row>
    <row r="1333" spans="1:4">
      <c r="A1333" s="7">
        <f ca="1">IFERROR(__xludf.DUMMYFUNCTION("""COMPUTED_VALUE"""),44026)</f>
        <v>44026</v>
      </c>
      <c r="B1333" s="6" t="str">
        <f ca="1">IFERROR(__xludf.DUMMYFUNCTION("""COMPUTED_VALUE"""),"-33.612988-70.870387")</f>
        <v>-33.612988-70.870387</v>
      </c>
      <c r="C1333" s="6" t="str">
        <f ca="1">IFERROR(__xludf.DUMMYFUNCTION("""COMPUTED_VALUE"""),"PABLO NERUDA 262")</f>
        <v>PABLO NERUDA 262</v>
      </c>
      <c r="D1333" s="6" t="str">
        <f ca="1">IFERROR(__xludf.DUMMYFUNCTION("""COMPUTED_VALUE"""),"PEÑAFLOR")</f>
        <v>PEÑAFLOR</v>
      </c>
    </row>
    <row r="1334" spans="1:4">
      <c r="A1334" s="7">
        <f ca="1">IFERROR(__xludf.DUMMYFUNCTION("""COMPUTED_VALUE"""),44026)</f>
        <v>44026</v>
      </c>
      <c r="B1334" s="6" t="str">
        <f ca="1">IFERROR(__xludf.DUMMYFUNCTION("""COMPUTED_VALUE"""),"-33.5883-70.8481")</f>
        <v>-33.5883-70.8481</v>
      </c>
      <c r="C1334" s="6" t="str">
        <f ca="1">IFERROR(__xludf.DUMMYFUNCTION("""COMPUTED_VALUE"""),"PAJARITOS S/N PARCELA 2 LOTE C")</f>
        <v>PAJARITOS S/N PARCELA 2 LOTE C</v>
      </c>
      <c r="D1334" s="6" t="str">
        <f ca="1">IFERROR(__xludf.DUMMYFUNCTION("""COMPUTED_VALUE"""),"PEÑAFLOR")</f>
        <v>PEÑAFLOR</v>
      </c>
    </row>
    <row r="1335" spans="1:4">
      <c r="A1335" s="7">
        <f ca="1">IFERROR(__xludf.DUMMYFUNCTION("""COMPUTED_VALUE"""),44026)</f>
        <v>44026</v>
      </c>
      <c r="B1335" s="6" t="str">
        <f ca="1">IFERROR(__xludf.DUMMYFUNCTION("""COMPUTED_VALUE"""),"-33.5659-70.7880")</f>
        <v>-33.5659-70.7880</v>
      </c>
      <c r="C1335" s="6" t="str">
        <f ca="1">IFERROR(__xludf.DUMMYFUNCTION("""COMPUTED_VALUE"""),"PRIMERA AVENIDA 1435")</f>
        <v>PRIMERA AVENIDA 1435</v>
      </c>
      <c r="D1335" s="6" t="str">
        <f ca="1">IFERROR(__xludf.DUMMYFUNCTION("""COMPUTED_VALUE"""),"PADRE HURTADO")</f>
        <v>PADRE HURTADO</v>
      </c>
    </row>
    <row r="1336" spans="1:4">
      <c r="A1336" s="7">
        <f ca="1">IFERROR(__xludf.DUMMYFUNCTION("""COMPUTED_VALUE"""),44026)</f>
        <v>44026</v>
      </c>
      <c r="B1336" s="6" t="str">
        <f ca="1">IFERROR(__xludf.DUMMYFUNCTION("""COMPUTED_VALUE"""),"-33.325960-70.767020")</f>
        <v>-33.325960-70.767020</v>
      </c>
      <c r="C1336" s="6" t="str">
        <f ca="1">IFERROR(__xludf.DUMMYFUNCTION("""COMPUTED_VALUE"""),"LA CAÑADA 375")</f>
        <v>LA CAÑADA 375</v>
      </c>
      <c r="D1336" s="6" t="str">
        <f ca="1">IFERROR(__xludf.DUMMYFUNCTION("""COMPUTED_VALUE"""),"LAMPA")</f>
        <v>LAMPA</v>
      </c>
    </row>
    <row r="1337" spans="1:4">
      <c r="A1337" s="7">
        <f ca="1">IFERROR(__xludf.DUMMYFUNCTION("""COMPUTED_VALUE"""),44026)</f>
        <v>44026</v>
      </c>
      <c r="B1337" s="6" t="str">
        <f ca="1">IFERROR(__xludf.DUMMYFUNCTION("""COMPUTED_VALUE"""),"-33.325960-70.767020")</f>
        <v>-33.325960-70.767020</v>
      </c>
      <c r="C1337" s="6" t="str">
        <f ca="1">IFERROR(__xludf.DUMMYFUNCTION("""COMPUTED_VALUE"""),"LA CAÑADA 375")</f>
        <v>LA CAÑADA 375</v>
      </c>
      <c r="D1337" s="6" t="str">
        <f ca="1">IFERROR(__xludf.DUMMYFUNCTION("""COMPUTED_VALUE"""),"LAMPA")</f>
        <v>LAMPA</v>
      </c>
    </row>
    <row r="1338" spans="1:4">
      <c r="A1338" s="7">
        <f ca="1">IFERROR(__xludf.DUMMYFUNCTION("""COMPUTED_VALUE"""),44026)</f>
        <v>44026</v>
      </c>
      <c r="B1338" s="6" t="str">
        <f ca="1">IFERROR(__xludf.DUMMYFUNCTION("""COMPUTED_VALUE"""),"-33.327854-70.762742")</f>
        <v>-33.327854-70.762742</v>
      </c>
      <c r="C1338" s="6" t="str">
        <f ca="1">IFERROR(__xludf.DUMMYFUNCTION("""COMPUTED_VALUE"""),"TOTORALILLO 711")</f>
        <v>TOTORALILLO 711</v>
      </c>
      <c r="D1338" s="6" t="str">
        <f ca="1">IFERROR(__xludf.DUMMYFUNCTION("""COMPUTED_VALUE"""),"LAMPA")</f>
        <v>LAMPA</v>
      </c>
    </row>
    <row r="1339" spans="1:4">
      <c r="A1339" s="7">
        <f ca="1">IFERROR(__xludf.DUMMYFUNCTION("""COMPUTED_VALUE"""),44026)</f>
        <v>44026</v>
      </c>
      <c r="B1339" s="6" t="str">
        <f ca="1">IFERROR(__xludf.DUMMYFUNCTION("""COMPUTED_VALUE"""),"-33.601977-70.870065")</f>
        <v>-33.601977-70.870065</v>
      </c>
      <c r="C1339" s="6" t="str">
        <f ca="1">IFERROR(__xludf.DUMMYFUNCTION("""COMPUTED_VALUE"""),"MANUEL VALENZUELA FIERRO 1873")</f>
        <v>MANUEL VALENZUELA FIERRO 1873</v>
      </c>
      <c r="D1339" s="6" t="str">
        <f ca="1">IFERROR(__xludf.DUMMYFUNCTION("""COMPUTED_VALUE"""),"PEÑAFLOR")</f>
        <v>PEÑAFLOR</v>
      </c>
    </row>
    <row r="1340" spans="1:4">
      <c r="A1340" s="7">
        <f ca="1">IFERROR(__xludf.DUMMYFUNCTION("""COMPUTED_VALUE"""),44026)</f>
        <v>44026</v>
      </c>
      <c r="B1340" s="6" t="str">
        <f ca="1">IFERROR(__xludf.DUMMYFUNCTION("""COMPUTED_VALUE"""),"-33.685910,-71.005655")</f>
        <v>-33.685910,-71.005655</v>
      </c>
      <c r="C1340" s="6" t="str">
        <f ca="1">IFERROR(__xludf.DUMMYFUNCTION("""COMPUTED_VALUE"""),"ANTONIO GALLARDO 221")</f>
        <v>ANTONIO GALLARDO 221</v>
      </c>
      <c r="D1340" s="6" t="str">
        <f ca="1">IFERROR(__xludf.DUMMYFUNCTION("""COMPUTED_VALUE"""),"EL MONTE")</f>
        <v>EL MONTE</v>
      </c>
    </row>
    <row r="1341" spans="1:4">
      <c r="A1341" s="7">
        <f ca="1">IFERROR(__xludf.DUMMYFUNCTION("""COMPUTED_VALUE"""),44026)</f>
        <v>44026</v>
      </c>
      <c r="B1341" s="6" t="str">
        <f ca="1">IFERROR(__xludf.DUMMYFUNCTION("""COMPUTED_VALUE"""),"-33.277213 - 70.863900")</f>
        <v>-33.277213 - 70.863900</v>
      </c>
      <c r="C1341" s="6" t="str">
        <f ca="1">IFERROR(__xludf.DUMMYFUNCTION("""COMPUTED_VALUE"""),"LO VARGAS P/12 L/9 ")</f>
        <v xml:space="preserve">LO VARGAS P/12 L/9 </v>
      </c>
      <c r="D1341" s="6" t="str">
        <f ca="1">IFERROR(__xludf.DUMMYFUNCTION("""COMPUTED_VALUE"""),"LAMPA")</f>
        <v>LAMPA</v>
      </c>
    </row>
    <row r="1342" spans="1:4">
      <c r="A1342" s="7">
        <f ca="1">IFERROR(__xludf.DUMMYFUNCTION("""COMPUTED_VALUE"""),44026)</f>
        <v>44026</v>
      </c>
      <c r="B1342" s="6" t="str">
        <f ca="1">IFERROR(__xludf.DUMMYFUNCTION("""COMPUTED_VALUE"""),"-33.277213 - 70.863900")</f>
        <v>-33.277213 - 70.863900</v>
      </c>
      <c r="C1342" s="6" t="str">
        <f ca="1">IFERROR(__xludf.DUMMYFUNCTION("""COMPUTED_VALUE"""),"LO VARGAS P/12 L/9 ")</f>
        <v xml:space="preserve">LO VARGAS P/12 L/9 </v>
      </c>
      <c r="D1342" s="6" t="str">
        <f ca="1">IFERROR(__xludf.DUMMYFUNCTION("""COMPUTED_VALUE"""),"LAMPA")</f>
        <v>LAMPA</v>
      </c>
    </row>
    <row r="1343" spans="1:4">
      <c r="A1343" s="7">
        <f ca="1">IFERROR(__xludf.DUMMYFUNCTION("""COMPUTED_VALUE"""),44026)</f>
        <v>44026</v>
      </c>
      <c r="B1343" s="6" t="str">
        <f ca="1">IFERROR(__xludf.DUMMYFUNCTION("""COMPUTED_VALUE"""),"-33.231771 - 70.725469")</f>
        <v>-33.231771 - 70.725469</v>
      </c>
      <c r="C1343" s="6" t="str">
        <f ca="1">IFERROR(__xludf.DUMMYFUNCTION("""COMPUTED_VALUE"""),"PARCELACION LA COPA PARC 1 LOTE C")</f>
        <v>PARCELACION LA COPA PARC 1 LOTE C</v>
      </c>
      <c r="D1343" s="6" t="str">
        <f ca="1">IFERROR(__xludf.DUMMYFUNCTION("""COMPUTED_VALUE"""),"COLINA")</f>
        <v>COLINA</v>
      </c>
    </row>
    <row r="1344" spans="1:4">
      <c r="A1344" s="7">
        <f ca="1">IFERROR(__xludf.DUMMYFUNCTION("""COMPUTED_VALUE"""),44027)</f>
        <v>44027</v>
      </c>
      <c r="B1344" s="8" t="str">
        <f ca="1">IFERROR(__xludf.DUMMYFUNCTION("""COMPUTED_VALUE"""),"-33.461233, -71.082547")</f>
        <v>-33.461233, -71.082547</v>
      </c>
      <c r="C1344" s="6" t="str">
        <f ca="1">IFERROR(__xludf.DUMMYFUNCTION("""COMPUTED_VALUE"""),"LOS DIAMELOS 439")</f>
        <v>LOS DIAMELOS 439</v>
      </c>
      <c r="D1344" s="6" t="str">
        <f ca="1">IFERROR(__xludf.DUMMYFUNCTION("""COMPUTED_VALUE"""),"MARIA PINTO")</f>
        <v>MARIA PINTO</v>
      </c>
    </row>
    <row r="1345" spans="1:4">
      <c r="A1345" s="7">
        <f ca="1">IFERROR(__xludf.DUMMYFUNCTION("""COMPUTED_VALUE"""),44027)</f>
        <v>44027</v>
      </c>
      <c r="B1345" s="6" t="str">
        <f ca="1">IFERROR(__xludf.DUMMYFUNCTION("""COMPUTED_VALUE"""),"-33.6050-70.8993")</f>
        <v>-33.6050-70.8993</v>
      </c>
      <c r="C1345" s="6" t="str">
        <f ca="1">IFERROR(__xludf.DUMMYFUNCTION("""COMPUTED_VALUE"""),"EMILIA LASCAR 238")</f>
        <v>EMILIA LASCAR 238</v>
      </c>
      <c r="D1345" s="6" t="str">
        <f ca="1">IFERROR(__xludf.DUMMYFUNCTION("""COMPUTED_VALUE"""),"PEÑAFLOR")</f>
        <v>PEÑAFLOR</v>
      </c>
    </row>
    <row r="1346" spans="1:4">
      <c r="A1346" s="7">
        <f ca="1">IFERROR(__xludf.DUMMYFUNCTION("""COMPUTED_VALUE"""),44027)</f>
        <v>44027</v>
      </c>
      <c r="B1346" s="6" t="str">
        <f ca="1">IFERROR(__xludf.DUMMYFUNCTION("""COMPUTED_VALUE"""),"-33.604573-70.851103")</f>
        <v>-33.604573-70.851103</v>
      </c>
      <c r="C1346" s="6" t="str">
        <f ca="1">IFERROR(__xludf.DUMMYFUNCTION("""COMPUTED_VALUE"""),"PAUL HARRIS 180")</f>
        <v>PAUL HARRIS 180</v>
      </c>
      <c r="D1346" s="6" t="str">
        <f ca="1">IFERROR(__xludf.DUMMYFUNCTION("""COMPUTED_VALUE"""),"PEÑAFLOR")</f>
        <v>PEÑAFLOR</v>
      </c>
    </row>
    <row r="1347" spans="1:4">
      <c r="A1347" s="7">
        <f ca="1">IFERROR(__xludf.DUMMYFUNCTION("""COMPUTED_VALUE"""),44027)</f>
        <v>44027</v>
      </c>
      <c r="B1347" s="6" t="str">
        <f ca="1">IFERROR(__xludf.DUMMYFUNCTION("""COMPUTED_VALUE"""),"-33.597803-70.848291")</f>
        <v>-33.597803-70.848291</v>
      </c>
      <c r="C1347" s="6" t="str">
        <f ca="1">IFERROR(__xludf.DUMMYFUNCTION("""COMPUTED_VALUE"""),"LOS PAJARITOS 0602")</f>
        <v>LOS PAJARITOS 0602</v>
      </c>
      <c r="D1347" s="6" t="str">
        <f ca="1">IFERROR(__xludf.DUMMYFUNCTION("""COMPUTED_VALUE"""),"PEÑAFLOR")</f>
        <v>PEÑAFLOR</v>
      </c>
    </row>
    <row r="1348" spans="1:4">
      <c r="A1348" s="7">
        <f ca="1">IFERROR(__xludf.DUMMYFUNCTION("""COMPUTED_VALUE"""),44027)</f>
        <v>44027</v>
      </c>
      <c r="B1348" s="6" t="str">
        <f ca="1">IFERROR(__xludf.DUMMYFUNCTION("""COMPUTED_VALUE"""),"-33.5851636-70.8152254")</f>
        <v>-33.5851636-70.8152254</v>
      </c>
      <c r="C1348" s="6" t="str">
        <f ca="1">IFERROR(__xludf.DUMMYFUNCTION("""COMPUTED_VALUE"""),"LOS LIRIOS 470")</f>
        <v>LOS LIRIOS 470</v>
      </c>
      <c r="D1348" s="6" t="str">
        <f ca="1">IFERROR(__xludf.DUMMYFUNCTION("""COMPUTED_VALUE"""),"PADRE HURTADO")</f>
        <v>PADRE HURTADO</v>
      </c>
    </row>
    <row r="1349" spans="1:4">
      <c r="A1349" s="7">
        <f ca="1">IFERROR(__xludf.DUMMYFUNCTION("""COMPUTED_VALUE"""),44027)</f>
        <v>44027</v>
      </c>
      <c r="B1349" s="6" t="str">
        <f ca="1">IFERROR(__xludf.DUMMYFUNCTION("""COMPUTED_VALUE"""),"-33.6099087-70.8818694")</f>
        <v>-33.6099087-70.8818694</v>
      </c>
      <c r="C1349" s="6" t="str">
        <f ca="1">IFERROR(__xludf.DUMMYFUNCTION("""COMPUTED_VALUE"""),"EL COMENDADOR 1348")</f>
        <v>EL COMENDADOR 1348</v>
      </c>
      <c r="D1349" s="6" t="str">
        <f ca="1">IFERROR(__xludf.DUMMYFUNCTION("""COMPUTED_VALUE"""),"PEÑAFLOR")</f>
        <v>PEÑAFLOR</v>
      </c>
    </row>
    <row r="1350" spans="1:4">
      <c r="A1350" s="7">
        <f ca="1">IFERROR(__xludf.DUMMYFUNCTION("""COMPUTED_VALUE"""),44027)</f>
        <v>44027</v>
      </c>
      <c r="B1350" s="6" t="str">
        <f ca="1">IFERROR(__xludf.DUMMYFUNCTION("""COMPUTED_VALUE"""),"-33.299377,-70.877257")</f>
        <v>-33.299377,-70.877257</v>
      </c>
      <c r="C1350" s="6" t="str">
        <f ca="1">IFERROR(__xludf.DUMMYFUNCTION("""COMPUTED_VALUE"""),"CAMINO LAS FLORES 1020")</f>
        <v>CAMINO LAS FLORES 1020</v>
      </c>
      <c r="D1350" s="6" t="str">
        <f ca="1">IFERROR(__xludf.DUMMYFUNCTION("""COMPUTED_VALUE"""),"LAMPA")</f>
        <v>LAMPA</v>
      </c>
    </row>
    <row r="1351" spans="1:4">
      <c r="A1351" s="7">
        <f ca="1">IFERROR(__xludf.DUMMYFUNCTION("""COMPUTED_VALUE"""),44027)</f>
        <v>44027</v>
      </c>
      <c r="B1351" s="6" t="str">
        <f ca="1">IFERROR(__xludf.DUMMYFUNCTION("""COMPUTED_VALUE"""),"-33.288247,-70.877550")</f>
        <v>-33.288247,-70.877550</v>
      </c>
      <c r="C1351" s="6" t="str">
        <f ca="1">IFERROR(__xludf.DUMMYFUNCTION("""COMPUTED_VALUE"""),"PASAJE LAGO VILLARRICA 1268")</f>
        <v>PASAJE LAGO VILLARRICA 1268</v>
      </c>
      <c r="D1351" s="6" t="str">
        <f ca="1">IFERROR(__xludf.DUMMYFUNCTION("""COMPUTED_VALUE"""),"LAMPA")</f>
        <v>LAMPA</v>
      </c>
    </row>
    <row r="1352" spans="1:4">
      <c r="A1352" s="7">
        <f ca="1">IFERROR(__xludf.DUMMYFUNCTION("""COMPUTED_VALUE"""),44027)</f>
        <v>44027</v>
      </c>
      <c r="B1352" s="6" t="str">
        <f ca="1">IFERROR(__xludf.DUMMYFUNCTION("""COMPUTED_VALUE"""),"-33.284533 - 70.885557")</f>
        <v>-33.284533 - 70.885557</v>
      </c>
      <c r="C1352" s="6" t="str">
        <f ca="1">IFERROR(__xludf.DUMMYFUNCTION("""COMPUTED_VALUE"""),"PJE PROFESOR FIDEL V 494 ")</f>
        <v xml:space="preserve">PJE PROFESOR FIDEL V 494 </v>
      </c>
      <c r="D1352" s="6" t="str">
        <f ca="1">IFERROR(__xludf.DUMMYFUNCTION("""COMPUTED_VALUE"""),"LAMPA")</f>
        <v>LAMPA</v>
      </c>
    </row>
    <row r="1353" spans="1:4">
      <c r="A1353" s="7">
        <f ca="1">IFERROR(__xludf.DUMMYFUNCTION("""COMPUTED_VALUE"""),44027)</f>
        <v>44027</v>
      </c>
      <c r="B1353" s="6" t="str">
        <f ca="1">IFERROR(__xludf.DUMMYFUNCTION("""COMPUTED_VALUE"""),"-33.232712 - 70.810970")</f>
        <v>-33.232712 - 70.810970</v>
      </c>
      <c r="C1353" s="6" t="str">
        <f ca="1">IFERROR(__xludf.DUMMYFUNCTION("""COMPUTED_VALUE"""),"CALLE FIGUEROA M/34 ST/1 0")</f>
        <v>CALLE FIGUEROA M/34 ST/1 0</v>
      </c>
      <c r="D1353" s="6" t="str">
        <f ca="1">IFERROR(__xludf.DUMMYFUNCTION("""COMPUTED_VALUE"""),"LAMPA")</f>
        <v>LAMPA</v>
      </c>
    </row>
    <row r="1354" spans="1:4">
      <c r="A1354" s="7">
        <f ca="1">IFERROR(__xludf.DUMMYFUNCTION("""COMPUTED_VALUE"""),44027)</f>
        <v>44027</v>
      </c>
      <c r="B1354" s="6" t="str">
        <f ca="1">IFERROR(__xludf.DUMMYFUNCTION("""COMPUTED_VALUE"""),"-33.232712 - 70.810970")</f>
        <v>-33.232712 - 70.810970</v>
      </c>
      <c r="C1354" s="6" t="str">
        <f ca="1">IFERROR(__xludf.DUMMYFUNCTION("""COMPUTED_VALUE"""),"CALLE FIGUEROA M/34 ST/1 0")</f>
        <v>CALLE FIGUEROA M/34 ST/1 0</v>
      </c>
      <c r="D1354" s="6" t="str">
        <f ca="1">IFERROR(__xludf.DUMMYFUNCTION("""COMPUTED_VALUE"""),"LAMPA")</f>
        <v>LAMPA</v>
      </c>
    </row>
    <row r="1355" spans="1:4">
      <c r="A1355" s="7">
        <f ca="1">IFERROR(__xludf.DUMMYFUNCTION("""COMPUTED_VALUE"""),44028)</f>
        <v>44028</v>
      </c>
      <c r="B1355" s="6" t="str">
        <f ca="1">IFERROR(__xludf.DUMMYFUNCTION("""COMPUTED_VALUE"""),"-33.339965-70.817012")</f>
        <v>-33.339965-70.817012</v>
      </c>
      <c r="C1355" s="6" t="str">
        <f ca="1">IFERROR(__xludf.DUMMYFUNCTION("""COMPUTED_VALUE"""),"CAMINO INTERIOR 36")</f>
        <v>CAMINO INTERIOR 36</v>
      </c>
      <c r="D1355" s="6" t="str">
        <f ca="1">IFERROR(__xludf.DUMMYFUNCTION("""COMPUTED_VALUE"""),"LAMPA")</f>
        <v>LAMPA</v>
      </c>
    </row>
    <row r="1356" spans="1:4">
      <c r="A1356" s="7">
        <f ca="1">IFERROR(__xludf.DUMMYFUNCTION("""COMPUTED_VALUE"""),44028)</f>
        <v>44028</v>
      </c>
      <c r="B1356" s="6" t="str">
        <f ca="1">IFERROR(__xludf.DUMMYFUNCTION("""COMPUTED_VALUE"""),"-33.1341800-70.6156700")</f>
        <v>-33.1341800-70.6156700</v>
      </c>
      <c r="C1356" s="6" t="str">
        <f ca="1">IFERROR(__xludf.DUMMYFUNCTION("""COMPUTED_VALUE"""),"SANTA MARTA LIRAY SITIO 5 A")</f>
        <v>SANTA MARTA LIRAY SITIO 5 A</v>
      </c>
      <c r="D1356" s="6" t="str">
        <f ca="1">IFERROR(__xludf.DUMMYFUNCTION("""COMPUTED_VALUE"""),"COLINA")</f>
        <v>COLINA</v>
      </c>
    </row>
    <row r="1357" spans="1:4">
      <c r="A1357" s="7">
        <f ca="1">IFERROR(__xludf.DUMMYFUNCTION("""COMPUTED_VALUE"""),44029)</f>
        <v>44029</v>
      </c>
      <c r="B1357" s="8" t="str">
        <f ca="1">IFERROR(__xludf.DUMMYFUNCTION("""COMPUTED_VALUE"""),"-33.664449,-70.920314")</f>
        <v>-33.664449,-70.920314</v>
      </c>
      <c r="C1357" s="6" t="str">
        <f ca="1">IFERROR(__xludf.DUMMYFUNCTION("""COMPUTED_VALUE"""),"PASAJE OCHO 561")</f>
        <v>PASAJE OCHO 561</v>
      </c>
      <c r="D1357" s="6" t="str">
        <f ca="1">IFERROR(__xludf.DUMMYFUNCTION("""COMPUTED_VALUE"""),"TALAGANTE")</f>
        <v>TALAGANTE</v>
      </c>
    </row>
    <row r="1358" spans="1:4">
      <c r="A1358" s="7">
        <f ca="1">IFERROR(__xludf.DUMMYFUNCTION("""COMPUTED_VALUE"""),44029)</f>
        <v>44029</v>
      </c>
      <c r="B1358" s="8" t="str">
        <f ca="1">IFERROR(__xludf.DUMMYFUNCTION("""COMPUTED_VALUE"""),"-33.462074,-71.079626")</f>
        <v>-33.462074,-71.079626</v>
      </c>
      <c r="C1358" s="6" t="str">
        <f ca="1">IFERROR(__xludf.DUMMYFUNCTION("""COMPUTED_VALUE"""),"LOS CANELOS 287")</f>
        <v>LOS CANELOS 287</v>
      </c>
      <c r="D1358" s="6" t="str">
        <f ca="1">IFERROR(__xludf.DUMMYFUNCTION("""COMPUTED_VALUE"""),"MARIA PINTO")</f>
        <v>MARIA PINTO</v>
      </c>
    </row>
    <row r="1359" spans="1:4">
      <c r="A1359" s="7">
        <f ca="1">IFERROR(__xludf.DUMMYFUNCTION("""COMPUTED_VALUE"""),44029)</f>
        <v>44029</v>
      </c>
      <c r="B1359" s="8" t="str">
        <f ca="1">IFERROR(__xludf.DUMMYFUNCTION("""COMPUTED_VALUE"""),"-33.6634269,-70.6661244")</f>
        <v>-33.6634269,-70.6661244</v>
      </c>
      <c r="C1359" s="6" t="str">
        <f ca="1">IFERROR(__xludf.DUMMYFUNCTION("""COMPUTED_VALUE"""),"EL ESFUERZO 10 VILLA SUR")</f>
        <v>EL ESFUERZO 10 VILLA SUR</v>
      </c>
      <c r="D1359" s="6" t="str">
        <f ca="1">IFERROR(__xludf.DUMMYFUNCTION("""COMPUTED_VALUE"""),"BUIN")</f>
        <v>BUIN</v>
      </c>
    </row>
    <row r="1360" spans="1:4">
      <c r="A1360" s="7">
        <f ca="1">IFERROR(__xludf.DUMMYFUNCTION("""COMPUTED_VALUE"""),44029)</f>
        <v>44029</v>
      </c>
      <c r="B1360" s="8" t="str">
        <f ca="1">IFERROR(__xludf.DUMMYFUNCTION("""COMPUTED_VALUE"""),"-33.683610,-70.694810")</f>
        <v>-33.683610,-70.694810</v>
      </c>
      <c r="C1360" s="6" t="str">
        <f ca="1">IFERROR(__xludf.DUMMYFUNCTION("""COMPUTED_VALUE"""),"EL RECURSO 77")</f>
        <v>EL RECURSO 77</v>
      </c>
      <c r="D1360" s="6" t="str">
        <f ca="1">IFERROR(__xludf.DUMMYFUNCTION("""COMPUTED_VALUE"""),"BUIN")</f>
        <v>BUIN</v>
      </c>
    </row>
    <row r="1361" spans="1:4">
      <c r="A1361" s="7">
        <f ca="1">IFERROR(__xludf.DUMMYFUNCTION("""COMPUTED_VALUE"""),44029)</f>
        <v>44029</v>
      </c>
      <c r="B1361" s="8" t="str">
        <f ca="1">IFERROR(__xludf.DUMMYFUNCTION("""COMPUTED_VALUE"""),"-33.746722,-70.749881")</f>
        <v>-33.746722,-70.749881</v>
      </c>
      <c r="C1361" s="6" t="str">
        <f ca="1">IFERROR(__xludf.DUMMYFUNCTION("""COMPUTED_VALUE"""),"ADOLFO MENDEZ 825")</f>
        <v>ADOLFO MENDEZ 825</v>
      </c>
      <c r="D1361" s="6" t="str">
        <f ca="1">IFERROR(__xludf.DUMMYFUNCTION("""COMPUTED_VALUE"""),"BUIN")</f>
        <v>BUIN</v>
      </c>
    </row>
    <row r="1362" spans="1:4">
      <c r="A1362" s="7">
        <f ca="1">IFERROR(__xludf.DUMMYFUNCTION("""COMPUTED_VALUE"""),44029)</f>
        <v>44029</v>
      </c>
      <c r="B1362" s="6" t="str">
        <f ca="1">IFERROR(__xludf.DUMMYFUNCTION("""COMPUTED_VALUE"""),"-33.3276279-70.7629868")</f>
        <v>-33.3276279-70.7629868</v>
      </c>
      <c r="C1362" s="6" t="str">
        <f ca="1">IFERROR(__xludf.DUMMYFUNCTION("""COMPUTED_VALUE"""),"TOTORALILLO 730")</f>
        <v>TOTORALILLO 730</v>
      </c>
      <c r="D1362" s="6" t="str">
        <f ca="1">IFERROR(__xludf.DUMMYFUNCTION("""COMPUTED_VALUE"""),"LAMPA")</f>
        <v>LAMPA</v>
      </c>
    </row>
    <row r="1363" spans="1:4">
      <c r="A1363" s="7">
        <f ca="1">IFERROR(__xludf.DUMMYFUNCTION("""COMPUTED_VALUE"""),44029)</f>
        <v>44029</v>
      </c>
      <c r="B1363" s="6" t="str">
        <f ca="1">IFERROR(__xludf.DUMMYFUNCTION("""COMPUTED_VALUE"""),"-33.5883-70.8481")</f>
        <v>-33.5883-70.8481</v>
      </c>
      <c r="C1363" s="6" t="str">
        <f ca="1">IFERROR(__xludf.DUMMYFUNCTION("""COMPUTED_VALUE"""),"PAJARITO INTERIOR PARCELA 2A")</f>
        <v>PAJARITO INTERIOR PARCELA 2A</v>
      </c>
      <c r="D1363" s="6" t="str">
        <f ca="1">IFERROR(__xludf.DUMMYFUNCTION("""COMPUTED_VALUE"""),"PEÑAFLOR")</f>
        <v>PEÑAFLOR</v>
      </c>
    </row>
    <row r="1364" spans="1:4">
      <c r="A1364" s="7">
        <f ca="1">IFERROR(__xludf.DUMMYFUNCTION("""COMPUTED_VALUE"""),44029)</f>
        <v>44029</v>
      </c>
      <c r="B1364" s="6" t="str">
        <f ca="1">IFERROR(__xludf.DUMMYFUNCTION("""COMPUTED_VALUE"""),"-33.601395-70.874019")</f>
        <v>-33.601395-70.874019</v>
      </c>
      <c r="C1364" s="6" t="str">
        <f ca="1">IFERROR(__xludf.DUMMYFUNCTION("""COMPUTED_VALUE"""),"LARRAIN 2061")</f>
        <v>LARRAIN 2061</v>
      </c>
      <c r="D1364" s="6" t="str">
        <f ca="1">IFERROR(__xludf.DUMMYFUNCTION("""COMPUTED_VALUE"""),"PEÑAFLOR")</f>
        <v>PEÑAFLOR</v>
      </c>
    </row>
    <row r="1365" spans="1:4">
      <c r="A1365" s="7">
        <f ca="1">IFERROR(__xludf.DUMMYFUNCTION("""COMPUTED_VALUE"""),44029)</f>
        <v>44029</v>
      </c>
      <c r="B1365" s="6" t="str">
        <f ca="1">IFERROR(__xludf.DUMMYFUNCTION("""COMPUTED_VALUE"""),"-33.600233-70.871691")</f>
        <v>-33.600233-70.871691</v>
      </c>
      <c r="C1365" s="6" t="str">
        <f ca="1">IFERROR(__xludf.DUMMYFUNCTION("""COMPUTED_VALUE"""),"NUEVA SEIS 1962")</f>
        <v>NUEVA SEIS 1962</v>
      </c>
      <c r="D1365" s="6" t="str">
        <f ca="1">IFERROR(__xludf.DUMMYFUNCTION("""COMPUTED_VALUE"""),"PEÑAFLOR")</f>
        <v>PEÑAFLOR</v>
      </c>
    </row>
    <row r="1366" spans="1:4">
      <c r="A1366" s="7">
        <f ca="1">IFERROR(__xludf.DUMMYFUNCTION("""COMPUTED_VALUE"""),44029)</f>
        <v>44029</v>
      </c>
      <c r="B1366" s="6" t="str">
        <f ca="1">IFERROR(__xludf.DUMMYFUNCTION("""COMPUTED_VALUE"""),"-33.5663-70.7872")</f>
        <v>-33.5663-70.7872</v>
      </c>
      <c r="C1366" s="6" t="str">
        <f ca="1">IFERROR(__xludf.DUMMYFUNCTION("""COMPUTED_VALUE"""),"PRIMERA AVENIDA 1545")</f>
        <v>PRIMERA AVENIDA 1545</v>
      </c>
      <c r="D1366" s="6" t="str">
        <f ca="1">IFERROR(__xludf.DUMMYFUNCTION("""COMPUTED_VALUE"""),"PADRE HURTADO")</f>
        <v>PADRE HURTADO</v>
      </c>
    </row>
    <row r="1367" spans="1:4">
      <c r="A1367" s="7">
        <f ca="1">IFERROR(__xludf.DUMMYFUNCTION("""COMPUTED_VALUE"""),44029)</f>
        <v>44029</v>
      </c>
      <c r="B1367" s="6" t="str">
        <f ca="1">IFERROR(__xludf.DUMMYFUNCTION("""COMPUTED_VALUE"""),"-33.312000-70.653334")</f>
        <v>-33.312000-70.653334</v>
      </c>
      <c r="C1367" s="6" t="str">
        <f ca="1">IFERROR(__xludf.DUMMYFUNCTION("""COMPUTED_VALUE"""),"LOS INGLESES 54 A")</f>
        <v>LOS INGLESES 54 A</v>
      </c>
      <c r="D1367" s="6" t="str">
        <f ca="1">IFERROR(__xludf.DUMMYFUNCTION("""COMPUTED_VALUE"""),"COLINA")</f>
        <v>COLINA</v>
      </c>
    </row>
    <row r="1368" spans="1:4">
      <c r="A1368" s="7">
        <f ca="1">IFERROR(__xludf.DUMMYFUNCTION("""COMPUTED_VALUE"""),44030)</f>
        <v>44030</v>
      </c>
      <c r="B1368" s="6" t="str">
        <f ca="1">IFERROR(__xludf.DUMMYFUNCTION("""COMPUTED_VALUE"""),"-33.664414,-70.917465")</f>
        <v>-33.664414,-70.917465</v>
      </c>
      <c r="C1368" s="6" t="str">
        <f ca="1">IFERROR(__xludf.DUMMYFUNCTION("""COMPUTED_VALUE"""),"LOS TORNEROS 1330")</f>
        <v>LOS TORNEROS 1330</v>
      </c>
      <c r="D1368" s="6" t="str">
        <f ca="1">IFERROR(__xludf.DUMMYFUNCTION("""COMPUTED_VALUE"""),"TALAGANTE")</f>
        <v>TALAGANTE</v>
      </c>
    </row>
    <row r="1369" spans="1:4">
      <c r="A1369" s="7">
        <f ca="1">IFERROR(__xludf.DUMMYFUNCTION("""COMPUTED_VALUE"""),44030)</f>
        <v>44030</v>
      </c>
      <c r="B1369" s="6" t="str">
        <f ca="1">IFERROR(__xludf.DUMMYFUNCTION("""COMPUTED_VALUE"""),"-33.710085,-70.851828")</f>
        <v>-33.710085,-70.851828</v>
      </c>
      <c r="C1369" s="6" t="str">
        <f ca="1">IFERROR(__xludf.DUMMYFUNCTION("""COMPUTED_VALUE"""),"LAS ACACIAS 457 VILLA ESPERANZA ")</f>
        <v xml:space="preserve">LAS ACACIAS 457 VILLA ESPERANZA </v>
      </c>
      <c r="D1369" s="6" t="str">
        <f ca="1">IFERROR(__xludf.DUMMYFUNCTION("""COMPUTED_VALUE"""),"TALAGANTE")</f>
        <v>TALAGANTE</v>
      </c>
    </row>
    <row r="1370" spans="1:4">
      <c r="A1370" s="7">
        <f ca="1">IFERROR(__xludf.DUMMYFUNCTION("""COMPUTED_VALUE"""),44030)</f>
        <v>44030</v>
      </c>
      <c r="B1370" s="6" t="str">
        <f ca="1">IFERROR(__xludf.DUMMYFUNCTION("""COMPUTED_VALUE"""),"-33.688257,-70.853251")</f>
        <v>-33.688257,-70.853251</v>
      </c>
      <c r="C1370" s="6" t="str">
        <f ca="1">IFERROR(__xludf.DUMMYFUNCTION("""COMPUTED_VALUE"""),"SEC. 3 CALLE CAMINO LONQUEN SUR AREA 1 ST. 02 ")</f>
        <v xml:space="preserve">SEC. 3 CALLE CAMINO LONQUEN SUR AREA 1 ST. 02 </v>
      </c>
      <c r="D1370" s="6" t="str">
        <f ca="1">IFERROR(__xludf.DUMMYFUNCTION("""COMPUTED_VALUE"""),"TALAGANTE")</f>
        <v>TALAGANTE</v>
      </c>
    </row>
    <row r="1371" spans="1:4">
      <c r="A1371" s="7">
        <f ca="1">IFERROR(__xludf.DUMMYFUNCTION("""COMPUTED_VALUE"""),44030)</f>
        <v>44030</v>
      </c>
      <c r="B1371" s="6" t="str">
        <f ca="1">IFERROR(__xludf.DUMMYFUNCTION("""COMPUTED_VALUE"""),"-33.668262,-70.930124")</f>
        <v>-33.668262,-70.930124</v>
      </c>
      <c r="C1371" s="6" t="str">
        <f ca="1">IFERROR(__xludf.DUMMYFUNCTION("""COMPUTED_VALUE"""),"LIBERTAD 1146 POSTE 270493")</f>
        <v>LIBERTAD 1146 POSTE 270493</v>
      </c>
      <c r="D1371" s="6" t="str">
        <f ca="1">IFERROR(__xludf.DUMMYFUNCTION("""COMPUTED_VALUE"""),"TALAGANTE")</f>
        <v>TALAGANTE</v>
      </c>
    </row>
    <row r="1372" spans="1:4">
      <c r="A1372" s="7">
        <f ca="1">IFERROR(__xludf.DUMMYFUNCTION("""COMPUTED_VALUE"""),44030)</f>
        <v>44030</v>
      </c>
      <c r="B1372" s="6" t="str">
        <f ca="1">IFERROR(__xludf.DUMMYFUNCTION("""COMPUTED_VALUE"""),"-33.668262,-70.930124")</f>
        <v>-33.668262,-70.930124</v>
      </c>
      <c r="C1372" s="6" t="str">
        <f ca="1">IFERROR(__xludf.DUMMYFUNCTION("""COMPUTED_VALUE"""),"LIBERTAD 1146 POSTE 270493")</f>
        <v>LIBERTAD 1146 POSTE 270493</v>
      </c>
      <c r="D1372" s="6" t="str">
        <f ca="1">IFERROR(__xludf.DUMMYFUNCTION("""COMPUTED_VALUE"""),"TALAGANTE")</f>
        <v>TALAGANTE</v>
      </c>
    </row>
    <row r="1373" spans="1:4">
      <c r="A1373" s="7">
        <f ca="1">IFERROR(__xludf.DUMMYFUNCTION("""COMPUTED_VALUE"""),44030)</f>
        <v>44030</v>
      </c>
      <c r="B1373" s="6" t="str">
        <f ca="1">IFERROR(__xludf.DUMMYFUNCTION("""COMPUTED_VALUE"""),"-33.688257,-70.853251")</f>
        <v>-33.688257,-70.853251</v>
      </c>
      <c r="C1373" s="6" t="str">
        <f ca="1">IFERROR(__xludf.DUMMYFUNCTION("""COMPUTED_VALUE"""),"SEC. 3 CALLE CAMINO LONQUEN SUR AREA 1 ST. 02 ")</f>
        <v xml:space="preserve">SEC. 3 CALLE CAMINO LONQUEN SUR AREA 1 ST. 02 </v>
      </c>
      <c r="D1373" s="6" t="str">
        <f ca="1">IFERROR(__xludf.DUMMYFUNCTION("""COMPUTED_VALUE"""),"TALAGANTE")</f>
        <v>TALAGANTE</v>
      </c>
    </row>
    <row r="1374" spans="1:4">
      <c r="A1374" s="7">
        <f ca="1">IFERROR(__xludf.DUMMYFUNCTION("""COMPUTED_VALUE"""),44030)</f>
        <v>44030</v>
      </c>
      <c r="B1374" s="6" t="str">
        <f ca="1">IFERROR(__xludf.DUMMYFUNCTION("""COMPUTED_VALUE"""),"-33.689368,-71.036362")</f>
        <v>-33.689368,-71.036362</v>
      </c>
      <c r="C1374" s="6" t="str">
        <f ca="1">IFERROR(__xludf.DUMMYFUNCTION("""COMPUTED_VALUE"""),"PERU 093")</f>
        <v>PERU 093</v>
      </c>
      <c r="D1374" s="6" t="str">
        <f ca="1">IFERROR(__xludf.DUMMYFUNCTION("""COMPUTED_VALUE"""),"EL MONTE")</f>
        <v>EL MONTE</v>
      </c>
    </row>
    <row r="1375" spans="1:4">
      <c r="A1375" s="7">
        <f ca="1">IFERROR(__xludf.DUMMYFUNCTION("""COMPUTED_VALUE"""),44030)</f>
        <v>44030</v>
      </c>
      <c r="B1375" s="6" t="str">
        <f ca="1">IFERROR(__xludf.DUMMYFUNCTION("""COMPUTED_VALUE"""),"-33.686400,-71.028651")</f>
        <v>-33.686400,-71.028651</v>
      </c>
      <c r="C1375" s="6" t="str">
        <f ca="1">IFERROR(__xludf.DUMMYFUNCTION("""COMPUTED_VALUE"""),"LOS ENCINOS 1242")</f>
        <v>LOS ENCINOS 1242</v>
      </c>
      <c r="D1375" s="6" t="str">
        <f ca="1">IFERROR(__xludf.DUMMYFUNCTION("""COMPUTED_VALUE"""),"EL MONTE")</f>
        <v>EL MONTE</v>
      </c>
    </row>
    <row r="1376" spans="1:4">
      <c r="A1376" s="7">
        <f ca="1">IFERROR(__xludf.DUMMYFUNCTION("""COMPUTED_VALUE"""),44030)</f>
        <v>44030</v>
      </c>
      <c r="B1376" s="6" t="str">
        <f ca="1">IFERROR(__xludf.DUMMYFUNCTION("""COMPUTED_VALUE"""),"-33.516038,-70.708668")</f>
        <v>-33.516038,-70.708668</v>
      </c>
      <c r="C1376" s="6" t="str">
        <f ca="1">IFERROR(__xludf.DUMMYFUNCTION("""COMPUTED_VALUE"""),"MACARENA LA PUNTILLA 916")</f>
        <v>MACARENA LA PUNTILLA 916</v>
      </c>
      <c r="D1376" s="6" t="str">
        <f ca="1">IFERROR(__xludf.DUMMYFUNCTION("""COMPUTED_VALUE"""),"EL MONTE")</f>
        <v>EL MONTE</v>
      </c>
    </row>
    <row r="1377" spans="1:4">
      <c r="A1377" s="7">
        <f ca="1">IFERROR(__xludf.DUMMYFUNCTION("""COMPUTED_VALUE"""),44032)</f>
        <v>44032</v>
      </c>
      <c r="B1377" s="8" t="str">
        <f ca="1">IFERROR(__xludf.DUMMYFUNCTION("""COMPUTED_VALUE"""),"-33.731413, -70.751010")</f>
        <v>-33.731413, -70.751010</v>
      </c>
      <c r="C1377" s="6" t="str">
        <f ca="1">IFERROR(__xludf.DUMMYFUNCTION("""COMPUTED_VALUE"""),"LOS TULIPANES 227")</f>
        <v>LOS TULIPANES 227</v>
      </c>
      <c r="D1377" s="6" t="str">
        <f ca="1">IFERROR(__xludf.DUMMYFUNCTION("""COMPUTED_VALUE"""),"BUIN")</f>
        <v>BUIN</v>
      </c>
    </row>
    <row r="1378" spans="1:4">
      <c r="A1378" s="7">
        <f ca="1">IFERROR(__xludf.DUMMYFUNCTION("""COMPUTED_VALUE"""),44032)</f>
        <v>44032</v>
      </c>
      <c r="B1378" s="8" t="str">
        <f ca="1">IFERROR(__xludf.DUMMYFUNCTION("""COMPUTED_VALUE"""),"-33.733946,-70.736332")</f>
        <v>-33.733946,-70.736332</v>
      </c>
      <c r="C1378" s="6" t="str">
        <f ca="1">IFERROR(__xludf.DUMMYFUNCTION("""COMPUTED_VALUE"""),"MAIPU 50")</f>
        <v>MAIPU 50</v>
      </c>
      <c r="D1378" s="6" t="str">
        <f ca="1">IFERROR(__xludf.DUMMYFUNCTION("""COMPUTED_VALUE"""),"BUIN")</f>
        <v>BUIN</v>
      </c>
    </row>
    <row r="1379" spans="1:4">
      <c r="A1379" s="7">
        <f ca="1">IFERROR(__xludf.DUMMYFUNCTION("""COMPUTED_VALUE"""),44032)</f>
        <v>44032</v>
      </c>
      <c r="B1379" s="8" t="str">
        <f ca="1">IFERROR(__xludf.DUMMYFUNCTION("""COMPUTED_VALUE"""),"-33.686143,-70.953344")</f>
        <v>-33.686143,-70.953344</v>
      </c>
      <c r="C1379" s="6" t="str">
        <f ca="1">IFERROR(__xludf.DUMMYFUNCTION("""COMPUTED_VALUE"""),"SALVADOR ALLENDE GOSAUS 1252")</f>
        <v>SALVADOR ALLENDE GOSAUS 1252</v>
      </c>
      <c r="D1379" s="6" t="str">
        <f ca="1">IFERROR(__xludf.DUMMYFUNCTION("""COMPUTED_VALUE"""),"TALAGANTE")</f>
        <v>TALAGANTE</v>
      </c>
    </row>
    <row r="1380" spans="1:4">
      <c r="A1380" s="7">
        <f ca="1">IFERROR(__xludf.DUMMYFUNCTION("""COMPUTED_VALUE"""),44032)</f>
        <v>44032</v>
      </c>
      <c r="B1380" s="8" t="str">
        <f ca="1">IFERROR(__xludf.DUMMYFUNCTION("""COMPUTED_VALUE"""),"-33.462752,-71.080078")</f>
        <v>-33.462752,-71.080078</v>
      </c>
      <c r="C1380" s="6" t="str">
        <f ca="1">IFERROR(__xludf.DUMMYFUNCTION("""COMPUTED_VALUE"""),"GABRIELA MISTRAL 1870")</f>
        <v>GABRIELA MISTRAL 1870</v>
      </c>
      <c r="D1380" s="6" t="str">
        <f ca="1">IFERROR(__xludf.DUMMYFUNCTION("""COMPUTED_VALUE"""),"MARIA PINTO")</f>
        <v>MARIA PINTO</v>
      </c>
    </row>
    <row r="1381" spans="1:4">
      <c r="A1381" s="7">
        <f ca="1">IFERROR(__xludf.DUMMYFUNCTION("""COMPUTED_VALUE"""),44032)</f>
        <v>44032</v>
      </c>
      <c r="B1381" s="8" t="str">
        <f ca="1">IFERROR(__xludf.DUMMYFUNCTION("""COMPUTED_VALUE"""),"-33.462461,-71.081237")</f>
        <v>-33.462461,-71.081237</v>
      </c>
      <c r="C1381" s="6" t="str">
        <f ca="1">IFERROR(__xludf.DUMMYFUNCTION("""COMPUTED_VALUE"""),"SANTA RITA DE CACIA  1963")</f>
        <v>SANTA RITA DE CACIA  1963</v>
      </c>
      <c r="D1381" s="6" t="str">
        <f ca="1">IFERROR(__xludf.DUMMYFUNCTION("""COMPUTED_VALUE"""),"MARIA PINTO")</f>
        <v>MARIA PINTO</v>
      </c>
    </row>
    <row r="1382" spans="1:4">
      <c r="A1382" s="7">
        <f ca="1">IFERROR(__xludf.DUMMYFUNCTION("""COMPUTED_VALUE"""),44032)</f>
        <v>44032</v>
      </c>
      <c r="B1382" s="8" t="str">
        <f ca="1">IFERROR(__xludf.DUMMYFUNCTION("""COMPUTED_VALUE"""),"-33.462908,-71.080244")</f>
        <v>-33.462908,-71.080244</v>
      </c>
      <c r="C1382" s="6" t="str">
        <f ca="1">IFERROR(__xludf.DUMMYFUNCTION("""COMPUTED_VALUE"""),"GABRIELA MISTRAL 1897")</f>
        <v>GABRIELA MISTRAL 1897</v>
      </c>
      <c r="D1382" s="6" t="str">
        <f ca="1">IFERROR(__xludf.DUMMYFUNCTION("""COMPUTED_VALUE"""),"MARIA PINTO")</f>
        <v>MARIA PINTO</v>
      </c>
    </row>
    <row r="1383" spans="1:4">
      <c r="A1383" s="7">
        <f ca="1">IFERROR(__xludf.DUMMYFUNCTION("""COMPUTED_VALUE"""),44032)</f>
        <v>44032</v>
      </c>
      <c r="B1383" s="8" t="str">
        <f ca="1">IFERROR(__xludf.DUMMYFUNCTION("""COMPUTED_VALUE"""),"-33.461275,-71.080483")</f>
        <v>-33.461275,-71.080483</v>
      </c>
      <c r="C1383" s="6" t="str">
        <f ca="1">IFERROR(__xludf.DUMMYFUNCTION("""COMPUTED_VALUE"""),"JESUS NAZARENO 1888")</f>
        <v>JESUS NAZARENO 1888</v>
      </c>
      <c r="D1383" s="6" t="str">
        <f ca="1">IFERROR(__xludf.DUMMYFUNCTION("""COMPUTED_VALUE"""),"MARIA PINTO")</f>
        <v>MARIA PINTO</v>
      </c>
    </row>
    <row r="1384" spans="1:4">
      <c r="A1384" s="7">
        <f ca="1">IFERROR(__xludf.DUMMYFUNCTION("""COMPUTED_VALUE"""),44032)</f>
        <v>44032</v>
      </c>
      <c r="B1384" s="8" t="str">
        <f ca="1">IFERROR(__xludf.DUMMYFUNCTION("""COMPUTED_VALUE"""),"-33.4622713,-71.0798146")</f>
        <v>-33.4622713,-71.0798146</v>
      </c>
      <c r="C1384" s="6" t="str">
        <f ca="1">IFERROR(__xludf.DUMMYFUNCTION("""COMPUTED_VALUE"""),"SANTA RITA DE CACIA  1835")</f>
        <v>SANTA RITA DE CACIA  1835</v>
      </c>
      <c r="D1384" s="6" t="str">
        <f ca="1">IFERROR(__xludf.DUMMYFUNCTION("""COMPUTED_VALUE"""),"MARIA PINTO")</f>
        <v>MARIA PINTO</v>
      </c>
    </row>
    <row r="1385" spans="1:4">
      <c r="A1385" s="7">
        <f ca="1">IFERROR(__xludf.DUMMYFUNCTION("""COMPUTED_VALUE"""),44032)</f>
        <v>44032</v>
      </c>
      <c r="B1385" s="8" t="str">
        <f ca="1">IFERROR(__xludf.DUMMYFUNCTION("""COMPUTED_VALUE"""),"-33.476941,-71.123785")</f>
        <v>-33.476941,-71.123785</v>
      </c>
      <c r="C1385" s="6" t="str">
        <f ca="1">IFERROR(__xludf.DUMMYFUNCTION("""COMPUTED_VALUE"""),"EL REDIL SITIO 7")</f>
        <v>EL REDIL SITIO 7</v>
      </c>
      <c r="D1385" s="6" t="str">
        <f ca="1">IFERROR(__xludf.DUMMYFUNCTION("""COMPUTED_VALUE"""),"MARIA PINTO")</f>
        <v>MARIA PINTO</v>
      </c>
    </row>
    <row r="1386" spans="1:4">
      <c r="A1386" s="7">
        <f ca="1">IFERROR(__xludf.DUMMYFUNCTION("""COMPUTED_VALUE"""),44032)</f>
        <v>44032</v>
      </c>
      <c r="B1386" s="6" t="str">
        <f ca="1">IFERROR(__xludf.DUMMYFUNCTION("""COMPUTED_VALUE"""),"-33.601226-70.871821")</f>
        <v>-33.601226-70.871821</v>
      </c>
      <c r="C1386" s="6" t="str">
        <f ca="1">IFERROR(__xludf.DUMMYFUNCTION("""COMPUTED_VALUE"""),"VIOLETA PARRA 1831")</f>
        <v>VIOLETA PARRA 1831</v>
      </c>
      <c r="D1386" s="6" t="str">
        <f ca="1">IFERROR(__xludf.DUMMYFUNCTION("""COMPUTED_VALUE"""),"PEÑAFLOR")</f>
        <v>PEÑAFLOR</v>
      </c>
    </row>
    <row r="1387" spans="1:4">
      <c r="A1387" s="7">
        <f ca="1">IFERROR(__xludf.DUMMYFUNCTION("""COMPUTED_VALUE"""),44032)</f>
        <v>44032</v>
      </c>
      <c r="B1387" s="6" t="str">
        <f ca="1">IFERROR(__xludf.DUMMYFUNCTION("""COMPUTED_VALUE"""),"-33.601604-70.871474")</f>
        <v>-33.601604-70.871474</v>
      </c>
      <c r="C1387" s="6" t="str">
        <f ca="1">IFERROR(__xludf.DUMMYFUNCTION("""COMPUTED_VALUE"""),"VIOLETA PARRA 1790")</f>
        <v>VIOLETA PARRA 1790</v>
      </c>
      <c r="D1387" s="6" t="str">
        <f ca="1">IFERROR(__xludf.DUMMYFUNCTION("""COMPUTED_VALUE"""),"PEÑAFLOR")</f>
        <v>PEÑAFLOR</v>
      </c>
    </row>
    <row r="1388" spans="1:4">
      <c r="A1388" s="7">
        <f ca="1">IFERROR(__xludf.DUMMYFUNCTION("""COMPUTED_VALUE"""),44032)</f>
        <v>44032</v>
      </c>
      <c r="B1388" s="6" t="str">
        <f ca="1">IFERROR(__xludf.DUMMYFUNCTION("""COMPUTED_VALUE"""),"-33.5882-70.8479")</f>
        <v>-33.5882-70.8479</v>
      </c>
      <c r="C1388" s="6" t="str">
        <f ca="1">IFERROR(__xludf.DUMMYFUNCTION("""COMPUTED_VALUE"""),"PAJARITO INTERIOR PARCELA 2A")</f>
        <v>PAJARITO INTERIOR PARCELA 2A</v>
      </c>
      <c r="D1388" s="6" t="str">
        <f ca="1">IFERROR(__xludf.DUMMYFUNCTION("""COMPUTED_VALUE"""),"PEÑAFLOR")</f>
        <v>PEÑAFLOR</v>
      </c>
    </row>
    <row r="1389" spans="1:4">
      <c r="A1389" s="7">
        <f ca="1">IFERROR(__xludf.DUMMYFUNCTION("""COMPUTED_VALUE"""),44032)</f>
        <v>44032</v>
      </c>
      <c r="B1389" s="6" t="str">
        <f ca="1">IFERROR(__xludf.DUMMYFUNCTION("""COMPUTED_VALUE"""),"-33.575740-70.809021")</f>
        <v>-33.575740-70.809021</v>
      </c>
      <c r="C1389" s="6" t="str">
        <f ca="1">IFERROR(__xludf.DUMMYFUNCTION("""COMPUTED_VALUE"""),"LOS COPIHUES 1022")</f>
        <v>LOS COPIHUES 1022</v>
      </c>
      <c r="D1389" s="6" t="str">
        <f ca="1">IFERROR(__xludf.DUMMYFUNCTION("""COMPUTED_VALUE"""),"PADRE HURTADO")</f>
        <v>PADRE HURTADO</v>
      </c>
    </row>
    <row r="1390" spans="1:4">
      <c r="A1390" s="7">
        <f ca="1">IFERROR(__xludf.DUMMYFUNCTION("""COMPUTED_VALUE"""),44032)</f>
        <v>44032</v>
      </c>
      <c r="B1390" s="6" t="str">
        <f ca="1">IFERROR(__xludf.DUMMYFUNCTION("""COMPUTED_VALUE"""),"-33.225801 - 70.730063")</f>
        <v>-33.225801 - 70.730063</v>
      </c>
      <c r="C1390" s="6" t="str">
        <f ca="1">IFERROR(__xludf.DUMMYFUNCTION("""COMPUTED_VALUE"""),"SANTA ELENA SUR PAR 11 SIT/2")</f>
        <v>SANTA ELENA SUR PAR 11 SIT/2</v>
      </c>
      <c r="D1390" s="6" t="str">
        <f ca="1">IFERROR(__xludf.DUMMYFUNCTION("""COMPUTED_VALUE"""),"COLINA")</f>
        <v>COLINA</v>
      </c>
    </row>
    <row r="1391" spans="1:4">
      <c r="A1391" s="7">
        <f ca="1">IFERROR(__xludf.DUMMYFUNCTION("""COMPUTED_VALUE"""),44032)</f>
        <v>44032</v>
      </c>
      <c r="B1391" s="6" t="str">
        <f ca="1">IFERROR(__xludf.DUMMYFUNCTION("""COMPUTED_VALUE"""),"-33.225801 - 70.730063")</f>
        <v>-33.225801 - 70.730063</v>
      </c>
      <c r="C1391" s="6" t="str">
        <f ca="1">IFERROR(__xludf.DUMMYFUNCTION("""COMPUTED_VALUE"""),"SANTA ELENA SUR PAR 11 SIT/2")</f>
        <v>SANTA ELENA SUR PAR 11 SIT/2</v>
      </c>
      <c r="D1391" s="6" t="str">
        <f ca="1">IFERROR(__xludf.DUMMYFUNCTION("""COMPUTED_VALUE"""),"COLINA")</f>
        <v>COLINA</v>
      </c>
    </row>
    <row r="1392" spans="1:4">
      <c r="A1392" s="7">
        <f ca="1">IFERROR(__xludf.DUMMYFUNCTION("""COMPUTED_VALUE"""),44032)</f>
        <v>44032</v>
      </c>
      <c r="B1392" s="6" t="str">
        <f ca="1">IFERROR(__xludf.DUMMYFUNCTION("""COMPUTED_VALUE"""),"-33.225801 - 70.730063")</f>
        <v>-33.225801 - 70.730063</v>
      </c>
      <c r="C1392" s="6" t="str">
        <f ca="1">IFERROR(__xludf.DUMMYFUNCTION("""COMPUTED_VALUE"""),"SANTA ELENA SUR PAR 11 SIT/2")</f>
        <v>SANTA ELENA SUR PAR 11 SIT/2</v>
      </c>
      <c r="D1392" s="6" t="str">
        <f ca="1">IFERROR(__xludf.DUMMYFUNCTION("""COMPUTED_VALUE"""),"COLINA")</f>
        <v>COLINA</v>
      </c>
    </row>
    <row r="1393" spans="1:4">
      <c r="A1393" s="7">
        <f ca="1">IFERROR(__xludf.DUMMYFUNCTION("""COMPUTED_VALUE"""),44033)</f>
        <v>44033</v>
      </c>
      <c r="B1393" s="6" t="str">
        <f ca="1">IFERROR(__xludf.DUMMYFUNCTION("""COMPUTED_VALUE"""),"-33.339048-70.817173")</f>
        <v>-33.339048-70.817173</v>
      </c>
      <c r="C1393" s="6" t="str">
        <f ca="1">IFERROR(__xludf.DUMMYFUNCTION("""COMPUTED_VALUE"""),"CAMINO INTERIOS PARC 20 S36")</f>
        <v>CAMINO INTERIOS PARC 20 S36</v>
      </c>
      <c r="D1393" s="6" t="str">
        <f ca="1">IFERROR(__xludf.DUMMYFUNCTION("""COMPUTED_VALUE"""),"LAMPA")</f>
        <v>LAMPA</v>
      </c>
    </row>
    <row r="1394" spans="1:4">
      <c r="A1394" s="7">
        <f ca="1">IFERROR(__xludf.DUMMYFUNCTION("""COMPUTED_VALUE"""),44033)</f>
        <v>44033</v>
      </c>
      <c r="B1394" s="6" t="str">
        <f ca="1">IFERROR(__xludf.DUMMYFUNCTION("""COMPUTED_VALUE"""),"-33.327654-70.762704")</f>
        <v>-33.327654-70.762704</v>
      </c>
      <c r="C1394" s="6" t="str">
        <f ca="1">IFERROR(__xludf.DUMMYFUNCTION("""COMPUTED_VALUE"""),"TOTORALILLO 703")</f>
        <v>TOTORALILLO 703</v>
      </c>
      <c r="D1394" s="6" t="str">
        <f ca="1">IFERROR(__xludf.DUMMYFUNCTION("""COMPUTED_VALUE"""),"LAMPA")</f>
        <v>LAMPA</v>
      </c>
    </row>
    <row r="1395" spans="1:4">
      <c r="A1395" s="7">
        <f ca="1">IFERROR(__xludf.DUMMYFUNCTION("""COMPUTED_VALUE"""),44033)</f>
        <v>44033</v>
      </c>
      <c r="B1395" s="6" t="str">
        <f ca="1">IFERROR(__xludf.DUMMYFUNCTION("""COMPUTED_VALUE"""),"-33.584970-70.816917")</f>
        <v>-33.584970-70.816917</v>
      </c>
      <c r="C1395" s="6" t="str">
        <f ca="1">IFERROR(__xludf.DUMMYFUNCTION("""COMPUTED_VALUE"""),"EL COPIHUE 70 SITIO 2")</f>
        <v>EL COPIHUE 70 SITIO 2</v>
      </c>
      <c r="D1395" s="6" t="str">
        <f ca="1">IFERROR(__xludf.DUMMYFUNCTION("""COMPUTED_VALUE"""),"PADRE HURTADO")</f>
        <v>PADRE HURTADO</v>
      </c>
    </row>
    <row r="1396" spans="1:4">
      <c r="A1396" s="7">
        <f ca="1">IFERROR(__xludf.DUMMYFUNCTION("""COMPUTED_VALUE"""),44034)</f>
        <v>44034</v>
      </c>
      <c r="B1396" s="8" t="str">
        <f ca="1">IFERROR(__xludf.DUMMYFUNCTION("""COMPUTED_VALUE"""),"-33.677814,-70.948806")</f>
        <v>-33.677814,-70.948806</v>
      </c>
      <c r="C1396" s="6" t="str">
        <f ca="1">IFERROR(__xludf.DUMMYFUNCTION("""COMPUTED_VALUE"""),"PASAJE TRES 3044")</f>
        <v>PASAJE TRES 3044</v>
      </c>
      <c r="D1396" s="6" t="str">
        <f ca="1">IFERROR(__xludf.DUMMYFUNCTION("""COMPUTED_VALUE"""),"TALAGANTE")</f>
        <v>TALAGANTE</v>
      </c>
    </row>
    <row r="1397" spans="1:4">
      <c r="A1397" s="7">
        <f ca="1">IFERROR(__xludf.DUMMYFUNCTION("""COMPUTED_VALUE"""),44034)</f>
        <v>44034</v>
      </c>
      <c r="B1397" s="8" t="str">
        <f ca="1">IFERROR(__xludf.DUMMYFUNCTION("""COMPUTED_VALUE"""),"-33.717612, -70.742519")</f>
        <v>-33.717612, -70.742519</v>
      </c>
      <c r="C1397" s="6" t="str">
        <f ca="1">IFERROR(__xludf.DUMMYFUNCTION("""COMPUTED_VALUE"""),"BAJOS DE MATE 01120")</f>
        <v>BAJOS DE MATE 01120</v>
      </c>
      <c r="D1397" s="6" t="str">
        <f ca="1">IFERROR(__xludf.DUMMYFUNCTION("""COMPUTED_VALUE"""),"BUIN")</f>
        <v>BUIN</v>
      </c>
    </row>
    <row r="1398" spans="1:4">
      <c r="A1398" s="7">
        <f ca="1">IFERROR(__xludf.DUMMYFUNCTION("""COMPUTED_VALUE"""),44034)</f>
        <v>44034</v>
      </c>
      <c r="B1398" s="8" t="str">
        <f ca="1">IFERROR(__xludf.DUMMYFUNCTION("""COMPUTED_VALUE"""),"-33.463071,-71.081311")</f>
        <v>-33.463071,-71.081311</v>
      </c>
      <c r="C1398" s="6" t="str">
        <f ca="1">IFERROR(__xludf.DUMMYFUNCTION("""COMPUTED_VALUE"""),"LAS PARCELAS 213")</f>
        <v>LAS PARCELAS 213</v>
      </c>
      <c r="D1398" s="6" t="str">
        <f ca="1">IFERROR(__xludf.DUMMYFUNCTION("""COMPUTED_VALUE"""),"MARIA PINTO")</f>
        <v>MARIA PINTO</v>
      </c>
    </row>
    <row r="1399" spans="1:4">
      <c r="A1399" s="7">
        <f ca="1">IFERROR(__xludf.DUMMYFUNCTION("""COMPUTED_VALUE"""),44034)</f>
        <v>44034</v>
      </c>
      <c r="B1399" s="8" t="str">
        <f ca="1">IFERROR(__xludf.DUMMYFUNCTION("""COMPUTED_VALUE"""),"-33.486179,-71.267578")</f>
        <v>-33.486179,-71.267578</v>
      </c>
      <c r="C1399" s="6" t="str">
        <f ca="1">IFERROR(__xludf.DUMMYFUNCTION("""COMPUTED_VALUE"""),"CALLEJONLOS PIMIENTOS SITIO21")</f>
        <v>CALLEJONLOS PIMIENTOS SITIO21</v>
      </c>
      <c r="D1399" s="6" t="str">
        <f ca="1">IFERROR(__xludf.DUMMYFUNCTION("""COMPUTED_VALUE"""),"MARIA PINTO")</f>
        <v>MARIA PINTO</v>
      </c>
    </row>
    <row r="1400" spans="1:4">
      <c r="A1400" s="7">
        <f ca="1">IFERROR(__xludf.DUMMYFUNCTION("""COMPUTED_VALUE"""),44034)</f>
        <v>44034</v>
      </c>
      <c r="B1400" s="8" t="str">
        <f ca="1">IFERROR(__xludf.DUMMYFUNCTION("""COMPUTED_VALUE"""),"-33.512787,-70.242627")</f>
        <v>-33.512787,-70.242627</v>
      </c>
      <c r="C1400" s="6" t="str">
        <f ca="1">IFERROR(__xludf.DUMMYFUNCTION("""COMPUTED_VALUE"""),"CHOROMBO ALTO S/N CV8 LOS QUIYALLES")</f>
        <v>CHOROMBO ALTO S/N CV8 LOS QUIYALLES</v>
      </c>
      <c r="D1400" s="6" t="str">
        <f ca="1">IFERROR(__xludf.DUMMYFUNCTION("""COMPUTED_VALUE"""),"MARIA PINTO")</f>
        <v>MARIA PINTO</v>
      </c>
    </row>
    <row r="1401" spans="1:4">
      <c r="A1401" s="7">
        <f ca="1">IFERROR(__xludf.DUMMYFUNCTION("""COMPUTED_VALUE"""),44034)</f>
        <v>44034</v>
      </c>
      <c r="B1401" s="8" t="str">
        <f ca="1">IFERROR(__xludf.DUMMYFUNCTION("""COMPUTED_VALUE"""),"-33.484647,-71.140419")</f>
        <v>-33.484647,-71.140419</v>
      </c>
      <c r="C1401" s="6" t="str">
        <f ca="1">IFERROR(__xludf.DUMMYFUNCTION("""COMPUTED_VALUE"""),"EL REDIL S/N CV52")</f>
        <v>EL REDIL S/N CV52</v>
      </c>
      <c r="D1401" s="6" t="str">
        <f ca="1">IFERROR(__xludf.DUMMYFUNCTION("""COMPUTED_VALUE"""),"MARIA PINTO")</f>
        <v>MARIA PINTO</v>
      </c>
    </row>
    <row r="1402" spans="1:4">
      <c r="A1402" s="7">
        <f ca="1">IFERROR(__xludf.DUMMYFUNCTION("""COMPUTED_VALUE"""),44034)</f>
        <v>44034</v>
      </c>
      <c r="B1402" s="6" t="str">
        <f ca="1">IFERROR(__xludf.DUMMYFUNCTION("""COMPUTED_VALUE"""),"-33.6094-70.9199")</f>
        <v>-33.6094-70.9199</v>
      </c>
      <c r="C1402" s="6" t="str">
        <f ca="1">IFERROR(__xludf.DUMMYFUNCTION("""COMPUTED_VALUE"""),"AV. PEÑAFLOR PARC 8-C S/N")</f>
        <v>AV. PEÑAFLOR PARC 8-C S/N</v>
      </c>
      <c r="D1402" s="6" t="str">
        <f ca="1">IFERROR(__xludf.DUMMYFUNCTION("""COMPUTED_VALUE"""),"PEÑAFLOR")</f>
        <v>PEÑAFLOR</v>
      </c>
    </row>
    <row r="1403" spans="1:4">
      <c r="A1403" s="7">
        <f ca="1">IFERROR(__xludf.DUMMYFUNCTION("""COMPUTED_VALUE"""),44034)</f>
        <v>44034</v>
      </c>
      <c r="B1403" s="6" t="str">
        <f ca="1">IFERROR(__xludf.DUMMYFUNCTION("""COMPUTED_VALUE"""),"-33.601803-70.869751")</f>
        <v>-33.601803-70.869751</v>
      </c>
      <c r="C1403" s="6" t="str">
        <f ca="1">IFERROR(__xludf.DUMMYFUNCTION("""COMPUTED_VALUE"""),"OSMAN PEREZ FREIRE 1650")</f>
        <v>OSMAN PEREZ FREIRE 1650</v>
      </c>
      <c r="D1403" s="6" t="str">
        <f ca="1">IFERROR(__xludf.DUMMYFUNCTION("""COMPUTED_VALUE"""),"PEÑAFLOR")</f>
        <v>PEÑAFLOR</v>
      </c>
    </row>
    <row r="1404" spans="1:4">
      <c r="A1404" s="7">
        <f ca="1">IFERROR(__xludf.DUMMYFUNCTION("""COMPUTED_VALUE"""),44034)</f>
        <v>44034</v>
      </c>
      <c r="B1404" s="6" t="str">
        <f ca="1">IFERROR(__xludf.DUMMYFUNCTION("""COMPUTED_VALUE"""),"-33.600272-70.869313")</f>
        <v>-33.600272-70.869313</v>
      </c>
      <c r="C1404" s="6" t="str">
        <f ca="1">IFERROR(__xludf.DUMMYFUNCTION("""COMPUTED_VALUE"""),"CLAUDIO ARRAU 1675")</f>
        <v>CLAUDIO ARRAU 1675</v>
      </c>
      <c r="D1404" s="6" t="str">
        <f ca="1">IFERROR(__xludf.DUMMYFUNCTION("""COMPUTED_VALUE"""),"PEÑAFLOR")</f>
        <v>PEÑAFLOR</v>
      </c>
    </row>
    <row r="1405" spans="1:4">
      <c r="A1405" s="7">
        <f ca="1">IFERROR(__xludf.DUMMYFUNCTION("""COMPUTED_VALUE"""),44034)</f>
        <v>44034</v>
      </c>
      <c r="B1405" s="6" t="str">
        <f ca="1">IFERROR(__xludf.DUMMYFUNCTION("""COMPUTED_VALUE"""),"-33.669322,-70.943332")</f>
        <v>-33.669322,-70.943332</v>
      </c>
      <c r="C1405" s="6" t="str">
        <f ca="1">IFERROR(__xludf.DUMMYFUNCTION("""COMPUTED_VALUE"""),"CA COSTANERA RIO MAPOCHO SUR 2346")</f>
        <v>CA COSTANERA RIO MAPOCHO SUR 2346</v>
      </c>
      <c r="D1405" s="6" t="str">
        <f ca="1">IFERROR(__xludf.DUMMYFUNCTION("""COMPUTED_VALUE"""),"TALAGANTE")</f>
        <v>TALAGANTE</v>
      </c>
    </row>
    <row r="1406" spans="1:4">
      <c r="A1406" s="7">
        <f ca="1">IFERROR(__xludf.DUMMYFUNCTION("""COMPUTED_VALUE"""),44034)</f>
        <v>44034</v>
      </c>
      <c r="B1406" s="6" t="str">
        <f ca="1">IFERROR(__xludf.DUMMYFUNCTION("""COMPUTED_VALUE"""),"-33.665616,-70.933058")</f>
        <v>-33.665616,-70.933058</v>
      </c>
      <c r="C1406" s="6" t="str">
        <f ca="1">IFERROR(__xludf.DUMMYFUNCTION("""COMPUTED_VALUE"""),"AV. BERNARDO O'HIGGINS 1461")</f>
        <v>AV. BERNARDO O'HIGGINS 1461</v>
      </c>
      <c r="D1406" s="6" t="str">
        <f ca="1">IFERROR(__xludf.DUMMYFUNCTION("""COMPUTED_VALUE"""),"TALAGANTE")</f>
        <v>TALAGANTE</v>
      </c>
    </row>
    <row r="1407" spans="1:4">
      <c r="A1407" s="7">
        <f ca="1">IFERROR(__xludf.DUMMYFUNCTION("""COMPUTED_VALUE"""),44034)</f>
        <v>44034</v>
      </c>
      <c r="B1407" s="6" t="str">
        <f ca="1">IFERROR(__xludf.DUMMYFUNCTION("""COMPUTED_VALUE"""),"-33.682893,-71.003611")</f>
        <v>-33.682893,-71.003611</v>
      </c>
      <c r="C1407" s="6" t="str">
        <f ca="1">IFERROR(__xludf.DUMMYFUNCTION("""COMPUTED_VALUE"""),"CALLE DOCTRINA DE INDIA 29")</f>
        <v>CALLE DOCTRINA DE INDIA 29</v>
      </c>
      <c r="D1407" s="6" t="str">
        <f ca="1">IFERROR(__xludf.DUMMYFUNCTION("""COMPUTED_VALUE"""),"EL MONTE")</f>
        <v>EL MONTE</v>
      </c>
    </row>
    <row r="1408" spans="1:4">
      <c r="A1408" s="7">
        <f ca="1">IFERROR(__xludf.DUMMYFUNCTION("""COMPUTED_VALUE"""),44034)</f>
        <v>44034</v>
      </c>
      <c r="B1408" s="6" t="str">
        <f ca="1">IFERROR(__xludf.DUMMYFUNCTION("""COMPUTED_VALUE"""),"-33.686110,-71.028316")</f>
        <v>-33.686110,-71.028316</v>
      </c>
      <c r="C1408" s="6" t="str">
        <f ca="1">IFERROR(__xludf.DUMMYFUNCTION("""COMPUTED_VALUE"""),"EL LAGO LLANQUIGUE 13576")</f>
        <v>EL LAGO LLANQUIGUE 13576</v>
      </c>
      <c r="D1408" s="6" t="str">
        <f ca="1">IFERROR(__xludf.DUMMYFUNCTION("""COMPUTED_VALUE"""),"EL MONTE")</f>
        <v>EL MONTE</v>
      </c>
    </row>
    <row r="1409" spans="1:4">
      <c r="A1409" s="7">
        <f ca="1">IFERROR(__xludf.DUMMYFUNCTION("""COMPUTED_VALUE"""),44034)</f>
        <v>44034</v>
      </c>
      <c r="B1409" s="6" t="str">
        <f ca="1">IFERROR(__xludf.DUMMYFUNCTION("""COMPUTED_VALUE"""),"-33.683176,-70.997569")</f>
        <v>-33.683176,-70.997569</v>
      </c>
      <c r="C1409" s="6" t="str">
        <f ca="1">IFERROR(__xludf.DUMMYFUNCTION("""COMPUTED_VALUE"""),"LIBERTADORES 791-A")</f>
        <v>LIBERTADORES 791-A</v>
      </c>
      <c r="D1409" s="6" t="str">
        <f ca="1">IFERROR(__xludf.DUMMYFUNCTION("""COMPUTED_VALUE"""),"EL MONTE")</f>
        <v>EL MONTE</v>
      </c>
    </row>
    <row r="1410" spans="1:4">
      <c r="A1410" s="7">
        <f ca="1">IFERROR(__xludf.DUMMYFUNCTION("""COMPUTED_VALUE"""),44034)</f>
        <v>44034</v>
      </c>
      <c r="B1410" s="6" t="str">
        <f ca="1">IFERROR(__xludf.DUMMYFUNCTION("""COMPUTED_VALUE"""),"-33.676818,-70.990194")</f>
        <v>-33.676818,-70.990194</v>
      </c>
      <c r="C1410" s="6" t="str">
        <f ca="1">IFERROR(__xludf.DUMMYFUNCTION("""COMPUTED_VALUE"""),"LOS CRIOLLOS 5990")</f>
        <v>LOS CRIOLLOS 5990</v>
      </c>
      <c r="D1410" s="6" t="str">
        <f ca="1">IFERROR(__xludf.DUMMYFUNCTION("""COMPUTED_VALUE"""),"EL MONTE")</f>
        <v>EL MONTE</v>
      </c>
    </row>
    <row r="1411" spans="1:4">
      <c r="A1411" s="7">
        <f ca="1">IFERROR(__xludf.DUMMYFUNCTION("""COMPUTED_VALUE"""),44034)</f>
        <v>44034</v>
      </c>
      <c r="B1411" s="6" t="str">
        <f ca="1">IFERROR(__xludf.DUMMYFUNCTION("""COMPUTED_VALUE"""),"-33.217962 - 70.794162")</f>
        <v>-33.217962 - 70.794162</v>
      </c>
      <c r="C1411" s="6" t="str">
        <f ca="1">IFERROR(__xludf.DUMMYFUNCTION("""COMPUTED_VALUE"""),"SANTA CAROLINA, PARCELA 17 S/N ")</f>
        <v xml:space="preserve">SANTA CAROLINA, PARCELA 17 S/N </v>
      </c>
      <c r="D1411" s="6" t="str">
        <f ca="1">IFERROR(__xludf.DUMMYFUNCTION("""COMPUTED_VALUE"""),"LAMPA")</f>
        <v>LAMPA</v>
      </c>
    </row>
    <row r="1412" spans="1:4">
      <c r="A1412" s="7">
        <f ca="1">IFERROR(__xludf.DUMMYFUNCTION("""COMPUTED_VALUE"""),44034)</f>
        <v>44034</v>
      </c>
      <c r="B1412" s="6" t="str">
        <f ca="1">IFERROR(__xludf.DUMMYFUNCTION("""COMPUTED_VALUE"""),"-33.217962 - 70.794162")</f>
        <v>-33.217962 - 70.794162</v>
      </c>
      <c r="C1412" s="6" t="str">
        <f ca="1">IFERROR(__xludf.DUMMYFUNCTION("""COMPUTED_VALUE"""),"SANTA CAROLINA PARCELA 17 S/N")</f>
        <v>SANTA CAROLINA PARCELA 17 S/N</v>
      </c>
      <c r="D1412" s="6" t="str">
        <f ca="1">IFERROR(__xludf.DUMMYFUNCTION("""COMPUTED_VALUE"""),"LAMPA")</f>
        <v>LAMPA</v>
      </c>
    </row>
    <row r="1413" spans="1:4">
      <c r="A1413" s="7">
        <f ca="1">IFERROR(__xludf.DUMMYFUNCTION("""COMPUTED_VALUE"""),44034)</f>
        <v>44034</v>
      </c>
      <c r="B1413" s="6" t="str">
        <f ca="1">IFERROR(__xludf.DUMMYFUNCTION("""COMPUTED_VALUE"""),"-33.299751 - 70.881031")</f>
        <v>-33.299751 - 70.881031</v>
      </c>
      <c r="C1413" s="6" t="str">
        <f ca="1">IFERROR(__xludf.DUMMYFUNCTION("""COMPUTED_VALUE"""),"CAMINO LAS FLORES 1008 C/150")</f>
        <v>CAMINO LAS FLORES 1008 C/150</v>
      </c>
      <c r="D1413" s="6" t="str">
        <f ca="1">IFERROR(__xludf.DUMMYFUNCTION("""COMPUTED_VALUE"""),"LAMPA")</f>
        <v>LAMPA</v>
      </c>
    </row>
    <row r="1414" spans="1:4">
      <c r="A1414" s="7">
        <f ca="1">IFERROR(__xludf.DUMMYFUNCTION("""COMPUTED_VALUE"""),44035)</f>
        <v>44035</v>
      </c>
      <c r="B1414" s="8" t="str">
        <f ca="1">IFERROR(__xludf.DUMMYFUNCTION("""COMPUTED_VALUE"""),"-33.462451,-71.080366")</f>
        <v>-33.462451,-71.080366</v>
      </c>
      <c r="C1414" s="6" t="str">
        <f ca="1">IFERROR(__xludf.DUMMYFUNCTION("""COMPUTED_VALUE"""),"SANTA RITA DE CASIA 1875")</f>
        <v>SANTA RITA DE CASIA 1875</v>
      </c>
      <c r="D1414" s="6" t="str">
        <f ca="1">IFERROR(__xludf.DUMMYFUNCTION("""COMPUTED_VALUE"""),"MARIA PINTO")</f>
        <v>MARIA PINTO</v>
      </c>
    </row>
    <row r="1415" spans="1:4">
      <c r="A1415" s="7">
        <f ca="1">IFERROR(__xludf.DUMMYFUNCTION("""COMPUTED_VALUE"""),44035)</f>
        <v>44035</v>
      </c>
      <c r="B1415" s="8" t="str">
        <f ca="1">IFERROR(__xludf.DUMMYFUNCTION("""COMPUTED_VALUE"""),"-33.512787,-71.242962")</f>
        <v>-33.512787,-71.242962</v>
      </c>
      <c r="C1415" s="6" t="str">
        <f ca="1">IFERROR(__xludf.DUMMYFUNCTION("""COMPUTED_VALUE"""),"CHOROMBO ALTO S/N PARCELA 4")</f>
        <v>CHOROMBO ALTO S/N PARCELA 4</v>
      </c>
      <c r="D1415" s="6" t="str">
        <f ca="1">IFERROR(__xludf.DUMMYFUNCTION("""COMPUTED_VALUE"""),"MARIA PINTO")</f>
        <v>MARIA PINTO</v>
      </c>
    </row>
    <row r="1416" spans="1:4">
      <c r="A1416" s="7">
        <f ca="1">IFERROR(__xludf.DUMMYFUNCTION("""COMPUTED_VALUE"""),44035)</f>
        <v>44035</v>
      </c>
      <c r="B1416" s="8" t="str">
        <f ca="1">IFERROR(__xludf.DUMMYFUNCTION("""COMPUTED_VALUE"""),"-33.485854,-71.267018")</f>
        <v>-33.485854,-71.267018</v>
      </c>
      <c r="C1416" s="6" t="str">
        <f ca="1">IFERROR(__xludf.DUMMYFUNCTION("""COMPUTED_VALUE"""),"IBAZACHE ALTO SITIO 21")</f>
        <v>IBAZACHE ALTO SITIO 21</v>
      </c>
      <c r="D1416" s="6" t="str">
        <f ca="1">IFERROR(__xludf.DUMMYFUNCTION("""COMPUTED_VALUE"""),"MARIA PINTO")</f>
        <v>MARIA PINTO</v>
      </c>
    </row>
    <row r="1417" spans="1:4">
      <c r="A1417" s="7">
        <f ca="1">IFERROR(__xludf.DUMMYFUNCTION("""COMPUTED_VALUE"""),44035)</f>
        <v>44035</v>
      </c>
      <c r="B1417" s="8" t="str">
        <f ca="1">IFERROR(__xludf.DUMMYFUNCTION("""COMPUTED_VALUE"""),"-33.517028,-71.121127")</f>
        <v>-33.517028,-71.121127</v>
      </c>
      <c r="C1417" s="6" t="str">
        <f ca="1">IFERROR(__xludf.DUMMYFUNCTION("""COMPUTED_VALUE"""),"ONCE DE SEPTIEMBRE S/N 303")</f>
        <v>ONCE DE SEPTIEMBRE S/N 303</v>
      </c>
      <c r="D1417" s="6" t="str">
        <f ca="1">IFERROR(__xludf.DUMMYFUNCTION("""COMPUTED_VALUE"""),"MARIA PINTO")</f>
        <v>MARIA PINTO</v>
      </c>
    </row>
    <row r="1418" spans="1:4">
      <c r="A1418" s="7">
        <f ca="1">IFERROR(__xludf.DUMMYFUNCTION("""COMPUTED_VALUE"""),44035)</f>
        <v>44035</v>
      </c>
      <c r="B1418" s="6" t="str">
        <f ca="1">IFERROR(__xludf.DUMMYFUNCTION("""COMPUTED_VALUE"""),"-33.6073201-70.8932800")</f>
        <v>-33.6073201-70.8932800</v>
      </c>
      <c r="C1418" s="6" t="str">
        <f ca="1">IFERROR(__xludf.DUMMYFUNCTION("""COMPUTED_VALUE"""),"LO MARQUEZ 0806")</f>
        <v>LO MARQUEZ 0806</v>
      </c>
      <c r="D1418" s="6" t="str">
        <f ca="1">IFERROR(__xludf.DUMMYFUNCTION("""COMPUTED_VALUE"""),"PEÑAFLOR")</f>
        <v>PEÑAFLOR</v>
      </c>
    </row>
    <row r="1419" spans="1:4">
      <c r="A1419" s="7">
        <f ca="1">IFERROR(__xludf.DUMMYFUNCTION("""COMPUTED_VALUE"""),44035)</f>
        <v>44035</v>
      </c>
      <c r="B1419" s="6" t="str">
        <f ca="1">IFERROR(__xludf.DUMMYFUNCTION("""COMPUTED_VALUE"""),"-33.6085096-70.9048473")</f>
        <v>-33.6085096-70.9048473</v>
      </c>
      <c r="C1419" s="6" t="str">
        <f ca="1">IFERROR(__xludf.DUMMYFUNCTION("""COMPUTED_VALUE"""),"ARTURO PRAT 341")</f>
        <v>ARTURO PRAT 341</v>
      </c>
      <c r="D1419" s="6" t="str">
        <f ca="1">IFERROR(__xludf.DUMMYFUNCTION("""COMPUTED_VALUE"""),"PEÑAFLOR")</f>
        <v>PEÑAFLOR</v>
      </c>
    </row>
    <row r="1420" spans="1:4">
      <c r="A1420" s="7">
        <f ca="1">IFERROR(__xludf.DUMMYFUNCTION("""COMPUTED_VALUE"""),44035)</f>
        <v>44035</v>
      </c>
      <c r="B1420" s="6" t="str">
        <f ca="1">IFERROR(__xludf.DUMMYFUNCTION("""COMPUTED_VALUE"""),"-33.299193 - 70.879592")</f>
        <v>-33.299193 - 70.879592</v>
      </c>
      <c r="C1420" s="6" t="str">
        <f ca="1">IFERROR(__xludf.DUMMYFUNCTION("""COMPUTED_VALUE"""),"CAM LAS FLORES 1008 C/130 ")</f>
        <v xml:space="preserve">CAM LAS FLORES 1008 C/130 </v>
      </c>
      <c r="D1420" s="6" t="str">
        <f ca="1">IFERROR(__xludf.DUMMYFUNCTION("""COMPUTED_VALUE"""),"LAMPA")</f>
        <v>LAMPA</v>
      </c>
    </row>
    <row r="1421" spans="1:4">
      <c r="A1421" s="7">
        <f ca="1">IFERROR(__xludf.DUMMYFUNCTION("""COMPUTED_VALUE"""),44035)</f>
        <v>44035</v>
      </c>
      <c r="B1421" s="6" t="str">
        <f ca="1">IFERROR(__xludf.DUMMYFUNCTION("""COMPUTED_VALUE"""),"-33.299188 - 70.880523")</f>
        <v>-33.299188 - 70.880523</v>
      </c>
      <c r="C1421" s="6" t="str">
        <f ca="1">IFERROR(__xludf.DUMMYFUNCTION("""COMPUTED_VALUE"""),"CAMINO LAS FLORES 1008 C/68 ")</f>
        <v xml:space="preserve">CAMINO LAS FLORES 1008 C/68 </v>
      </c>
      <c r="D1421" s="6" t="str">
        <f ca="1">IFERROR(__xludf.DUMMYFUNCTION("""COMPUTED_VALUE"""),"LAMPA")</f>
        <v>LAMPA</v>
      </c>
    </row>
    <row r="1422" spans="1:4">
      <c r="A1422" s="7">
        <f ca="1">IFERROR(__xludf.DUMMYFUNCTION("""COMPUTED_VALUE"""),44035)</f>
        <v>44035</v>
      </c>
      <c r="B1422" s="6" t="str">
        <f ca="1">IFERROR(__xludf.DUMMYFUNCTION("""COMPUTED_VALUE"""),"-33.299604 - 70.879652")</f>
        <v>-33.299604 - 70.879652</v>
      </c>
      <c r="C1422" s="6" t="str">
        <f ca="1">IFERROR(__xludf.DUMMYFUNCTION("""COMPUTED_VALUE"""),"CAMINO LAS FLORES 1008 C/121")</f>
        <v>CAMINO LAS FLORES 1008 C/121</v>
      </c>
      <c r="D1422" s="6" t="str">
        <f ca="1">IFERROR(__xludf.DUMMYFUNCTION("""COMPUTED_VALUE"""),"LAMPA")</f>
        <v>LAMPA</v>
      </c>
    </row>
    <row r="1423" spans="1:4">
      <c r="A1423" s="7">
        <f ca="1">IFERROR(__xludf.DUMMYFUNCTION("""COMPUTED_VALUE"""),44036)</f>
        <v>44036</v>
      </c>
      <c r="B1423" s="8" t="str">
        <f ca="1">IFERROR(__xludf.DUMMYFUNCTION("""COMPUTED_VALUE"""),"-33.516452,-71.121530")</f>
        <v>-33.516452,-71.121530</v>
      </c>
      <c r="C1423" s="6" t="str">
        <f ca="1">IFERROR(__xludf.DUMMYFUNCTION("""COMPUTED_VALUE"""),"AV FRANCISCO CONTABAL 303")</f>
        <v>AV FRANCISCO CONTABAL 303</v>
      </c>
      <c r="D1423" s="6" t="str">
        <f ca="1">IFERROR(__xludf.DUMMYFUNCTION("""COMPUTED_VALUE"""),"MARIA PINTO")</f>
        <v>MARIA PINTO</v>
      </c>
    </row>
    <row r="1424" spans="1:4">
      <c r="A1424" s="7">
        <f ca="1">IFERROR(__xludf.DUMMYFUNCTION("""COMPUTED_VALUE"""),44036)</f>
        <v>44036</v>
      </c>
      <c r="B1424" s="8" t="str">
        <f ca="1">IFERROR(__xludf.DUMMYFUNCTION("""COMPUTED_VALUE"""),"-33.459048,-71.095116")</f>
        <v>-33.459048,-71.095116</v>
      </c>
      <c r="C1424" s="6" t="str">
        <f ca="1">IFERROR(__xludf.DUMMYFUNCTION("""COMPUTED_VALUE"""),"SANTA LUISA S/N SITIO 6")</f>
        <v>SANTA LUISA S/N SITIO 6</v>
      </c>
      <c r="D1424" s="6" t="str">
        <f ca="1">IFERROR(__xludf.DUMMYFUNCTION("""COMPUTED_VALUE"""),"MARIA PINTO")</f>
        <v>MARIA PINTO</v>
      </c>
    </row>
    <row r="1425" spans="1:4">
      <c r="A1425" s="7">
        <f ca="1">IFERROR(__xludf.DUMMYFUNCTION("""COMPUTED_VALUE"""),44036)</f>
        <v>44036</v>
      </c>
      <c r="B1425" s="8" t="str">
        <f ca="1">IFERROR(__xludf.DUMMYFUNCTION("""COMPUTED_VALUE"""),"-33.6522306,-70.9006883")</f>
        <v>-33.6522306,-70.9006883</v>
      </c>
      <c r="C1425" s="6" t="str">
        <f ca="1">IFERROR(__xludf.DUMMYFUNCTION("""COMPUTED_VALUE"""),"CALLE SAN LUIS 715 CASA 90")</f>
        <v>CALLE SAN LUIS 715 CASA 90</v>
      </c>
      <c r="D1425" s="6" t="str">
        <f ca="1">IFERROR(__xludf.DUMMYFUNCTION("""COMPUTED_VALUE"""),"TALAGANTE")</f>
        <v>TALAGANTE</v>
      </c>
    </row>
    <row r="1426" spans="1:4">
      <c r="A1426" s="7">
        <f ca="1">IFERROR(__xludf.DUMMYFUNCTION("""COMPUTED_VALUE"""),44036)</f>
        <v>44036</v>
      </c>
      <c r="B1426" s="6" t="str">
        <f ca="1">IFERROR(__xludf.DUMMYFUNCTION("""COMPUTED_VALUE"""),"-33.583846-70.811810")</f>
        <v>-33.583846-70.811810</v>
      </c>
      <c r="C1426" s="6" t="str">
        <f ca="1">IFERROR(__xludf.DUMMYFUNCTION("""COMPUTED_VALUE"""),"TRIUNFO DE CHILE MANZANA 19")</f>
        <v>TRIUNFO DE CHILE MANZANA 19</v>
      </c>
      <c r="D1426" s="6" t="str">
        <f ca="1">IFERROR(__xludf.DUMMYFUNCTION("""COMPUTED_VALUE"""),"PADRE HURTADO")</f>
        <v>PADRE HURTADO</v>
      </c>
    </row>
    <row r="1427" spans="1:4">
      <c r="A1427" s="7">
        <f ca="1">IFERROR(__xludf.DUMMYFUNCTION("""COMPUTED_VALUE"""),44036)</f>
        <v>44036</v>
      </c>
      <c r="B1427" s="6" t="str">
        <f ca="1">IFERROR(__xludf.DUMMYFUNCTION("""COMPUTED_VALUE"""),"-33.652821,-70.930337")</f>
        <v>-33.652821,-70.930337</v>
      </c>
      <c r="C1427" s="6" t="str">
        <f ca="1">IFERROR(__xludf.DUMMYFUNCTION("""COMPUTED_VALUE"""),"CARLOS CONDELL 46")</f>
        <v>CARLOS CONDELL 46</v>
      </c>
      <c r="D1427" s="6" t="str">
        <f ca="1">IFERROR(__xludf.DUMMYFUNCTION("""COMPUTED_VALUE"""),"TALAGANTE")</f>
        <v>TALAGANTE</v>
      </c>
    </row>
    <row r="1428" spans="1:4">
      <c r="A1428" s="7">
        <f ca="1">IFERROR(__xludf.DUMMYFUNCTION("""COMPUTED_VALUE"""),44036)</f>
        <v>44036</v>
      </c>
      <c r="B1428" s="6" t="str">
        <f ca="1">IFERROR(__xludf.DUMMYFUNCTION("""COMPUTED_VALUE"""),"-33.688979,-70.853700")</f>
        <v>-33.688979,-70.853700</v>
      </c>
      <c r="C1428" s="6" t="str">
        <f ca="1">IFERROR(__xludf.DUMMYFUNCTION("""COMPUTED_VALUE"""),"CA LONGUEN SUR S/N PARADERO 36 1/2")</f>
        <v>CA LONGUEN SUR S/N PARADERO 36 1/2</v>
      </c>
      <c r="D1428" s="6" t="str">
        <f ca="1">IFERROR(__xludf.DUMMYFUNCTION("""COMPUTED_VALUE"""),"CALERA DE TANGO")</f>
        <v>CALERA DE TANGO</v>
      </c>
    </row>
    <row r="1429" spans="1:4">
      <c r="A1429" s="7">
        <f ca="1">IFERROR(__xludf.DUMMYFUNCTION("""COMPUTED_VALUE"""),44036)</f>
        <v>44036</v>
      </c>
      <c r="B1429" s="6" t="str">
        <f ca="1">IFERROR(__xludf.DUMMYFUNCTION("""COMPUTED_VALUE"""),"-33.224730 - 70.729168")</f>
        <v>-33.224730 - 70.729168</v>
      </c>
      <c r="C1429" s="6" t="str">
        <f ca="1">IFERROR(__xludf.DUMMYFUNCTION("""COMPUTED_VALUE"""),"STA ELENA PARC 11-ST/C")</f>
        <v>STA ELENA PARC 11-ST/C</v>
      </c>
      <c r="D1429" s="6" t="str">
        <f ca="1">IFERROR(__xludf.DUMMYFUNCTION("""COMPUTED_VALUE"""),"COLINA")</f>
        <v>COLINA</v>
      </c>
    </row>
    <row r="1430" spans="1:4">
      <c r="A1430" s="7">
        <f ca="1">IFERROR(__xludf.DUMMYFUNCTION("""COMPUTED_VALUE"""),44036)</f>
        <v>44036</v>
      </c>
      <c r="B1430" s="6" t="str">
        <f ca="1">IFERROR(__xludf.DUMMYFUNCTION("""COMPUTED_VALUE"""),"-33.292827 - 70.873467")</f>
        <v>-33.292827 - 70.873467</v>
      </c>
      <c r="C1430" s="6" t="str">
        <f ca="1">IFERROR(__xludf.DUMMYFUNCTION("""COMPUTED_VALUE"""),"PSJE LOS POZONES 1540 ")</f>
        <v xml:space="preserve">PSJE LOS POZONES 1540 </v>
      </c>
      <c r="D1430" s="6" t="str">
        <f ca="1">IFERROR(__xludf.DUMMYFUNCTION("""COMPUTED_VALUE"""),"LAMPA")</f>
        <v>LAMPA</v>
      </c>
    </row>
    <row r="1431" spans="1:4">
      <c r="A1431" s="7">
        <f ca="1">IFERROR(__xludf.DUMMYFUNCTION("""COMPUTED_VALUE"""),44037)</f>
        <v>44037</v>
      </c>
      <c r="B1431" s="8" t="str">
        <f ca="1">IFERROR(__xludf.DUMMYFUNCTION("""COMPUTED_VALUE"""),"-33.698250,-70.710989")</f>
        <v>-33.698250,-70.710989</v>
      </c>
      <c r="C1431" s="6" t="str">
        <f ca="1">IFERROR(__xludf.DUMMYFUNCTION("""COMPUTED_VALUE"""),"PASAJE LOS VILCHEZ 26")</f>
        <v>PASAJE LOS VILCHEZ 26</v>
      </c>
      <c r="D1431" s="6" t="str">
        <f ca="1">IFERROR(__xludf.DUMMYFUNCTION("""COMPUTED_VALUE"""),"BUIN")</f>
        <v>BUIN</v>
      </c>
    </row>
    <row r="1432" spans="1:4">
      <c r="A1432" s="7">
        <f ca="1">IFERROR(__xludf.DUMMYFUNCTION("""COMPUTED_VALUE"""),44037)</f>
        <v>44037</v>
      </c>
      <c r="B1432" s="6" t="str">
        <f ca="1">IFERROR(__xludf.DUMMYFUNCTION("""COMPUTED_VALUE"""),"-33.676818,-70990194")</f>
        <v>-33.676818,-70990194</v>
      </c>
      <c r="C1432" s="6" t="str">
        <f ca="1">IFERROR(__xludf.DUMMYFUNCTION("""COMPUTED_VALUE"""),"LOS CRIOLLOS 5990")</f>
        <v>LOS CRIOLLOS 5990</v>
      </c>
      <c r="D1432" s="6" t="str">
        <f ca="1">IFERROR(__xludf.DUMMYFUNCTION("""COMPUTED_VALUE"""),"EL MONTE")</f>
        <v>EL MONTE</v>
      </c>
    </row>
    <row r="1433" spans="1:4">
      <c r="A1433" s="7">
        <f ca="1">IFERROR(__xludf.DUMMYFUNCTION("""COMPUTED_VALUE"""),44037)</f>
        <v>44037</v>
      </c>
      <c r="B1433" s="6" t="str">
        <f ca="1">IFERROR(__xludf.DUMMYFUNCTION("""COMPUTED_VALUE"""),"-33.689918,-71.035007")</f>
        <v>-33.689918,-71.035007</v>
      </c>
      <c r="C1433" s="6" t="str">
        <f ca="1">IFERROR(__xludf.DUMMYFUNCTION("""COMPUTED_VALUE"""),"EL SALVADOR 092")</f>
        <v>EL SALVADOR 092</v>
      </c>
      <c r="D1433" s="6" t="str">
        <f ca="1">IFERROR(__xludf.DUMMYFUNCTION("""COMPUTED_VALUE"""),"EL MONTE")</f>
        <v>EL MONTE</v>
      </c>
    </row>
    <row r="1434" spans="1:4">
      <c r="A1434" s="7">
        <f ca="1">IFERROR(__xludf.DUMMYFUNCTION("""COMPUTED_VALUE"""),44037)</f>
        <v>44037</v>
      </c>
      <c r="B1434" s="6" t="str">
        <f ca="1">IFERROR(__xludf.DUMMYFUNCTION("""COMPUTED_VALUE"""),"-33.689918,-71.035007")</f>
        <v>-33.689918,-71.035007</v>
      </c>
      <c r="C1434" s="6" t="str">
        <f ca="1">IFERROR(__xludf.DUMMYFUNCTION("""COMPUTED_VALUE"""),"EL SALVADOR 092")</f>
        <v>EL SALVADOR 092</v>
      </c>
      <c r="D1434" s="6" t="str">
        <f ca="1">IFERROR(__xludf.DUMMYFUNCTION("""COMPUTED_VALUE"""),"EL MONTE")</f>
        <v>EL MONTE</v>
      </c>
    </row>
    <row r="1435" spans="1:4">
      <c r="A1435" s="7">
        <f ca="1">IFERROR(__xludf.DUMMYFUNCTION("""COMPUTED_VALUE"""),44037)</f>
        <v>44037</v>
      </c>
      <c r="B1435" s="6" t="str">
        <f ca="1">IFERROR(__xludf.DUMMYFUNCTION("""COMPUTED_VALUE"""),"-33.672574,-70.986185")</f>
        <v>-33.672574,-70.986185</v>
      </c>
      <c r="C1435" s="6" t="str">
        <f ca="1">IFERROR(__xludf.DUMMYFUNCTION("""COMPUTED_VALUE"""),"GOMEZ RAMIREZ 466")</f>
        <v>GOMEZ RAMIREZ 466</v>
      </c>
      <c r="D1435" s="6" t="str">
        <f ca="1">IFERROR(__xludf.DUMMYFUNCTION("""COMPUTED_VALUE"""),"EL MONTE")</f>
        <v>EL MONTE</v>
      </c>
    </row>
    <row r="1436" spans="1:4">
      <c r="A1436" s="7">
        <f ca="1">IFERROR(__xludf.DUMMYFUNCTION("""COMPUTED_VALUE"""),44039)</f>
        <v>44039</v>
      </c>
      <c r="B1436" s="8" t="str">
        <f ca="1">IFERROR(__xludf.DUMMYFUNCTION("""COMPUTED_VALUE"""),"-33.514003,-71.239515")</f>
        <v>-33.514003,-71.239515</v>
      </c>
      <c r="C1436" s="6" t="str">
        <f ca="1">IFERROR(__xludf.DUMMYFUNCTION("""COMPUTED_VALUE"""),"CHOROMBO ALTO 62 LOS QUIYALLES")</f>
        <v>CHOROMBO ALTO 62 LOS QUIYALLES</v>
      </c>
      <c r="D1436" s="6" t="str">
        <f ca="1">IFERROR(__xludf.DUMMYFUNCTION("""COMPUTED_VALUE"""),"MARIA PINTO")</f>
        <v>MARIA PINTO</v>
      </c>
    </row>
    <row r="1437" spans="1:4">
      <c r="A1437" s="7">
        <f ca="1">IFERROR(__xludf.DUMMYFUNCTION("""COMPUTED_VALUE"""),44039)</f>
        <v>44039</v>
      </c>
      <c r="B1437" s="8" t="str">
        <f ca="1">IFERROR(__xludf.DUMMYFUNCTION("""COMPUTED_VALUE"""),"-33.518844,-71.198884")</f>
        <v>-33.518844,-71.198884</v>
      </c>
      <c r="C1437" s="6" t="str">
        <f ca="1">IFERROR(__xludf.DUMMYFUNCTION("""COMPUTED_VALUE"""),"EL LUCHADOR S/N SITIO 59")</f>
        <v>EL LUCHADOR S/N SITIO 59</v>
      </c>
      <c r="D1437" s="6" t="str">
        <f ca="1">IFERROR(__xludf.DUMMYFUNCTION("""COMPUTED_VALUE"""),"MARIA PINTO")</f>
        <v>MARIA PINTO</v>
      </c>
    </row>
    <row r="1438" spans="1:4">
      <c r="A1438" s="7">
        <f ca="1">IFERROR(__xludf.DUMMYFUNCTION("""COMPUTED_VALUE"""),44039)</f>
        <v>44039</v>
      </c>
      <c r="B1438" s="6" t="str">
        <f ca="1">IFERROR(__xludf.DUMMYFUNCTION("""COMPUTED_VALUE"""),"-33.617407-70.879281")</f>
        <v>-33.617407-70.879281</v>
      </c>
      <c r="C1438" s="6" t="str">
        <f ca="1">IFERROR(__xludf.DUMMYFUNCTION("""COMPUTED_VALUE"""),"JUAN POBLETE ALAY 1794")</f>
        <v>JUAN POBLETE ALAY 1794</v>
      </c>
      <c r="D1438" s="6" t="str">
        <f ca="1">IFERROR(__xludf.DUMMYFUNCTION("""COMPUTED_VALUE"""),"PEÑAFLOR")</f>
        <v>PEÑAFLOR</v>
      </c>
    </row>
    <row r="1439" spans="1:4">
      <c r="A1439" s="7">
        <f ca="1">IFERROR(__xludf.DUMMYFUNCTION("""COMPUTED_VALUE"""),44039)</f>
        <v>44039</v>
      </c>
      <c r="B1439" s="6" t="str">
        <f ca="1">IFERROR(__xludf.DUMMYFUNCTION("""COMPUTED_VALUE"""),"-33.615513-70.879408")</f>
        <v>-33.615513-70.879408</v>
      </c>
      <c r="C1439" s="6" t="str">
        <f ca="1">IFERROR(__xludf.DUMMYFUNCTION("""COMPUTED_VALUE"""),"JUAN PEREZ 659")</f>
        <v>JUAN PEREZ 659</v>
      </c>
      <c r="D1439" s="6" t="str">
        <f ca="1">IFERROR(__xludf.DUMMYFUNCTION("""COMPUTED_VALUE"""),"PEÑAFLOR")</f>
        <v>PEÑAFLOR</v>
      </c>
    </row>
    <row r="1440" spans="1:4">
      <c r="A1440" s="7">
        <f ca="1">IFERROR(__xludf.DUMMYFUNCTION("""COMPUTED_VALUE"""),44039)</f>
        <v>44039</v>
      </c>
      <c r="B1440" s="6" t="str">
        <f ca="1">IFERROR(__xludf.DUMMYFUNCTION("""COMPUTED_VALUE"""),"-33.688961,-71.032875")</f>
        <v>-33.688961,-71.032875</v>
      </c>
      <c r="C1440" s="6" t="str">
        <f ca="1">IFERROR(__xludf.DUMMYFUNCTION("""COMPUTED_VALUE"""),"PJE GUAYANA 093 B")</f>
        <v>PJE GUAYANA 093 B</v>
      </c>
      <c r="D1440" s="6" t="str">
        <f ca="1">IFERROR(__xludf.DUMMYFUNCTION("""COMPUTED_VALUE"""),"EL MONTE")</f>
        <v>EL MONTE</v>
      </c>
    </row>
    <row r="1441" spans="1:4">
      <c r="A1441" s="7">
        <f ca="1">IFERROR(__xludf.DUMMYFUNCTION("""COMPUTED_VALUE"""),44039)</f>
        <v>44039</v>
      </c>
      <c r="B1441" s="6" t="str">
        <f ca="1">IFERROR(__xludf.DUMMYFUNCTION("""COMPUTED_VALUE"""),"-33.674588,-70.976580")</f>
        <v>-33.674588,-70.976580</v>
      </c>
      <c r="C1441" s="6" t="str">
        <f ca="1">IFERROR(__xludf.DUMMYFUNCTION("""COMPUTED_VALUE"""),"PJE FREIRE 127")</f>
        <v>PJE FREIRE 127</v>
      </c>
      <c r="D1441" s="6" t="str">
        <f ca="1">IFERROR(__xludf.DUMMYFUNCTION("""COMPUTED_VALUE"""),"EL MONTE")</f>
        <v>EL MONTE</v>
      </c>
    </row>
    <row r="1442" spans="1:4">
      <c r="A1442" s="7">
        <f ca="1">IFERROR(__xludf.DUMMYFUNCTION("""COMPUTED_VALUE"""),44040)</f>
        <v>44040</v>
      </c>
      <c r="B1442" s="6" t="str">
        <f ca="1">IFERROR(__xludf.DUMMYFUNCTION("""COMPUTED_VALUE"""),"-33.6039843-70.8728648")</f>
        <v>-33.6039843-70.8728648</v>
      </c>
      <c r="C1442" s="6" t="str">
        <f ca="1">IFERROR(__xludf.DUMMYFUNCTION("""COMPUTED_VALUE"""),"LAS HORTENCIAS 1771")</f>
        <v>LAS HORTENCIAS 1771</v>
      </c>
      <c r="D1442" s="6" t="str">
        <f ca="1">IFERROR(__xludf.DUMMYFUNCTION("""COMPUTED_VALUE"""),"PEÑAFLOR")</f>
        <v>PEÑAFLOR</v>
      </c>
    </row>
    <row r="1443" spans="1:4">
      <c r="A1443" s="7">
        <f ca="1">IFERROR(__xludf.DUMMYFUNCTION("""COMPUTED_VALUE"""),44040)</f>
        <v>44040</v>
      </c>
      <c r="B1443" s="6" t="str">
        <f ca="1">IFERROR(__xludf.DUMMYFUNCTION("""COMPUTED_VALUE"""),"-33.676183,-70.981856")</f>
        <v>-33.676183,-70.981856</v>
      </c>
      <c r="C1443" s="6" t="str">
        <f ca="1">IFERROR(__xludf.DUMMYFUNCTION("""COMPUTED_VALUE"""),"LUIS CRUZ MARTINEZ 175")</f>
        <v>LUIS CRUZ MARTINEZ 175</v>
      </c>
      <c r="D1443" s="6" t="str">
        <f ca="1">IFERROR(__xludf.DUMMYFUNCTION("""COMPUTED_VALUE"""),"EL MONTE")</f>
        <v>EL MONTE</v>
      </c>
    </row>
    <row r="1444" spans="1:4">
      <c r="A1444" s="7">
        <f ca="1">IFERROR(__xludf.DUMMYFUNCTION("""COMPUTED_VALUE"""),44040)</f>
        <v>44040</v>
      </c>
      <c r="B1444" s="6" t="str">
        <f ca="1">IFERROR(__xludf.DUMMYFUNCTION("""COMPUTED_VALUE"""),"-33.682185,-70.996908")</f>
        <v>-33.682185,-70.996908</v>
      </c>
      <c r="C1444" s="6" t="str">
        <f ca="1">IFERROR(__xludf.DUMMYFUNCTION("""COMPUTED_VALUE"""),"ANIBAL PINTO 166")</f>
        <v>ANIBAL PINTO 166</v>
      </c>
      <c r="D1444" s="6" t="str">
        <f ca="1">IFERROR(__xludf.DUMMYFUNCTION("""COMPUTED_VALUE"""),"EL MONTE")</f>
        <v>EL MONTE</v>
      </c>
    </row>
    <row r="1445" spans="1:4">
      <c r="A1445" s="7">
        <f ca="1">IFERROR(__xludf.DUMMYFUNCTION("""COMPUTED_VALUE"""),44040)</f>
        <v>44040</v>
      </c>
      <c r="B1445" s="6" t="str">
        <f ca="1">IFERROR(__xludf.DUMMYFUNCTION("""COMPUTED_VALUE"""),"-33.678760,-70.985417")</f>
        <v>-33.678760,-70.985417</v>
      </c>
      <c r="C1445" s="6" t="str">
        <f ca="1">IFERROR(__xludf.DUMMYFUNCTION("""COMPUTED_VALUE"""),"LOS LIBERTADORES 791")</f>
        <v>LOS LIBERTADORES 791</v>
      </c>
      <c r="D1445" s="6" t="str">
        <f ca="1">IFERROR(__xludf.DUMMYFUNCTION("""COMPUTED_VALUE"""),"EL MONTE")</f>
        <v>EL MONTE</v>
      </c>
    </row>
    <row r="1446" spans="1:4">
      <c r="A1446" s="7">
        <f ca="1">IFERROR(__xludf.DUMMYFUNCTION("""COMPUTED_VALUE"""),44040)</f>
        <v>44040</v>
      </c>
      <c r="B1446" s="6" t="str">
        <f ca="1">IFERROR(__xludf.DUMMYFUNCTION("""COMPUTED_VALUE"""),"-33.689157,-71.031933")</f>
        <v>-33.689157,-71.031933</v>
      </c>
      <c r="C1446" s="6" t="str">
        <f ca="1">IFERROR(__xludf.DUMMYFUNCTION("""COMPUTED_VALUE"""),"PERU 093")</f>
        <v>PERU 093</v>
      </c>
      <c r="D1446" s="6" t="str">
        <f ca="1">IFERROR(__xludf.DUMMYFUNCTION("""COMPUTED_VALUE"""),"EL MONTE")</f>
        <v>EL MONTE</v>
      </c>
    </row>
    <row r="1447" spans="1:4">
      <c r="A1447" s="7">
        <f ca="1">IFERROR(__xludf.DUMMYFUNCTION("""COMPUTED_VALUE"""),44040)</f>
        <v>44040</v>
      </c>
      <c r="B1447" s="6" t="str">
        <f ca="1">IFERROR(__xludf.DUMMYFUNCTION("""COMPUTED_VALUE"""),"33.686607,-71.049945")</f>
        <v>33.686607,-71.049945</v>
      </c>
      <c r="C1447" s="6" t="str">
        <f ca="1">IFERROR(__xludf.DUMMYFUNCTION("""COMPUTED_VALUE"""),"LOS OLIVOS 214")</f>
        <v>LOS OLIVOS 214</v>
      </c>
      <c r="D1447" s="6" t="str">
        <f ca="1">IFERROR(__xludf.DUMMYFUNCTION("""COMPUTED_VALUE"""),"EL MONTE")</f>
        <v>EL MONTE</v>
      </c>
    </row>
    <row r="1448" spans="1:4">
      <c r="A1448" s="7">
        <f ca="1">IFERROR(__xludf.DUMMYFUNCTION("""COMPUTED_VALUE"""),44040)</f>
        <v>44040</v>
      </c>
      <c r="B1448" s="6" t="str">
        <f ca="1">IFERROR(__xludf.DUMMYFUNCTION("""COMPUTED_VALUE"""),"-33.691250,-71.039128")</f>
        <v>-33.691250,-71.039128</v>
      </c>
      <c r="C1448" s="6" t="str">
        <f ca="1">IFERROR(__xludf.DUMMYFUNCTION("""COMPUTED_VALUE"""),"EL PAIQUITO 240")</f>
        <v>EL PAIQUITO 240</v>
      </c>
      <c r="D1448" s="6" t="str">
        <f ca="1">IFERROR(__xludf.DUMMYFUNCTION("""COMPUTED_VALUE"""),"EL MONTE")</f>
        <v>EL MONTE</v>
      </c>
    </row>
    <row r="1449" spans="1:4">
      <c r="A1449" s="7">
        <f ca="1">IFERROR(__xludf.DUMMYFUNCTION("""COMPUTED_VALUE"""),44040)</f>
        <v>44040</v>
      </c>
      <c r="B1449" s="6" t="str">
        <f ca="1">IFERROR(__xludf.DUMMYFUNCTION("""COMPUTED_VALUE"""),"-33.283353 - 70.869773")</f>
        <v>-33.283353 - 70.869773</v>
      </c>
      <c r="C1449" s="6" t="str">
        <f ca="1">IFERROR(__xludf.DUMMYFUNCTION("""COMPUTED_VALUE"""),"LOS AROMODOS 1322")</f>
        <v>LOS AROMODOS 1322</v>
      </c>
      <c r="D1449" s="6" t="str">
        <f ca="1">IFERROR(__xludf.DUMMYFUNCTION("""COMPUTED_VALUE"""),"LAMPA")</f>
        <v>LAMPA</v>
      </c>
    </row>
    <row r="1450" spans="1:4">
      <c r="A1450" s="7">
        <f ca="1">IFERROR(__xludf.DUMMYFUNCTION("""COMPUTED_VALUE"""),44040)</f>
        <v>44040</v>
      </c>
      <c r="B1450" s="6" t="str">
        <f ca="1">IFERROR(__xludf.DUMMYFUNCTION("""COMPUTED_VALUE"""),"-33.231860 - 70.811005")</f>
        <v>-33.231860 - 70.811005</v>
      </c>
      <c r="C1450" s="6" t="str">
        <f ca="1">IFERROR(__xludf.DUMMYFUNCTION("""COMPUTED_VALUE"""),"ACEVEDO N/41 S/16")</f>
        <v>ACEVEDO N/41 S/16</v>
      </c>
      <c r="D1450" s="6" t="str">
        <f ca="1">IFERROR(__xludf.DUMMYFUNCTION("""COMPUTED_VALUE"""),"LAMPA")</f>
        <v>LAMPA</v>
      </c>
    </row>
    <row r="1451" spans="1:4">
      <c r="A1451" s="7">
        <f ca="1">IFERROR(__xludf.DUMMYFUNCTION("""COMPUTED_VALUE"""),44040)</f>
        <v>44040</v>
      </c>
      <c r="B1451" s="6" t="str">
        <f ca="1">IFERROR(__xludf.DUMMYFUNCTION("""COMPUTED_VALUE"""),"-33.088526 - 70.920786")</f>
        <v>-33.088526 - 70.920786</v>
      </c>
      <c r="C1451" s="6" t="str">
        <f ca="1">IFERROR(__xludf.DUMMYFUNCTION("""COMPUTED_VALUE"""),"EL PIMIENTO B N° 8")</f>
        <v>EL PIMIENTO B N° 8</v>
      </c>
      <c r="D1451" s="6" t="str">
        <f ca="1">IFERROR(__xludf.DUMMYFUNCTION("""COMPUTED_VALUE"""),"TIL TIL")</f>
        <v>TIL TIL</v>
      </c>
    </row>
    <row r="1452" spans="1:4">
      <c r="A1452" s="7">
        <f ca="1">IFERROR(__xludf.DUMMYFUNCTION("""COMPUTED_VALUE"""),44041)</f>
        <v>44041</v>
      </c>
      <c r="B1452" s="8" t="str">
        <f ca="1">IFERROR(__xludf.DUMMYFUNCTION("""COMPUTED_VALUE"""),"-33.723390,-70.736110")</f>
        <v>-33.723390,-70.736110</v>
      </c>
      <c r="C1452" s="6" t="str">
        <f ca="1">IFERROR(__xludf.DUMMYFUNCTION("""COMPUTED_VALUE"""),"PASAJE DOCE 4 EL SOLAR ")</f>
        <v xml:space="preserve">PASAJE DOCE 4 EL SOLAR </v>
      </c>
      <c r="D1452" s="6" t="str">
        <f ca="1">IFERROR(__xludf.DUMMYFUNCTION("""COMPUTED_VALUE"""),"BUIN")</f>
        <v>BUIN</v>
      </c>
    </row>
    <row r="1453" spans="1:4">
      <c r="A1453" s="7">
        <f ca="1">IFERROR(__xludf.DUMMYFUNCTION("""COMPUTED_VALUE"""),44041)</f>
        <v>44041</v>
      </c>
      <c r="B1453" s="6" t="str">
        <f ca="1">IFERROR(__xludf.DUMMYFUNCTION("""COMPUTED_VALUE"""),"-33.6097161-70.8817373")</f>
        <v>-33.6097161-70.8817373</v>
      </c>
      <c r="C1453" s="6" t="str">
        <f ca="1">IFERROR(__xludf.DUMMYFUNCTION("""COMPUTED_VALUE"""),"EL COMENDADOR 1328")</f>
        <v>EL COMENDADOR 1328</v>
      </c>
      <c r="D1453" s="6" t="str">
        <f ca="1">IFERROR(__xludf.DUMMYFUNCTION("""COMPUTED_VALUE"""),"PEÑAFLOR")</f>
        <v>PEÑAFLOR</v>
      </c>
    </row>
    <row r="1454" spans="1:4">
      <c r="A1454" s="7">
        <f ca="1">IFERROR(__xludf.DUMMYFUNCTION("""COMPUTED_VALUE"""),44041)</f>
        <v>44041</v>
      </c>
      <c r="B1454" s="6" t="str">
        <f ca="1">IFERROR(__xludf.DUMMYFUNCTION("""COMPUTED_VALUE"""),"-33.30086 - 70.880235")</f>
        <v>-33.30086 - 70.880235</v>
      </c>
      <c r="C1454" s="6" t="str">
        <f ca="1">IFERROR(__xludf.DUMMYFUNCTION("""COMPUTED_VALUE"""),"CAMINO LAS FLORES 1001 C/109 ")</f>
        <v xml:space="preserve">CAMINO LAS FLORES 1001 C/109 </v>
      </c>
      <c r="D1454" s="6" t="str">
        <f ca="1">IFERROR(__xludf.DUMMYFUNCTION("""COMPUTED_VALUE"""),"LAMPA")</f>
        <v>LAMPA</v>
      </c>
    </row>
    <row r="1455" spans="1:4">
      <c r="A1455" s="7">
        <f ca="1">IFERROR(__xludf.DUMMYFUNCTION("""COMPUTED_VALUE"""),44041)</f>
        <v>44041</v>
      </c>
      <c r="B1455" s="8" t="str">
        <f ca="1">IFERROR(__xludf.DUMMYFUNCTION("""COMPUTED_VALUE"""),"-33.727933, -70.728931")</f>
        <v>-33.727933, -70.728931</v>
      </c>
      <c r="C1455" s="6" t="str">
        <f ca="1">IFERROR(__xludf.DUMMYFUNCTION("""COMPUTED_VALUE"""),"LEOPOLDO MOYA CAMUS CASA 34 ")</f>
        <v xml:space="preserve">LEOPOLDO MOYA CAMUS CASA 34 </v>
      </c>
      <c r="D1455" s="6" t="str">
        <f ca="1">IFERROR(__xludf.DUMMYFUNCTION("""COMPUTED_VALUE"""),"BUIN")</f>
        <v>BUIN</v>
      </c>
    </row>
    <row r="1456" spans="1:4">
      <c r="A1456" s="7">
        <f ca="1">IFERROR(__xludf.DUMMYFUNCTION("""COMPUTED_VALUE"""),44042)</f>
        <v>44042</v>
      </c>
      <c r="B1456" s="8" t="str">
        <f ca="1">IFERROR(__xludf.DUMMYFUNCTION("""COMPUTED_VALUE"""),"-33.458562,-71.097284")</f>
        <v>-33.458562,-71.097284</v>
      </c>
      <c r="C1456" s="6" t="str">
        <f ca="1">IFERROR(__xludf.DUMMYFUNCTION("""COMPUTED_VALUE"""),"EL ROBLE 153")</f>
        <v>EL ROBLE 153</v>
      </c>
      <c r="D1456" s="6" t="str">
        <f ca="1">IFERROR(__xludf.DUMMYFUNCTION("""COMPUTED_VALUE"""),"MARIA PINTO")</f>
        <v>MARIA PINTO</v>
      </c>
    </row>
    <row r="1457" spans="1:4">
      <c r="A1457" s="7">
        <f ca="1">IFERROR(__xludf.DUMMYFUNCTION("""COMPUTED_VALUE"""),44042)</f>
        <v>44042</v>
      </c>
      <c r="B1457" s="8" t="str">
        <f ca="1">IFERROR(__xludf.DUMMYFUNCTION("""COMPUTED_VALUE"""),"-33.461698,-71.087726")</f>
        <v>-33.461698,-71.087726</v>
      </c>
      <c r="C1457" s="6" t="str">
        <f ca="1">IFERROR(__xludf.DUMMYFUNCTION("""COMPUTED_VALUE"""),"LAS PALMERAS 402")</f>
        <v>LAS PALMERAS 402</v>
      </c>
      <c r="D1457" s="6" t="str">
        <f ca="1">IFERROR(__xludf.DUMMYFUNCTION("""COMPUTED_VALUE"""),"MARIA PINTO")</f>
        <v>MARIA PINTO</v>
      </c>
    </row>
    <row r="1458" spans="1:4">
      <c r="A1458" s="7">
        <f ca="1">IFERROR(__xludf.DUMMYFUNCTION("""COMPUTED_VALUE"""),44042)</f>
        <v>44042</v>
      </c>
      <c r="B1458" s="6" t="str">
        <f ca="1">IFERROR(__xludf.DUMMYFUNCTION("""COMPUTED_VALUE"""),"-33.185580 - 70.662964")</f>
        <v>-33.185580 - 70.662964</v>
      </c>
      <c r="C1458" s="6" t="str">
        <f ca="1">IFERROR(__xludf.DUMMYFUNCTION("""COMPUTED_VALUE"""),"MEDALLA DE ORO 0076")</f>
        <v>MEDALLA DE ORO 0076</v>
      </c>
      <c r="D1458" s="6" t="str">
        <f ca="1">IFERROR(__xludf.DUMMYFUNCTION("""COMPUTED_VALUE"""),"COLINA")</f>
        <v>COLINA</v>
      </c>
    </row>
    <row r="1459" spans="1:4">
      <c r="A1459" s="7">
        <f ca="1">IFERROR(__xludf.DUMMYFUNCTION("""COMPUTED_VALUE"""),44042)</f>
        <v>44042</v>
      </c>
      <c r="B1459" s="6" t="str">
        <f ca="1">IFERROR(__xludf.DUMMYFUNCTION("""COMPUTED_VALUE"""),"-33.185580 - 70.662964")</f>
        <v>-33.185580 - 70.662964</v>
      </c>
      <c r="C1459" s="6" t="str">
        <f ca="1">IFERROR(__xludf.DUMMYFUNCTION("""COMPUTED_VALUE"""),"MEDALLA DE ORO 0076")</f>
        <v>MEDALLA DE ORO 0076</v>
      </c>
      <c r="D1459" s="6" t="str">
        <f ca="1">IFERROR(__xludf.DUMMYFUNCTION("""COMPUTED_VALUE"""),"COLINA")</f>
        <v>COLINA</v>
      </c>
    </row>
    <row r="1460" spans="1:4">
      <c r="A1460" s="7">
        <f ca="1">IFERROR(__xludf.DUMMYFUNCTION("""COMPUTED_VALUE"""),44042)</f>
        <v>44042</v>
      </c>
      <c r="B1460" s="8" t="str">
        <f ca="1">IFERROR(__xludf.DUMMYFUNCTION("""COMPUTED_VALUE"""),"-33.782873, -70.792897")</f>
        <v>-33.782873, -70.792897</v>
      </c>
      <c r="C1460" s="6" t="str">
        <f ca="1">IFERROR(__xludf.DUMMYFUNCTION("""COMPUTED_VALUE"""),"CAMINO ESTACIÓN SITIO 85 CASA 7A VILUCO ")</f>
        <v xml:space="preserve">CAMINO ESTACIÓN SITIO 85 CASA 7A VILUCO </v>
      </c>
      <c r="D1460" s="6" t="str">
        <f ca="1">IFERROR(__xludf.DUMMYFUNCTION("""COMPUTED_VALUE"""),"BUIN")</f>
        <v>BUIN</v>
      </c>
    </row>
    <row r="1461" spans="1:4">
      <c r="A1461" s="7">
        <f ca="1">IFERROR(__xludf.DUMMYFUNCTION("""COMPUTED_VALUE"""),44042)</f>
        <v>44042</v>
      </c>
      <c r="B1461" s="8" t="str">
        <f ca="1">IFERROR(__xludf.DUMMYFUNCTION("""COMPUTED_VALUE"""),"-33.732845, -70.784309")</f>
        <v>-33.732845, -70.784309</v>
      </c>
      <c r="C1461" s="6" t="str">
        <f ca="1">IFERROR(__xludf.DUMMYFUNCTION("""COMPUTED_VALUE"""),"ARTURO PRAT 541")</f>
        <v>ARTURO PRAT 541</v>
      </c>
      <c r="D1461" s="6" t="str">
        <f ca="1">IFERROR(__xludf.DUMMYFUNCTION("""COMPUTED_VALUE"""),"BUIN")</f>
        <v>BUIN</v>
      </c>
    </row>
    <row r="1462" spans="1:4">
      <c r="A1462" s="7">
        <f ca="1">IFERROR(__xludf.DUMMYFUNCTION("""COMPUTED_VALUE"""),44043)</f>
        <v>44043</v>
      </c>
      <c r="B1462" s="6" t="str">
        <f ca="1">IFERROR(__xludf.DUMMYFUNCTION("""COMPUTED_VALUE"""),"-33.677537,-70.980283")</f>
        <v>-33.677537,-70.980283</v>
      </c>
      <c r="C1462" s="6" t="str">
        <f ca="1">IFERROR(__xludf.DUMMYFUNCTION("""COMPUTED_VALUE"""),"VILLA JAVIERA 120")</f>
        <v>VILLA JAVIERA 120</v>
      </c>
      <c r="D1462" s="6" t="str">
        <f ca="1">IFERROR(__xludf.DUMMYFUNCTION("""COMPUTED_VALUE"""),"EL MONTE")</f>
        <v>EL MONTE</v>
      </c>
    </row>
    <row r="1463" spans="1:4">
      <c r="A1463" s="7">
        <f ca="1">IFERROR(__xludf.DUMMYFUNCTION("""COMPUTED_VALUE"""),44043)</f>
        <v>44043</v>
      </c>
      <c r="B1463" s="6" t="str">
        <f ca="1">IFERROR(__xludf.DUMMYFUNCTION("""COMPUTED_VALUE"""),"-33.688940,-71.032887")</f>
        <v>-33.688940,-71.032887</v>
      </c>
      <c r="C1463" s="6" t="str">
        <f ca="1">IFERROR(__xludf.DUMMYFUNCTION("""COMPUTED_VALUE"""),"PJE GUAYANA 094")</f>
        <v>PJE GUAYANA 094</v>
      </c>
      <c r="D1463" s="6" t="str">
        <f ca="1">IFERROR(__xludf.DUMMYFUNCTION("""COMPUTED_VALUE"""),"EL MONTE")</f>
        <v>EL MONTE</v>
      </c>
    </row>
    <row r="1464" spans="1:4">
      <c r="A1464" s="7">
        <f ca="1">IFERROR(__xludf.DUMMYFUNCTION("""COMPUTED_VALUE"""),44043)</f>
        <v>44043</v>
      </c>
      <c r="B1464" s="6" t="str">
        <f ca="1">IFERROR(__xludf.DUMMYFUNCTION("""COMPUTED_VALUE"""),"-33.689170,-71.031807")</f>
        <v>-33.689170,-71.031807</v>
      </c>
      <c r="C1464" s="6" t="str">
        <f ca="1">IFERROR(__xludf.DUMMYFUNCTION("""COMPUTED_VALUE"""),"PJE PERU 088")</f>
        <v>PJE PERU 088</v>
      </c>
      <c r="D1464" s="6" t="str">
        <f ca="1">IFERROR(__xludf.DUMMYFUNCTION("""COMPUTED_VALUE"""),"EL MONTE")</f>
        <v>EL MONTE</v>
      </c>
    </row>
    <row r="1465" spans="1:4">
      <c r="A1465" s="7">
        <f ca="1">IFERROR(__xludf.DUMMYFUNCTION("""COMPUTED_VALUE"""),44043)</f>
        <v>44043</v>
      </c>
      <c r="B1465" s="6" t="str">
        <f ca="1">IFERROR(__xludf.DUMMYFUNCTION("""COMPUTED_VALUE"""),"-33.683926,-71.002845")</f>
        <v>-33.683926,-71.002845</v>
      </c>
      <c r="C1465" s="6" t="str">
        <f ca="1">IFERROR(__xludf.DUMMYFUNCTION("""COMPUTED_VALUE"""),"PUENTE CALY CANTO 846")</f>
        <v>PUENTE CALY CANTO 846</v>
      </c>
      <c r="D1465" s="6" t="str">
        <f ca="1">IFERROR(__xludf.DUMMYFUNCTION("""COMPUTED_VALUE"""),"EL MONTE")</f>
        <v>EL MONTE</v>
      </c>
    </row>
    <row r="1466" spans="1:4">
      <c r="A1466" s="7">
        <f ca="1">IFERROR(__xludf.DUMMYFUNCTION("""COMPUTED_VALUE"""),44043)</f>
        <v>44043</v>
      </c>
      <c r="B1466" s="6" t="str">
        <f ca="1">IFERROR(__xludf.DUMMYFUNCTION("""COMPUTED_VALUE"""),"-33.684130,-71.002654")</f>
        <v>-33.684130,-71.002654</v>
      </c>
      <c r="C1466" s="6" t="str">
        <f ca="1">IFERROR(__xludf.DUMMYFUNCTION("""COMPUTED_VALUE"""),"PUENTE CALY CANTO 846")</f>
        <v>PUENTE CALY CANTO 846</v>
      </c>
      <c r="D1466" s="6" t="str">
        <f ca="1">IFERROR(__xludf.DUMMYFUNCTION("""COMPUTED_VALUE"""),"EL MONTE")</f>
        <v>EL MONTE</v>
      </c>
    </row>
    <row r="1467" spans="1:4">
      <c r="A1467" s="7">
        <f ca="1">IFERROR(__xludf.DUMMYFUNCTION("""COMPUTED_VALUE"""),44043)</f>
        <v>44043</v>
      </c>
      <c r="B1467" s="6" t="str">
        <f ca="1">IFERROR(__xludf.DUMMYFUNCTION("""COMPUTED_VALUE"""),"-33.681759,-71.002395")</f>
        <v>-33.681759,-71.002395</v>
      </c>
      <c r="C1467" s="6" t="str">
        <f ca="1">IFERROR(__xludf.DUMMYFUNCTION("""COMPUTED_VALUE"""),"CONDE DE LA CONQUISTA 38")</f>
        <v>CONDE DE LA CONQUISTA 38</v>
      </c>
      <c r="D1467" s="6" t="str">
        <f ca="1">IFERROR(__xludf.DUMMYFUNCTION("""COMPUTED_VALUE"""),"EL MONTE")</f>
        <v>EL MONTE</v>
      </c>
    </row>
    <row r="1468" spans="1:4">
      <c r="A1468" s="7">
        <f ca="1">IFERROR(__xludf.DUMMYFUNCTION("""COMPUTED_VALUE"""),44043)</f>
        <v>44043</v>
      </c>
      <c r="B1468" s="6" t="str">
        <f ca="1">IFERROR(__xludf.DUMMYFUNCTION("""COMPUTED_VALUE"""),"-33.269960 - 70.892462")</f>
        <v>-33.269960 - 70.892462</v>
      </c>
      <c r="C1468" s="6" t="str">
        <f ca="1">IFERROR(__xludf.DUMMYFUNCTION("""COMPUTED_VALUE"""),"ISABEL RIQUELME SITIO 3 LOTE 3 ")</f>
        <v xml:space="preserve">ISABEL RIQUELME SITIO 3 LOTE 3 </v>
      </c>
      <c r="D1468" s="6" t="str">
        <f ca="1">IFERROR(__xludf.DUMMYFUNCTION("""COMPUTED_VALUE"""),"LAMPA")</f>
        <v>LAMPA</v>
      </c>
    </row>
    <row r="1469" spans="1:4">
      <c r="A1469" s="7">
        <f ca="1">IFERROR(__xludf.DUMMYFUNCTION("""COMPUTED_VALUE"""),44043)</f>
        <v>44043</v>
      </c>
      <c r="B1469" s="8" t="str">
        <f ca="1">IFERROR(__xludf.DUMMYFUNCTION("""COMPUTED_VALUE"""),"-33.732163, -70.770678")</f>
        <v>-33.732163, -70.770678</v>
      </c>
      <c r="C1469" s="6" t="str">
        <f ca="1">IFERROR(__xludf.DUMMYFUNCTION("""COMPUTED_VALUE"""),"CAMINO BUIN MAIPO 2736")</f>
        <v>CAMINO BUIN MAIPO 2736</v>
      </c>
      <c r="D1469" s="6" t="str">
        <f ca="1">IFERROR(__xludf.DUMMYFUNCTION("""COMPUTED_VALUE"""),"BUIN")</f>
        <v>BUIN</v>
      </c>
    </row>
    <row r="1470" spans="1:4">
      <c r="A1470" s="7">
        <f ca="1">IFERROR(__xludf.DUMMYFUNCTION("""COMPUTED_VALUE"""),44044)</f>
        <v>44044</v>
      </c>
      <c r="B1470" s="6" t="str">
        <f ca="1">IFERROR(__xludf.DUMMYFUNCTION("""COMPUTED_VALUE"""),"-33.446287-71.028591")</f>
        <v>-33.446287-71.028591</v>
      </c>
      <c r="C1470" s="6" t="str">
        <f ca="1">IFERROR(__xludf.DUMMYFUNCTION("""COMPUTED_VALUE"""),"UNION CHILENA SITIO 13")</f>
        <v>UNION CHILENA SITIO 13</v>
      </c>
      <c r="D1470" s="6" t="str">
        <f ca="1">IFERROR(__xludf.DUMMYFUNCTION("""COMPUTED_VALUE"""),"CURACAVI")</f>
        <v>CURACAVI</v>
      </c>
    </row>
    <row r="1471" spans="1:4">
      <c r="A1471" s="7">
        <f ca="1">IFERROR(__xludf.DUMMYFUNCTION("""COMPUTED_VALUE"""),44044)</f>
        <v>44044</v>
      </c>
      <c r="B1471" s="6" t="str">
        <f ca="1">IFERROR(__xludf.DUMMYFUNCTION("""COMPUTED_VALUE"""),"-33.446287-71.028591")</f>
        <v>-33.446287-71.028591</v>
      </c>
      <c r="C1471" s="6" t="str">
        <f ca="1">IFERROR(__xludf.DUMMYFUNCTION("""COMPUTED_VALUE"""),"UNION CHILENA SITIO 13")</f>
        <v>UNION CHILENA SITIO 13</v>
      </c>
      <c r="D1471" s="6" t="str">
        <f ca="1">IFERROR(__xludf.DUMMYFUNCTION("""COMPUTED_VALUE"""),"CURACAVI")</f>
        <v>CURACAVI</v>
      </c>
    </row>
    <row r="1472" spans="1:4">
      <c r="A1472" s="7">
        <f ca="1">IFERROR(__xludf.DUMMYFUNCTION("""COMPUTED_VALUE"""),44044)</f>
        <v>44044</v>
      </c>
      <c r="B1472" s="6" t="str">
        <f ca="1">IFERROR(__xludf.DUMMYFUNCTION("""COMPUTED_VALUE"""),"-33.446287-71.028591")</f>
        <v>-33.446287-71.028591</v>
      </c>
      <c r="C1472" s="6" t="str">
        <f ca="1">IFERROR(__xludf.DUMMYFUNCTION("""COMPUTED_VALUE"""),"UNION CHILENA SITIO 13")</f>
        <v>UNION CHILENA SITIO 13</v>
      </c>
      <c r="D1472" s="6" t="str">
        <f ca="1">IFERROR(__xludf.DUMMYFUNCTION("""COMPUTED_VALUE"""),"CURACAVI")</f>
        <v>CURACAVI</v>
      </c>
    </row>
    <row r="1473" spans="1:4">
      <c r="A1473" s="7">
        <f ca="1">IFERROR(__xludf.DUMMYFUNCTION("""COMPUTED_VALUE"""),44044)</f>
        <v>44044</v>
      </c>
      <c r="B1473" s="6" t="str">
        <f ca="1">IFERROR(__xludf.DUMMYFUNCTION("""COMPUTED_VALUE"""),"-33.3954197-71.1240763")</f>
        <v>-33.3954197-71.1240763</v>
      </c>
      <c r="C1473" s="6" t="str">
        <f ca="1">IFERROR(__xludf.DUMMYFUNCTION("""COMPUTED_VALUE"""),"CUYUNCAVI 669 B")</f>
        <v>CUYUNCAVI 669 B</v>
      </c>
      <c r="D1473" s="6" t="str">
        <f ca="1">IFERROR(__xludf.DUMMYFUNCTION("""COMPUTED_VALUE"""),"CURACAVI")</f>
        <v>CURACAVI</v>
      </c>
    </row>
    <row r="1474" spans="1:4">
      <c r="A1474" s="7">
        <f ca="1">IFERROR(__xludf.DUMMYFUNCTION("""COMPUTED_VALUE"""),44044)</f>
        <v>44044</v>
      </c>
      <c r="B1474" s="6" t="str">
        <f ca="1">IFERROR(__xludf.DUMMYFUNCTION("""COMPUTED_VALUE"""),"-33.675566,-70.974751")</f>
        <v>-33.675566,-70.974751</v>
      </c>
      <c r="C1474" s="6" t="str">
        <f ca="1">IFERROR(__xludf.DUMMYFUNCTION("""COMPUTED_VALUE"""),"PAULA VERDUGO 192")</f>
        <v>PAULA VERDUGO 192</v>
      </c>
      <c r="D1474" s="6" t="str">
        <f ca="1">IFERROR(__xludf.DUMMYFUNCTION("""COMPUTED_VALUE"""),"EL MONTE")</f>
        <v>EL MONTE</v>
      </c>
    </row>
    <row r="1475" spans="1:4">
      <c r="A1475" s="7">
        <f ca="1">IFERROR(__xludf.DUMMYFUNCTION("""COMPUTED_VALUE"""),44044)</f>
        <v>44044</v>
      </c>
      <c r="B1475" s="6" t="str">
        <f ca="1">IFERROR(__xludf.DUMMYFUNCTION("""COMPUTED_VALUE"""),"-33.680924,-70.985545")</f>
        <v>-33.680924,-70.985545</v>
      </c>
      <c r="C1475" s="6" t="str">
        <f ca="1">IFERROR(__xludf.DUMMYFUNCTION("""COMPUTED_VALUE"""),"CHENA 307")</f>
        <v>CHENA 307</v>
      </c>
      <c r="D1475" s="6" t="str">
        <f ca="1">IFERROR(__xludf.DUMMYFUNCTION("""COMPUTED_VALUE"""),"EL MONTE")</f>
        <v>EL MONTE</v>
      </c>
    </row>
    <row r="1476" spans="1:4">
      <c r="A1476" s="7">
        <f ca="1">IFERROR(__xludf.DUMMYFUNCTION("""COMPUTED_VALUE"""),44044)</f>
        <v>44044</v>
      </c>
      <c r="B1476" s="6" t="str">
        <f ca="1">IFERROR(__xludf.DUMMYFUNCTION("""COMPUTED_VALUE"""),"-33.674421,-70.976158")</f>
        <v>-33.674421,-70.976158</v>
      </c>
      <c r="C1476" s="6" t="str">
        <f ca="1">IFERROR(__xludf.DUMMYFUNCTION("""COMPUTED_VALUE"""),"BLANCO ENCALDA C88")</f>
        <v>BLANCO ENCALDA C88</v>
      </c>
      <c r="D1476" s="6" t="str">
        <f ca="1">IFERROR(__xludf.DUMMYFUNCTION("""COMPUTED_VALUE"""),"EL MONTE")</f>
        <v>EL MONTE</v>
      </c>
    </row>
    <row r="1477" spans="1:4">
      <c r="A1477" s="7">
        <f ca="1">IFERROR(__xludf.DUMMYFUNCTION("""COMPUTED_VALUE"""),44044)</f>
        <v>44044</v>
      </c>
      <c r="B1477" s="6" t="str">
        <f ca="1">IFERROR(__xludf.DUMMYFUNCTION("""COMPUTED_VALUE"""),"-33.674389,-70.976233")</f>
        <v>-33.674389,-70.976233</v>
      </c>
      <c r="C1477" s="6" t="str">
        <f ca="1">IFERROR(__xludf.DUMMYFUNCTION("""COMPUTED_VALUE"""),"BLANCO ENCALDA C88")</f>
        <v>BLANCO ENCALDA C88</v>
      </c>
      <c r="D1477" s="6" t="str">
        <f ca="1">IFERROR(__xludf.DUMMYFUNCTION("""COMPUTED_VALUE"""),"EL MONTE")</f>
        <v>EL MONTE</v>
      </c>
    </row>
    <row r="1478" spans="1:4">
      <c r="A1478" s="7">
        <f ca="1">IFERROR(__xludf.DUMMYFUNCTION("""COMPUTED_VALUE"""),44046)</f>
        <v>44046</v>
      </c>
      <c r="B1478" s="8" t="str">
        <f ca="1">IFERROR(__xludf.DUMMYFUNCTION("""COMPUTED_VALUE"""),"-33.287706,-70.883158")</f>
        <v>-33.287706,-70.883158</v>
      </c>
      <c r="C1478" s="6" t="str">
        <f ca="1">IFERROR(__xludf.DUMMYFUNCTION("""COMPUTED_VALUE"""),"JAVIERA CARRERA 68")</f>
        <v>JAVIERA CARRERA 68</v>
      </c>
      <c r="D1478" s="6" t="str">
        <f ca="1">IFERROR(__xludf.DUMMYFUNCTION("""COMPUTED_VALUE"""),"LAMPA")</f>
        <v>LAMPA</v>
      </c>
    </row>
    <row r="1479" spans="1:4">
      <c r="A1479" s="7">
        <f ca="1">IFERROR(__xludf.DUMMYFUNCTION("""COMPUTED_VALUE"""),44046)</f>
        <v>44046</v>
      </c>
      <c r="B1479" s="8" t="str">
        <f ca="1">IFERROR(__xludf.DUMMYFUNCTION("""COMPUTED_VALUE"""),"-33.517646,-71.199785")</f>
        <v>-33.517646,-71.199785</v>
      </c>
      <c r="C1479" s="6" t="str">
        <f ca="1">IFERROR(__xludf.DUMMYFUNCTION("""COMPUTED_VALUE"""),"EL LUCHADOR S/N SITIO 59")</f>
        <v>EL LUCHADOR S/N SITIO 59</v>
      </c>
      <c r="D1479" s="6" t="str">
        <f ca="1">IFERROR(__xludf.DUMMYFUNCTION("""COMPUTED_VALUE"""),"MARIA PINTO")</f>
        <v>MARIA PINTO</v>
      </c>
    </row>
    <row r="1480" spans="1:4">
      <c r="A1480" s="7">
        <f ca="1">IFERROR(__xludf.DUMMYFUNCTION("""COMPUTED_VALUE"""),44046)</f>
        <v>44046</v>
      </c>
      <c r="B1480" s="8" t="str">
        <f ca="1">IFERROR(__xludf.DUMMYFUNCTION("""COMPUTED_VALUE"""),"-33.726646,-71.192785")</f>
        <v>-33.726646,-71.192785</v>
      </c>
      <c r="C1480" s="6" t="str">
        <f ca="1">IFERROR(__xludf.DUMMYFUNCTION("""COMPUTED_VALUE"""),"LOS QUILLAYES S/N")</f>
        <v>LOS QUILLAYES S/N</v>
      </c>
      <c r="D1480" s="6" t="str">
        <f ca="1">IFERROR(__xludf.DUMMYFUNCTION("""COMPUTED_VALUE"""),"MARIA PINTO")</f>
        <v>MARIA PINTO</v>
      </c>
    </row>
    <row r="1481" spans="1:4">
      <c r="A1481" s="7">
        <f ca="1">IFERROR(__xludf.DUMMYFUNCTION("""COMPUTED_VALUE"""),44046)</f>
        <v>44046</v>
      </c>
      <c r="B1481" s="8" t="str">
        <f ca="1">IFERROR(__xludf.DUMMYFUNCTION("""COMPUTED_VALUE"""),"-33.462229,-71.079458")</f>
        <v>-33.462229,-71.079458</v>
      </c>
      <c r="C1481" s="6" t="str">
        <f ca="1">IFERROR(__xludf.DUMMYFUNCTION("""COMPUTED_VALUE"""),"SANTA RITA DE CASIA 1795")</f>
        <v>SANTA RITA DE CASIA 1795</v>
      </c>
      <c r="D1481" s="6" t="str">
        <f ca="1">IFERROR(__xludf.DUMMYFUNCTION("""COMPUTED_VALUE"""),"MARIA PINTO")</f>
        <v>MARIA PINTO</v>
      </c>
    </row>
    <row r="1482" spans="1:4">
      <c r="A1482" s="7">
        <f ca="1">IFERROR(__xludf.DUMMYFUNCTION("""COMPUTED_VALUE"""),44046)</f>
        <v>44046</v>
      </c>
      <c r="B1482" s="8" t="str">
        <f ca="1">IFERROR(__xludf.DUMMYFUNCTION("""COMPUTED_VALUE"""),"-33.455526,-71.096679")</f>
        <v>-33.455526,-71.096679</v>
      </c>
      <c r="C1482" s="6" t="str">
        <f ca="1">IFERROR(__xludf.DUMMYFUNCTION("""COMPUTED_VALUE"""),"EL ACACIO 405")</f>
        <v>EL ACACIO 405</v>
      </c>
      <c r="D1482" s="6" t="str">
        <f ca="1">IFERROR(__xludf.DUMMYFUNCTION("""COMPUTED_VALUE"""),"MARIA PINTO")</f>
        <v>MARIA PINTO</v>
      </c>
    </row>
    <row r="1483" spans="1:4">
      <c r="A1483" s="7">
        <f ca="1">IFERROR(__xludf.DUMMYFUNCTION("""COMPUTED_VALUE"""),44046)</f>
        <v>44046</v>
      </c>
      <c r="B1483" s="8" t="str">
        <f ca="1">IFERROR(__xludf.DUMMYFUNCTION("""COMPUTED_VALUE"""),"-33.530628,-71.228207")</f>
        <v>-33.530628,-71.228207</v>
      </c>
      <c r="C1483" s="6" t="str">
        <f ca="1">IFERROR(__xludf.DUMMYFUNCTION("""COMPUTED_VALUE"""),"LAS ACACIAS S/N CHOROMBO BAJO")</f>
        <v>LAS ACACIAS S/N CHOROMBO BAJO</v>
      </c>
      <c r="D1483" s="6" t="str">
        <f ca="1">IFERROR(__xludf.DUMMYFUNCTION("""COMPUTED_VALUE"""),"MARIA PINTO")</f>
        <v>MARIA PINTO</v>
      </c>
    </row>
    <row r="1484" spans="1:4">
      <c r="A1484" s="7">
        <f ca="1">IFERROR(__xludf.DUMMYFUNCTION("""COMPUTED_VALUE"""),44046)</f>
        <v>44046</v>
      </c>
      <c r="B1484" s="6" t="str">
        <f ca="1">IFERROR(__xludf.DUMMYFUNCTION("""COMPUTED_VALUE"""),"-33.603669-70.901105")</f>
        <v>-33.603669-70.901105</v>
      </c>
      <c r="C1484" s="6" t="str">
        <f ca="1">IFERROR(__xludf.DUMMYFUNCTION("""COMPUTED_VALUE"""),"PASAJE UNO 159")</f>
        <v>PASAJE UNO 159</v>
      </c>
      <c r="D1484" s="6" t="str">
        <f ca="1">IFERROR(__xludf.DUMMYFUNCTION("""COMPUTED_VALUE"""),"PEÑAFLOR")</f>
        <v>PEÑAFLOR</v>
      </c>
    </row>
    <row r="1485" spans="1:4">
      <c r="A1485" s="7">
        <f ca="1">IFERROR(__xludf.DUMMYFUNCTION("""COMPUTED_VALUE"""),44046)</f>
        <v>44046</v>
      </c>
      <c r="B1485" s="6" t="str">
        <f ca="1">IFERROR(__xludf.DUMMYFUNCTION("""COMPUTED_VALUE"""),"-33.599631-70.870826")</f>
        <v>-33.599631-70.870826</v>
      </c>
      <c r="C1485" s="6" t="str">
        <f ca="1">IFERROR(__xludf.DUMMYFUNCTION("""COMPUTED_VALUE"""),"AV. MIRAFLORES 1840")</f>
        <v>AV. MIRAFLORES 1840</v>
      </c>
      <c r="D1485" s="6" t="str">
        <f ca="1">IFERROR(__xludf.DUMMYFUNCTION("""COMPUTED_VALUE"""),"PEÑAFLOR")</f>
        <v>PEÑAFLOR</v>
      </c>
    </row>
    <row r="1486" spans="1:4">
      <c r="A1486" s="7">
        <f ca="1">IFERROR(__xludf.DUMMYFUNCTION("""COMPUTED_VALUE"""),44046)</f>
        <v>44046</v>
      </c>
      <c r="B1486" s="6" t="str">
        <f ca="1">IFERROR(__xludf.DUMMYFUNCTION("""COMPUTED_VALUE"""),"-33.614630-70.871529")</f>
        <v>-33.614630-70.871529</v>
      </c>
      <c r="C1486" s="6" t="str">
        <f ca="1">IFERROR(__xludf.DUMMYFUNCTION("""COMPUTED_VALUE"""),"LAS VIOLESTAS 422")</f>
        <v>LAS VIOLESTAS 422</v>
      </c>
      <c r="D1486" s="6" t="str">
        <f ca="1">IFERROR(__xludf.DUMMYFUNCTION("""COMPUTED_VALUE"""),"PEÑAFLOR")</f>
        <v>PEÑAFLOR</v>
      </c>
    </row>
    <row r="1487" spans="1:4">
      <c r="A1487" s="7">
        <f ca="1">IFERROR(__xludf.DUMMYFUNCTION("""COMPUTED_VALUE"""),44046)</f>
        <v>44046</v>
      </c>
      <c r="B1487" s="6" t="str">
        <f ca="1">IFERROR(__xludf.DUMMYFUNCTION("""COMPUTED_VALUE"""),"-33.602223-70.848541")</f>
        <v>-33.602223-70.848541</v>
      </c>
      <c r="C1487" s="6" t="str">
        <f ca="1">IFERROR(__xludf.DUMMYFUNCTION("""COMPUTED_VALUE"""),"LOS LIBERTADORES 173")</f>
        <v>LOS LIBERTADORES 173</v>
      </c>
      <c r="D1487" s="6" t="str">
        <f ca="1">IFERROR(__xludf.DUMMYFUNCTION("""COMPUTED_VALUE"""),"PEÑAFLOR")</f>
        <v>PEÑAFLOR</v>
      </c>
    </row>
    <row r="1488" spans="1:4">
      <c r="A1488" s="7">
        <f ca="1">IFERROR(__xludf.DUMMYFUNCTION("""COMPUTED_VALUE"""),44046)</f>
        <v>44046</v>
      </c>
      <c r="B1488" s="6" t="str">
        <f ca="1">IFERROR(__xludf.DUMMYFUNCTION("""COMPUTED_VALUE"""),"-33.6124-70.8949")</f>
        <v>-33.6124-70.8949</v>
      </c>
      <c r="C1488" s="6" t="str">
        <f ca="1">IFERROR(__xludf.DUMMYFUNCTION("""COMPUTED_VALUE"""),"FRANCISCO HIDALGO 85")</f>
        <v>FRANCISCO HIDALGO 85</v>
      </c>
      <c r="D1488" s="6" t="str">
        <f ca="1">IFERROR(__xludf.DUMMYFUNCTION("""COMPUTED_VALUE"""),"PEÑAFLOR")</f>
        <v>PEÑAFLOR</v>
      </c>
    </row>
    <row r="1489" spans="1:4">
      <c r="A1489" s="7">
        <f ca="1">IFERROR(__xludf.DUMMYFUNCTION("""COMPUTED_VALUE"""),44046)</f>
        <v>44046</v>
      </c>
      <c r="B1489" s="6" t="str">
        <f ca="1">IFERROR(__xludf.DUMMYFUNCTION("""COMPUTED_VALUE"""),"-33.681426,-70.985342")</f>
        <v>-33.681426,-70.985342</v>
      </c>
      <c r="C1489" s="6" t="str">
        <f ca="1">IFERROR(__xludf.DUMMYFUNCTION("""COMPUTED_VALUE"""),"LOS NOGALES PJE 11C55")</f>
        <v>LOS NOGALES PJE 11C55</v>
      </c>
      <c r="D1489" s="6" t="str">
        <f ca="1">IFERROR(__xludf.DUMMYFUNCTION("""COMPUTED_VALUE"""),"EL MONTE")</f>
        <v>EL MONTE</v>
      </c>
    </row>
    <row r="1490" spans="1:4">
      <c r="A1490" s="7">
        <f ca="1">IFERROR(__xludf.DUMMYFUNCTION("""COMPUTED_VALUE"""),44046)</f>
        <v>44046</v>
      </c>
      <c r="B1490" s="6" t="str">
        <f ca="1">IFERROR(__xludf.DUMMYFUNCTION("""COMPUTED_VALUE"""),"-33.675788,-70.974269")</f>
        <v>-33.675788,-70.974269</v>
      </c>
      <c r="C1490" s="6" t="str">
        <f ca="1">IFERROR(__xludf.DUMMYFUNCTION("""COMPUTED_VALUE"""),"FRANCISCA DE PAULA 63")</f>
        <v>FRANCISCA DE PAULA 63</v>
      </c>
      <c r="D1490" s="6" t="str">
        <f ca="1">IFERROR(__xludf.DUMMYFUNCTION("""COMPUTED_VALUE"""),"EL MONTE")</f>
        <v>EL MONTE</v>
      </c>
    </row>
    <row r="1491" spans="1:4">
      <c r="A1491" s="7">
        <f ca="1">IFERROR(__xludf.DUMMYFUNCTION("""COMPUTED_VALUE"""),44046)</f>
        <v>44046</v>
      </c>
      <c r="B1491" s="6" t="str">
        <f ca="1">IFERROR(__xludf.DUMMYFUNCTION("""COMPUTED_VALUE"""),"-33.675918,-70.974328")</f>
        <v>-33.675918,-70.974328</v>
      </c>
      <c r="C1491" s="6" t="str">
        <f ca="1">IFERROR(__xludf.DUMMYFUNCTION("""COMPUTED_VALUE"""),"FRANCISCA DE PAULA 62")</f>
        <v>FRANCISCA DE PAULA 62</v>
      </c>
      <c r="D1491" s="6" t="str">
        <f ca="1">IFERROR(__xludf.DUMMYFUNCTION("""COMPUTED_VALUE"""),"EL MONTE")</f>
        <v>EL MONTE</v>
      </c>
    </row>
    <row r="1492" spans="1:4">
      <c r="A1492" s="7">
        <f ca="1">IFERROR(__xludf.DUMMYFUNCTION("""COMPUTED_VALUE"""),44046)</f>
        <v>44046</v>
      </c>
      <c r="B1492" s="6" t="str">
        <f ca="1">IFERROR(__xludf.DUMMYFUNCTION("""COMPUTED_VALUE"""),"-33.677242,-70.990402")</f>
        <v>-33.677242,-70.990402</v>
      </c>
      <c r="C1492" s="6" t="str">
        <f ca="1">IFERROR(__xludf.DUMMYFUNCTION("""COMPUTED_VALUE"""),"CARLOS CROVETTO 337")</f>
        <v>CARLOS CROVETTO 337</v>
      </c>
      <c r="D1492" s="6" t="str">
        <f ca="1">IFERROR(__xludf.DUMMYFUNCTION("""COMPUTED_VALUE"""),"EL MONTE")</f>
        <v>EL MONTE</v>
      </c>
    </row>
    <row r="1493" spans="1:4">
      <c r="A1493" s="7">
        <f ca="1">IFERROR(__xludf.DUMMYFUNCTION("""COMPUTED_VALUE"""),44046)</f>
        <v>44046</v>
      </c>
      <c r="B1493" s="8" t="str">
        <f ca="1">IFERROR(__xludf.DUMMYFUNCTION("""COMPUTED_VALUE"""),"-33.7276314,-70.7810638")</f>
        <v>-33.7276314,-70.7810638</v>
      </c>
      <c r="C1493" s="6" t="str">
        <f ca="1">IFERROR(__xludf.DUMMYFUNCTION("""COMPUTED_VALUE"""),"LA PALOMA #8 MAIPO (ESQUINA LOS CEIBOS)")</f>
        <v>LA PALOMA #8 MAIPO (ESQUINA LOS CEIBOS)</v>
      </c>
      <c r="D1493" s="6" t="str">
        <f ca="1">IFERROR(__xludf.DUMMYFUNCTION("""COMPUTED_VALUE"""),"BUIN")</f>
        <v>BUIN</v>
      </c>
    </row>
    <row r="1494" spans="1:4">
      <c r="A1494" s="7">
        <f ca="1">IFERROR(__xludf.DUMMYFUNCTION("""COMPUTED_VALUE"""),44046)</f>
        <v>44046</v>
      </c>
      <c r="B1494" s="8" t="str">
        <f ca="1">IFERROR(__xludf.DUMMYFUNCTION("""COMPUTED_VALUE"""),"-33.7315702,-70.7824294")</f>
        <v>-33.7315702,-70.7824294</v>
      </c>
      <c r="C1494" s="6" t="str">
        <f ca="1">IFERROR(__xludf.DUMMYFUNCTION("""COMPUTED_VALUE"""),"FELIPE DE NERY 155")</f>
        <v>FELIPE DE NERY 155</v>
      </c>
      <c r="D1494" s="6" t="str">
        <f ca="1">IFERROR(__xludf.DUMMYFUNCTION("""COMPUTED_VALUE"""),"BUIN")</f>
        <v>BUIN</v>
      </c>
    </row>
    <row r="1495" spans="1:4">
      <c r="A1495" s="7">
        <f ca="1">IFERROR(__xludf.DUMMYFUNCTION("""COMPUTED_VALUE"""),44047)</f>
        <v>44047</v>
      </c>
      <c r="B1495" s="8" t="str">
        <f ca="1">IFERROR(__xludf.DUMMYFUNCTION("""COMPUTED_VALUE"""),"-33.538328,-71.231013")</f>
        <v>-33.538328,-71.231013</v>
      </c>
      <c r="C1495" s="6" t="str">
        <f ca="1">IFERROR(__xludf.DUMMYFUNCTION("""COMPUTED_VALUE"""),"CHOROMBO BAJO S/N CV5")</f>
        <v>CHOROMBO BAJO S/N CV5</v>
      </c>
      <c r="D1495" s="6" t="str">
        <f ca="1">IFERROR(__xludf.DUMMYFUNCTION("""COMPUTED_VALUE"""),"MARIA PINTO")</f>
        <v>MARIA PINTO</v>
      </c>
    </row>
    <row r="1496" spans="1:4">
      <c r="A1496" s="7">
        <f ca="1">IFERROR(__xludf.DUMMYFUNCTION("""COMPUTED_VALUE"""),44047)</f>
        <v>44047</v>
      </c>
      <c r="B1496" s="8" t="str">
        <f ca="1">IFERROR(__xludf.DUMMYFUNCTION("""COMPUTED_VALUE"""),"-33.518821,-71.120436")</f>
        <v>-33.518821,-71.120436</v>
      </c>
      <c r="C1496" s="6" t="str">
        <f ca="1">IFERROR(__xludf.DUMMYFUNCTION("""COMPUTED_VALUE"""),"APOLO XII 327")</f>
        <v>APOLO XII 327</v>
      </c>
      <c r="D1496" s="6" t="str">
        <f ca="1">IFERROR(__xludf.DUMMYFUNCTION("""COMPUTED_VALUE"""),"MARIA PINTO")</f>
        <v>MARIA PINTO</v>
      </c>
    </row>
    <row r="1497" spans="1:4">
      <c r="A1497" s="7">
        <f ca="1">IFERROR(__xludf.DUMMYFUNCTION("""COMPUTED_VALUE"""),44047)</f>
        <v>44047</v>
      </c>
      <c r="B1497" s="8" t="str">
        <f ca="1">IFERROR(__xludf.DUMMYFUNCTION("""COMPUTED_VALUE"""),"-33.462452,-71.080717")</f>
        <v>-33.462452,-71.080717</v>
      </c>
      <c r="C1497" s="6" t="str">
        <f ca="1">IFERROR(__xludf.DUMMYFUNCTION("""COMPUTED_VALUE"""),"SANTARITA DE CASIA1915")</f>
        <v>SANTARITA DE CASIA1915</v>
      </c>
      <c r="D1497" s="6" t="str">
        <f ca="1">IFERROR(__xludf.DUMMYFUNCTION("""COMPUTED_VALUE"""),"MARIA PINTO")</f>
        <v>MARIA PINTO</v>
      </c>
    </row>
    <row r="1498" spans="1:4">
      <c r="A1498" s="7">
        <f ca="1">IFERROR(__xludf.DUMMYFUNCTION("""COMPUTED_VALUE"""),44047)</f>
        <v>44047</v>
      </c>
      <c r="B1498" s="8" t="str">
        <f ca="1">IFERROR(__xludf.DUMMYFUNCTION("""COMPUTED_VALUE"""),"-33.501111,-71.256288")</f>
        <v>-33.501111,-71.256288</v>
      </c>
      <c r="C1498" s="6" t="str">
        <f ca="1">IFERROR(__xludf.DUMMYFUNCTION("""COMPUTED_VALUE"""),"IBAZACHE ALTO 21")</f>
        <v>IBAZACHE ALTO 21</v>
      </c>
      <c r="D1498" s="6" t="str">
        <f ca="1">IFERROR(__xludf.DUMMYFUNCTION("""COMPUTED_VALUE"""),"MARIA PINTO")</f>
        <v>MARIA PINTO</v>
      </c>
    </row>
    <row r="1499" spans="1:4">
      <c r="A1499" s="7">
        <f ca="1">IFERROR(__xludf.DUMMYFUNCTION("""COMPUTED_VALUE"""),44047)</f>
        <v>44047</v>
      </c>
      <c r="B1499" s="8" t="str">
        <f ca="1">IFERROR(__xludf.DUMMYFUNCTION("""COMPUTED_VALUE"""),"-33.465482,-71.084606")</f>
        <v>-33.465482,-71.084606</v>
      </c>
      <c r="C1499" s="6" t="str">
        <f ca="1">IFERROR(__xludf.DUMMYFUNCTION("""COMPUTED_VALUE"""),"LIRANO S/N ")</f>
        <v xml:space="preserve">LIRANO S/N </v>
      </c>
      <c r="D1499" s="6" t="str">
        <f ca="1">IFERROR(__xludf.DUMMYFUNCTION("""COMPUTED_VALUE"""),"MARIA PINTO")</f>
        <v>MARIA PINTO</v>
      </c>
    </row>
    <row r="1500" spans="1:4">
      <c r="A1500" s="7">
        <f ca="1">IFERROR(__xludf.DUMMYFUNCTION("""COMPUTED_VALUE"""),44047)</f>
        <v>44047</v>
      </c>
      <c r="B1500" s="8" t="str">
        <f ca="1">IFERROR(__xludf.DUMMYFUNCTION("""COMPUTED_VALUE"""),"-33.483749,-71.139580")</f>
        <v>-33.483749,-71.139580</v>
      </c>
      <c r="C1500" s="6" t="str">
        <f ca="1">IFERROR(__xludf.DUMMYFUNCTION("""COMPUTED_VALUE"""),"EL BOSQUE S/N SITIO 20")</f>
        <v>EL BOSQUE S/N SITIO 20</v>
      </c>
      <c r="D1500" s="6" t="str">
        <f ca="1">IFERROR(__xludf.DUMMYFUNCTION("""COMPUTED_VALUE"""),"MARIA PINTO")</f>
        <v>MARIA PINTO</v>
      </c>
    </row>
    <row r="1501" spans="1:4">
      <c r="A1501" s="7">
        <f ca="1">IFERROR(__xludf.DUMMYFUNCTION("""COMPUTED_VALUE"""),44047)</f>
        <v>44047</v>
      </c>
      <c r="B1501" s="8" t="str">
        <f ca="1">IFERROR(__xludf.DUMMYFUNCTION("""COMPUTED_VALUE"""),"-33.501111,-71.256288")</f>
        <v>-33.501111,-71.256288</v>
      </c>
      <c r="C1501" s="6" t="str">
        <f ca="1">IFERROR(__xludf.DUMMYFUNCTION("""COMPUTED_VALUE"""),"ESPERANZA DE LOLEO S/N")</f>
        <v>ESPERANZA DE LOLEO S/N</v>
      </c>
      <c r="D1501" s="6" t="str">
        <f ca="1">IFERROR(__xludf.DUMMYFUNCTION("""COMPUTED_VALUE"""),"MARIA PINTO")</f>
        <v>MARIA PINTO</v>
      </c>
    </row>
    <row r="1502" spans="1:4">
      <c r="A1502" s="7">
        <f ca="1">IFERROR(__xludf.DUMMYFUNCTION("""COMPUTED_VALUE"""),44047)</f>
        <v>44047</v>
      </c>
      <c r="B1502" s="6" t="str">
        <f ca="1">IFERROR(__xludf.DUMMYFUNCTION("""COMPUTED_VALUE"""),"-33.609865-70.889586")</f>
        <v>-33.609865-70.889586</v>
      </c>
      <c r="C1502" s="6" t="str">
        <f ca="1">IFERROR(__xludf.DUMMYFUNCTION("""COMPUTED_VALUE"""),"PJE. SIERRA MACKENNA 161")</f>
        <v>PJE. SIERRA MACKENNA 161</v>
      </c>
      <c r="D1502" s="6" t="str">
        <f ca="1">IFERROR(__xludf.DUMMYFUNCTION("""COMPUTED_VALUE"""),"PEÑAFLOR")</f>
        <v>PEÑAFLOR</v>
      </c>
    </row>
    <row r="1503" spans="1:4">
      <c r="A1503" s="7">
        <f ca="1">IFERROR(__xludf.DUMMYFUNCTION("""COMPUTED_VALUE"""),44047)</f>
        <v>44047</v>
      </c>
      <c r="B1503" s="6" t="str">
        <f ca="1">IFERROR(__xludf.DUMMYFUNCTION("""COMPUTED_VALUE"""),"-33.601535-70.869073")</f>
        <v>-33.601535-70.869073</v>
      </c>
      <c r="C1503" s="6" t="str">
        <f ca="1">IFERROR(__xludf.DUMMYFUNCTION("""COMPUTED_VALUE"""),"ROSITA RENARD 1598")</f>
        <v>ROSITA RENARD 1598</v>
      </c>
      <c r="D1503" s="6" t="str">
        <f ca="1">IFERROR(__xludf.DUMMYFUNCTION("""COMPUTED_VALUE"""),"PEÑAFLOR")</f>
        <v>PEÑAFLOR</v>
      </c>
    </row>
    <row r="1504" spans="1:4">
      <c r="A1504" s="7">
        <f ca="1">IFERROR(__xludf.DUMMYFUNCTION("""COMPUTED_VALUE"""),44047)</f>
        <v>44047</v>
      </c>
      <c r="B1504" s="6" t="str">
        <f ca="1">IFERROR(__xludf.DUMMYFUNCTION("""COMPUTED_VALUE"""),"-33.60100470-70.852181")</f>
        <v>-33.60100470-70.852181</v>
      </c>
      <c r="C1504" s="6" t="str">
        <f ca="1">IFERROR(__xludf.DUMMYFUNCTION("""COMPUTED_VALUE"""),"NUEVA SEIS 1872")</f>
        <v>NUEVA SEIS 1872</v>
      </c>
      <c r="D1504" s="6" t="str">
        <f ca="1">IFERROR(__xludf.DUMMYFUNCTION("""COMPUTED_VALUE"""),"PEÑAFLOR")</f>
        <v>PEÑAFLOR</v>
      </c>
    </row>
    <row r="1505" spans="1:4">
      <c r="A1505" s="7">
        <f ca="1">IFERROR(__xludf.DUMMYFUNCTION("""COMPUTED_VALUE"""),44047)</f>
        <v>44047</v>
      </c>
      <c r="B1505" s="6" t="str">
        <f ca="1">IFERROR(__xludf.DUMMYFUNCTION("""COMPUTED_VALUE"""),"-33.604147-70.854462")</f>
        <v>-33.604147-70.854462</v>
      </c>
      <c r="C1505" s="6" t="str">
        <f ca="1">IFERROR(__xludf.DUMMYFUNCTION("""COMPUTED_VALUE"""),"JOSE LUIS LIRA 266")</f>
        <v>JOSE LUIS LIRA 266</v>
      </c>
      <c r="D1505" s="6" t="str">
        <f ca="1">IFERROR(__xludf.DUMMYFUNCTION("""COMPUTED_VALUE"""),"PEÑAFLOR")</f>
        <v>PEÑAFLOR</v>
      </c>
    </row>
    <row r="1506" spans="1:4">
      <c r="A1506" s="7">
        <f ca="1">IFERROR(__xludf.DUMMYFUNCTION("""COMPUTED_VALUE"""),44047)</f>
        <v>44047</v>
      </c>
      <c r="B1506" s="6" t="str">
        <f ca="1">IFERROR(__xludf.DUMMYFUNCTION("""COMPUTED_VALUE"""),"-33.232873-70.841335")</f>
        <v>-33.232873-70.841335</v>
      </c>
      <c r="C1506" s="6" t="str">
        <f ca="1">IFERROR(__xludf.DUMMYFUNCTION("""COMPUTED_VALUE"""),"CAMINO INTERIOR S/N C/2 LOTE 2")</f>
        <v>CAMINO INTERIOR S/N C/2 LOTE 2</v>
      </c>
      <c r="D1506" s="6" t="str">
        <f ca="1">IFERROR(__xludf.DUMMYFUNCTION("""COMPUTED_VALUE"""),"LAMPA")</f>
        <v>LAMPA</v>
      </c>
    </row>
    <row r="1507" spans="1:4">
      <c r="A1507" s="7">
        <f ca="1">IFERROR(__xludf.DUMMYFUNCTION("""COMPUTED_VALUE"""),44047)</f>
        <v>44047</v>
      </c>
      <c r="B1507" s="6" t="str">
        <f ca="1">IFERROR(__xludf.DUMMYFUNCTION("""COMPUTED_VALUE"""),"-33.232873-70.841335")</f>
        <v>-33.232873-70.841335</v>
      </c>
      <c r="C1507" s="6" t="str">
        <f ca="1">IFERROR(__xludf.DUMMYFUNCTION("""COMPUTED_VALUE"""),"CAMINO INTERIOR S/N C/2 LOTE 2")</f>
        <v>CAMINO INTERIOR S/N C/2 LOTE 2</v>
      </c>
      <c r="D1507" s="6" t="str">
        <f ca="1">IFERROR(__xludf.DUMMYFUNCTION("""COMPUTED_VALUE"""),"LAMPA")</f>
        <v>LAMPA</v>
      </c>
    </row>
    <row r="1508" spans="1:4">
      <c r="A1508" s="7">
        <f ca="1">IFERROR(__xludf.DUMMYFUNCTION("""COMPUTED_VALUE"""),44047)</f>
        <v>44047</v>
      </c>
      <c r="B1508" s="6" t="str">
        <f ca="1">IFERROR(__xludf.DUMMYFUNCTION("""COMPUTED_VALUE"""),"-33.240706-70.734142")</f>
        <v>-33.240706-70.734142</v>
      </c>
      <c r="C1508" s="6" t="str">
        <f ca="1">IFERROR(__xludf.DUMMYFUNCTION("""COMPUTED_VALUE"""),"SANTA MARTA LIRAY SITIO 5 A")</f>
        <v>SANTA MARTA LIRAY SITIO 5 A</v>
      </c>
      <c r="D1508" s="6" t="str">
        <f ca="1">IFERROR(__xludf.DUMMYFUNCTION("""COMPUTED_VALUE"""),"COLINA")</f>
        <v>COLINA</v>
      </c>
    </row>
    <row r="1509" spans="1:4">
      <c r="A1509" s="7">
        <f ca="1">IFERROR(__xludf.DUMMYFUNCTION("""COMPUTED_VALUE"""),44047)</f>
        <v>44047</v>
      </c>
      <c r="B1509" s="6" t="str">
        <f ca="1">IFERROR(__xludf.DUMMYFUNCTION("""COMPUTED_VALUE"""),"-33.233011-70.693379")</f>
        <v>-33.233011-70.693379</v>
      </c>
      <c r="C1509" s="6" t="str">
        <f ca="1">IFERROR(__xludf.DUMMYFUNCTION("""COMPUTED_VALUE"""),"GENERAL SAN MARTIN 13")</f>
        <v>GENERAL SAN MARTIN 13</v>
      </c>
      <c r="D1509" s="6" t="str">
        <f ca="1">IFERROR(__xludf.DUMMYFUNCTION("""COMPUTED_VALUE"""),"COLINA")</f>
        <v>COLINA</v>
      </c>
    </row>
    <row r="1510" spans="1:4">
      <c r="A1510" s="7">
        <f ca="1">IFERROR(__xludf.DUMMYFUNCTION("""COMPUTED_VALUE"""),44047)</f>
        <v>44047</v>
      </c>
      <c r="B1510" s="6" t="str">
        <f ca="1">IFERROR(__xludf.DUMMYFUNCTION("""COMPUTED_VALUE"""),"-33.3961585-71.1309993")</f>
        <v>-33.3961585-71.1309993</v>
      </c>
      <c r="C1510" s="6" t="str">
        <f ca="1">IFERROR(__xludf.DUMMYFUNCTION("""COMPUTED_VALUE"""),"COMPOSITORA PETRONILA ORELLANA 649")</f>
        <v>COMPOSITORA PETRONILA ORELLANA 649</v>
      </c>
      <c r="D1510" s="6" t="str">
        <f ca="1">IFERROR(__xludf.DUMMYFUNCTION("""COMPUTED_VALUE"""),"CURACAVI")</f>
        <v>CURACAVI</v>
      </c>
    </row>
    <row r="1511" spans="1:4">
      <c r="A1511" s="7">
        <f ca="1">IFERROR(__xludf.DUMMYFUNCTION("""COMPUTED_VALUE"""),44047)</f>
        <v>44047</v>
      </c>
      <c r="B1511" s="6" t="str">
        <f ca="1">IFERROR(__xludf.DUMMYFUNCTION("""COMPUTED_VALUE"""),"-33.6026001-70.8522354")</f>
        <v>-33.6026001-70.8522354</v>
      </c>
      <c r="C1511" s="6" t="str">
        <f ca="1">IFERROR(__xludf.DUMMYFUNCTION("""COMPUTED_VALUE"""),"AV. MIRAFLORES 131")</f>
        <v>AV. MIRAFLORES 131</v>
      </c>
      <c r="D1511" s="6" t="str">
        <f ca="1">IFERROR(__xludf.DUMMYFUNCTION("""COMPUTED_VALUE"""),"PEÑAFLOR")</f>
        <v>PEÑAFLOR</v>
      </c>
    </row>
    <row r="1512" spans="1:4">
      <c r="A1512" s="7">
        <f ca="1">IFERROR(__xludf.DUMMYFUNCTION("""COMPUTED_VALUE"""),44047)</f>
        <v>44047</v>
      </c>
      <c r="B1512" s="6" t="str">
        <f ca="1">IFERROR(__xludf.DUMMYFUNCTION("""COMPUTED_VALUE"""),"-33.5724307-70.8173959")</f>
        <v>-33.5724307-70.8173959</v>
      </c>
      <c r="C1512" s="6" t="str">
        <f ca="1">IFERROR(__xludf.DUMMYFUNCTION("""COMPUTED_VALUE"""),"SAN IGNACIO 56")</f>
        <v>SAN IGNACIO 56</v>
      </c>
      <c r="D1512" s="6" t="str">
        <f ca="1">IFERROR(__xludf.DUMMYFUNCTION("""COMPUTED_VALUE"""),"PADRE HURTADO")</f>
        <v>PADRE HURTADO</v>
      </c>
    </row>
    <row r="1513" spans="1:4">
      <c r="A1513" s="7">
        <f ca="1">IFERROR(__xludf.DUMMYFUNCTION("""COMPUTED_VALUE"""),44047)</f>
        <v>44047</v>
      </c>
      <c r="B1513" s="6" t="str">
        <f ca="1">IFERROR(__xludf.DUMMYFUNCTION("""COMPUTED_VALUE"""),"-33.661796,-70.916034")</f>
        <v>-33.661796,-70.916034</v>
      </c>
      <c r="C1513" s="6" t="str">
        <f ca="1">IFERROR(__xludf.DUMMYFUNCTION("""COMPUTED_VALUE"""),"PA REGIDOR GILBERTO COVARRUBIAS 152")</f>
        <v>PA REGIDOR GILBERTO COVARRUBIAS 152</v>
      </c>
      <c r="D1513" s="6" t="str">
        <f ca="1">IFERROR(__xludf.DUMMYFUNCTION("""COMPUTED_VALUE"""),"TALAGANTE")</f>
        <v>TALAGANTE</v>
      </c>
    </row>
    <row r="1514" spans="1:4">
      <c r="A1514" s="7">
        <f ca="1">IFERROR(__xludf.DUMMYFUNCTION("""COMPUTED_VALUE"""),44047)</f>
        <v>44047</v>
      </c>
      <c r="B1514" s="6" t="str">
        <f ca="1">IFERROR(__xludf.DUMMYFUNCTION("""COMPUTED_VALUE"""),"-33.700528,-70.977277")</f>
        <v>-33.700528,-70.977277</v>
      </c>
      <c r="C1514" s="6" t="str">
        <f ca="1">IFERROR(__xludf.DUMMYFUNCTION("""COMPUTED_VALUE"""),"RUTA 78 S/N")</f>
        <v>RUTA 78 S/N</v>
      </c>
      <c r="D1514" s="6" t="str">
        <f ca="1">IFERROR(__xludf.DUMMYFUNCTION("""COMPUTED_VALUE"""),"TALAGANTE")</f>
        <v>TALAGANTE</v>
      </c>
    </row>
    <row r="1515" spans="1:4">
      <c r="A1515" s="7">
        <f ca="1">IFERROR(__xludf.DUMMYFUNCTION("""COMPUTED_VALUE"""),44047)</f>
        <v>44047</v>
      </c>
      <c r="B1515" s="6" t="str">
        <f ca="1">IFERROR(__xludf.DUMMYFUNCTION("""COMPUTED_VALUE"""),"-33.674340,-70.942253")</f>
        <v>-33.674340,-70.942253</v>
      </c>
      <c r="C1515" s="6" t="str">
        <f ca="1">IFERROR(__xludf.DUMMYFUNCTION("""COMPUTED_VALUE"""),"GRAFITO 1016 PASAJE")</f>
        <v>GRAFITO 1016 PASAJE</v>
      </c>
      <c r="D1515" s="6" t="str">
        <f ca="1">IFERROR(__xludf.DUMMYFUNCTION("""COMPUTED_VALUE"""),"TALAGANTE")</f>
        <v>TALAGANTE</v>
      </c>
    </row>
    <row r="1516" spans="1:4">
      <c r="A1516" s="7">
        <f ca="1">IFERROR(__xludf.DUMMYFUNCTION("""COMPUTED_VALUE"""),44047)</f>
        <v>44047</v>
      </c>
      <c r="B1516" s="6" t="str">
        <f ca="1">IFERROR(__xludf.DUMMYFUNCTION("""COMPUTED_VALUE"""),"-33.636389,-70.889604")</f>
        <v>-33.636389,-70.889604</v>
      </c>
      <c r="C1516" s="6" t="str">
        <f ca="1">IFERROR(__xludf.DUMMYFUNCTION("""COMPUTED_VALUE"""),"CI SANTA ISABEL 649 LOTE 25")</f>
        <v>CI SANTA ISABEL 649 LOTE 25</v>
      </c>
      <c r="D1516" s="6" t="str">
        <f ca="1">IFERROR(__xludf.DUMMYFUNCTION("""COMPUTED_VALUE"""),"TALAGANTE")</f>
        <v>TALAGANTE</v>
      </c>
    </row>
    <row r="1517" spans="1:4">
      <c r="A1517" s="7">
        <f ca="1">IFERROR(__xludf.DUMMYFUNCTION("""COMPUTED_VALUE"""),44047)</f>
        <v>44047</v>
      </c>
      <c r="B1517" s="6" t="str">
        <f ca="1">IFERROR(__xludf.DUMMYFUNCTION("""COMPUTED_VALUE"""),"-33.681426,-70.985342")</f>
        <v>-33.681426,-70.985342</v>
      </c>
      <c r="C1517" s="6" t="str">
        <f ca="1">IFERROR(__xludf.DUMMYFUNCTION("""COMPUTED_VALUE"""),"LOS NOGALES PJE 11C55")</f>
        <v>LOS NOGALES PJE 11C55</v>
      </c>
      <c r="D1517" s="6" t="str">
        <f ca="1">IFERROR(__xludf.DUMMYFUNCTION("""COMPUTED_VALUE"""),"EL MONTE")</f>
        <v>EL MONTE</v>
      </c>
    </row>
    <row r="1518" spans="1:4">
      <c r="A1518" s="7">
        <f ca="1">IFERROR(__xludf.DUMMYFUNCTION("""COMPUTED_VALUE"""),44047)</f>
        <v>44047</v>
      </c>
      <c r="B1518" s="6" t="str">
        <f ca="1">IFERROR(__xludf.DUMMYFUNCTION("""COMPUTED_VALUE"""),"-33.684595,-71.019449")</f>
        <v>-33.684595,-71.019449</v>
      </c>
      <c r="C1518" s="6" t="str">
        <f ca="1">IFERROR(__xludf.DUMMYFUNCTION("""COMPUTED_VALUE"""),"1 ORIENTE 40")</f>
        <v>1 ORIENTE 40</v>
      </c>
      <c r="D1518" s="6" t="str">
        <f ca="1">IFERROR(__xludf.DUMMYFUNCTION("""COMPUTED_VALUE"""),"EL MONTE")</f>
        <v>EL MONTE</v>
      </c>
    </row>
    <row r="1519" spans="1:4">
      <c r="A1519" s="7">
        <f ca="1">IFERROR(__xludf.DUMMYFUNCTION("""COMPUTED_VALUE"""),44047)</f>
        <v>44047</v>
      </c>
      <c r="B1519" s="6" t="str">
        <f ca="1">IFERROR(__xludf.DUMMYFUNCTION("""COMPUTED_VALUE"""),"-33.683502,-70.992475")</f>
        <v>-33.683502,-70.992475</v>
      </c>
      <c r="C1519" s="6" t="str">
        <f ca="1">IFERROR(__xludf.DUMMYFUNCTION("""COMPUTED_VALUE"""),"MARTIN DE SOLIS 0120")</f>
        <v>MARTIN DE SOLIS 0120</v>
      </c>
      <c r="D1519" s="6" t="str">
        <f ca="1">IFERROR(__xludf.DUMMYFUNCTION("""COMPUTED_VALUE"""),"EL MONTE")</f>
        <v>EL MONTE</v>
      </c>
    </row>
    <row r="1520" spans="1:4">
      <c r="A1520" s="7">
        <f ca="1">IFERROR(__xludf.DUMMYFUNCTION("""COMPUTED_VALUE"""),44047)</f>
        <v>44047</v>
      </c>
      <c r="B1520" s="6" t="str">
        <f ca="1">IFERROR(__xludf.DUMMYFUNCTION("""COMPUTED_VALUE"""),"-33.299539 - 70.882711")</f>
        <v>-33.299539 - 70.882711</v>
      </c>
      <c r="C1520" s="6" t="str">
        <f ca="1">IFERROR(__xludf.DUMMYFUNCTION("""COMPUTED_VALUE"""),"CAMINO LAS FLORES 934 C/25 ")</f>
        <v xml:space="preserve">CAMINO LAS FLORES 934 C/25 </v>
      </c>
      <c r="D1520" s="6" t="str">
        <f ca="1">IFERROR(__xludf.DUMMYFUNCTION("""COMPUTED_VALUE"""),"LAMPA")</f>
        <v>LAMPA</v>
      </c>
    </row>
    <row r="1521" spans="1:4">
      <c r="A1521" s="7">
        <f ca="1">IFERROR(__xludf.DUMMYFUNCTION("""COMPUTED_VALUE"""),44047)</f>
        <v>44047</v>
      </c>
      <c r="B1521" s="6" t="str">
        <f ca="1">IFERROR(__xludf.DUMMYFUNCTION("""COMPUTED_VALUE"""),"-33.279114 - 70.847722")</f>
        <v>-33.279114 - 70.847722</v>
      </c>
      <c r="C1521" s="6" t="str">
        <f ca="1">IFERROR(__xludf.DUMMYFUNCTION("""COMPUTED_VALUE"""),"CAMINO INTERIOR S/N PARC 16 A LOTE 9")</f>
        <v>CAMINO INTERIOR S/N PARC 16 A LOTE 9</v>
      </c>
      <c r="D1521" s="6" t="str">
        <f ca="1">IFERROR(__xludf.DUMMYFUNCTION("""COMPUTED_VALUE"""),"LAMPA")</f>
        <v>LAMPA</v>
      </c>
    </row>
    <row r="1522" spans="1:4">
      <c r="A1522" s="7">
        <f ca="1">IFERROR(__xludf.DUMMYFUNCTION("""COMPUTED_VALUE"""),44048)</f>
        <v>44048</v>
      </c>
      <c r="B1522" s="8" t="str">
        <f ca="1">IFERROR(__xludf.DUMMYFUNCTION("""COMPUTED_VALUE"""),"-33.519681,-71.123016")</f>
        <v>-33.519681,-71.123016</v>
      </c>
      <c r="C1522" s="6" t="str">
        <f ca="1">IFERROR(__xludf.DUMMYFUNCTION("""COMPUTED_VALUE"""),"APOLO DOCE C 90D")</f>
        <v>APOLO DOCE C 90D</v>
      </c>
      <c r="D1522" s="6" t="str">
        <f ca="1">IFERROR(__xludf.DUMMYFUNCTION("""COMPUTED_VALUE"""),"MARIA PINTO")</f>
        <v>MARIA PINTO</v>
      </c>
    </row>
    <row r="1523" spans="1:4">
      <c r="A1523" s="7">
        <f ca="1">IFERROR(__xludf.DUMMYFUNCTION("""COMPUTED_VALUE"""),44048)</f>
        <v>44048</v>
      </c>
      <c r="B1523" s="8" t="str">
        <f ca="1">IFERROR(__xludf.DUMMYFUNCTION("""COMPUTED_VALUE"""),"-33.511741,-71.243590")</f>
        <v>-33.511741,-71.243590</v>
      </c>
      <c r="C1523" s="6" t="str">
        <f ca="1">IFERROR(__xludf.DUMMYFUNCTION("""COMPUTED_VALUE"""),"PARCELA 7 LOTE 3B CHOROMBO ALTO")</f>
        <v>PARCELA 7 LOTE 3B CHOROMBO ALTO</v>
      </c>
      <c r="D1523" s="6" t="str">
        <f ca="1">IFERROR(__xludf.DUMMYFUNCTION("""COMPUTED_VALUE"""),"MARIA PINTO")</f>
        <v>MARIA PINTO</v>
      </c>
    </row>
    <row r="1524" spans="1:4">
      <c r="A1524" s="7">
        <f ca="1">IFERROR(__xludf.DUMMYFUNCTION("""COMPUTED_VALUE"""),44048)</f>
        <v>44048</v>
      </c>
      <c r="B1524" s="8" t="str">
        <f ca="1">IFERROR(__xludf.DUMMYFUNCTION("""COMPUTED_VALUE"""),"-33.471922,-71.114207")</f>
        <v>-33.471922,-71.114207</v>
      </c>
      <c r="C1524" s="6" t="str">
        <f ca="1">IFERROR(__xludf.DUMMYFUNCTION("""COMPUTED_VALUE"""),"SAN ENRIQUE S/N")</f>
        <v>SAN ENRIQUE S/N</v>
      </c>
      <c r="D1524" s="6" t="str">
        <f ca="1">IFERROR(__xludf.DUMMYFUNCTION("""COMPUTED_VALUE"""),"MARIA PINTO")</f>
        <v>MARIA PINTO</v>
      </c>
    </row>
    <row r="1525" spans="1:4">
      <c r="A1525" s="7">
        <f ca="1">IFERROR(__xludf.DUMMYFUNCTION("""COMPUTED_VALUE"""),44048)</f>
        <v>44048</v>
      </c>
      <c r="B1525" s="8" t="str">
        <f ca="1">IFERROR(__xludf.DUMMYFUNCTION("""COMPUTED_VALUE"""),"-33.469495,-71.106267")</f>
        <v>-33.469495,-71.106267</v>
      </c>
      <c r="C1525" s="6" t="str">
        <f ca="1">IFERROR(__xludf.DUMMYFUNCTION("""COMPUTED_VALUE"""),"SANTA EMILIA 35")</f>
        <v>SANTA EMILIA 35</v>
      </c>
      <c r="D1525" s="6" t="str">
        <f ca="1">IFERROR(__xludf.DUMMYFUNCTION("""COMPUTED_VALUE"""),"MARIA PINTO")</f>
        <v>MARIA PINTO</v>
      </c>
    </row>
    <row r="1526" spans="1:4">
      <c r="A1526" s="7">
        <f ca="1">IFERROR(__xludf.DUMMYFUNCTION("""COMPUTED_VALUE"""),44048)</f>
        <v>44048</v>
      </c>
      <c r="B1526" s="8" t="str">
        <f ca="1">IFERROR(__xludf.DUMMYFUNCTION("""COMPUTED_VALUE"""),"-33.535017,-71.228634")</f>
        <v>-33.535017,-71.228634</v>
      </c>
      <c r="C1526" s="6" t="str">
        <f ca="1">IFERROR(__xludf.DUMMYFUNCTION("""COMPUTED_VALUE"""),"CHOROMBO BAJO 34")</f>
        <v>CHOROMBO BAJO 34</v>
      </c>
      <c r="D1526" s="6" t="str">
        <f ca="1">IFERROR(__xludf.DUMMYFUNCTION("""COMPUTED_VALUE"""),"MARIA PINTO")</f>
        <v>MARIA PINTO</v>
      </c>
    </row>
    <row r="1527" spans="1:4">
      <c r="A1527" s="7">
        <f ca="1">IFERROR(__xludf.DUMMYFUNCTION("""COMPUTED_VALUE"""),44048)</f>
        <v>44048</v>
      </c>
      <c r="B1527" s="8" t="str">
        <f ca="1">IFERROR(__xludf.DUMMYFUNCTION("""COMPUTED_VALUE"""),"-33.651103,-70.925556")</f>
        <v>-33.651103,-70.925556</v>
      </c>
      <c r="C1527" s="6" t="str">
        <f ca="1">IFERROR(__xludf.DUMMYFUNCTION("""COMPUTED_VALUE"""),"SAMUEL SANTANA 77")</f>
        <v>SAMUEL SANTANA 77</v>
      </c>
      <c r="D1527" s="6" t="str">
        <f ca="1">IFERROR(__xludf.DUMMYFUNCTION("""COMPUTED_VALUE"""),"TALAGANTE")</f>
        <v>TALAGANTE</v>
      </c>
    </row>
    <row r="1528" spans="1:4">
      <c r="A1528" s="7">
        <f ca="1">IFERROR(__xludf.DUMMYFUNCTION("""COMPUTED_VALUE"""),44048)</f>
        <v>44048</v>
      </c>
      <c r="B1528" s="6" t="str">
        <f ca="1">IFERROR(__xludf.DUMMYFUNCTION("""COMPUTED_VALUE"""),"-33.597477-70.877932")</f>
        <v>-33.597477-70.877932</v>
      </c>
      <c r="C1528" s="6" t="str">
        <f ca="1">IFERROR(__xludf.DUMMYFUNCTION("""COMPUTED_VALUE"""),"PATRICIO LARRAIN G 2143 (calle 14 de julio) ")</f>
        <v xml:space="preserve">PATRICIO LARRAIN G 2143 (calle 14 de julio) </v>
      </c>
      <c r="D1528" s="6" t="str">
        <f ca="1">IFERROR(__xludf.DUMMYFUNCTION("""COMPUTED_VALUE"""),"PEÑAFLOR")</f>
        <v>PEÑAFLOR</v>
      </c>
    </row>
    <row r="1529" spans="1:4">
      <c r="A1529" s="7">
        <f ca="1">IFERROR(__xludf.DUMMYFUNCTION("""COMPUTED_VALUE"""),44048)</f>
        <v>44048</v>
      </c>
      <c r="B1529" s="6" t="str">
        <f ca="1">IFERROR(__xludf.DUMMYFUNCTION("""COMPUTED_VALUE"""),"-33.614485-70.872963")</f>
        <v>-33.614485-70.872963</v>
      </c>
      <c r="C1529" s="6" t="str">
        <f ca="1">IFERROR(__xludf.DUMMYFUNCTION("""COMPUTED_VALUE"""),"LOS GLADIOLOS 402")</f>
        <v>LOS GLADIOLOS 402</v>
      </c>
      <c r="D1529" s="6" t="str">
        <f ca="1">IFERROR(__xludf.DUMMYFUNCTION("""COMPUTED_VALUE"""),"PEÑAFLOR")</f>
        <v>PEÑAFLOR</v>
      </c>
    </row>
    <row r="1530" spans="1:4">
      <c r="A1530" s="7">
        <f ca="1">IFERROR(__xludf.DUMMYFUNCTION("""COMPUTED_VALUE"""),44048)</f>
        <v>44048</v>
      </c>
      <c r="B1530" s="6" t="str">
        <f ca="1">IFERROR(__xludf.DUMMYFUNCTION("""COMPUTED_VALUE"""),"-33.603480-70.901245")</f>
        <v>-33.603480-70.901245</v>
      </c>
      <c r="C1530" s="6" t="str">
        <f ca="1">IFERROR(__xludf.DUMMYFUNCTION("""COMPUTED_VALUE"""),"UNO 158")</f>
        <v>UNO 158</v>
      </c>
      <c r="D1530" s="6" t="str">
        <f ca="1">IFERROR(__xludf.DUMMYFUNCTION("""COMPUTED_VALUE"""),"PEÑAFLOR")</f>
        <v>PEÑAFLOR</v>
      </c>
    </row>
    <row r="1531" spans="1:4">
      <c r="A1531" s="7">
        <f ca="1">IFERROR(__xludf.DUMMYFUNCTION("""COMPUTED_VALUE"""),44048)</f>
        <v>44048</v>
      </c>
      <c r="B1531" s="6" t="str">
        <f ca="1">IFERROR(__xludf.DUMMYFUNCTION("""COMPUTED_VALUE"""),"-33.603088-70.900876")</f>
        <v>-33.603088-70.900876</v>
      </c>
      <c r="C1531" s="6" t="str">
        <f ca="1">IFERROR(__xludf.DUMMYFUNCTION("""COMPUTED_VALUE"""),"UNO 238")</f>
        <v>UNO 238</v>
      </c>
      <c r="D1531" s="6" t="str">
        <f ca="1">IFERROR(__xludf.DUMMYFUNCTION("""COMPUTED_VALUE"""),"PEÑAFLOR")</f>
        <v>PEÑAFLOR</v>
      </c>
    </row>
    <row r="1532" spans="1:4">
      <c r="A1532" s="7">
        <f ca="1">IFERROR(__xludf.DUMMYFUNCTION("""COMPUTED_VALUE"""),44048)</f>
        <v>44048</v>
      </c>
      <c r="B1532" s="6" t="str">
        <f ca="1">IFERROR(__xludf.DUMMYFUNCTION("""COMPUTED_VALUE"""),"-33.665652,-70.835695")</f>
        <v>-33.665652,-70.835695</v>
      </c>
      <c r="C1532" s="6" t="str">
        <f ca="1">IFERROR(__xludf.DUMMYFUNCTION("""COMPUTED_VALUE"""),"EL TAMARUGAL 025 V.2 SITIO 5")</f>
        <v>EL TAMARUGAL 025 V.2 SITIO 5</v>
      </c>
      <c r="D1532" s="6" t="str">
        <f ca="1">IFERROR(__xludf.DUMMYFUNCTION("""COMPUTED_VALUE"""),"TALAGANTE")</f>
        <v>TALAGANTE</v>
      </c>
    </row>
    <row r="1533" spans="1:4">
      <c r="A1533" s="7">
        <f ca="1">IFERROR(__xludf.DUMMYFUNCTION("""COMPUTED_VALUE"""),44048)</f>
        <v>44048</v>
      </c>
      <c r="B1533" s="6" t="str">
        <f ca="1">IFERROR(__xludf.DUMMYFUNCTION("""COMPUTED_VALUE"""),"-33.683271,-70.997701")</f>
        <v>-33.683271,-70.997701</v>
      </c>
      <c r="C1533" s="6" t="str">
        <f ca="1">IFERROR(__xludf.DUMMYFUNCTION("""COMPUTED_VALUE"""),"LOS LIBERTADORES 791")</f>
        <v>LOS LIBERTADORES 791</v>
      </c>
      <c r="D1533" s="6" t="str">
        <f ca="1">IFERROR(__xludf.DUMMYFUNCTION("""COMPUTED_VALUE"""),"EL MONTE")</f>
        <v>EL MONTE</v>
      </c>
    </row>
    <row r="1534" spans="1:4">
      <c r="A1534" s="7">
        <f ca="1">IFERROR(__xludf.DUMMYFUNCTION("""COMPUTED_VALUE"""),44048)</f>
        <v>44048</v>
      </c>
      <c r="B1534" s="6" t="str">
        <f ca="1">IFERROR(__xludf.DUMMYFUNCTION("""COMPUTED_VALUE"""),"-33.682977,-71.006411")</f>
        <v>-33.682977,-71.006411</v>
      </c>
      <c r="C1534" s="6" t="str">
        <f ca="1">IFERROR(__xludf.DUMMYFUNCTION("""COMPUTED_VALUE"""),"LOS LIBERTADORES 873")</f>
        <v>LOS LIBERTADORES 873</v>
      </c>
      <c r="D1534" s="6" t="str">
        <f ca="1">IFERROR(__xludf.DUMMYFUNCTION("""COMPUTED_VALUE"""),"EL MONTE")</f>
        <v>EL MONTE</v>
      </c>
    </row>
    <row r="1535" spans="1:4">
      <c r="A1535" s="7">
        <f ca="1">IFERROR(__xludf.DUMMYFUNCTION("""COMPUTED_VALUE"""),44048)</f>
        <v>44048</v>
      </c>
      <c r="B1535" s="6" t="str">
        <f ca="1">IFERROR(__xludf.DUMMYFUNCTION("""COMPUTED_VALUE"""),"-33.662780,-71.0211113")</f>
        <v>-33.662780,-71.0211113</v>
      </c>
      <c r="C1535" s="6" t="str">
        <f ca="1">IFERROR(__xludf.DUMMYFUNCTION("""COMPUTED_VALUE"""),"MONTE BLANCO PAR 2")</f>
        <v>MONTE BLANCO PAR 2</v>
      </c>
      <c r="D1535" s="6" t="str">
        <f ca="1">IFERROR(__xludf.DUMMYFUNCTION("""COMPUTED_VALUE"""),"EL MONTE")</f>
        <v>EL MONTE</v>
      </c>
    </row>
    <row r="1536" spans="1:4">
      <c r="A1536" s="7">
        <f ca="1">IFERROR(__xludf.DUMMYFUNCTION("""COMPUTED_VALUE"""),44048)</f>
        <v>44048</v>
      </c>
      <c r="B1536" s="6" t="str">
        <f ca="1">IFERROR(__xludf.DUMMYFUNCTION("""COMPUTED_VALUE"""),"-33.67488,-70.989237")</f>
        <v>-33.67488,-70.989237</v>
      </c>
      <c r="C1536" s="6" t="str">
        <f ca="1">IFERROR(__xludf.DUMMYFUNCTION("""COMPUTED_VALUE"""),"SAN MIGUEL 979")</f>
        <v>SAN MIGUEL 979</v>
      </c>
      <c r="D1536" s="6" t="str">
        <f ca="1">IFERROR(__xludf.DUMMYFUNCTION("""COMPUTED_VALUE"""),"EL MONTE")</f>
        <v>EL MONTE</v>
      </c>
    </row>
    <row r="1537" spans="1:4">
      <c r="A1537" s="7">
        <f ca="1">IFERROR(__xludf.DUMMYFUNCTION("""COMPUTED_VALUE"""),44048)</f>
        <v>44048</v>
      </c>
      <c r="B1537" s="6" t="str">
        <f ca="1">IFERROR(__xludf.DUMMYFUNCTION("""COMPUTED_VALUE"""),"-33.234248 - 70.806649 ")</f>
        <v xml:space="preserve">-33.234248 - 70.806649 </v>
      </c>
      <c r="C1537" s="6" t="str">
        <f ca="1">IFERROR(__xludf.DUMMYFUNCTION("""COMPUTED_VALUE"""),"PEDRO MONTT M/20 S/50 ")</f>
        <v xml:space="preserve">PEDRO MONTT M/20 S/50 </v>
      </c>
      <c r="D1537" s="6" t="str">
        <f ca="1">IFERROR(__xludf.DUMMYFUNCTION("""COMPUTED_VALUE"""),"LAMPA")</f>
        <v>LAMPA</v>
      </c>
    </row>
    <row r="1538" spans="1:4">
      <c r="A1538" s="7">
        <f ca="1">IFERROR(__xludf.DUMMYFUNCTION("""COMPUTED_VALUE"""),44049)</f>
        <v>44049</v>
      </c>
      <c r="B1538" s="8" t="str">
        <f ca="1">IFERROR(__xludf.DUMMYFUNCTION("""COMPUTED_VALUE"""),"-33.483362,-71.140232")</f>
        <v>-33.483362,-71.140232</v>
      </c>
      <c r="C1538" s="6" t="str">
        <f ca="1">IFERROR(__xludf.DUMMYFUNCTION("""COMPUTED_VALUE"""),"EL BOSQUE S/N ")</f>
        <v xml:space="preserve">EL BOSQUE S/N </v>
      </c>
      <c r="D1538" s="6" t="str">
        <f ca="1">IFERROR(__xludf.DUMMYFUNCTION("""COMPUTED_VALUE"""),"MARIA PINTO")</f>
        <v>MARIA PINTO</v>
      </c>
    </row>
    <row r="1539" spans="1:4">
      <c r="A1539" s="7">
        <f ca="1">IFERROR(__xludf.DUMMYFUNCTION("""COMPUTED_VALUE"""),44049)</f>
        <v>44049</v>
      </c>
      <c r="B1539" s="8" t="str">
        <f ca="1">IFERROR(__xludf.DUMMYFUNCTION("""COMPUTED_VALUE"""),"-33.465465,-71.104862")</f>
        <v>-33.465465,-71.104862</v>
      </c>
      <c r="C1539" s="6" t="str">
        <f ca="1">IFERROR(__xludf.DUMMYFUNCTION("""COMPUTED_VALUE"""),"SANTA EMILIA S/N CV62")</f>
        <v>SANTA EMILIA S/N CV62</v>
      </c>
      <c r="D1539" s="6" t="str">
        <f ca="1">IFERROR(__xludf.DUMMYFUNCTION("""COMPUTED_VALUE"""),"MARIA PINTO")</f>
        <v>MARIA PINTO</v>
      </c>
    </row>
    <row r="1540" spans="1:4">
      <c r="A1540" s="7">
        <f ca="1">IFERROR(__xludf.DUMMYFUNCTION("""COMPUTED_VALUE"""),44049)</f>
        <v>44049</v>
      </c>
      <c r="B1540" s="8" t="str">
        <f ca="1">IFERROR(__xludf.DUMMYFUNCTION("""COMPUTED_VALUE"""),"-33.547884,-71.218630")</f>
        <v>-33.547884,-71.218630</v>
      </c>
      <c r="C1540" s="6" t="str">
        <f ca="1">IFERROR(__xludf.DUMMYFUNCTION("""COMPUTED_VALUE"""),"PASAJE SAN ANDRES S/N")</f>
        <v>PASAJE SAN ANDRES S/N</v>
      </c>
      <c r="D1540" s="6" t="str">
        <f ca="1">IFERROR(__xludf.DUMMYFUNCTION("""COMPUTED_VALUE"""),"MARIA PINTO")</f>
        <v>MARIA PINTO</v>
      </c>
    </row>
    <row r="1541" spans="1:4">
      <c r="A1541" s="7">
        <f ca="1">IFERROR(__xludf.DUMMYFUNCTION("""COMPUTED_VALUE"""),44049)</f>
        <v>44049</v>
      </c>
      <c r="B1541" s="8" t="str">
        <f ca="1">IFERROR(__xludf.DUMMYFUNCTION("""COMPUTED_VALUE"""),"-33.548936,-71.220030")</f>
        <v>-33.548936,-71.220030</v>
      </c>
      <c r="C1541" s="6" t="str">
        <f ca="1">IFERROR(__xludf.DUMMYFUNCTION("""COMPUTED_VALUE"""),"PASAJE SAN ANDRESLOTE 7")</f>
        <v>PASAJE SAN ANDRESLOTE 7</v>
      </c>
      <c r="D1541" s="6" t="str">
        <f ca="1">IFERROR(__xludf.DUMMYFUNCTION("""COMPUTED_VALUE"""),"MARIA PINTO")</f>
        <v>MARIA PINTO</v>
      </c>
    </row>
    <row r="1542" spans="1:4">
      <c r="A1542" s="7">
        <f ca="1">IFERROR(__xludf.DUMMYFUNCTION("""COMPUTED_VALUE"""),44049)</f>
        <v>44049</v>
      </c>
      <c r="B1542" s="8" t="str">
        <f ca="1">IFERROR(__xludf.DUMMYFUNCTION("""COMPUTED_VALUE"""),"-33.496248,-71.169013")</f>
        <v>-33.496248,-71.169013</v>
      </c>
      <c r="C1542" s="6" t="str">
        <f ca="1">IFERROR(__xludf.DUMMYFUNCTION("""COMPUTED_VALUE"""),"MALALHUE S/N")</f>
        <v>MALALHUE S/N</v>
      </c>
      <c r="D1542" s="6" t="str">
        <f ca="1">IFERROR(__xludf.DUMMYFUNCTION("""COMPUTED_VALUE"""),"MARIA PINTO")</f>
        <v>MARIA PINTO</v>
      </c>
    </row>
    <row r="1543" spans="1:4">
      <c r="A1543" s="7">
        <f ca="1">IFERROR(__xludf.DUMMYFUNCTION("""COMPUTED_VALUE"""),44049)</f>
        <v>44049</v>
      </c>
      <c r="B1543" s="8" t="str">
        <f ca="1">IFERROR(__xludf.DUMMYFUNCTION("""COMPUTED_VALUE"""),"-33.531462,-71,231764")</f>
        <v>-33.531462,-71,231764</v>
      </c>
      <c r="C1543" s="6" t="str">
        <f ca="1">IFERROR(__xludf.DUMMYFUNCTION("""COMPUTED_VALUE"""),"CALLE 6 CASA 744")</f>
        <v>CALLE 6 CASA 744</v>
      </c>
      <c r="D1543" s="6" t="str">
        <f ca="1">IFERROR(__xludf.DUMMYFUNCTION("""COMPUTED_VALUE"""),"MARIA PINTO")</f>
        <v>MARIA PINTO</v>
      </c>
    </row>
    <row r="1544" spans="1:4">
      <c r="A1544" s="7">
        <f ca="1">IFERROR(__xludf.DUMMYFUNCTION("""COMPUTED_VALUE"""),44049)</f>
        <v>44049</v>
      </c>
      <c r="B1544" s="8" t="str">
        <f ca="1">IFERROR(__xludf.DUMMYFUNCTION("""COMPUTED_VALUE"""),"-33.461454,-71.079613")</f>
        <v>-33.461454,-71.079613</v>
      </c>
      <c r="C1544" s="6" t="str">
        <f ca="1">IFERROR(__xludf.DUMMYFUNCTION("""COMPUTED_VALUE"""),"JESUS DE NAZARENO 1783")</f>
        <v>JESUS DE NAZARENO 1783</v>
      </c>
      <c r="D1544" s="6" t="str">
        <f ca="1">IFERROR(__xludf.DUMMYFUNCTION("""COMPUTED_VALUE"""),"MARIA PINTO")</f>
        <v>MARIA PINTO</v>
      </c>
    </row>
    <row r="1545" spans="1:4">
      <c r="A1545" s="7">
        <f ca="1">IFERROR(__xludf.DUMMYFUNCTION("""COMPUTED_VALUE"""),44049)</f>
        <v>44049</v>
      </c>
      <c r="B1545" s="8" t="str">
        <f ca="1">IFERROR(__xludf.DUMMYFUNCTION("""COMPUTED_VALUE"""),"-33.461812,-71.079120")</f>
        <v>-33.461812,-71.079120</v>
      </c>
      <c r="C1545" s="6" t="str">
        <f ca="1">IFERROR(__xludf.DUMMYFUNCTION("""COMPUTED_VALUE"""),"LOS NOGALES 310")</f>
        <v>LOS NOGALES 310</v>
      </c>
      <c r="D1545" s="6" t="str">
        <f ca="1">IFERROR(__xludf.DUMMYFUNCTION("""COMPUTED_VALUE"""),"MARIA PINTO")</f>
        <v>MARIA PINTO</v>
      </c>
    </row>
    <row r="1546" spans="1:4">
      <c r="A1546" s="7">
        <f ca="1">IFERROR(__xludf.DUMMYFUNCTION("""COMPUTED_VALUE"""),44049)</f>
        <v>44049</v>
      </c>
      <c r="B1546" s="8" t="str">
        <f ca="1">IFERROR(__xludf.DUMMYFUNCTION("""COMPUTED_VALUE"""),"-33.745122,-70.680646")</f>
        <v>-33.745122,-70.680646</v>
      </c>
      <c r="C1546" s="6" t="str">
        <f ca="1">IFERROR(__xludf.DUMMYFUNCTION("""COMPUTED_VALUE"""),"PASAJE ADAN GUZMAN28")</f>
        <v>PASAJE ADAN GUZMAN28</v>
      </c>
      <c r="D1546" s="6" t="str">
        <f ca="1">IFERROR(__xludf.DUMMYFUNCTION("""COMPUTED_VALUE"""),"BUIN")</f>
        <v>BUIN</v>
      </c>
    </row>
    <row r="1547" spans="1:4">
      <c r="A1547" s="7">
        <f ca="1">IFERROR(__xludf.DUMMYFUNCTION("""COMPUTED_VALUE"""),44049)</f>
        <v>44049</v>
      </c>
      <c r="B1547" s="8" t="str">
        <f ca="1">IFERROR(__xludf.DUMMYFUNCTION("""COMPUTED_VALUE"""),"-33.675687,-70.946745")</f>
        <v>-33.675687,-70.946745</v>
      </c>
      <c r="C1547" s="6" t="str">
        <f ca="1">IFERROR(__xludf.DUMMYFUNCTION("""COMPUTED_VALUE"""),"PAULA JARAQUEMADA 2862")</f>
        <v>PAULA JARAQUEMADA 2862</v>
      </c>
      <c r="D1547" s="6" t="str">
        <f ca="1">IFERROR(__xludf.DUMMYFUNCTION("""COMPUTED_VALUE"""),"TALAGANTE")</f>
        <v>TALAGANTE</v>
      </c>
    </row>
    <row r="1548" spans="1:4">
      <c r="A1548" s="7">
        <f ca="1">IFERROR(__xludf.DUMMYFUNCTION("""COMPUTED_VALUE"""),44049)</f>
        <v>44049</v>
      </c>
      <c r="B1548" s="6" t="str">
        <f ca="1">IFERROR(__xludf.DUMMYFUNCTION("""COMPUTED_VALUE"""),"-33.3275596-70.762728")</f>
        <v>-33.3275596-70.762728</v>
      </c>
      <c r="C1548" s="6" t="str">
        <f ca="1">IFERROR(__xludf.DUMMYFUNCTION("""COMPUTED_VALUE"""),"TOTORALILLO 698")</f>
        <v>TOTORALILLO 698</v>
      </c>
      <c r="D1548" s="6" t="str">
        <f ca="1">IFERROR(__xludf.DUMMYFUNCTION("""COMPUTED_VALUE"""),"LAMPA")</f>
        <v>LAMPA</v>
      </c>
    </row>
    <row r="1549" spans="1:4">
      <c r="A1549" s="7">
        <f ca="1">IFERROR(__xludf.DUMMYFUNCTION("""COMPUTED_VALUE"""),44049)</f>
        <v>44049</v>
      </c>
      <c r="B1549" s="6" t="str">
        <f ca="1">IFERROR(__xludf.DUMMYFUNCTION("""COMPUTED_VALUE"""),"-33.326228-70.767180")</f>
        <v>-33.326228-70.767180</v>
      </c>
      <c r="C1549" s="6" t="str">
        <f ca="1">IFERROR(__xludf.DUMMYFUNCTION("""COMPUTED_VALUE"""),"LA CAÑADA 358")</f>
        <v>LA CAÑADA 358</v>
      </c>
      <c r="D1549" s="6" t="str">
        <f ca="1">IFERROR(__xludf.DUMMYFUNCTION("""COMPUTED_VALUE"""),"LAMPA")</f>
        <v>LAMPA</v>
      </c>
    </row>
    <row r="1550" spans="1:4">
      <c r="A1550" s="7">
        <f ca="1">IFERROR(__xludf.DUMMYFUNCTION("""COMPUTED_VALUE"""),44049)</f>
        <v>44049</v>
      </c>
      <c r="B1550" s="6" t="str">
        <f ca="1">IFERROR(__xludf.DUMMYFUNCTION("""COMPUTED_VALUE"""),"-33.261308-70.890725")</f>
        <v>-33.261308-70.890725</v>
      </c>
      <c r="C1550" s="6" t="str">
        <f ca="1">IFERROR(__xludf.DUMMYFUNCTION("""COMPUTED_VALUE"""),"CAMINO INTERIOR 28 P28")</f>
        <v>CAMINO INTERIOR 28 P28</v>
      </c>
      <c r="D1550" s="6" t="str">
        <f ca="1">IFERROR(__xludf.DUMMYFUNCTION("""COMPUTED_VALUE"""),"LAMPA")</f>
        <v>LAMPA</v>
      </c>
    </row>
    <row r="1551" spans="1:4">
      <c r="A1551" s="7">
        <f ca="1">IFERROR(__xludf.DUMMYFUNCTION("""COMPUTED_VALUE"""),44049)</f>
        <v>44049</v>
      </c>
      <c r="B1551" s="6" t="str">
        <f ca="1">IFERROR(__xludf.DUMMYFUNCTION("""COMPUTED_VALUE"""),"-33.261582-70.890744")</f>
        <v>-33.261582-70.890744</v>
      </c>
      <c r="C1551" s="6" t="str">
        <f ca="1">IFERROR(__xludf.DUMMYFUNCTION("""COMPUTED_VALUE"""),"JOAQUIN UNDURRAGA P28 C-3")</f>
        <v>JOAQUIN UNDURRAGA P28 C-3</v>
      </c>
      <c r="D1551" s="6" t="str">
        <f ca="1">IFERROR(__xludf.DUMMYFUNCTION("""COMPUTED_VALUE"""),"LAMPA")</f>
        <v>LAMPA</v>
      </c>
    </row>
    <row r="1552" spans="1:4">
      <c r="A1552" s="7">
        <f ca="1">IFERROR(__xludf.DUMMYFUNCTION("""COMPUTED_VALUE"""),44049)</f>
        <v>44049</v>
      </c>
      <c r="B1552" s="6" t="str">
        <f ca="1">IFERROR(__xludf.DUMMYFUNCTION("""COMPUTED_VALUE"""),"-33.606977-70.880203")</f>
        <v>-33.606977-70.880203</v>
      </c>
      <c r="C1552" s="6" t="str">
        <f ca="1">IFERROR(__xludf.DUMMYFUNCTION("""COMPUTED_VALUE"""),"NUEVA UNO 991 (Pedro Ugarte )")</f>
        <v>NUEVA UNO 991 (Pedro Ugarte )</v>
      </c>
      <c r="D1552" s="6" t="str">
        <f ca="1">IFERROR(__xludf.DUMMYFUNCTION("""COMPUTED_VALUE"""),"PEÑAFLOR")</f>
        <v>PEÑAFLOR</v>
      </c>
    </row>
    <row r="1553" spans="1:4">
      <c r="A1553" s="7">
        <f ca="1">IFERROR(__xludf.DUMMYFUNCTION("""COMPUTED_VALUE"""),44049)</f>
        <v>44049</v>
      </c>
      <c r="B1553" s="6" t="str">
        <f ca="1">IFERROR(__xludf.DUMMYFUNCTION("""COMPUTED_VALUE"""),"-33.594878-70.869191")</f>
        <v>-33.594878-70.869191</v>
      </c>
      <c r="C1553" s="6" t="str">
        <f ca="1">IFERROR(__xludf.DUMMYFUNCTION("""COMPUTED_VALUE"""),"LOS PAJARITOS 2436")</f>
        <v>LOS PAJARITOS 2436</v>
      </c>
      <c r="D1553" s="6" t="str">
        <f ca="1">IFERROR(__xludf.DUMMYFUNCTION("""COMPUTED_VALUE"""),"PEÑAFLOR")</f>
        <v>PEÑAFLOR</v>
      </c>
    </row>
    <row r="1554" spans="1:4">
      <c r="A1554" s="7">
        <f ca="1">IFERROR(__xludf.DUMMYFUNCTION("""COMPUTED_VALUE"""),44049)</f>
        <v>44049</v>
      </c>
      <c r="B1554" s="6" t="str">
        <f ca="1">IFERROR(__xludf.DUMMYFUNCTION("""COMPUTED_VALUE"""),"-33.595023-70.869251")</f>
        <v>-33.595023-70.869251</v>
      </c>
      <c r="C1554" s="6" t="str">
        <f ca="1">IFERROR(__xludf.DUMMYFUNCTION("""COMPUTED_VALUE"""),"LOS PAJARITOS 2436")</f>
        <v>LOS PAJARITOS 2436</v>
      </c>
      <c r="D1554" s="6" t="str">
        <f ca="1">IFERROR(__xludf.DUMMYFUNCTION("""COMPUTED_VALUE"""),"PEÑAFLOR")</f>
        <v>PEÑAFLOR</v>
      </c>
    </row>
    <row r="1555" spans="1:4">
      <c r="A1555" s="7">
        <f ca="1">IFERROR(__xludf.DUMMYFUNCTION("""COMPUTED_VALUE"""),44049)</f>
        <v>44049</v>
      </c>
      <c r="B1555" s="6" t="str">
        <f ca="1">IFERROR(__xludf.DUMMYFUNCTION("""COMPUTED_VALUE"""),"-33.629375,-70.801077")</f>
        <v>-33.629375,-70.801077</v>
      </c>
      <c r="C1555" s="6" t="str">
        <f ca="1">IFERROR(__xludf.DUMMYFUNCTION("""COMPUTED_VALUE"""),"V PALERMO S-19 S/N POSTE 538549")</f>
        <v>V PALERMO S-19 S/N POSTE 538549</v>
      </c>
      <c r="D1555" s="6" t="str">
        <f ca="1">IFERROR(__xludf.DUMMYFUNCTION("""COMPUTED_VALUE"""),"CALERA DE TANGO")</f>
        <v>CALERA DE TANGO</v>
      </c>
    </row>
    <row r="1556" spans="1:4">
      <c r="A1556" s="7">
        <f ca="1">IFERROR(__xludf.DUMMYFUNCTION("""COMPUTED_VALUE"""),44049)</f>
        <v>44049</v>
      </c>
      <c r="B1556" s="6" t="str">
        <f ca="1">IFERROR(__xludf.DUMMYFUNCTION("""COMPUTED_VALUE"""),"-33.666825,-70.9188420")</f>
        <v>-33.666825,-70.9188420</v>
      </c>
      <c r="C1556" s="6" t="str">
        <f ca="1">IFERROR(__xludf.DUMMYFUNCTION("""COMPUTED_VALUE"""),"PJ LOS JARDINEROS 592-P VALLE")</f>
        <v>PJ LOS JARDINEROS 592-P VALLE</v>
      </c>
      <c r="D1556" s="6" t="str">
        <f ca="1">IFERROR(__xludf.DUMMYFUNCTION("""COMPUTED_VALUE"""),"TALAGANTE")</f>
        <v>TALAGANTE</v>
      </c>
    </row>
    <row r="1557" spans="1:4">
      <c r="A1557" s="7">
        <f ca="1">IFERROR(__xludf.DUMMYFUNCTION("""COMPUTED_VALUE"""),44049)</f>
        <v>44049</v>
      </c>
      <c r="B1557" s="6" t="str">
        <f ca="1">IFERROR(__xludf.DUMMYFUNCTION("""COMPUTED_VALUE"""),"-33.6136230,-70.408061")</f>
        <v>-33.6136230,-70.408061</v>
      </c>
      <c r="C1557" s="6" t="str">
        <f ca="1">IFERROR(__xludf.DUMMYFUNCTION("""COMPUTED_VALUE"""),"PA UNO 304")</f>
        <v>PA UNO 304</v>
      </c>
      <c r="D1557" s="6" t="str">
        <f ca="1">IFERROR(__xludf.DUMMYFUNCTION("""COMPUTED_VALUE"""),"PEÑAFLOR")</f>
        <v>PEÑAFLOR</v>
      </c>
    </row>
    <row r="1558" spans="1:4">
      <c r="A1558" s="7">
        <f ca="1">IFERROR(__xludf.DUMMYFUNCTION("""COMPUTED_VALUE"""),44049)</f>
        <v>44049</v>
      </c>
      <c r="B1558" s="6" t="str">
        <f ca="1">IFERROR(__xludf.DUMMYFUNCTION("""COMPUTED_VALUE"""),"-33.682083,-71.000287")</f>
        <v>-33.682083,-71.000287</v>
      </c>
      <c r="C1558" s="6" t="str">
        <f ca="1">IFERROR(__xludf.DUMMYFUNCTION("""COMPUTED_VALUE"""),"EL ALAMO 831")</f>
        <v>EL ALAMO 831</v>
      </c>
      <c r="D1558" s="6" t="str">
        <f ca="1">IFERROR(__xludf.DUMMYFUNCTION("""COMPUTED_VALUE"""),"EL MONTE")</f>
        <v>EL MONTE</v>
      </c>
    </row>
    <row r="1559" spans="1:4">
      <c r="A1559" s="7">
        <f ca="1">IFERROR(__xludf.DUMMYFUNCTION("""COMPUTED_VALUE"""),44049)</f>
        <v>44049</v>
      </c>
      <c r="B1559" s="6" t="str">
        <f ca="1">IFERROR(__xludf.DUMMYFUNCTION("""COMPUTED_VALUE"""),"-33.676483,-70.986122")</f>
        <v>-33.676483,-70.986122</v>
      </c>
      <c r="C1559" s="6" t="str">
        <f ca="1">IFERROR(__xludf.DUMMYFUNCTION("""COMPUTED_VALUE"""),"LOS NOGALES 1137")</f>
        <v>LOS NOGALES 1137</v>
      </c>
      <c r="D1559" s="6" t="str">
        <f ca="1">IFERROR(__xludf.DUMMYFUNCTION("""COMPUTED_VALUE"""),"EL MONTE")</f>
        <v>EL MONTE</v>
      </c>
    </row>
    <row r="1560" spans="1:4">
      <c r="A1560" s="7">
        <f ca="1">IFERROR(__xludf.DUMMYFUNCTION("""COMPUTED_VALUE"""),44049)</f>
        <v>44049</v>
      </c>
      <c r="B1560" s="6" t="str">
        <f ca="1">IFERROR(__xludf.DUMMYFUNCTION("""COMPUTED_VALUE"""),"-33.693081,-71.0201291")</f>
        <v>-33.693081,-71.0201291</v>
      </c>
      <c r="C1560" s="6" t="str">
        <f ca="1">IFERROR(__xludf.DUMMYFUNCTION("""COMPUTED_VALUE"""),"COLON 70")</f>
        <v>COLON 70</v>
      </c>
      <c r="D1560" s="6" t="str">
        <f ca="1">IFERROR(__xludf.DUMMYFUNCTION("""COMPUTED_VALUE"""),"EL MONTE")</f>
        <v>EL MONTE</v>
      </c>
    </row>
    <row r="1561" spans="1:4">
      <c r="A1561" s="7">
        <f ca="1">IFERROR(__xludf.DUMMYFUNCTION("""COMPUTED_VALUE"""),44049)</f>
        <v>44049</v>
      </c>
      <c r="B1561" s="6" t="str">
        <f ca="1">IFERROR(__xludf.DUMMYFUNCTION("""COMPUTED_VALUE"""),"-33.693200,-71.021062")</f>
        <v>-33.693200,-71.021062</v>
      </c>
      <c r="C1561" s="6" t="str">
        <f ca="1">IFERROR(__xludf.DUMMYFUNCTION("""COMPUTED_VALUE"""),"COLON 072")</f>
        <v>COLON 072</v>
      </c>
      <c r="D1561" s="6" t="str">
        <f ca="1">IFERROR(__xludf.DUMMYFUNCTION("""COMPUTED_VALUE"""),"EL MONTE")</f>
        <v>EL MONTE</v>
      </c>
    </row>
    <row r="1562" spans="1:4">
      <c r="A1562" s="7">
        <f ca="1">IFERROR(__xludf.DUMMYFUNCTION("""COMPUTED_VALUE"""),44049)</f>
        <v>44049</v>
      </c>
      <c r="B1562" s="6" t="str">
        <f ca="1">IFERROR(__xludf.DUMMYFUNCTION("""COMPUTED_VALUE"""),"-33.685605,-71.007123")</f>
        <v>-33.685605,-71.007123</v>
      </c>
      <c r="C1562" s="6" t="str">
        <f ca="1">IFERROR(__xludf.DUMMYFUNCTION("""COMPUTED_VALUE"""),"PSJE LOS CALO 882")</f>
        <v>PSJE LOS CALO 882</v>
      </c>
      <c r="D1562" s="6" t="str">
        <f ca="1">IFERROR(__xludf.DUMMYFUNCTION("""COMPUTED_VALUE"""),"EL MONTE")</f>
        <v>EL MONTE</v>
      </c>
    </row>
    <row r="1563" spans="1:4">
      <c r="A1563" s="7">
        <f ca="1">IFERROR(__xludf.DUMMYFUNCTION("""COMPUTED_VALUE"""),44049)</f>
        <v>44049</v>
      </c>
      <c r="B1563" s="8" t="str">
        <f ca="1">IFERROR(__xludf.DUMMYFUNCTION("""COMPUTED_VALUE"""),"-33.321376,-70.752841")</f>
        <v>-33.321376,-70.752841</v>
      </c>
      <c r="C1563" s="6" t="str">
        <f ca="1">IFERROR(__xludf.DUMMYFUNCTION("""COMPUTED_VALUE"""),"RIO MAULE 2750 C/14")</f>
        <v>RIO MAULE 2750 C/14</v>
      </c>
      <c r="D1563" s="6" t="str">
        <f ca="1">IFERROR(__xludf.DUMMYFUNCTION("""COMPUTED_VALUE"""),"LAMPA")</f>
        <v>LAMPA</v>
      </c>
    </row>
    <row r="1564" spans="1:4">
      <c r="A1564" s="7">
        <f ca="1">IFERROR(__xludf.DUMMYFUNCTION("""COMPUTED_VALUE"""),44050)</f>
        <v>44050</v>
      </c>
      <c r="B1564" s="8" t="str">
        <f ca="1">IFERROR(__xludf.DUMMYFUNCTION("""COMPUTED_VALUE"""),"-33.512576,-71.123525")</f>
        <v>-33.512576,-71.123525</v>
      </c>
      <c r="C1564" s="6" t="str">
        <f ca="1">IFERROR(__xludf.DUMMYFUNCTION("""COMPUTED_VALUE"""),"EDUARDO GARAY 79")</f>
        <v>EDUARDO GARAY 79</v>
      </c>
      <c r="D1564" s="6" t="str">
        <f ca="1">IFERROR(__xludf.DUMMYFUNCTION("""COMPUTED_VALUE"""),"MARIA PINTO")</f>
        <v>MARIA PINTO</v>
      </c>
    </row>
    <row r="1565" spans="1:4">
      <c r="A1565" s="7">
        <f ca="1">IFERROR(__xludf.DUMMYFUNCTION("""COMPUTED_VALUE"""),44050)</f>
        <v>44050</v>
      </c>
      <c r="B1565" s="8" t="str">
        <f ca="1">IFERROR(__xludf.DUMMYFUNCTION("""COMPUTED_VALUE"""),"-33.521439,71.150013")</f>
        <v>-33.521439,71.150013</v>
      </c>
      <c r="C1565" s="6" t="str">
        <f ca="1">IFERROR(__xludf.DUMMYFUNCTION("""COMPUTED_VALUE"""),"BORACOLDO 6")</f>
        <v>BORACOLDO 6</v>
      </c>
      <c r="D1565" s="6" t="str">
        <f ca="1">IFERROR(__xludf.DUMMYFUNCTION("""COMPUTED_VALUE"""),"MARIA PINTO")</f>
        <v>MARIA PINTO</v>
      </c>
    </row>
    <row r="1566" spans="1:4">
      <c r="A1566" s="7">
        <f ca="1">IFERROR(__xludf.DUMMYFUNCTION("""COMPUTED_VALUE"""),44050)</f>
        <v>44050</v>
      </c>
      <c r="B1566" s="8" t="str">
        <f ca="1">IFERROR(__xludf.DUMMYFUNCTION("""COMPUTED_VALUE"""),"-33.4612468,-71.083512")</f>
        <v>-33.4612468,-71.083512</v>
      </c>
      <c r="C1566" s="6" t="str">
        <f ca="1">IFERROR(__xludf.DUMMYFUNCTION("""COMPUTED_VALUE"""),"LOS RULOS S/N PARCELA 4")</f>
        <v>LOS RULOS S/N PARCELA 4</v>
      </c>
      <c r="D1566" s="6" t="str">
        <f ca="1">IFERROR(__xludf.DUMMYFUNCTION("""COMPUTED_VALUE"""),"MARIA PINTO")</f>
        <v>MARIA PINTO</v>
      </c>
    </row>
    <row r="1567" spans="1:4">
      <c r="A1567" s="7">
        <f ca="1">IFERROR(__xludf.DUMMYFUNCTION("""COMPUTED_VALUE"""),44050)</f>
        <v>44050</v>
      </c>
      <c r="B1567" s="8" t="str">
        <f ca="1">IFERROR(__xludf.DUMMYFUNCTION("""COMPUTED_VALUE"""),"-33.484789,-71.140167")</f>
        <v>-33.484789,-71.140167</v>
      </c>
      <c r="C1567" s="6" t="str">
        <f ca="1">IFERROR(__xludf.DUMMYFUNCTION("""COMPUTED_VALUE"""),"EL REDIL S/N ")</f>
        <v xml:space="preserve">EL REDIL S/N </v>
      </c>
      <c r="D1567" s="6" t="str">
        <f ca="1">IFERROR(__xludf.DUMMYFUNCTION("""COMPUTED_VALUE"""),"MARIA PINTO")</f>
        <v>MARIA PINTO</v>
      </c>
    </row>
    <row r="1568" spans="1:4">
      <c r="A1568" s="7">
        <f ca="1">IFERROR(__xludf.DUMMYFUNCTION("""COMPUTED_VALUE"""),44050)</f>
        <v>44050</v>
      </c>
      <c r="B1568" s="8" t="str">
        <f ca="1">IFERROR(__xludf.DUMMYFUNCTION("""COMPUTED_VALUE"""),"-33.453398,-71.294735")</f>
        <v>-33.453398,-71.294735</v>
      </c>
      <c r="C1568" s="6" t="str">
        <f ca="1">IFERROR(__xludf.DUMMYFUNCTION("""COMPUTED_VALUE"""),"LOLEO IBACACHE S/N")</f>
        <v>LOLEO IBACACHE S/N</v>
      </c>
      <c r="D1568" s="6" t="str">
        <f ca="1">IFERROR(__xludf.DUMMYFUNCTION("""COMPUTED_VALUE"""),"MARIA PINTO")</f>
        <v>MARIA PINTO</v>
      </c>
    </row>
    <row r="1569" spans="1:4">
      <c r="A1569" s="7">
        <f ca="1">IFERROR(__xludf.DUMMYFUNCTION("""COMPUTED_VALUE"""),44050)</f>
        <v>44050</v>
      </c>
      <c r="B1569" s="8" t="str">
        <f ca="1">IFERROR(__xludf.DUMMYFUNCTION("""COMPUTED_VALUE"""),"-33.465270,-71.104501")</f>
        <v>-33.465270,-71.104501</v>
      </c>
      <c r="C1569" s="6" t="str">
        <f ca="1">IFERROR(__xludf.DUMMYFUNCTION("""COMPUTED_VALUE"""),"SANTA EMILIA 21")</f>
        <v>SANTA EMILIA 21</v>
      </c>
      <c r="D1569" s="6" t="str">
        <f ca="1">IFERROR(__xludf.DUMMYFUNCTION("""COMPUTED_VALUE"""),"MARIA PINTO")</f>
        <v>MARIA PINTO</v>
      </c>
    </row>
    <row r="1570" spans="1:4">
      <c r="A1570" s="7">
        <f ca="1">IFERROR(__xludf.DUMMYFUNCTION("""COMPUTED_VALUE"""),44050)</f>
        <v>44050</v>
      </c>
      <c r="B1570" s="6" t="str">
        <f ca="1">IFERROR(__xludf.DUMMYFUNCTION("""COMPUTED_VALUE"""),"-33.5610-70.7932")</f>
        <v>-33.5610-70.7932</v>
      </c>
      <c r="C1570" s="6" t="str">
        <f ca="1">IFERROR(__xludf.DUMMYFUNCTION("""COMPUTED_VALUE"""),"PRIMERA AVENIDA 734")</f>
        <v>PRIMERA AVENIDA 734</v>
      </c>
      <c r="D1570" s="6" t="str">
        <f ca="1">IFERROR(__xludf.DUMMYFUNCTION("""COMPUTED_VALUE"""),"PADRE HURTADO")</f>
        <v>PADRE HURTADO</v>
      </c>
    </row>
    <row r="1571" spans="1:4">
      <c r="A1571" s="7">
        <f ca="1">IFERROR(__xludf.DUMMYFUNCTION("""COMPUTED_VALUE"""),44050)</f>
        <v>44050</v>
      </c>
      <c r="B1571" s="6" t="str">
        <f ca="1">IFERROR(__xludf.DUMMYFUNCTION("""COMPUTED_VALUE"""),"-33.407358-71.130901")</f>
        <v>-33.407358-71.130901</v>
      </c>
      <c r="C1571" s="6" t="str">
        <f ca="1">IFERROR(__xludf.DUMMYFUNCTION("""COMPUTED_VALUE"""),"FRANCISCO JOFRE 1740")</f>
        <v>FRANCISCO JOFRE 1740</v>
      </c>
      <c r="D1571" s="6" t="str">
        <f ca="1">IFERROR(__xludf.DUMMYFUNCTION("""COMPUTED_VALUE"""),"CURACAVI")</f>
        <v>CURACAVI</v>
      </c>
    </row>
    <row r="1572" spans="1:4">
      <c r="A1572" s="7">
        <f ca="1">IFERROR(__xludf.DUMMYFUNCTION("""COMPUTED_VALUE"""),44050)</f>
        <v>44050</v>
      </c>
      <c r="B1572" s="6" t="str">
        <f ca="1">IFERROR(__xludf.DUMMYFUNCTION("""COMPUTED_VALUE"""),"-33.407603-71.130676")</f>
        <v>-33.407603-71.130676</v>
      </c>
      <c r="C1572" s="6" t="str">
        <f ca="1">IFERROR(__xludf.DUMMYFUNCTION("""COMPUTED_VALUE"""),"PJE. CERRO MANZANO 1777")</f>
        <v>PJE. CERRO MANZANO 1777</v>
      </c>
      <c r="D1572" s="6" t="str">
        <f ca="1">IFERROR(__xludf.DUMMYFUNCTION("""COMPUTED_VALUE"""),"CURACAVI")</f>
        <v>CURACAVI</v>
      </c>
    </row>
    <row r="1573" spans="1:4">
      <c r="A1573" s="7">
        <f ca="1">IFERROR(__xludf.DUMMYFUNCTION("""COMPUTED_VALUE"""),44050)</f>
        <v>44050</v>
      </c>
      <c r="B1573" s="6" t="str">
        <f ca="1">IFERROR(__xludf.DUMMYFUNCTION("""COMPUTED_VALUE"""),"-33.254317-70.678144")</f>
        <v>-33.254317-70.678144</v>
      </c>
      <c r="C1573" s="6" t="str">
        <f ca="1">IFERROR(__xludf.DUMMYFUNCTION("""COMPUTED_VALUE"""),"LOS INGLESES 49 B")</f>
        <v>LOS INGLESES 49 B</v>
      </c>
      <c r="D1573" s="6" t="str">
        <f ca="1">IFERROR(__xludf.DUMMYFUNCTION("""COMPUTED_VALUE"""),"COLINA")</f>
        <v>COLINA</v>
      </c>
    </row>
    <row r="1574" spans="1:4">
      <c r="A1574" s="7">
        <f ca="1">IFERROR(__xludf.DUMMYFUNCTION("""COMPUTED_VALUE"""),44050)</f>
        <v>44050</v>
      </c>
      <c r="B1574" s="6" t="str">
        <f ca="1">IFERROR(__xludf.DUMMYFUNCTION("""COMPUTED_VALUE"""),"-33.459486-71.036413")</f>
        <v>-33.459486-71.036413</v>
      </c>
      <c r="C1574" s="6" t="str">
        <f ca="1">IFERROR(__xludf.DUMMYFUNCTION("""COMPUTED_VALUE"""),"CUATRO 830 (PATAGUILLA)")</f>
        <v>CUATRO 830 (PATAGUILLA)</v>
      </c>
      <c r="D1574" s="6" t="str">
        <f ca="1">IFERROR(__xludf.DUMMYFUNCTION("""COMPUTED_VALUE"""),"CURACAVI")</f>
        <v>CURACAVI</v>
      </c>
    </row>
    <row r="1575" spans="1:4">
      <c r="A1575" s="7">
        <f ca="1">IFERROR(__xludf.DUMMYFUNCTION("""COMPUTED_VALUE"""),44050)</f>
        <v>44050</v>
      </c>
      <c r="B1575" s="6" t="str">
        <f ca="1">IFERROR(__xludf.DUMMYFUNCTION("""COMPUTED_VALUE"""),"-33.3954197-71.1240763")</f>
        <v>-33.3954197-71.1240763</v>
      </c>
      <c r="C1575" s="6" t="str">
        <f ca="1">IFERROR(__xludf.DUMMYFUNCTION("""COMPUTED_VALUE"""),"CUYUNCAVI 669 B")</f>
        <v>CUYUNCAVI 669 B</v>
      </c>
      <c r="D1575" s="6" t="str">
        <f ca="1">IFERROR(__xludf.DUMMYFUNCTION("""COMPUTED_VALUE"""),"CURACAVI")</f>
        <v>CURACAVI</v>
      </c>
    </row>
    <row r="1576" spans="1:4">
      <c r="A1576" s="7">
        <f ca="1">IFERROR(__xludf.DUMMYFUNCTION("""COMPUTED_VALUE"""),44050)</f>
        <v>44050</v>
      </c>
      <c r="B1576" s="6" t="str">
        <f ca="1">IFERROR(__xludf.DUMMYFUNCTION("""COMPUTED_VALUE"""),"-33.689004,-71.035138")</f>
        <v>-33.689004,-71.035138</v>
      </c>
      <c r="C1576" s="6" t="str">
        <f ca="1">IFERROR(__xludf.DUMMYFUNCTION("""COMPUTED_VALUE"""),"PJE HONDURAS 097B")</f>
        <v>PJE HONDURAS 097B</v>
      </c>
      <c r="D1576" s="6" t="str">
        <f ca="1">IFERROR(__xludf.DUMMYFUNCTION("""COMPUTED_VALUE"""),"EL MONTE")</f>
        <v>EL MONTE</v>
      </c>
    </row>
    <row r="1577" spans="1:4">
      <c r="A1577" s="7">
        <f ca="1">IFERROR(__xludf.DUMMYFUNCTION("""COMPUTED_VALUE"""),44050)</f>
        <v>44050</v>
      </c>
      <c r="B1577" s="6" t="str">
        <f ca="1">IFERROR(__xludf.DUMMYFUNCTION("""COMPUTED_VALUE"""),"-33.681534,-71.0149863")</f>
        <v>-33.681534,-71.0149863</v>
      </c>
      <c r="C1577" s="6" t="str">
        <f ca="1">IFERROR(__xludf.DUMMYFUNCTION("""COMPUTED_VALUE"""),"SANTA JUANA 118")</f>
        <v>SANTA JUANA 118</v>
      </c>
      <c r="D1577" s="6" t="str">
        <f ca="1">IFERROR(__xludf.DUMMYFUNCTION("""COMPUTED_VALUE"""),"EL MONTE")</f>
        <v>EL MONTE</v>
      </c>
    </row>
    <row r="1578" spans="1:4">
      <c r="A1578" s="7">
        <f ca="1">IFERROR(__xludf.DUMMYFUNCTION("""COMPUTED_VALUE"""),44050)</f>
        <v>44050</v>
      </c>
      <c r="B1578" s="6" t="str">
        <f ca="1">IFERROR(__xludf.DUMMYFUNCTION("""COMPUTED_VALUE"""),"-33.685969,-71.023888")</f>
        <v>-33.685969,-71.023888</v>
      </c>
      <c r="C1578" s="6" t="str">
        <f ca="1">IFERROR(__xludf.DUMMYFUNCTION("""COMPUTED_VALUE"""),"DAMASCOS 1268")</f>
        <v>DAMASCOS 1268</v>
      </c>
      <c r="D1578" s="6" t="str">
        <f ca="1">IFERROR(__xludf.DUMMYFUNCTION("""COMPUTED_VALUE"""),"EL MONTE")</f>
        <v>EL MONTE</v>
      </c>
    </row>
    <row r="1579" spans="1:4">
      <c r="A1579" s="7">
        <f ca="1">IFERROR(__xludf.DUMMYFUNCTION("""COMPUTED_VALUE"""),44050)</f>
        <v>44050</v>
      </c>
      <c r="B1579" s="6" t="str">
        <f ca="1">IFERROR(__xludf.DUMMYFUNCTION("""COMPUTED_VALUE"""),"-33.685070,-71.023402")</f>
        <v>-33.685070,-71.023402</v>
      </c>
      <c r="C1579" s="6" t="str">
        <f ca="1">IFERROR(__xludf.DUMMYFUNCTION("""COMPUTED_VALUE"""),"LOS CIRUELOS 1257")</f>
        <v>LOS CIRUELOS 1257</v>
      </c>
      <c r="D1579" s="6" t="str">
        <f ca="1">IFERROR(__xludf.DUMMYFUNCTION("""COMPUTED_VALUE"""),"EL MONTE")</f>
        <v>EL MONTE</v>
      </c>
    </row>
    <row r="1580" spans="1:4">
      <c r="A1580" s="7">
        <f ca="1">IFERROR(__xludf.DUMMYFUNCTION("""COMPUTED_VALUE"""),44050)</f>
        <v>44050</v>
      </c>
      <c r="B1580" s="6" t="str">
        <f ca="1">IFERROR(__xludf.DUMMYFUNCTION("""COMPUTED_VALUE"""),"-33.689463,-71.046056")</f>
        <v>-33.689463,-71.046056</v>
      </c>
      <c r="C1580" s="6" t="str">
        <f ca="1">IFERROR(__xludf.DUMMYFUNCTION("""COMPUTED_VALUE"""),"LIBERTADORES 1712")</f>
        <v>LIBERTADORES 1712</v>
      </c>
      <c r="D1580" s="6" t="str">
        <f ca="1">IFERROR(__xludf.DUMMYFUNCTION("""COMPUTED_VALUE"""),"EL MONTE")</f>
        <v>EL MONTE</v>
      </c>
    </row>
    <row r="1581" spans="1:4">
      <c r="A1581" s="7">
        <f ca="1">IFERROR(__xludf.DUMMYFUNCTION("""COMPUTED_VALUE"""),44050)</f>
        <v>44050</v>
      </c>
      <c r="B1581" s="8" t="str">
        <f ca="1">IFERROR(__xludf.DUMMYFUNCTION("""COMPUTED_VALUE"""),"-33.728370,-70,729024")</f>
        <v>-33.728370,-70,729024</v>
      </c>
      <c r="C1581" s="6" t="str">
        <f ca="1">IFERROR(__xludf.DUMMYFUNCTION("""COMPUTED_VALUE"""),"DOCTOR LEOPOLDO MOYA CAMUS 54")</f>
        <v>DOCTOR LEOPOLDO MOYA CAMUS 54</v>
      </c>
      <c r="D1581" s="6" t="str">
        <f ca="1">IFERROR(__xludf.DUMMYFUNCTION("""COMPUTED_VALUE"""),"BUIN")</f>
        <v>BUIN</v>
      </c>
    </row>
    <row r="1582" spans="1:4">
      <c r="A1582" s="7">
        <f ca="1">IFERROR(__xludf.DUMMYFUNCTION("""COMPUTED_VALUE"""),44051)</f>
        <v>44051</v>
      </c>
      <c r="B1582" s="8" t="str">
        <f ca="1">IFERROR(__xludf.DUMMYFUNCTION("""COMPUTED_VALUE"""),"-33.461727,-71,080988")</f>
        <v>-33.461727,-71,080988</v>
      </c>
      <c r="C1582" s="6" t="str">
        <f ca="1">IFERROR(__xludf.DUMMYFUNCTION("""COMPUTED_VALUE"""),"JESUS DE NAZARENO 1957")</f>
        <v>JESUS DE NAZARENO 1957</v>
      </c>
      <c r="D1582" s="6" t="str">
        <f ca="1">IFERROR(__xludf.DUMMYFUNCTION("""COMPUTED_VALUE"""),"MARIA PINTO")</f>
        <v>MARIA PINTO</v>
      </c>
    </row>
    <row r="1583" spans="1:4">
      <c r="A1583" s="7">
        <f ca="1">IFERROR(__xludf.DUMMYFUNCTION("""COMPUTED_VALUE"""),44051)</f>
        <v>44051</v>
      </c>
      <c r="B1583" s="6" t="str">
        <f ca="1">IFERROR(__xludf.DUMMYFUNCTION("""COMPUTED_VALUE"""),"-33.672935,-70.988077")</f>
        <v>-33.672935,-70.988077</v>
      </c>
      <c r="C1583" s="6" t="str">
        <f ca="1">IFERROR(__xludf.DUMMYFUNCTION("""COMPUTED_VALUE"""),"CHENA 307")</f>
        <v>CHENA 307</v>
      </c>
      <c r="D1583" s="6" t="str">
        <f ca="1">IFERROR(__xludf.DUMMYFUNCTION("""COMPUTED_VALUE"""),"EL MONTE")</f>
        <v>EL MONTE</v>
      </c>
    </row>
    <row r="1584" spans="1:4">
      <c r="A1584" s="7">
        <f ca="1">IFERROR(__xludf.DUMMYFUNCTION("""COMPUTED_VALUE"""),44051)</f>
        <v>44051</v>
      </c>
      <c r="B1584" s="6" t="str">
        <f ca="1">IFERROR(__xludf.DUMMYFUNCTION("""COMPUTED_VALUE"""),"-33.689355,-71.036406")</f>
        <v>-33.689355,-71.036406</v>
      </c>
      <c r="C1584" s="6" t="str">
        <f ca="1">IFERROR(__xludf.DUMMYFUNCTION("""COMPUTED_VALUE"""),"HONDURAS 098")</f>
        <v>HONDURAS 098</v>
      </c>
      <c r="D1584" s="6" t="str">
        <f ca="1">IFERROR(__xludf.DUMMYFUNCTION("""COMPUTED_VALUE"""),"EL MONTE")</f>
        <v>EL MONTE</v>
      </c>
    </row>
    <row r="1585" spans="1:4">
      <c r="A1585" s="7">
        <f ca="1">IFERROR(__xludf.DUMMYFUNCTION("""COMPUTED_VALUE"""),44052)</f>
        <v>44052</v>
      </c>
      <c r="B1585" s="6" t="str">
        <f ca="1">IFERROR(__xludf.DUMMYFUNCTION("""COMPUTED_VALUE"""),"-33.439647-71.032573")</f>
        <v>-33.439647-71.032573</v>
      </c>
      <c r="C1585" s="6" t="str">
        <f ca="1">IFERROR(__xludf.DUMMYFUNCTION("""COMPUTED_VALUE"""),"LOLENCO L-4 S/N")</f>
        <v>LOLENCO L-4 S/N</v>
      </c>
      <c r="D1585" s="6" t="str">
        <f ca="1">IFERROR(__xludf.DUMMYFUNCTION("""COMPUTED_VALUE"""),"CURACAVI")</f>
        <v>CURACAVI</v>
      </c>
    </row>
    <row r="1586" spans="1:4">
      <c r="A1586" s="7">
        <f ca="1">IFERROR(__xludf.DUMMYFUNCTION("""COMPUTED_VALUE"""),44052)</f>
        <v>44052</v>
      </c>
      <c r="B1586" s="6" t="str">
        <f ca="1">IFERROR(__xludf.DUMMYFUNCTION("""COMPUTED_VALUE"""),"-33.439873-71.032721")</f>
        <v>-33.439873-71.032721</v>
      </c>
      <c r="C1586" s="6" t="str">
        <f ca="1">IFERROR(__xludf.DUMMYFUNCTION("""COMPUTED_VALUE"""),"UNION SAN JOSE 2")</f>
        <v>UNION SAN JOSE 2</v>
      </c>
      <c r="D1586" s="6" t="str">
        <f ca="1">IFERROR(__xludf.DUMMYFUNCTION("""COMPUTED_VALUE"""),"CURACAVI")</f>
        <v>CURACAVI</v>
      </c>
    </row>
    <row r="1587" spans="1:4">
      <c r="A1587" s="7">
        <f ca="1">IFERROR(__xludf.DUMMYFUNCTION("""COMPUTED_VALUE"""),44052)</f>
        <v>44052</v>
      </c>
      <c r="B1587" s="6" t="str">
        <f ca="1">IFERROR(__xludf.DUMMYFUNCTION("""COMPUTED_VALUE"""),"-33.446259-71.029562")</f>
        <v>-33.446259-71.029562</v>
      </c>
      <c r="C1587" s="6" t="str">
        <f ca="1">IFERROR(__xludf.DUMMYFUNCTION("""COMPUTED_VALUE"""),"UNION CHILENA 13 LOTE 7")</f>
        <v>UNION CHILENA 13 LOTE 7</v>
      </c>
      <c r="D1587" s="6" t="str">
        <f ca="1">IFERROR(__xludf.DUMMYFUNCTION("""COMPUTED_VALUE"""),"CURACAVI")</f>
        <v>CURACAVI</v>
      </c>
    </row>
    <row r="1588" spans="1:4">
      <c r="A1588" s="7">
        <f ca="1">IFERROR(__xludf.DUMMYFUNCTION("""COMPUTED_VALUE"""),44053)</f>
        <v>44053</v>
      </c>
      <c r="B1588" s="8" t="str">
        <f ca="1">IFERROR(__xludf.DUMMYFUNCTION("""COMPUTED_VALUE"""),"-33.467765,-71.097501")</f>
        <v>-33.467765,-71.097501</v>
      </c>
      <c r="C1588" s="6" t="str">
        <f ca="1">IFERROR(__xludf.DUMMYFUNCTION("""COMPUTED_VALUE"""),"LAS PARCELAS 355")</f>
        <v>LAS PARCELAS 355</v>
      </c>
      <c r="D1588" s="6" t="str">
        <f ca="1">IFERROR(__xludf.DUMMYFUNCTION("""COMPUTED_VALUE"""),"MARIA PINTO")</f>
        <v>MARIA PINTO</v>
      </c>
    </row>
    <row r="1589" spans="1:4">
      <c r="A1589" s="7">
        <f ca="1">IFERROR(__xludf.DUMMYFUNCTION("""COMPUTED_VALUE"""),44053)</f>
        <v>44053</v>
      </c>
      <c r="B1589" s="8" t="str">
        <f ca="1">IFERROR(__xludf.DUMMYFUNCTION("""COMPUTED_VALUE"""),"-33.514403,-71.116297")</f>
        <v>-33.514403,-71.116297</v>
      </c>
      <c r="C1589" s="6" t="str">
        <f ca="1">IFERROR(__xludf.DUMMYFUNCTION("""COMPUTED_VALUE"""),"EL ATAJO 38 ")</f>
        <v xml:space="preserve">EL ATAJO 38 </v>
      </c>
      <c r="D1589" s="6" t="str">
        <f ca="1">IFERROR(__xludf.DUMMYFUNCTION("""COMPUTED_VALUE"""),"MARIA PINTO")</f>
        <v>MARIA PINTO</v>
      </c>
    </row>
    <row r="1590" spans="1:4">
      <c r="A1590" s="7">
        <f ca="1">IFERROR(__xludf.DUMMYFUNCTION("""COMPUTED_VALUE"""),44053)</f>
        <v>44053</v>
      </c>
      <c r="B1590" s="8" t="str">
        <f ca="1">IFERROR(__xludf.DUMMYFUNCTION("""COMPUTED_VALUE"""),"-33.460044,-71.082808")</f>
        <v>-33.460044,-71.082808</v>
      </c>
      <c r="C1590" s="6" t="str">
        <f ca="1">IFERROR(__xludf.DUMMYFUNCTION("""COMPUTED_VALUE"""),"LOS RULOS S/n PARCELA 4")</f>
        <v>LOS RULOS S/n PARCELA 4</v>
      </c>
      <c r="D1590" s="6" t="str">
        <f ca="1">IFERROR(__xludf.DUMMYFUNCTION("""COMPUTED_VALUE"""),"MARIA PINTO")</f>
        <v>MARIA PINTO</v>
      </c>
    </row>
    <row r="1591" spans="1:4">
      <c r="A1591" s="7">
        <f ca="1">IFERROR(__xludf.DUMMYFUNCTION("""COMPUTED_VALUE"""),44053)</f>
        <v>44053</v>
      </c>
      <c r="B1591" s="8" t="str">
        <f ca="1">IFERROR(__xludf.DUMMYFUNCTION("""COMPUTED_VALUE"""),"-33.464972,-71.104852")</f>
        <v>-33.464972,-71.104852</v>
      </c>
      <c r="C1591" s="6" t="str">
        <f ca="1">IFERROR(__xludf.DUMMYFUNCTION("""COMPUTED_VALUE"""),"EL REDIL S/N ")</f>
        <v xml:space="preserve">EL REDIL S/N </v>
      </c>
      <c r="D1591" s="6" t="str">
        <f ca="1">IFERROR(__xludf.DUMMYFUNCTION("""COMPUTED_VALUE"""),"MARIA PINTO")</f>
        <v>MARIA PINTO</v>
      </c>
    </row>
    <row r="1592" spans="1:4">
      <c r="A1592" s="7">
        <f ca="1">IFERROR(__xludf.DUMMYFUNCTION("""COMPUTED_VALUE"""),44053)</f>
        <v>44053</v>
      </c>
      <c r="B1592" s="8" t="str">
        <f ca="1">IFERROR(__xludf.DUMMYFUNCTION("""COMPUTED_VALUE"""),"-334628380,-71.079691")</f>
        <v>-334628380,-71.079691</v>
      </c>
      <c r="C1592" s="6" t="str">
        <f ca="1">IFERROR(__xludf.DUMMYFUNCTION("""COMPUTED_VALUE"""),"GABRIELA MISTRAL 1837")</f>
        <v>GABRIELA MISTRAL 1837</v>
      </c>
      <c r="D1592" s="6" t="str">
        <f ca="1">IFERROR(__xludf.DUMMYFUNCTION("""COMPUTED_VALUE"""),"MARIA PINTO")</f>
        <v>MARIA PINTO</v>
      </c>
    </row>
    <row r="1593" spans="1:4">
      <c r="A1593" s="7">
        <f ca="1">IFERROR(__xludf.DUMMYFUNCTION("""COMPUTED_VALUE"""),44053)</f>
        <v>44053</v>
      </c>
      <c r="B1593" s="8" t="str">
        <f ca="1">IFERROR(__xludf.DUMMYFUNCTION("""COMPUTED_VALUE"""),"-33.548877,-71.219667")</f>
        <v>-33.548877,-71.219667</v>
      </c>
      <c r="C1593" s="6" t="str">
        <f ca="1">IFERROR(__xludf.DUMMYFUNCTION("""COMPUTED_VALUE"""),"PASAJE SAN ANDRES LOTE 4 SITIO D")</f>
        <v>PASAJE SAN ANDRES LOTE 4 SITIO D</v>
      </c>
      <c r="D1593" s="6" t="str">
        <f ca="1">IFERROR(__xludf.DUMMYFUNCTION("""COMPUTED_VALUE"""),"MARIA PINTO")</f>
        <v>MARIA PINTO</v>
      </c>
    </row>
    <row r="1594" spans="1:4">
      <c r="A1594" s="7">
        <f ca="1">IFERROR(__xludf.DUMMYFUNCTION("""COMPUTED_VALUE"""),44053)</f>
        <v>44053</v>
      </c>
      <c r="B1594" s="6" t="str">
        <f ca="1">IFERROR(__xludf.DUMMYFUNCTION("""COMPUTED_VALUE"""),"-33.5675-70.7967")</f>
        <v>-33.5675-70.7967</v>
      </c>
      <c r="C1594" s="6" t="str">
        <f ca="1">IFERROR(__xludf.DUMMYFUNCTION("""COMPUTED_VALUE"""),"PJE. DON LUIS 834")</f>
        <v>PJE. DON LUIS 834</v>
      </c>
      <c r="D1594" s="6" t="str">
        <f ca="1">IFERROR(__xludf.DUMMYFUNCTION("""COMPUTED_VALUE"""),"PADRE HURTADO")</f>
        <v>PADRE HURTADO</v>
      </c>
    </row>
    <row r="1595" spans="1:4">
      <c r="A1595" s="7">
        <f ca="1">IFERROR(__xludf.DUMMYFUNCTION("""COMPUTED_VALUE"""),44053)</f>
        <v>44053</v>
      </c>
      <c r="B1595" s="6" t="str">
        <f ca="1">IFERROR(__xludf.DUMMYFUNCTION("""COMPUTED_VALUE"""),"-33.5674-70.7999")</f>
        <v>-33.5674-70.7999</v>
      </c>
      <c r="C1595" s="6" t="str">
        <f ca="1">IFERROR(__xludf.DUMMYFUNCTION("""COMPUTED_VALUE"""),"TIRZO DE MOLINA 1018")</f>
        <v>TIRZO DE MOLINA 1018</v>
      </c>
      <c r="D1595" s="6" t="str">
        <f ca="1">IFERROR(__xludf.DUMMYFUNCTION("""COMPUTED_VALUE"""),"PADRE HURTADO")</f>
        <v>PADRE HURTADO</v>
      </c>
    </row>
    <row r="1596" spans="1:4">
      <c r="A1596" s="7">
        <f ca="1">IFERROR(__xludf.DUMMYFUNCTION("""COMPUTED_VALUE"""),44053)</f>
        <v>44053</v>
      </c>
      <c r="B1596" s="6" t="str">
        <f ca="1">IFERROR(__xludf.DUMMYFUNCTION("""COMPUTED_VALUE"""),"-33.680982,-70.987019")</f>
        <v>-33.680982,-70.987019</v>
      </c>
      <c r="C1596" s="6" t="str">
        <f ca="1">IFERROR(__xludf.DUMMYFUNCTION("""COMPUTED_VALUE"""),"PJE PANELONCO")</f>
        <v>PJE PANELONCO</v>
      </c>
      <c r="D1596" s="6" t="str">
        <f ca="1">IFERROR(__xludf.DUMMYFUNCTION("""COMPUTED_VALUE"""),"EL MONTE")</f>
        <v>EL MONTE</v>
      </c>
    </row>
    <row r="1597" spans="1:4">
      <c r="A1597" s="7">
        <f ca="1">IFERROR(__xludf.DUMMYFUNCTION("""COMPUTED_VALUE"""),44053)</f>
        <v>44053</v>
      </c>
      <c r="B1597" s="6" t="str">
        <f ca="1">IFERROR(__xludf.DUMMYFUNCTION("""COMPUTED_VALUE"""),"-33.272661 - 70.887840")</f>
        <v>-33.272661 - 70.887840</v>
      </c>
      <c r="C1597" s="6" t="str">
        <f ca="1">IFERROR(__xludf.DUMMYFUNCTION("""COMPUTED_VALUE"""),"MANUEL MOTT 3030 # 16 ")</f>
        <v xml:space="preserve">MANUEL MOTT 3030 # 16 </v>
      </c>
      <c r="D1597" s="6" t="str">
        <f ca="1">IFERROR(__xludf.DUMMYFUNCTION("""COMPUTED_VALUE"""),"LAMPA")</f>
        <v>LAMPA</v>
      </c>
    </row>
    <row r="1598" spans="1:4">
      <c r="A1598" s="7">
        <f ca="1">IFERROR(__xludf.DUMMYFUNCTION("""COMPUTED_VALUE"""),44054)</f>
        <v>44054</v>
      </c>
      <c r="B1598" s="8" t="str">
        <f ca="1">IFERROR(__xludf.DUMMYFUNCTION("""COMPUTED_VALUE"""),"-33.518684,-71.122243")</f>
        <v>-33.518684,-71.122243</v>
      </c>
      <c r="C1598" s="6" t="str">
        <f ca="1">IFERROR(__xludf.DUMMYFUNCTION("""COMPUTED_VALUE"""),"CALLE ERNESTINA VELIZ 169")</f>
        <v>CALLE ERNESTINA VELIZ 169</v>
      </c>
      <c r="D1598" s="6" t="str">
        <f ca="1">IFERROR(__xludf.DUMMYFUNCTION("""COMPUTED_VALUE"""),"MARIA PINTO")</f>
        <v>MARIA PINTO</v>
      </c>
    </row>
    <row r="1599" spans="1:4">
      <c r="A1599" s="7">
        <f ca="1">IFERROR(__xludf.DUMMYFUNCTION("""COMPUTED_VALUE"""),44054)</f>
        <v>44054</v>
      </c>
      <c r="B1599" s="8" t="str">
        <f ca="1">IFERROR(__xludf.DUMMYFUNCTION("""COMPUTED_VALUE"""),"-33.531861,-71.231977")</f>
        <v>-33.531861,-71.231977</v>
      </c>
      <c r="C1599" s="6" t="str">
        <f ca="1">IFERROR(__xludf.DUMMYFUNCTION("""COMPUTED_VALUE"""),"CALLE SIETE 658 CHOROMBO")</f>
        <v>CALLE SIETE 658 CHOROMBO</v>
      </c>
      <c r="D1599" s="6" t="str">
        <f ca="1">IFERROR(__xludf.DUMMYFUNCTION("""COMPUTED_VALUE"""),"MARIA PINTO")</f>
        <v>MARIA PINTO</v>
      </c>
    </row>
    <row r="1600" spans="1:4">
      <c r="A1600" s="7">
        <f ca="1">IFERROR(__xludf.DUMMYFUNCTION("""COMPUTED_VALUE"""),44054)</f>
        <v>44054</v>
      </c>
      <c r="B1600" s="6" t="str">
        <f ca="1">IFERROR(__xludf.DUMMYFUNCTION("""COMPUTED_VALUE"""),"-33.572509-70.828203")</f>
        <v>-33.572509-70.828203</v>
      </c>
      <c r="C1600" s="6" t="str">
        <f ca="1">IFERROR(__xludf.DUMMYFUNCTION("""COMPUTED_VALUE"""),"LOS CEIBOS PONIENTE 1138")</f>
        <v>LOS CEIBOS PONIENTE 1138</v>
      </c>
      <c r="D1600" s="6" t="str">
        <f ca="1">IFERROR(__xludf.DUMMYFUNCTION("""COMPUTED_VALUE"""),"PADRE HURTADO")</f>
        <v>PADRE HURTADO</v>
      </c>
    </row>
    <row r="1601" spans="1:4">
      <c r="A1601" s="7">
        <f ca="1">IFERROR(__xludf.DUMMYFUNCTION("""COMPUTED_VALUE"""),44054)</f>
        <v>44054</v>
      </c>
      <c r="B1601" s="6" t="str">
        <f ca="1">IFERROR(__xludf.DUMMYFUNCTION("""COMPUTED_VALUE"""),"-33.572509-70.828203")</f>
        <v>-33.572509-70.828203</v>
      </c>
      <c r="C1601" s="6" t="str">
        <f ca="1">IFERROR(__xludf.DUMMYFUNCTION("""COMPUTED_VALUE"""),"LOS CEIBOS PONIENTE 1138")</f>
        <v>LOS CEIBOS PONIENTE 1138</v>
      </c>
      <c r="D1601" s="6" t="str">
        <f ca="1">IFERROR(__xludf.DUMMYFUNCTION("""COMPUTED_VALUE"""),"PADRE HURTADO")</f>
        <v>PADRE HURTADO</v>
      </c>
    </row>
    <row r="1602" spans="1:4">
      <c r="A1602" s="7">
        <f ca="1">IFERROR(__xludf.DUMMYFUNCTION("""COMPUTED_VALUE"""),44054)</f>
        <v>44054</v>
      </c>
      <c r="B1602" s="6" t="str">
        <f ca="1">IFERROR(__xludf.DUMMYFUNCTION("""COMPUTED_VALUE"""),"-33.226089-70.805501")</f>
        <v>-33.226089-70.805501</v>
      </c>
      <c r="C1602" s="6" t="str">
        <f ca="1">IFERROR(__xludf.DUMMYFUNCTION("""COMPUTED_VALUE"""),"URIBE 969")</f>
        <v>URIBE 969</v>
      </c>
      <c r="D1602" s="6" t="str">
        <f ca="1">IFERROR(__xludf.DUMMYFUNCTION("""COMPUTED_VALUE"""),"LAMPA")</f>
        <v>LAMPA</v>
      </c>
    </row>
    <row r="1603" spans="1:4">
      <c r="A1603" s="7">
        <f ca="1">IFERROR(__xludf.DUMMYFUNCTION("""COMPUTED_VALUE"""),44054)</f>
        <v>44054</v>
      </c>
      <c r="B1603" s="6" t="str">
        <f ca="1">IFERROR(__xludf.DUMMYFUNCTION("""COMPUTED_VALUE"""),"-33.305217-70.692242")</f>
        <v>-33.305217-70.692242</v>
      </c>
      <c r="C1603" s="6" t="str">
        <f ca="1">IFERROR(__xludf.DUMMYFUNCTION("""COMPUTED_VALUE"""),"FERMIN VERGARA 136 B")</f>
        <v>FERMIN VERGARA 136 B</v>
      </c>
      <c r="D1603" s="6" t="str">
        <f ca="1">IFERROR(__xludf.DUMMYFUNCTION("""COMPUTED_VALUE"""),"COLINA")</f>
        <v>COLINA</v>
      </c>
    </row>
    <row r="1604" spans="1:4">
      <c r="A1604" s="7">
        <f ca="1">IFERROR(__xludf.DUMMYFUNCTION("""COMPUTED_VALUE"""),44054)</f>
        <v>44054</v>
      </c>
      <c r="B1604" s="6" t="str">
        <f ca="1">IFERROR(__xludf.DUMMYFUNCTION("""COMPUTED_VALUE"""),"-33.4160-71.1555")</f>
        <v>-33.4160-71.1555</v>
      </c>
      <c r="C1604" s="6" t="str">
        <f ca="1">IFERROR(__xludf.DUMMYFUNCTION("""COMPUTED_VALUE"""),"JOSE RAMON ARMAZAN 347")</f>
        <v>JOSE RAMON ARMAZAN 347</v>
      </c>
      <c r="D1604" s="6" t="str">
        <f ca="1">IFERROR(__xludf.DUMMYFUNCTION("""COMPUTED_VALUE"""),"CURACAVI")</f>
        <v>CURACAVI</v>
      </c>
    </row>
    <row r="1605" spans="1:4">
      <c r="A1605" s="7">
        <f ca="1">IFERROR(__xludf.DUMMYFUNCTION("""COMPUTED_VALUE"""),44054)</f>
        <v>44054</v>
      </c>
      <c r="B1605" s="6" t="str">
        <f ca="1">IFERROR(__xludf.DUMMYFUNCTION("""COMPUTED_VALUE"""),"-33.4305-71.0646")</f>
        <v>-33.4305-71.0646</v>
      </c>
      <c r="C1605" s="6" t="str">
        <f ca="1">IFERROR(__xludf.DUMMYFUNCTION("""COMPUTED_VALUE"""),"PARC SANTA MARIA 7")</f>
        <v>PARC SANTA MARIA 7</v>
      </c>
      <c r="D1605" s="6" t="str">
        <f ca="1">IFERROR(__xludf.DUMMYFUNCTION("""COMPUTED_VALUE"""),"CURACAVI")</f>
        <v>CURACAVI</v>
      </c>
    </row>
    <row r="1606" spans="1:4">
      <c r="A1606" s="7">
        <f ca="1">IFERROR(__xludf.DUMMYFUNCTION("""COMPUTED_VALUE"""),44054)</f>
        <v>44054</v>
      </c>
      <c r="B1606" s="6" t="str">
        <f ca="1">IFERROR(__xludf.DUMMYFUNCTION("""COMPUTED_VALUE"""),"-33.074399 - 70.712054")</f>
        <v>-33.074399 - 70.712054</v>
      </c>
      <c r="C1606" s="6" t="str">
        <f ca="1">IFERROR(__xludf.DUMMYFUNCTION("""COMPUTED_VALUE"""),"EL COLORADO SOTIO 29-E")</f>
        <v>EL COLORADO SOTIO 29-E</v>
      </c>
      <c r="D1606" s="6" t="str">
        <f ca="1">IFERROR(__xludf.DUMMYFUNCTION("""COMPUTED_VALUE"""),"COLINA")</f>
        <v>COLINA</v>
      </c>
    </row>
    <row r="1607" spans="1:4">
      <c r="A1607" s="7">
        <f ca="1">IFERROR(__xludf.DUMMYFUNCTION("""COMPUTED_VALUE"""),44054)</f>
        <v>44054</v>
      </c>
      <c r="B1607" s="6" t="str">
        <f ca="1">IFERROR(__xludf.DUMMYFUNCTION("""COMPUTED_VALUE"""),"-33.182376 - 70.659156")</f>
        <v>-33.182376 - 70.659156</v>
      </c>
      <c r="C1607" s="6" t="str">
        <f ca="1">IFERROR(__xludf.DUMMYFUNCTION("""COMPUTED_VALUE"""),"LIDIA NUÑEZ 1075")</f>
        <v>LIDIA NUÑEZ 1075</v>
      </c>
      <c r="D1607" s="6" t="str">
        <f ca="1">IFERROR(__xludf.DUMMYFUNCTION("""COMPUTED_VALUE"""),"COLINA")</f>
        <v>COLINA</v>
      </c>
    </row>
    <row r="1608" spans="1:4">
      <c r="A1608" s="7">
        <f ca="1">IFERROR(__xludf.DUMMYFUNCTION("""COMPUTED_VALUE"""),44055)</f>
        <v>44055</v>
      </c>
      <c r="B1608" s="8" t="str">
        <f ca="1">IFERROR(__xludf.DUMMYFUNCTION("""COMPUTED_VALUE"""),"-33.464907,-71.103906")</f>
        <v>-33.464907,-71.103906</v>
      </c>
      <c r="C1608" s="6" t="str">
        <f ca="1">IFERROR(__xludf.DUMMYFUNCTION("""COMPUTED_VALUE"""),"SANTA EMILIA S/N CV69")</f>
        <v>SANTA EMILIA S/N CV69</v>
      </c>
      <c r="D1608" s="6" t="str">
        <f ca="1">IFERROR(__xludf.DUMMYFUNCTION("""COMPUTED_VALUE"""),"MARIA PINTO")</f>
        <v>MARIA PINTO</v>
      </c>
    </row>
    <row r="1609" spans="1:4">
      <c r="A1609" s="7">
        <f ca="1">IFERROR(__xludf.DUMMYFUNCTION("""COMPUTED_VALUE"""),44055)</f>
        <v>44055</v>
      </c>
      <c r="B1609" s="6" t="str">
        <f ca="1">IFERROR(__xludf.DUMMYFUNCTION("""COMPUTED_VALUE"""),"-33.684216-71.196332")</f>
        <v>-33.684216-71.196332</v>
      </c>
      <c r="C1609" s="6" t="str">
        <f ca="1">IFERROR(__xludf.DUMMYFUNCTION("""COMPUTED_VALUE"""),"PJE ANTONIO SALIERI 313")</f>
        <v>PJE ANTONIO SALIERI 313</v>
      </c>
      <c r="D1609" s="6" t="str">
        <f ca="1">IFERROR(__xludf.DUMMYFUNCTION("""COMPUTED_VALUE"""),"MELIPILLA")</f>
        <v>MELIPILLA</v>
      </c>
    </row>
    <row r="1610" spans="1:4">
      <c r="A1610" s="7">
        <f ca="1">IFERROR(__xludf.DUMMYFUNCTION("""COMPUTED_VALUE"""),44055)</f>
        <v>44055</v>
      </c>
      <c r="B1610" s="6" t="str">
        <f ca="1">IFERROR(__xludf.DUMMYFUNCTION("""COMPUTED_VALUE"""),"-33.683724-71.196545")</f>
        <v>-33.683724-71.196545</v>
      </c>
      <c r="C1610" s="6" t="str">
        <f ca="1">IFERROR(__xludf.DUMMYFUNCTION("""COMPUTED_VALUE"""),"TOMASO ALBINONI 252")</f>
        <v>TOMASO ALBINONI 252</v>
      </c>
      <c r="D1610" s="6" t="str">
        <f ca="1">IFERROR(__xludf.DUMMYFUNCTION("""COMPUTED_VALUE"""),"MELIPILLA")</f>
        <v>MELIPILLA</v>
      </c>
    </row>
    <row r="1611" spans="1:4">
      <c r="A1611" s="7">
        <f ca="1">IFERROR(__xludf.DUMMYFUNCTION("""COMPUTED_VALUE"""),44056)</f>
        <v>44056</v>
      </c>
      <c r="B1611" s="8" t="str">
        <f ca="1">IFERROR(__xludf.DUMMYFUNCTION("""COMPUTED_VALUE"""),"-33.477071,-71.126379")</f>
        <v>-33.477071,-71.126379</v>
      </c>
      <c r="C1611" s="6" t="str">
        <f ca="1">IFERROR(__xludf.DUMMYFUNCTION("""COMPUTED_VALUE"""),"PASAJE EL REDIL S/N")</f>
        <v>PASAJE EL REDIL S/N</v>
      </c>
      <c r="D1611" s="6" t="str">
        <f ca="1">IFERROR(__xludf.DUMMYFUNCTION("""COMPUTED_VALUE"""),"MARIA PINTO")</f>
        <v>MARIA PINTO</v>
      </c>
    </row>
    <row r="1612" spans="1:4">
      <c r="A1612" s="7">
        <f ca="1">IFERROR(__xludf.DUMMYFUNCTION("""COMPUTED_VALUE"""),44056)</f>
        <v>44056</v>
      </c>
      <c r="B1612" s="6" t="str">
        <f ca="1">IFERROR(__xludf.DUMMYFUNCTION("""COMPUTED_VALUE"""),"-33.583751-70.811662")</f>
        <v>-33.583751-70.811662</v>
      </c>
      <c r="C1612" s="6" t="str">
        <f ca="1">IFERROR(__xludf.DUMMYFUNCTION("""COMPUTED_VALUE"""),"TRIUNFO DE CHILE 19 MZ19 SITIO 2")</f>
        <v>TRIUNFO DE CHILE 19 MZ19 SITIO 2</v>
      </c>
      <c r="D1612" s="6" t="str">
        <f ca="1">IFERROR(__xludf.DUMMYFUNCTION("""COMPUTED_VALUE"""),"PADRE HURTADO")</f>
        <v>PADRE HURTADO</v>
      </c>
    </row>
    <row r="1613" spans="1:4">
      <c r="A1613" s="7">
        <f ca="1">IFERROR(__xludf.DUMMYFUNCTION("""COMPUTED_VALUE"""),44056)</f>
        <v>44056</v>
      </c>
      <c r="B1613" s="6" t="str">
        <f ca="1">IFERROR(__xludf.DUMMYFUNCTION("""COMPUTED_VALUE"""),"-33.6059-70.8760")</f>
        <v>-33.6059-70.8760</v>
      </c>
      <c r="C1613" s="6" t="str">
        <f ca="1">IFERROR(__xludf.DUMMYFUNCTION("""COMPUTED_VALUE"""),"LOS ALERCES 723")</f>
        <v>LOS ALERCES 723</v>
      </c>
      <c r="D1613" s="6" t="str">
        <f ca="1">IFERROR(__xludf.DUMMYFUNCTION("""COMPUTED_VALUE"""),"PEÑAFLOR")</f>
        <v>PEÑAFLOR</v>
      </c>
    </row>
    <row r="1614" spans="1:4">
      <c r="A1614" s="7">
        <f ca="1">IFERROR(__xludf.DUMMYFUNCTION("""COMPUTED_VALUE"""),44056)</f>
        <v>44056</v>
      </c>
      <c r="B1614" s="6" t="str">
        <f ca="1">IFERROR(__xludf.DUMMYFUNCTION("""COMPUTED_VALUE"""),"-33.312333 - 70.862286")</f>
        <v>-33.312333 - 70.862286</v>
      </c>
      <c r="C1614" s="6" t="str">
        <f ca="1">IFERROR(__xludf.DUMMYFUNCTION("""COMPUTED_VALUE"""),"CAMINO INTERIOR S/N LOTE 21")</f>
        <v>CAMINO INTERIOR S/N LOTE 21</v>
      </c>
      <c r="D1614" s="6" t="str">
        <f ca="1">IFERROR(__xludf.DUMMYFUNCTION("""COMPUTED_VALUE"""),"LAMPA")</f>
        <v>LAMPA</v>
      </c>
    </row>
    <row r="1615" spans="1:4">
      <c r="A1615" s="7">
        <f ca="1">IFERROR(__xludf.DUMMYFUNCTION("""COMPUTED_VALUE"""),44056)</f>
        <v>44056</v>
      </c>
      <c r="B1615" s="8" t="str">
        <f ca="1">IFERROR(__xludf.DUMMYFUNCTION("""COMPUTED_VALUE"""),"-33.303365, -70.695179")</f>
        <v>-33.303365, -70.695179</v>
      </c>
      <c r="C1615" s="6" t="str">
        <f ca="1">IFERROR(__xludf.DUMMYFUNCTION("""COMPUTED_VALUE"""),"CAMINO DEL MUSICO NORTE 10382")</f>
        <v>CAMINO DEL MUSICO NORTE 10382</v>
      </c>
      <c r="D1615" s="6" t="str">
        <f ca="1">IFERROR(__xludf.DUMMYFUNCTION("""COMPUTED_VALUE"""),"COLINA")</f>
        <v>COLINA</v>
      </c>
    </row>
    <row r="1616" spans="1:4">
      <c r="A1616" s="7">
        <f ca="1">IFERROR(__xludf.DUMMYFUNCTION("""COMPUTED_VALUE"""),44057)</f>
        <v>44057</v>
      </c>
      <c r="B1616" s="8" t="str">
        <f ca="1">IFERROR(__xludf.DUMMYFUNCTION("""COMPUTED_VALUE"""),"-33.570312,-70.814325")</f>
        <v>-33.570312,-70.814325</v>
      </c>
      <c r="C1616" s="6" t="str">
        <f ca="1">IFERROR(__xludf.DUMMYFUNCTION("""COMPUTED_VALUE"""),"PASAJE DOS 2373")</f>
        <v>PASAJE DOS 2373</v>
      </c>
      <c r="D1616" s="6" t="str">
        <f ca="1">IFERROR(__xludf.DUMMYFUNCTION("""COMPUTED_VALUE"""),"PADRE HURTADO")</f>
        <v>PADRE HURTADO</v>
      </c>
    </row>
    <row r="1617" spans="1:4">
      <c r="A1617" s="7">
        <f ca="1">IFERROR(__xludf.DUMMYFUNCTION("""COMPUTED_VALUE"""),44057)</f>
        <v>44057</v>
      </c>
      <c r="B1617" s="8" t="str">
        <f ca="1">IFERROR(__xludf.DUMMYFUNCTION("""COMPUTED_VALUE"""),"-33.570422.-70.814286")</f>
        <v>-33.570422.-70.814286</v>
      </c>
      <c r="C1617" s="6" t="str">
        <f ca="1">IFERROR(__xludf.DUMMYFUNCTION("""COMPUTED_VALUE"""),"PASAJE DOS 2385")</f>
        <v>PASAJE DOS 2385</v>
      </c>
      <c r="D1617" s="6" t="str">
        <f ca="1">IFERROR(__xludf.DUMMYFUNCTION("""COMPUTED_VALUE"""),"PADRE HURTADO")</f>
        <v>PADRE HURTADO</v>
      </c>
    </row>
    <row r="1618" spans="1:4">
      <c r="A1618" s="7">
        <f ca="1">IFERROR(__xludf.DUMMYFUNCTION("""COMPUTED_VALUE"""),44057)</f>
        <v>44057</v>
      </c>
      <c r="B1618" s="6" t="str">
        <f ca="1">IFERROR(__xludf.DUMMYFUNCTION("""COMPUTED_VALUE"""),"-33.5601-70.7945")</f>
        <v>-33.5601-70.7945</v>
      </c>
      <c r="C1618" s="6" t="str">
        <f ca="1">IFERROR(__xludf.DUMMYFUNCTION("""COMPUTED_VALUE"""),"IGNACIO SERRANO 583")</f>
        <v>IGNACIO SERRANO 583</v>
      </c>
      <c r="D1618" s="6" t="str">
        <f ca="1">IFERROR(__xludf.DUMMYFUNCTION("""COMPUTED_VALUE"""),"PADRE HURTADO")</f>
        <v>PADRE HURTADO</v>
      </c>
    </row>
    <row r="1619" spans="1:4">
      <c r="A1619" s="7">
        <f ca="1">IFERROR(__xludf.DUMMYFUNCTION("""COMPUTED_VALUE"""),44060)</f>
        <v>44060</v>
      </c>
      <c r="B1619" s="8" t="str">
        <f ca="1">IFERROR(__xludf.DUMMYFUNCTION("""COMPUTED_VALUE"""),"-33.461501,-71.083484")</f>
        <v>-33.461501,-71.083484</v>
      </c>
      <c r="C1619" s="6" t="str">
        <f ca="1">IFERROR(__xludf.DUMMYFUNCTION("""COMPUTED_VALUE"""),"LAS PALMERAS 412")</f>
        <v>LAS PALMERAS 412</v>
      </c>
      <c r="D1619" s="6" t="str">
        <f ca="1">IFERROR(__xludf.DUMMYFUNCTION("""COMPUTED_VALUE"""),"MARIA PINTO")</f>
        <v>MARIA PINTO</v>
      </c>
    </row>
    <row r="1620" spans="1:4">
      <c r="A1620" s="7">
        <f ca="1">IFERROR(__xludf.DUMMYFUNCTION("""COMPUTED_VALUE"""),44060)</f>
        <v>44060</v>
      </c>
      <c r="B1620" s="8" t="str">
        <f ca="1">IFERROR(__xludf.DUMMYFUNCTION("""COMPUTED_VALUE"""),"-33.497846,-71.200387")</f>
        <v>-33.497846,-71.200387</v>
      </c>
      <c r="C1620" s="6" t="str">
        <f ca="1">IFERROR(__xludf.DUMMYFUNCTION("""COMPUTED_VALUE"""),"LAS MARCEDES S/N CV8")</f>
        <v>LAS MARCEDES S/N CV8</v>
      </c>
      <c r="D1620" s="6" t="str">
        <f ca="1">IFERROR(__xludf.DUMMYFUNCTION("""COMPUTED_VALUE"""),"MARIA PINTO")</f>
        <v>MARIA PINTO</v>
      </c>
    </row>
    <row r="1621" spans="1:4">
      <c r="A1621" s="7">
        <f ca="1">IFERROR(__xludf.DUMMYFUNCTION("""COMPUTED_VALUE"""),44060)</f>
        <v>44060</v>
      </c>
      <c r="B1621" s="6" t="str">
        <f ca="1">IFERROR(__xludf.DUMMYFUNCTION("""COMPUTED_VALUE"""),"-33.597482-70.878159")</f>
        <v>-33.597482-70.878159</v>
      </c>
      <c r="C1621" s="6" t="str">
        <f ca="1">IFERROR(__xludf.DUMMYFUNCTION("""COMPUTED_VALUE"""),"PJE.FELIPE BECERRA F 2565")</f>
        <v>PJE.FELIPE BECERRA F 2565</v>
      </c>
      <c r="D1621" s="6" t="str">
        <f ca="1">IFERROR(__xludf.DUMMYFUNCTION("""COMPUTED_VALUE"""),"PEÑAFLOR")</f>
        <v>PEÑAFLOR</v>
      </c>
    </row>
    <row r="1622" spans="1:4">
      <c r="A1622" s="7">
        <f ca="1">IFERROR(__xludf.DUMMYFUNCTION("""COMPUTED_VALUE"""),44061)</f>
        <v>44061</v>
      </c>
      <c r="B1622" s="8" t="str">
        <f ca="1">IFERROR(__xludf.DUMMYFUNCTION("""COMPUTED_VALUE"""),"-33.683406,-70.951858")</f>
        <v>-33.683406,-70.951858</v>
      </c>
      <c r="C1622" s="6" t="str">
        <f ca="1">IFERROR(__xludf.DUMMYFUNCTION("""COMPUTED_VALUE"""),"EMILIANO FIGUEROA LARRAIN 215")</f>
        <v>EMILIANO FIGUEROA LARRAIN 215</v>
      </c>
      <c r="D1622" s="6" t="str">
        <f ca="1">IFERROR(__xludf.DUMMYFUNCTION("""COMPUTED_VALUE"""),"TALAGANTE")</f>
        <v>TALAGANTE</v>
      </c>
    </row>
    <row r="1623" spans="1:4">
      <c r="A1623" s="7">
        <f ca="1">IFERROR(__xludf.DUMMYFUNCTION("""COMPUTED_VALUE"""),44061)</f>
        <v>44061</v>
      </c>
      <c r="B1623" s="6" t="str">
        <f ca="1">IFERROR(__xludf.DUMMYFUNCTION("""COMPUTED_VALUE"""),"-33.601299-70.885788")</f>
        <v>-33.601299-70.885788</v>
      </c>
      <c r="C1623" s="6" t="str">
        <f ca="1">IFERROR(__xludf.DUMMYFUNCTION("""COMPUTED_VALUE"""),"PEDRO AGUIRRE CERDA 2929")</f>
        <v>PEDRO AGUIRRE CERDA 2929</v>
      </c>
      <c r="D1623" s="6" t="str">
        <f ca="1">IFERROR(__xludf.DUMMYFUNCTION("""COMPUTED_VALUE"""),"PEÑAFLOR")</f>
        <v>PEÑAFLOR</v>
      </c>
    </row>
    <row r="1624" spans="1:4">
      <c r="A1624" s="7">
        <f ca="1">IFERROR(__xludf.DUMMYFUNCTION("""COMPUTED_VALUE"""),44061)</f>
        <v>44061</v>
      </c>
      <c r="B1624" s="6" t="str">
        <f ca="1">IFERROR(__xludf.DUMMYFUNCTION("""COMPUTED_VALUE"""),"-33.576620-70.805942")</f>
        <v>-33.576620-70.805942</v>
      </c>
      <c r="C1624" s="6" t="str">
        <f ca="1">IFERROR(__xludf.DUMMYFUNCTION("""COMPUTED_VALUE"""),"PJE. TIRINEO 1272")</f>
        <v>PJE. TIRINEO 1272</v>
      </c>
      <c r="D1624" s="6" t="str">
        <f ca="1">IFERROR(__xludf.DUMMYFUNCTION("""COMPUTED_VALUE"""),"PADRE HURTADO")</f>
        <v>PADRE HURTADO</v>
      </c>
    </row>
    <row r="1625" spans="1:4">
      <c r="A1625" s="7">
        <f ca="1">IFERROR(__xludf.DUMMYFUNCTION("""COMPUTED_VALUE"""),44061)</f>
        <v>44061</v>
      </c>
      <c r="B1625" s="6" t="str">
        <f ca="1">IFERROR(__xludf.DUMMYFUNCTION("""COMPUTED_VALUE"""),"-33.291732 - 70.869230")</f>
        <v>-33.291732 - 70.869230</v>
      </c>
      <c r="C1625" s="6" t="str">
        <f ca="1">IFERROR(__xludf.DUMMYFUNCTION("""COMPUTED_VALUE"""),"PJE EL HUEMUL 1925")</f>
        <v>PJE EL HUEMUL 1925</v>
      </c>
      <c r="D1625" s="6" t="str">
        <f ca="1">IFERROR(__xludf.DUMMYFUNCTION("""COMPUTED_VALUE"""),"LAMPA")</f>
        <v>LAMPA</v>
      </c>
    </row>
    <row r="1626" spans="1:4">
      <c r="A1626" s="7">
        <f ca="1">IFERROR(__xludf.DUMMYFUNCTION("""COMPUTED_VALUE"""),44061)</f>
        <v>44061</v>
      </c>
      <c r="B1626" s="8" t="str">
        <f ca="1">IFERROR(__xludf.DUMMYFUNCTION("""COMPUTED_VALUE"""),"-33.304159,-70.695592")</f>
        <v>-33.304159,-70.695592</v>
      </c>
      <c r="C1626" s="6" t="str">
        <f ca="1">IFERROR(__xludf.DUMMYFUNCTION("""COMPUTED_VALUE"""),"CAMINO DEL MUSICO NORTE 10356")</f>
        <v>CAMINO DEL MUSICO NORTE 10356</v>
      </c>
      <c r="D1626" s="6" t="str">
        <f ca="1">IFERROR(__xludf.DUMMYFUNCTION("""COMPUTED_VALUE"""),"COLINA")</f>
        <v>COLINA</v>
      </c>
    </row>
    <row r="1627" spans="1:4">
      <c r="A1627" s="7">
        <f ca="1">IFERROR(__xludf.DUMMYFUNCTION("""COMPUTED_VALUE"""),44061)</f>
        <v>44061</v>
      </c>
      <c r="B1627" s="8" t="str">
        <f ca="1">IFERROR(__xludf.DUMMYFUNCTION("""COMPUTED_VALUE"""),"33.238790,-70.699038")</f>
        <v>33.238790,-70.699038</v>
      </c>
      <c r="C1627" s="6" t="str">
        <f ca="1">IFERROR(__xludf.DUMMYFUNCTION("""COMPUTED_VALUE"""),"CONDOMINIO SAN JAIME CASA 11A")</f>
        <v>CONDOMINIO SAN JAIME CASA 11A</v>
      </c>
      <c r="D1627" s="6" t="str">
        <f ca="1">IFERROR(__xludf.DUMMYFUNCTION("""COMPUTED_VALUE"""),"COLINA")</f>
        <v>COLINA</v>
      </c>
    </row>
    <row r="1628" spans="1:4">
      <c r="A1628" s="7">
        <f ca="1">IFERROR(__xludf.DUMMYFUNCTION("""COMPUTED_VALUE"""),44062)</f>
        <v>44062</v>
      </c>
      <c r="B1628" s="8" t="str">
        <f ca="1">IFERROR(__xludf.DUMMYFUNCTION("""COMPUTED_VALUE"""),"-33.505728,-71.148531")</f>
        <v>-33.505728,-71.148531</v>
      </c>
      <c r="C1628" s="6" t="str">
        <f ca="1">IFERROR(__xludf.DUMMYFUNCTION("""COMPUTED_VALUE"""),"EL ROSARIO S/N SITIO 34")</f>
        <v>EL ROSARIO S/N SITIO 34</v>
      </c>
      <c r="D1628" s="6" t="str">
        <f ca="1">IFERROR(__xludf.DUMMYFUNCTION("""COMPUTED_VALUE"""),"MARIA PINTO")</f>
        <v>MARIA PINTO</v>
      </c>
    </row>
    <row r="1629" spans="1:4">
      <c r="A1629" s="7">
        <f ca="1">IFERROR(__xludf.DUMMYFUNCTION("""COMPUTED_VALUE"""),44062)</f>
        <v>44062</v>
      </c>
      <c r="B1629" s="6" t="str">
        <f ca="1">IFERROR(__xludf.DUMMYFUNCTION("""COMPUTED_VALUE"""),"33.602040-70.868008")</f>
        <v>33.602040-70.868008</v>
      </c>
      <c r="C1629" s="6" t="str">
        <f ca="1">IFERROR(__xludf.DUMMYFUNCTION("""COMPUTED_VALUE"""),"ROSALES 1855")</f>
        <v>ROSALES 1855</v>
      </c>
      <c r="D1629" s="6" t="str">
        <f ca="1">IFERROR(__xludf.DUMMYFUNCTION("""COMPUTED_VALUE"""),"PEÑAFLOR")</f>
        <v>PEÑAFLOR</v>
      </c>
    </row>
    <row r="1630" spans="1:4">
      <c r="A1630" s="7">
        <f ca="1">IFERROR(__xludf.DUMMYFUNCTION("""COMPUTED_VALUE"""),44062)</f>
        <v>44062</v>
      </c>
      <c r="B1630" s="6" t="str">
        <f ca="1">IFERROR(__xludf.DUMMYFUNCTION("""COMPUTED_VALUE"""),"-33.5995775-70.8911874")</f>
        <v>-33.5995775-70.8911874</v>
      </c>
      <c r="C1630" s="6" t="str">
        <f ca="1">IFERROR(__xludf.DUMMYFUNCTION("""COMPUTED_VALUE"""),"CONVENTO 3970")</f>
        <v>CONVENTO 3970</v>
      </c>
      <c r="D1630" s="6" t="str">
        <f ca="1">IFERROR(__xludf.DUMMYFUNCTION("""COMPUTED_VALUE"""),"PEÑAFLOR")</f>
        <v>PEÑAFLOR</v>
      </c>
    </row>
    <row r="1631" spans="1:4">
      <c r="A1631" s="7">
        <f ca="1">IFERROR(__xludf.DUMMYFUNCTION("""COMPUTED_VALUE"""),44062)</f>
        <v>44062</v>
      </c>
      <c r="B1631" s="6" t="str">
        <f ca="1">IFERROR(__xludf.DUMMYFUNCTION("""COMPUTED_VALUE"""),"33.602040-70.868008")</f>
        <v>33.602040-70.868008</v>
      </c>
      <c r="C1631" s="6" t="str">
        <f ca="1">IFERROR(__xludf.DUMMYFUNCTION("""COMPUTED_VALUE"""),"ROSALES 1855")</f>
        <v>ROSALES 1855</v>
      </c>
      <c r="D1631" s="6" t="str">
        <f ca="1">IFERROR(__xludf.DUMMYFUNCTION("""COMPUTED_VALUE"""),"PEÑAFLOR")</f>
        <v>PEÑAFLOR</v>
      </c>
    </row>
    <row r="1632" spans="1:4">
      <c r="A1632" s="7">
        <f ca="1">IFERROR(__xludf.DUMMYFUNCTION("""COMPUTED_VALUE"""),44062)</f>
        <v>44062</v>
      </c>
      <c r="B1632" s="6" t="str">
        <f ca="1">IFERROR(__xludf.DUMMYFUNCTION("""COMPUTED_VALUE"""),"-33.455085-71.028751")</f>
        <v>-33.455085-71.028751</v>
      </c>
      <c r="C1632" s="6" t="str">
        <f ca="1">IFERROR(__xludf.DUMMYFUNCTION("""COMPUTED_VALUE"""),"BATALLA SAN JUAN SITIO 23")</f>
        <v>BATALLA SAN JUAN SITIO 23</v>
      </c>
      <c r="D1632" s="6" t="str">
        <f ca="1">IFERROR(__xludf.DUMMYFUNCTION("""COMPUTED_VALUE"""),"CURACAVI")</f>
        <v>CURACAVI</v>
      </c>
    </row>
    <row r="1633" spans="1:4">
      <c r="A1633" s="7">
        <f ca="1">IFERROR(__xludf.DUMMYFUNCTION("""COMPUTED_VALUE"""),44062)</f>
        <v>44062</v>
      </c>
      <c r="B1633" s="6" t="str">
        <f ca="1">IFERROR(__xludf.DUMMYFUNCTION("""COMPUTED_VALUE"""),"-33.439684-71.032564")</f>
        <v>-33.439684-71.032564</v>
      </c>
      <c r="C1633" s="6" t="str">
        <f ca="1">IFERROR(__xludf.DUMMYFUNCTION("""COMPUTED_VALUE"""),"UNION SAN JOSE 2 P15 LOTE 4")</f>
        <v>UNION SAN JOSE 2 P15 LOTE 4</v>
      </c>
      <c r="D1633" s="6" t="str">
        <f ca="1">IFERROR(__xludf.DUMMYFUNCTION("""COMPUTED_VALUE"""),"CURACAVI")</f>
        <v>CURACAVI</v>
      </c>
    </row>
    <row r="1634" spans="1:4">
      <c r="A1634" s="7">
        <f ca="1">IFERROR(__xludf.DUMMYFUNCTION("""COMPUTED_VALUE"""),44062)</f>
        <v>44062</v>
      </c>
      <c r="B1634" s="6" t="str">
        <f ca="1">IFERROR(__xludf.DUMMYFUNCTION("""COMPUTED_VALUE"""),"-33.432222-71.032633")</f>
        <v>-33.432222-71.032633</v>
      </c>
      <c r="C1634" s="6" t="str">
        <f ca="1">IFERROR(__xludf.DUMMYFUNCTION("""COMPUTED_VALUE"""),"KM 39,5 RUTA 68")</f>
        <v>KM 39,5 RUTA 68</v>
      </c>
      <c r="D1634" s="6" t="str">
        <f ca="1">IFERROR(__xludf.DUMMYFUNCTION("""COMPUTED_VALUE"""),"CURACAVI")</f>
        <v>CURACAVI</v>
      </c>
    </row>
    <row r="1635" spans="1:4">
      <c r="A1635" s="7">
        <f ca="1">IFERROR(__xludf.DUMMYFUNCTION("""COMPUTED_VALUE"""),44062)</f>
        <v>44062</v>
      </c>
      <c r="B1635" s="6" t="str">
        <f ca="1">IFERROR(__xludf.DUMMYFUNCTION("""COMPUTED_VALUE"""),"-33.392338-71.128481")</f>
        <v>-33.392338-71.128481</v>
      </c>
      <c r="C1635" s="6" t="str">
        <f ca="1">IFERROR(__xludf.DUMMYFUNCTION("""COMPUTED_VALUE"""),"CINCO NORTE 1981")</f>
        <v>CINCO NORTE 1981</v>
      </c>
      <c r="D1635" s="6" t="str">
        <f ca="1">IFERROR(__xludf.DUMMYFUNCTION("""COMPUTED_VALUE"""),"CURACAVI")</f>
        <v>CURACAVI</v>
      </c>
    </row>
    <row r="1636" spans="1:4">
      <c r="A1636" s="7">
        <f ca="1">IFERROR(__xludf.DUMMYFUNCTION("""COMPUTED_VALUE"""),44062)</f>
        <v>44062</v>
      </c>
      <c r="B1636" s="6" t="str">
        <f ca="1">IFERROR(__xludf.DUMMYFUNCTION("""COMPUTED_VALUE"""),"-33.4161-71.1552")</f>
        <v>-33.4161-71.1552</v>
      </c>
      <c r="C1636" s="6" t="str">
        <f ca="1">IFERROR(__xludf.DUMMYFUNCTION("""COMPUTED_VALUE"""),"JOSE RAMON ARMAZAN 347")</f>
        <v>JOSE RAMON ARMAZAN 347</v>
      </c>
      <c r="D1636" s="6" t="str">
        <f ca="1">IFERROR(__xludf.DUMMYFUNCTION("""COMPUTED_VALUE"""),"CURACAVI")</f>
        <v>CURACAVI</v>
      </c>
    </row>
    <row r="1637" spans="1:4">
      <c r="A1637" s="7">
        <f ca="1">IFERROR(__xludf.DUMMYFUNCTION("""COMPUTED_VALUE"""),44062)</f>
        <v>44062</v>
      </c>
      <c r="B1637" s="6" t="str">
        <f ca="1">IFERROR(__xludf.DUMMYFUNCTION("""COMPUTED_VALUE"""),"-33.4220-71.0435")</f>
        <v>-33.4220-71.0435</v>
      </c>
      <c r="C1637" s="6" t="str">
        <f ca="1">IFERROR(__xludf.DUMMYFUNCTION("""COMPUTED_VALUE"""),"UNION SAN JOSE S/N LOTE 5 SITIO 25")</f>
        <v>UNION SAN JOSE S/N LOTE 5 SITIO 25</v>
      </c>
      <c r="D1637" s="6" t="str">
        <f ca="1">IFERROR(__xludf.DUMMYFUNCTION("""COMPUTED_VALUE"""),"CURACAVI")</f>
        <v>CURACAVI</v>
      </c>
    </row>
    <row r="1638" spans="1:4">
      <c r="A1638" s="7">
        <f ca="1">IFERROR(__xludf.DUMMYFUNCTION("""COMPUTED_VALUE"""),44062)</f>
        <v>44062</v>
      </c>
      <c r="B1638" s="6" t="str">
        <f ca="1">IFERROR(__xludf.DUMMYFUNCTION("""COMPUTED_VALUE"""),"-33.211143 - 70.682990")</f>
        <v>-33.211143 - 70.682990</v>
      </c>
      <c r="C1638" s="6" t="str">
        <f ca="1">IFERROR(__xludf.DUMMYFUNCTION("""COMPUTED_VALUE"""),"JULIO MONTT 0256")</f>
        <v>JULIO MONTT 0256</v>
      </c>
      <c r="D1638" s="6" t="str">
        <f ca="1">IFERROR(__xludf.DUMMYFUNCTION("""COMPUTED_VALUE"""),"COLINA")</f>
        <v>COLINA</v>
      </c>
    </row>
    <row r="1639" spans="1:4">
      <c r="A1639" s="7">
        <f ca="1">IFERROR(__xludf.DUMMYFUNCTION("""COMPUTED_VALUE"""),44062)</f>
        <v>44062</v>
      </c>
      <c r="B1639" s="6" t="str">
        <f ca="1">IFERROR(__xludf.DUMMYFUNCTION("""COMPUTED_VALUE"""),"-33.211143 - 70.682990")</f>
        <v>-33.211143 - 70.682990</v>
      </c>
      <c r="C1639" s="6" t="str">
        <f ca="1">IFERROR(__xludf.DUMMYFUNCTION("""COMPUTED_VALUE"""),"JULIO MONTT 0256")</f>
        <v>JULIO MONTT 0256</v>
      </c>
      <c r="D1639" s="6" t="str">
        <f ca="1">IFERROR(__xludf.DUMMYFUNCTION("""COMPUTED_VALUE"""),"COLINA")</f>
        <v>COLINA</v>
      </c>
    </row>
    <row r="1640" spans="1:4">
      <c r="A1640" s="7">
        <f ca="1">IFERROR(__xludf.DUMMYFUNCTION("""COMPUTED_VALUE"""),44062)</f>
        <v>44062</v>
      </c>
      <c r="B1640" s="6" t="str">
        <f ca="1">IFERROR(__xludf.DUMMYFUNCTION("""COMPUTED_VALUE"""),"-33.211143 - 70.682990")</f>
        <v>-33.211143 - 70.682990</v>
      </c>
      <c r="C1640" s="6" t="str">
        <f ca="1">IFERROR(__xludf.DUMMYFUNCTION("""COMPUTED_VALUE"""),"JULIO MONTT 0256")</f>
        <v>JULIO MONTT 0256</v>
      </c>
      <c r="D1640" s="6" t="str">
        <f ca="1">IFERROR(__xludf.DUMMYFUNCTION("""COMPUTED_VALUE"""),"COLINA")</f>
        <v>COLINA</v>
      </c>
    </row>
    <row r="1641" spans="1:4">
      <c r="A1641" s="7">
        <f ca="1">IFERROR(__xludf.DUMMYFUNCTION("""COMPUTED_VALUE"""),44062)</f>
        <v>44062</v>
      </c>
      <c r="B1641" s="8" t="str">
        <f ca="1">IFERROR(__xludf.DUMMYFUNCTION("""COMPUTED_VALUE"""),"-33.759888,-71.312204")</f>
        <v>-33.759888,-71.312204</v>
      </c>
      <c r="C1641" s="6" t="str">
        <f ca="1">IFERROR(__xludf.DUMMYFUNCTION("""COMPUTED_VALUE"""),"CANCHA DE CARRERAS, CODIGUA.")</f>
        <v>CANCHA DE CARRERAS, CODIGUA.</v>
      </c>
      <c r="D1641" s="6" t="str">
        <f ca="1">IFERROR(__xludf.DUMMYFUNCTION("""COMPUTED_VALUE"""),"MELIPILLA")</f>
        <v>MELIPILLA</v>
      </c>
    </row>
    <row r="1642" spans="1:4">
      <c r="A1642" s="7">
        <f ca="1">IFERROR(__xludf.DUMMYFUNCTION("""COMPUTED_VALUE"""),44062)</f>
        <v>44062</v>
      </c>
      <c r="B1642" s="8" t="str">
        <f ca="1">IFERROR(__xludf.DUMMYFUNCTION("""COMPUTED_VALUE"""),"-33.759888,-71.312204")</f>
        <v>-33.759888,-71.312204</v>
      </c>
      <c r="C1642" s="6" t="str">
        <f ca="1">IFERROR(__xludf.DUMMYFUNCTION("""COMPUTED_VALUE"""),"CANCHA DE CARRERAS, CODIGUA.")</f>
        <v>CANCHA DE CARRERAS, CODIGUA.</v>
      </c>
      <c r="D1642" s="6" t="str">
        <f ca="1">IFERROR(__xludf.DUMMYFUNCTION("""COMPUTED_VALUE"""),"MELIPILLA")</f>
        <v>MELIPILLA</v>
      </c>
    </row>
    <row r="1643" spans="1:4">
      <c r="A1643" s="7">
        <f ca="1">IFERROR(__xludf.DUMMYFUNCTION("""COMPUTED_VALUE"""),44062)</f>
        <v>44062</v>
      </c>
      <c r="B1643" s="8" t="str">
        <f ca="1">IFERROR(__xludf.DUMMYFUNCTION("""COMPUTED_VALUE"""),"-33.675282,-71.210005")</f>
        <v>-33.675282,-71.210005</v>
      </c>
      <c r="C1643" s="6" t="str">
        <f ca="1">IFERROR(__xludf.DUMMYFUNCTION("""COMPUTED_VALUE"""),"OSTALAZAS 217 C")</f>
        <v>OSTALAZAS 217 C</v>
      </c>
      <c r="D1643" s="6" t="str">
        <f ca="1">IFERROR(__xludf.DUMMYFUNCTION("""COMPUTED_VALUE"""),"MELIPILLA")</f>
        <v>MELIPILLA</v>
      </c>
    </row>
    <row r="1644" spans="1:4">
      <c r="A1644" s="7">
        <f ca="1">IFERROR(__xludf.DUMMYFUNCTION("""COMPUTED_VALUE"""),44063)</f>
        <v>44063</v>
      </c>
      <c r="B1644" s="8" t="str">
        <f ca="1">IFERROR(__xludf.DUMMYFUNCTION("""COMPUTED_VALUE"""),"-33559433,-70.824390")</f>
        <v>-33559433,-70.824390</v>
      </c>
      <c r="C1644" s="6" t="str">
        <f ca="1">IFERROR(__xludf.DUMMYFUNCTION("""COMPUTED_VALUE"""),"PASAJE LAS HUIRAS 2407")</f>
        <v>PASAJE LAS HUIRAS 2407</v>
      </c>
      <c r="D1644" s="6" t="str">
        <f ca="1">IFERROR(__xludf.DUMMYFUNCTION("""COMPUTED_VALUE"""),"PADRE HURTADO")</f>
        <v>PADRE HURTADO</v>
      </c>
    </row>
    <row r="1645" spans="1:4">
      <c r="A1645" s="7">
        <f ca="1">IFERROR(__xludf.DUMMYFUNCTION("""COMPUTED_VALUE"""),44063)</f>
        <v>44063</v>
      </c>
      <c r="B1645" s="8" t="str">
        <f ca="1">IFERROR(__xludf.DUMMYFUNCTION("""COMPUTED_VALUE"""),"-33.727505,-70.724937")</f>
        <v>-33.727505,-70.724937</v>
      </c>
      <c r="C1645" s="6" t="str">
        <f ca="1">IFERROR(__xludf.DUMMYFUNCTION("""COMPUTED_VALUE"""),"MIGUEL CASTRO BUIN 151")</f>
        <v>MIGUEL CASTRO BUIN 151</v>
      </c>
      <c r="D1645" s="6" t="str">
        <f ca="1">IFERROR(__xludf.DUMMYFUNCTION("""COMPUTED_VALUE"""),"BUIN")</f>
        <v>BUIN</v>
      </c>
    </row>
    <row r="1646" spans="1:4">
      <c r="A1646" s="7">
        <f ca="1">IFERROR(__xludf.DUMMYFUNCTION("""COMPUTED_VALUE"""),44063)</f>
        <v>44063</v>
      </c>
      <c r="B1646" s="8" t="str">
        <f ca="1">IFERROR(__xludf.DUMMYFUNCTION("""COMPUTED_VALUE"""),"-33.484987,-71.140629")</f>
        <v>-33.484987,-71.140629</v>
      </c>
      <c r="C1646" s="6" t="str">
        <f ca="1">IFERROR(__xludf.DUMMYFUNCTION("""COMPUTED_VALUE"""),"EL BOSQUE SITIO 9")</f>
        <v>EL BOSQUE SITIO 9</v>
      </c>
      <c r="D1646" s="6" t="str">
        <f ca="1">IFERROR(__xludf.DUMMYFUNCTION("""COMPUTED_VALUE"""),"MARIA PINTO")</f>
        <v>MARIA PINTO</v>
      </c>
    </row>
    <row r="1647" spans="1:4">
      <c r="A1647" s="7">
        <f ca="1">IFERROR(__xludf.DUMMYFUNCTION("""COMPUTED_VALUE"""),44063)</f>
        <v>44063</v>
      </c>
      <c r="B1647" s="8" t="str">
        <f ca="1">IFERROR(__xludf.DUMMYFUNCTION("""COMPUTED_VALUE"""),"-33.485005,-71.140424")</f>
        <v>-33.485005,-71.140424</v>
      </c>
      <c r="C1647" s="6" t="str">
        <f ca="1">IFERROR(__xludf.DUMMYFUNCTION("""COMPUTED_VALUE"""),"EL BOSQUE S/N ")</f>
        <v xml:space="preserve">EL BOSQUE S/N </v>
      </c>
      <c r="D1647" s="6" t="str">
        <f ca="1">IFERROR(__xludf.DUMMYFUNCTION("""COMPUTED_VALUE"""),"MARIA PINTO")</f>
        <v>MARIA PINTO</v>
      </c>
    </row>
    <row r="1648" spans="1:4">
      <c r="A1648" s="7">
        <f ca="1">IFERROR(__xludf.DUMMYFUNCTION("""COMPUTED_VALUE"""),44063)</f>
        <v>44063</v>
      </c>
      <c r="B1648" s="6" t="str">
        <f ca="1">IFERROR(__xludf.DUMMYFUNCTION("""COMPUTED_VALUE"""),"-33.6129873-70.8913685")</f>
        <v>-33.6129873-70.8913685</v>
      </c>
      <c r="C1648" s="6" t="str">
        <f ca="1">IFERROR(__xludf.DUMMYFUNCTION("""COMPUTED_VALUE"""),"PJE UNO 2480")</f>
        <v>PJE UNO 2480</v>
      </c>
      <c r="D1648" s="6" t="str">
        <f ca="1">IFERROR(__xludf.DUMMYFUNCTION("""COMPUTED_VALUE"""),"PEÑAFLOR")</f>
        <v>PEÑAFLOR</v>
      </c>
    </row>
    <row r="1649" spans="1:4">
      <c r="A1649" s="7">
        <f ca="1">IFERROR(__xludf.DUMMYFUNCTION("""COMPUTED_VALUE"""),44063)</f>
        <v>44063</v>
      </c>
      <c r="B1649" s="6" t="str">
        <f ca="1">IFERROR(__xludf.DUMMYFUNCTION("""COMPUTED_VALUE"""),"-33.603694-70.895749")</f>
        <v>-33.603694-70.895749</v>
      </c>
      <c r="C1649" s="6" t="str">
        <f ca="1">IFERROR(__xludf.DUMMYFUNCTION("""COMPUTED_VALUE"""),"LOS PATOS 41")</f>
        <v>LOS PATOS 41</v>
      </c>
      <c r="D1649" s="6" t="str">
        <f ca="1">IFERROR(__xludf.DUMMYFUNCTION("""COMPUTED_VALUE"""),"PEÑAFLOR")</f>
        <v>PEÑAFLOR</v>
      </c>
    </row>
    <row r="1650" spans="1:4">
      <c r="A1650" s="7">
        <f ca="1">IFERROR(__xludf.DUMMYFUNCTION("""COMPUTED_VALUE"""),44063)</f>
        <v>44063</v>
      </c>
      <c r="B1650" s="6" t="str">
        <f ca="1">IFERROR(__xludf.DUMMYFUNCTION("""COMPUTED_VALUE"""),"-33.209782 - 70.689360")</f>
        <v>-33.209782 - 70.689360</v>
      </c>
      <c r="C1650" s="6" t="str">
        <f ca="1">IFERROR(__xludf.DUMMYFUNCTION("""COMPUTED_VALUE"""),"SAN MIGUEL 922")</f>
        <v>SAN MIGUEL 922</v>
      </c>
      <c r="D1650" s="6" t="str">
        <f ca="1">IFERROR(__xludf.DUMMYFUNCTION("""COMPUTED_VALUE"""),"COLINA")</f>
        <v>COLINA</v>
      </c>
    </row>
    <row r="1651" spans="1:4">
      <c r="A1651" s="7">
        <f ca="1">IFERROR(__xludf.DUMMYFUNCTION("""COMPUTED_VALUE"""),44063)</f>
        <v>44063</v>
      </c>
      <c r="B1651" s="6" t="str">
        <f ca="1">IFERROR(__xludf.DUMMYFUNCTION("""COMPUTED_VALUE"""),"-33.209782 - 70.689360")</f>
        <v>-33.209782 - 70.689360</v>
      </c>
      <c r="C1651" s="6" t="str">
        <f ca="1">IFERROR(__xludf.DUMMYFUNCTION("""COMPUTED_VALUE"""),"SAN MIGUEL 922")</f>
        <v>SAN MIGUEL 922</v>
      </c>
      <c r="D1651" s="6" t="str">
        <f ca="1">IFERROR(__xludf.DUMMYFUNCTION("""COMPUTED_VALUE"""),"COLINA")</f>
        <v>COLINA</v>
      </c>
    </row>
    <row r="1652" spans="1:4">
      <c r="A1652" s="7">
        <f ca="1">IFERROR(__xludf.DUMMYFUNCTION("""COMPUTED_VALUE"""),44063)</f>
        <v>44063</v>
      </c>
      <c r="B1652" s="6" t="str">
        <f ca="1">IFERROR(__xludf.DUMMYFUNCTION("""COMPUTED_VALUE"""),"-33.210770 - 70.682179")</f>
        <v>-33.210770 - 70.682179</v>
      </c>
      <c r="C1652" s="6" t="str">
        <f ca="1">IFERROR(__xludf.DUMMYFUNCTION("""COMPUTED_VALUE"""),"A.PEREZ C. 0176")</f>
        <v>A.PEREZ C. 0176</v>
      </c>
      <c r="D1652" s="6" t="str">
        <f ca="1">IFERROR(__xludf.DUMMYFUNCTION("""COMPUTED_VALUE"""),"COLINA")</f>
        <v>COLINA</v>
      </c>
    </row>
    <row r="1653" spans="1:4">
      <c r="A1653" s="7">
        <f ca="1">IFERROR(__xludf.DUMMYFUNCTION("""COMPUTED_VALUE"""),44063)</f>
        <v>44063</v>
      </c>
      <c r="B1653" s="8" t="str">
        <f ca="1">IFERROR(__xludf.DUMMYFUNCTION("""COMPUTED_VALUE"""),"-33.304321,-70.695439")</f>
        <v>-33.304321,-70.695439</v>
      </c>
      <c r="C1653" s="6" t="str">
        <f ca="1">IFERROR(__xludf.DUMMYFUNCTION("""COMPUTED_VALUE"""),"CAMINO DEL MUSICO NORTE")</f>
        <v>CAMINO DEL MUSICO NORTE</v>
      </c>
      <c r="D1653" s="6" t="str">
        <f ca="1">IFERROR(__xludf.DUMMYFUNCTION("""COMPUTED_VALUE"""),"COLINA")</f>
        <v>COLINA</v>
      </c>
    </row>
    <row r="1654" spans="1:4">
      <c r="A1654" s="7">
        <f ca="1">IFERROR(__xludf.DUMMYFUNCTION("""COMPUTED_VALUE"""),44064)</f>
        <v>44064</v>
      </c>
      <c r="B1654" s="8" t="str">
        <f ca="1">IFERROR(__xludf.DUMMYFUNCTION("""COMPUTED_VALUE"""),"-33.539725,-71.225069")</f>
        <v>-33.539725,-71.225069</v>
      </c>
      <c r="C1654" s="6" t="str">
        <f ca="1">IFERROR(__xludf.DUMMYFUNCTION("""COMPUTED_VALUE"""),"CHOROMBO BAJO PARCELA 33")</f>
        <v>CHOROMBO BAJO PARCELA 33</v>
      </c>
      <c r="D1654" s="6" t="str">
        <f ca="1">IFERROR(__xludf.DUMMYFUNCTION("""COMPUTED_VALUE"""),"MARIA PINTO")</f>
        <v>MARIA PINTO</v>
      </c>
    </row>
    <row r="1655" spans="1:4">
      <c r="A1655" s="7">
        <f ca="1">IFERROR(__xludf.DUMMYFUNCTION("""COMPUTED_VALUE"""),44064)</f>
        <v>44064</v>
      </c>
      <c r="B1655" s="8" t="str">
        <f ca="1">IFERROR(__xludf.DUMMYFUNCTION("""COMPUTED_VALUE"""),"-33.467129,-71.105054")</f>
        <v>-33.467129,-71.105054</v>
      </c>
      <c r="C1655" s="6" t="str">
        <f ca="1">IFERROR(__xludf.DUMMYFUNCTION("""COMPUTED_VALUE"""),"PASAJE CALLEJON EL AROMO S/N")</f>
        <v>PASAJE CALLEJON EL AROMO S/N</v>
      </c>
      <c r="D1655" s="6" t="str">
        <f ca="1">IFERROR(__xludf.DUMMYFUNCTION("""COMPUTED_VALUE"""),"MARIA PINTO")</f>
        <v>MARIA PINTO</v>
      </c>
    </row>
    <row r="1656" spans="1:4">
      <c r="A1656" s="7">
        <f ca="1">IFERROR(__xludf.DUMMYFUNCTION("""COMPUTED_VALUE"""),44064)</f>
        <v>44064</v>
      </c>
      <c r="B1656" s="8" t="str">
        <f ca="1">IFERROR(__xludf.DUMMYFUNCTION("""COMPUTED_VALUE"""),"-33.508584,-71.146918")</f>
        <v>-33.508584,-71.146918</v>
      </c>
      <c r="C1656" s="6" t="str">
        <f ca="1">IFERROR(__xludf.DUMMYFUNCTION("""COMPUTED_VALUE"""),"EL ROSARIO S/N SITIO 19")</f>
        <v>EL ROSARIO S/N SITIO 19</v>
      </c>
      <c r="D1656" s="6" t="str">
        <f ca="1">IFERROR(__xludf.DUMMYFUNCTION("""COMPUTED_VALUE"""),"MARIA PINTO")</f>
        <v>MARIA PINTO</v>
      </c>
    </row>
    <row r="1657" spans="1:4">
      <c r="A1657" s="7">
        <f ca="1">IFERROR(__xludf.DUMMYFUNCTION("""COMPUTED_VALUE"""),44064)</f>
        <v>44064</v>
      </c>
      <c r="B1657" s="8" t="str">
        <f ca="1">IFERROR(__xludf.DUMMYFUNCTION("""COMPUTED_VALUE"""),"-33.651275,-70.928916")</f>
        <v>-33.651275,-70.928916</v>
      </c>
      <c r="C1657" s="6" t="str">
        <f ca="1">IFERROR(__xludf.DUMMYFUNCTION("""COMPUTED_VALUE"""),"MANUEL RODRIGUEZ 41")</f>
        <v>MANUEL RODRIGUEZ 41</v>
      </c>
      <c r="D1657" s="6" t="str">
        <f ca="1">IFERROR(__xludf.DUMMYFUNCTION("""COMPUTED_VALUE"""),"TALAGANTE")</f>
        <v>TALAGANTE</v>
      </c>
    </row>
    <row r="1658" spans="1:4">
      <c r="A1658" s="7">
        <f ca="1">IFERROR(__xludf.DUMMYFUNCTION("""COMPUTED_VALUE"""),44064)</f>
        <v>44064</v>
      </c>
      <c r="B1658" s="8" t="str">
        <f ca="1">IFERROR(__xludf.DUMMYFUNCTION("""COMPUTED_VALUE"""),"-33.574597,-70.810643")</f>
        <v>-33.574597,-70.810643</v>
      </c>
      <c r="C1658" s="6" t="str">
        <f ca="1">IFERROR(__xludf.DUMMYFUNCTION("""COMPUTED_VALUE"""),"PRIMERA TRANSVERSAL 2377")</f>
        <v>PRIMERA TRANSVERSAL 2377</v>
      </c>
      <c r="D1658" s="6" t="str">
        <f ca="1">IFERROR(__xludf.DUMMYFUNCTION("""COMPUTED_VALUE"""),"PADRE HURTADO")</f>
        <v>PADRE HURTADO</v>
      </c>
    </row>
    <row r="1659" spans="1:4">
      <c r="A1659" s="7">
        <f ca="1">IFERROR(__xludf.DUMMYFUNCTION("""COMPUTED_VALUE"""),44064)</f>
        <v>44064</v>
      </c>
      <c r="B1659" s="6" t="str">
        <f ca="1">IFERROR(__xludf.DUMMYFUNCTION("""COMPUTED_VALUE"""),"-33.606060-70.883181")</f>
        <v>-33.606060-70.883181</v>
      </c>
      <c r="C1659" s="6" t="str">
        <f ca="1">IFERROR(__xludf.DUMMYFUNCTION("""COMPUTED_VALUE"""),"SANTA ROSA 953")</f>
        <v>SANTA ROSA 953</v>
      </c>
      <c r="D1659" s="6" t="str">
        <f ca="1">IFERROR(__xludf.DUMMYFUNCTION("""COMPUTED_VALUE"""),"PEÑAFLOR")</f>
        <v>PEÑAFLOR</v>
      </c>
    </row>
    <row r="1660" spans="1:4">
      <c r="A1660" s="7">
        <f ca="1">IFERROR(__xludf.DUMMYFUNCTION("""COMPUTED_VALUE"""),44064)</f>
        <v>44064</v>
      </c>
      <c r="B1660" s="6" t="str">
        <f ca="1">IFERROR(__xludf.DUMMYFUNCTION("""COMPUTED_VALUE"""),"-33.596874-70.877772")</f>
        <v>-33.596874-70.877772</v>
      </c>
      <c r="C1660" s="6" t="str">
        <f ca="1">IFERROR(__xludf.DUMMYFUNCTION("""COMPUTED_VALUE"""),"PJE. FRANCISCO ESPINOZA 2573")</f>
        <v>PJE. FRANCISCO ESPINOZA 2573</v>
      </c>
      <c r="D1660" s="6" t="str">
        <f ca="1">IFERROR(__xludf.DUMMYFUNCTION("""COMPUTED_VALUE"""),"PEÑAFLOR")</f>
        <v>PEÑAFLOR</v>
      </c>
    </row>
    <row r="1661" spans="1:4">
      <c r="A1661" s="7">
        <f ca="1">IFERROR(__xludf.DUMMYFUNCTION("""COMPUTED_VALUE"""),44064)</f>
        <v>44064</v>
      </c>
      <c r="B1661" s="6" t="str">
        <f ca="1">IFERROR(__xludf.DUMMYFUNCTION("""COMPUTED_VALUE"""),"-33.460808-71.024049")</f>
        <v>-33.460808-71.024049</v>
      </c>
      <c r="C1661" s="6" t="str">
        <f ca="1">IFERROR(__xludf.DUMMYFUNCTION("""COMPUTED_VALUE"""),"SAN JUAN SITIO 1 P10")</f>
        <v>SAN JUAN SITIO 1 P10</v>
      </c>
      <c r="D1661" s="6" t="str">
        <f ca="1">IFERROR(__xludf.DUMMYFUNCTION("""COMPUTED_VALUE"""),"CURACAVI")</f>
        <v>CURACAVI</v>
      </c>
    </row>
    <row r="1662" spans="1:4">
      <c r="A1662" s="7">
        <f ca="1">IFERROR(__xludf.DUMMYFUNCTION("""COMPUTED_VALUE"""),44064)</f>
        <v>44064</v>
      </c>
      <c r="B1662" s="6" t="str">
        <f ca="1">IFERROR(__xludf.DUMMYFUNCTION("""COMPUTED_VALUE"""),"-33.3994419-71.1205308")</f>
        <v>-33.3994419-71.1205308</v>
      </c>
      <c r="C1662" s="6" t="str">
        <f ca="1">IFERROR(__xludf.DUMMYFUNCTION("""COMPUTED_VALUE"""),"PJE. TRES 821")</f>
        <v>PJE. TRES 821</v>
      </c>
      <c r="D1662" s="6" t="str">
        <f ca="1">IFERROR(__xludf.DUMMYFUNCTION("""COMPUTED_VALUE"""),"CURACAVI")</f>
        <v>CURACAVI</v>
      </c>
    </row>
    <row r="1663" spans="1:4">
      <c r="A1663" s="7">
        <f ca="1">IFERROR(__xludf.DUMMYFUNCTION("""COMPUTED_VALUE"""),44064)</f>
        <v>44064</v>
      </c>
      <c r="B1663" s="6" t="str">
        <f ca="1">IFERROR(__xludf.DUMMYFUNCTION("""COMPUTED_VALUE"""),"-33.459946-71.035162")</f>
        <v>-33.459946-71.035162</v>
      </c>
      <c r="C1663" s="6" t="str">
        <f ca="1">IFERROR(__xludf.DUMMYFUNCTION("""COMPUTED_VALUE"""),"PJE SEIS 720")</f>
        <v>PJE SEIS 720</v>
      </c>
      <c r="D1663" s="6" t="str">
        <f ca="1">IFERROR(__xludf.DUMMYFUNCTION("""COMPUTED_VALUE"""),"CURACAVI")</f>
        <v>CURACAVI</v>
      </c>
    </row>
    <row r="1664" spans="1:4">
      <c r="A1664" s="7">
        <f ca="1">IFERROR(__xludf.DUMMYFUNCTION("""COMPUTED_VALUE"""),44064)</f>
        <v>44064</v>
      </c>
      <c r="B1664" s="6" t="str">
        <f ca="1">IFERROR(__xludf.DUMMYFUNCTION("""COMPUTED_VALUE"""),"-33.444113-71.028534")</f>
        <v>-33.444113-71.028534</v>
      </c>
      <c r="C1664" s="6" t="str">
        <f ca="1">IFERROR(__xludf.DUMMYFUNCTION("""COMPUTED_VALUE"""),"UNION CHILENA S9 B")</f>
        <v>UNION CHILENA S9 B</v>
      </c>
      <c r="D1664" s="6" t="str">
        <f ca="1">IFERROR(__xludf.DUMMYFUNCTION("""COMPUTED_VALUE"""),"CURACAVI")</f>
        <v>CURACAVI</v>
      </c>
    </row>
    <row r="1665" spans="1:4">
      <c r="A1665" s="7">
        <f ca="1">IFERROR(__xludf.DUMMYFUNCTION("""COMPUTED_VALUE"""),44064)</f>
        <v>44064</v>
      </c>
      <c r="B1665" s="6" t="str">
        <f ca="1">IFERROR(__xludf.DUMMYFUNCTION("""COMPUTED_VALUE"""),"-33.4216-71.0434")</f>
        <v>-33.4216-71.0434</v>
      </c>
      <c r="C1665" s="6" t="str">
        <f ca="1">IFERROR(__xludf.DUMMYFUNCTION("""COMPUTED_VALUE"""),"UNION SAN JOSE S/N LOTE 5 SITIO 25")</f>
        <v>UNION SAN JOSE S/N LOTE 5 SITIO 25</v>
      </c>
      <c r="D1665" s="6" t="str">
        <f ca="1">IFERROR(__xludf.DUMMYFUNCTION("""COMPUTED_VALUE"""),"CURACAVI")</f>
        <v>CURACAVI</v>
      </c>
    </row>
    <row r="1666" spans="1:4">
      <c r="A1666" s="7">
        <f ca="1">IFERROR(__xludf.DUMMYFUNCTION("""COMPUTED_VALUE"""),44064)</f>
        <v>44064</v>
      </c>
      <c r="B1666" s="6" t="str">
        <f ca="1">IFERROR(__xludf.DUMMYFUNCTION("""COMPUTED_VALUE"""),"-33.4220-71.0437")</f>
        <v>-33.4220-71.0437</v>
      </c>
      <c r="C1666" s="6" t="str">
        <f ca="1">IFERROR(__xludf.DUMMYFUNCTION("""COMPUTED_VALUE"""),"UNION SAN JOSE S/N LOTE 5 SITIO 25")</f>
        <v>UNION SAN JOSE S/N LOTE 5 SITIO 25</v>
      </c>
      <c r="D1666" s="6" t="str">
        <f ca="1">IFERROR(__xludf.DUMMYFUNCTION("""COMPUTED_VALUE"""),"CURACAVI")</f>
        <v>CURACAVI</v>
      </c>
    </row>
    <row r="1667" spans="1:4">
      <c r="A1667" s="7">
        <f ca="1">IFERROR(__xludf.DUMMYFUNCTION("""COMPUTED_VALUE"""),44064)</f>
        <v>44064</v>
      </c>
      <c r="B1667" s="6" t="str">
        <f ca="1">IFERROR(__xludf.DUMMYFUNCTION("""COMPUTED_VALUE"""),"-33.676890,-70.997261")</f>
        <v>-33.676890,-70.997261</v>
      </c>
      <c r="C1667" s="6" t="str">
        <f ca="1">IFERROR(__xludf.DUMMYFUNCTION("""COMPUTED_VALUE"""),"PABLO ORTEGA 760")</f>
        <v>PABLO ORTEGA 760</v>
      </c>
      <c r="D1667" s="6" t="str">
        <f ca="1">IFERROR(__xludf.DUMMYFUNCTION("""COMPUTED_VALUE"""),"EL MONTE")</f>
        <v>EL MONTE</v>
      </c>
    </row>
    <row r="1668" spans="1:4">
      <c r="A1668" s="7">
        <f ca="1">IFERROR(__xludf.DUMMYFUNCTION("""COMPUTED_VALUE"""),44064)</f>
        <v>44064</v>
      </c>
      <c r="B1668" s="6" t="str">
        <f ca="1">IFERROR(__xludf.DUMMYFUNCTION("""COMPUTED_VALUE"""),"-33.676890,-70.997261")</f>
        <v>-33.676890,-70.997261</v>
      </c>
      <c r="C1668" s="6" t="str">
        <f ca="1">IFERROR(__xludf.DUMMYFUNCTION("""COMPUTED_VALUE"""),"PABLO ORTEGA 760")</f>
        <v>PABLO ORTEGA 760</v>
      </c>
      <c r="D1668" s="6" t="str">
        <f ca="1">IFERROR(__xludf.DUMMYFUNCTION("""COMPUTED_VALUE"""),"EL MONTE")</f>
        <v>EL MONTE</v>
      </c>
    </row>
    <row r="1669" spans="1:4">
      <c r="A1669" s="7">
        <f ca="1">IFERROR(__xludf.DUMMYFUNCTION("""COMPUTED_VALUE"""),44064)</f>
        <v>44064</v>
      </c>
      <c r="B1669" s="6" t="str">
        <f ca="1">IFERROR(__xludf.DUMMYFUNCTION("""COMPUTED_VALUE"""),"-33.088369 - 70.924255")</f>
        <v>-33.088369 - 70.924255</v>
      </c>
      <c r="C1669" s="6" t="str">
        <f ca="1">IFERROR(__xludf.DUMMYFUNCTION("""COMPUTED_VALUE"""),"PASAJE LOS TILOS N° 11 ")</f>
        <v xml:space="preserve">PASAJE LOS TILOS N° 11 </v>
      </c>
      <c r="D1669" s="6" t="str">
        <f ca="1">IFERROR(__xludf.DUMMYFUNCTION("""COMPUTED_VALUE"""),"TIL TIL")</f>
        <v>TIL TIL</v>
      </c>
    </row>
    <row r="1670" spans="1:4">
      <c r="A1670" s="7">
        <f ca="1">IFERROR(__xludf.DUMMYFUNCTION("""COMPUTED_VALUE"""),44064)</f>
        <v>44064</v>
      </c>
      <c r="B1670" s="6" t="str">
        <f ca="1">IFERROR(__xludf.DUMMYFUNCTION("""COMPUTED_VALUE"""),"-33.1179579 - 70.8196712")</f>
        <v>-33.1179579 - 70.8196712</v>
      </c>
      <c r="C1670" s="6" t="str">
        <f ca="1">IFERROR(__xludf.DUMMYFUNCTION("""COMPUTED_VALUE"""),"PUNTA PEUCO RESERVA N 4 SIT 5")</f>
        <v>PUNTA PEUCO RESERVA N 4 SIT 5</v>
      </c>
      <c r="D1670" s="6" t="str">
        <f ca="1">IFERROR(__xludf.DUMMYFUNCTION("""COMPUTED_VALUE"""),"TIL TIL")</f>
        <v>TIL TIL</v>
      </c>
    </row>
    <row r="1671" spans="1:4">
      <c r="A1671" s="7">
        <f ca="1">IFERROR(__xludf.DUMMYFUNCTION("""COMPUTED_VALUE"""),44064)</f>
        <v>44064</v>
      </c>
      <c r="B1671" s="8" t="str">
        <f ca="1">IFERROR(__xludf.DUMMYFUNCTION("""COMPUTED_VALUE"""),"-33.680717,-71.222860")</f>
        <v>-33.680717,-71.222860</v>
      </c>
      <c r="C1671" s="6" t="str">
        <f ca="1">IFERROR(__xludf.DUMMYFUNCTION("""COMPUTED_VALUE"""),"VILLA EL CANELO, EL PINO 1110")</f>
        <v>VILLA EL CANELO, EL PINO 1110</v>
      </c>
      <c r="D1671" s="6" t="str">
        <f ca="1">IFERROR(__xludf.DUMMYFUNCTION("""COMPUTED_VALUE"""),"MELIPILLA")</f>
        <v>MELIPILLA</v>
      </c>
    </row>
    <row r="1672" spans="1:4">
      <c r="A1672" s="7">
        <f ca="1">IFERROR(__xludf.DUMMYFUNCTION("""COMPUTED_VALUE"""),44064)</f>
        <v>44064</v>
      </c>
      <c r="B1672" s="8" t="str">
        <f ca="1">IFERROR(__xludf.DUMMYFUNCTION("""COMPUTED_VALUE"""),"-33.680167,-71.291022")</f>
        <v>-33.680167,-71.291022</v>
      </c>
      <c r="C1672" s="6" t="str">
        <f ca="1">IFERROR(__xludf.DUMMYFUNCTION("""COMPUTED_VALUE"""),"POPETA 186, SECTOR 4")</f>
        <v>POPETA 186, SECTOR 4</v>
      </c>
      <c r="D1672" s="6" t="str">
        <f ca="1">IFERROR(__xludf.DUMMYFUNCTION("""COMPUTED_VALUE"""),"MELIPILLA")</f>
        <v>MELIPILLA</v>
      </c>
    </row>
    <row r="1673" spans="1:4">
      <c r="A1673" s="7">
        <f ca="1">IFERROR(__xludf.DUMMYFUNCTION("""COMPUTED_VALUE"""),44064)</f>
        <v>44064</v>
      </c>
      <c r="B1673" s="8" t="str">
        <f ca="1">IFERROR(__xludf.DUMMYFUNCTION("""COMPUTED_VALUE"""),"-33.791052,-71.286531")</f>
        <v>-33.791052,-71.286531</v>
      </c>
      <c r="C1673" s="6" t="str">
        <f ca="1">IFERROR(__xludf.DUMMYFUNCTION("""COMPUTED_VALUE"""),"VILLA EDUARDO VELAZQUEZ ")</f>
        <v xml:space="preserve">VILLA EDUARDO VELAZQUEZ </v>
      </c>
      <c r="D1673" s="6" t="str">
        <f ca="1">IFERROR(__xludf.DUMMYFUNCTION("""COMPUTED_VALUE"""),"MELIPILLA")</f>
        <v>MELIPILLA</v>
      </c>
    </row>
    <row r="1674" spans="1:4">
      <c r="A1674" s="7">
        <f ca="1">IFERROR(__xludf.DUMMYFUNCTION("""COMPUTED_VALUE"""),44065)</f>
        <v>44065</v>
      </c>
      <c r="B1674" s="6" t="str">
        <f ca="1">IFERROR(__xludf.DUMMYFUNCTION("""COMPUTED_VALUE"""),"-33.683897,-70.994603")</f>
        <v>-33.683897,-70.994603</v>
      </c>
      <c r="C1674" s="6" t="str">
        <f ca="1">IFERROR(__xludf.DUMMYFUNCTION("""COMPUTED_VALUE"""),"SEBASTIAN 21")</f>
        <v>SEBASTIAN 21</v>
      </c>
      <c r="D1674" s="6" t="str">
        <f ca="1">IFERROR(__xludf.DUMMYFUNCTION("""COMPUTED_VALUE"""),"EL MONTE")</f>
        <v>EL MONTE</v>
      </c>
    </row>
    <row r="1675" spans="1:4">
      <c r="A1675" s="7">
        <f ca="1">IFERROR(__xludf.DUMMYFUNCTION("""COMPUTED_VALUE"""),44065)</f>
        <v>44065</v>
      </c>
      <c r="B1675" s="6" t="str">
        <f ca="1">IFERROR(__xludf.DUMMYFUNCTION("""COMPUTED_VALUE"""),"-33.675569,-70.9721570")</f>
        <v>-33.675569,-70.9721570</v>
      </c>
      <c r="C1675" s="6" t="str">
        <f ca="1">IFERROR(__xludf.DUMMYFUNCTION("""COMPUTED_VALUE"""),"CONDOMINIO DOÑA PAULA 68")</f>
        <v>CONDOMINIO DOÑA PAULA 68</v>
      </c>
      <c r="D1675" s="6" t="str">
        <f ca="1">IFERROR(__xludf.DUMMYFUNCTION("""COMPUTED_VALUE"""),"EL MONTE")</f>
        <v>EL MONTE</v>
      </c>
    </row>
    <row r="1676" spans="1:4">
      <c r="A1676" s="7">
        <f ca="1">IFERROR(__xludf.DUMMYFUNCTION("""COMPUTED_VALUE"""),44067)</f>
        <v>44067</v>
      </c>
      <c r="B1676" s="8" t="str">
        <f ca="1">IFERROR(__xludf.DUMMYFUNCTION("""COMPUTED_VALUE"""),"-33.484023,-71.129243")</f>
        <v>-33.484023,-71.129243</v>
      </c>
      <c r="C1676" s="6" t="str">
        <f ca="1">IFERROR(__xludf.DUMMYFUNCTION("""COMPUTED_VALUE"""),"EL REDIL PARCELA 4A")</f>
        <v>EL REDIL PARCELA 4A</v>
      </c>
      <c r="D1676" s="6" t="str">
        <f ca="1">IFERROR(__xludf.DUMMYFUNCTION("""COMPUTED_VALUE"""),"MARIA PINTO")</f>
        <v>MARIA PINTO</v>
      </c>
    </row>
    <row r="1677" spans="1:4">
      <c r="A1677" s="7">
        <f ca="1">IFERROR(__xludf.DUMMYFUNCTION("""COMPUTED_VALUE"""),44067)</f>
        <v>44067</v>
      </c>
      <c r="B1677" s="8" t="str">
        <f ca="1">IFERROR(__xludf.DUMMYFUNCTION("""COMPUTED_VALUE"""),"-33.461997,-71.079141")</f>
        <v>-33.461997,-71.079141</v>
      </c>
      <c r="C1677" s="6" t="str">
        <f ca="1">IFERROR(__xludf.DUMMYFUNCTION("""COMPUTED_VALUE"""),"LOS NOGALES 296")</f>
        <v>LOS NOGALES 296</v>
      </c>
      <c r="D1677" s="6" t="str">
        <f ca="1">IFERROR(__xludf.DUMMYFUNCTION("""COMPUTED_VALUE"""),"MARIA PINTO")</f>
        <v>MARIA PINTO</v>
      </c>
    </row>
    <row r="1678" spans="1:4">
      <c r="A1678" s="7">
        <f ca="1">IFERROR(__xludf.DUMMYFUNCTION("""COMPUTED_VALUE"""),44067)</f>
        <v>44067</v>
      </c>
      <c r="B1678" s="8" t="str">
        <f ca="1">IFERROR(__xludf.DUMMYFUNCTION("""COMPUTED_VALUE"""),"-33.506574,-71.251884")</f>
        <v>-33.506574,-71.251884</v>
      </c>
      <c r="C1678" s="6" t="str">
        <f ca="1">IFERROR(__xludf.DUMMYFUNCTION("""COMPUTED_VALUE"""),"CHOROMBO ALTO S/N")</f>
        <v>CHOROMBO ALTO S/N</v>
      </c>
      <c r="D1678" s="6" t="str">
        <f ca="1">IFERROR(__xludf.DUMMYFUNCTION("""COMPUTED_VALUE"""),"MARIA PINTO")</f>
        <v>MARIA PINTO</v>
      </c>
    </row>
    <row r="1679" spans="1:4">
      <c r="A1679" s="7">
        <f ca="1">IFERROR(__xludf.DUMMYFUNCTION("""COMPUTED_VALUE"""),44067)</f>
        <v>44067</v>
      </c>
      <c r="B1679" s="8" t="str">
        <f ca="1">IFERROR(__xludf.DUMMYFUNCTION("""COMPUTED_VALUE"""),"-33.657760,-70.914716")</f>
        <v>-33.657760,-70.914716</v>
      </c>
      <c r="C1679" s="6" t="str">
        <f ca="1">IFERROR(__xludf.DUMMYFUNCTION("""COMPUTED_VALUE"""),"CAMINO MORI 0224")</f>
        <v>CAMINO MORI 0224</v>
      </c>
      <c r="D1679" s="6" t="str">
        <f ca="1">IFERROR(__xludf.DUMMYFUNCTION("""COMPUTED_VALUE"""),"TALAGANTE")</f>
        <v>TALAGANTE</v>
      </c>
    </row>
    <row r="1680" spans="1:4">
      <c r="A1680" s="7">
        <f ca="1">IFERROR(__xludf.DUMMYFUNCTION("""COMPUTED_VALUE"""),44067)</f>
        <v>44067</v>
      </c>
      <c r="B1680" s="8" t="str">
        <f ca="1">IFERROR(__xludf.DUMMYFUNCTION("""COMPUTED_VALUE"""),"-33,729437,-70.775612")</f>
        <v>-33,729437,-70.775612</v>
      </c>
      <c r="C1680" s="6" t="str">
        <f ca="1">IFERROR(__xludf.DUMMYFUNCTION("""COMPUTED_VALUE"""),"ATANASIO PARDO VEGA 136")</f>
        <v>ATANASIO PARDO VEGA 136</v>
      </c>
      <c r="D1680" s="6" t="str">
        <f ca="1">IFERROR(__xludf.DUMMYFUNCTION("""COMPUTED_VALUE"""),"BUIN")</f>
        <v>BUIN</v>
      </c>
    </row>
    <row r="1681" spans="1:4">
      <c r="A1681" s="7">
        <f ca="1">IFERROR(__xludf.DUMMYFUNCTION("""COMPUTED_VALUE"""),44067)</f>
        <v>44067</v>
      </c>
      <c r="B1681" s="8" t="str">
        <f ca="1">IFERROR(__xludf.DUMMYFUNCTION("""COMPUTED_VALUE"""),"-33.703451,-70.743901")</f>
        <v>-33.703451,-70.743901</v>
      </c>
      <c r="C1681" s="6" t="str">
        <f ca="1">IFERROR(__xludf.DUMMYFUNCTION("""COMPUTED_VALUE"""),"SIN CALLE S/N ")</f>
        <v xml:space="preserve">SIN CALLE S/N </v>
      </c>
      <c r="D1681" s="6" t="str">
        <f ca="1">IFERROR(__xludf.DUMMYFUNCTION("""COMPUTED_VALUE"""),"BUIN")</f>
        <v>BUIN</v>
      </c>
    </row>
    <row r="1682" spans="1:4">
      <c r="A1682" s="7">
        <f ca="1">IFERROR(__xludf.DUMMYFUNCTION("""COMPUTED_VALUE"""),44067)</f>
        <v>44067</v>
      </c>
      <c r="B1682" s="6" t="str">
        <f ca="1">IFERROR(__xludf.DUMMYFUNCTION("""COMPUTED_VALUE"""),"-33.6094141-70.8985975")</f>
        <v>-33.6094141-70.8985975</v>
      </c>
      <c r="C1682" s="6" t="str">
        <f ca="1">IFERROR(__xludf.DUMMYFUNCTION("""COMPUTED_VALUE"""),"MARIA ESTER GARAY 158")</f>
        <v>MARIA ESTER GARAY 158</v>
      </c>
      <c r="D1682" s="6" t="str">
        <f ca="1">IFERROR(__xludf.DUMMYFUNCTION("""COMPUTED_VALUE"""),"PEÑAFLOR")</f>
        <v>PEÑAFLOR</v>
      </c>
    </row>
    <row r="1683" spans="1:4">
      <c r="A1683" s="7">
        <f ca="1">IFERROR(__xludf.DUMMYFUNCTION("""COMPUTED_VALUE"""),44067)</f>
        <v>44067</v>
      </c>
      <c r="B1683" s="6" t="str">
        <f ca="1">IFERROR(__xludf.DUMMYFUNCTION("""COMPUTED_VALUE"""),"-33.6094141-70.8985975")</f>
        <v>-33.6094141-70.8985975</v>
      </c>
      <c r="C1683" s="6" t="str">
        <f ca="1">IFERROR(__xludf.DUMMYFUNCTION("""COMPUTED_VALUE"""),"MARIA ESTER GARAY 158")</f>
        <v>MARIA ESTER GARAY 158</v>
      </c>
      <c r="D1683" s="6" t="str">
        <f ca="1">IFERROR(__xludf.DUMMYFUNCTION("""COMPUTED_VALUE"""),"PEÑAFLOR")</f>
        <v>PEÑAFLOR</v>
      </c>
    </row>
    <row r="1684" spans="1:4">
      <c r="A1684" s="7">
        <f ca="1">IFERROR(__xludf.DUMMYFUNCTION("""COMPUTED_VALUE"""),44067)</f>
        <v>44067</v>
      </c>
      <c r="B1684" s="6" t="str">
        <f ca="1">IFERROR(__xludf.DUMMYFUNCTION("""COMPUTED_VALUE"""),"-33.612276-70.891517")</f>
        <v>-33.612276-70.891517</v>
      </c>
      <c r="C1684" s="6" t="str">
        <f ca="1">IFERROR(__xludf.DUMMYFUNCTION("""COMPUTED_VALUE"""),"AV. CENTRAL 105")</f>
        <v>AV. CENTRAL 105</v>
      </c>
      <c r="D1684" s="6" t="str">
        <f ca="1">IFERROR(__xludf.DUMMYFUNCTION("""COMPUTED_VALUE"""),"PEÑAFLOR")</f>
        <v>PEÑAFLOR</v>
      </c>
    </row>
    <row r="1685" spans="1:4">
      <c r="A1685" s="7">
        <f ca="1">IFERROR(__xludf.DUMMYFUNCTION("""COMPUTED_VALUE"""),44067)</f>
        <v>44067</v>
      </c>
      <c r="B1685" s="6" t="str">
        <f ca="1">IFERROR(__xludf.DUMMYFUNCTION("""COMPUTED_VALUE"""),"-33.3908-71.1267")</f>
        <v>-33.3908-71.1267</v>
      </c>
      <c r="C1685" s="6" t="str">
        <f ca="1">IFERROR(__xludf.DUMMYFUNCTION("""COMPUTED_VALUE"""),"ENRIQUE VELIZ 1145")</f>
        <v>ENRIQUE VELIZ 1145</v>
      </c>
      <c r="D1685" s="6" t="str">
        <f ca="1">IFERROR(__xludf.DUMMYFUNCTION("""COMPUTED_VALUE"""),"CURACAVI")</f>
        <v>CURACAVI</v>
      </c>
    </row>
    <row r="1686" spans="1:4">
      <c r="A1686" s="7">
        <f ca="1">IFERROR(__xludf.DUMMYFUNCTION("""COMPUTED_VALUE"""),44067)</f>
        <v>44067</v>
      </c>
      <c r="B1686" s="6" t="str">
        <f ca="1">IFERROR(__xludf.DUMMYFUNCTION("""COMPUTED_VALUE"""),"-33.406774-71.127453")</f>
        <v>-33.406774-71.127453</v>
      </c>
      <c r="C1686" s="6" t="str">
        <f ca="1">IFERROR(__xludf.DUMMYFUNCTION("""COMPUTED_VALUE"""),"PJE AVELLANO 1821")</f>
        <v>PJE AVELLANO 1821</v>
      </c>
      <c r="D1686" s="6" t="str">
        <f ca="1">IFERROR(__xludf.DUMMYFUNCTION("""COMPUTED_VALUE"""),"CURACAVI")</f>
        <v>CURACAVI</v>
      </c>
    </row>
    <row r="1687" spans="1:4">
      <c r="A1687" s="7">
        <f ca="1">IFERROR(__xludf.DUMMYFUNCTION("""COMPUTED_VALUE"""),44067)</f>
        <v>44067</v>
      </c>
      <c r="B1687" s="6" t="str">
        <f ca="1">IFERROR(__xludf.DUMMYFUNCTION("""COMPUTED_VALUE"""),"-33.406934-71.127604")</f>
        <v>-33.406934-71.127604</v>
      </c>
      <c r="C1687" s="6" t="str">
        <f ca="1">IFERROR(__xludf.DUMMYFUNCTION("""COMPUTED_VALUE"""),"PJE AVELLANO 1820")</f>
        <v>PJE AVELLANO 1820</v>
      </c>
      <c r="D1687" s="6" t="str">
        <f ca="1">IFERROR(__xludf.DUMMYFUNCTION("""COMPUTED_VALUE"""),"CURACAVI")</f>
        <v>CURACAVI</v>
      </c>
    </row>
    <row r="1688" spans="1:4">
      <c r="A1688" s="7">
        <f ca="1">IFERROR(__xludf.DUMMYFUNCTION("""COMPUTED_VALUE"""),44067)</f>
        <v>44067</v>
      </c>
      <c r="B1688" s="6" t="str">
        <f ca="1">IFERROR(__xludf.DUMMYFUNCTION("""COMPUTED_VALUE"""),"-33.393805-71.130660")</f>
        <v>-33.393805-71.130660</v>
      </c>
      <c r="C1688" s="6" t="str">
        <f ca="1">IFERROR(__xludf.DUMMYFUNCTION("""COMPUTED_VALUE"""),"DOS 841")</f>
        <v>DOS 841</v>
      </c>
      <c r="D1688" s="6" t="str">
        <f ca="1">IFERROR(__xludf.DUMMYFUNCTION("""COMPUTED_VALUE"""),"CURACAVI")</f>
        <v>CURACAVI</v>
      </c>
    </row>
    <row r="1689" spans="1:4">
      <c r="A1689" s="7">
        <f ca="1">IFERROR(__xludf.DUMMYFUNCTION("""COMPUTED_VALUE"""),44067)</f>
        <v>44067</v>
      </c>
      <c r="B1689" s="6" t="str">
        <f ca="1">IFERROR(__xludf.DUMMYFUNCTION("""COMPUTED_VALUE"""),"-33.675834,-70.474586")</f>
        <v>-33.675834,-70.474586</v>
      </c>
      <c r="C1689" s="6" t="str">
        <f ca="1">IFERROR(__xludf.DUMMYFUNCTION("""COMPUTED_VALUE"""),"FRANCISCA DE PAULA 60")</f>
        <v>FRANCISCA DE PAULA 60</v>
      </c>
      <c r="D1689" s="6" t="str">
        <f ca="1">IFERROR(__xludf.DUMMYFUNCTION("""COMPUTED_VALUE"""),"EL MONTE")</f>
        <v>EL MONTE</v>
      </c>
    </row>
    <row r="1690" spans="1:4">
      <c r="A1690" s="7">
        <f ca="1">IFERROR(__xludf.DUMMYFUNCTION("""COMPUTED_VALUE"""),44067)</f>
        <v>44067</v>
      </c>
      <c r="B1690" s="6" t="str">
        <f ca="1">IFERROR(__xludf.DUMMYFUNCTION("""COMPUTED_VALUE"""),"-33.675834,-70.474586")</f>
        <v>-33.675834,-70.474586</v>
      </c>
      <c r="C1690" s="6" t="str">
        <f ca="1">IFERROR(__xludf.DUMMYFUNCTION("""COMPUTED_VALUE"""),"FRANCISCA DE PAULA 60")</f>
        <v>FRANCISCA DE PAULA 60</v>
      </c>
      <c r="D1690" s="6" t="str">
        <f ca="1">IFERROR(__xludf.DUMMYFUNCTION("""COMPUTED_VALUE"""),"EL MONTE")</f>
        <v>EL MONTE</v>
      </c>
    </row>
    <row r="1691" spans="1:4">
      <c r="A1691" s="7">
        <f ca="1">IFERROR(__xludf.DUMMYFUNCTION("""COMPUTED_VALUE"""),44067)</f>
        <v>44067</v>
      </c>
      <c r="B1691" s="6" t="str">
        <f ca="1">IFERROR(__xludf.DUMMYFUNCTION("""COMPUTED_VALUE"""),"-33.674144,-70.475733")</f>
        <v>-33.674144,-70.475733</v>
      </c>
      <c r="C1691" s="6" t="str">
        <f ca="1">IFERROR(__xludf.DUMMYFUNCTION("""COMPUTED_VALUE"""),"PABLO DE VERDUGO 381")</f>
        <v>PABLO DE VERDUGO 381</v>
      </c>
      <c r="D1691" s="6" t="str">
        <f ca="1">IFERROR(__xludf.DUMMYFUNCTION("""COMPUTED_VALUE"""),"EL MONTE")</f>
        <v>EL MONTE</v>
      </c>
    </row>
    <row r="1692" spans="1:4">
      <c r="A1692" s="7">
        <f ca="1">IFERROR(__xludf.DUMMYFUNCTION("""COMPUTED_VALUE"""),44067)</f>
        <v>44067</v>
      </c>
      <c r="B1692" s="6" t="str">
        <f ca="1">IFERROR(__xludf.DUMMYFUNCTION("""COMPUTED_VALUE"""),"-33.303995 - 70.695538")</f>
        <v>-33.303995 - 70.695538</v>
      </c>
      <c r="C1692" s="6" t="str">
        <f ca="1">IFERROR(__xludf.DUMMYFUNCTION("""COMPUTED_VALUE"""),"CAMINO DEL MUSICO NORTE 10360")</f>
        <v>CAMINO DEL MUSICO NORTE 10360</v>
      </c>
      <c r="D1692" s="6" t="str">
        <f ca="1">IFERROR(__xludf.DUMMYFUNCTION("""COMPUTED_VALUE"""),"COLINA")</f>
        <v>COLINA</v>
      </c>
    </row>
    <row r="1693" spans="1:4">
      <c r="A1693" s="7">
        <f ca="1">IFERROR(__xludf.DUMMYFUNCTION("""COMPUTED_VALUE"""),44067)</f>
        <v>44067</v>
      </c>
      <c r="B1693" s="6" t="str">
        <f ca="1">IFERROR(__xludf.DUMMYFUNCTION("""COMPUTED_VALUE"""),"-33.182901 - 70.663131")</f>
        <v>-33.182901 - 70.663131</v>
      </c>
      <c r="C1693" s="6" t="str">
        <f ca="1">IFERROR(__xludf.DUMMYFUNCTION("""COMPUTED_VALUE"""),"ARTURO GODOY 1504")</f>
        <v>ARTURO GODOY 1504</v>
      </c>
      <c r="D1693" s="6" t="str">
        <f ca="1">IFERROR(__xludf.DUMMYFUNCTION("""COMPUTED_VALUE"""),"COLINA")</f>
        <v>COLINA</v>
      </c>
    </row>
    <row r="1694" spans="1:4">
      <c r="A1694" s="7">
        <f ca="1">IFERROR(__xludf.DUMMYFUNCTION("""COMPUTED_VALUE"""),44067)</f>
        <v>44067</v>
      </c>
      <c r="B1694" s="8" t="str">
        <f ca="1">IFERROR(__xludf.DUMMYFUNCTION("""COMPUTED_VALUE"""),"-33.684615,-71.234856")</f>
        <v>-33.684615,-71.234856</v>
      </c>
      <c r="C1694" s="6" t="str">
        <f ca="1">IFERROR(__xludf.DUMMYFUNCTION("""COMPUTED_VALUE"""),"ONOFRE CANTILLANA MOYA 614")</f>
        <v>ONOFRE CANTILLANA MOYA 614</v>
      </c>
      <c r="D1694" s="6" t="str">
        <f ca="1">IFERROR(__xludf.DUMMYFUNCTION("""COMPUTED_VALUE"""),"MELIPILLA")</f>
        <v>MELIPILLA</v>
      </c>
    </row>
    <row r="1695" spans="1:4">
      <c r="A1695" s="7">
        <f ca="1">IFERROR(__xludf.DUMMYFUNCTION("""COMPUTED_VALUE"""),44067)</f>
        <v>44067</v>
      </c>
      <c r="B1695" s="8" t="str">
        <f ca="1">IFERROR(__xludf.DUMMYFUNCTION("""COMPUTED_VALUE"""),"-33.688844,-71.226498")</f>
        <v>-33.688844,-71.226498</v>
      </c>
      <c r="C1695" s="6" t="str">
        <f ca="1">IFERROR(__xludf.DUMMYFUNCTION("""COMPUTED_VALUE"""),"PASAJE LAS AZUCENAS 1292")</f>
        <v>PASAJE LAS AZUCENAS 1292</v>
      </c>
      <c r="D1695" s="6" t="str">
        <f ca="1">IFERROR(__xludf.DUMMYFUNCTION("""COMPUTED_VALUE"""),"MELIPILLA")</f>
        <v>MELIPILLA</v>
      </c>
    </row>
    <row r="1696" spans="1:4">
      <c r="A1696" s="7">
        <f ca="1">IFERROR(__xludf.DUMMYFUNCTION("""COMPUTED_VALUE"""),44068)</f>
        <v>44068</v>
      </c>
      <c r="B1696" s="8" t="str">
        <f ca="1">IFERROR(__xludf.DUMMYFUNCTION("""COMPUTED_VALUE"""),"-33.493615,-71.163389")</f>
        <v>-33.493615,-71.163389</v>
      </c>
      <c r="C1696" s="6" t="str">
        <f ca="1">IFERROR(__xludf.DUMMYFUNCTION("""COMPUTED_VALUE"""),"MALALHUE S/N SITIO 9")</f>
        <v>MALALHUE S/N SITIO 9</v>
      </c>
      <c r="D1696" s="6" t="str">
        <f ca="1">IFERROR(__xludf.DUMMYFUNCTION("""COMPUTED_VALUE"""),"MARIA PINTO")</f>
        <v>MARIA PINTO</v>
      </c>
    </row>
    <row r="1697" spans="1:4">
      <c r="A1697" s="7">
        <f ca="1">IFERROR(__xludf.DUMMYFUNCTION("""COMPUTED_VALUE"""),44068)</f>
        <v>44068</v>
      </c>
      <c r="B1697" s="8" t="str">
        <f ca="1">IFERROR(__xludf.DUMMYFUNCTION("""COMPUTED_VALUE"""),"-33.457692,-71.095789")</f>
        <v>-33.457692,-71.095789</v>
      </c>
      <c r="C1697" s="6" t="str">
        <f ca="1">IFERROR(__xludf.DUMMYFUNCTION("""COMPUTED_VALUE"""),"CALLE LOS ESPINO S/N")</f>
        <v>CALLE LOS ESPINO S/N</v>
      </c>
      <c r="D1697" s="6" t="str">
        <f ca="1">IFERROR(__xludf.DUMMYFUNCTION("""COMPUTED_VALUE"""),"MARIA PINTO")</f>
        <v>MARIA PINTO</v>
      </c>
    </row>
    <row r="1698" spans="1:4">
      <c r="A1698" s="7">
        <f ca="1">IFERROR(__xludf.DUMMYFUNCTION("""COMPUTED_VALUE"""),44068)</f>
        <v>44068</v>
      </c>
      <c r="B1698" s="8" t="str">
        <f ca="1">IFERROR(__xludf.DUMMYFUNCTION("""COMPUTED_VALUE"""),"-33.666184,-70.931992")</f>
        <v>-33.666184,-70.931992</v>
      </c>
      <c r="C1698" s="6" t="str">
        <f ca="1">IFERROR(__xludf.DUMMYFUNCTION("""COMPUTED_VALUE"""),"ESMERALDA 1397")</f>
        <v>ESMERALDA 1397</v>
      </c>
      <c r="D1698" s="6" t="str">
        <f ca="1">IFERROR(__xludf.DUMMYFUNCTION("""COMPUTED_VALUE"""),"TALAGANTE")</f>
        <v>TALAGANTE</v>
      </c>
    </row>
    <row r="1699" spans="1:4">
      <c r="A1699" s="7">
        <f ca="1">IFERROR(__xludf.DUMMYFUNCTION("""COMPUTED_VALUE"""),44068)</f>
        <v>44068</v>
      </c>
      <c r="B1699" s="6" t="str">
        <f ca="1">IFERROR(__xludf.DUMMYFUNCTION("""COMPUTED_VALUE"""),"-33.5458593-70.8591486")</f>
        <v>-33.5458593-70.8591486</v>
      </c>
      <c r="C1699" s="6" t="str">
        <f ca="1">IFERROR(__xludf.DUMMYFUNCTION("""COMPUTED_VALUE"""),"PARROQUIA NUESTRA SEÑORA DLE CARMEN 623")</f>
        <v>PARROQUIA NUESTRA SEÑORA DLE CARMEN 623</v>
      </c>
      <c r="D1699" s="6" t="str">
        <f ca="1">IFERROR(__xludf.DUMMYFUNCTION("""COMPUTED_VALUE"""),"PEÑAFLOR")</f>
        <v>PEÑAFLOR</v>
      </c>
    </row>
    <row r="1700" spans="1:4">
      <c r="A1700" s="7">
        <f ca="1">IFERROR(__xludf.DUMMYFUNCTION("""COMPUTED_VALUE"""),44068)</f>
        <v>44068</v>
      </c>
      <c r="B1700" s="6" t="str">
        <f ca="1">IFERROR(__xludf.DUMMYFUNCTION("""COMPUTED_VALUE"""),"-33.460145-71.0350039")</f>
        <v>-33.460145-71.0350039</v>
      </c>
      <c r="C1700" s="6" t="str">
        <f ca="1">IFERROR(__xludf.DUMMYFUNCTION("""COMPUTED_VALUE"""),"PEDRO IBARRA 721")</f>
        <v>PEDRO IBARRA 721</v>
      </c>
      <c r="D1700" s="6" t="str">
        <f ca="1">IFERROR(__xludf.DUMMYFUNCTION("""COMPUTED_VALUE"""),"CURACAVI")</f>
        <v>CURACAVI</v>
      </c>
    </row>
    <row r="1701" spans="1:4">
      <c r="A1701" s="7">
        <f ca="1">IFERROR(__xludf.DUMMYFUNCTION("""COMPUTED_VALUE"""),44068)</f>
        <v>44068</v>
      </c>
      <c r="B1701" s="6" t="str">
        <f ca="1">IFERROR(__xludf.DUMMYFUNCTION("""COMPUTED_VALUE"""),"´-33.459822-71.036425")</f>
        <v>´-33.459822-71.036425</v>
      </c>
      <c r="C1701" s="6" t="str">
        <f ca="1">IFERROR(__xludf.DUMMYFUNCTION("""COMPUTED_VALUE"""),"SANTA ROSA 840")</f>
        <v>SANTA ROSA 840</v>
      </c>
      <c r="D1701" s="6" t="str">
        <f ca="1">IFERROR(__xludf.DUMMYFUNCTION("""COMPUTED_VALUE"""),"CURACAVI")</f>
        <v>CURACAVI</v>
      </c>
    </row>
    <row r="1702" spans="1:4">
      <c r="A1702" s="7">
        <f ca="1">IFERROR(__xludf.DUMMYFUNCTION("""COMPUTED_VALUE"""),44068)</f>
        <v>44068</v>
      </c>
      <c r="B1702" s="6" t="str">
        <f ca="1">IFERROR(__xludf.DUMMYFUNCTION("""COMPUTED_VALUE"""),"-33.459547-71.035902")</f>
        <v>-33.459547-71.035902</v>
      </c>
      <c r="C1702" s="6" t="str">
        <f ca="1">IFERROR(__xludf.DUMMYFUNCTION("""COMPUTED_VALUE"""),"SANTA ERICA 790")</f>
        <v>SANTA ERICA 790</v>
      </c>
      <c r="D1702" s="6" t="str">
        <f ca="1">IFERROR(__xludf.DUMMYFUNCTION("""COMPUTED_VALUE"""),"CURACAVI")</f>
        <v>CURACAVI</v>
      </c>
    </row>
    <row r="1703" spans="1:4">
      <c r="A1703" s="7">
        <f ca="1">IFERROR(__xludf.DUMMYFUNCTION("""COMPUTED_VALUE"""),44068)</f>
        <v>44068</v>
      </c>
      <c r="B1703" s="6" t="str">
        <f ca="1">IFERROR(__xludf.DUMMYFUNCTION("""COMPUTED_VALUE"""),"-33.459831-71.035009")</f>
        <v>-33.459831-71.035009</v>
      </c>
      <c r="C1703" s="6" t="str">
        <f ca="1">IFERROR(__xludf.DUMMYFUNCTION("""COMPUTED_VALUE"""),"PASAJE SEIS 711")</f>
        <v>PASAJE SEIS 711</v>
      </c>
      <c r="D1703" s="6" t="str">
        <f ca="1">IFERROR(__xludf.DUMMYFUNCTION("""COMPUTED_VALUE"""),"CURACAVI")</f>
        <v>CURACAVI</v>
      </c>
    </row>
    <row r="1704" spans="1:4">
      <c r="A1704" s="7">
        <f ca="1">IFERROR(__xludf.DUMMYFUNCTION("""COMPUTED_VALUE"""),44068)</f>
        <v>44068</v>
      </c>
      <c r="B1704" s="6" t="str">
        <f ca="1">IFERROR(__xludf.DUMMYFUNCTION("""COMPUTED_VALUE"""),"-33.597104-70.877717")</f>
        <v>-33.597104-70.877717</v>
      </c>
      <c r="C1704" s="6" t="str">
        <f ca="1">IFERROR(__xludf.DUMMYFUNCTION("""COMPUTED_VALUE"""),"PJE. FRANCISCO ESPINOZA 2197")</f>
        <v>PJE. FRANCISCO ESPINOZA 2197</v>
      </c>
      <c r="D1704" s="6" t="str">
        <f ca="1">IFERROR(__xludf.DUMMYFUNCTION("""COMPUTED_VALUE"""),"PEÑAFLOR")</f>
        <v>PEÑAFLOR</v>
      </c>
    </row>
    <row r="1705" spans="1:4">
      <c r="A1705" s="7">
        <f ca="1">IFERROR(__xludf.DUMMYFUNCTION("""COMPUTED_VALUE"""),44068)</f>
        <v>44068</v>
      </c>
      <c r="B1705" s="6" t="str">
        <f ca="1">IFERROR(__xludf.DUMMYFUNCTION("""COMPUTED_VALUE"""),"-33.688973,-71.049036")</f>
        <v>-33.688973,-71.049036</v>
      </c>
      <c r="C1705" s="6" t="str">
        <f ca="1">IFERROR(__xludf.DUMMYFUNCTION("""COMPUTED_VALUE"""),"AV.LOS LIBERTADORES 2008")</f>
        <v>AV.LOS LIBERTADORES 2008</v>
      </c>
      <c r="D1705" s="6" t="str">
        <f ca="1">IFERROR(__xludf.DUMMYFUNCTION("""COMPUTED_VALUE"""),"EL MONTE")</f>
        <v>EL MONTE</v>
      </c>
    </row>
    <row r="1706" spans="1:4">
      <c r="A1706" s="7">
        <f ca="1">IFERROR(__xludf.DUMMYFUNCTION("""COMPUTED_VALUE"""),44068)</f>
        <v>44068</v>
      </c>
      <c r="B1706" s="6" t="str">
        <f ca="1">IFERROR(__xludf.DUMMYFUNCTION("""COMPUTED_VALUE"""),"-33.683574,-71.003200")</f>
        <v>-33.683574,-71.003200</v>
      </c>
      <c r="C1706" s="6" t="str">
        <f ca="1">IFERROR(__xludf.DUMMYFUNCTION("""COMPUTED_VALUE"""),"PUENTE CALY CANTO 846")</f>
        <v>PUENTE CALY CANTO 846</v>
      </c>
      <c r="D1706" s="6" t="str">
        <f ca="1">IFERROR(__xludf.DUMMYFUNCTION("""COMPUTED_VALUE"""),"EL MONTE")</f>
        <v>EL MONTE</v>
      </c>
    </row>
    <row r="1707" spans="1:4">
      <c r="A1707" s="7">
        <f ca="1">IFERROR(__xludf.DUMMYFUNCTION("""COMPUTED_VALUE"""),44068)</f>
        <v>44068</v>
      </c>
      <c r="B1707" s="6" t="str">
        <f ca="1">IFERROR(__xludf.DUMMYFUNCTION("""COMPUTED_VALUE"""),"-33.685136,-71.011072")</f>
        <v>-33.685136,-71.011072</v>
      </c>
      <c r="C1707" s="6" t="str">
        <f ca="1">IFERROR(__xludf.DUMMYFUNCTION("""COMPUTED_VALUE"""),"MIGUEL MOLINA 082")</f>
        <v>MIGUEL MOLINA 082</v>
      </c>
      <c r="D1707" s="6" t="str">
        <f ca="1">IFERROR(__xludf.DUMMYFUNCTION("""COMPUTED_VALUE"""),"EL MONTE")</f>
        <v>EL MONTE</v>
      </c>
    </row>
    <row r="1708" spans="1:4">
      <c r="A1708" s="7">
        <f ca="1">IFERROR(__xludf.DUMMYFUNCTION("""COMPUTED_VALUE"""),44068)</f>
        <v>44068</v>
      </c>
      <c r="B1708" s="6" t="str">
        <f ca="1">IFERROR(__xludf.DUMMYFUNCTION("""COMPUTED_VALUE"""),"-33.675716,-70.975377")</f>
        <v>-33.675716,-70.975377</v>
      </c>
      <c r="C1708" s="6" t="str">
        <f ca="1">IFERROR(__xludf.DUMMYFUNCTION("""COMPUTED_VALUE"""),"PAULA VERDUGO 251")</f>
        <v>PAULA VERDUGO 251</v>
      </c>
      <c r="D1708" s="6" t="str">
        <f ca="1">IFERROR(__xludf.DUMMYFUNCTION("""COMPUTED_VALUE"""),"EL MONTE")</f>
        <v>EL MONTE</v>
      </c>
    </row>
    <row r="1709" spans="1:4">
      <c r="A1709" s="7">
        <f ca="1">IFERROR(__xludf.DUMMYFUNCTION("""COMPUTED_VALUE"""),44068)</f>
        <v>44068</v>
      </c>
      <c r="B1709" s="8" t="str">
        <f ca="1">IFERROR(__xludf.DUMMYFUNCTION("""COMPUTED_VALUE"""),"-33.682296,-71.221033")</f>
        <v>-33.682296,-71.221033</v>
      </c>
      <c r="C1709" s="6" t="str">
        <f ca="1">IFERROR(__xludf.DUMMYFUNCTION("""COMPUTED_VALUE"""),"ARZA 1025")</f>
        <v>ARZA 1025</v>
      </c>
      <c r="D1709" s="6" t="str">
        <f ca="1">IFERROR(__xludf.DUMMYFUNCTION("""COMPUTED_VALUE"""),"MELIPILLA")</f>
        <v>MELIPILLA</v>
      </c>
    </row>
    <row r="1710" spans="1:4">
      <c r="A1710" s="7">
        <f ca="1">IFERROR(__xludf.DUMMYFUNCTION("""COMPUTED_VALUE"""),44069)</f>
        <v>44069</v>
      </c>
      <c r="B1710" s="8" t="str">
        <f ca="1">IFERROR(__xludf.DUMMYFUNCTION("""COMPUTED_VALUE"""),"-33.736227,-70.781231")</f>
        <v>-33.736227,-70.781231</v>
      </c>
      <c r="C1710" s="6" t="str">
        <f ca="1">IFERROR(__xludf.DUMMYFUNCTION("""COMPUTED_VALUE"""),"SANTIBANÑEZ 369")</f>
        <v>SANTIBANÑEZ 369</v>
      </c>
      <c r="D1710" s="6" t="str">
        <f ca="1">IFERROR(__xludf.DUMMYFUNCTION("""COMPUTED_VALUE"""),"BUIN")</f>
        <v>BUIN</v>
      </c>
    </row>
    <row r="1711" spans="1:4">
      <c r="A1711" s="7">
        <f ca="1">IFERROR(__xludf.DUMMYFUNCTION("""COMPUTED_VALUE"""),44069)</f>
        <v>44069</v>
      </c>
      <c r="B1711" s="8" t="str">
        <f ca="1">IFERROR(__xludf.DUMMYFUNCTION("""COMPUTED_VALUE"""),"-33.502468,-71.256110")</f>
        <v>-33.502468,-71.256110</v>
      </c>
      <c r="C1711" s="6" t="str">
        <f ca="1">IFERROR(__xludf.DUMMYFUNCTION("""COMPUTED_VALUE"""),"ESPERANZA DE LOLEO 53")</f>
        <v>ESPERANZA DE LOLEO 53</v>
      </c>
      <c r="D1711" s="6" t="str">
        <f ca="1">IFERROR(__xludf.DUMMYFUNCTION("""COMPUTED_VALUE"""),"MARIA PINTO")</f>
        <v>MARIA PINTO</v>
      </c>
    </row>
    <row r="1712" spans="1:4">
      <c r="A1712" s="7">
        <f ca="1">IFERROR(__xludf.DUMMYFUNCTION("""COMPUTED_VALUE"""),44069)</f>
        <v>44069</v>
      </c>
      <c r="B1712" s="8" t="str">
        <f ca="1">IFERROR(__xludf.DUMMYFUNCTION("""COMPUTED_VALUE"""),"-33.457916,-71.094779")</f>
        <v>-33.457916,-71.094779</v>
      </c>
      <c r="C1712" s="6" t="str">
        <f ca="1">IFERROR(__xludf.DUMMYFUNCTION("""COMPUTED_VALUE"""),"CALLE LOS ESPINO S/N")</f>
        <v>CALLE LOS ESPINO S/N</v>
      </c>
      <c r="D1712" s="6" t="str">
        <f ca="1">IFERROR(__xludf.DUMMYFUNCTION("""COMPUTED_VALUE"""),"MARIA PINTO")</f>
        <v>MARIA PINTO</v>
      </c>
    </row>
    <row r="1713" spans="1:4">
      <c r="A1713" s="7">
        <f ca="1">IFERROR(__xludf.DUMMYFUNCTION("""COMPUTED_VALUE"""),44069)</f>
        <v>44069</v>
      </c>
      <c r="B1713" s="6" t="str">
        <f ca="1">IFERROR(__xludf.DUMMYFUNCTION("""COMPUTED_VALUE"""),"-33.624898-70.896356")</f>
        <v>-33.624898-70.896356</v>
      </c>
      <c r="C1713" s="6" t="str">
        <f ca="1">IFERROR(__xludf.DUMMYFUNCTION("""COMPUTED_VALUE"""),"AV. BERLIN PARC 31 LOTE C9")</f>
        <v>AV. BERLIN PARC 31 LOTE C9</v>
      </c>
      <c r="D1713" s="6" t="str">
        <f ca="1">IFERROR(__xludf.DUMMYFUNCTION("""COMPUTED_VALUE"""),"PEÑAFLOR")</f>
        <v>PEÑAFLOR</v>
      </c>
    </row>
    <row r="1714" spans="1:4">
      <c r="A1714" s="7">
        <f ca="1">IFERROR(__xludf.DUMMYFUNCTION("""COMPUTED_VALUE"""),44069)</f>
        <v>44069</v>
      </c>
      <c r="B1714" s="6" t="str">
        <f ca="1">IFERROR(__xludf.DUMMYFUNCTION("""COMPUTED_VALUE"""),"-33.602114-70.868006")</f>
        <v>-33.602114-70.868006</v>
      </c>
      <c r="C1714" s="6" t="str">
        <f ca="1">IFERROR(__xludf.DUMMYFUNCTION("""COMPUTED_VALUE"""),"ROSALES 1855 CASA F")</f>
        <v>ROSALES 1855 CASA F</v>
      </c>
      <c r="D1714" s="6" t="str">
        <f ca="1">IFERROR(__xludf.DUMMYFUNCTION("""COMPUTED_VALUE"""),"PEÑAFLOR")</f>
        <v>PEÑAFLOR</v>
      </c>
    </row>
    <row r="1715" spans="1:4">
      <c r="A1715" s="7">
        <f ca="1">IFERROR(__xludf.DUMMYFUNCTION("""COMPUTED_VALUE"""),44069)</f>
        <v>44069</v>
      </c>
      <c r="B1715" s="6" t="str">
        <f ca="1">IFERROR(__xludf.DUMMYFUNCTION("""COMPUTED_VALUE"""),"-33.6092-70.8746")</f>
        <v>-33.6092-70.8746</v>
      </c>
      <c r="C1715" s="6" t="str">
        <f ca="1">IFERROR(__xludf.DUMMYFUNCTION("""COMPUTED_VALUE"""),"LOS GUINDOS 1073")</f>
        <v>LOS GUINDOS 1073</v>
      </c>
      <c r="D1715" s="6" t="str">
        <f ca="1">IFERROR(__xludf.DUMMYFUNCTION("""COMPUTED_VALUE"""),"PEÑAFLOR")</f>
        <v>PEÑAFLOR</v>
      </c>
    </row>
    <row r="1716" spans="1:4">
      <c r="A1716" s="7">
        <f ca="1">IFERROR(__xludf.DUMMYFUNCTION("""COMPUTED_VALUE"""),44069)</f>
        <v>44069</v>
      </c>
      <c r="B1716" s="6" t="str">
        <f ca="1">IFERROR(__xludf.DUMMYFUNCTION("""COMPUTED_VALUE"""),"-33.6122-70.8945")</f>
        <v>-33.6122-70.8945</v>
      </c>
      <c r="C1716" s="6" t="str">
        <f ca="1">IFERROR(__xludf.DUMMYFUNCTION("""COMPUTED_VALUE"""),"FRANCISCO HIDALGO 56")</f>
        <v>FRANCISCO HIDALGO 56</v>
      </c>
      <c r="D1716" s="6" t="str">
        <f ca="1">IFERROR(__xludf.DUMMYFUNCTION("""COMPUTED_VALUE"""),"PEÑAFLOR")</f>
        <v>PEÑAFLOR</v>
      </c>
    </row>
    <row r="1717" spans="1:4">
      <c r="A1717" s="7">
        <f ca="1">IFERROR(__xludf.DUMMYFUNCTION("""COMPUTED_VALUE"""),44069)</f>
        <v>44069</v>
      </c>
      <c r="B1717" s="6" t="str">
        <f ca="1">IFERROR(__xludf.DUMMYFUNCTION("""COMPUTED_VALUE"""),"-33.685463,-71.007094")</f>
        <v>-33.685463,-71.007094</v>
      </c>
      <c r="C1717" s="6" t="str">
        <f ca="1">IFERROR(__xludf.DUMMYFUNCTION("""COMPUTED_VALUE"""),"LAS ROSAS 900")</f>
        <v>LAS ROSAS 900</v>
      </c>
      <c r="D1717" s="6" t="str">
        <f ca="1">IFERROR(__xludf.DUMMYFUNCTION("""COMPUTED_VALUE"""),"EL MONTE")</f>
        <v>EL MONTE</v>
      </c>
    </row>
    <row r="1718" spans="1:4">
      <c r="A1718" s="7">
        <f ca="1">IFERROR(__xludf.DUMMYFUNCTION("""COMPUTED_VALUE"""),44069)</f>
        <v>44069</v>
      </c>
      <c r="B1718" s="6" t="str">
        <f ca="1">IFERROR(__xludf.DUMMYFUNCTION("""COMPUTED_VALUE"""),"-33.675260,-70.982919")</f>
        <v>-33.675260,-70.982919</v>
      </c>
      <c r="C1718" s="6" t="str">
        <f ca="1">IFERROR(__xludf.DUMMYFUNCTION("""COMPUTED_VALUE"""),"TORIBIO CORREA 414")</f>
        <v>TORIBIO CORREA 414</v>
      </c>
      <c r="D1718" s="6" t="str">
        <f ca="1">IFERROR(__xludf.DUMMYFUNCTION("""COMPUTED_VALUE"""),"EL MONTE")</f>
        <v>EL MONTE</v>
      </c>
    </row>
    <row r="1719" spans="1:4">
      <c r="A1719" s="7">
        <f ca="1">IFERROR(__xludf.DUMMYFUNCTION("""COMPUTED_VALUE"""),44069)</f>
        <v>44069</v>
      </c>
      <c r="B1719" s="6" t="str">
        <f ca="1">IFERROR(__xludf.DUMMYFUNCTION("""COMPUTED_VALUE"""),"-33.244447 - 70.911628")</f>
        <v>-33.244447 - 70.911628</v>
      </c>
      <c r="C1719" s="6" t="str">
        <f ca="1">IFERROR(__xludf.DUMMYFUNCTION("""COMPUTED_VALUE"""),"VALLE CHICAUMA P/8 C/C")</f>
        <v>VALLE CHICAUMA P/8 C/C</v>
      </c>
      <c r="D1719" s="6" t="str">
        <f ca="1">IFERROR(__xludf.DUMMYFUNCTION("""COMPUTED_VALUE"""),"LAMPA")</f>
        <v>LAMPA</v>
      </c>
    </row>
    <row r="1720" spans="1:4">
      <c r="A1720" s="7">
        <f ca="1">IFERROR(__xludf.DUMMYFUNCTION("""COMPUTED_VALUE"""),44069)</f>
        <v>44069</v>
      </c>
      <c r="B1720" s="6" t="str">
        <f ca="1">IFERROR(__xludf.DUMMYFUNCTION("""COMPUTED_VALUE"""),"-33.324051 - 70.767793")</f>
        <v>-33.324051 - 70.767793</v>
      </c>
      <c r="C1720" s="6" t="str">
        <f ca="1">IFERROR(__xludf.DUMMYFUNCTION("""COMPUTED_VALUE"""),"LA CANADA 637 ")</f>
        <v xml:space="preserve">LA CANADA 637 </v>
      </c>
      <c r="D1720" s="6" t="str">
        <f ca="1">IFERROR(__xludf.DUMMYFUNCTION("""COMPUTED_VALUE"""),"LAMPA")</f>
        <v>LAMPA</v>
      </c>
    </row>
    <row r="1721" spans="1:4">
      <c r="A1721" s="7">
        <f ca="1">IFERROR(__xludf.DUMMYFUNCTION("""COMPUTED_VALUE"""),44069)</f>
        <v>44069</v>
      </c>
      <c r="B1721" s="8" t="str">
        <f ca="1">IFERROR(__xludf.DUMMYFUNCTION("""COMPUTED_VALUE"""),"-33.801110,-71.292491")</f>
        <v>-33.801110,-71.292491</v>
      </c>
      <c r="C1721" s="6" t="str">
        <f ca="1">IFERROR(__xludf.DUMMYFUNCTION("""COMPUTED_VALUE"""),"PARCELA 186 SECTOR 4 POPETA")</f>
        <v>PARCELA 186 SECTOR 4 POPETA</v>
      </c>
      <c r="D1721" s="6" t="str">
        <f ca="1">IFERROR(__xludf.DUMMYFUNCTION("""COMPUTED_VALUE"""),"MELIPILLA")</f>
        <v>MELIPILLA</v>
      </c>
    </row>
    <row r="1722" spans="1:4">
      <c r="A1722" s="7">
        <f ca="1">IFERROR(__xludf.DUMMYFUNCTION("""COMPUTED_VALUE"""),44069)</f>
        <v>44069</v>
      </c>
      <c r="B1722" s="8" t="str">
        <f ca="1">IFERROR(__xludf.DUMMYFUNCTION("""COMPUTED_VALUE"""),"-33.761713,-71.140693")</f>
        <v>-33.761713,-71.140693</v>
      </c>
      <c r="C1722" s="6" t="str">
        <f ca="1">IFERROR(__xludf.DUMMYFUNCTION("""COMPUTED_VALUE"""),"CARMEN DE LAS ROSAS SITIO A/R")</f>
        <v>CARMEN DE LAS ROSAS SITIO A/R</v>
      </c>
      <c r="D1722" s="6" t="str">
        <f ca="1">IFERROR(__xludf.DUMMYFUNCTION("""COMPUTED_VALUE"""),"MELIPILLA")</f>
        <v>MELIPILLA</v>
      </c>
    </row>
    <row r="1723" spans="1:4">
      <c r="A1723" s="7">
        <f ca="1">IFERROR(__xludf.DUMMYFUNCTION("""COMPUTED_VALUE"""),44070)</f>
        <v>44070</v>
      </c>
      <c r="B1723" s="8" t="str">
        <f ca="1">IFERROR(__xludf.DUMMYFUNCTION("""COMPUTED_VALUE"""),"-33.655032,-70.922914")</f>
        <v>-33.655032,-70.922914</v>
      </c>
      <c r="C1723" s="6" t="str">
        <f ca="1">IFERROR(__xludf.DUMMYFUNCTION("""COMPUTED_VALUE"""),"MANUEL VARGAS 352")</f>
        <v>MANUEL VARGAS 352</v>
      </c>
      <c r="D1723" s="6" t="str">
        <f ca="1">IFERROR(__xludf.DUMMYFUNCTION("""COMPUTED_VALUE"""),"TALAGANTE")</f>
        <v>TALAGANTE</v>
      </c>
    </row>
    <row r="1724" spans="1:4">
      <c r="A1724" s="7">
        <f ca="1">IFERROR(__xludf.DUMMYFUNCTION("""COMPUTED_VALUE"""),44070)</f>
        <v>44070</v>
      </c>
      <c r="B1724" s="8" t="str">
        <f ca="1">IFERROR(__xludf.DUMMYFUNCTION("""COMPUTED_VALUE"""),"33,462967,-71.079624")</f>
        <v>33,462967,-71.079624</v>
      </c>
      <c r="C1724" s="6" t="str">
        <f ca="1">IFERROR(__xludf.DUMMYFUNCTION("""COMPUTED_VALUE"""),"GABRIELA MISTRAL 1847")</f>
        <v>GABRIELA MISTRAL 1847</v>
      </c>
      <c r="D1724" s="6" t="str">
        <f ca="1">IFERROR(__xludf.DUMMYFUNCTION("""COMPUTED_VALUE"""),"MARIA PINTO")</f>
        <v>MARIA PINTO</v>
      </c>
    </row>
    <row r="1725" spans="1:4">
      <c r="A1725" s="7">
        <f ca="1">IFERROR(__xludf.DUMMYFUNCTION("""COMPUTED_VALUE"""),44070)</f>
        <v>44070</v>
      </c>
      <c r="B1725" s="8" t="str">
        <f ca="1">IFERROR(__xludf.DUMMYFUNCTION("""COMPUTED_VALUE"""),"-33.469237,-71.100526")</f>
        <v>-33.469237,-71.100526</v>
      </c>
      <c r="C1725" s="6" t="str">
        <f ca="1">IFERROR(__xludf.DUMMYFUNCTION("""COMPUTED_VALUE"""),"CALLE PRINSIPAL SANTA LUCIA LOS ESPINO")</f>
        <v>CALLE PRINSIPAL SANTA LUCIA LOS ESPINO</v>
      </c>
      <c r="D1725" s="6" t="str">
        <f ca="1">IFERROR(__xludf.DUMMYFUNCTION("""COMPUTED_VALUE"""),"MARIA PINTO")</f>
        <v>MARIA PINTO</v>
      </c>
    </row>
    <row r="1726" spans="1:4">
      <c r="A1726" s="7">
        <f ca="1">IFERROR(__xludf.DUMMYFUNCTION("""COMPUTED_VALUE"""),44070)</f>
        <v>44070</v>
      </c>
      <c r="B1726" s="8" t="str">
        <f ca="1">IFERROR(__xludf.DUMMYFUNCTION("""COMPUTED_VALUE"""),"-33.773434,71.248945")</f>
        <v>-33.773434,71.248945</v>
      </c>
      <c r="C1726" s="6" t="str">
        <f ca="1">IFERROR(__xludf.DUMMYFUNCTION("""COMPUTED_VALUE"""),"CULIPRAN 254E")</f>
        <v>CULIPRAN 254E</v>
      </c>
      <c r="D1726" s="6" t="str">
        <f ca="1">IFERROR(__xludf.DUMMYFUNCTION("""COMPUTED_VALUE"""),"MELIPILLA")</f>
        <v>MELIPILLA</v>
      </c>
    </row>
    <row r="1727" spans="1:4">
      <c r="A1727" s="7">
        <f ca="1">IFERROR(__xludf.DUMMYFUNCTION("""COMPUTED_VALUE"""),44070)</f>
        <v>44070</v>
      </c>
      <c r="B1727" s="6" t="str">
        <f ca="1">IFERROR(__xludf.DUMMYFUNCTION("""COMPUTED_VALUE"""),"-33.611907-70.860275")</f>
        <v>-33.611907-70.860275</v>
      </c>
      <c r="C1727" s="6" t="str">
        <f ca="1">IFERROR(__xludf.DUMMYFUNCTION("""COMPUTED_VALUE"""),"PA INT 1250 C")</f>
        <v>PA INT 1250 C</v>
      </c>
      <c r="D1727" s="6" t="str">
        <f ca="1">IFERROR(__xludf.DUMMYFUNCTION("""COMPUTED_VALUE"""),"PEÑAFLOR")</f>
        <v>PEÑAFLOR</v>
      </c>
    </row>
    <row r="1728" spans="1:4">
      <c r="A1728" s="7">
        <f ca="1">IFERROR(__xludf.DUMMYFUNCTION("""COMPUTED_VALUE"""),44070)</f>
        <v>44070</v>
      </c>
      <c r="B1728" s="6" t="str">
        <f ca="1">IFERROR(__xludf.DUMMYFUNCTION("""COMPUTED_VALUE"""),"-33.586496-70.885253")</f>
        <v>-33.586496-70.885253</v>
      </c>
      <c r="C1728" s="6" t="str">
        <f ca="1">IFERROR(__xludf.DUMMYFUNCTION("""COMPUTED_VALUE"""),"MANUEL RODRIGUEZ S/N POSTE 258 793")</f>
        <v>MANUEL RODRIGUEZ S/N POSTE 258 793</v>
      </c>
      <c r="D1728" s="6" t="str">
        <f ca="1">IFERROR(__xludf.DUMMYFUNCTION("""COMPUTED_VALUE"""),"PEÑAFLOR")</f>
        <v>PEÑAFLOR</v>
      </c>
    </row>
    <row r="1729" spans="1:4">
      <c r="A1729" s="7">
        <f ca="1">IFERROR(__xludf.DUMMYFUNCTION("""COMPUTED_VALUE"""),44070)</f>
        <v>44070</v>
      </c>
      <c r="B1729" s="6" t="str">
        <f ca="1">IFERROR(__xludf.DUMMYFUNCTION("""COMPUTED_VALUE"""),"-33.6124-70.8943")</f>
        <v>-33.6124-70.8943</v>
      </c>
      <c r="C1729" s="6" t="str">
        <f ca="1">IFERROR(__xludf.DUMMYFUNCTION("""COMPUTED_VALUE"""),"FRANCISCO HIDALGO 70")</f>
        <v>FRANCISCO HIDALGO 70</v>
      </c>
      <c r="D1729" s="6" t="str">
        <f ca="1">IFERROR(__xludf.DUMMYFUNCTION("""COMPUTED_VALUE"""),"PEÑAFLOR")</f>
        <v>PEÑAFLOR</v>
      </c>
    </row>
    <row r="1730" spans="1:4">
      <c r="A1730" s="7">
        <f ca="1">IFERROR(__xludf.DUMMYFUNCTION("""COMPUTED_VALUE"""),44070)</f>
        <v>44070</v>
      </c>
      <c r="B1730" s="6" t="str">
        <f ca="1">IFERROR(__xludf.DUMMYFUNCTION("""COMPUTED_VALUE"""),"-33.647381,-70.985728")</f>
        <v>-33.647381,-70.985728</v>
      </c>
      <c r="C1730" s="6" t="str">
        <f ca="1">IFERROR(__xludf.DUMMYFUNCTION("""COMPUTED_VALUE"""),"SAN MIGUEL 492")</f>
        <v>SAN MIGUEL 492</v>
      </c>
      <c r="D1730" s="6" t="str">
        <f ca="1">IFERROR(__xludf.DUMMYFUNCTION("""COMPUTED_VALUE"""),"EL MONTE")</f>
        <v>EL MONTE</v>
      </c>
    </row>
    <row r="1731" spans="1:4">
      <c r="A1731" s="7">
        <f ca="1">IFERROR(__xludf.DUMMYFUNCTION("""COMPUTED_VALUE"""),44070)</f>
        <v>44070</v>
      </c>
      <c r="B1731" s="6" t="str">
        <f ca="1">IFERROR(__xludf.DUMMYFUNCTION("""COMPUTED_VALUE"""),"-33.299687 - 70.880897")</f>
        <v>-33.299687 - 70.880897</v>
      </c>
      <c r="C1731" s="6" t="str">
        <f ca="1">IFERROR(__xludf.DUMMYFUNCTION("""COMPUTED_VALUE"""),"CAMINO LAS FLORES 1008 C/148")</f>
        <v>CAMINO LAS FLORES 1008 C/148</v>
      </c>
      <c r="D1731" s="6" t="str">
        <f ca="1">IFERROR(__xludf.DUMMYFUNCTION("""COMPUTED_VALUE"""),"LAMPA")</f>
        <v>LAMPA</v>
      </c>
    </row>
    <row r="1732" spans="1:4">
      <c r="A1732" s="7">
        <f ca="1">IFERROR(__xludf.DUMMYFUNCTION("""COMPUTED_VALUE"""),44070)</f>
        <v>44070</v>
      </c>
      <c r="B1732" s="6" t="str">
        <f ca="1">IFERROR(__xludf.DUMMYFUNCTION("""COMPUTED_VALUE"""),"-33.192705 - 70.681536")</f>
        <v>-33.192705 - 70.681536</v>
      </c>
      <c r="C1732" s="6" t="str">
        <f ca="1">IFERROR(__xludf.DUMMYFUNCTION("""COMPUTED_VALUE"""),"EL ALERCE 718")</f>
        <v>EL ALERCE 718</v>
      </c>
      <c r="D1732" s="6" t="str">
        <f ca="1">IFERROR(__xludf.DUMMYFUNCTION("""COMPUTED_VALUE"""),"COLINA")</f>
        <v>COLINA</v>
      </c>
    </row>
    <row r="1733" spans="1:4">
      <c r="A1733" s="7">
        <f ca="1">IFERROR(__xludf.DUMMYFUNCTION("""COMPUTED_VALUE"""),44070)</f>
        <v>44070</v>
      </c>
      <c r="B1733" s="8" t="str">
        <f ca="1">IFERROR(__xludf.DUMMYFUNCTION("""COMPUTED_VALUE"""),"-33.721365,-71.211613")</f>
        <v>-33.721365,-71.211613</v>
      </c>
      <c r="C1733" s="6" t="str">
        <f ca="1">IFERROR(__xludf.DUMMYFUNCTION("""COMPUTED_VALUE"""),"COARAPEL S/N SANTA ROSA")</f>
        <v>COARAPEL S/N SANTA ROSA</v>
      </c>
      <c r="D1733" s="6" t="str">
        <f ca="1">IFERROR(__xludf.DUMMYFUNCTION("""COMPUTED_VALUE"""),"MELIPILLA")</f>
        <v>MELIPILLA</v>
      </c>
    </row>
    <row r="1734" spans="1:4">
      <c r="A1734" s="7">
        <f ca="1">IFERROR(__xludf.DUMMYFUNCTION("""COMPUTED_VALUE"""),44070)</f>
        <v>44070</v>
      </c>
      <c r="B1734" s="8" t="str">
        <f ca="1">IFERROR(__xludf.DUMMYFUNCTION("""COMPUTED_VALUE"""),"-33.245182,-70.735184")</f>
        <v>-33.245182,-70.735184</v>
      </c>
      <c r="C1734" s="6" t="str">
        <f ca="1">IFERROR(__xludf.DUMMYFUNCTION("""COMPUTED_VALUE"""),"LA VIÑETA CASA 12-B")</f>
        <v>LA VIÑETA CASA 12-B</v>
      </c>
      <c r="D1734" s="6" t="str">
        <f ca="1">IFERROR(__xludf.DUMMYFUNCTION("""COMPUTED_VALUE"""),"COLINA")</f>
        <v>COLINA</v>
      </c>
    </row>
    <row r="1735" spans="1:4">
      <c r="A1735" s="7">
        <f ca="1">IFERROR(__xludf.DUMMYFUNCTION("""COMPUTED_VALUE"""),44070)</f>
        <v>44070</v>
      </c>
      <c r="B1735" s="8" t="str">
        <f ca="1">IFERROR(__xludf.DUMMYFUNCTION("""COMPUTED_VALUE"""),"-33.245106,-70.735442")</f>
        <v>-33.245106,-70.735442</v>
      </c>
      <c r="C1735" s="6" t="str">
        <f ca="1">IFERROR(__xludf.DUMMYFUNCTION("""COMPUTED_VALUE"""),"LA VIÑETA ")</f>
        <v xml:space="preserve">LA VIÑETA </v>
      </c>
      <c r="D1735" s="6" t="str">
        <f ca="1">IFERROR(__xludf.DUMMYFUNCTION("""COMPUTED_VALUE"""),"COLINA")</f>
        <v>COLINA</v>
      </c>
    </row>
    <row r="1736" spans="1:4">
      <c r="A1736" s="7">
        <f ca="1">IFERROR(__xludf.DUMMYFUNCTION("""COMPUTED_VALUE"""),44070)</f>
        <v>44070</v>
      </c>
      <c r="B1736" s="8" t="str">
        <f ca="1">IFERROR(__xludf.DUMMYFUNCTION("""COMPUTED_VALUE"""),"-33.244633,-70.735341")</f>
        <v>-33.244633,-70.735341</v>
      </c>
      <c r="C1736" s="6" t="str">
        <f ca="1">IFERROR(__xludf.DUMMYFUNCTION("""COMPUTED_VALUE"""),"LA VIÑETA CASA 11")</f>
        <v>LA VIÑETA CASA 11</v>
      </c>
      <c r="D1736" s="6" t="str">
        <f ca="1">IFERROR(__xludf.DUMMYFUNCTION("""COMPUTED_VALUE"""),"COLINA")</f>
        <v>COLINA</v>
      </c>
    </row>
    <row r="1737" spans="1:4">
      <c r="A1737" s="7">
        <f ca="1">IFERROR(__xludf.DUMMYFUNCTION("""COMPUTED_VALUE"""),44071)</f>
        <v>44071</v>
      </c>
      <c r="B1737" s="8" t="str">
        <f ca="1">IFERROR(__xludf.DUMMYFUNCTION("""COMPUTED_VALUE"""),"-33.692083,-71.225120")</f>
        <v>-33.692083,-71.225120</v>
      </c>
      <c r="C1737" s="6" t="str">
        <f ca="1">IFERROR(__xludf.DUMMYFUNCTION("""COMPUTED_VALUE"""),"RAPEL 1029")</f>
        <v>RAPEL 1029</v>
      </c>
      <c r="D1737" s="6" t="str">
        <f ca="1">IFERROR(__xludf.DUMMYFUNCTION("""COMPUTED_VALUE"""),"MELIPILLA")</f>
        <v>MELIPILLA</v>
      </c>
    </row>
    <row r="1738" spans="1:4">
      <c r="A1738" s="7">
        <f ca="1">IFERROR(__xludf.DUMMYFUNCTION("""COMPUTED_VALUE"""),44071)</f>
        <v>44071</v>
      </c>
      <c r="B1738" s="8" t="str">
        <f ca="1">IFERROR(__xludf.DUMMYFUNCTION("""COMPUTED_VALUE"""),"-33.484815,-71.140713")</f>
        <v>-33.484815,-71.140713</v>
      </c>
      <c r="C1738" s="6" t="str">
        <f ca="1">IFERROR(__xludf.DUMMYFUNCTION("""COMPUTED_VALUE"""),"EL BOSQUE 10")</f>
        <v>EL BOSQUE 10</v>
      </c>
      <c r="D1738" s="6" t="str">
        <f ca="1">IFERROR(__xludf.DUMMYFUNCTION("""COMPUTED_VALUE"""),"MARIA PINTO")</f>
        <v>MARIA PINTO</v>
      </c>
    </row>
    <row r="1739" spans="1:4">
      <c r="A1739" s="7">
        <f ca="1">IFERROR(__xludf.DUMMYFUNCTION("""COMPUTED_VALUE"""),44071)</f>
        <v>44071</v>
      </c>
      <c r="B1739" s="8" t="str">
        <f ca="1">IFERROR(__xludf.DUMMYFUNCTION("""COMPUTED_VALUE"""),"-33.461519,-71.082835")</f>
        <v>-33.461519,-71.082835</v>
      </c>
      <c r="C1739" s="6" t="str">
        <f ca="1">IFERROR(__xludf.DUMMYFUNCTION("""COMPUTED_VALUE"""),"LOS OLIVOS 395")</f>
        <v>LOS OLIVOS 395</v>
      </c>
      <c r="D1739" s="6" t="str">
        <f ca="1">IFERROR(__xludf.DUMMYFUNCTION("""COMPUTED_VALUE"""),"MARIA PINTO")</f>
        <v>MARIA PINTO</v>
      </c>
    </row>
    <row r="1740" spans="1:4">
      <c r="A1740" s="7">
        <f ca="1">IFERROR(__xludf.DUMMYFUNCTION("""COMPUTED_VALUE"""),44071)</f>
        <v>44071</v>
      </c>
      <c r="B1740" s="6" t="str">
        <f ca="1">IFERROR(__xludf.DUMMYFUNCTION("""COMPUTED_VALUE"""),"-33.599678-70.852488")</f>
        <v>-33.599678-70.852488</v>
      </c>
      <c r="C1740" s="6" t="str">
        <f ca="1">IFERROR(__xludf.DUMMYFUNCTION("""COMPUTED_VALUE"""),"LA CAMPANA 375")</f>
        <v>LA CAMPANA 375</v>
      </c>
      <c r="D1740" s="6" t="str">
        <f ca="1">IFERROR(__xludf.DUMMYFUNCTION("""COMPUTED_VALUE"""),"PEÑAFLOR")</f>
        <v>PEÑAFLOR</v>
      </c>
    </row>
    <row r="1741" spans="1:4">
      <c r="A1741" s="7">
        <f ca="1">IFERROR(__xludf.DUMMYFUNCTION("""COMPUTED_VALUE"""),44071)</f>
        <v>44071</v>
      </c>
      <c r="B1741" s="6" t="str">
        <f ca="1">IFERROR(__xludf.DUMMYFUNCTION("""COMPUTED_VALUE"""),"-33.6024706-70.8915671")</f>
        <v>-33.6024706-70.8915671</v>
      </c>
      <c r="C1741" s="6" t="str">
        <f ca="1">IFERROR(__xludf.DUMMYFUNCTION("""COMPUTED_VALUE"""),"MANUEL OJEDA 137")</f>
        <v>MANUEL OJEDA 137</v>
      </c>
      <c r="D1741" s="6" t="str">
        <f ca="1">IFERROR(__xludf.DUMMYFUNCTION("""COMPUTED_VALUE"""),"PEÑAFLOR")</f>
        <v>PEÑAFLOR</v>
      </c>
    </row>
    <row r="1742" spans="1:4">
      <c r="A1742" s="7">
        <f ca="1">IFERROR(__xludf.DUMMYFUNCTION("""COMPUTED_VALUE"""),44071)</f>
        <v>44071</v>
      </c>
      <c r="B1742" s="6" t="str">
        <f ca="1">IFERROR(__xludf.DUMMYFUNCTION("""COMPUTED_VALUE"""),"-33.649868,-71.014818")</f>
        <v>-33.649868,-71.014818</v>
      </c>
      <c r="C1742" s="6" t="str">
        <f ca="1">IFERROR(__xludf.DUMMYFUNCTION("""COMPUTED_VALUE"""),"PARCELA 17")</f>
        <v>PARCELA 17</v>
      </c>
      <c r="D1742" s="6" t="str">
        <f ca="1">IFERROR(__xludf.DUMMYFUNCTION("""COMPUTED_VALUE"""),"EL MONTE")</f>
        <v>EL MONTE</v>
      </c>
    </row>
    <row r="1743" spans="1:4">
      <c r="A1743" s="7">
        <f ca="1">IFERROR(__xludf.DUMMYFUNCTION("""COMPUTED_VALUE"""),44071)</f>
        <v>44071</v>
      </c>
      <c r="B1743" s="6" t="str">
        <f ca="1">IFERROR(__xludf.DUMMYFUNCTION("""COMPUTED_VALUE"""),"-33.084300 - 70.923086")</f>
        <v>-33.084300 - 70.923086</v>
      </c>
      <c r="C1743" s="6" t="str">
        <f ca="1">IFERROR(__xludf.DUMMYFUNCTION("""COMPUTED_VALUE"""),"MANUEL ROJAS N° 220 ")</f>
        <v xml:space="preserve">MANUEL ROJAS N° 220 </v>
      </c>
      <c r="D1743" s="6" t="str">
        <f ca="1">IFERROR(__xludf.DUMMYFUNCTION("""COMPUTED_VALUE"""),"TIL TIL")</f>
        <v>TIL TIL</v>
      </c>
    </row>
    <row r="1744" spans="1:4">
      <c r="A1744" s="7">
        <f ca="1">IFERROR(__xludf.DUMMYFUNCTION("""COMPUTED_VALUE"""),44072)</f>
        <v>44072</v>
      </c>
      <c r="B1744" s="6" t="str">
        <f ca="1">IFERROR(__xludf.DUMMYFUNCTION("""COMPUTED_VALUE"""),"-33.671843,-70.938335")</f>
        <v>-33.671843,-70.938335</v>
      </c>
      <c r="C1744" s="6" t="str">
        <f ca="1">IFERROR(__xludf.DUMMYFUNCTION("""COMPUTED_VALUE"""),"PJ PIEDRA CRUZ 2159-P ESMERALDA 4")</f>
        <v>PJ PIEDRA CRUZ 2159-P ESMERALDA 4</v>
      </c>
      <c r="D1744" s="6" t="str">
        <f ca="1">IFERROR(__xludf.DUMMYFUNCTION("""COMPUTED_VALUE"""),"TALAGANTE")</f>
        <v>TALAGANTE</v>
      </c>
    </row>
    <row r="1745" spans="1:4">
      <c r="A1745" s="7">
        <f ca="1">IFERROR(__xludf.DUMMYFUNCTION("""COMPUTED_VALUE"""),44072)</f>
        <v>44072</v>
      </c>
      <c r="B1745" s="6" t="str">
        <f ca="1">IFERROR(__xludf.DUMMYFUNCTION("""COMPUTED_VALUE"""),"-33.668574,-70.936455")</f>
        <v>-33.668574,-70.936455</v>
      </c>
      <c r="C1745" s="6" t="str">
        <f ca="1">IFERROR(__xludf.DUMMYFUNCTION("""COMPUTED_VALUE"""),"LOS ALEILIES 877")</f>
        <v>LOS ALEILIES 877</v>
      </c>
      <c r="D1745" s="6" t="str">
        <f ca="1">IFERROR(__xludf.DUMMYFUNCTION("""COMPUTED_VALUE"""),"TALAGANTE")</f>
        <v>TALAGANTE</v>
      </c>
    </row>
    <row r="1746" spans="1:4">
      <c r="A1746" s="7">
        <f ca="1">IFERROR(__xludf.DUMMYFUNCTION("""COMPUTED_VALUE"""),44072)</f>
        <v>44072</v>
      </c>
      <c r="B1746" s="6" t="str">
        <f ca="1">IFERROR(__xludf.DUMMYFUNCTION("""COMPUTED_VALUE"""),"-33.660877,-70.919749")</f>
        <v>-33.660877,-70.919749</v>
      </c>
      <c r="C1746" s="6" t="str">
        <f ca="1">IFERROR(__xludf.DUMMYFUNCTION("""COMPUTED_VALUE"""),"PA UNO 341/CHAITÉN VILLA TOCORNAL")</f>
        <v>PA UNO 341/CHAITÉN VILLA TOCORNAL</v>
      </c>
      <c r="D1746" s="6" t="str">
        <f ca="1">IFERROR(__xludf.DUMMYFUNCTION("""COMPUTED_VALUE"""),"TALAGANTE")</f>
        <v>TALAGANTE</v>
      </c>
    </row>
    <row r="1747" spans="1:4">
      <c r="A1747" s="7">
        <f ca="1">IFERROR(__xludf.DUMMYFUNCTION("""COMPUTED_VALUE"""),44072)</f>
        <v>44072</v>
      </c>
      <c r="B1747" s="6" t="str">
        <f ca="1">IFERROR(__xludf.DUMMYFUNCTION("""COMPUTED_VALUE"""),"-33.650447,-70.926217")</f>
        <v>-33.650447,-70.926217</v>
      </c>
      <c r="C1747" s="6" t="str">
        <f ca="1">IFERROR(__xludf.DUMMYFUNCTION("""COMPUTED_VALUE"""),"SAMUEL SANTANA 29")</f>
        <v>SAMUEL SANTANA 29</v>
      </c>
      <c r="D1747" s="6" t="str">
        <f ca="1">IFERROR(__xludf.DUMMYFUNCTION("""COMPUTED_VALUE"""),"TALAGANTE")</f>
        <v>TALAGANTE</v>
      </c>
    </row>
    <row r="1748" spans="1:4">
      <c r="A1748" s="7">
        <f ca="1">IFERROR(__xludf.DUMMYFUNCTION("""COMPUTED_VALUE"""),44072)</f>
        <v>44072</v>
      </c>
      <c r="B1748" s="6" t="str">
        <f ca="1">IFERROR(__xludf.DUMMYFUNCTION("""COMPUTED_VALUE"""),"-33.608109,-70.790486")</f>
        <v>-33.608109,-70.790486</v>
      </c>
      <c r="C1748" s="6" t="str">
        <f ca="1">IFERROR(__xludf.DUMMYFUNCTION("""COMPUTED_VALUE"""),"LONQUEN NORTE LOTE A1 B2 S/N")</f>
        <v>LONQUEN NORTE LOTE A1 B2 S/N</v>
      </c>
      <c r="D1748" s="6" t="str">
        <f ca="1">IFERROR(__xludf.DUMMYFUNCTION("""COMPUTED_VALUE"""),"CALERA DE TANGO")</f>
        <v>CALERA DE TANGO</v>
      </c>
    </row>
    <row r="1749" spans="1:4">
      <c r="A1749" s="7">
        <f ca="1">IFERROR(__xludf.DUMMYFUNCTION("""COMPUTED_VALUE"""),44072)</f>
        <v>44072</v>
      </c>
      <c r="B1749" s="6" t="str">
        <f ca="1">IFERROR(__xludf.DUMMYFUNCTION("""COMPUTED_VALUE"""),"-33.629325,-70.820005")</f>
        <v>-33.629325,-70.820005</v>
      </c>
      <c r="C1749" s="6" t="str">
        <f ca="1">IFERROR(__xludf.DUMMYFUNCTION("""COMPUTED_VALUE"""),"BRISAS DEL NORTE S/N C/B-3 LOS TILDOS")</f>
        <v>BRISAS DEL NORTE S/N C/B-3 LOS TILDOS</v>
      </c>
      <c r="D1749" s="6" t="str">
        <f ca="1">IFERROR(__xludf.DUMMYFUNCTION("""COMPUTED_VALUE"""),"CALERA DE TANGO")</f>
        <v>CALERA DE TANGO</v>
      </c>
    </row>
    <row r="1750" spans="1:4">
      <c r="A1750" s="7">
        <f ca="1">IFERROR(__xludf.DUMMYFUNCTION("""COMPUTED_VALUE"""),44074)</f>
        <v>44074</v>
      </c>
      <c r="B1750" s="8" t="str">
        <f ca="1">IFERROR(__xludf.DUMMYFUNCTION("""COMPUTED_VALUE"""),"-33.777989,-70.707355")</f>
        <v>-33.777989,-70.707355</v>
      </c>
      <c r="C1750" s="6" t="str">
        <f ca="1">IFERROR(__xludf.DUMMYFUNCTION("""COMPUTED_VALUE"""),"CAMINO EL CERRILLO 13")</f>
        <v>CAMINO EL CERRILLO 13</v>
      </c>
      <c r="D1750" s="6" t="str">
        <f ca="1">IFERROR(__xludf.DUMMYFUNCTION("""COMPUTED_VALUE"""),"BUIN")</f>
        <v>BUIN</v>
      </c>
    </row>
    <row r="1751" spans="1:4">
      <c r="A1751" s="7">
        <f ca="1">IFERROR(__xludf.DUMMYFUNCTION("""COMPUTED_VALUE"""),44074)</f>
        <v>44074</v>
      </c>
      <c r="B1751" s="8" t="str">
        <f ca="1">IFERROR(__xludf.DUMMYFUNCTION("""COMPUTED_VALUE"""),"-33.703049,-70.743436")</f>
        <v>-33.703049,-70.743436</v>
      </c>
      <c r="C1751" s="6" t="str">
        <f ca="1">IFERROR(__xludf.DUMMYFUNCTION("""COMPUTED_VALUE"""),"AV BAJOS DE MATE 3356")</f>
        <v>AV BAJOS DE MATE 3356</v>
      </c>
      <c r="D1751" s="6" t="str">
        <f ca="1">IFERROR(__xludf.DUMMYFUNCTION("""COMPUTED_VALUE"""),"BUIN")</f>
        <v>BUIN</v>
      </c>
    </row>
    <row r="1752" spans="1:4">
      <c r="A1752" s="7">
        <f ca="1">IFERROR(__xludf.DUMMYFUNCTION("""COMPUTED_VALUE"""),44074)</f>
        <v>44074</v>
      </c>
      <c r="B1752" s="6" t="str">
        <f ca="1">IFERROR(__xludf.DUMMYFUNCTION("""COMPUTED_VALUE"""),"-33.612456-70.901654")</f>
        <v>-33.612456-70.901654</v>
      </c>
      <c r="C1752" s="6" t="str">
        <f ca="1">IFERROR(__xludf.DUMMYFUNCTION("""COMPUTED_VALUE"""),"PJE DIECISEIS 3745")</f>
        <v>PJE DIECISEIS 3745</v>
      </c>
      <c r="D1752" s="6" t="str">
        <f ca="1">IFERROR(__xludf.DUMMYFUNCTION("""COMPUTED_VALUE"""),"PEÑAFLOR")</f>
        <v>PEÑAFLOR</v>
      </c>
    </row>
    <row r="1753" spans="1:4">
      <c r="A1753" s="7">
        <f ca="1">IFERROR(__xludf.DUMMYFUNCTION("""COMPUTED_VALUE"""),44074)</f>
        <v>44074</v>
      </c>
      <c r="B1753" s="6" t="str">
        <f ca="1">IFERROR(__xludf.DUMMYFUNCTION("""COMPUTED_VALUE"""),"-33.3885-71.1529")</f>
        <v>-33.3885-71.1529</v>
      </c>
      <c r="C1753" s="6" t="str">
        <f ca="1">IFERROR(__xludf.DUMMYFUNCTION("""COMPUTED_VALUE"""),"EL NARANJO PARC 77 LOTE 80")</f>
        <v>EL NARANJO PARC 77 LOTE 80</v>
      </c>
      <c r="D1753" s="6" t="str">
        <f ca="1">IFERROR(__xludf.DUMMYFUNCTION("""COMPUTED_VALUE"""),"CURACAVI")</f>
        <v>CURACAVI</v>
      </c>
    </row>
    <row r="1754" spans="1:4">
      <c r="A1754" s="7">
        <f ca="1">IFERROR(__xludf.DUMMYFUNCTION("""COMPUTED_VALUE"""),44074)</f>
        <v>44074</v>
      </c>
      <c r="B1754" s="6" t="str">
        <f ca="1">IFERROR(__xludf.DUMMYFUNCTION("""COMPUTED_VALUE"""),"-33.3885-71.1530")</f>
        <v>-33.3885-71.1530</v>
      </c>
      <c r="C1754" s="6" t="str">
        <f ca="1">IFERROR(__xludf.DUMMYFUNCTION("""COMPUTED_VALUE"""),"EL NARANJO PARC 77 LOTE 81")</f>
        <v>EL NARANJO PARC 77 LOTE 81</v>
      </c>
      <c r="D1754" s="6" t="str">
        <f ca="1">IFERROR(__xludf.DUMMYFUNCTION("""COMPUTED_VALUE"""),"CURACAVI")</f>
        <v>CURACAVI</v>
      </c>
    </row>
    <row r="1755" spans="1:4">
      <c r="A1755" s="7">
        <f ca="1">IFERROR(__xludf.DUMMYFUNCTION("""COMPUTED_VALUE"""),44074)</f>
        <v>44074</v>
      </c>
      <c r="B1755" s="6" t="str">
        <f ca="1">IFERROR(__xludf.DUMMYFUNCTION("""COMPUTED_VALUE"""),"-33.684420-71.196376")</f>
        <v>-33.684420-71.196376</v>
      </c>
      <c r="C1755" s="6" t="str">
        <f ca="1">IFERROR(__xludf.DUMMYFUNCTION("""COMPUTED_VALUE"""),"PJE. ANTONIO SALIERI 324")</f>
        <v>PJE. ANTONIO SALIERI 324</v>
      </c>
      <c r="D1755" s="6" t="str">
        <f ca="1">IFERROR(__xludf.DUMMYFUNCTION("""COMPUTED_VALUE"""),"MELIPILLA")</f>
        <v>MELIPILLA</v>
      </c>
    </row>
    <row r="1756" spans="1:4">
      <c r="A1756" s="7">
        <f ca="1">IFERROR(__xludf.DUMMYFUNCTION("""COMPUTED_VALUE"""),44074)</f>
        <v>44074</v>
      </c>
      <c r="B1756" s="6" t="str">
        <f ca="1">IFERROR(__xludf.DUMMYFUNCTION("""COMPUTED_VALUE"""),"-33.684284-71.195512")</f>
        <v>-33.684284-71.195512</v>
      </c>
      <c r="C1756" s="6" t="str">
        <f ca="1">IFERROR(__xludf.DUMMYFUNCTION("""COMPUTED_VALUE"""),"PJE. BIZET 321")</f>
        <v>PJE. BIZET 321</v>
      </c>
      <c r="D1756" s="6" t="str">
        <f ca="1">IFERROR(__xludf.DUMMYFUNCTION("""COMPUTED_VALUE"""),"MELIPILLA")</f>
        <v>MELIPILLA</v>
      </c>
    </row>
    <row r="1757" spans="1:4">
      <c r="A1757" s="7">
        <f ca="1">IFERROR(__xludf.DUMMYFUNCTION("""COMPUTED_VALUE"""),44074)</f>
        <v>44074</v>
      </c>
      <c r="B1757" s="6" t="str">
        <f ca="1">IFERROR(__xludf.DUMMYFUNCTION("""COMPUTED_VALUE"""),"-33.311822 - 70.864383")</f>
        <v>-33.311822 - 70.864383</v>
      </c>
      <c r="C1757" s="6" t="str">
        <f ca="1">IFERROR(__xludf.DUMMYFUNCTION("""COMPUTED_VALUE"""),"CAMINO INTERIOR S/N LOTE 14 ")</f>
        <v xml:space="preserve">CAMINO INTERIOR S/N LOTE 14 </v>
      </c>
      <c r="D1757" s="6" t="str">
        <f ca="1">IFERROR(__xludf.DUMMYFUNCTION("""COMPUTED_VALUE"""),"LAMPA")</f>
        <v>LAMPA</v>
      </c>
    </row>
    <row r="1758" spans="1:4">
      <c r="A1758" s="7">
        <f ca="1">IFERROR(__xludf.DUMMYFUNCTION("""COMPUTED_VALUE"""),44074)</f>
        <v>44074</v>
      </c>
      <c r="B1758" s="6" t="str">
        <f ca="1">IFERROR(__xludf.DUMMYFUNCTION("""COMPUTED_VALUE"""),"-33.312182 - 70.866239")</f>
        <v>-33.312182 - 70.866239</v>
      </c>
      <c r="C1758" s="6" t="str">
        <f ca="1">IFERROR(__xludf.DUMMYFUNCTION("""COMPUTED_VALUE"""),"CAMINO INTERIOR S/N LOTE 13 ")</f>
        <v xml:space="preserve">CAMINO INTERIOR S/N LOTE 13 </v>
      </c>
      <c r="D1758" s="6" t="str">
        <f ca="1">IFERROR(__xludf.DUMMYFUNCTION("""COMPUTED_VALUE"""),"LAMPA")</f>
        <v>LAMPA</v>
      </c>
    </row>
    <row r="1759" spans="1:4">
      <c r="A1759" s="7">
        <f ca="1">IFERROR(__xludf.DUMMYFUNCTION("""COMPUTED_VALUE"""),44074)</f>
        <v>44074</v>
      </c>
      <c r="B1759" s="6" t="str">
        <f ca="1">IFERROR(__xludf.DUMMYFUNCTION("""COMPUTED_VALUE"""),"-33.312182 - 70.866239")</f>
        <v>-33.312182 - 70.866239</v>
      </c>
      <c r="C1759" s="6" t="str">
        <f ca="1">IFERROR(__xludf.DUMMYFUNCTION("""COMPUTED_VALUE"""),"CAMINO INTERIOR S/N LOTE 13 ")</f>
        <v xml:space="preserve">CAMINO INTERIOR S/N LOTE 13 </v>
      </c>
      <c r="D1759" s="6" t="str">
        <f ca="1">IFERROR(__xludf.DUMMYFUNCTION("""COMPUTED_VALUE"""),"LAMPA")</f>
        <v>LAMPA</v>
      </c>
    </row>
    <row r="1760" spans="1:4">
      <c r="A1760" s="7">
        <f ca="1">IFERROR(__xludf.DUMMYFUNCTION("""COMPUTED_VALUE"""),44074)</f>
        <v>44074</v>
      </c>
      <c r="B1760" s="8" t="str">
        <f ca="1">IFERROR(__xludf.DUMMYFUNCTION("""COMPUTED_VALUE"""),"-33.646758,-71.152749")</f>
        <v>-33.646758,-71.152749</v>
      </c>
      <c r="C1760" s="6" t="str">
        <f ca="1">IFERROR(__xludf.DUMMYFUNCTION("""COMPUTED_VALUE"""),"GENERAL BAQUEDANO 540")</f>
        <v>GENERAL BAQUEDANO 540</v>
      </c>
      <c r="D1760" s="6" t="str">
        <f ca="1">IFERROR(__xludf.DUMMYFUNCTION("""COMPUTED_VALUE"""),"MELIPILLA")</f>
        <v>MELIPILLA</v>
      </c>
    </row>
    <row r="1761" spans="1:4">
      <c r="A1761" s="7">
        <f ca="1">IFERROR(__xludf.DUMMYFUNCTION("""COMPUTED_VALUE"""),44074)</f>
        <v>44074</v>
      </c>
      <c r="B1761" s="8" t="str">
        <f ca="1">IFERROR(__xludf.DUMMYFUNCTION("""COMPUTED_VALUE"""),"-33.675817,-71.21071")</f>
        <v>-33.675817,-71.21071</v>
      </c>
      <c r="C1761" s="6" t="str">
        <f ca="1">IFERROR(__xludf.DUMMYFUNCTION("""COMPUTED_VALUE"""),"OSTALAZAS 222")</f>
        <v>OSTALAZAS 222</v>
      </c>
      <c r="D1761" s="6" t="str">
        <f ca="1">IFERROR(__xludf.DUMMYFUNCTION("""COMPUTED_VALUE"""),"MELIPILLA")</f>
        <v>MELIPILLA</v>
      </c>
    </row>
    <row r="1762" spans="1:4">
      <c r="A1762" s="7">
        <f ca="1">IFERROR(__xludf.DUMMYFUNCTION("""COMPUTED_VALUE"""),44075)</f>
        <v>44075</v>
      </c>
      <c r="B1762" s="8" t="str">
        <f ca="1">IFERROR(__xludf.DUMMYFUNCTION("""COMPUTED_VALUE"""),"-33.578529,-70.828418")</f>
        <v>-33.578529,-70.828418</v>
      </c>
      <c r="C1762" s="6" t="str">
        <f ca="1">IFERROR(__xludf.DUMMYFUNCTION("""COMPUTED_VALUE"""),"CHAULLIN 16")</f>
        <v>CHAULLIN 16</v>
      </c>
      <c r="D1762" s="6" t="str">
        <f ca="1">IFERROR(__xludf.DUMMYFUNCTION("""COMPUTED_VALUE"""),"PADRE HURTADO")</f>
        <v>PADRE HURTADO</v>
      </c>
    </row>
    <row r="1763" spans="1:4">
      <c r="A1763" s="7">
        <f ca="1">IFERROR(__xludf.DUMMYFUNCTION("""COMPUTED_VALUE"""),44075)</f>
        <v>44075</v>
      </c>
      <c r="B1763" s="6" t="str">
        <f ca="1">IFERROR(__xludf.DUMMYFUNCTION("""COMPUTED_VALUE"""),"-33.6045517-70.8862840")</f>
        <v>-33.6045517-70.8862840</v>
      </c>
      <c r="C1763" s="6" t="str">
        <f ca="1">IFERROR(__xludf.DUMMYFUNCTION("""COMPUTED_VALUE"""),"VEINTIUNO DE MAYO 2829")</f>
        <v>VEINTIUNO DE MAYO 2829</v>
      </c>
      <c r="D1763" s="6" t="str">
        <f ca="1">IFERROR(__xludf.DUMMYFUNCTION("""COMPUTED_VALUE"""),"PEÑAFLOR")</f>
        <v>PEÑAFLOR</v>
      </c>
    </row>
    <row r="1764" spans="1:4">
      <c r="A1764" s="7">
        <f ca="1">IFERROR(__xludf.DUMMYFUNCTION("""COMPUTED_VALUE"""),44075)</f>
        <v>44075</v>
      </c>
      <c r="B1764" s="6" t="str">
        <f ca="1">IFERROR(__xludf.DUMMYFUNCTION("""COMPUTED_VALUE"""),"-33.6032828-70.8759644")</f>
        <v>-33.6032828-70.8759644</v>
      </c>
      <c r="C1764" s="6" t="str">
        <f ca="1">IFERROR(__xludf.DUMMYFUNCTION("""COMPUTED_VALUE"""),"PJE.DONA LISA 2095")</f>
        <v>PJE.DONA LISA 2095</v>
      </c>
      <c r="D1764" s="6" t="str">
        <f ca="1">IFERROR(__xludf.DUMMYFUNCTION("""COMPUTED_VALUE"""),"PEÑAFLOR")</f>
        <v>PEÑAFLOR</v>
      </c>
    </row>
    <row r="1765" spans="1:4">
      <c r="A1765" s="7">
        <f ca="1">IFERROR(__xludf.DUMMYFUNCTION("""COMPUTED_VALUE"""),44075)</f>
        <v>44075</v>
      </c>
      <c r="B1765" s="6" t="str">
        <f ca="1">IFERROR(__xludf.DUMMYFUNCTION("""COMPUTED_VALUE"""),"-33.432386-71.032851")</f>
        <v>-33.432386-71.032851</v>
      </c>
      <c r="C1765" s="6" t="str">
        <f ca="1">IFERROR(__xludf.DUMMYFUNCTION("""COMPUTED_VALUE"""),"UNION SAN JOSE S/N SITIO 17")</f>
        <v>UNION SAN JOSE S/N SITIO 17</v>
      </c>
      <c r="D1765" s="6" t="str">
        <f ca="1">IFERROR(__xludf.DUMMYFUNCTION("""COMPUTED_VALUE"""),"CURACAVI")</f>
        <v>CURACAVI</v>
      </c>
    </row>
    <row r="1766" spans="1:4">
      <c r="A1766" s="7">
        <f ca="1">IFERROR(__xludf.DUMMYFUNCTION("""COMPUTED_VALUE"""),44075)</f>
        <v>44075</v>
      </c>
      <c r="B1766" s="6" t="str">
        <f ca="1">IFERROR(__xludf.DUMMYFUNCTION("""COMPUTED_VALUE"""),"-33.432386-71.032851")</f>
        <v>-33.432386-71.032851</v>
      </c>
      <c r="C1766" s="6" t="str">
        <f ca="1">IFERROR(__xludf.DUMMYFUNCTION("""COMPUTED_VALUE"""),"UNION SAN JOSE S/N SITIO 17")</f>
        <v>UNION SAN JOSE S/N SITIO 17</v>
      </c>
      <c r="D1766" s="6" t="str">
        <f ca="1">IFERROR(__xludf.DUMMYFUNCTION("""COMPUTED_VALUE"""),"CURACAVI")</f>
        <v>CURACAVI</v>
      </c>
    </row>
    <row r="1767" spans="1:4">
      <c r="A1767" s="7">
        <f ca="1">IFERROR(__xludf.DUMMYFUNCTION("""COMPUTED_VALUE"""),44075)</f>
        <v>44075</v>
      </c>
      <c r="B1767" s="6" t="str">
        <f ca="1">IFERROR(__xludf.DUMMYFUNCTION("""COMPUTED_VALUE"""),"-33.459906-71.036532")</f>
        <v>-33.459906-71.036532</v>
      </c>
      <c r="C1767" s="6" t="str">
        <f ca="1">IFERROR(__xludf.DUMMYFUNCTION("""COMPUTED_VALUE"""),"SANTA ROSA 850")</f>
        <v>SANTA ROSA 850</v>
      </c>
      <c r="D1767" s="6" t="str">
        <f ca="1">IFERROR(__xludf.DUMMYFUNCTION("""COMPUTED_VALUE"""),"CURACAVI")</f>
        <v>CURACAVI</v>
      </c>
    </row>
    <row r="1768" spans="1:4">
      <c r="A1768" s="7">
        <f ca="1">IFERROR(__xludf.DUMMYFUNCTION("""COMPUTED_VALUE"""),44075)</f>
        <v>44075</v>
      </c>
      <c r="B1768" s="8" t="str">
        <f ca="1">IFERROR(__xludf.DUMMYFUNCTION("""COMPUTED_VALUE"""),"-33.570377,-71.206947")</f>
        <v>-33.570377,-71.206947</v>
      </c>
      <c r="C1768" s="6" t="str">
        <f ca="1">IFERROR(__xludf.DUMMYFUNCTION("""COMPUTED_VALUE"""),"AVDA ANSELMO ALARCÓN 393")</f>
        <v>AVDA ANSELMO ALARCÓN 393</v>
      </c>
      <c r="D1768" s="6" t="str">
        <f ca="1">IFERROR(__xludf.DUMMYFUNCTION("""COMPUTED_VALUE"""),"MELIPILLA")</f>
        <v>MELIPILLA</v>
      </c>
    </row>
    <row r="1769" spans="1:4">
      <c r="A1769" s="7">
        <f ca="1">IFERROR(__xludf.DUMMYFUNCTION("""COMPUTED_VALUE"""),44075)</f>
        <v>44075</v>
      </c>
      <c r="B1769" s="8" t="str">
        <f ca="1">IFERROR(__xludf.DUMMYFUNCTION("""COMPUTED_VALUE"""),"-'33.674413,-71.217186")</f>
        <v>-'33.674413,-71.217186</v>
      </c>
      <c r="C1769" s="6" t="str">
        <f ca="1">IFERROR(__xludf.DUMMYFUNCTION("""COMPUTED_VALUE"""),"JOSÉ MASSAUD 532")</f>
        <v>JOSÉ MASSAUD 532</v>
      </c>
      <c r="D1769" s="6" t="str">
        <f ca="1">IFERROR(__xludf.DUMMYFUNCTION("""COMPUTED_VALUE"""),"MELIPILLA")</f>
        <v>MELIPILLA</v>
      </c>
    </row>
    <row r="1770" spans="1:4">
      <c r="A1770" s="7">
        <f ca="1">IFERROR(__xludf.DUMMYFUNCTION("""COMPUTED_VALUE"""),44076)</f>
        <v>44076</v>
      </c>
      <c r="B1770" s="8" t="str">
        <f ca="1">IFERROR(__xludf.DUMMYFUNCTION("""COMPUTED_VALUE"""),"-33.570072,-71.209614")</f>
        <v>-33.570072,-71.209614</v>
      </c>
      <c r="C1770" s="6" t="str">
        <f ca="1">IFERROR(__xludf.DUMMYFUNCTION("""COMPUTED_VALUE"""),"VILLA LAS CAMELIAS 15")</f>
        <v>VILLA LAS CAMELIAS 15</v>
      </c>
      <c r="D1770" s="6" t="str">
        <f ca="1">IFERROR(__xludf.DUMMYFUNCTION("""COMPUTED_VALUE"""),"MELIPILLA")</f>
        <v>MELIPILLA</v>
      </c>
    </row>
    <row r="1771" spans="1:4">
      <c r="A1771" s="7">
        <f ca="1">IFERROR(__xludf.DUMMYFUNCTION("""COMPUTED_VALUE"""),44076)</f>
        <v>44076</v>
      </c>
      <c r="B1771" s="8" t="str">
        <f ca="1">IFERROR(__xludf.DUMMYFUNCTION("""COMPUTED_VALUE"""),"-33.572787,-70.818602")</f>
        <v>-33.572787,-70.818602</v>
      </c>
      <c r="C1771" s="6" t="str">
        <f ca="1">IFERROR(__xludf.DUMMYFUNCTION("""COMPUTED_VALUE"""),"LOS METODISTOS 2755")</f>
        <v>LOS METODISTOS 2755</v>
      </c>
      <c r="D1771" s="6" t="str">
        <f ca="1">IFERROR(__xludf.DUMMYFUNCTION("""COMPUTED_VALUE"""),"PADRE HURTADO")</f>
        <v>PADRE HURTADO</v>
      </c>
    </row>
    <row r="1772" spans="1:4">
      <c r="A1772" s="7">
        <f ca="1">IFERROR(__xludf.DUMMYFUNCTION("""COMPUTED_VALUE"""),44076)</f>
        <v>44076</v>
      </c>
      <c r="B1772" s="6" t="str">
        <f ca="1">IFERROR(__xludf.DUMMYFUNCTION("""COMPUTED_VALUE"""),"-33.600051-70.8722277")</f>
        <v>-33.600051-70.8722277</v>
      </c>
      <c r="C1772" s="6" t="str">
        <f ca="1">IFERROR(__xludf.DUMMYFUNCTION("""COMPUTED_VALUE"""),"CUATRO 1975")</f>
        <v>CUATRO 1975</v>
      </c>
      <c r="D1772" s="6" t="str">
        <f ca="1">IFERROR(__xludf.DUMMYFUNCTION("""COMPUTED_VALUE"""),"PEÑAFLOR")</f>
        <v>PEÑAFLOR</v>
      </c>
    </row>
    <row r="1773" spans="1:4">
      <c r="A1773" s="7">
        <f ca="1">IFERROR(__xludf.DUMMYFUNCTION("""COMPUTED_VALUE"""),44076)</f>
        <v>44076</v>
      </c>
      <c r="B1773" s="6" t="str">
        <f ca="1">IFERROR(__xludf.DUMMYFUNCTION("""COMPUTED_VALUE"""),"-33.600579-70.871369")</f>
        <v>-33.600579-70.871369</v>
      </c>
      <c r="C1773" s="6" t="str">
        <f ca="1">IFERROR(__xludf.DUMMYFUNCTION("""COMPUTED_VALUE"""),"NUEVA DOS 1810")</f>
        <v>NUEVA DOS 1810</v>
      </c>
      <c r="D1773" s="6" t="str">
        <f ca="1">IFERROR(__xludf.DUMMYFUNCTION("""COMPUTED_VALUE"""),"PEÑAFLOR")</f>
        <v>PEÑAFLOR</v>
      </c>
    </row>
    <row r="1774" spans="1:4">
      <c r="A1774" s="7">
        <f ca="1">IFERROR(__xludf.DUMMYFUNCTION("""COMPUTED_VALUE"""),44076)</f>
        <v>44076</v>
      </c>
      <c r="B1774" s="6" t="str">
        <f ca="1">IFERROR(__xludf.DUMMYFUNCTION("""COMPUTED_VALUE"""),"-33.503286-71.004132")</f>
        <v>-33.503286-71.004132</v>
      </c>
      <c r="C1774" s="6" t="str">
        <f ca="1">IFERROR(__xludf.DUMMYFUNCTION("""COMPUTED_VALUE"""),"COLO COLO S/N PARCELA 34")</f>
        <v>COLO COLO S/N PARCELA 34</v>
      </c>
      <c r="D1774" s="6" t="str">
        <f ca="1">IFERROR(__xludf.DUMMYFUNCTION("""COMPUTED_VALUE"""),"CURACAVI")</f>
        <v>CURACAVI</v>
      </c>
    </row>
    <row r="1775" spans="1:4">
      <c r="A1775" s="7">
        <f ca="1">IFERROR(__xludf.DUMMYFUNCTION("""COMPUTED_VALUE"""),44076)</f>
        <v>44076</v>
      </c>
      <c r="B1775" s="6" t="str">
        <f ca="1">IFERROR(__xludf.DUMMYFUNCTION("""COMPUTED_VALUE"""),"-33.503286-71.004132")</f>
        <v>-33.503286-71.004132</v>
      </c>
      <c r="C1775" s="6" t="str">
        <f ca="1">IFERROR(__xludf.DUMMYFUNCTION("""COMPUTED_VALUE"""),"COLO COLO S/N PARCELA 34")</f>
        <v>COLO COLO S/N PARCELA 34</v>
      </c>
      <c r="D1775" s="6" t="str">
        <f ca="1">IFERROR(__xludf.DUMMYFUNCTION("""COMPUTED_VALUE"""),"CURACAVI")</f>
        <v>CURACAVI</v>
      </c>
    </row>
    <row r="1776" spans="1:4">
      <c r="A1776" s="7">
        <f ca="1">IFERROR(__xludf.DUMMYFUNCTION("""COMPUTED_VALUE"""),44076)</f>
        <v>44076</v>
      </c>
      <c r="B1776" s="6" t="str">
        <f ca="1">IFERROR(__xludf.DUMMYFUNCTION("""COMPUTED_VALUE"""),"-33.502028-71.004182")</f>
        <v>-33.502028-71.004182</v>
      </c>
      <c r="C1776" s="6" t="str">
        <f ca="1">IFERROR(__xludf.DUMMYFUNCTION("""COMPUTED_VALUE"""),"COLO COLO PARCELA 34")</f>
        <v>COLO COLO PARCELA 34</v>
      </c>
      <c r="D1776" s="6" t="str">
        <f ca="1">IFERROR(__xludf.DUMMYFUNCTION("""COMPUTED_VALUE"""),"CURACAVI")</f>
        <v>CURACAVI</v>
      </c>
    </row>
    <row r="1777" spans="1:4">
      <c r="A1777" s="7">
        <f ca="1">IFERROR(__xludf.DUMMYFUNCTION("""COMPUTED_VALUE"""),44076)</f>
        <v>44076</v>
      </c>
      <c r="B1777" s="6" t="str">
        <f ca="1">IFERROR(__xludf.DUMMYFUNCTION("""COMPUTED_VALUE"""),"-33.503203-71.320021")</f>
        <v>-33.503203-71.320021</v>
      </c>
      <c r="C1777" s="6" t="str">
        <f ca="1">IFERROR(__xludf.DUMMYFUNCTION("""COMPUTED_VALUE"""),"BATALLA SAN JUAN SITIO 1 PARC 10")</f>
        <v>BATALLA SAN JUAN SITIO 1 PARC 10</v>
      </c>
      <c r="D1777" s="6" t="str">
        <f ca="1">IFERROR(__xludf.DUMMYFUNCTION("""COMPUTED_VALUE"""),"CURACAVI")</f>
        <v>CURACAVI</v>
      </c>
    </row>
    <row r="1778" spans="1:4">
      <c r="A1778" s="7">
        <f ca="1">IFERROR(__xludf.DUMMYFUNCTION("""COMPUTED_VALUE"""),44076)</f>
        <v>44076</v>
      </c>
      <c r="B1778" s="6" t="str">
        <f ca="1">IFERROR(__xludf.DUMMYFUNCTION("""COMPUTED_VALUE"""),"-33.6096904-70.8671132")</f>
        <v>-33.6096904-70.8671132</v>
      </c>
      <c r="C1778" s="6" t="str">
        <f ca="1">IFERROR(__xludf.DUMMYFUNCTION("""COMPUTED_VALUE"""),"PABLO BUCHARD 960")</f>
        <v>PABLO BUCHARD 960</v>
      </c>
      <c r="D1778" s="6" t="str">
        <f ca="1">IFERROR(__xludf.DUMMYFUNCTION("""COMPUTED_VALUE"""),"PEÑAFLOR")</f>
        <v>PEÑAFLOR</v>
      </c>
    </row>
    <row r="1779" spans="1:4">
      <c r="A1779" s="7">
        <f ca="1">IFERROR(__xludf.DUMMYFUNCTION("""COMPUTED_VALUE"""),44076)</f>
        <v>44076</v>
      </c>
      <c r="B1779" s="6" t="str">
        <f ca="1">IFERROR(__xludf.DUMMYFUNCTION("""COMPUTED_VALUE"""),"-33.615930-70.885826")</f>
        <v>-33.615930-70.885826</v>
      </c>
      <c r="C1779" s="6" t="str">
        <f ca="1">IFERROR(__xludf.DUMMYFUNCTION("""COMPUTED_VALUE"""),"VICUÑA MACKENNA 2146 PARC 49")</f>
        <v>VICUÑA MACKENNA 2146 PARC 49</v>
      </c>
      <c r="D1779" s="6" t="str">
        <f ca="1">IFERROR(__xludf.DUMMYFUNCTION("""COMPUTED_VALUE"""),"PEÑAFLOR")</f>
        <v>PEÑAFLOR</v>
      </c>
    </row>
    <row r="1780" spans="1:4">
      <c r="A1780" s="7">
        <f ca="1">IFERROR(__xludf.DUMMYFUNCTION("""COMPUTED_VALUE"""),44076)</f>
        <v>44076</v>
      </c>
      <c r="B1780" s="6" t="str">
        <f ca="1">IFERROR(__xludf.DUMMYFUNCTION("""COMPUTED_VALUE"""),"-33.615930-70.885827")</f>
        <v>-33.615930-70.885827</v>
      </c>
      <c r="C1780" s="6" t="str">
        <f ca="1">IFERROR(__xludf.DUMMYFUNCTION("""COMPUTED_VALUE"""),"VICUÑA MACKENNA 2146 PARC 49")</f>
        <v>VICUÑA MACKENNA 2146 PARC 49</v>
      </c>
      <c r="D1780" s="6" t="str">
        <f ca="1">IFERROR(__xludf.DUMMYFUNCTION("""COMPUTED_VALUE"""),"PEÑAFLOR")</f>
        <v>PEÑAFLOR</v>
      </c>
    </row>
    <row r="1781" spans="1:4">
      <c r="A1781" s="7">
        <f ca="1">IFERROR(__xludf.DUMMYFUNCTION("""COMPUTED_VALUE"""),44076)</f>
        <v>44076</v>
      </c>
      <c r="B1781" s="6" t="str">
        <f ca="1">IFERROR(__xludf.DUMMYFUNCTION("""COMPUTED_VALUE"""),"-33.693064,-70.962815")</f>
        <v>-33.693064,-70.962815</v>
      </c>
      <c r="C1781" s="6" t="str">
        <f ca="1">IFERROR(__xludf.DUMMYFUNCTION("""COMPUTED_VALUE"""),"SECTOR EL MONTE 16/ CAMINO LAS PALMAS 16")</f>
        <v>SECTOR EL MONTE 16/ CAMINO LAS PALMAS 16</v>
      </c>
      <c r="D1781" s="6" t="str">
        <f ca="1">IFERROR(__xludf.DUMMYFUNCTION("""COMPUTED_VALUE"""),"EL MONTE")</f>
        <v>EL MONTE</v>
      </c>
    </row>
    <row r="1782" spans="1:4">
      <c r="A1782" s="7">
        <f ca="1">IFERROR(__xludf.DUMMYFUNCTION("""COMPUTED_VALUE"""),44076)</f>
        <v>44076</v>
      </c>
      <c r="B1782" s="6" t="str">
        <f ca="1">IFERROR(__xludf.DUMMYFUNCTION("""COMPUTED_VALUE"""),"-33.693064,-70.962815")</f>
        <v>-33.693064,-70.962815</v>
      </c>
      <c r="C1782" s="6" t="str">
        <f ca="1">IFERROR(__xludf.DUMMYFUNCTION("""COMPUTED_VALUE"""),"SECTOR EL MONTE 16/ CAMINO LAS PALMAS 16")</f>
        <v>SECTOR EL MONTE 16/ CAMINO LAS PALMAS 16</v>
      </c>
      <c r="D1782" s="6" t="str">
        <f ca="1">IFERROR(__xludf.DUMMYFUNCTION("""COMPUTED_VALUE"""),"EL MONTE")</f>
        <v>EL MONTE</v>
      </c>
    </row>
    <row r="1783" spans="1:4">
      <c r="A1783" s="7">
        <f ca="1">IFERROR(__xludf.DUMMYFUNCTION("""COMPUTED_VALUE"""),44076)</f>
        <v>44076</v>
      </c>
      <c r="B1783" s="6" t="str">
        <f ca="1">IFERROR(__xludf.DUMMYFUNCTION("""COMPUTED_VALUE"""),"-33.772784,-71.285181")</f>
        <v>-33.772784,-71.285181</v>
      </c>
      <c r="C1783" s="6" t="str">
        <f ca="1">IFERROR(__xludf.DUMMYFUNCTION("""COMPUTED_VALUE"""),"SAN MANUEL S/N-CV34")</f>
        <v>SAN MANUEL S/N-CV34</v>
      </c>
      <c r="D1783" s="6" t="str">
        <f ca="1">IFERROR(__xludf.DUMMYFUNCTION("""COMPUTED_VALUE"""),"MELIPILLA")</f>
        <v>MELIPILLA</v>
      </c>
    </row>
    <row r="1784" spans="1:4">
      <c r="A1784" s="7">
        <f ca="1">IFERROR(__xludf.DUMMYFUNCTION("""COMPUTED_VALUE"""),44076)</f>
        <v>44076</v>
      </c>
      <c r="B1784" s="6" t="str">
        <f ca="1">IFERROR(__xludf.DUMMYFUNCTION("""COMPUTED_VALUE"""),"-33.675062,-71.173286")</f>
        <v>-33.675062,-71.173286</v>
      </c>
      <c r="C1784" s="6" t="str">
        <f ca="1">IFERROR(__xludf.DUMMYFUNCTION("""COMPUTED_VALUE"""),"CALLE HUNGRIA 105")</f>
        <v>CALLE HUNGRIA 105</v>
      </c>
      <c r="D1784" s="6" t="str">
        <f ca="1">IFERROR(__xludf.DUMMYFUNCTION("""COMPUTED_VALUE"""),"MELIPILLA")</f>
        <v>MELIPILLA</v>
      </c>
    </row>
    <row r="1785" spans="1:4">
      <c r="A1785" s="7">
        <f ca="1">IFERROR(__xludf.DUMMYFUNCTION("""COMPUTED_VALUE"""),44076)</f>
        <v>44076</v>
      </c>
      <c r="B1785" s="6" t="str">
        <f ca="1">IFERROR(__xludf.DUMMYFUNCTION("""COMPUTED_VALUE"""),"-33.649868,-71.014818")</f>
        <v>-33.649868,-71.014818</v>
      </c>
      <c r="C1785" s="6" t="str">
        <f ca="1">IFERROR(__xludf.DUMMYFUNCTION("""COMPUTED_VALUE"""),"PARCELA 17")</f>
        <v>PARCELA 17</v>
      </c>
      <c r="D1785" s="6" t="str">
        <f ca="1">IFERROR(__xludf.DUMMYFUNCTION("""COMPUTED_VALUE"""),"EL MONTE")</f>
        <v>EL MONTE</v>
      </c>
    </row>
    <row r="1786" spans="1:4">
      <c r="A1786" s="7">
        <f ca="1">IFERROR(__xludf.DUMMYFUNCTION("""COMPUTED_VALUE"""),44076)</f>
        <v>44076</v>
      </c>
      <c r="B1786" s="6" t="str">
        <f ca="1">IFERROR(__xludf.DUMMYFUNCTION("""COMPUTED_VALUE"""),"-33.684317,-70.997045")</f>
        <v>-33.684317,-70.997045</v>
      </c>
      <c r="C1786" s="6" t="str">
        <f ca="1">IFERROR(__xludf.DUMMYFUNCTION("""COMPUTED_VALUE"""),"AMBAR 787")</f>
        <v>AMBAR 787</v>
      </c>
      <c r="D1786" s="6" t="str">
        <f ca="1">IFERROR(__xludf.DUMMYFUNCTION("""COMPUTED_VALUE"""),"EL MONTE")</f>
        <v>EL MONTE</v>
      </c>
    </row>
    <row r="1787" spans="1:4">
      <c r="A1787" s="7">
        <f ca="1">IFERROR(__xludf.DUMMYFUNCTION("""COMPUTED_VALUE"""),44076)</f>
        <v>44076</v>
      </c>
      <c r="B1787" s="8" t="str">
        <f ca="1">IFERROR(__xludf.DUMMYFUNCTION("""COMPUTED_VALUE"""),"-33.674087,-71.217125")</f>
        <v>-33.674087,-71.217125</v>
      </c>
      <c r="C1787" s="6" t="str">
        <f ca="1">IFERROR(__xludf.DUMMYFUNCTION("""COMPUTED_VALUE"""),"JOSÉ MASSAUD 532 CASA 5")</f>
        <v>JOSÉ MASSAUD 532 CASA 5</v>
      </c>
      <c r="D1787" s="6" t="str">
        <f ca="1">IFERROR(__xludf.DUMMYFUNCTION("""COMPUTED_VALUE"""),"MELIPILLA")</f>
        <v>MELIPILLA</v>
      </c>
    </row>
    <row r="1788" spans="1:4">
      <c r="A1788" s="7">
        <f ca="1">IFERROR(__xludf.DUMMYFUNCTION("""COMPUTED_VALUE"""),44076)</f>
        <v>44076</v>
      </c>
      <c r="B1788" s="8" t="str">
        <f ca="1">IFERROR(__xludf.DUMMYFUNCTION("""COMPUTED_VALUE"""),"-33.799627,-71.300806")</f>
        <v>-33.799627,-71.300806</v>
      </c>
      <c r="C1788" s="6" t="str">
        <f ca="1">IFERROR(__xludf.DUMMYFUNCTION("""COMPUTED_VALUE"""),"CAMINO A RAPEL KM 15")</f>
        <v>CAMINO A RAPEL KM 15</v>
      </c>
      <c r="D1788" s="6" t="str">
        <f ca="1">IFERROR(__xludf.DUMMYFUNCTION("""COMPUTED_VALUE"""),"MELIPILLA")</f>
        <v>MELIPILLA</v>
      </c>
    </row>
    <row r="1789" spans="1:4">
      <c r="A1789" s="7">
        <f ca="1">IFERROR(__xludf.DUMMYFUNCTION("""COMPUTED_VALUE"""),44076)</f>
        <v>44076</v>
      </c>
      <c r="B1789" s="8" t="str">
        <f ca="1">IFERROR(__xludf.DUMMYFUNCTION("""COMPUTED_VALUE"""),"-33.727869,-70.769584")</f>
        <v>-33.727869,-70.769584</v>
      </c>
      <c r="C1789" s="6" t="str">
        <f ca="1">IFERROR(__xludf.DUMMYFUNCTION("""COMPUTED_VALUE"""),"HIPOLITO CARRASCO 2822")</f>
        <v>HIPOLITO CARRASCO 2822</v>
      </c>
      <c r="D1789" s="6" t="str">
        <f ca="1">IFERROR(__xludf.DUMMYFUNCTION("""COMPUTED_VALUE"""),"BUIN")</f>
        <v>BUIN</v>
      </c>
    </row>
    <row r="1790" spans="1:4">
      <c r="A1790" s="7">
        <f ca="1">IFERROR(__xludf.DUMMYFUNCTION("""COMPUTED_VALUE"""),44077)</f>
        <v>44077</v>
      </c>
      <c r="B1790" s="8" t="str">
        <f ca="1">IFERROR(__xludf.DUMMYFUNCTION("""COMPUTED_VALUE"""),"-33.524546,-71.117264")</f>
        <v>-33.524546,-71.117264</v>
      </c>
      <c r="C1790" s="6" t="str">
        <f ca="1">IFERROR(__xludf.DUMMYFUNCTION("""COMPUTED_VALUE"""),"EL TORIL 42")</f>
        <v>EL TORIL 42</v>
      </c>
      <c r="D1790" s="6" t="str">
        <f ca="1">IFERROR(__xludf.DUMMYFUNCTION("""COMPUTED_VALUE"""),"MARIA PINTO")</f>
        <v>MARIA PINTO</v>
      </c>
    </row>
    <row r="1791" spans="1:4">
      <c r="A1791" s="7">
        <f ca="1">IFERROR(__xludf.DUMMYFUNCTION("""COMPUTED_VALUE"""),44077)</f>
        <v>44077</v>
      </c>
      <c r="B1791" s="8" t="str">
        <f ca="1">IFERROR(__xludf.DUMMYFUNCTION("""COMPUTED_VALUE"""),"-33.687806,-71.228065")</f>
        <v>-33.687806,-71.228065</v>
      </c>
      <c r="C1791" s="6" t="str">
        <f ca="1">IFERROR(__xludf.DUMMYFUNCTION("""COMPUTED_VALUE"""),"VICENTE ELQUETA 749")</f>
        <v>VICENTE ELQUETA 749</v>
      </c>
      <c r="D1791" s="6" t="str">
        <f ca="1">IFERROR(__xludf.DUMMYFUNCTION("""COMPUTED_VALUE"""),"MELIPILLA")</f>
        <v>MELIPILLA</v>
      </c>
    </row>
    <row r="1792" spans="1:4">
      <c r="A1792" s="7">
        <f ca="1">IFERROR(__xludf.DUMMYFUNCTION("""COMPUTED_VALUE"""),44077)</f>
        <v>44077</v>
      </c>
      <c r="B1792" s="6" t="str">
        <f ca="1">IFERROR(__xludf.DUMMYFUNCTION("""COMPUTED_VALUE"""),"-33.6112856-70.8675006")</f>
        <v>-33.6112856-70.8675006</v>
      </c>
      <c r="C1792" s="6" t="str">
        <f ca="1">IFERROR(__xludf.DUMMYFUNCTION("""COMPUTED_VALUE"""),"CALLE UNO 1076")</f>
        <v>CALLE UNO 1076</v>
      </c>
      <c r="D1792" s="6" t="str">
        <f ca="1">IFERROR(__xludf.DUMMYFUNCTION("""COMPUTED_VALUE"""),"PEÑAFLOR")</f>
        <v>PEÑAFLOR</v>
      </c>
    </row>
    <row r="1793" spans="1:4">
      <c r="A1793" s="7">
        <f ca="1">IFERROR(__xludf.DUMMYFUNCTION("""COMPUTED_VALUE"""),44077)</f>
        <v>44077</v>
      </c>
      <c r="B1793" s="6" t="str">
        <f ca="1">IFERROR(__xludf.DUMMYFUNCTION("""COMPUTED_VALUE"""),"-33.601561-70.887156")</f>
        <v>-33.601561-70.887156</v>
      </c>
      <c r="C1793" s="6" t="str">
        <f ca="1">IFERROR(__xludf.DUMMYFUNCTION("""COMPUTED_VALUE"""),"DIECISEIS NORTE 3045")</f>
        <v>DIECISEIS NORTE 3045</v>
      </c>
      <c r="D1793" s="6" t="str">
        <f ca="1">IFERROR(__xludf.DUMMYFUNCTION("""COMPUTED_VALUE"""),"PEÑAFLOR")</f>
        <v>PEÑAFLOR</v>
      </c>
    </row>
    <row r="1794" spans="1:4">
      <c r="A1794" s="7">
        <f ca="1">IFERROR(__xludf.DUMMYFUNCTION("""COMPUTED_VALUE"""),44077)</f>
        <v>44077</v>
      </c>
      <c r="B1794" s="6" t="str">
        <f ca="1">IFERROR(__xludf.DUMMYFUNCTION("""COMPUTED_VALUE"""),"-33.3907-71.1270")</f>
        <v>-33.3907-71.1270</v>
      </c>
      <c r="C1794" s="6" t="str">
        <f ca="1">IFERROR(__xludf.DUMMYFUNCTION("""COMPUTED_VALUE"""),"MARIA JOSE SAGREDO 1133")</f>
        <v>MARIA JOSE SAGREDO 1133</v>
      </c>
      <c r="D1794" s="6" t="str">
        <f ca="1">IFERROR(__xludf.DUMMYFUNCTION("""COMPUTED_VALUE"""),"CURACAVI")</f>
        <v>CURACAVI</v>
      </c>
    </row>
    <row r="1795" spans="1:4">
      <c r="A1795" s="7">
        <f ca="1">IFERROR(__xludf.DUMMYFUNCTION("""COMPUTED_VALUE"""),44077)</f>
        <v>44077</v>
      </c>
      <c r="B1795" s="6" t="str">
        <f ca="1">IFERROR(__xludf.DUMMYFUNCTION("""COMPUTED_VALUE"""),"-33.4299-71.0719")</f>
        <v>-33.4299-71.0719</v>
      </c>
      <c r="C1795" s="6" t="str">
        <f ca="1">IFERROR(__xludf.DUMMYFUNCTION("""COMPUTED_VALUE"""),"QUEBRADA ONDA 11 A")</f>
        <v>QUEBRADA ONDA 11 A</v>
      </c>
      <c r="D1795" s="6" t="str">
        <f ca="1">IFERROR(__xludf.DUMMYFUNCTION("""COMPUTED_VALUE"""),"CURACAVI")</f>
        <v>CURACAVI</v>
      </c>
    </row>
    <row r="1796" spans="1:4">
      <c r="A1796" s="7">
        <f ca="1">IFERROR(__xludf.DUMMYFUNCTION("""COMPUTED_VALUE"""),44077)</f>
        <v>44077</v>
      </c>
      <c r="B1796" s="6" t="str">
        <f ca="1">IFERROR(__xludf.DUMMYFUNCTION("""COMPUTED_VALUE"""),"-33.596805-70.877862")</f>
        <v>-33.596805-70.877862</v>
      </c>
      <c r="C1796" s="6" t="str">
        <f ca="1">IFERROR(__xludf.DUMMYFUNCTION("""COMPUTED_VALUE"""),"PJE. FRANCISCO ESPINOZA 2581")</f>
        <v>PJE. FRANCISCO ESPINOZA 2581</v>
      </c>
      <c r="D1796" s="6" t="str">
        <f ca="1">IFERROR(__xludf.DUMMYFUNCTION("""COMPUTED_VALUE"""),"PEÑAFLOR")</f>
        <v>PEÑAFLOR</v>
      </c>
    </row>
    <row r="1797" spans="1:4">
      <c r="A1797" s="7">
        <f ca="1">IFERROR(__xludf.DUMMYFUNCTION("""COMPUTED_VALUE"""),44077)</f>
        <v>44077</v>
      </c>
      <c r="B1797" s="6" t="str">
        <f ca="1">IFERROR(__xludf.DUMMYFUNCTION("""COMPUTED_VALUE"""),"-33.612571-70.896119")</f>
        <v>-33.612571-70.896119</v>
      </c>
      <c r="C1797" s="6" t="str">
        <f ca="1">IFERROR(__xludf.DUMMYFUNCTION("""COMPUTED_VALUE"""),"CALLE UNO 95 MANZANA L LOTE 6")</f>
        <v>CALLE UNO 95 MANZANA L LOTE 6</v>
      </c>
      <c r="D1797" s="6" t="str">
        <f ca="1">IFERROR(__xludf.DUMMYFUNCTION("""COMPUTED_VALUE"""),"PEÑAFLOR")</f>
        <v>PEÑAFLOR</v>
      </c>
    </row>
    <row r="1798" spans="1:4">
      <c r="A1798" s="7">
        <f ca="1">IFERROR(__xludf.DUMMYFUNCTION("""COMPUTED_VALUE"""),44077)</f>
        <v>44077</v>
      </c>
      <c r="B1798" s="6" t="str">
        <f ca="1">IFERROR(__xludf.DUMMYFUNCTION("""COMPUTED_VALUE"""),"-33.615572-70.847501")</f>
        <v>-33.615572-70.847501</v>
      </c>
      <c r="C1798" s="6" t="str">
        <f ca="1">IFERROR(__xludf.DUMMYFUNCTION("""COMPUTED_VALUE"""),"MANUEL CASTILLO S/N")</f>
        <v>MANUEL CASTILLO S/N</v>
      </c>
      <c r="D1798" s="6" t="str">
        <f ca="1">IFERROR(__xludf.DUMMYFUNCTION("""COMPUTED_VALUE"""),"PEÑAFLOR")</f>
        <v>PEÑAFLOR</v>
      </c>
    </row>
    <row r="1799" spans="1:4">
      <c r="A1799" s="7">
        <f ca="1">IFERROR(__xludf.DUMMYFUNCTION("""COMPUTED_VALUE"""),44077)</f>
        <v>44077</v>
      </c>
      <c r="B1799" s="6" t="str">
        <f ca="1">IFERROR(__xludf.DUMMYFUNCTION("""COMPUTED_VALUE"""),"-33.615572-70.847501")</f>
        <v>-33.615572-70.847501</v>
      </c>
      <c r="C1799" s="6" t="str">
        <f ca="1">IFERROR(__xludf.DUMMYFUNCTION("""COMPUTED_VALUE"""),"MANUEL CASTILLO S/N")</f>
        <v>MANUEL CASTILLO S/N</v>
      </c>
      <c r="D1799" s="6" t="str">
        <f ca="1">IFERROR(__xludf.DUMMYFUNCTION("""COMPUTED_VALUE"""),"PEÑAFLOR")</f>
        <v>PEÑAFLOR</v>
      </c>
    </row>
    <row r="1800" spans="1:4">
      <c r="A1800" s="7">
        <f ca="1">IFERROR(__xludf.DUMMYFUNCTION("""COMPUTED_VALUE"""),44077)</f>
        <v>44077</v>
      </c>
      <c r="B1800" s="6" t="str">
        <f ca="1">IFERROR(__xludf.DUMMYFUNCTION("""COMPUTED_VALUE"""),"-33.677309,-70.981342")</f>
        <v>-33.677309,-70.981342</v>
      </c>
      <c r="C1800" s="6" t="str">
        <f ca="1">IFERROR(__xludf.DUMMYFUNCTION("""COMPUTED_VALUE"""),"LOS CARRERAS 355")</f>
        <v>LOS CARRERAS 355</v>
      </c>
      <c r="D1800" s="6" t="str">
        <f ca="1">IFERROR(__xludf.DUMMYFUNCTION("""COMPUTED_VALUE"""),"EL MONTE")</f>
        <v>EL MONTE</v>
      </c>
    </row>
    <row r="1801" spans="1:4">
      <c r="A1801" s="7">
        <f ca="1">IFERROR(__xludf.DUMMYFUNCTION("""COMPUTED_VALUE"""),44077)</f>
        <v>44077</v>
      </c>
      <c r="B1801" s="6" t="str">
        <f ca="1">IFERROR(__xludf.DUMMYFUNCTION("""COMPUTED_VALUE"""),"-33.676430,-70.480584")</f>
        <v>-33.676430,-70.480584</v>
      </c>
      <c r="C1801" s="6" t="str">
        <f ca="1">IFERROR(__xludf.DUMMYFUNCTION("""COMPUTED_VALUE"""),"JAVIERA 176")</f>
        <v>JAVIERA 176</v>
      </c>
      <c r="D1801" s="6" t="str">
        <f ca="1">IFERROR(__xludf.DUMMYFUNCTION("""COMPUTED_VALUE"""),"EL MONTE")</f>
        <v>EL MONTE</v>
      </c>
    </row>
    <row r="1802" spans="1:4">
      <c r="A1802" s="7">
        <f ca="1">IFERROR(__xludf.DUMMYFUNCTION("""COMPUTED_VALUE"""),44077)</f>
        <v>44077</v>
      </c>
      <c r="B1802" s="6" t="str">
        <f ca="1">IFERROR(__xludf.DUMMYFUNCTION("""COMPUTED_VALUE"""),"-33685250,-71.019445")</f>
        <v>-33685250,-71.019445</v>
      </c>
      <c r="C1802" s="6" t="str">
        <f ca="1">IFERROR(__xludf.DUMMYFUNCTION("""COMPUTED_VALUE"""),"UNO ORIENTE 18")</f>
        <v>UNO ORIENTE 18</v>
      </c>
      <c r="D1802" s="6" t="str">
        <f ca="1">IFERROR(__xludf.DUMMYFUNCTION("""COMPUTED_VALUE"""),"EL MONTE")</f>
        <v>EL MONTE</v>
      </c>
    </row>
    <row r="1803" spans="1:4">
      <c r="A1803" s="7">
        <f ca="1">IFERROR(__xludf.DUMMYFUNCTION("""COMPUTED_VALUE"""),44077)</f>
        <v>44077</v>
      </c>
      <c r="B1803" s="6" t="str">
        <f ca="1">IFERROR(__xludf.DUMMYFUNCTION("""COMPUTED_VALUE"""),"-33.684270,-71.000092")</f>
        <v>-33.684270,-71.000092</v>
      </c>
      <c r="C1803" s="6" t="str">
        <f ca="1">IFERROR(__xludf.DUMMYFUNCTION("""COMPUTED_VALUE"""),"LOS LIBERTADORES 820")</f>
        <v>LOS LIBERTADORES 820</v>
      </c>
      <c r="D1803" s="6" t="str">
        <f ca="1">IFERROR(__xludf.DUMMYFUNCTION("""COMPUTED_VALUE"""),"EL MONTE")</f>
        <v>EL MONTE</v>
      </c>
    </row>
    <row r="1804" spans="1:4">
      <c r="A1804" s="7">
        <f ca="1">IFERROR(__xludf.DUMMYFUNCTION("""COMPUTED_VALUE"""),44077)</f>
        <v>44077</v>
      </c>
      <c r="B1804" s="6" t="str">
        <f ca="1">IFERROR(__xludf.DUMMYFUNCTION("""COMPUTED_VALUE"""),"-33.092506 - 70.929284")</f>
        <v>-33.092506 - 70.929284</v>
      </c>
      <c r="C1804" s="6" t="str">
        <f ca="1">IFERROR(__xludf.DUMMYFUNCTION("""COMPUTED_VALUE"""),"ARTURO PRAT N° 0621 SAUCE")</f>
        <v>ARTURO PRAT N° 0621 SAUCE</v>
      </c>
      <c r="D1804" s="6" t="str">
        <f ca="1">IFERROR(__xludf.DUMMYFUNCTION("""COMPUTED_VALUE"""),"TIL TIL")</f>
        <v>TIL TIL</v>
      </c>
    </row>
    <row r="1805" spans="1:4">
      <c r="A1805" s="7">
        <f ca="1">IFERROR(__xludf.DUMMYFUNCTION("""COMPUTED_VALUE"""),44077)</f>
        <v>44077</v>
      </c>
      <c r="B1805" s="6" t="str">
        <f ca="1">IFERROR(__xludf.DUMMYFUNCTION("""COMPUTED_VALUE"""),"-33.092506 - 70.929284")</f>
        <v>-33.092506 - 70.929284</v>
      </c>
      <c r="C1805" s="6" t="str">
        <f ca="1">IFERROR(__xludf.DUMMYFUNCTION("""COMPUTED_VALUE"""),"ARTURO PRAT N° 0621 SAUCE")</f>
        <v>ARTURO PRAT N° 0621 SAUCE</v>
      </c>
      <c r="D1805" s="6" t="str">
        <f ca="1">IFERROR(__xludf.DUMMYFUNCTION("""COMPUTED_VALUE"""),"TIL TIL")</f>
        <v>TIL TIL</v>
      </c>
    </row>
    <row r="1806" spans="1:4">
      <c r="A1806" s="7">
        <f ca="1">IFERROR(__xludf.DUMMYFUNCTION("""COMPUTED_VALUE"""),44077)</f>
        <v>44077</v>
      </c>
      <c r="B1806" s="6" t="str">
        <f ca="1">IFERROR(__xludf.DUMMYFUNCTION("""COMPUTED_VALUE"""),"-33.325101 - 70.765934")</f>
        <v>-33.325101 - 70.765934</v>
      </c>
      <c r="C1806" s="6" t="str">
        <f ca="1">IFERROR(__xludf.DUMMYFUNCTION("""COMPUTED_VALUE"""),"AVDA. BOULEVARD SAN CRISTOBAL 385")</f>
        <v>AVDA. BOULEVARD SAN CRISTOBAL 385</v>
      </c>
      <c r="D1806" s="6" t="str">
        <f ca="1">IFERROR(__xludf.DUMMYFUNCTION("""COMPUTED_VALUE"""),"LAMPA")</f>
        <v>LAMPA</v>
      </c>
    </row>
    <row r="1807" spans="1:4">
      <c r="A1807" s="7">
        <f ca="1">IFERROR(__xludf.DUMMYFUNCTION("""COMPUTED_VALUE"""),44077)</f>
        <v>44077</v>
      </c>
      <c r="B1807" s="8" t="str">
        <f ca="1">IFERROR(__xludf.DUMMYFUNCTION("""COMPUTED_VALUE"""),"-33.569672,-71.197637")</f>
        <v>-33.569672,-71.197637</v>
      </c>
      <c r="C1807" s="6" t="str">
        <f ca="1">IFERROR(__xludf.DUMMYFUNCTION("""COMPUTED_VALUE"""),"ANSELMO ALARCÓN 1242 BOLLENAR")</f>
        <v>ANSELMO ALARCÓN 1242 BOLLENAR</v>
      </c>
      <c r="D1807" s="6" t="str">
        <f ca="1">IFERROR(__xludf.DUMMYFUNCTION("""COMPUTED_VALUE"""),"MELIPILLA")</f>
        <v>MELIPILLA</v>
      </c>
    </row>
    <row r="1808" spans="1:4">
      <c r="A1808" s="7">
        <f ca="1">IFERROR(__xludf.DUMMYFUNCTION("""COMPUTED_VALUE"""),44077)</f>
        <v>44077</v>
      </c>
      <c r="B1808" s="8" t="str">
        <f ca="1">IFERROR(__xludf.DUMMYFUNCTION("""COMPUTED_VALUE"""),"-33.772803,-71.167248")</f>
        <v>-33.772803,-71.167248</v>
      </c>
      <c r="C1808" s="6" t="str">
        <f ca="1">IFERROR(__xludf.DUMMYFUNCTION("""COMPUTED_VALUE"""),"MANANTIALES S/N LOTE 12 PARCELA 25")</f>
        <v>MANANTIALES S/N LOTE 12 PARCELA 25</v>
      </c>
      <c r="D1808" s="6" t="str">
        <f ca="1">IFERROR(__xludf.DUMMYFUNCTION("""COMPUTED_VALUE"""),"MELIPILLA")</f>
        <v>MELIPILLA</v>
      </c>
    </row>
    <row r="1809" spans="1:4">
      <c r="A1809" s="7">
        <f ca="1">IFERROR(__xludf.DUMMYFUNCTION("""COMPUTED_VALUE"""),44077)</f>
        <v>44077</v>
      </c>
      <c r="B1809" s="8" t="str">
        <f ca="1">IFERROR(__xludf.DUMMYFUNCTION("""COMPUTED_VALUE"""),"33.570064,-71.206853")</f>
        <v>33.570064,-71.206853</v>
      </c>
      <c r="C1809" s="6" t="str">
        <f ca="1">IFERROR(__xludf.DUMMYFUNCTION("""COMPUTED_VALUE"""),"ANSELMO ALARCÓN 393 ")</f>
        <v xml:space="preserve">ANSELMO ALARCÓN 393 </v>
      </c>
      <c r="D1809" s="6" t="str">
        <f ca="1">IFERROR(__xludf.DUMMYFUNCTION("""COMPUTED_VALUE"""),"MELIPILLA")</f>
        <v>MELIPILLA</v>
      </c>
    </row>
    <row r="1810" spans="1:4">
      <c r="A1810" s="7">
        <f ca="1">IFERROR(__xludf.DUMMYFUNCTION("""COMPUTED_VALUE"""),44078)</f>
        <v>44078</v>
      </c>
      <c r="B1810" s="8" t="str">
        <f ca="1">IFERROR(__xludf.DUMMYFUNCTION("""COMPUTED_VALUE"""),"-33.688517,71.224236")</f>
        <v>-33.688517,71.224236</v>
      </c>
      <c r="C1810" s="6" t="str">
        <f ca="1">IFERROR(__xludf.DUMMYFUNCTION("""COMPUTED_VALUE"""),"LOS CARDENALES 747")</f>
        <v>LOS CARDENALES 747</v>
      </c>
      <c r="D1810" s="6" t="str">
        <f ca="1">IFERROR(__xludf.DUMMYFUNCTION("""COMPUTED_VALUE"""),"MELIPILLA")</f>
        <v>MELIPILLA</v>
      </c>
    </row>
    <row r="1811" spans="1:4">
      <c r="A1811" s="7">
        <f ca="1">IFERROR(__xludf.DUMMYFUNCTION("""COMPUTED_VALUE"""),44078)</f>
        <v>44078</v>
      </c>
      <c r="B1811" s="6" t="str">
        <f ca="1">IFERROR(__xludf.DUMMYFUNCTION("""COMPUTED_VALUE"""),"-33.606281-70.80584")</f>
        <v>-33.606281-70.80584</v>
      </c>
      <c r="C1811" s="6" t="str">
        <f ca="1">IFERROR(__xludf.DUMMYFUNCTION("""COMPUTED_VALUE"""),"LOS TILOS 0565")</f>
        <v>LOS TILOS 0565</v>
      </c>
      <c r="D1811" s="6" t="str">
        <f ca="1">IFERROR(__xludf.DUMMYFUNCTION("""COMPUTED_VALUE"""),"PEÑAFLOR")</f>
        <v>PEÑAFLOR</v>
      </c>
    </row>
    <row r="1812" spans="1:4">
      <c r="A1812" s="7">
        <f ca="1">IFERROR(__xludf.DUMMYFUNCTION("""COMPUTED_VALUE"""),44078)</f>
        <v>44078</v>
      </c>
      <c r="B1812" s="6" t="str">
        <f ca="1">IFERROR(__xludf.DUMMYFUNCTION("""COMPUTED_VALUE"""),"-33.6150-70.8620")</f>
        <v>-33.6150-70.8620</v>
      </c>
      <c r="C1812" s="6" t="str">
        <f ca="1">IFERROR(__xludf.DUMMYFUNCTION("""COMPUTED_VALUE"""),"BALMACEDA 1651")</f>
        <v>BALMACEDA 1651</v>
      </c>
      <c r="D1812" s="6" t="str">
        <f ca="1">IFERROR(__xludf.DUMMYFUNCTION("""COMPUTED_VALUE"""),"PEÑAFLOR")</f>
        <v>PEÑAFLOR</v>
      </c>
    </row>
    <row r="1813" spans="1:4">
      <c r="A1813" s="7">
        <f ca="1">IFERROR(__xludf.DUMMYFUNCTION("""COMPUTED_VALUE"""),44078)</f>
        <v>44078</v>
      </c>
      <c r="B1813" s="6" t="str">
        <f ca="1">IFERROR(__xludf.DUMMYFUNCTION("""COMPUTED_VALUE"""),"-33.6107593-70.8675135")</f>
        <v>-33.6107593-70.8675135</v>
      </c>
      <c r="C1813" s="6" t="str">
        <f ca="1">IFERROR(__xludf.DUMMYFUNCTION("""COMPUTED_VALUE"""),"UNO 1016")</f>
        <v>UNO 1016</v>
      </c>
      <c r="D1813" s="6" t="str">
        <f ca="1">IFERROR(__xludf.DUMMYFUNCTION("""COMPUTED_VALUE"""),"PEÑAFLOR")</f>
        <v>PEÑAFLOR</v>
      </c>
    </row>
    <row r="1814" spans="1:4">
      <c r="A1814" s="7">
        <f ca="1">IFERROR(__xludf.DUMMYFUNCTION("""COMPUTED_VALUE"""),44078)</f>
        <v>44078</v>
      </c>
      <c r="B1814" s="6" t="str">
        <f ca="1">IFERROR(__xludf.DUMMYFUNCTION("""COMPUTED_VALUE"""),"-33.6070-70.9057")</f>
        <v>-33.6070-70.9057</v>
      </c>
      <c r="C1814" s="6" t="str">
        <f ca="1">IFERROR(__xludf.DUMMYFUNCTION("""COMPUTED_VALUE"""),"CORONA DEL SOLAR 202")</f>
        <v>CORONA DEL SOLAR 202</v>
      </c>
      <c r="D1814" s="6" t="str">
        <f ca="1">IFERROR(__xludf.DUMMYFUNCTION("""COMPUTED_VALUE"""),"PEÑAFLOR")</f>
        <v>PEÑAFLOR</v>
      </c>
    </row>
    <row r="1815" spans="1:4">
      <c r="A1815" s="7">
        <f ca="1">IFERROR(__xludf.DUMMYFUNCTION("""COMPUTED_VALUE"""),44078)</f>
        <v>44078</v>
      </c>
      <c r="B1815" s="6" t="str">
        <f ca="1">IFERROR(__xludf.DUMMYFUNCTION("""COMPUTED_VALUE"""),"-33.606281-70.860584")</f>
        <v>-33.606281-70.860584</v>
      </c>
      <c r="C1815" s="6" t="str">
        <f ca="1">IFERROR(__xludf.DUMMYFUNCTION("""COMPUTED_VALUE"""),"ROSALES 0549")</f>
        <v>ROSALES 0549</v>
      </c>
      <c r="D1815" s="6" t="str">
        <f ca="1">IFERROR(__xludf.DUMMYFUNCTION("""COMPUTED_VALUE"""),"PEÑAFLOR")</f>
        <v>PEÑAFLOR</v>
      </c>
    </row>
    <row r="1816" spans="1:4">
      <c r="A1816" s="7">
        <f ca="1">IFERROR(__xludf.DUMMYFUNCTION("""COMPUTED_VALUE"""),44078)</f>
        <v>44078</v>
      </c>
      <c r="B1816" s="6" t="str">
        <f ca="1">IFERROR(__xludf.DUMMYFUNCTION("""COMPUTED_VALUE"""),"-33.651885,-71.153032")</f>
        <v>-33.651885,-71.153032</v>
      </c>
      <c r="C1816" s="6" t="str">
        <f ca="1">IFERROR(__xludf.DUMMYFUNCTION("""COMPUTED_VALUE"""),"BERNARDO O'HIGGINS 219 POMAIRE")</f>
        <v>BERNARDO O'HIGGINS 219 POMAIRE</v>
      </c>
      <c r="D1816" s="6" t="str">
        <f ca="1">IFERROR(__xludf.DUMMYFUNCTION("""COMPUTED_VALUE"""),"MELIPILLA")</f>
        <v>MELIPILLA</v>
      </c>
    </row>
    <row r="1817" spans="1:4">
      <c r="A1817" s="7">
        <f ca="1">IFERROR(__xludf.DUMMYFUNCTION("""COMPUTED_VALUE"""),44078)</f>
        <v>44078</v>
      </c>
      <c r="B1817" s="6" t="str">
        <f ca="1">IFERROR(__xludf.DUMMYFUNCTION("""COMPUTED_VALUE"""),"-33.778956,-71.242636")</f>
        <v>-33.778956,-71.242636</v>
      </c>
      <c r="C1817" s="6" t="str">
        <f ca="1">IFERROR(__xludf.DUMMYFUNCTION("""COMPUTED_VALUE"""),"EL MOLINO S 4 SECTOR 7")</f>
        <v>EL MOLINO S 4 SECTOR 7</v>
      </c>
      <c r="D1817" s="6" t="str">
        <f ca="1">IFERROR(__xludf.DUMMYFUNCTION("""COMPUTED_VALUE"""),"MELIPILLA")</f>
        <v>MELIPILLA</v>
      </c>
    </row>
    <row r="1818" spans="1:4">
      <c r="A1818" s="7">
        <f ca="1">IFERROR(__xludf.DUMMYFUNCTION("""COMPUTED_VALUE"""),44078)</f>
        <v>44078</v>
      </c>
      <c r="B1818" s="6" t="str">
        <f ca="1">IFERROR(__xludf.DUMMYFUNCTION("""COMPUTED_VALUE"""),"-33.779343,-71.242040")</f>
        <v>-33.779343,-71.242040</v>
      </c>
      <c r="C1818" s="6" t="str">
        <f ca="1">IFERROR(__xludf.DUMMYFUNCTION("""COMPUTED_VALUE"""),"EL MOLINO P.17 A2 SECTOR 7")</f>
        <v>EL MOLINO P.17 A2 SECTOR 7</v>
      </c>
      <c r="D1818" s="6" t="str">
        <f ca="1">IFERROR(__xludf.DUMMYFUNCTION("""COMPUTED_VALUE"""),"MELIPILLA")</f>
        <v>MELIPILLA</v>
      </c>
    </row>
    <row r="1819" spans="1:4">
      <c r="A1819" s="7">
        <f ca="1">IFERROR(__xludf.DUMMYFUNCTION("""COMPUTED_VALUE"""),44078)</f>
        <v>44078</v>
      </c>
      <c r="B1819" s="6" t="str">
        <f ca="1">IFERROR(__xludf.DUMMYFUNCTION("""COMPUTED_VALUE"""),"-33.683084,-70.993334")</f>
        <v>-33.683084,-70.993334</v>
      </c>
      <c r="C1819" s="6" t="str">
        <f ca="1">IFERROR(__xludf.DUMMYFUNCTION("""COMPUTED_VALUE"""),"LOS LIBERTADORES 718")</f>
        <v>LOS LIBERTADORES 718</v>
      </c>
      <c r="D1819" s="6" t="str">
        <f ca="1">IFERROR(__xludf.DUMMYFUNCTION("""COMPUTED_VALUE"""),"EL MONTE")</f>
        <v>EL MONTE</v>
      </c>
    </row>
    <row r="1820" spans="1:4">
      <c r="A1820" s="7">
        <f ca="1">IFERROR(__xludf.DUMMYFUNCTION("""COMPUTED_VALUE"""),44078)</f>
        <v>44078</v>
      </c>
      <c r="B1820" s="6" t="str">
        <f ca="1">IFERROR(__xludf.DUMMYFUNCTION("""COMPUTED_VALUE"""),"-33.676536,-70.980720")</f>
        <v>-33.676536,-70.980720</v>
      </c>
      <c r="C1820" s="6" t="str">
        <f ca="1">IFERROR(__xludf.DUMMYFUNCTION("""COMPUTED_VALUE"""),"ARTURO PARAZ CONTO 300")</f>
        <v>ARTURO PARAZ CONTO 300</v>
      </c>
      <c r="D1820" s="6" t="str">
        <f ca="1">IFERROR(__xludf.DUMMYFUNCTION("""COMPUTED_VALUE"""),"EL MONTE")</f>
        <v>EL MONTE</v>
      </c>
    </row>
    <row r="1821" spans="1:4">
      <c r="A1821" s="7">
        <f ca="1">IFERROR(__xludf.DUMMYFUNCTION("""COMPUTED_VALUE"""),44078)</f>
        <v>44078</v>
      </c>
      <c r="B1821" s="6" t="str">
        <f ca="1">IFERROR(__xludf.DUMMYFUNCTION("""COMPUTED_VALUE"""),"-33685761,-71.024626")</f>
        <v>-33685761,-71.024626</v>
      </c>
      <c r="C1821" s="6" t="str">
        <f ca="1">IFERROR(__xludf.DUMMYFUNCTION("""COMPUTED_VALUE"""),"LAGO RANCO 1316B")</f>
        <v>LAGO RANCO 1316B</v>
      </c>
      <c r="D1821" s="6" t="str">
        <f ca="1">IFERROR(__xludf.DUMMYFUNCTION("""COMPUTED_VALUE"""),"EL MONTE")</f>
        <v>EL MONTE</v>
      </c>
    </row>
    <row r="1822" spans="1:4">
      <c r="A1822" s="7">
        <f ca="1">IFERROR(__xludf.DUMMYFUNCTION("""COMPUTED_VALUE"""),44078)</f>
        <v>44078</v>
      </c>
      <c r="B1822" s="6" t="str">
        <f ca="1">IFERROR(__xludf.DUMMYFUNCTION("""COMPUTED_VALUE"""),"-33.685584,-71.023176")</f>
        <v>-33.685584,-71.023176</v>
      </c>
      <c r="C1822" s="6" t="str">
        <f ca="1">IFERROR(__xludf.DUMMYFUNCTION("""COMPUTED_VALUE"""),"LOS CURUELOS 1244")</f>
        <v>LOS CURUELOS 1244</v>
      </c>
      <c r="D1822" s="6" t="str">
        <f ca="1">IFERROR(__xludf.DUMMYFUNCTION("""COMPUTED_VALUE"""),"EL MONTE")</f>
        <v>EL MONTE</v>
      </c>
    </row>
    <row r="1823" spans="1:4">
      <c r="A1823" s="7">
        <f ca="1">IFERROR(__xludf.DUMMYFUNCTION("""COMPUTED_VALUE"""),44078)</f>
        <v>44078</v>
      </c>
      <c r="B1823" s="6" t="str">
        <f ca="1">IFERROR(__xludf.DUMMYFUNCTION("""COMPUTED_VALUE"""),"-33.289953 - 70.879319")</f>
        <v>-33.289953 - 70.879319</v>
      </c>
      <c r="C1823" s="6" t="str">
        <f ca="1">IFERROR(__xludf.DUMMYFUNCTION("""COMPUTED_VALUE"""),"CAM LAS FLORES 1008 C/131 ")</f>
        <v xml:space="preserve">CAM LAS FLORES 1008 C/131 </v>
      </c>
      <c r="D1823" s="6" t="str">
        <f ca="1">IFERROR(__xludf.DUMMYFUNCTION("""COMPUTED_VALUE"""),"LAMPA")</f>
        <v>LAMPA</v>
      </c>
    </row>
    <row r="1824" spans="1:4">
      <c r="A1824" s="7">
        <f ca="1">IFERROR(__xludf.DUMMYFUNCTION("""COMPUTED_VALUE"""),44078)</f>
        <v>44078</v>
      </c>
      <c r="B1824" s="6" t="str">
        <f ca="1">IFERROR(__xludf.DUMMYFUNCTION("""COMPUTED_VALUE"""),"-33.299114 - 70.879561")</f>
        <v>-33.299114 - 70.879561</v>
      </c>
      <c r="C1824" s="6" t="str">
        <f ca="1">IFERROR(__xludf.DUMMYFUNCTION("""COMPUTED_VALUE"""),"CAM LAS FLORES 1008 C/51 ")</f>
        <v xml:space="preserve">CAM LAS FLORES 1008 C/51 </v>
      </c>
      <c r="D1824" s="6" t="str">
        <f ca="1">IFERROR(__xludf.DUMMYFUNCTION("""COMPUTED_VALUE"""),"LAMPA")</f>
        <v>LAMPA</v>
      </c>
    </row>
    <row r="1825" spans="1:4">
      <c r="A1825" s="7">
        <f ca="1">IFERROR(__xludf.DUMMYFUNCTION("""COMPUTED_VALUE"""),44078)</f>
        <v>44078</v>
      </c>
      <c r="B1825" s="6" t="str">
        <f ca="1">IFERROR(__xludf.DUMMYFUNCTION("""COMPUTED_VALUE"""),"-33.301204 - 70.872427")</f>
        <v>-33.301204 - 70.872427</v>
      </c>
      <c r="C1825" s="6" t="str">
        <f ca="1">IFERROR(__xludf.DUMMYFUNCTION("""COMPUTED_VALUE"""),"AVENIDA LA HACIENDA 3016 C/20")</f>
        <v>AVENIDA LA HACIENDA 3016 C/20</v>
      </c>
      <c r="D1825" s="6" t="str">
        <f ca="1">IFERROR(__xludf.DUMMYFUNCTION("""COMPUTED_VALUE"""),"LAMPA")</f>
        <v>LAMPA</v>
      </c>
    </row>
    <row r="1826" spans="1:4">
      <c r="A1826" s="7">
        <f ca="1">IFERROR(__xludf.DUMMYFUNCTION("""COMPUTED_VALUE"""),44078)</f>
        <v>44078</v>
      </c>
      <c r="B1826" s="8" t="str">
        <f ca="1">IFERROR(__xludf.DUMMYFUNCTION("""COMPUTED_VALUE"""),"-33.791080,-71.286274")</f>
        <v>-33.791080,-71.286274</v>
      </c>
      <c r="C1826" s="6" t="str">
        <f ca="1">IFERROR(__xludf.DUMMYFUNCTION("""COMPUTED_VALUE"""),"VILLA EDUARDO VELAZQUEZ ")</f>
        <v xml:space="preserve">VILLA EDUARDO VELAZQUEZ </v>
      </c>
      <c r="D1826" s="6" t="str">
        <f ca="1">IFERROR(__xludf.DUMMYFUNCTION("""COMPUTED_VALUE"""),"MELIPILLA")</f>
        <v>MELIPILLA</v>
      </c>
    </row>
    <row r="1827" spans="1:4">
      <c r="A1827" s="7">
        <f ca="1">IFERROR(__xludf.DUMMYFUNCTION("""COMPUTED_VALUE"""),44078)</f>
        <v>44078</v>
      </c>
      <c r="B1827" s="8" t="str">
        <f ca="1">IFERROR(__xludf.DUMMYFUNCTION("""COMPUTED_VALUE"""),"-33.789473,-71.284314")</f>
        <v>-33.789473,-71.284314</v>
      </c>
      <c r="C1827" s="6" t="str">
        <f ca="1">IFERROR(__xludf.DUMMYFUNCTION("""COMPUTED_VALUE"""),"MANDINGA SN")</f>
        <v>MANDINGA SN</v>
      </c>
      <c r="D1827" s="6" t="str">
        <f ca="1">IFERROR(__xludf.DUMMYFUNCTION("""COMPUTED_VALUE"""),"MELIPILLA")</f>
        <v>MELIPILLA</v>
      </c>
    </row>
    <row r="1828" spans="1:4">
      <c r="A1828" s="7">
        <f ca="1">IFERROR(__xludf.DUMMYFUNCTION("""COMPUTED_VALUE"""),44079)</f>
        <v>44079</v>
      </c>
      <c r="B1828" s="6" t="str">
        <f ca="1">IFERROR(__xludf.DUMMYFUNCTION("""COMPUTED_VALUE"""),"-33.679360-71.086169")</f>
        <v>-33.679360-71.086169</v>
      </c>
      <c r="C1828" s="6" t="str">
        <f ca="1">IFERROR(__xludf.DUMMYFUNCTION("""COMPUTED_VALUE"""),"PJE. SEIS 730")</f>
        <v>PJE. SEIS 730</v>
      </c>
      <c r="D1828" s="6" t="str">
        <f ca="1">IFERROR(__xludf.DUMMYFUNCTION("""COMPUTED_VALUE"""),"CURACAVI")</f>
        <v>CURACAVI</v>
      </c>
    </row>
    <row r="1829" spans="1:4">
      <c r="A1829" s="7">
        <f ca="1">IFERROR(__xludf.DUMMYFUNCTION("""COMPUTED_VALUE"""),44079)</f>
        <v>44079</v>
      </c>
      <c r="B1829" s="6" t="str">
        <f ca="1">IFERROR(__xludf.DUMMYFUNCTION("""COMPUTED_VALUE"""),"-33.679360-71.086169")</f>
        <v>-33.679360-71.086169</v>
      </c>
      <c r="C1829" s="6" t="str">
        <f ca="1">IFERROR(__xludf.DUMMYFUNCTION("""COMPUTED_VALUE"""),"PJE. CINCO 731")</f>
        <v>PJE. CINCO 731</v>
      </c>
      <c r="D1829" s="6" t="str">
        <f ca="1">IFERROR(__xludf.DUMMYFUNCTION("""COMPUTED_VALUE"""),"CURACAVI")</f>
        <v>CURACAVI</v>
      </c>
    </row>
    <row r="1830" spans="1:4">
      <c r="A1830" s="7">
        <f ca="1">IFERROR(__xludf.DUMMYFUNCTION("""COMPUTED_VALUE"""),44079)</f>
        <v>44079</v>
      </c>
      <c r="B1830" s="6" t="str">
        <f ca="1">IFERROR(__xludf.DUMMYFUNCTION("""COMPUTED_VALUE"""),"-33.247109-71.054652")</f>
        <v>-33.247109-71.054652</v>
      </c>
      <c r="C1830" s="6" t="str">
        <f ca="1">IFERROR(__xludf.DUMMYFUNCTION("""COMPUTED_VALUE"""),"UNION CHILENA S 9-C")</f>
        <v>UNION CHILENA S 9-C</v>
      </c>
      <c r="D1830" s="6" t="str">
        <f ca="1">IFERROR(__xludf.DUMMYFUNCTION("""COMPUTED_VALUE"""),"CURACAVI")</f>
        <v>CURACAVI</v>
      </c>
    </row>
    <row r="1831" spans="1:4">
      <c r="A1831" s="7">
        <f ca="1">IFERROR(__xludf.DUMMYFUNCTION("""COMPUTED_VALUE"""),44079)</f>
        <v>44079</v>
      </c>
      <c r="B1831" s="6" t="str">
        <f ca="1">IFERROR(__xludf.DUMMYFUNCTION("""COMPUTED_VALUE"""),"-33.247109-71.054652")</f>
        <v>-33.247109-71.054652</v>
      </c>
      <c r="C1831" s="6" t="str">
        <f ca="1">IFERROR(__xludf.DUMMYFUNCTION("""COMPUTED_VALUE"""),"UNION CHILENA S 9-C")</f>
        <v>UNION CHILENA S 9-C</v>
      </c>
      <c r="D1831" s="6" t="str">
        <f ca="1">IFERROR(__xludf.DUMMYFUNCTION("""COMPUTED_VALUE"""),"CURACAVI")</f>
        <v>CURACAVI</v>
      </c>
    </row>
    <row r="1832" spans="1:4">
      <c r="A1832" s="7">
        <f ca="1">IFERROR(__xludf.DUMMYFUNCTION("""COMPUTED_VALUE"""),44079)</f>
        <v>44079</v>
      </c>
      <c r="B1832" s="6" t="str">
        <f ca="1">IFERROR(__xludf.DUMMYFUNCTION("""COMPUTED_VALUE"""),"-33.683223,-70.997569")</f>
        <v>-33.683223,-70.997569</v>
      </c>
      <c r="C1832" s="6" t="str">
        <f ca="1">IFERROR(__xludf.DUMMYFUNCTION("""COMPUTED_VALUE"""),"LOS LIBERTADORES 791")</f>
        <v>LOS LIBERTADORES 791</v>
      </c>
      <c r="D1832" s="6" t="str">
        <f ca="1">IFERROR(__xludf.DUMMYFUNCTION("""COMPUTED_VALUE"""),"EL MONTE")</f>
        <v>EL MONTE</v>
      </c>
    </row>
    <row r="1833" spans="1:4">
      <c r="A1833" s="7">
        <f ca="1">IFERROR(__xludf.DUMMYFUNCTION("""COMPUTED_VALUE"""),44079)</f>
        <v>44079</v>
      </c>
      <c r="B1833" s="6" t="str">
        <f ca="1">IFERROR(__xludf.DUMMYFUNCTION("""COMPUTED_VALUE"""),"-33.684822,-71.026399")</f>
        <v>-33.684822,-71.026399</v>
      </c>
      <c r="C1833" s="6" t="str">
        <f ca="1">IFERROR(__xludf.DUMMYFUNCTION("""COMPUTED_VALUE"""),"LAGO NEHUME 228")</f>
        <v>LAGO NEHUME 228</v>
      </c>
      <c r="D1833" s="6" t="str">
        <f ca="1">IFERROR(__xludf.DUMMYFUNCTION("""COMPUTED_VALUE"""),"EL MONTE")</f>
        <v>EL MONTE</v>
      </c>
    </row>
    <row r="1834" spans="1:4">
      <c r="A1834" s="7">
        <f ca="1">IFERROR(__xludf.DUMMYFUNCTION("""COMPUTED_VALUE"""),44079)</f>
        <v>44079</v>
      </c>
      <c r="B1834" s="6" t="str">
        <f ca="1">IFERROR(__xludf.DUMMYFUNCTION("""COMPUTED_VALUE"""),"-33.689065,-70.997001")</f>
        <v>-33.689065,-70.997001</v>
      </c>
      <c r="C1834" s="6" t="str">
        <f ca="1">IFERROR(__xludf.DUMMYFUNCTION("""COMPUTED_VALUE"""),"LA TURQUEZA 789D")</f>
        <v>LA TURQUEZA 789D</v>
      </c>
      <c r="D1834" s="6" t="str">
        <f ca="1">IFERROR(__xludf.DUMMYFUNCTION("""COMPUTED_VALUE"""),"EL MONTE")</f>
        <v>EL MONTE</v>
      </c>
    </row>
    <row r="1835" spans="1:4">
      <c r="A1835" s="7">
        <f ca="1">IFERROR(__xludf.DUMMYFUNCTION("""COMPUTED_VALUE"""),44079)</f>
        <v>44079</v>
      </c>
      <c r="B1835" s="6" t="str">
        <f ca="1">IFERROR(__xludf.DUMMYFUNCTION("""COMPUTED_VALUE"""),"-33.683812,-70.994480")</f>
        <v>-33.683812,-70.994480</v>
      </c>
      <c r="C1835" s="6" t="str">
        <f ca="1">IFERROR(__xludf.DUMMYFUNCTION("""COMPUTED_VALUE"""),"SAN SEBASTIAN 61")</f>
        <v>SAN SEBASTIAN 61</v>
      </c>
      <c r="D1835" s="6" t="str">
        <f ca="1">IFERROR(__xludf.DUMMYFUNCTION("""COMPUTED_VALUE"""),"EL MONTE")</f>
        <v>EL MONTE</v>
      </c>
    </row>
    <row r="1836" spans="1:4">
      <c r="A1836" s="7">
        <f ca="1">IFERROR(__xludf.DUMMYFUNCTION("""COMPUTED_VALUE"""),44080)</f>
        <v>44080</v>
      </c>
      <c r="B1836" s="6" t="str">
        <f ca="1">IFERROR(__xludf.DUMMYFUNCTION("""COMPUTED_VALUE"""),"-33.847789-71.059682")</f>
        <v>-33.847789-71.059682</v>
      </c>
      <c r="C1836" s="6" t="str">
        <f ca="1">IFERROR(__xludf.DUMMYFUNCTION("""COMPUTED_VALUE"""),"PASTOR F FARIAS 350")</f>
        <v>PASTOR F FARIAS 350</v>
      </c>
      <c r="D1836" s="6" t="str">
        <f ca="1">IFERROR(__xludf.DUMMYFUNCTION("""COMPUTED_VALUE"""),"CURACAVI")</f>
        <v>CURACAVI</v>
      </c>
    </row>
    <row r="1837" spans="1:4">
      <c r="A1837" s="7">
        <f ca="1">IFERROR(__xludf.DUMMYFUNCTION("""COMPUTED_VALUE"""),44080)</f>
        <v>44080</v>
      </c>
      <c r="B1837" s="6" t="str">
        <f ca="1">IFERROR(__xludf.DUMMYFUNCTION("""COMPUTED_VALUE"""),"-33.45743-71.02801")</f>
        <v>-33.45743-71.02801</v>
      </c>
      <c r="C1837" s="6" t="str">
        <f ca="1">IFERROR(__xludf.DUMMYFUNCTION("""COMPUTED_VALUE"""),"BATALLA SAN JUAN13 LOTE A")</f>
        <v>BATALLA SAN JUAN13 LOTE A</v>
      </c>
      <c r="D1837" s="6" t="str">
        <f ca="1">IFERROR(__xludf.DUMMYFUNCTION("""COMPUTED_VALUE"""),"CURACAVI")</f>
        <v>CURACAVI</v>
      </c>
    </row>
    <row r="1838" spans="1:4">
      <c r="A1838" s="7">
        <f ca="1">IFERROR(__xludf.DUMMYFUNCTION("""COMPUTED_VALUE"""),44081)</f>
        <v>44081</v>
      </c>
      <c r="B1838" s="8" t="str">
        <f ca="1">IFERROR(__xludf.DUMMYFUNCTION("""COMPUTED_VALUE"""),"-33.480116,-71.126684")</f>
        <v>-33.480116,-71.126684</v>
      </c>
      <c r="C1838" s="6" t="str">
        <f ca="1">IFERROR(__xludf.DUMMYFUNCTION("""COMPUTED_VALUE"""),"EL REDIL S/N ")</f>
        <v xml:space="preserve">EL REDIL S/N </v>
      </c>
      <c r="D1838" s="6" t="str">
        <f ca="1">IFERROR(__xludf.DUMMYFUNCTION("""COMPUTED_VALUE"""),"MARIA PINTO")</f>
        <v>MARIA PINTO</v>
      </c>
    </row>
    <row r="1839" spans="1:4">
      <c r="A1839" s="7">
        <f ca="1">IFERROR(__xludf.DUMMYFUNCTION("""COMPUTED_VALUE"""),44081)</f>
        <v>44081</v>
      </c>
      <c r="B1839" s="8" t="str">
        <f ca="1">IFERROR(__xludf.DUMMYFUNCTION("""COMPUTED_VALUE"""),"-33.531529,-71.229038")</f>
        <v>-33.531529,-71.229038</v>
      </c>
      <c r="C1839" s="6" t="str">
        <f ca="1">IFERROR(__xludf.DUMMYFUNCTION("""COMPUTED_VALUE"""),"CHOROMBO BAJO S/N")</f>
        <v>CHOROMBO BAJO S/N</v>
      </c>
      <c r="D1839" s="6" t="str">
        <f ca="1">IFERROR(__xludf.DUMMYFUNCTION("""COMPUTED_VALUE"""),"MARIA PINTO")</f>
        <v>MARIA PINTO</v>
      </c>
    </row>
    <row r="1840" spans="1:4">
      <c r="A1840" s="7">
        <f ca="1">IFERROR(__xludf.DUMMYFUNCTION("""COMPUTED_VALUE"""),44081)</f>
        <v>44081</v>
      </c>
      <c r="B1840" s="8" t="str">
        <f ca="1">IFERROR(__xludf.DUMMYFUNCTION("""COMPUTED_VALUE"""),"-33.479574,71.124982")</f>
        <v>-33.479574,71.124982</v>
      </c>
      <c r="C1840" s="6" t="str">
        <f ca="1">IFERROR(__xludf.DUMMYFUNCTION("""COMPUTED_VALUE"""),"EL REDIL PARCELA 8 LOTE 5")</f>
        <v>EL REDIL PARCELA 8 LOTE 5</v>
      </c>
      <c r="D1840" s="6" t="str">
        <f ca="1">IFERROR(__xludf.DUMMYFUNCTION("""COMPUTED_VALUE"""),"MARIA PINTO")</f>
        <v>MARIA PINTO</v>
      </c>
    </row>
    <row r="1841" spans="1:4">
      <c r="A1841" s="7">
        <f ca="1">IFERROR(__xludf.DUMMYFUNCTION("""COMPUTED_VALUE"""),44081)</f>
        <v>44081</v>
      </c>
      <c r="B1841" s="8" t="str">
        <f ca="1">IFERROR(__xludf.DUMMYFUNCTION("""COMPUTED_VALUE"""),"-33.491779,-71.150591")</f>
        <v>-33.491779,-71.150591</v>
      </c>
      <c r="C1841" s="6" t="str">
        <f ca="1">IFERROR(__xludf.DUMMYFUNCTION("""COMPUTED_VALUE"""),"EL BOSQUE S/N CV13")</f>
        <v>EL BOSQUE S/N CV13</v>
      </c>
      <c r="D1841" s="6" t="str">
        <f ca="1">IFERROR(__xludf.DUMMYFUNCTION("""COMPUTED_VALUE"""),"MARIA PINTO")</f>
        <v>MARIA PINTO</v>
      </c>
    </row>
    <row r="1842" spans="1:4">
      <c r="A1842" s="7">
        <f ca="1">IFERROR(__xludf.DUMMYFUNCTION("""COMPUTED_VALUE"""),44081)</f>
        <v>44081</v>
      </c>
      <c r="B1842" s="8" t="str">
        <f ca="1">IFERROR(__xludf.DUMMYFUNCTION("""COMPUTED_VALUE"""),"-33.743897,70.739534")</f>
        <v>-33.743897,70.739534</v>
      </c>
      <c r="C1842" s="6" t="str">
        <f ca="1">IFERROR(__xludf.DUMMYFUNCTION("""COMPUTED_VALUE"""),"RUTA 5 SUR 1041")</f>
        <v>RUTA 5 SUR 1041</v>
      </c>
      <c r="D1842" s="6" t="str">
        <f ca="1">IFERROR(__xludf.DUMMYFUNCTION("""COMPUTED_VALUE"""),"BUIN")</f>
        <v>BUIN</v>
      </c>
    </row>
    <row r="1843" spans="1:4">
      <c r="A1843" s="7">
        <f ca="1">IFERROR(__xludf.DUMMYFUNCTION("""COMPUTED_VALUE"""),44081)</f>
        <v>44081</v>
      </c>
      <c r="B1843" s="6" t="str">
        <f ca="1">IFERROR(__xludf.DUMMYFUNCTION("""COMPUTED_VALUE"""),"-33.43217-71.103095")</f>
        <v>-33.43217-71.103095</v>
      </c>
      <c r="C1843" s="6" t="str">
        <f ca="1">IFERROR(__xludf.DUMMYFUNCTION("""COMPUTED_VALUE"""),"UNION SAN JOSE SITIO 14 C3")</f>
        <v>UNION SAN JOSE SITIO 14 C3</v>
      </c>
      <c r="D1843" s="6" t="str">
        <f ca="1">IFERROR(__xludf.DUMMYFUNCTION("""COMPUTED_VALUE"""),"CURACAVI")</f>
        <v>CURACAVI</v>
      </c>
    </row>
    <row r="1844" spans="1:4">
      <c r="A1844" s="7">
        <f ca="1">IFERROR(__xludf.DUMMYFUNCTION("""COMPUTED_VALUE"""),44081)</f>
        <v>44081</v>
      </c>
      <c r="B1844" s="6" t="str">
        <f ca="1">IFERROR(__xludf.DUMMYFUNCTION("""COMPUTED_VALUE"""),"-33.39082-71.12677")</f>
        <v>-33.39082-71.12677</v>
      </c>
      <c r="C1844" s="6" t="str">
        <f ca="1">IFERROR(__xludf.DUMMYFUNCTION("""COMPUTED_VALUE"""),"ENRIQUE VELIZ 1133")</f>
        <v>ENRIQUE VELIZ 1133</v>
      </c>
      <c r="D1844" s="6" t="str">
        <f ca="1">IFERROR(__xludf.DUMMYFUNCTION("""COMPUTED_VALUE"""),"CURACAVI")</f>
        <v>CURACAVI</v>
      </c>
    </row>
    <row r="1845" spans="1:4">
      <c r="A1845" s="7">
        <f ca="1">IFERROR(__xludf.DUMMYFUNCTION("""COMPUTED_VALUE"""),44081)</f>
        <v>44081</v>
      </c>
      <c r="B1845" s="6" t="str">
        <f ca="1">IFERROR(__xludf.DUMMYFUNCTION("""COMPUTED_VALUE"""),"-33.608863-70.890466")</f>
        <v>-33.608863-70.890466</v>
      </c>
      <c r="C1845" s="6" t="str">
        <f ca="1">IFERROR(__xludf.DUMMYFUNCTION("""COMPUTED_VALUE"""),"PJE SIETE 2901")</f>
        <v>PJE SIETE 2901</v>
      </c>
      <c r="D1845" s="6" t="str">
        <f ca="1">IFERROR(__xludf.DUMMYFUNCTION("""COMPUTED_VALUE"""),"PEÑAFLOR")</f>
        <v>PEÑAFLOR</v>
      </c>
    </row>
    <row r="1846" spans="1:4">
      <c r="A1846" s="7">
        <f ca="1">IFERROR(__xludf.DUMMYFUNCTION("""COMPUTED_VALUE"""),44081)</f>
        <v>44081</v>
      </c>
      <c r="B1846" s="6" t="str">
        <f ca="1">IFERROR(__xludf.DUMMYFUNCTION("""COMPUTED_VALUE"""),"-33.604555-70.885947")</f>
        <v>-33.604555-70.885947</v>
      </c>
      <c r="C1846" s="6" t="str">
        <f ca="1">IFERROR(__xludf.DUMMYFUNCTION("""COMPUTED_VALUE"""),"VEINTIUNO DE MAYO 2817")</f>
        <v>VEINTIUNO DE MAYO 2817</v>
      </c>
      <c r="D1846" s="6" t="str">
        <f ca="1">IFERROR(__xludf.DUMMYFUNCTION("""COMPUTED_VALUE"""),"PEÑAFLOR")</f>
        <v>PEÑAFLOR</v>
      </c>
    </row>
    <row r="1847" spans="1:4">
      <c r="A1847" s="7">
        <f ca="1">IFERROR(__xludf.DUMMYFUNCTION("""COMPUTED_VALUE"""),44081)</f>
        <v>44081</v>
      </c>
      <c r="B1847" s="6" t="str">
        <f ca="1">IFERROR(__xludf.DUMMYFUNCTION("""COMPUTED_VALUE"""),"-33.606493-70.906684")</f>
        <v>-33.606493-70.906684</v>
      </c>
      <c r="C1847" s="6" t="str">
        <f ca="1">IFERROR(__xludf.DUMMYFUNCTION("""COMPUTED_VALUE"""),"PJE. OTOÑAL 672")</f>
        <v>PJE. OTOÑAL 672</v>
      </c>
      <c r="D1847" s="6" t="str">
        <f ca="1">IFERROR(__xludf.DUMMYFUNCTION("""COMPUTED_VALUE"""),"PEÑAFLOR")</f>
        <v>PEÑAFLOR</v>
      </c>
    </row>
    <row r="1848" spans="1:4">
      <c r="A1848" s="7">
        <f ca="1">IFERROR(__xludf.DUMMYFUNCTION("""COMPUTED_VALUE"""),44081)</f>
        <v>44081</v>
      </c>
      <c r="B1848" s="6" t="str">
        <f ca="1">IFERROR(__xludf.DUMMYFUNCTION("""COMPUTED_VALUE"""),"-33.6119821-70.8796849")</f>
        <v>-33.6119821-70.8796849</v>
      </c>
      <c r="C1848" s="6" t="str">
        <f ca="1">IFERROR(__xludf.DUMMYFUNCTION("""COMPUTED_VALUE"""),"LAS UVAS 1947")</f>
        <v>LAS UVAS 1947</v>
      </c>
      <c r="D1848" s="6" t="str">
        <f ca="1">IFERROR(__xludf.DUMMYFUNCTION("""COMPUTED_VALUE"""),"PEÑAFLOR")</f>
        <v>PEÑAFLOR</v>
      </c>
    </row>
    <row r="1849" spans="1:4">
      <c r="A1849" s="7">
        <f ca="1">IFERROR(__xludf.DUMMYFUNCTION("""COMPUTED_VALUE"""),44081)</f>
        <v>44081</v>
      </c>
      <c r="B1849" s="6" t="str">
        <f ca="1">IFERROR(__xludf.DUMMYFUNCTION("""COMPUTED_VALUE"""),"-33.721890,-71.354798")</f>
        <v>-33.721890,-71.354798</v>
      </c>
      <c r="C1849" s="6" t="str">
        <f ca="1">IFERROR(__xludf.DUMMYFUNCTION("""COMPUTED_VALUE"""),"HUECHUN BAJO S/N PARCELA 66 LA RINCONADA")</f>
        <v>HUECHUN BAJO S/N PARCELA 66 LA RINCONADA</v>
      </c>
      <c r="D1849" s="6" t="str">
        <f ca="1">IFERROR(__xludf.DUMMYFUNCTION("""COMPUTED_VALUE"""),"MELIPILLA")</f>
        <v>MELIPILLA</v>
      </c>
    </row>
    <row r="1850" spans="1:4">
      <c r="A1850" s="7">
        <f ca="1">IFERROR(__xludf.DUMMYFUNCTION("""COMPUTED_VALUE"""),44081)</f>
        <v>44081</v>
      </c>
      <c r="B1850" s="6" t="str">
        <f ca="1">IFERROR(__xludf.DUMMYFUNCTION("""COMPUTED_VALUE"""),"-33.721890,-71.354798")</f>
        <v>-33.721890,-71.354798</v>
      </c>
      <c r="C1850" s="6" t="str">
        <f ca="1">IFERROR(__xludf.DUMMYFUNCTION("""COMPUTED_VALUE"""),"HUECHUN BAJO S/N PARCELA 66 LA RINCONADA")</f>
        <v>HUECHUN BAJO S/N PARCELA 66 LA RINCONADA</v>
      </c>
      <c r="D1850" s="6" t="str">
        <f ca="1">IFERROR(__xludf.DUMMYFUNCTION("""COMPUTED_VALUE"""),"MELIPILLA")</f>
        <v>MELIPILLA</v>
      </c>
    </row>
    <row r="1851" spans="1:4">
      <c r="A1851" s="7">
        <f ca="1">IFERROR(__xludf.DUMMYFUNCTION("""COMPUTED_VALUE"""),44081)</f>
        <v>44081</v>
      </c>
      <c r="B1851" s="6" t="str">
        <f ca="1">IFERROR(__xludf.DUMMYFUNCTION("""COMPUTED_VALUE"""),"-33.722310,-71.355540")</f>
        <v>-33.722310,-71.355540</v>
      </c>
      <c r="C1851" s="6" t="str">
        <f ca="1">IFERROR(__xludf.DUMMYFUNCTION("""COMPUTED_VALUE"""),"CALLE LA RINCONADA ST PARCELA 66 HUECHUN")</f>
        <v>CALLE LA RINCONADA ST PARCELA 66 HUECHUN</v>
      </c>
      <c r="D1851" s="6" t="str">
        <f ca="1">IFERROR(__xludf.DUMMYFUNCTION("""COMPUTED_VALUE"""),"MELIPILLA")</f>
        <v>MELIPILLA</v>
      </c>
    </row>
    <row r="1852" spans="1:4">
      <c r="A1852" s="7">
        <f ca="1">IFERROR(__xludf.DUMMYFUNCTION("""COMPUTED_VALUE"""),44081)</f>
        <v>44081</v>
      </c>
      <c r="B1852" s="6" t="str">
        <f ca="1">IFERROR(__xludf.DUMMYFUNCTION("""COMPUTED_VALUE"""),"-33.570800,-71.206277")</f>
        <v>-33.570800,-71.206277</v>
      </c>
      <c r="C1852" s="6" t="str">
        <f ca="1">IFERROR(__xludf.DUMMYFUNCTION("""COMPUTED_VALUE"""),"PASAJE ANGOL N° 77 BOLLENAR")</f>
        <v>PASAJE ANGOL N° 77 BOLLENAR</v>
      </c>
      <c r="D1852" s="6" t="str">
        <f ca="1">IFERROR(__xludf.DUMMYFUNCTION("""COMPUTED_VALUE"""),"MELIPILLA")</f>
        <v>MELIPILLA</v>
      </c>
    </row>
    <row r="1853" spans="1:4">
      <c r="A1853" s="7">
        <f ca="1">IFERROR(__xludf.DUMMYFUNCTION("""COMPUTED_VALUE"""),44081)</f>
        <v>44081</v>
      </c>
      <c r="B1853" s="6" t="str">
        <f ca="1">IFERROR(__xludf.DUMMYFUNCTION("""COMPUTED_VALUE"""),"-33.580057,-71.985254")</f>
        <v>-33.580057,-71.985254</v>
      </c>
      <c r="C1853" s="6" t="str">
        <f ca="1">IFERROR(__xludf.DUMMYFUNCTION("""COMPUTED_VALUE"""),"EL PIMIENTO 7530-6 LOTE 6 MALLARAUCO")</f>
        <v>EL PIMIENTO 7530-6 LOTE 6 MALLARAUCO</v>
      </c>
      <c r="D1853" s="6" t="str">
        <f ca="1">IFERROR(__xludf.DUMMYFUNCTION("""COMPUTED_VALUE"""),"MELIPILLA")</f>
        <v>MELIPILLA</v>
      </c>
    </row>
    <row r="1854" spans="1:4">
      <c r="A1854" s="7">
        <f ca="1">IFERROR(__xludf.DUMMYFUNCTION("""COMPUTED_VALUE"""),44081)</f>
        <v>44081</v>
      </c>
      <c r="B1854" s="6" t="str">
        <f ca="1">IFERROR(__xludf.DUMMYFUNCTION("""COMPUTED_VALUE"""),"-33.685072,-71.224616")</f>
        <v>-33.685072,-71.224616</v>
      </c>
      <c r="C1854" s="6" t="str">
        <f ca="1">IFERROR(__xludf.DUMMYFUNCTION("""COMPUTED_VALUE"""),"AV. LAS TORRES 456- VILLA MAGISTERIO")</f>
        <v>AV. LAS TORRES 456- VILLA MAGISTERIO</v>
      </c>
      <c r="D1854" s="6" t="str">
        <f ca="1">IFERROR(__xludf.DUMMYFUNCTION("""COMPUTED_VALUE"""),"MELIPILLA")</f>
        <v>MELIPILLA</v>
      </c>
    </row>
    <row r="1855" spans="1:4">
      <c r="A1855" s="7">
        <f ca="1">IFERROR(__xludf.DUMMYFUNCTION("""COMPUTED_VALUE"""),44081)</f>
        <v>44081</v>
      </c>
      <c r="B1855" s="6" t="str">
        <f ca="1">IFERROR(__xludf.DUMMYFUNCTION("""COMPUTED_VALUE"""),"-33.683250,-70.997408")</f>
        <v>-33.683250,-70.997408</v>
      </c>
      <c r="C1855" s="6" t="str">
        <f ca="1">IFERROR(__xludf.DUMMYFUNCTION("""COMPUTED_VALUE"""),"AVDA LOS LIBERTADORES 791-A")</f>
        <v>AVDA LOS LIBERTADORES 791-A</v>
      </c>
      <c r="D1855" s="6" t="str">
        <f ca="1">IFERROR(__xludf.DUMMYFUNCTION("""COMPUTED_VALUE"""),"EL MONTE")</f>
        <v>EL MONTE</v>
      </c>
    </row>
    <row r="1856" spans="1:4">
      <c r="A1856" s="7">
        <f ca="1">IFERROR(__xludf.DUMMYFUNCTION("""COMPUTED_VALUE"""),44081)</f>
        <v>44081</v>
      </c>
      <c r="B1856" s="6" t="str">
        <f ca="1">IFERROR(__xludf.DUMMYFUNCTION("""COMPUTED_VALUE"""),"-33.675748,-70.97421")</f>
        <v>-33.675748,-70.97421</v>
      </c>
      <c r="C1856" s="6" t="str">
        <f ca="1">IFERROR(__xludf.DUMMYFUNCTION("""COMPUTED_VALUE"""),"FRANCISCA DE PAULA 13")</f>
        <v>FRANCISCA DE PAULA 13</v>
      </c>
      <c r="D1856" s="6" t="str">
        <f ca="1">IFERROR(__xludf.DUMMYFUNCTION("""COMPUTED_VALUE"""),"EL MONTE")</f>
        <v>EL MONTE</v>
      </c>
    </row>
    <row r="1857" spans="1:4">
      <c r="A1857" s="7">
        <f ca="1">IFERROR(__xludf.DUMMYFUNCTION("""COMPUTED_VALUE"""),44081)</f>
        <v>44081</v>
      </c>
      <c r="B1857" s="6" t="str">
        <f ca="1">IFERROR(__xludf.DUMMYFUNCTION("""COMPUTED_VALUE"""),"-33.689141,-71.032484")</f>
        <v>-33.689141,-71.032484</v>
      </c>
      <c r="C1857" s="6" t="str">
        <f ca="1">IFERROR(__xludf.DUMMYFUNCTION("""COMPUTED_VALUE"""),"PJE SURINOMA 097 B")</f>
        <v>PJE SURINOMA 097 B</v>
      </c>
      <c r="D1857" s="6" t="str">
        <f ca="1">IFERROR(__xludf.DUMMYFUNCTION("""COMPUTED_VALUE"""),"EL MONTE")</f>
        <v>EL MONTE</v>
      </c>
    </row>
    <row r="1858" spans="1:4">
      <c r="A1858" s="7">
        <f ca="1">IFERROR(__xludf.DUMMYFUNCTION("""COMPUTED_VALUE"""),44081)</f>
        <v>44081</v>
      </c>
      <c r="B1858" s="6" t="str">
        <f ca="1">IFERROR(__xludf.DUMMYFUNCTION("""COMPUTED_VALUE"""),"-33.603212,-71.044135")</f>
        <v>-33.603212,-71.044135</v>
      </c>
      <c r="C1858" s="6" t="str">
        <f ca="1">IFERROR(__xludf.DUMMYFUNCTION("""COMPUTED_VALUE"""),"LA RED SITIO 31")</f>
        <v>LA RED SITIO 31</v>
      </c>
      <c r="D1858" s="6" t="str">
        <f ca="1">IFERROR(__xludf.DUMMYFUNCTION("""COMPUTED_VALUE"""),"EL MONTE")</f>
        <v>EL MONTE</v>
      </c>
    </row>
    <row r="1859" spans="1:4">
      <c r="A1859" s="7">
        <f ca="1">IFERROR(__xludf.DUMMYFUNCTION("""COMPUTED_VALUE"""),44081)</f>
        <v>44081</v>
      </c>
      <c r="B1859" s="6" t="str">
        <f ca="1">IFERROR(__xludf.DUMMYFUNCTION("""COMPUTED_VALUE"""),"-33.684934,-71.097256")</f>
        <v>-33.684934,-71.097256</v>
      </c>
      <c r="C1859" s="6" t="str">
        <f ca="1">IFERROR(__xludf.DUMMYFUNCTION("""COMPUTED_VALUE"""),"PARCELA 16 LOTE 7 CHIÑIHUE")</f>
        <v>PARCELA 16 LOTE 7 CHIÑIHUE</v>
      </c>
      <c r="D1859" s="6" t="str">
        <f ca="1">IFERROR(__xludf.DUMMYFUNCTION("""COMPUTED_VALUE"""),"EL MONTE")</f>
        <v>EL MONTE</v>
      </c>
    </row>
    <row r="1860" spans="1:4">
      <c r="A1860" s="7">
        <f ca="1">IFERROR(__xludf.DUMMYFUNCTION("""COMPUTED_VALUE"""),44081)</f>
        <v>44081</v>
      </c>
      <c r="B1860" s="8" t="str">
        <f ca="1">IFERROR(__xludf.DUMMYFUNCTION("""COMPUTED_VALUE"""),"-33.721917,-71.208107")</f>
        <v>-33.721917,-71.208107</v>
      </c>
      <c r="C1860" s="6" t="str">
        <f ca="1">IFERROR(__xludf.DUMMYFUNCTION("""COMPUTED_VALUE"""),"AVDA FDO FUAYO 2315")</f>
        <v>AVDA FDO FUAYO 2315</v>
      </c>
      <c r="D1860" s="6" t="str">
        <f ca="1">IFERROR(__xludf.DUMMYFUNCTION("""COMPUTED_VALUE"""),"MELIPILLA")</f>
        <v>MELIPILLA</v>
      </c>
    </row>
    <row r="1861" spans="1:4">
      <c r="A1861" s="7">
        <f ca="1">IFERROR(__xludf.DUMMYFUNCTION("""COMPUTED_VALUE"""),44081)</f>
        <v>44081</v>
      </c>
      <c r="B1861" s="8" t="str">
        <f ca="1">IFERROR(__xludf.DUMMYFUNCTION("""COMPUTED_VALUE"""),"-33.721406,-71.209973")</f>
        <v>-33.721406,-71.209973</v>
      </c>
      <c r="C1861" s="6" t="str">
        <f ca="1">IFERROR(__xludf.DUMMYFUNCTION("""COMPUTED_VALUE"""),"LOS GENDARMES")</f>
        <v>LOS GENDARMES</v>
      </c>
      <c r="D1861" s="6" t="str">
        <f ca="1">IFERROR(__xludf.DUMMYFUNCTION("""COMPUTED_VALUE"""),"MELIPILLA")</f>
        <v>MELIPILLA</v>
      </c>
    </row>
    <row r="1862" spans="1:4">
      <c r="A1862" s="7">
        <f ca="1">IFERROR(__xludf.DUMMYFUNCTION("""COMPUTED_VALUE"""),44081)</f>
        <v>44081</v>
      </c>
      <c r="B1862" s="8" t="str">
        <f ca="1">IFERROR(__xludf.DUMMYFUNCTION("""COMPUTED_VALUE"""),"-33.788520,-71.283479")</f>
        <v>-33.788520,-71.283479</v>
      </c>
      <c r="C1862" s="6" t="str">
        <f ca="1">IFERROR(__xludf.DUMMYFUNCTION("""COMPUTED_VALUE"""),"CAMINO VIEJO, MANDINGA")</f>
        <v>CAMINO VIEJO, MANDINGA</v>
      </c>
      <c r="D1862" s="6" t="str">
        <f ca="1">IFERROR(__xludf.DUMMYFUNCTION("""COMPUTED_VALUE"""),"MELIPILLA")</f>
        <v>MELIPILLA</v>
      </c>
    </row>
    <row r="1863" spans="1:4">
      <c r="A1863" s="7">
        <f ca="1">IFERROR(__xludf.DUMMYFUNCTION("""COMPUTED_VALUE"""),44082)</f>
        <v>44082</v>
      </c>
      <c r="B1863" s="8" t="str">
        <f ca="1">IFERROR(__xludf.DUMMYFUNCTION("""COMPUTED_VALUE"""),"-33.720593,70.727710")</f>
        <v>-33.720593,70.727710</v>
      </c>
      <c r="C1863" s="6" t="str">
        <f ca="1">IFERROR(__xludf.DUMMYFUNCTION("""COMPUTED_VALUE"""),"CASILLA 32 ")</f>
        <v xml:space="preserve">CASILLA 32 </v>
      </c>
      <c r="D1863" s="6" t="str">
        <f ca="1">IFERROR(__xludf.DUMMYFUNCTION("""COMPUTED_VALUE"""),"BUIN")</f>
        <v>BUIN</v>
      </c>
    </row>
    <row r="1864" spans="1:4">
      <c r="A1864" s="7">
        <f ca="1">IFERROR(__xludf.DUMMYFUNCTION("""COMPUTED_VALUE"""),44082)</f>
        <v>44082</v>
      </c>
      <c r="B1864" s="8" t="str">
        <f ca="1">IFERROR(__xludf.DUMMYFUNCTION("""COMPUTED_VALUE"""),"-33.571598,70.810353")</f>
        <v>-33.571598,70.810353</v>
      </c>
      <c r="C1864" s="6" t="str">
        <f ca="1">IFERROR(__xludf.DUMMYFUNCTION("""COMPUTED_VALUE"""),"HUASCO 481")</f>
        <v>HUASCO 481</v>
      </c>
      <c r="D1864" s="6" t="str">
        <f ca="1">IFERROR(__xludf.DUMMYFUNCTION("""COMPUTED_VALUE"""),"PADRE HURTADO")</f>
        <v>PADRE HURTADO</v>
      </c>
    </row>
    <row r="1865" spans="1:4">
      <c r="A1865" s="7">
        <f ca="1">IFERROR(__xludf.DUMMYFUNCTION("""COMPUTED_VALUE"""),44082)</f>
        <v>44082</v>
      </c>
      <c r="B1865" s="8" t="str">
        <f ca="1">IFERROR(__xludf.DUMMYFUNCTION("""COMPUTED_VALUE"""),"-33.461394,71.080107")</f>
        <v>-33.461394,71.080107</v>
      </c>
      <c r="C1865" s="6" t="str">
        <f ca="1">IFERROR(__xludf.DUMMYFUNCTION("""COMPUTED_VALUE"""),"JESUS DE NAZARENO 1852")</f>
        <v>JESUS DE NAZARENO 1852</v>
      </c>
      <c r="D1865" s="6" t="str">
        <f ca="1">IFERROR(__xludf.DUMMYFUNCTION("""COMPUTED_VALUE"""),"MARIA PINTO")</f>
        <v>MARIA PINTO</v>
      </c>
    </row>
    <row r="1866" spans="1:4">
      <c r="A1866" s="7">
        <f ca="1">IFERROR(__xludf.DUMMYFUNCTION("""COMPUTED_VALUE"""),44082)</f>
        <v>44082</v>
      </c>
      <c r="B1866" s="6" t="str">
        <f ca="1">IFERROR(__xludf.DUMMYFUNCTION("""COMPUTED_VALUE"""),"-33.614577-70.871541")</f>
        <v>-33.614577-70.871541</v>
      </c>
      <c r="C1866" s="6" t="str">
        <f ca="1">IFERROR(__xludf.DUMMYFUNCTION("""COMPUTED_VALUE"""),"LAS VIOLETAS 412")</f>
        <v>LAS VIOLETAS 412</v>
      </c>
      <c r="D1866" s="6" t="str">
        <f ca="1">IFERROR(__xludf.DUMMYFUNCTION("""COMPUTED_VALUE"""),"PEÑAFLOR")</f>
        <v>PEÑAFLOR</v>
      </c>
    </row>
    <row r="1867" spans="1:4">
      <c r="A1867" s="7">
        <f ca="1">IFERROR(__xludf.DUMMYFUNCTION("""COMPUTED_VALUE"""),44082)</f>
        <v>44082</v>
      </c>
      <c r="B1867" s="6" t="str">
        <f ca="1">IFERROR(__xludf.DUMMYFUNCTION("""COMPUTED_VALUE"""),"-33.6228987-70.9104013")</f>
        <v>-33.6228987-70.9104013</v>
      </c>
      <c r="C1867" s="6" t="str">
        <f ca="1">IFERROR(__xludf.DUMMYFUNCTION("""COMPUTED_VALUE"""),"PARCELACION DOÑA AMELIA P-5")</f>
        <v>PARCELACION DOÑA AMELIA P-5</v>
      </c>
      <c r="D1867" s="6" t="str">
        <f ca="1">IFERROR(__xludf.DUMMYFUNCTION("""COMPUTED_VALUE"""),"PEÑAFLOR")</f>
        <v>PEÑAFLOR</v>
      </c>
    </row>
    <row r="1868" spans="1:4">
      <c r="A1868" s="7">
        <f ca="1">IFERROR(__xludf.DUMMYFUNCTION("""COMPUTED_VALUE"""),44082)</f>
        <v>44082</v>
      </c>
      <c r="B1868" s="6" t="str">
        <f ca="1">IFERROR(__xludf.DUMMYFUNCTION("""COMPUTED_VALUE"""),"-33.6105779-70.8780877")</f>
        <v>-33.6105779-70.8780877</v>
      </c>
      <c r="C1868" s="6" t="str">
        <f ca="1">IFERROR(__xludf.DUMMYFUNCTION("""COMPUTED_VALUE"""),"VICUÑA MACKENNA 1769")</f>
        <v>VICUÑA MACKENNA 1769</v>
      </c>
      <c r="D1868" s="6" t="str">
        <f ca="1">IFERROR(__xludf.DUMMYFUNCTION("""COMPUTED_VALUE"""),"PEÑAFLOR")</f>
        <v>PEÑAFLOR</v>
      </c>
    </row>
    <row r="1869" spans="1:4">
      <c r="A1869" s="7">
        <f ca="1">IFERROR(__xludf.DUMMYFUNCTION("""COMPUTED_VALUE"""),44082)</f>
        <v>44082</v>
      </c>
      <c r="B1869" s="6" t="str">
        <f ca="1">IFERROR(__xludf.DUMMYFUNCTION("""COMPUTED_VALUE"""),"-33.596966-70.877607")</f>
        <v>-33.596966-70.877607</v>
      </c>
      <c r="C1869" s="6" t="str">
        <f ca="1">IFERROR(__xludf.DUMMYFUNCTION("""COMPUTED_VALUE"""),"FRANCISCO ESPINOZA 2215")</f>
        <v>FRANCISCO ESPINOZA 2215</v>
      </c>
      <c r="D1869" s="6" t="str">
        <f ca="1">IFERROR(__xludf.DUMMYFUNCTION("""COMPUTED_VALUE"""),"PEÑAFLOR")</f>
        <v>PEÑAFLOR</v>
      </c>
    </row>
    <row r="1870" spans="1:4">
      <c r="A1870" s="7">
        <f ca="1">IFERROR(__xludf.DUMMYFUNCTION("""COMPUTED_VALUE"""),44082)</f>
        <v>44082</v>
      </c>
      <c r="B1870" s="6" t="str">
        <f ca="1">IFERROR(__xludf.DUMMYFUNCTION("""COMPUTED_VALUE"""),"-33.695170,-71.225575")</f>
        <v>-33.695170,-71.225575</v>
      </c>
      <c r="C1870" s="6" t="str">
        <f ca="1">IFERROR(__xludf.DUMMYFUNCTION("""COMPUTED_VALUE"""),"PJE LAS CODORNICES 1259 ALTOS DEL PARQUE")</f>
        <v>PJE LAS CODORNICES 1259 ALTOS DEL PARQUE</v>
      </c>
      <c r="D1870" s="6" t="str">
        <f ca="1">IFERROR(__xludf.DUMMYFUNCTION("""COMPUTED_VALUE"""),"MELIPILLA")</f>
        <v>MELIPILLA</v>
      </c>
    </row>
    <row r="1871" spans="1:4">
      <c r="A1871" s="7">
        <f ca="1">IFERROR(__xludf.DUMMYFUNCTION("""COMPUTED_VALUE"""),44082)</f>
        <v>44082</v>
      </c>
      <c r="B1871" s="6" t="str">
        <f ca="1">IFERROR(__xludf.DUMMYFUNCTION("""COMPUTED_VALUE"""),"-33.691949,-71.226492")</f>
        <v>-33.691949,-71.226492</v>
      </c>
      <c r="C1871" s="6" t="str">
        <f ca="1">IFERROR(__xludf.DUMMYFUNCTION("""COMPUTED_VALUE"""),"PJE LOS OLIVOS 883-P ALTOS DEL PARQUE")</f>
        <v>PJE LOS OLIVOS 883-P ALTOS DEL PARQUE</v>
      </c>
      <c r="D1871" s="6" t="str">
        <f ca="1">IFERROR(__xludf.DUMMYFUNCTION("""COMPUTED_VALUE"""),"MELIPILLA")</f>
        <v>MELIPILLA</v>
      </c>
    </row>
    <row r="1872" spans="1:4">
      <c r="A1872" s="7">
        <f ca="1">IFERROR(__xludf.DUMMYFUNCTION("""COMPUTED_VALUE"""),44082)</f>
        <v>44082</v>
      </c>
      <c r="B1872" s="6" t="str">
        <f ca="1">IFERROR(__xludf.DUMMYFUNCTION("""COMPUTED_VALUE"""),"-33.803662,-71.227272")</f>
        <v>-33.803662,-71.227272</v>
      </c>
      <c r="C1872" s="6" t="str">
        <f ca="1">IFERROR(__xludf.DUMMYFUNCTION("""COMPUTED_VALUE"""),"CULIPRAN S/N-CV84 PARCELA 116")</f>
        <v>CULIPRAN S/N-CV84 PARCELA 116</v>
      </c>
      <c r="D1872" s="6" t="str">
        <f ca="1">IFERROR(__xludf.DUMMYFUNCTION("""COMPUTED_VALUE"""),"MELIPILLA")</f>
        <v>MELIPILLA</v>
      </c>
    </row>
    <row r="1873" spans="1:4">
      <c r="A1873" s="7">
        <f ca="1">IFERROR(__xludf.DUMMYFUNCTION("""COMPUTED_VALUE"""),44082)</f>
        <v>44082</v>
      </c>
      <c r="B1873" s="6" t="str">
        <f ca="1">IFERROR(__xludf.DUMMYFUNCTION("""COMPUTED_VALUE"""),"-33.768559,-71.244171")</f>
        <v>-33.768559,-71.244171</v>
      </c>
      <c r="C1873" s="6" t="str">
        <f ca="1">IFERROR(__xludf.DUMMYFUNCTION("""COMPUTED_VALUE"""),"RUTA G 60 251 SECTOR A")</f>
        <v>RUTA G 60 251 SECTOR A</v>
      </c>
      <c r="D1873" s="6" t="str">
        <f ca="1">IFERROR(__xludf.DUMMYFUNCTION("""COMPUTED_VALUE"""),"MELIPILLA")</f>
        <v>MELIPILLA</v>
      </c>
    </row>
    <row r="1874" spans="1:4">
      <c r="A1874" s="7">
        <f ca="1">IFERROR(__xludf.DUMMYFUNCTION("""COMPUTED_VALUE"""),44082)</f>
        <v>44082</v>
      </c>
      <c r="B1874" s="6" t="str">
        <f ca="1">IFERROR(__xludf.DUMMYFUNCTION("""COMPUTED_VALUE"""),"-33.079053,-70.975763")</f>
        <v>-33.079053,-70.975763</v>
      </c>
      <c r="C1874" s="6" t="str">
        <f ca="1">IFERROR(__xludf.DUMMYFUNCTION("""COMPUTED_VALUE"""),"LOS LIBERTADORES 88")</f>
        <v>LOS LIBERTADORES 88</v>
      </c>
      <c r="D1874" s="6" t="str">
        <f ca="1">IFERROR(__xludf.DUMMYFUNCTION("""COMPUTED_VALUE"""),"EL MONTE")</f>
        <v>EL MONTE</v>
      </c>
    </row>
    <row r="1875" spans="1:4">
      <c r="A1875" s="7">
        <f ca="1">IFERROR(__xludf.DUMMYFUNCTION("""COMPUTED_VALUE"""),44082)</f>
        <v>44082</v>
      </c>
      <c r="B1875" s="6" t="str">
        <f ca="1">IFERROR(__xludf.DUMMYFUNCTION("""COMPUTED_VALUE"""),"-33.679711,-70.488211")</f>
        <v>-33.679711,-70.488211</v>
      </c>
      <c r="C1875" s="6" t="str">
        <f ca="1">IFERROR(__xludf.DUMMYFUNCTION("""COMPUTED_VALUE"""),"MANUEL RODRIGUEZ S71B")</f>
        <v>MANUEL RODRIGUEZ S71B</v>
      </c>
      <c r="D1875" s="6" t="str">
        <f ca="1">IFERROR(__xludf.DUMMYFUNCTION("""COMPUTED_VALUE"""),"EL MONTE")</f>
        <v>EL MONTE</v>
      </c>
    </row>
    <row r="1876" spans="1:4">
      <c r="A1876" s="7">
        <f ca="1">IFERROR(__xludf.DUMMYFUNCTION("""COMPUTED_VALUE"""),44082)</f>
        <v>44082</v>
      </c>
      <c r="B1876" s="6" t="str">
        <f ca="1">IFERROR(__xludf.DUMMYFUNCTION("""COMPUTED_VALUE"""),"-33.681869,-70.997637")</f>
        <v>-33.681869,-70.997637</v>
      </c>
      <c r="C1876" s="6" t="str">
        <f ca="1">IFERROR(__xludf.DUMMYFUNCTION("""COMPUTED_VALUE"""),"CUATRO PONIENTE 238")</f>
        <v>CUATRO PONIENTE 238</v>
      </c>
      <c r="D1876" s="6" t="str">
        <f ca="1">IFERROR(__xludf.DUMMYFUNCTION("""COMPUTED_VALUE"""),"EL MONTE")</f>
        <v>EL MONTE</v>
      </c>
    </row>
    <row r="1877" spans="1:4">
      <c r="A1877" s="7">
        <f ca="1">IFERROR(__xludf.DUMMYFUNCTION("""COMPUTED_VALUE"""),44082)</f>
        <v>44082</v>
      </c>
      <c r="B1877" s="8" t="str">
        <f ca="1">IFERROR(__xludf.DUMMYFUNCTION("""COMPUTED_VALUE"""),"-33.674165,-71.177296")</f>
        <v>-33.674165,-71.177296</v>
      </c>
      <c r="C1877" s="6" t="str">
        <f ca="1">IFERROR(__xludf.DUMMYFUNCTION("""COMPUTED_VALUE"""),"AUSTRIA 2027")</f>
        <v>AUSTRIA 2027</v>
      </c>
      <c r="D1877" s="6" t="str">
        <f ca="1">IFERROR(__xludf.DUMMYFUNCTION("""COMPUTED_VALUE"""),"MELIPILLA")</f>
        <v>MELIPILLA</v>
      </c>
    </row>
    <row r="1878" spans="1:4">
      <c r="A1878" s="7">
        <f ca="1">IFERROR(__xludf.DUMMYFUNCTION("""COMPUTED_VALUE"""),44082)</f>
        <v>44082</v>
      </c>
      <c r="B1878" s="8" t="str">
        <f ca="1">IFERROR(__xludf.DUMMYFUNCTION("""COMPUTED_VALUE"""),"-33.729101,-71.183499")</f>
        <v>-33.729101,-71.183499</v>
      </c>
      <c r="C1878" s="6" t="str">
        <f ca="1">IFERROR(__xludf.DUMMYFUNCTION("""COMPUTED_VALUE"""),"CARMEN BAJO 9 #10 LOTE 19")</f>
        <v>CARMEN BAJO 9 #10 LOTE 19</v>
      </c>
      <c r="D1878" s="6" t="str">
        <f ca="1">IFERROR(__xludf.DUMMYFUNCTION("""COMPUTED_VALUE"""),"MELIPILLA")</f>
        <v>MELIPILLA</v>
      </c>
    </row>
    <row r="1879" spans="1:4">
      <c r="A1879" s="7">
        <f ca="1">IFERROR(__xludf.DUMMYFUNCTION("""COMPUTED_VALUE"""),44083)</f>
        <v>44083</v>
      </c>
      <c r="B1879" s="8" t="str">
        <f ca="1">IFERROR(__xludf.DUMMYFUNCTION("""COMPUTED_VALUE"""),"-33.454605,-71.095521")</f>
        <v>-33.454605,-71.095521</v>
      </c>
      <c r="C1879" s="6" t="str">
        <f ca="1">IFERROR(__xludf.DUMMYFUNCTION("""COMPUTED_VALUE"""),"EL QUILLOS 471")</f>
        <v>EL QUILLOS 471</v>
      </c>
      <c r="D1879" s="6" t="str">
        <f ca="1">IFERROR(__xludf.DUMMYFUNCTION("""COMPUTED_VALUE"""),"MARIA PINTO")</f>
        <v>MARIA PINTO</v>
      </c>
    </row>
    <row r="1880" spans="1:4">
      <c r="A1880" s="7">
        <f ca="1">IFERROR(__xludf.DUMMYFUNCTION("""COMPUTED_VALUE"""),44083)</f>
        <v>44083</v>
      </c>
      <c r="B1880" s="6" t="str">
        <f ca="1">IFERROR(__xludf.DUMMYFUNCTION("""COMPUTED_VALUE"""),"-33.603117-70.872986")</f>
        <v>-33.603117-70.872986</v>
      </c>
      <c r="C1880" s="6" t="str">
        <f ca="1">IFERROR(__xludf.DUMMYFUNCTION("""COMPUTED_VALUE"""),"LOS JACINTOS 1831")</f>
        <v>LOS JACINTOS 1831</v>
      </c>
      <c r="D1880" s="6" t="str">
        <f ca="1">IFERROR(__xludf.DUMMYFUNCTION("""COMPUTED_VALUE"""),"PEÑAFLOR")</f>
        <v>PEÑAFLOR</v>
      </c>
    </row>
    <row r="1881" spans="1:4">
      <c r="A1881" s="7">
        <f ca="1">IFERROR(__xludf.DUMMYFUNCTION("""COMPUTED_VALUE"""),44083)</f>
        <v>44083</v>
      </c>
      <c r="B1881" s="6" t="str">
        <f ca="1">IFERROR(__xludf.DUMMYFUNCTION("""COMPUTED_VALUE"""),"-33.591918-70.889525")</f>
        <v>-33.591918-70.889525</v>
      </c>
      <c r="C1881" s="6" t="str">
        <f ca="1">IFERROR(__xludf.DUMMYFUNCTION("""COMPUTED_VALUE"""),"EL GUANACO 2 PARC 2")</f>
        <v>EL GUANACO 2 PARC 2</v>
      </c>
      <c r="D1881" s="6" t="str">
        <f ca="1">IFERROR(__xludf.DUMMYFUNCTION("""COMPUTED_VALUE"""),"PEÑAFLOR")</f>
        <v>PEÑAFLOR</v>
      </c>
    </row>
    <row r="1882" spans="1:4">
      <c r="A1882" s="7">
        <f ca="1">IFERROR(__xludf.DUMMYFUNCTION("""COMPUTED_VALUE"""),44083)</f>
        <v>44083</v>
      </c>
      <c r="B1882" s="6" t="str">
        <f ca="1">IFERROR(__xludf.DUMMYFUNCTION("""COMPUTED_VALUE"""),"-33.5923510-70.8594202")</f>
        <v>-33.5923510-70.8594202</v>
      </c>
      <c r="C1882" s="6" t="str">
        <f ca="1">IFERROR(__xludf.DUMMYFUNCTION("""COMPUTED_VALUE"""),"LOS PAJARITOS PARC 14 LOTE A")</f>
        <v>LOS PAJARITOS PARC 14 LOTE A</v>
      </c>
      <c r="D1882" s="6" t="str">
        <f ca="1">IFERROR(__xludf.DUMMYFUNCTION("""COMPUTED_VALUE"""),"PEÑAFLOR")</f>
        <v>PEÑAFLOR</v>
      </c>
    </row>
    <row r="1883" spans="1:4">
      <c r="A1883" s="7">
        <f ca="1">IFERROR(__xludf.DUMMYFUNCTION("""COMPUTED_VALUE"""),44083)</f>
        <v>44083</v>
      </c>
      <c r="B1883" s="6" t="str">
        <f ca="1">IFERROR(__xludf.DUMMYFUNCTION("""COMPUTED_VALUE"""),"-33.6013823-70.8763963")</f>
        <v>-33.6013823-70.8763963</v>
      </c>
      <c r="C1883" s="6" t="str">
        <f ca="1">IFERROR(__xludf.DUMMYFUNCTION("""COMPUTED_VALUE"""),"AV. LARRAIN 2232")</f>
        <v>AV. LARRAIN 2232</v>
      </c>
      <c r="D1883" s="6" t="str">
        <f ca="1">IFERROR(__xludf.DUMMYFUNCTION("""COMPUTED_VALUE"""),"PEÑAFLOR")</f>
        <v>PEÑAFLOR</v>
      </c>
    </row>
    <row r="1884" spans="1:4">
      <c r="A1884" s="7">
        <f ca="1">IFERROR(__xludf.DUMMYFUNCTION("""COMPUTED_VALUE"""),44083)</f>
        <v>44083</v>
      </c>
      <c r="B1884" s="6" t="str">
        <f ca="1">IFERROR(__xludf.DUMMYFUNCTION("""COMPUTED_VALUE"""),"-33.675277,-71.175545")</f>
        <v>-33.675277,-71.175545</v>
      </c>
      <c r="C1884" s="6" t="str">
        <f ca="1">IFERROR(__xludf.DUMMYFUNCTION("""COMPUTED_VALUE"""),"PORTUGAL 111 VILLA INCA")</f>
        <v>PORTUGAL 111 VILLA INCA</v>
      </c>
      <c r="D1884" s="6" t="str">
        <f ca="1">IFERROR(__xludf.DUMMYFUNCTION("""COMPUTED_VALUE"""),"MELIPILLA")</f>
        <v>MELIPILLA</v>
      </c>
    </row>
    <row r="1885" spans="1:4">
      <c r="A1885" s="7">
        <f ca="1">IFERROR(__xludf.DUMMYFUNCTION("""COMPUTED_VALUE"""),44083)</f>
        <v>44083</v>
      </c>
      <c r="B1885" s="6" t="str">
        <f ca="1">IFERROR(__xludf.DUMMYFUNCTION("""COMPUTED_VALUE"""),"-33.680361,-71.194556")</f>
        <v>-33.680361,-71.194556</v>
      </c>
      <c r="C1885" s="6" t="str">
        <f ca="1">IFERROR(__xludf.DUMMYFUNCTION("""COMPUTED_VALUE"""),"ANGAMOS 43-P. TAL-TAL")</f>
        <v>ANGAMOS 43-P. TAL-TAL</v>
      </c>
      <c r="D1885" s="6" t="str">
        <f ca="1">IFERROR(__xludf.DUMMYFUNCTION("""COMPUTED_VALUE"""),"MELIPILLA")</f>
        <v>MELIPILLA</v>
      </c>
    </row>
    <row r="1886" spans="1:4">
      <c r="A1886" s="7">
        <f ca="1">IFERROR(__xludf.DUMMYFUNCTION("""COMPUTED_VALUE"""),44083)</f>
        <v>44083</v>
      </c>
      <c r="B1886" s="6" t="str">
        <f ca="1">IFERROR(__xludf.DUMMYFUNCTION("""COMPUTED_VALUE"""),"-33.700359,-71.209173")</f>
        <v>-33.700359,-71.209173</v>
      </c>
      <c r="C1886" s="6" t="str">
        <f ca="1">IFERROR(__xludf.DUMMYFUNCTION("""COMPUTED_VALUE"""),"EL BAJO S/N-CV5")</f>
        <v>EL BAJO S/N-CV5</v>
      </c>
      <c r="D1886" s="6" t="str">
        <f ca="1">IFERROR(__xludf.DUMMYFUNCTION("""COMPUTED_VALUE"""),"MELIPILLA")</f>
        <v>MELIPILLA</v>
      </c>
    </row>
    <row r="1887" spans="1:4">
      <c r="A1887" s="7">
        <f ca="1">IFERROR(__xludf.DUMMYFUNCTION("""COMPUTED_VALUE"""),44083)</f>
        <v>44083</v>
      </c>
      <c r="B1887" s="6" t="str">
        <f ca="1">IFERROR(__xludf.DUMMYFUNCTION("""COMPUTED_VALUE"""),"-33.700119,-71.216647")</f>
        <v>-33.700119,-71.216647</v>
      </c>
      <c r="C1887" s="6" t="str">
        <f ca="1">IFERROR(__xludf.DUMMYFUNCTION("""COMPUTED_VALUE"""),"PA MANUEL AGUERO 1522 ")</f>
        <v xml:space="preserve">PA MANUEL AGUERO 1522 </v>
      </c>
      <c r="D1887" s="6" t="str">
        <f ca="1">IFERROR(__xludf.DUMMYFUNCTION("""COMPUTED_VALUE"""),"MELIPILLA")</f>
        <v>MELIPILLA</v>
      </c>
    </row>
    <row r="1888" spans="1:4">
      <c r="A1888" s="7">
        <f ca="1">IFERROR(__xludf.DUMMYFUNCTION("""COMPUTED_VALUE"""),44083)</f>
        <v>44083</v>
      </c>
      <c r="B1888" s="6" t="str">
        <f ca="1">IFERROR(__xludf.DUMMYFUNCTION("""COMPUTED_VALUE"""),"-33.684383,-71.195868")</f>
        <v>-33.684383,-71.195868</v>
      </c>
      <c r="C1888" s="6" t="str">
        <f ca="1">IFERROR(__xludf.DUMMYFUNCTION("""COMPUTED_VALUE"""),"ROSSINI 324")</f>
        <v>ROSSINI 324</v>
      </c>
      <c r="D1888" s="6" t="str">
        <f ca="1">IFERROR(__xludf.DUMMYFUNCTION("""COMPUTED_VALUE"""),"MELIPILLA")</f>
        <v>MELIPILLA</v>
      </c>
    </row>
    <row r="1889" spans="1:4">
      <c r="A1889" s="7">
        <f ca="1">IFERROR(__xludf.DUMMYFUNCTION("""COMPUTED_VALUE"""),44083)</f>
        <v>44083</v>
      </c>
      <c r="B1889" s="6" t="str">
        <f ca="1">IFERROR(__xludf.DUMMYFUNCTION("""COMPUTED_VALUE"""),"-33.684464,-71.195882")</f>
        <v>-33.684464,-71.195882</v>
      </c>
      <c r="C1889" s="6" t="str">
        <f ca="1">IFERROR(__xludf.DUMMYFUNCTION("""COMPUTED_VALUE"""),"ROSSINI 328")</f>
        <v>ROSSINI 328</v>
      </c>
      <c r="D1889" s="6" t="str">
        <f ca="1">IFERROR(__xludf.DUMMYFUNCTION("""COMPUTED_VALUE"""),"MELIPILLA")</f>
        <v>MELIPILLA</v>
      </c>
    </row>
    <row r="1890" spans="1:4">
      <c r="A1890" s="7">
        <f ca="1">IFERROR(__xludf.DUMMYFUNCTION("""COMPUTED_VALUE"""),44083)</f>
        <v>44083</v>
      </c>
      <c r="B1890" s="6" t="str">
        <f ca="1">IFERROR(__xludf.DUMMYFUNCTION("""COMPUTED_VALUE"""),"-33.675923,-70.97530")</f>
        <v>-33.675923,-70.97530</v>
      </c>
      <c r="C1890" s="6" t="str">
        <f ca="1">IFERROR(__xludf.DUMMYFUNCTION("""COMPUTED_VALUE"""),"PAULA VERDUGO 196")</f>
        <v>PAULA VERDUGO 196</v>
      </c>
      <c r="D1890" s="6" t="str">
        <f ca="1">IFERROR(__xludf.DUMMYFUNCTION("""COMPUTED_VALUE"""),"EL MONTE")</f>
        <v>EL MONTE</v>
      </c>
    </row>
    <row r="1891" spans="1:4">
      <c r="A1891" s="7">
        <f ca="1">IFERROR(__xludf.DUMMYFUNCTION("""COMPUTED_VALUE"""),44083)</f>
        <v>44083</v>
      </c>
      <c r="B1891" s="6" t="str">
        <f ca="1">IFERROR(__xludf.DUMMYFUNCTION("""COMPUTED_VALUE"""),"-33.683713,-70.999474")</f>
        <v>-33.683713,-70.999474</v>
      </c>
      <c r="C1891" s="6" t="str">
        <f ca="1">IFERROR(__xludf.DUMMYFUNCTION("""COMPUTED_VALUE"""),"SAN SEBASTIAN 51")</f>
        <v>SAN SEBASTIAN 51</v>
      </c>
      <c r="D1891" s="6" t="str">
        <f ca="1">IFERROR(__xludf.DUMMYFUNCTION("""COMPUTED_VALUE"""),"EL MONTE")</f>
        <v>EL MONTE</v>
      </c>
    </row>
    <row r="1892" spans="1:4">
      <c r="A1892" s="7">
        <f ca="1">IFERROR(__xludf.DUMMYFUNCTION("""COMPUTED_VALUE"""),44083)</f>
        <v>44083</v>
      </c>
      <c r="B1892" s="6" t="str">
        <f ca="1">IFERROR(__xludf.DUMMYFUNCTION("""COMPUTED_VALUE"""),"-33.688032,-71.0363775")</f>
        <v>-33.688032,-71.0363775</v>
      </c>
      <c r="C1892" s="6" t="str">
        <f ca="1">IFERROR(__xludf.DUMMYFUNCTION("""COMPUTED_VALUE"""),"CUBA 1599 BA")</f>
        <v>CUBA 1599 BA</v>
      </c>
      <c r="D1892" s="6" t="str">
        <f ca="1">IFERROR(__xludf.DUMMYFUNCTION("""COMPUTED_VALUE"""),"EL MONTE")</f>
        <v>EL MONTE</v>
      </c>
    </row>
    <row r="1893" spans="1:4">
      <c r="A1893" s="7">
        <f ca="1">IFERROR(__xludf.DUMMYFUNCTION("""COMPUTED_VALUE"""),44083)</f>
        <v>44083</v>
      </c>
      <c r="B1893" s="6" t="str">
        <f ca="1">IFERROR(__xludf.DUMMYFUNCTION("""COMPUTED_VALUE"""),"-33.689262,-71.032540")</f>
        <v>-33.689262,-71.032540</v>
      </c>
      <c r="C1893" s="6" t="str">
        <f ca="1">IFERROR(__xludf.DUMMYFUNCTION("""COMPUTED_VALUE"""),"PS.SURINAME 096")</f>
        <v>PS.SURINAME 096</v>
      </c>
      <c r="D1893" s="6" t="str">
        <f ca="1">IFERROR(__xludf.DUMMYFUNCTION("""COMPUTED_VALUE"""),"EL MONTE")</f>
        <v>EL MONTE</v>
      </c>
    </row>
    <row r="1894" spans="1:4">
      <c r="A1894" s="7">
        <f ca="1">IFERROR(__xludf.DUMMYFUNCTION("""COMPUTED_VALUE"""),44083)</f>
        <v>44083</v>
      </c>
      <c r="B1894" s="8" t="str">
        <f ca="1">IFERROR(__xludf.DUMMYFUNCTION("""COMPUTED_VALUE"""),"-33.572573,-71.199194")</f>
        <v>-33.572573,-71.199194</v>
      </c>
      <c r="C1894" s="6" t="str">
        <f ca="1">IFERROR(__xludf.DUMMYFUNCTION("""COMPUTED_VALUE"""),"EL LAUREL 870 VILLA LOS BOLLENARES")</f>
        <v>EL LAUREL 870 VILLA LOS BOLLENARES</v>
      </c>
      <c r="D1894" s="6" t="str">
        <f ca="1">IFERROR(__xludf.DUMMYFUNCTION("""COMPUTED_VALUE"""),"MELIPILLA")</f>
        <v>MELIPILLA</v>
      </c>
    </row>
    <row r="1895" spans="1:4">
      <c r="A1895" s="7">
        <f ca="1">IFERROR(__xludf.DUMMYFUNCTION("""COMPUTED_VALUE"""),44083)</f>
        <v>44083</v>
      </c>
      <c r="B1895" s="8" t="str">
        <f ca="1">IFERROR(__xludf.DUMMYFUNCTION("""COMPUTED_VALUE"""),"-33.791636,-71.286545")</f>
        <v>-33.791636,-71.286545</v>
      </c>
      <c r="C1895" s="6" t="str">
        <f ca="1">IFERROR(__xludf.DUMMYFUNCTION("""COMPUTED_VALUE"""),"VILLA EDUARDO VELAZQUEZ #15")</f>
        <v>VILLA EDUARDO VELAZQUEZ #15</v>
      </c>
      <c r="D1895" s="6" t="str">
        <f ca="1">IFERROR(__xludf.DUMMYFUNCTION("""COMPUTED_VALUE"""),"MELIPILLA")</f>
        <v>MELIPILLA</v>
      </c>
    </row>
    <row r="1896" spans="1:4">
      <c r="A1896" s="7">
        <f ca="1">IFERROR(__xludf.DUMMYFUNCTION("""COMPUTED_VALUE"""),44083)</f>
        <v>44083</v>
      </c>
      <c r="B1896" s="8" t="str">
        <f ca="1">IFERROR(__xludf.DUMMYFUNCTION("""COMPUTED_VALUE"""),"-33.656595,'-71.310751")</f>
        <v>-33.656595,'-71.310751</v>
      </c>
      <c r="C1896" s="6" t="str">
        <f ca="1">IFERROR(__xludf.DUMMYFUNCTION("""COMPUTED_VALUE"""),"PUERTOS COLORADOS #9")</f>
        <v>PUERTOS COLORADOS #9</v>
      </c>
      <c r="D1896" s="6" t="str">
        <f ca="1">IFERROR(__xludf.DUMMYFUNCTION("""COMPUTED_VALUE"""),"MELIPILLA")</f>
        <v>MELIPILLA</v>
      </c>
    </row>
    <row r="1897" spans="1:4">
      <c r="A1897" s="7">
        <f ca="1">IFERROR(__xludf.DUMMYFUNCTION("""COMPUTED_VALUE"""),44083)</f>
        <v>44083</v>
      </c>
      <c r="B1897" s="8" t="str">
        <f ca="1">IFERROR(__xludf.DUMMYFUNCTION("""COMPUTED_VALUE"""),"-33.6615554,-71.335061")</f>
        <v>-33.6615554,-71.335061</v>
      </c>
      <c r="C1897" s="6" t="str">
        <f ca="1">IFERROR(__xludf.DUMMYFUNCTION("""COMPUTED_VALUE"""),"PARCELA 23")</f>
        <v>PARCELA 23</v>
      </c>
      <c r="D1897" s="6" t="str">
        <f ca="1">IFERROR(__xludf.DUMMYFUNCTION("""COMPUTED_VALUE"""),"MELIPILLA")</f>
        <v>MELIPILLA</v>
      </c>
    </row>
    <row r="1898" spans="1:4">
      <c r="A1898" s="7">
        <f ca="1">IFERROR(__xludf.DUMMYFUNCTION("""COMPUTED_VALUE"""),44084)</f>
        <v>44084</v>
      </c>
      <c r="B1898" s="8" t="str">
        <f ca="1">IFERROR(__xludf.DUMMYFUNCTION("""COMPUTED_VALUE"""),"-33.785933,-71.366883")</f>
        <v>-33.785933,-71.366883</v>
      </c>
      <c r="C1898" s="6" t="str">
        <f ca="1">IFERROR(__xludf.DUMMYFUNCTION("""COMPUTED_VALUE"""),"LA UNION DE CODIGUE 10")</f>
        <v>LA UNION DE CODIGUE 10</v>
      </c>
      <c r="D1898" s="6" t="str">
        <f ca="1">IFERROR(__xludf.DUMMYFUNCTION("""COMPUTED_VALUE"""),"MELIPILLA")</f>
        <v>MELIPILLA</v>
      </c>
    </row>
    <row r="1899" spans="1:4">
      <c r="A1899" s="7">
        <f ca="1">IFERROR(__xludf.DUMMYFUNCTION("""COMPUTED_VALUE"""),44084)</f>
        <v>44084</v>
      </c>
      <c r="B1899" s="6" t="str">
        <f ca="1">IFERROR(__xludf.DUMMYFUNCTION("""COMPUTED_VALUE"""),"-33.6006855-70.8685228")</f>
        <v>-33.6006855-70.8685228</v>
      </c>
      <c r="C1899" s="6" t="str">
        <f ca="1">IFERROR(__xludf.DUMMYFUNCTION("""COMPUTED_VALUE"""),"CLAUDIO ARRAU 1605")</f>
        <v>CLAUDIO ARRAU 1605</v>
      </c>
      <c r="D1899" s="6" t="str">
        <f ca="1">IFERROR(__xludf.DUMMYFUNCTION("""COMPUTED_VALUE"""),"PEÑAFLOR")</f>
        <v>PEÑAFLOR</v>
      </c>
    </row>
    <row r="1900" spans="1:4">
      <c r="A1900" s="7">
        <f ca="1">IFERROR(__xludf.DUMMYFUNCTION("""COMPUTED_VALUE"""),44084)</f>
        <v>44084</v>
      </c>
      <c r="B1900" s="6" t="str">
        <f ca="1">IFERROR(__xludf.DUMMYFUNCTION("""COMPUTED_VALUE"""),"-33.6009047-70.8732959")</f>
        <v>-33.6009047-70.8732959</v>
      </c>
      <c r="C1900" s="6" t="str">
        <f ca="1">IFERROR(__xludf.DUMMYFUNCTION("""COMPUTED_VALUE"""),"AV. FRANCISCO BILBAO 150")</f>
        <v>AV. FRANCISCO BILBAO 150</v>
      </c>
      <c r="D1900" s="6" t="str">
        <f ca="1">IFERROR(__xludf.DUMMYFUNCTION("""COMPUTED_VALUE"""),"PEÑAFLOR")</f>
        <v>PEÑAFLOR</v>
      </c>
    </row>
    <row r="1901" spans="1:4">
      <c r="A1901" s="7">
        <f ca="1">IFERROR(__xludf.DUMMYFUNCTION("""COMPUTED_VALUE"""),44084)</f>
        <v>44084</v>
      </c>
      <c r="B1901" s="6" t="str">
        <f ca="1">IFERROR(__xludf.DUMMYFUNCTION("""COMPUTED_VALUE"""),"-33.4601-71.03551")</f>
        <v>-33.4601-71.03551</v>
      </c>
      <c r="C1901" s="6" t="str">
        <f ca="1">IFERROR(__xludf.DUMMYFUNCTION("""COMPUTED_VALUE"""),"CINCO  PEDRO BARRA 741")</f>
        <v>CINCO  PEDRO BARRA 741</v>
      </c>
      <c r="D1901" s="6" t="str">
        <f ca="1">IFERROR(__xludf.DUMMYFUNCTION("""COMPUTED_VALUE"""),"CURACAVI")</f>
        <v>CURACAVI</v>
      </c>
    </row>
    <row r="1902" spans="1:4">
      <c r="A1902" s="7">
        <f ca="1">IFERROR(__xludf.DUMMYFUNCTION("""COMPUTED_VALUE"""),44084)</f>
        <v>44084</v>
      </c>
      <c r="B1902" s="6" t="str">
        <f ca="1">IFERROR(__xludf.DUMMYFUNCTION("""COMPUTED_VALUE"""),"-33.40792-71.13567")</f>
        <v>-33.40792-71.13567</v>
      </c>
      <c r="C1902" s="6" t="str">
        <f ca="1">IFERROR(__xludf.DUMMYFUNCTION("""COMPUTED_VALUE"""),"SAN MARCOS 470")</f>
        <v>SAN MARCOS 470</v>
      </c>
      <c r="D1902" s="6" t="str">
        <f ca="1">IFERROR(__xludf.DUMMYFUNCTION("""COMPUTED_VALUE"""),"CURACAVI")</f>
        <v>CURACAVI</v>
      </c>
    </row>
    <row r="1903" spans="1:4">
      <c r="A1903" s="7">
        <f ca="1">IFERROR(__xludf.DUMMYFUNCTION("""COMPUTED_VALUE"""),44084)</f>
        <v>44084</v>
      </c>
      <c r="B1903" s="6" t="str">
        <f ca="1">IFERROR(__xludf.DUMMYFUNCTION("""COMPUTED_VALUE"""),"-33.45197-71.02731")</f>
        <v>-33.45197-71.02731</v>
      </c>
      <c r="C1903" s="6" t="str">
        <f ca="1">IFERROR(__xludf.DUMMYFUNCTION("""COMPUTED_VALUE"""),"UNION CHILENA 28 B")</f>
        <v>UNION CHILENA 28 B</v>
      </c>
      <c r="D1903" s="6" t="str">
        <f ca="1">IFERROR(__xludf.DUMMYFUNCTION("""COMPUTED_VALUE"""),"CURACAVI")</f>
        <v>CURACAVI</v>
      </c>
    </row>
    <row r="1904" spans="1:4">
      <c r="A1904" s="7">
        <f ca="1">IFERROR(__xludf.DUMMYFUNCTION("""COMPUTED_VALUE"""),44084)</f>
        <v>44084</v>
      </c>
      <c r="B1904" s="6" t="str">
        <f ca="1">IFERROR(__xludf.DUMMYFUNCTION("""COMPUTED_VALUE"""),"-33.676329,-70.976913")</f>
        <v>-33.676329,-70.976913</v>
      </c>
      <c r="C1904" s="6" t="str">
        <f ca="1">IFERROR(__xludf.DUMMYFUNCTION("""COMPUTED_VALUE"""),"ELAUTARIO RAMIREZ 161")</f>
        <v>ELAUTARIO RAMIREZ 161</v>
      </c>
      <c r="D1904" s="6" t="str">
        <f ca="1">IFERROR(__xludf.DUMMYFUNCTION("""COMPUTED_VALUE"""),"EL MONTE")</f>
        <v>EL MONTE</v>
      </c>
    </row>
    <row r="1905" spans="1:4">
      <c r="A1905" s="7">
        <f ca="1">IFERROR(__xludf.DUMMYFUNCTION("""COMPUTED_VALUE"""),44084)</f>
        <v>44084</v>
      </c>
      <c r="B1905" s="6" t="str">
        <f ca="1">IFERROR(__xludf.DUMMYFUNCTION("""COMPUTED_VALUE"""),"-33.681621,-70.994022")</f>
        <v>-33.681621,-70.994022</v>
      </c>
      <c r="C1905" s="6" t="str">
        <f ca="1">IFERROR(__xludf.DUMMYFUNCTION("""COMPUTED_VALUE"""),"FRANCISCO ENCINA 753")</f>
        <v>FRANCISCO ENCINA 753</v>
      </c>
      <c r="D1905" s="6" t="str">
        <f ca="1">IFERROR(__xludf.DUMMYFUNCTION("""COMPUTED_VALUE"""),"EL MONTE")</f>
        <v>EL MONTE</v>
      </c>
    </row>
    <row r="1906" spans="1:4">
      <c r="A1906" s="7">
        <f ca="1">IFERROR(__xludf.DUMMYFUNCTION("""COMPUTED_VALUE"""),44084)</f>
        <v>44084</v>
      </c>
      <c r="B1906" s="6" t="str">
        <f ca="1">IFERROR(__xludf.DUMMYFUNCTION("""COMPUTED_VALUE"""),"-33.684402,-71.023000")</f>
        <v>-33.684402,-71.023000</v>
      </c>
      <c r="C1906" s="6" t="str">
        <f ca="1">IFERROR(__xludf.DUMMYFUNCTION("""COMPUTED_VALUE"""),"LAS PARRAS 1239")</f>
        <v>LAS PARRAS 1239</v>
      </c>
      <c r="D1906" s="6" t="str">
        <f ca="1">IFERROR(__xludf.DUMMYFUNCTION("""COMPUTED_VALUE"""),"EL MONTE")</f>
        <v>EL MONTE</v>
      </c>
    </row>
    <row r="1907" spans="1:4">
      <c r="A1907" s="7">
        <f ca="1">IFERROR(__xludf.DUMMYFUNCTION("""COMPUTED_VALUE"""),44084)</f>
        <v>44084</v>
      </c>
      <c r="B1907" s="6" t="str">
        <f ca="1">IFERROR(__xludf.DUMMYFUNCTION("""COMPUTED_VALUE"""),"-33.299171 - 70.879634")</f>
        <v>-33.299171 - 70.879634</v>
      </c>
      <c r="C1907" s="6" t="str">
        <f ca="1">IFERROR(__xludf.DUMMYFUNCTION("""COMPUTED_VALUE"""),"CAM LAS FLORES 1008 C/134 ")</f>
        <v xml:space="preserve">CAM LAS FLORES 1008 C/134 </v>
      </c>
      <c r="D1907" s="6" t="str">
        <f ca="1">IFERROR(__xludf.DUMMYFUNCTION("""COMPUTED_VALUE"""),"LAMPA")</f>
        <v>LAMPA</v>
      </c>
    </row>
    <row r="1908" spans="1:4">
      <c r="A1908" s="7">
        <f ca="1">IFERROR(__xludf.DUMMYFUNCTION("""COMPUTED_VALUE"""),44084)</f>
        <v>44084</v>
      </c>
      <c r="B1908" s="6" t="str">
        <f ca="1">IFERROR(__xludf.DUMMYFUNCTION("""COMPUTED_VALUE"""),"-33.282044 - 70.884905")</f>
        <v>-33.282044 - 70.884905</v>
      </c>
      <c r="C1908" s="6" t="str">
        <f ca="1">IFERROR(__xludf.DUMMYFUNCTION("""COMPUTED_VALUE"""),"JOVINO NOVOA 465 ")</f>
        <v xml:space="preserve">JOVINO NOVOA 465 </v>
      </c>
      <c r="D1908" s="6" t="str">
        <f ca="1">IFERROR(__xludf.DUMMYFUNCTION("""COMPUTED_VALUE"""),"LAMPA")</f>
        <v>LAMPA</v>
      </c>
    </row>
    <row r="1909" spans="1:4">
      <c r="A1909" s="7">
        <f ca="1">IFERROR(__xludf.DUMMYFUNCTION("""COMPUTED_VALUE"""),44085)</f>
        <v>44085</v>
      </c>
      <c r="B1909" s="6" t="str">
        <f ca="1">IFERROR(__xludf.DUMMYFUNCTION("""COMPUTED_VALUE"""),"-33.6116831-70.8827631")</f>
        <v>-33.6116831-70.8827631</v>
      </c>
      <c r="C1909" s="6" t="str">
        <f ca="1">IFERROR(__xludf.DUMMYFUNCTION("""COMPUTED_VALUE"""),"PJE FLAMENCO 1576")</f>
        <v>PJE FLAMENCO 1576</v>
      </c>
      <c r="D1909" s="6" t="str">
        <f ca="1">IFERROR(__xludf.DUMMYFUNCTION("""COMPUTED_VALUE"""),"PEÑAFLOR")</f>
        <v>PEÑAFLOR</v>
      </c>
    </row>
    <row r="1910" spans="1:4">
      <c r="A1910" s="7">
        <f ca="1">IFERROR(__xludf.DUMMYFUNCTION("""COMPUTED_VALUE"""),44085)</f>
        <v>44085</v>
      </c>
      <c r="B1910" s="6" t="str">
        <f ca="1">IFERROR(__xludf.DUMMYFUNCTION("""COMPUTED_VALUE"""),"-33.686455,-71.013613")</f>
        <v>-33.686455,-71.013613</v>
      </c>
      <c r="C1910" s="6" t="str">
        <f ca="1">IFERROR(__xludf.DUMMYFUNCTION("""COMPUTED_VALUE"""),"PAULA JARAQUEMADA 961")</f>
        <v>PAULA JARAQUEMADA 961</v>
      </c>
      <c r="D1910" s="6" t="str">
        <f ca="1">IFERROR(__xludf.DUMMYFUNCTION("""COMPUTED_VALUE"""),"EL MONTE")</f>
        <v>EL MONTE</v>
      </c>
    </row>
    <row r="1911" spans="1:4">
      <c r="A1911" s="7">
        <f ca="1">IFERROR(__xludf.DUMMYFUNCTION("""COMPUTED_VALUE"""),44085)</f>
        <v>44085</v>
      </c>
      <c r="B1911" s="6" t="str">
        <f ca="1">IFERROR(__xludf.DUMMYFUNCTION("""COMPUTED_VALUE"""),"-33.672051,-70.976004")</f>
        <v>-33.672051,-70.976004</v>
      </c>
      <c r="C1911" s="6" t="str">
        <f ca="1">IFERROR(__xludf.DUMMYFUNCTION("""COMPUTED_VALUE"""),"LOS LIBERTADORES 88")</f>
        <v>LOS LIBERTADORES 88</v>
      </c>
      <c r="D1911" s="6" t="str">
        <f ca="1">IFERROR(__xludf.DUMMYFUNCTION("""COMPUTED_VALUE"""),"EL MONTE")</f>
        <v>EL MONTE</v>
      </c>
    </row>
    <row r="1912" spans="1:4">
      <c r="A1912" s="7">
        <f ca="1">IFERROR(__xludf.DUMMYFUNCTION("""COMPUTED_VALUE"""),44085)</f>
        <v>44085</v>
      </c>
      <c r="B1912" s="6" t="str">
        <f ca="1">IFERROR(__xludf.DUMMYFUNCTION("""COMPUTED_VALUE"""),"-33.145157 - 70.799483")</f>
        <v>-33.145157 - 70.799483</v>
      </c>
      <c r="C1912" s="6" t="str">
        <f ca="1">IFERROR(__xludf.DUMMYFUNCTION("""COMPUTED_VALUE"""),"4 SUR L/1-A HUERTOS FAMILIARES ")</f>
        <v xml:space="preserve">4 SUR L/1-A HUERTOS FAMILIARES </v>
      </c>
      <c r="D1912" s="6" t="str">
        <f ca="1">IFERROR(__xludf.DUMMYFUNCTION("""COMPUTED_VALUE"""),"TIL TIL")</f>
        <v>TIL TIL</v>
      </c>
    </row>
    <row r="1913" spans="1:4">
      <c r="A1913" s="7">
        <f ca="1">IFERROR(__xludf.DUMMYFUNCTION("""COMPUTED_VALUE"""),44086)</f>
        <v>44086</v>
      </c>
      <c r="B1913" s="6" t="str">
        <f ca="1">IFERROR(__xludf.DUMMYFUNCTION("""COMPUTED_VALUE"""),"-33.694353,-71.225217")</f>
        <v>-33.694353,-71.225217</v>
      </c>
      <c r="C1913" s="6" t="str">
        <f ca="1">IFERROR(__xludf.DUMMYFUNCTION("""COMPUTED_VALUE"""),"LOS GORRIONES 1523 ALTOS DEL PARQUES")</f>
        <v>LOS GORRIONES 1523 ALTOS DEL PARQUES</v>
      </c>
      <c r="D1913" s="6" t="str">
        <f ca="1">IFERROR(__xludf.DUMMYFUNCTION("""COMPUTED_VALUE"""),"MELIPILLA")</f>
        <v>MELIPILLA</v>
      </c>
    </row>
    <row r="1914" spans="1:4">
      <c r="A1914" s="7">
        <f ca="1">IFERROR(__xludf.DUMMYFUNCTION("""COMPUTED_VALUE"""),44086)</f>
        <v>44086</v>
      </c>
      <c r="B1914" s="6" t="str">
        <f ca="1">IFERROR(__xludf.DUMMYFUNCTION("""COMPUTED_VALUE"""),"-33.690538,-71.220624")</f>
        <v>-33.690538,-71.220624</v>
      </c>
      <c r="C1914" s="6" t="str">
        <f ca="1">IFERROR(__xludf.DUMMYFUNCTION("""COMPUTED_VALUE"""),"ABRAZO DE MAIPU 941")</f>
        <v>ABRAZO DE MAIPU 941</v>
      </c>
      <c r="D1914" s="6" t="str">
        <f ca="1">IFERROR(__xludf.DUMMYFUNCTION("""COMPUTED_VALUE"""),"MELIPILLA")</f>
        <v>MELIPILLA</v>
      </c>
    </row>
    <row r="1915" spans="1:4">
      <c r="A1915" s="7">
        <f ca="1">IFERROR(__xludf.DUMMYFUNCTION("""COMPUTED_VALUE"""),44086)</f>
        <v>44086</v>
      </c>
      <c r="B1915" s="6" t="str">
        <f ca="1">IFERROR(__xludf.DUMMYFUNCTION("""COMPUTED_VALUE"""),"-33.688105,-71.211273")</f>
        <v>-33.688105,-71.211273</v>
      </c>
      <c r="C1915" s="6" t="str">
        <f ca="1">IFERROR(__xludf.DUMMYFUNCTION("""COMPUTED_VALUE"""),"CA FUENZALIDA 685")</f>
        <v>CA FUENZALIDA 685</v>
      </c>
      <c r="D1915" s="6" t="str">
        <f ca="1">IFERROR(__xludf.DUMMYFUNCTION("""COMPUTED_VALUE"""),"MELIPILLA")</f>
        <v>MELIPILLA</v>
      </c>
    </row>
    <row r="1916" spans="1:4">
      <c r="A1916" s="7">
        <f ca="1">IFERROR(__xludf.DUMMYFUNCTION("""COMPUTED_VALUE"""),44086)</f>
        <v>44086</v>
      </c>
      <c r="B1916" s="6" t="str">
        <f ca="1">IFERROR(__xludf.DUMMYFUNCTION("""COMPUTED_VALUE"""),"-33.684051,-71.199048")</f>
        <v>-33.684051,-71.199048</v>
      </c>
      <c r="C1916" s="6" t="str">
        <f ca="1">IFERROR(__xludf.DUMMYFUNCTION("""COMPUTED_VALUE"""),"R. BOIZARD BASTÍAS 0642")</f>
        <v>R. BOIZARD BASTÍAS 0642</v>
      </c>
      <c r="D1916" s="6" t="str">
        <f ca="1">IFERROR(__xludf.DUMMYFUNCTION("""COMPUTED_VALUE"""),"MELIPILLA")</f>
        <v>MELIPILLA</v>
      </c>
    </row>
    <row r="1917" spans="1:4">
      <c r="A1917" s="7">
        <f ca="1">IFERROR(__xludf.DUMMYFUNCTION("""COMPUTED_VALUE"""),44086)</f>
        <v>44086</v>
      </c>
      <c r="B1917" s="6" t="str">
        <f ca="1">IFERROR(__xludf.DUMMYFUNCTION("""COMPUTED_VALUE"""),"-33.670291,-70.935939")</f>
        <v>-33.670291,-70.935939</v>
      </c>
      <c r="C1917" s="6" t="str">
        <f ca="1">IFERROR(__xludf.DUMMYFUNCTION("""COMPUTED_VALUE"""),"JULIO VRANCKEN 2017")</f>
        <v>JULIO VRANCKEN 2017</v>
      </c>
      <c r="D1917" s="6" t="str">
        <f ca="1">IFERROR(__xludf.DUMMYFUNCTION("""COMPUTED_VALUE"""),"TALAGANTE")</f>
        <v>TALAGANTE</v>
      </c>
    </row>
    <row r="1918" spans="1:4">
      <c r="A1918" s="7">
        <f ca="1">IFERROR(__xludf.DUMMYFUNCTION("""COMPUTED_VALUE"""),44086)</f>
        <v>44086</v>
      </c>
      <c r="B1918" s="6" t="str">
        <f ca="1">IFERROR(__xludf.DUMMYFUNCTION("""COMPUTED_VALUE"""),"-33.662051,-70.839467")</f>
        <v>-33.662051,-70.839467</v>
      </c>
      <c r="C1918" s="6" t="str">
        <f ca="1">IFERROR(__xludf.DUMMYFUNCTION("""COMPUTED_VALUE"""),"LAS ENCINAS 6300 E 4 EX 031")</f>
        <v>LAS ENCINAS 6300 E 4 EX 031</v>
      </c>
      <c r="D1918" s="6" t="str">
        <f ca="1">IFERROR(__xludf.DUMMYFUNCTION("""COMPUTED_VALUE"""),"TALAGANTE")</f>
        <v>TALAGANTE</v>
      </c>
    </row>
    <row r="1919" spans="1:4">
      <c r="A1919" s="7">
        <f ca="1">IFERROR(__xludf.DUMMYFUNCTION("""COMPUTED_VALUE"""),44086)</f>
        <v>44086</v>
      </c>
      <c r="B1919" s="6" t="str">
        <f ca="1">IFERROR(__xludf.DUMMYFUNCTION("""COMPUTED_VALUE"""),"-33.672590,-70.940499")</f>
        <v>-33.672590,-70.940499</v>
      </c>
      <c r="C1919" s="6" t="str">
        <f ca="1">IFERROR(__xludf.DUMMYFUNCTION("""COMPUTED_VALUE"""),"R PJ LAS TURQUESAS 930-P ESMERALDA 4")</f>
        <v>R PJ LAS TURQUESAS 930-P ESMERALDA 4</v>
      </c>
      <c r="D1919" s="6" t="str">
        <f ca="1">IFERROR(__xludf.DUMMYFUNCTION("""COMPUTED_VALUE"""),"TALAGANTE")</f>
        <v>TALAGANTE</v>
      </c>
    </row>
    <row r="1920" spans="1:4">
      <c r="A1920" s="7">
        <f ca="1">IFERROR(__xludf.DUMMYFUNCTION("""COMPUTED_VALUE"""),44086)</f>
        <v>44086</v>
      </c>
      <c r="B1920" s="6" t="str">
        <f ca="1">IFERROR(__xludf.DUMMYFUNCTION("""COMPUTED_VALUE"""),"-33.688174,-71.036697")</f>
        <v>-33.688174,-71.036697</v>
      </c>
      <c r="C1920" s="6" t="str">
        <f ca="1">IFERROR(__xludf.DUMMYFUNCTION("""COMPUTED_VALUE"""),"VILLA AMERICA CUBA 1600")</f>
        <v>VILLA AMERICA CUBA 1600</v>
      </c>
      <c r="D1920" s="6" t="str">
        <f ca="1">IFERROR(__xludf.DUMMYFUNCTION("""COMPUTED_VALUE"""),"EL MONTE")</f>
        <v>EL MONTE</v>
      </c>
    </row>
    <row r="1921" spans="1:4">
      <c r="A1921" s="7">
        <f ca="1">IFERROR(__xludf.DUMMYFUNCTION("""COMPUTED_VALUE"""),44086)</f>
        <v>44086</v>
      </c>
      <c r="B1921" s="6" t="str">
        <f ca="1">IFERROR(__xludf.DUMMYFUNCTION("""COMPUTED_VALUE"""),"-33.688499,-71.208095")</f>
        <v>-33.688499,-71.208095</v>
      </c>
      <c r="C1921" s="6" t="str">
        <f ca="1">IFERROR(__xludf.DUMMYFUNCTION("""COMPUTED_VALUE"""),"RICARDO ARISTIA ")</f>
        <v xml:space="preserve">RICARDO ARISTIA </v>
      </c>
      <c r="D1921" s="6" t="str">
        <f ca="1">IFERROR(__xludf.DUMMYFUNCTION("""COMPUTED_VALUE"""),"MELIPILLA")</f>
        <v>MELIPILLA</v>
      </c>
    </row>
    <row r="1922" spans="1:4">
      <c r="A1922" s="7">
        <f ca="1">IFERROR(__xludf.DUMMYFUNCTION("""COMPUTED_VALUE"""),44088)</f>
        <v>44088</v>
      </c>
      <c r="B1922" s="8" t="str">
        <f ca="1">IFERROR(__xludf.DUMMYFUNCTION("""COMPUTED_VALUE"""),"-33,569721,-71.204186")</f>
        <v>-33,569721,-71.204186</v>
      </c>
      <c r="C1922" s="6" t="str">
        <f ca="1">IFERROR(__xludf.DUMMYFUNCTION("""COMPUTED_VALUE"""),"EL BOLLENAR S/N")</f>
        <v>EL BOLLENAR S/N</v>
      </c>
      <c r="D1922" s="6" t="str">
        <f ca="1">IFERROR(__xludf.DUMMYFUNCTION("""COMPUTED_VALUE"""),"MELIPILLA")</f>
        <v>MELIPILLA</v>
      </c>
    </row>
    <row r="1923" spans="1:4">
      <c r="A1923" s="7">
        <f ca="1">IFERROR(__xludf.DUMMYFUNCTION("""COMPUTED_VALUE"""),44088)</f>
        <v>44088</v>
      </c>
      <c r="B1923" s="8" t="str">
        <f ca="1">IFERROR(__xludf.DUMMYFUNCTION("""COMPUTED_VALUE"""),"-33.511794,-71.119580")</f>
        <v>-33.511794,-71.119580</v>
      </c>
      <c r="C1923" s="6" t="str">
        <f ca="1">IFERROR(__xludf.DUMMYFUNCTION("""COMPUTED_VALUE"""),"LA COLONIA 433")</f>
        <v>LA COLONIA 433</v>
      </c>
      <c r="D1923" s="6" t="str">
        <f ca="1">IFERROR(__xludf.DUMMYFUNCTION("""COMPUTED_VALUE"""),"MARIA PINTO")</f>
        <v>MARIA PINTO</v>
      </c>
    </row>
    <row r="1924" spans="1:4">
      <c r="A1924" s="7">
        <f ca="1">IFERROR(__xludf.DUMMYFUNCTION("""COMPUTED_VALUE"""),44088)</f>
        <v>44088</v>
      </c>
      <c r="B1924" s="6" t="str">
        <f ca="1">IFERROR(__xludf.DUMMYFUNCTION("""COMPUTED_VALUE"""),"-33.801923,-71.217592")</f>
        <v>-33.801923,-71.217592</v>
      </c>
      <c r="C1924" s="6" t="str">
        <f ca="1">IFERROR(__xludf.DUMMYFUNCTION("""COMPUTED_VALUE"""),"EL DIBUJO PARCELA 67")</f>
        <v>EL DIBUJO PARCELA 67</v>
      </c>
      <c r="D1924" s="6" t="str">
        <f ca="1">IFERROR(__xludf.DUMMYFUNCTION("""COMPUTED_VALUE"""),"MELIPILLA")</f>
        <v>MELIPILLA</v>
      </c>
    </row>
    <row r="1925" spans="1:4">
      <c r="A1925" s="7">
        <f ca="1">IFERROR(__xludf.DUMMYFUNCTION("""COMPUTED_VALUE"""),44088)</f>
        <v>44088</v>
      </c>
      <c r="B1925" s="6" t="str">
        <f ca="1">IFERROR(__xludf.DUMMYFUNCTION("""COMPUTED_VALUE"""),"-33.691231,-71.031139")</f>
        <v>-33.691231,-71.031139</v>
      </c>
      <c r="C1925" s="6" t="str">
        <f ca="1">IFERROR(__xludf.DUMMYFUNCTION("""COMPUTED_VALUE"""),"YUNGAY 0169,LO CHACON")</f>
        <v>YUNGAY 0169,LO CHACON</v>
      </c>
      <c r="D1925" s="6" t="str">
        <f ca="1">IFERROR(__xludf.DUMMYFUNCTION("""COMPUTED_VALUE"""),"EL MONTE")</f>
        <v>EL MONTE</v>
      </c>
    </row>
    <row r="1926" spans="1:4">
      <c r="A1926" s="7">
        <f ca="1">IFERROR(__xludf.DUMMYFUNCTION("""COMPUTED_VALUE"""),44088)</f>
        <v>44088</v>
      </c>
      <c r="B1926" s="8" t="str">
        <f ca="1">IFERROR(__xludf.DUMMYFUNCTION("""COMPUTED_VALUE"""),"-33.609642,-71.224909")</f>
        <v>-33.609642,-71.224909</v>
      </c>
      <c r="C1926" s="6" t="str">
        <f ca="1">IFERROR(__xludf.DUMMYFUNCTION("""COMPUTED_VALUE"""),"SAN JOSÉ LAS TORCAZAS #29")</f>
        <v>SAN JOSÉ LAS TORCAZAS #29</v>
      </c>
      <c r="D1926" s="6" t="str">
        <f ca="1">IFERROR(__xludf.DUMMYFUNCTION("""COMPUTED_VALUE"""),"MELIPILLA")</f>
        <v>MELIPILLA</v>
      </c>
    </row>
    <row r="1927" spans="1:4">
      <c r="A1927" s="7">
        <f ca="1">IFERROR(__xludf.DUMMYFUNCTION("""COMPUTED_VALUE"""),44088)</f>
        <v>44088</v>
      </c>
      <c r="B1927" s="8" t="str">
        <f ca="1">IFERROR(__xludf.DUMMYFUNCTION("""COMPUTED_VALUE"""),"-33.765407,-71.273839")</f>
        <v>-33.765407,-71.273839</v>
      </c>
      <c r="C1927" s="6" t="str">
        <f ca="1">IFERROR(__xludf.DUMMYFUNCTION("""COMPUTED_VALUE"""),"PASAJE LOS SANTOS S/N")</f>
        <v>PASAJE LOS SANTOS S/N</v>
      </c>
      <c r="D1927" s="6" t="str">
        <f ca="1">IFERROR(__xludf.DUMMYFUNCTION("""COMPUTED_VALUE"""),"MELIPILLA")</f>
        <v>MELIPILLA</v>
      </c>
    </row>
    <row r="1928" spans="1:4">
      <c r="A1928" s="7">
        <f ca="1">IFERROR(__xludf.DUMMYFUNCTION("""COMPUTED_VALUE"""),44088)</f>
        <v>44088</v>
      </c>
      <c r="B1928" s="8" t="str">
        <f ca="1">IFERROR(__xludf.DUMMYFUNCTION("""COMPUTED_VALUE"""),"-33.756409,-71.318247")</f>
        <v>-33.756409,-71.318247</v>
      </c>
      <c r="C1928" s="6" t="str">
        <f ca="1">IFERROR(__xludf.DUMMYFUNCTION("""COMPUTED_VALUE"""),"EL ESFUERZO 96")</f>
        <v>EL ESFUERZO 96</v>
      </c>
      <c r="D1928" s="6" t="str">
        <f ca="1">IFERROR(__xludf.DUMMYFUNCTION("""COMPUTED_VALUE"""),"MELIPILLA")</f>
        <v>MELIPILLA</v>
      </c>
    </row>
    <row r="1929" spans="1:4">
      <c r="A1929" s="7">
        <f ca="1">IFERROR(__xludf.DUMMYFUNCTION("""COMPUTED_VALUE"""),44089)</f>
        <v>44089</v>
      </c>
      <c r="B1929" s="8" t="str">
        <f ca="1">IFERROR(__xludf.DUMMYFUNCTION("""COMPUTED_VALUE"""),"-33.765378,-70.7784960")</f>
        <v>-33.765378,-70.7784960</v>
      </c>
      <c r="C1929" s="6" t="str">
        <f ca="1">IFERROR(__xludf.DUMMYFUNCTION("""COMPUTED_VALUE"""),"CO LA CERVERA 29 ")</f>
        <v xml:space="preserve">CO LA CERVERA 29 </v>
      </c>
      <c r="D1929" s="6" t="str">
        <f ca="1">IFERROR(__xludf.DUMMYFUNCTION("""COMPUTED_VALUE"""),"BUIN")</f>
        <v>BUIN</v>
      </c>
    </row>
    <row r="1930" spans="1:4">
      <c r="A1930" s="7">
        <f ca="1">IFERROR(__xludf.DUMMYFUNCTION("""COMPUTED_VALUE"""),44089)</f>
        <v>44089</v>
      </c>
      <c r="B1930" s="8" t="str">
        <f ca="1">IFERROR(__xludf.DUMMYFUNCTION("""COMPUTED_VALUE"""),"-33.720748,-70.728377")</f>
        <v>-33.720748,-70.728377</v>
      </c>
      <c r="C1930" s="6" t="str">
        <f ca="1">IFERROR(__xludf.DUMMYFUNCTION("""COMPUTED_VALUE"""),"SIN CALLE S/N ")</f>
        <v xml:space="preserve">SIN CALLE S/N </v>
      </c>
      <c r="D1930" s="6" t="str">
        <f ca="1">IFERROR(__xludf.DUMMYFUNCTION("""COMPUTED_VALUE"""),"BUIN")</f>
        <v>BUIN</v>
      </c>
    </row>
    <row r="1931" spans="1:4">
      <c r="A1931" s="7">
        <f ca="1">IFERROR(__xludf.DUMMYFUNCTION("""COMPUTED_VALUE"""),44089)</f>
        <v>44089</v>
      </c>
      <c r="B1931" s="8" t="str">
        <f ca="1">IFERROR(__xludf.DUMMYFUNCTION("""COMPUTED_VALUE"""),"-33.760478-71.311168")</f>
        <v>-33.760478-71.311168</v>
      </c>
      <c r="C1931" s="6" t="str">
        <f ca="1">IFERROR(__xludf.DUMMYFUNCTION("""COMPUTED_VALUE"""),"PABLO NERUDA CASA 20")</f>
        <v>PABLO NERUDA CASA 20</v>
      </c>
      <c r="D1931" s="6" t="str">
        <f ca="1">IFERROR(__xludf.DUMMYFUNCTION("""COMPUTED_VALUE"""),"MELIPILLA")</f>
        <v>MELIPILLA</v>
      </c>
    </row>
    <row r="1932" spans="1:4">
      <c r="A1932" s="7">
        <f ca="1">IFERROR(__xludf.DUMMYFUNCTION("""COMPUTED_VALUE"""),44089)</f>
        <v>44089</v>
      </c>
      <c r="B1932" s="8" t="str">
        <f ca="1">IFERROR(__xludf.DUMMYFUNCTION("""COMPUTED_VALUE"""),"-33.772838,-71.249256")</f>
        <v>-33.772838,-71.249256</v>
      </c>
      <c r="C1932" s="6" t="str">
        <f ca="1">IFERROR(__xludf.DUMMYFUNCTION("""COMPUTED_VALUE"""),"COLIPRAN 254")</f>
        <v>COLIPRAN 254</v>
      </c>
      <c r="D1932" s="6" t="str">
        <f ca="1">IFERROR(__xludf.DUMMYFUNCTION("""COMPUTED_VALUE"""),"MELIPILLA")</f>
        <v>MELIPILLA</v>
      </c>
    </row>
    <row r="1933" spans="1:4">
      <c r="A1933" s="7">
        <f ca="1">IFERROR(__xludf.DUMMYFUNCTION("""COMPUTED_VALUE"""),44089)</f>
        <v>44089</v>
      </c>
      <c r="B1933" s="6" t="str">
        <f ca="1">IFERROR(__xludf.DUMMYFUNCTION("""COMPUTED_VALUE"""),"-33.680703,-70.997210")</f>
        <v>-33.680703,-70.997210</v>
      </c>
      <c r="C1933" s="6" t="str">
        <f ca="1">IFERROR(__xludf.DUMMYFUNCTION("""COMPUTED_VALUE"""),"CUATROS 714")</f>
        <v>CUATROS 714</v>
      </c>
      <c r="D1933" s="6" t="str">
        <f ca="1">IFERROR(__xludf.DUMMYFUNCTION("""COMPUTED_VALUE"""),"EL MONTE")</f>
        <v>EL MONTE</v>
      </c>
    </row>
    <row r="1934" spans="1:4">
      <c r="A1934" s="7">
        <f ca="1">IFERROR(__xludf.DUMMYFUNCTION("""COMPUTED_VALUE"""),44089)</f>
        <v>44089</v>
      </c>
      <c r="B1934" s="6" t="str">
        <f ca="1">IFERROR(__xludf.DUMMYFUNCTION("""COMPUTED_VALUE"""),"-33.678317,-70.984571")</f>
        <v>-33.678317,-70.984571</v>
      </c>
      <c r="C1934" s="6" t="str">
        <f ca="1">IFERROR(__xludf.DUMMYFUNCTION("""COMPUTED_VALUE"""),"LOS CORRORA 16")</f>
        <v>LOS CORRORA 16</v>
      </c>
      <c r="D1934" s="6" t="str">
        <f ca="1">IFERROR(__xludf.DUMMYFUNCTION("""COMPUTED_VALUE"""),"EL MONTE")</f>
        <v>EL MONTE</v>
      </c>
    </row>
    <row r="1935" spans="1:4">
      <c r="A1935" s="7">
        <f ca="1">IFERROR(__xludf.DUMMYFUNCTION("""COMPUTED_VALUE"""),44089)</f>
        <v>44089</v>
      </c>
      <c r="B1935" s="6" t="str">
        <f ca="1">IFERROR(__xludf.DUMMYFUNCTION("""COMPUTED_VALUE"""),"-33.635662,-71.231347")</f>
        <v>-33.635662,-71.231347</v>
      </c>
      <c r="C1935" s="6" t="str">
        <f ca="1">IFERROR(__xludf.DUMMYFUNCTION("""COMPUTED_VALUE"""),"RUMAY 334")</f>
        <v>RUMAY 334</v>
      </c>
      <c r="D1935" s="6" t="str">
        <f ca="1">IFERROR(__xludf.DUMMYFUNCTION("""COMPUTED_VALUE"""),"MELIPILLA")</f>
        <v>MELIPILLA</v>
      </c>
    </row>
    <row r="1936" spans="1:4">
      <c r="A1936" s="7">
        <f ca="1">IFERROR(__xludf.DUMMYFUNCTION("""COMPUTED_VALUE"""),44089)</f>
        <v>44089</v>
      </c>
      <c r="B1936" s="6" t="str">
        <f ca="1">IFERROR(__xludf.DUMMYFUNCTION("""COMPUTED_VALUE"""),"-33.681033,-70.996512")</f>
        <v>-33.681033,-70.996512</v>
      </c>
      <c r="C1936" s="6" t="str">
        <f ca="1">IFERROR(__xludf.DUMMYFUNCTION("""COMPUTED_VALUE"""),"CINCO SUR 90")</f>
        <v>CINCO SUR 90</v>
      </c>
      <c r="D1936" s="6" t="str">
        <f ca="1">IFERROR(__xludf.DUMMYFUNCTION("""COMPUTED_VALUE"""),"EL MONTE")</f>
        <v>EL MONTE</v>
      </c>
    </row>
    <row r="1937" spans="1:4">
      <c r="A1937" s="7">
        <f ca="1">IFERROR(__xludf.DUMMYFUNCTION("""COMPUTED_VALUE"""),44089)</f>
        <v>44089</v>
      </c>
      <c r="B1937" s="8" t="str">
        <f ca="1">IFERROR(__xludf.DUMMYFUNCTION("""COMPUTED_VALUE"""),"-33.682905,-71.197971")</f>
        <v>-33.682905,-71.197971</v>
      </c>
      <c r="C1937" s="6" t="str">
        <f ca="1">IFERROR(__xludf.DUMMYFUNCTION("""COMPUTED_VALUE"""),"BEETHOVEN 0725 VILLA GALILEA")</f>
        <v>BEETHOVEN 0725 VILLA GALILEA</v>
      </c>
      <c r="D1937" s="6" t="str">
        <f ca="1">IFERROR(__xludf.DUMMYFUNCTION("""COMPUTED_VALUE"""),"MELIPILLA")</f>
        <v>MELIPILLA</v>
      </c>
    </row>
    <row r="1938" spans="1:4">
      <c r="A1938" s="7">
        <f ca="1">IFERROR(__xludf.DUMMYFUNCTION("""COMPUTED_VALUE"""),44089)</f>
        <v>44089</v>
      </c>
      <c r="B1938" s="8" t="str">
        <f ca="1">IFERROR(__xludf.DUMMYFUNCTION("""COMPUTED_VALUE"""),"-33.684701,-71.195934")</f>
        <v>-33.684701,-71.195934</v>
      </c>
      <c r="C1938" s="6" t="str">
        <f ca="1">IFERROR(__xludf.DUMMYFUNCTION("""COMPUTED_VALUE"""),"JOHAN SEBASTIAN BACH")</f>
        <v>JOHAN SEBASTIAN BACH</v>
      </c>
      <c r="D1938" s="6" t="str">
        <f ca="1">IFERROR(__xludf.DUMMYFUNCTION("""COMPUTED_VALUE"""),"MELIPILLA")</f>
        <v>MELIPILLA</v>
      </c>
    </row>
    <row r="1939" spans="1:4">
      <c r="A1939" s="7">
        <f ca="1">IFERROR(__xludf.DUMMYFUNCTION("""COMPUTED_VALUE"""),44089)</f>
        <v>44089</v>
      </c>
      <c r="B1939" s="8" t="str">
        <f ca="1">IFERROR(__xludf.DUMMYFUNCTION("""COMPUTED_VALUE"""),"-33.762876,-71.290575")</f>
        <v>-33.762876,-71.290575</v>
      </c>
      <c r="C1939" s="6" t="str">
        <f ca="1">IFERROR(__xludf.DUMMYFUNCTION("""COMPUTED_VALUE"""),"PARCELA 7 SAN MANUEL")</f>
        <v>PARCELA 7 SAN MANUEL</v>
      </c>
      <c r="D1939" s="6" t="str">
        <f ca="1">IFERROR(__xludf.DUMMYFUNCTION("""COMPUTED_VALUE"""),"MELIPILLA")</f>
        <v>MELIPILLA</v>
      </c>
    </row>
    <row r="1940" spans="1:4">
      <c r="A1940" s="7">
        <f ca="1">IFERROR(__xludf.DUMMYFUNCTION("""COMPUTED_VALUE"""),44090)</f>
        <v>44090</v>
      </c>
      <c r="B1940" s="8" t="str">
        <f ca="1">IFERROR(__xludf.DUMMYFUNCTION("""COMPUTED_VALUE"""),"-33.773337,-71.248234")</f>
        <v>-33.773337,-71.248234</v>
      </c>
      <c r="C1940" s="6" t="str">
        <f ca="1">IFERROR(__xludf.DUMMYFUNCTION("""COMPUTED_VALUE"""),"COLIPRAN 254")</f>
        <v>COLIPRAN 254</v>
      </c>
      <c r="D1940" s="6" t="str">
        <f ca="1">IFERROR(__xludf.DUMMYFUNCTION("""COMPUTED_VALUE"""),"MELIPILLA")</f>
        <v>MELIPILLA</v>
      </c>
    </row>
    <row r="1941" spans="1:4">
      <c r="A1941" s="7">
        <f ca="1">IFERROR(__xludf.DUMMYFUNCTION("""COMPUTED_VALUE"""),44090)</f>
        <v>44090</v>
      </c>
      <c r="B1941" s="8" t="str">
        <f ca="1">IFERROR(__xludf.DUMMYFUNCTION("""COMPUTED_VALUE"""),"-33.773298,-71.249733")</f>
        <v>-33.773298,-71.249733</v>
      </c>
      <c r="C1941" s="6" t="str">
        <f ca="1">IFERROR(__xludf.DUMMYFUNCTION("""COMPUTED_VALUE"""),"COLIPRAN 254")</f>
        <v>COLIPRAN 254</v>
      </c>
      <c r="D1941" s="6" t="str">
        <f ca="1">IFERROR(__xludf.DUMMYFUNCTION("""COMPUTED_VALUE"""),"MELIPILLA")</f>
        <v>MELIPILLA</v>
      </c>
    </row>
    <row r="1942" spans="1:4">
      <c r="A1942" s="7">
        <f ca="1">IFERROR(__xludf.DUMMYFUNCTION("""COMPUTED_VALUE"""),44090)</f>
        <v>44090</v>
      </c>
      <c r="B1942" s="8" t="str">
        <f ca="1">IFERROR(__xludf.DUMMYFUNCTION("""COMPUTED_VALUE"""),"-33.659959,70.922268")</f>
        <v>-33.659959,70.922268</v>
      </c>
      <c r="C1942" s="6" t="str">
        <f ca="1">IFERROR(__xludf.DUMMYFUNCTION("""COMPUTED_VALUE"""),"DIECINUEVE DE SEPTIEMBRE 691")</f>
        <v>DIECINUEVE DE SEPTIEMBRE 691</v>
      </c>
      <c r="D1942" s="6" t="str">
        <f ca="1">IFERROR(__xludf.DUMMYFUNCTION("""COMPUTED_VALUE"""),"TALAGANTE")</f>
        <v>TALAGANTE</v>
      </c>
    </row>
    <row r="1943" spans="1:4">
      <c r="A1943" s="7">
        <f ca="1">IFERROR(__xludf.DUMMYFUNCTION("""COMPUTED_VALUE"""),44090)</f>
        <v>44090</v>
      </c>
      <c r="B1943" s="6" t="str">
        <f ca="1">IFERROR(__xludf.DUMMYFUNCTION("""COMPUTED_VALUE"""),"-33.597544-70.878019")</f>
        <v>-33.597544-70.878019</v>
      </c>
      <c r="C1943" s="6" t="str">
        <f ca="1">IFERROR(__xludf.DUMMYFUNCTION("""COMPUTED_VALUE"""),"PATRICIO LARRAIN G 2149 ")</f>
        <v xml:space="preserve">PATRICIO LARRAIN G 2149 </v>
      </c>
      <c r="D1943" s="6" t="str">
        <f ca="1">IFERROR(__xludf.DUMMYFUNCTION("""COMPUTED_VALUE"""),"PEÑAFLOR")</f>
        <v>PEÑAFLOR</v>
      </c>
    </row>
    <row r="1944" spans="1:4">
      <c r="A1944" s="7">
        <f ca="1">IFERROR(__xludf.DUMMYFUNCTION("""COMPUTED_VALUE"""),44090)</f>
        <v>44090</v>
      </c>
      <c r="B1944" s="6" t="str">
        <f ca="1">IFERROR(__xludf.DUMMYFUNCTION("""COMPUTED_VALUE"""),"-33.688014,-71.030503")</f>
        <v>-33.688014,-71.030503</v>
      </c>
      <c r="C1944" s="6" t="str">
        <f ca="1">IFERROR(__xludf.DUMMYFUNCTION("""COMPUTED_VALUE"""),"EL CARMEN 081")</f>
        <v>EL CARMEN 081</v>
      </c>
      <c r="D1944" s="6" t="str">
        <f ca="1">IFERROR(__xludf.DUMMYFUNCTION("""COMPUTED_VALUE"""),"EL MONTE")</f>
        <v>EL MONTE</v>
      </c>
    </row>
    <row r="1945" spans="1:4">
      <c r="A1945" s="7">
        <f ca="1">IFERROR(__xludf.DUMMYFUNCTION("""COMPUTED_VALUE"""),44090)</f>
        <v>44090</v>
      </c>
      <c r="B1945" s="6" t="str">
        <f ca="1">IFERROR(__xludf.DUMMYFUNCTION("""COMPUTED_VALUE"""),"-33.676083,-70.994451")</f>
        <v>-33.676083,-70.994451</v>
      </c>
      <c r="C1945" s="6" t="str">
        <f ca="1">IFERROR(__xludf.DUMMYFUNCTION("""COMPUTED_VALUE"""),"WILSON AROYA 335")</f>
        <v>WILSON AROYA 335</v>
      </c>
      <c r="D1945" s="6" t="str">
        <f ca="1">IFERROR(__xludf.DUMMYFUNCTION("""COMPUTED_VALUE"""),"EL MONTE")</f>
        <v>EL MONTE</v>
      </c>
    </row>
    <row r="1946" spans="1:4">
      <c r="A1946" s="7">
        <f ca="1">IFERROR(__xludf.DUMMYFUNCTION("""COMPUTED_VALUE"""),44090)</f>
        <v>44090</v>
      </c>
      <c r="B1946" s="6" t="str">
        <f ca="1">IFERROR(__xludf.DUMMYFUNCTION("""COMPUTED_VALUE"""),"-33.683532,-71.199213")</f>
        <v>-33.683532,-71.199213</v>
      </c>
      <c r="C1946" s="6" t="str">
        <f ca="1">IFERROR(__xludf.DUMMYFUNCTION("""COMPUTED_VALUE"""),"MATILDE ALFARO 625")</f>
        <v>MATILDE ALFARO 625</v>
      </c>
      <c r="D1946" s="6" t="str">
        <f ca="1">IFERROR(__xludf.DUMMYFUNCTION("""COMPUTED_VALUE"""),"MELIPILLA")</f>
        <v>MELIPILLA</v>
      </c>
    </row>
    <row r="1947" spans="1:4">
      <c r="A1947" s="7">
        <f ca="1">IFERROR(__xludf.DUMMYFUNCTION("""COMPUTED_VALUE"""),44090)</f>
        <v>44090</v>
      </c>
      <c r="B1947" s="6" t="str">
        <f ca="1">IFERROR(__xludf.DUMMYFUNCTION("""COMPUTED_VALUE"""),"-33.674.217,-70.976134")</f>
        <v>-33.674.217,-70.976134</v>
      </c>
      <c r="C1947" s="6" t="str">
        <f ca="1">IFERROR(__xludf.DUMMYFUNCTION("""COMPUTED_VALUE"""),"BLANCO ENCALADA 94")</f>
        <v>BLANCO ENCALADA 94</v>
      </c>
      <c r="D1947" s="6" t="str">
        <f ca="1">IFERROR(__xludf.DUMMYFUNCTION("""COMPUTED_VALUE"""),"EL MONTE")</f>
        <v>EL MONTE</v>
      </c>
    </row>
    <row r="1948" spans="1:4">
      <c r="A1948" s="7">
        <f ca="1">IFERROR(__xludf.DUMMYFUNCTION("""COMPUTED_VALUE"""),44090)</f>
        <v>44090</v>
      </c>
      <c r="B1948" s="6" t="str">
        <f ca="1">IFERROR(__xludf.DUMMYFUNCTION("""COMPUTED_VALUE"""),"-33.2818026 - 70.8807766")</f>
        <v>-33.2818026 - 70.8807766</v>
      </c>
      <c r="C1948" s="6" t="str">
        <f ca="1">IFERROR(__xludf.DUMMYFUNCTION("""COMPUTED_VALUE"""),"VALLE CANELA 651")</f>
        <v>VALLE CANELA 651</v>
      </c>
      <c r="D1948" s="6" t="str">
        <f ca="1">IFERROR(__xludf.DUMMYFUNCTION("""COMPUTED_VALUE"""),"LAMPA")</f>
        <v>LAMPA</v>
      </c>
    </row>
    <row r="1949" spans="1:4">
      <c r="A1949" s="7">
        <f ca="1">IFERROR(__xludf.DUMMYFUNCTION("""COMPUTED_VALUE"""),44090)</f>
        <v>44090</v>
      </c>
      <c r="B1949" s="6" t="str">
        <f ca="1">IFERROR(__xludf.DUMMYFUNCTION("""COMPUTED_VALUE"""),"-33.2107846 - 70.6820967")</f>
        <v>-33.2107846 - 70.6820967</v>
      </c>
      <c r="C1949" s="6" t="str">
        <f ca="1">IFERROR(__xludf.DUMMYFUNCTION("""COMPUTED_VALUE"""),"A. PEREZ C 0176")</f>
        <v>A. PEREZ C 0176</v>
      </c>
      <c r="D1949" s="6" t="str">
        <f ca="1">IFERROR(__xludf.DUMMYFUNCTION("""COMPUTED_VALUE"""),"COLINA")</f>
        <v>COLINA</v>
      </c>
    </row>
    <row r="1950" spans="1:4">
      <c r="A1950" s="7">
        <f ca="1">IFERROR(__xludf.DUMMYFUNCTION("""COMPUTED_VALUE"""),44090)</f>
        <v>44090</v>
      </c>
      <c r="B1950" s="8" t="str">
        <f ca="1">IFERROR(__xludf.DUMMYFUNCTION("""COMPUTED_VALUE"""),"-33.684051,-71.199317")</f>
        <v>-33.684051,-71.199317</v>
      </c>
      <c r="C1950" s="6" t="str">
        <f ca="1">IFERROR(__xludf.DUMMYFUNCTION("""COMPUTED_VALUE"""),"PASAJE RICARDO 0625")</f>
        <v>PASAJE RICARDO 0625</v>
      </c>
      <c r="D1950" s="6" t="str">
        <f ca="1">IFERROR(__xludf.DUMMYFUNCTION("""COMPUTED_VALUE"""),"MELIPILLA")</f>
        <v>MELIPILLA</v>
      </c>
    </row>
    <row r="1951" spans="1:4">
      <c r="A1951" s="7">
        <f ca="1">IFERROR(__xludf.DUMMYFUNCTION("""COMPUTED_VALUE"""),44090)</f>
        <v>44090</v>
      </c>
      <c r="B1951" s="8" t="str">
        <f ca="1">IFERROR(__xludf.DUMMYFUNCTION("""COMPUTED_VALUE"""),"-33.646665,-71.227778")</f>
        <v>-33.646665,-71.227778</v>
      </c>
      <c r="C1951" s="6" t="str">
        <f ca="1">IFERROR(__xludf.DUMMYFUNCTION("""COMPUTED_VALUE"""),"PARCELA 3 SANTA JULIA")</f>
        <v>PARCELA 3 SANTA JULIA</v>
      </c>
      <c r="D1951" s="6" t="str">
        <f ca="1">IFERROR(__xludf.DUMMYFUNCTION("""COMPUTED_VALUE"""),"MELIPILLA")</f>
        <v>MELIPILLA</v>
      </c>
    </row>
    <row r="1952" spans="1:4">
      <c r="A1952" s="7">
        <f ca="1">IFERROR(__xludf.DUMMYFUNCTION("""COMPUTED_VALUE"""),44090)</f>
        <v>44090</v>
      </c>
      <c r="B1952" s="8" t="str">
        <f ca="1">IFERROR(__xludf.DUMMYFUNCTION("""COMPUTED_VALUE"""),"-33.680081,-71.235571")</f>
        <v>-33.680081,-71.235571</v>
      </c>
      <c r="C1952" s="6" t="str">
        <f ca="1">IFERROR(__xludf.DUMMYFUNCTION("""COMPUTED_VALUE"""),"PASAJE JOSE ARTURO PACHECO 360")</f>
        <v>PASAJE JOSE ARTURO PACHECO 360</v>
      </c>
      <c r="D1952" s="6" t="str">
        <f ca="1">IFERROR(__xludf.DUMMYFUNCTION("""COMPUTED_VALUE"""),"MELIPILLA")</f>
        <v>MELIPILLA</v>
      </c>
    </row>
    <row r="1953" spans="1:4">
      <c r="A1953" s="7">
        <f ca="1">IFERROR(__xludf.DUMMYFUNCTION("""COMPUTED_VALUE"""),44091)</f>
        <v>44091</v>
      </c>
      <c r="B1953" s="8" t="str">
        <f ca="1">IFERROR(__xludf.DUMMYFUNCTION("""COMPUTED_VALUE"""),"-33.769859,.70.704076")</f>
        <v>-33.769859,.70.704076</v>
      </c>
      <c r="C1953" s="6" t="str">
        <f ca="1">IFERROR(__xludf.DUMMYFUNCTION("""COMPUTED_VALUE"""),"LINDERO DEL CERRILLO 2450")</f>
        <v>LINDERO DEL CERRILLO 2450</v>
      </c>
      <c r="D1953" s="6" t="str">
        <f ca="1">IFERROR(__xludf.DUMMYFUNCTION("""COMPUTED_VALUE"""),"BUIN")</f>
        <v>BUIN</v>
      </c>
    </row>
    <row r="1954" spans="1:4">
      <c r="A1954" s="7">
        <f ca="1">IFERROR(__xludf.DUMMYFUNCTION("""COMPUTED_VALUE"""),44091)</f>
        <v>44091</v>
      </c>
      <c r="B1954" s="8" t="str">
        <f ca="1">IFERROR(__xludf.DUMMYFUNCTION("""COMPUTED_VALUE"""),"-33.681961.-71.220617")</f>
        <v>-33.681961.-71.220617</v>
      </c>
      <c r="C1954" s="6" t="str">
        <f ca="1">IFERROR(__xludf.DUMMYFUNCTION("""COMPUTED_VALUE"""),"CORREA 182")</f>
        <v>CORREA 182</v>
      </c>
      <c r="D1954" s="6" t="str">
        <f ca="1">IFERROR(__xludf.DUMMYFUNCTION("""COMPUTED_VALUE"""),"MELIPILLA")</f>
        <v>MELIPILLA</v>
      </c>
    </row>
    <row r="1955" spans="1:4">
      <c r="A1955" s="7">
        <f ca="1">IFERROR(__xludf.DUMMYFUNCTION("""COMPUTED_VALUE"""),44091)</f>
        <v>44091</v>
      </c>
      <c r="B1955" s="6" t="str">
        <f ca="1">IFERROR(__xludf.DUMMYFUNCTION("""COMPUTED_VALUE"""),"-33.675964,-70.994334")</f>
        <v>-33.675964,-70.994334</v>
      </c>
      <c r="C1955" s="6" t="str">
        <f ca="1">IFERROR(__xludf.DUMMYFUNCTION("""COMPUTED_VALUE"""),"DANIEL BAEZ BLOCK 30 DPTO 32")</f>
        <v>DANIEL BAEZ BLOCK 30 DPTO 32</v>
      </c>
      <c r="D1955" s="6" t="str">
        <f ca="1">IFERROR(__xludf.DUMMYFUNCTION("""COMPUTED_VALUE"""),"EL MONTE")</f>
        <v>EL MONTE</v>
      </c>
    </row>
    <row r="1956" spans="1:4">
      <c r="A1956" s="7">
        <f ca="1">IFERROR(__xludf.DUMMYFUNCTION("""COMPUTED_VALUE"""),44091)</f>
        <v>44091</v>
      </c>
      <c r="B1956" s="6" t="str">
        <f ca="1">IFERROR(__xludf.DUMMYFUNCTION("""COMPUTED_VALUE"""),"-33.694293,-71.225268")</f>
        <v>-33.694293,-71.225268</v>
      </c>
      <c r="C1956" s="6" t="str">
        <f ca="1">IFERROR(__xludf.DUMMYFUNCTION("""COMPUTED_VALUE"""),"LOS GORRIONES 1531")</f>
        <v>LOS GORRIONES 1531</v>
      </c>
      <c r="D1956" s="6" t="str">
        <f ca="1">IFERROR(__xludf.DUMMYFUNCTION("""COMPUTED_VALUE"""),"MELIPILLA")</f>
        <v>MELIPILLA</v>
      </c>
    </row>
    <row r="1957" spans="1:4">
      <c r="A1957" s="7">
        <f ca="1">IFERROR(__xludf.DUMMYFUNCTION("""COMPUTED_VALUE"""),44091)</f>
        <v>44091</v>
      </c>
      <c r="B1957" s="6" t="str">
        <f ca="1">IFERROR(__xludf.DUMMYFUNCTION("""COMPUTED_VALUE"""),"-33.570121,-71.197697")</f>
        <v>-33.570121,-71.197697</v>
      </c>
      <c r="C1957" s="6" t="str">
        <f ca="1">IFERROR(__xludf.DUMMYFUNCTION("""COMPUTED_VALUE"""),"ANSELMO ALARCON LOTE 7")</f>
        <v>ANSELMO ALARCON LOTE 7</v>
      </c>
      <c r="D1957" s="6" t="str">
        <f ca="1">IFERROR(__xludf.DUMMYFUNCTION("""COMPUTED_VALUE"""),"MELIPILLA")</f>
        <v>MELIPILLA</v>
      </c>
    </row>
    <row r="1958" spans="1:4">
      <c r="A1958" s="7">
        <f ca="1">IFERROR(__xludf.DUMMYFUNCTION("""COMPUTED_VALUE"""),44091)</f>
        <v>44091</v>
      </c>
      <c r="B1958" s="6" t="str">
        <f ca="1">IFERROR(__xludf.DUMMYFUNCTION("""COMPUTED_VALUE"""),"-33.653976,-71.002169")</f>
        <v>-33.653976,-71.002169</v>
      </c>
      <c r="C1958" s="6" t="str">
        <f ca="1">IFERROR(__xludf.DUMMYFUNCTION("""COMPUTED_VALUE"""),"STA ADRIANA PARC. 8 ")</f>
        <v xml:space="preserve">STA ADRIANA PARC. 8 </v>
      </c>
      <c r="D1958" s="6" t="str">
        <f ca="1">IFERROR(__xludf.DUMMYFUNCTION("""COMPUTED_VALUE"""),"EL MONTE")</f>
        <v>EL MONTE</v>
      </c>
    </row>
    <row r="1959" spans="1:4">
      <c r="A1959" s="7">
        <f ca="1">IFERROR(__xludf.DUMMYFUNCTION("""COMPUTED_VALUE"""),44091)</f>
        <v>44091</v>
      </c>
      <c r="B1959" s="6" t="str">
        <f ca="1">IFERROR(__xludf.DUMMYFUNCTION("""COMPUTED_VALUE"""),"-33.282936 - 70.880556")</f>
        <v>-33.282936 - 70.880556</v>
      </c>
      <c r="C1959" s="6" t="str">
        <f ca="1">IFERROR(__xludf.DUMMYFUNCTION("""COMPUTED_VALUE"""),"VALLE CANELA 645 ")</f>
        <v xml:space="preserve">VALLE CANELA 645 </v>
      </c>
      <c r="D1959" s="6" t="str">
        <f ca="1">IFERROR(__xludf.DUMMYFUNCTION("""COMPUTED_VALUE"""),"LAMPA")</f>
        <v>LAMPA</v>
      </c>
    </row>
    <row r="1960" spans="1:4">
      <c r="A1960" s="7">
        <f ca="1">IFERROR(__xludf.DUMMYFUNCTION("""COMPUTED_VALUE"""),44091)</f>
        <v>44091</v>
      </c>
      <c r="B1960" s="6" t="str">
        <f ca="1">IFERROR(__xludf.DUMMYFUNCTION("""COMPUTED_VALUE"""),"-33.293901 - 70.874312")</f>
        <v>-33.293901 - 70.874312</v>
      </c>
      <c r="C1960" s="6" t="str">
        <f ca="1">IFERROR(__xludf.DUMMYFUNCTION("""COMPUTED_VALUE"""),"LAS VERTIENTES NORTE 1460 ")</f>
        <v xml:space="preserve">LAS VERTIENTES NORTE 1460 </v>
      </c>
      <c r="D1960" s="6" t="str">
        <f ca="1">IFERROR(__xludf.DUMMYFUNCTION("""COMPUTED_VALUE"""),"LAMPA")</f>
        <v>LAMPA</v>
      </c>
    </row>
    <row r="1961" spans="1:4">
      <c r="A1961" s="7">
        <f ca="1">IFERROR(__xludf.DUMMYFUNCTION("""COMPUTED_VALUE"""),44091)</f>
        <v>44091</v>
      </c>
      <c r="B1961" s="6" t="str">
        <f ca="1">IFERROR(__xludf.DUMMYFUNCTION("""COMPUTED_VALUE"""),"-33.2320443 - 70.8117272")</f>
        <v>-33.2320443 - 70.8117272</v>
      </c>
      <c r="C1961" s="6" t="str">
        <f ca="1">IFERROR(__xludf.DUMMYFUNCTION("""COMPUTED_VALUE"""),"ACEVEDO M/41 S/16 ")</f>
        <v xml:space="preserve">ACEVEDO M/41 S/16 </v>
      </c>
      <c r="D1961" s="6" t="str">
        <f ca="1">IFERROR(__xludf.DUMMYFUNCTION("""COMPUTED_VALUE"""),"LAMPA")</f>
        <v>LAMPA</v>
      </c>
    </row>
    <row r="1962" spans="1:4">
      <c r="A1962" s="7">
        <f ca="1">IFERROR(__xludf.DUMMYFUNCTION("""COMPUTED_VALUE"""),44091)</f>
        <v>44091</v>
      </c>
      <c r="B1962" s="8" t="str">
        <f ca="1">IFERROR(__xludf.DUMMYFUNCTION("""COMPUTED_VALUE"""),"-33.684129,-71.209812")</f>
        <v>-33.684129,-71.209812</v>
      </c>
      <c r="C1962" s="6" t="str">
        <f ca="1">IFERROR(__xludf.DUMMYFUNCTION("""COMPUTED_VALUE"""),"UGALDE 232")</f>
        <v>UGALDE 232</v>
      </c>
      <c r="D1962" s="6" t="str">
        <f ca="1">IFERROR(__xludf.DUMMYFUNCTION("""COMPUTED_VALUE"""),"MELIPILLA")</f>
        <v>MELIPILLA</v>
      </c>
    </row>
    <row r="1963" spans="1:4">
      <c r="A1963" s="7">
        <f ca="1">IFERROR(__xludf.DUMMYFUNCTION("""COMPUTED_VALUE"""),44095)</f>
        <v>44095</v>
      </c>
      <c r="B1963" s="8" t="str">
        <f ca="1">IFERROR(__xludf.DUMMYFUNCTION("""COMPUTED_VALUE"""),"-33.546750,-71.219372")</f>
        <v>-33.546750,-71.219372</v>
      </c>
      <c r="C1963" s="6" t="str">
        <f ca="1">IFERROR(__xludf.DUMMYFUNCTION("""COMPUTED_VALUE"""),"AV VALPARARAIZO CHOROMBO BAJO S/N")</f>
        <v>AV VALPARARAIZO CHOROMBO BAJO S/N</v>
      </c>
      <c r="D1963" s="6" t="str">
        <f ca="1">IFERROR(__xludf.DUMMYFUNCTION("""COMPUTED_VALUE"""),"MARIA PINTO")</f>
        <v>MARIA PINTO</v>
      </c>
    </row>
    <row r="1964" spans="1:4">
      <c r="A1964" s="7">
        <f ca="1">IFERROR(__xludf.DUMMYFUNCTION("""COMPUTED_VALUE"""),44095)</f>
        <v>44095</v>
      </c>
      <c r="B1964" s="8" t="str">
        <f ca="1">IFERROR(__xludf.DUMMYFUNCTION("""COMPUTED_VALUE"""),"-33.766873,-71.269505")</f>
        <v>-33.766873,-71.269505</v>
      </c>
      <c r="C1964" s="6" t="str">
        <f ca="1">IFERROR(__xludf.DUMMYFUNCTION("""COMPUTED_VALUE"""),"PEDRO MARIN 50")</f>
        <v>PEDRO MARIN 50</v>
      </c>
      <c r="D1964" s="6" t="str">
        <f ca="1">IFERROR(__xludf.DUMMYFUNCTION("""COMPUTED_VALUE"""),"MELIPILLA")</f>
        <v>MELIPILLA</v>
      </c>
    </row>
    <row r="1965" spans="1:4">
      <c r="A1965" s="7">
        <f ca="1">IFERROR(__xludf.DUMMYFUNCTION("""COMPUTED_VALUE"""),44095)</f>
        <v>44095</v>
      </c>
      <c r="B1965" s="6" t="str">
        <f ca="1">IFERROR(__xludf.DUMMYFUNCTION("""COMPUTED_VALUE"""),"-33.325116 - 70.767025")</f>
        <v>-33.325116 - 70.767025</v>
      </c>
      <c r="C1965" s="6" t="str">
        <f ca="1">IFERROR(__xludf.DUMMYFUNCTION("""COMPUTED_VALUE"""),"EL ARROYO 501")</f>
        <v>EL ARROYO 501</v>
      </c>
      <c r="D1965" s="6" t="str">
        <f ca="1">IFERROR(__xludf.DUMMYFUNCTION("""COMPUTED_VALUE"""),"LAMPA")</f>
        <v>LAMPA</v>
      </c>
    </row>
    <row r="1966" spans="1:4">
      <c r="A1966" s="7">
        <f ca="1">IFERROR(__xludf.DUMMYFUNCTION("""COMPUTED_VALUE"""),44095)</f>
        <v>44095</v>
      </c>
      <c r="B1966" s="8" t="str">
        <f ca="1">IFERROR(__xludf.DUMMYFUNCTION("""COMPUTED_VALUE"""),"-33.650884,-71.229400")</f>
        <v>-33.650884,-71.229400</v>
      </c>
      <c r="C1966" s="6" t="str">
        <f ca="1">IFERROR(__xludf.DUMMYFUNCTION("""COMPUTED_VALUE"""),"PARCELA 3 SANTA JULIA")</f>
        <v>PARCELA 3 SANTA JULIA</v>
      </c>
      <c r="D1966" s="6" t="str">
        <f ca="1">IFERROR(__xludf.DUMMYFUNCTION("""COMPUTED_VALUE"""),"MELIPILLA")</f>
        <v>MELIPILLA</v>
      </c>
    </row>
    <row r="1967" spans="1:4">
      <c r="A1967" s="7">
        <f ca="1">IFERROR(__xludf.DUMMYFUNCTION("""COMPUTED_VALUE"""),44095)</f>
        <v>44095</v>
      </c>
      <c r="B1967" s="8" t="str">
        <f ca="1">IFERROR(__xludf.DUMMYFUNCTION("""COMPUTED_VALUE"""),"-33.813712,-71.327655")</f>
        <v>-33.813712,-71.327655</v>
      </c>
      <c r="C1967" s="6" t="str">
        <f ca="1">IFERROR(__xludf.DUMMYFUNCTION("""COMPUTED_VALUE"""),"ALTOS DE POPETA OASIS")</f>
        <v>ALTOS DE POPETA OASIS</v>
      </c>
      <c r="D1967" s="6" t="str">
        <f ca="1">IFERROR(__xludf.DUMMYFUNCTION("""COMPUTED_VALUE"""),"MELIPILLA")</f>
        <v>MELIPILLA</v>
      </c>
    </row>
    <row r="1968" spans="1:4">
      <c r="A1968" s="7">
        <f ca="1">IFERROR(__xludf.DUMMYFUNCTION("""COMPUTED_VALUE"""),44096)</f>
        <v>44096</v>
      </c>
      <c r="B1968" s="8" t="str">
        <f ca="1">IFERROR(__xludf.DUMMYFUNCTION("""COMPUTED_VALUE"""),"-33.681204,-71.220931")</f>
        <v>-33.681204,-71.220931</v>
      </c>
      <c r="C1968" s="6" t="str">
        <f ca="1">IFERROR(__xludf.DUMMYFUNCTION("""COMPUTED_VALUE"""),"EL PEUMO 128")</f>
        <v>EL PEUMO 128</v>
      </c>
      <c r="D1968" s="6" t="str">
        <f ca="1">IFERROR(__xludf.DUMMYFUNCTION("""COMPUTED_VALUE"""),"MELIPILLA")</f>
        <v>MELIPILLA</v>
      </c>
    </row>
    <row r="1969" spans="1:4">
      <c r="A1969" s="7">
        <f ca="1">IFERROR(__xludf.DUMMYFUNCTION("""COMPUTED_VALUE"""),44096)</f>
        <v>44096</v>
      </c>
      <c r="B1969" s="6" t="str">
        <f ca="1">IFERROR(__xludf.DUMMYFUNCTION("""COMPUTED_VALUE"""),"-33.6295463-70.8465781")</f>
        <v>-33.6295463-70.8465781</v>
      </c>
      <c r="C1969" s="6" t="str">
        <f ca="1">IFERROR(__xludf.DUMMYFUNCTION("""COMPUTED_VALUE"""),"SAN JAVIER LARRAIN P-48 CHACRA L5")</f>
        <v>SAN JAVIER LARRAIN P-48 CHACRA L5</v>
      </c>
      <c r="D1969" s="6" t="str">
        <f ca="1">IFERROR(__xludf.DUMMYFUNCTION("""COMPUTED_VALUE"""),"PEÑAFLOR")</f>
        <v>PEÑAFLOR</v>
      </c>
    </row>
    <row r="1970" spans="1:4">
      <c r="A1970" s="7">
        <f ca="1">IFERROR(__xludf.DUMMYFUNCTION("""COMPUTED_VALUE"""),44096)</f>
        <v>44096</v>
      </c>
      <c r="B1970" s="6" t="str">
        <f ca="1">IFERROR(__xludf.DUMMYFUNCTION("""COMPUTED_VALUE"""),"-33.613141-70.897682")</f>
        <v>-33.613141-70.897682</v>
      </c>
      <c r="C1970" s="6" t="str">
        <f ca="1">IFERROR(__xludf.DUMMYFUNCTION("""COMPUTED_VALUE"""),"EL OMBU PONIENTE 201")</f>
        <v>EL OMBU PONIENTE 201</v>
      </c>
      <c r="D1970" s="6" t="str">
        <f ca="1">IFERROR(__xludf.DUMMYFUNCTION("""COMPUTED_VALUE"""),"PEÑAFLOR")</f>
        <v>PEÑAFLOR</v>
      </c>
    </row>
    <row r="1971" spans="1:4">
      <c r="A1971" s="7">
        <f ca="1">IFERROR(__xludf.DUMMYFUNCTION("""COMPUTED_VALUE"""),44096)</f>
        <v>44096</v>
      </c>
      <c r="B1971" s="6" t="str">
        <f ca="1">IFERROR(__xludf.DUMMYFUNCTION("""COMPUTED_VALUE"""),"-33.415192-71.157309")</f>
        <v>-33.415192-71.157309</v>
      </c>
      <c r="C1971" s="6" t="str">
        <f ca="1">IFERROR(__xludf.DUMMYFUNCTION("""COMPUTED_VALUE"""),"REGIDOR ONOFRE JARA 280")</f>
        <v>REGIDOR ONOFRE JARA 280</v>
      </c>
      <c r="D1971" s="6" t="str">
        <f ca="1">IFERROR(__xludf.DUMMYFUNCTION("""COMPUTED_VALUE"""),"CURACAVI")</f>
        <v>CURACAVI</v>
      </c>
    </row>
    <row r="1972" spans="1:4">
      <c r="A1972" s="7">
        <f ca="1">IFERROR(__xludf.DUMMYFUNCTION("""COMPUTED_VALUE"""),44096)</f>
        <v>44096</v>
      </c>
      <c r="B1972" s="6" t="str">
        <f ca="1">IFERROR(__xludf.DUMMYFUNCTION("""COMPUTED_VALUE"""),"-33.374204-71.171322")</f>
        <v>-33.374204-71.171322</v>
      </c>
      <c r="C1972" s="6" t="str">
        <f ca="1">IFERROR(__xludf.DUMMYFUNCTION("""COMPUTED_VALUE"""),"EL NARANJO LOTE 6")</f>
        <v>EL NARANJO LOTE 6</v>
      </c>
      <c r="D1972" s="6" t="str">
        <f ca="1">IFERROR(__xludf.DUMMYFUNCTION("""COMPUTED_VALUE"""),"CURACAVI")</f>
        <v>CURACAVI</v>
      </c>
    </row>
    <row r="1973" spans="1:4">
      <c r="A1973" s="7">
        <f ca="1">IFERROR(__xludf.DUMMYFUNCTION("""COMPUTED_VALUE"""),44096)</f>
        <v>44096</v>
      </c>
      <c r="B1973" s="6" t="str">
        <f ca="1">IFERROR(__xludf.DUMMYFUNCTION("""COMPUTED_VALUE"""),"-33.399720-71.119678")</f>
        <v>-33.399720-71.119678</v>
      </c>
      <c r="C1973" s="6" t="str">
        <f ca="1">IFERROR(__xludf.DUMMYFUNCTION("""COMPUTED_VALUE"""),"PJE DOS 2227")</f>
        <v>PJE DOS 2227</v>
      </c>
      <c r="D1973" s="6" t="str">
        <f ca="1">IFERROR(__xludf.DUMMYFUNCTION("""COMPUTED_VALUE"""),"CURACAVI")</f>
        <v>CURACAVI</v>
      </c>
    </row>
    <row r="1974" spans="1:4">
      <c r="A1974" s="7">
        <f ca="1">IFERROR(__xludf.DUMMYFUNCTION("""COMPUTED_VALUE"""),44096)</f>
        <v>44096</v>
      </c>
      <c r="B1974" s="8" t="str">
        <f ca="1">IFERROR(__xludf.DUMMYFUNCTION("""COMPUTED_VALUE"""),"-33.674384,-71.211145")</f>
        <v>-33.674384,-71.211145</v>
      </c>
      <c r="C1974" s="6" t="str">
        <f ca="1">IFERROR(__xludf.DUMMYFUNCTION("""COMPUTED_VALUE"""),"PADRE BERNARDO VALENZUELA 246")</f>
        <v>PADRE BERNARDO VALENZUELA 246</v>
      </c>
      <c r="D1974" s="6" t="str">
        <f ca="1">IFERROR(__xludf.DUMMYFUNCTION("""COMPUTED_VALUE"""),"MELIPILLA")</f>
        <v>MELIPILLA</v>
      </c>
    </row>
    <row r="1975" spans="1:4">
      <c r="A1975" s="7">
        <f ca="1">IFERROR(__xludf.DUMMYFUNCTION("""COMPUTED_VALUE"""),44096)</f>
        <v>44096</v>
      </c>
      <c r="B1975" s="8" t="str">
        <f ca="1">IFERROR(__xludf.DUMMYFUNCTION("""COMPUTED_VALUE"""),"-33.675447,-71.214825")</f>
        <v>-33.675447,-71.214825</v>
      </c>
      <c r="C1975" s="6" t="str">
        <f ca="1">IFERROR(__xludf.DUMMYFUNCTION("""COMPUTED_VALUE"""),"PARIS 137 VILLA FRANCIA")</f>
        <v>PARIS 137 VILLA FRANCIA</v>
      </c>
      <c r="D1975" s="6" t="str">
        <f ca="1">IFERROR(__xludf.DUMMYFUNCTION("""COMPUTED_VALUE"""),"MELIPILLA")</f>
        <v>MELIPILLA</v>
      </c>
    </row>
    <row r="1976" spans="1:4">
      <c r="A1976" s="7">
        <f ca="1">IFERROR(__xludf.DUMMYFUNCTION("""COMPUTED_VALUE"""),44097)</f>
        <v>44097</v>
      </c>
      <c r="B1976" s="8" t="str">
        <f ca="1">IFERROR(__xludf.DUMMYFUNCTION("""COMPUTED_VALUE"""),"-33.549085,-71.220543")</f>
        <v>-33.549085,-71.220543</v>
      </c>
      <c r="C1976" s="6" t="str">
        <f ca="1">IFERROR(__xludf.DUMMYFUNCTION("""COMPUTED_VALUE"""),"PASAJE SAN ANDRES CHOROMBO BAJO")</f>
        <v>PASAJE SAN ANDRES CHOROMBO BAJO</v>
      </c>
      <c r="D1976" s="6" t="str">
        <f ca="1">IFERROR(__xludf.DUMMYFUNCTION("""COMPUTED_VALUE"""),"MELIPILLA")</f>
        <v>MELIPILLA</v>
      </c>
    </row>
    <row r="1977" spans="1:4">
      <c r="A1977" s="7">
        <f ca="1">IFERROR(__xludf.DUMMYFUNCTION("""COMPUTED_VALUE"""),44097)</f>
        <v>44097</v>
      </c>
      <c r="B1977" s="8" t="str">
        <f ca="1">IFERROR(__xludf.DUMMYFUNCTION("""COMPUTED_VALUE"""),"-33.674217,-71.209714")</f>
        <v>-33.674217,-71.209714</v>
      </c>
      <c r="C1977" s="6" t="str">
        <f ca="1">IFERROR(__xludf.DUMMYFUNCTION("""COMPUTED_VALUE"""),"HERNAN SANDOVAL CORDOBA 280")</f>
        <v>HERNAN SANDOVAL CORDOBA 280</v>
      </c>
      <c r="D1977" s="6" t="str">
        <f ca="1">IFERROR(__xludf.DUMMYFUNCTION("""COMPUTED_VALUE"""),"MELIPILLA")</f>
        <v>MELIPILLA</v>
      </c>
    </row>
    <row r="1978" spans="1:4">
      <c r="A1978" s="7">
        <f ca="1">IFERROR(__xludf.DUMMYFUNCTION("""COMPUTED_VALUE"""),44097)</f>
        <v>44097</v>
      </c>
      <c r="B1978" s="8" t="str">
        <f ca="1">IFERROR(__xludf.DUMMYFUNCTION("""COMPUTED_VALUE"""),"-33.674517,-71.209927")</f>
        <v>-33.674517,-71.209927</v>
      </c>
      <c r="C1978" s="6" t="str">
        <f ca="1">IFERROR(__xludf.DUMMYFUNCTION("""COMPUTED_VALUE"""),"HERNAN SANDOVAL CORDOBA 261")</f>
        <v>HERNAN SANDOVAL CORDOBA 261</v>
      </c>
      <c r="D1978" s="6" t="str">
        <f ca="1">IFERROR(__xludf.DUMMYFUNCTION("""COMPUTED_VALUE"""),"MELIPILLA")</f>
        <v>MELIPILLA</v>
      </c>
    </row>
    <row r="1979" spans="1:4">
      <c r="A1979" s="7">
        <f ca="1">IFERROR(__xludf.DUMMYFUNCTION("""COMPUTED_VALUE"""),44097)</f>
        <v>44097</v>
      </c>
      <c r="B1979" s="6" t="str">
        <f ca="1">IFERROR(__xludf.DUMMYFUNCTION("""COMPUTED_VALUE"""),"-33.616290-70.861080")</f>
        <v>-33.616290-70.861080</v>
      </c>
      <c r="C1979" s="6" t="str">
        <f ca="1">IFERROR(__xludf.DUMMYFUNCTION("""COMPUTED_VALUE"""),"BALMACEDA 1656")</f>
        <v>BALMACEDA 1656</v>
      </c>
      <c r="D1979" s="6" t="str">
        <f ca="1">IFERROR(__xludf.DUMMYFUNCTION("""COMPUTED_VALUE"""),"PEÑAFLOR")</f>
        <v>PEÑAFLOR</v>
      </c>
    </row>
    <row r="1980" spans="1:4">
      <c r="A1980" s="7">
        <f ca="1">IFERROR(__xludf.DUMMYFUNCTION("""COMPUTED_VALUE"""),44097)</f>
        <v>44097</v>
      </c>
      <c r="B1980" s="6" t="str">
        <f ca="1">IFERROR(__xludf.DUMMYFUNCTION("""COMPUTED_VALUE"""),"-33.6109823-70.8823081")</f>
        <v>-33.6109823-70.8823081</v>
      </c>
      <c r="C1980" s="6" t="str">
        <f ca="1">IFERROR(__xludf.DUMMYFUNCTION("""COMPUTED_VALUE"""),"VICUÑA MACKENNA 2146")</f>
        <v>VICUÑA MACKENNA 2146</v>
      </c>
      <c r="D1980" s="6" t="str">
        <f ca="1">IFERROR(__xludf.DUMMYFUNCTION("""COMPUTED_VALUE"""),"PEÑAFLOR")</f>
        <v>PEÑAFLOR</v>
      </c>
    </row>
    <row r="1981" spans="1:4">
      <c r="A1981" s="7">
        <f ca="1">IFERROR(__xludf.DUMMYFUNCTION("""COMPUTED_VALUE"""),44097)</f>
        <v>44097</v>
      </c>
      <c r="B1981" s="8" t="str">
        <f ca="1">IFERROR(__xludf.DUMMYFUNCTION("""COMPUTED_VALUE"""),"-33.699320,-72.216433")</f>
        <v>-33.699320,-72.216433</v>
      </c>
      <c r="C1981" s="6" t="str">
        <f ca="1">IFERROR(__xludf.DUMMYFUNCTION("""COMPUTED_VALUE"""),"EMETERIO GOYONECHEA 1918")</f>
        <v>EMETERIO GOYONECHEA 1918</v>
      </c>
      <c r="D1981" s="6" t="str">
        <f ca="1">IFERROR(__xludf.DUMMYFUNCTION("""COMPUTED_VALUE"""),"MELIPILLA")</f>
        <v>MELIPILLA</v>
      </c>
    </row>
    <row r="1982" spans="1:4">
      <c r="A1982" s="7">
        <f ca="1">IFERROR(__xludf.DUMMYFUNCTION("""COMPUTED_VALUE"""),44098)</f>
        <v>44098</v>
      </c>
      <c r="B1982" s="8" t="str">
        <f ca="1">IFERROR(__xludf.DUMMYFUNCTION("""COMPUTED_VALUE"""),"-33.544476,-71.223124")</f>
        <v>-33.544476,-71.223124</v>
      </c>
      <c r="C1982" s="6" t="str">
        <f ca="1">IFERROR(__xludf.DUMMYFUNCTION("""COMPUTED_VALUE"""),"CHOROMBO PC 32 STE")</f>
        <v>CHOROMBO PC 32 STE</v>
      </c>
      <c r="D1982" s="6" t="str">
        <f ca="1">IFERROR(__xludf.DUMMYFUNCTION("""COMPUTED_VALUE"""),"MARIA PINTO")</f>
        <v>MARIA PINTO</v>
      </c>
    </row>
    <row r="1983" spans="1:4">
      <c r="A1983" s="7">
        <f ca="1">IFERROR(__xludf.DUMMYFUNCTION("""COMPUTED_VALUE"""),44098)</f>
        <v>44098</v>
      </c>
      <c r="B1983" s="8" t="str">
        <f ca="1">IFERROR(__xludf.DUMMYFUNCTION("""COMPUTED_VALUE"""),"-33.673730,-71.209380")</f>
        <v>-33.673730,-71.209380</v>
      </c>
      <c r="C1983" s="6" t="str">
        <f ca="1">IFERROR(__xludf.DUMMYFUNCTION("""COMPUTED_VALUE"""),"ROBERTO SAGREDO MIRANDA 312")</f>
        <v>ROBERTO SAGREDO MIRANDA 312</v>
      </c>
      <c r="D1983" s="6" t="str">
        <f ca="1">IFERROR(__xludf.DUMMYFUNCTION("""COMPUTED_VALUE"""),"MELIPILLA")</f>
        <v>MELIPILLA</v>
      </c>
    </row>
    <row r="1984" spans="1:4">
      <c r="A1984" s="7">
        <f ca="1">IFERROR(__xludf.DUMMYFUNCTION("""COMPUTED_VALUE"""),44098)</f>
        <v>44098</v>
      </c>
      <c r="B1984" s="8" t="str">
        <f ca="1">IFERROR(__xludf.DUMMYFUNCTION("""COMPUTED_VALUE"""),"-33.681158,-71.220902")</f>
        <v>-33.681158,-71.220902</v>
      </c>
      <c r="C1984" s="6" t="str">
        <f ca="1">IFERROR(__xludf.DUMMYFUNCTION("""COMPUTED_VALUE"""),"EL PEUMO118")</f>
        <v>EL PEUMO118</v>
      </c>
      <c r="D1984" s="6" t="str">
        <f ca="1">IFERROR(__xludf.DUMMYFUNCTION("""COMPUTED_VALUE"""),"MELIPILLA")</f>
        <v>MELIPILLA</v>
      </c>
    </row>
    <row r="1985" spans="1:4">
      <c r="A1985" s="7">
        <f ca="1">IFERROR(__xludf.DUMMYFUNCTION("""COMPUTED_VALUE"""),44098)</f>
        <v>44098</v>
      </c>
      <c r="B1985" s="8" t="str">
        <f ca="1">IFERROR(__xludf.DUMMYFUNCTION("""COMPUTED_VALUE"""),"-33.673264,-71.176077")</f>
        <v>-33.673264,-71.176077</v>
      </c>
      <c r="C1985" s="6" t="str">
        <f ca="1">IFERROR(__xludf.DUMMYFUNCTION("""COMPUTED_VALUE"""),"FRANCIA 2047")</f>
        <v>FRANCIA 2047</v>
      </c>
      <c r="D1985" s="6" t="str">
        <f ca="1">IFERROR(__xludf.DUMMYFUNCTION("""COMPUTED_VALUE"""),"MELIPILLA")</f>
        <v>MELIPILLA</v>
      </c>
    </row>
    <row r="1986" spans="1:4">
      <c r="A1986" s="7">
        <f ca="1">IFERROR(__xludf.DUMMYFUNCTION("""COMPUTED_VALUE"""),44098)</f>
        <v>44098</v>
      </c>
      <c r="B1986" s="8" t="str">
        <f ca="1">IFERROR(__xludf.DUMMYFUNCTION("""COMPUTED_VALUE"""),"-33.673567,-71.209186")</f>
        <v>-33.673567,-71.209186</v>
      </c>
      <c r="C1986" s="6" t="str">
        <f ca="1">IFERROR(__xludf.DUMMYFUNCTION("""COMPUTED_VALUE"""),"PASAJE EDUVIGIS OJEDA 329")</f>
        <v>PASAJE EDUVIGIS OJEDA 329</v>
      </c>
      <c r="D1986" s="6" t="str">
        <f ca="1">IFERROR(__xludf.DUMMYFUNCTION("""COMPUTED_VALUE"""),"MELIPILLA")</f>
        <v>MELIPILLA</v>
      </c>
    </row>
    <row r="1987" spans="1:4">
      <c r="A1987" s="7">
        <f ca="1">IFERROR(__xludf.DUMMYFUNCTION("""COMPUTED_VALUE"""),44098)</f>
        <v>44098</v>
      </c>
      <c r="B1987" s="6" t="str">
        <f ca="1">IFERROR(__xludf.DUMMYFUNCTION("""COMPUTED_VALUE"""),"-33.6142694-70.8635702")</f>
        <v>-33.6142694-70.8635702</v>
      </c>
      <c r="C1987" s="6" t="str">
        <f ca="1">IFERROR(__xludf.DUMMYFUNCTION("""COMPUTED_VALUE"""),"PJE SEIS 198")</f>
        <v>PJE SEIS 198</v>
      </c>
      <c r="D1987" s="6" t="str">
        <f ca="1">IFERROR(__xludf.DUMMYFUNCTION("""COMPUTED_VALUE"""),"PEÑAFLOR")</f>
        <v>PEÑAFLOR</v>
      </c>
    </row>
    <row r="1988" spans="1:4">
      <c r="A1988" s="7">
        <f ca="1">IFERROR(__xludf.DUMMYFUNCTION("""COMPUTED_VALUE"""),44098)</f>
        <v>44098</v>
      </c>
      <c r="B1988" s="8" t="str">
        <f ca="1">IFERROR(__xludf.DUMMYFUNCTION("""COMPUTED_VALUE"""),"-33.680515,-71.204921")</f>
        <v>-33.680515,-71.204921</v>
      </c>
      <c r="C1988" s="6" t="str">
        <f ca="1">IFERROR(__xludf.DUMMYFUNCTION("""COMPUTED_VALUE"""),"FCO BARRIOS BURGOS 069")</f>
        <v>FCO BARRIOS BURGOS 069</v>
      </c>
      <c r="D1988" s="6" t="str">
        <f ca="1">IFERROR(__xludf.DUMMYFUNCTION("""COMPUTED_VALUE"""),"MELIPILLA")</f>
        <v>MELIPILLA</v>
      </c>
    </row>
    <row r="1989" spans="1:4">
      <c r="A1989" s="7">
        <f ca="1">IFERROR(__xludf.DUMMYFUNCTION("""COMPUTED_VALUE"""),44099)</f>
        <v>44099</v>
      </c>
      <c r="B1989" s="8" t="str">
        <f ca="1">IFERROR(__xludf.DUMMYFUNCTION("""COMPUTED_VALUE"""),"-33.681468,-71.220867")</f>
        <v>-33.681468,-71.220867</v>
      </c>
      <c r="C1989" s="6" t="str">
        <f ca="1">IFERROR(__xludf.DUMMYFUNCTION("""COMPUTED_VALUE"""),"EL PEUMO 148")</f>
        <v>EL PEUMO 148</v>
      </c>
      <c r="D1989" s="6" t="str">
        <f ca="1">IFERROR(__xludf.DUMMYFUNCTION("""COMPUTED_VALUE"""),"MELIPILLA")</f>
        <v>MELIPILLA</v>
      </c>
    </row>
    <row r="1990" spans="1:4">
      <c r="A1990" s="7">
        <f ca="1">IFERROR(__xludf.DUMMYFUNCTION("""COMPUTED_VALUE"""),44099)</f>
        <v>44099</v>
      </c>
      <c r="B1990" s="8" t="str">
        <f ca="1">IFERROR(__xludf.DUMMYFUNCTION("""COMPUTED_VALUE"""),"-33.750259,-71.193209")</f>
        <v>-33.750259,-71.193209</v>
      </c>
      <c r="C1990" s="6" t="str">
        <f ca="1">IFERROR(__xludf.DUMMYFUNCTION("""COMPUTED_VALUE"""),"CALLE LE CAROS 9 PABELLON 2")</f>
        <v>CALLE LE CAROS 9 PABELLON 2</v>
      </c>
      <c r="D1990" s="6" t="str">
        <f ca="1">IFERROR(__xludf.DUMMYFUNCTION("""COMPUTED_VALUE"""),"MELIPILLA")</f>
        <v>MELIPILLA</v>
      </c>
    </row>
    <row r="1991" spans="1:4">
      <c r="A1991" s="7">
        <f ca="1">IFERROR(__xludf.DUMMYFUNCTION("""COMPUTED_VALUE"""),44099)</f>
        <v>44099</v>
      </c>
      <c r="B1991" s="8" t="str">
        <f ca="1">IFERROR(__xludf.DUMMYFUNCTION("""COMPUTED_VALUE"""),"-33.569559,-70.796469")</f>
        <v>-33.569559,-70.796469</v>
      </c>
      <c r="C1991" s="6" t="str">
        <f ca="1">IFERROR(__xludf.DUMMYFUNCTION("""COMPUTED_VALUE"""),"PASAJE SIETE 1126 ")</f>
        <v xml:space="preserve">PASAJE SIETE 1126 </v>
      </c>
      <c r="D1991" s="6" t="str">
        <f ca="1">IFERROR(__xludf.DUMMYFUNCTION("""COMPUTED_VALUE"""),"PADRE HURTADO")</f>
        <v>PADRE HURTADO</v>
      </c>
    </row>
    <row r="1992" spans="1:4">
      <c r="A1992" s="7">
        <f ca="1">IFERROR(__xludf.DUMMYFUNCTION("""COMPUTED_VALUE"""),44099)</f>
        <v>44099</v>
      </c>
      <c r="B1992" s="6" t="str">
        <f ca="1">IFERROR(__xludf.DUMMYFUNCTION("""COMPUTED_VALUE"""),"-33.600244-70.868331")</f>
        <v>-33.600244-70.868331</v>
      </c>
      <c r="C1992" s="6" t="str">
        <f ca="1">IFERROR(__xludf.DUMMYFUNCTION("""COMPUTED_VALUE"""),"PJE. CHITO FARO 2092")</f>
        <v>PJE. CHITO FARO 2092</v>
      </c>
      <c r="D1992" s="6" t="str">
        <f ca="1">IFERROR(__xludf.DUMMYFUNCTION("""COMPUTED_VALUE"""),"PEÑAFLOR")</f>
        <v>PEÑAFLOR</v>
      </c>
    </row>
    <row r="1993" spans="1:4">
      <c r="A1993" s="7">
        <f ca="1">IFERROR(__xludf.DUMMYFUNCTION("""COMPUTED_VALUE"""),44099)</f>
        <v>44099</v>
      </c>
      <c r="B1993" s="8" t="str">
        <f ca="1">IFERROR(__xludf.DUMMYFUNCTION("""COMPUTED_VALUE"""),"-33.683242,-71.197975")</f>
        <v>-33.683242,-71.197975</v>
      </c>
      <c r="C1993" s="6" t="str">
        <f ca="1">IFERROR(__xludf.DUMMYFUNCTION("""COMPUTED_VALUE"""),"PJE ROBERT SCHUMAN 714, GALILEA")</f>
        <v>PJE ROBERT SCHUMAN 714, GALILEA</v>
      </c>
      <c r="D1993" s="6" t="str">
        <f ca="1">IFERROR(__xludf.DUMMYFUNCTION("""COMPUTED_VALUE"""),"MELIPILLA")</f>
        <v>MELIPILLA</v>
      </c>
    </row>
    <row r="1994" spans="1:4">
      <c r="A1994" s="7">
        <f ca="1">IFERROR(__xludf.DUMMYFUNCTION("""COMPUTED_VALUE"""),44102)</f>
        <v>44102</v>
      </c>
      <c r="B1994" s="8" t="str">
        <f ca="1">IFERROR(__xludf.DUMMYFUNCTION("""COMPUTED_VALUE"""),"-33.505055,-71.258504")</f>
        <v>-33.505055,-71.258504</v>
      </c>
      <c r="C1994" s="6" t="str">
        <f ca="1">IFERROR(__xludf.DUMMYFUNCTION("""COMPUTED_VALUE"""),"CHOROMBO ALTO S/N LOTE 2")</f>
        <v>CHOROMBO ALTO S/N LOTE 2</v>
      </c>
      <c r="D1994" s="6" t="str">
        <f ca="1">IFERROR(__xludf.DUMMYFUNCTION("""COMPUTED_VALUE"""),"MARIA PINTO")</f>
        <v>MARIA PINTO</v>
      </c>
    </row>
    <row r="1995" spans="1:4">
      <c r="A1995" s="7">
        <f ca="1">IFERROR(__xludf.DUMMYFUNCTION("""COMPUTED_VALUE"""),44102)</f>
        <v>44102</v>
      </c>
      <c r="B1995" s="8" t="str">
        <f ca="1">IFERROR(__xludf.DUMMYFUNCTION("""COMPUTED_VALUE"""),"-33.638038,-71.212602")</f>
        <v>-33.638038,-71.212602</v>
      </c>
      <c r="C1995" s="6" t="str">
        <f ca="1">IFERROR(__xludf.DUMMYFUNCTION("""COMPUTED_VALUE"""),"RUMAY S/N ")</f>
        <v xml:space="preserve">RUMAY S/N </v>
      </c>
      <c r="D1995" s="6" t="str">
        <f ca="1">IFERROR(__xludf.DUMMYFUNCTION("""COMPUTED_VALUE"""),"MELIPILLA")</f>
        <v>MELIPILLA</v>
      </c>
    </row>
    <row r="1996" spans="1:4">
      <c r="A1996" s="7">
        <f ca="1">IFERROR(__xludf.DUMMYFUNCTION("""COMPUTED_VALUE"""),44102)</f>
        <v>44102</v>
      </c>
      <c r="B1996" s="6" t="str">
        <f ca="1">IFERROR(__xludf.DUMMYFUNCTION("""COMPUTED_VALUE"""),"-33.615990-70.885633")</f>
        <v>-33.615990-70.885633</v>
      </c>
      <c r="C1996" s="6" t="str">
        <f ca="1">IFERROR(__xludf.DUMMYFUNCTION("""COMPUTED_VALUE"""),"VICUÑA MACKENNA 2146 PARC 49")</f>
        <v>VICUÑA MACKENNA 2146 PARC 49</v>
      </c>
      <c r="D1996" s="6" t="str">
        <f ca="1">IFERROR(__xludf.DUMMYFUNCTION("""COMPUTED_VALUE"""),"PEÑAFLOR")</f>
        <v>PEÑAFLOR</v>
      </c>
    </row>
    <row r="1997" spans="1:4">
      <c r="A1997" s="7">
        <f ca="1">IFERROR(__xludf.DUMMYFUNCTION("""COMPUTED_VALUE"""),44103)</f>
        <v>44103</v>
      </c>
      <c r="B1997" s="8" t="str">
        <f ca="1">IFERROR(__xludf.DUMMYFUNCTION("""COMPUTED_VALUE"""),"-33749347,70.732284")</f>
        <v>-33749347,70.732284</v>
      </c>
      <c r="C1997" s="6" t="str">
        <f ca="1">IFERROR(__xludf.DUMMYFUNCTION("""COMPUTED_VALUE"""),"LOS ROSALES 269")</f>
        <v>LOS ROSALES 269</v>
      </c>
      <c r="D1997" s="6" t="str">
        <f ca="1">IFERROR(__xludf.DUMMYFUNCTION("""COMPUTED_VALUE"""),"BUIN")</f>
        <v>BUIN</v>
      </c>
    </row>
    <row r="1998" spans="1:4">
      <c r="A1998" s="7">
        <f ca="1">IFERROR(__xludf.DUMMYFUNCTION("""COMPUTED_VALUE"""),44103)</f>
        <v>44103</v>
      </c>
      <c r="B1998" s="8" t="str">
        <f ca="1">IFERROR(__xludf.DUMMYFUNCTION("""COMPUTED_VALUE"""),"-33.755474,-70.735196")</f>
        <v>-33.755474,-70.735196</v>
      </c>
      <c r="C1998" s="6" t="str">
        <f ca="1">IFERROR(__xludf.DUMMYFUNCTION("""COMPUTED_VALUE"""),"FRANCISCO JAVIER KRUGER 3234")</f>
        <v>FRANCISCO JAVIER KRUGER 3234</v>
      </c>
      <c r="D1998" s="6" t="str">
        <f ca="1">IFERROR(__xludf.DUMMYFUNCTION("""COMPUTED_VALUE"""),"BUIN")</f>
        <v>BUIN</v>
      </c>
    </row>
    <row r="1999" spans="1:4">
      <c r="A1999" s="7">
        <f ca="1">IFERROR(__xludf.DUMMYFUNCTION("""COMPUTED_VALUE"""),44103)</f>
        <v>44103</v>
      </c>
      <c r="B1999" s="6" t="str">
        <f ca="1">IFERROR(__xludf.DUMMYFUNCTION("""COMPUTED_VALUE"""),"-33.6112327-70.9038956")</f>
        <v>-33.6112327-70.9038956</v>
      </c>
      <c r="C1999" s="6" t="str">
        <f ca="1">IFERROR(__xludf.DUMMYFUNCTION("""COMPUTED_VALUE"""),"GALVARINO 30")</f>
        <v>GALVARINO 30</v>
      </c>
      <c r="D1999" s="6" t="str">
        <f ca="1">IFERROR(__xludf.DUMMYFUNCTION("""COMPUTED_VALUE"""),"PEÑAFLOR")</f>
        <v>PEÑAFLOR</v>
      </c>
    </row>
    <row r="2000" spans="1:4">
      <c r="A2000" s="7">
        <f ca="1">IFERROR(__xludf.DUMMYFUNCTION("""COMPUTED_VALUE"""),44104)</f>
        <v>44104</v>
      </c>
      <c r="B2000" s="8" t="str">
        <f ca="1">IFERROR(__xludf.DUMMYFUNCTION("""COMPUTED_VALUE"""),"-33.679569,- 71.237727")</f>
        <v>-33.679569,- 71.237727</v>
      </c>
      <c r="C2000" s="6" t="str">
        <f ca="1">IFERROR(__xludf.DUMMYFUNCTION("""COMPUTED_VALUE"""),"PASAJE SIETE 392")</f>
        <v>PASAJE SIETE 392</v>
      </c>
      <c r="D2000" s="6" t="str">
        <f ca="1">IFERROR(__xludf.DUMMYFUNCTION("""COMPUTED_VALUE"""),"MELIPILLA")</f>
        <v>MELIPILLA</v>
      </c>
    </row>
    <row r="2001" spans="1:4">
      <c r="A2001" s="7">
        <f ca="1">IFERROR(__xludf.DUMMYFUNCTION("""COMPUTED_VALUE"""),44104)</f>
        <v>44104</v>
      </c>
      <c r="B2001" s="8" t="str">
        <f ca="1">IFERROR(__xludf.DUMMYFUNCTION("""COMPUTED_VALUE"""),"-33.682177,- 71.195085")</f>
        <v>-33.682177,- 71.195085</v>
      </c>
      <c r="C2001" s="6" t="str">
        <f ca="1">IFERROR(__xludf.DUMMYFUNCTION("""COMPUTED_VALUE"""),"LUDWING VAN BEETHOVEN 0872")</f>
        <v>LUDWING VAN BEETHOVEN 0872</v>
      </c>
      <c r="D2001" s="6" t="str">
        <f ca="1">IFERROR(__xludf.DUMMYFUNCTION("""COMPUTED_VALUE"""),"MELIPILLA")</f>
        <v>MELIPILLA</v>
      </c>
    </row>
    <row r="2002" spans="1:4">
      <c r="A2002" s="7">
        <f ca="1">IFERROR(__xludf.DUMMYFUNCTION("""COMPUTED_VALUE"""),44104)</f>
        <v>44104</v>
      </c>
      <c r="B2002" s="8" t="str">
        <f ca="1">IFERROR(__xludf.DUMMYFUNCTION("""COMPUTED_VALUE"""),"-33.674806,-71.176558")</f>
        <v>-33.674806,-71.176558</v>
      </c>
      <c r="C2002" s="6" t="str">
        <f ca="1">IFERROR(__xludf.DUMMYFUNCTION("""COMPUTED_VALUE"""),"SUIZA 127")</f>
        <v>SUIZA 127</v>
      </c>
      <c r="D2002" s="6" t="str">
        <f ca="1">IFERROR(__xludf.DUMMYFUNCTION("""COMPUTED_VALUE"""),"MELIPILLA")</f>
        <v>MELIPILLA</v>
      </c>
    </row>
    <row r="2003" spans="1:4">
      <c r="A2003" s="7">
        <f ca="1">IFERROR(__xludf.DUMMYFUNCTION("""COMPUTED_VALUE"""),44104)</f>
        <v>44104</v>
      </c>
      <c r="B2003" s="8" t="str">
        <f ca="1">IFERROR(__xludf.DUMMYFUNCTION("""COMPUTED_VALUE"""),"-33.461859,-71.079018")</f>
        <v>-33.461859,-71.079018</v>
      </c>
      <c r="C2003" s="6" t="str">
        <f ca="1">IFERROR(__xludf.DUMMYFUNCTION("""COMPUTED_VALUE"""),"LOS NOGALES 321")</f>
        <v>LOS NOGALES 321</v>
      </c>
      <c r="D2003" s="6" t="str">
        <f ca="1">IFERROR(__xludf.DUMMYFUNCTION("""COMPUTED_VALUE"""),"MARIA PINTO")</f>
        <v>MARIA PINTO</v>
      </c>
    </row>
    <row r="2004" spans="1:4">
      <c r="A2004" s="7">
        <f ca="1">IFERROR(__xludf.DUMMYFUNCTION("""COMPUTED_VALUE"""),44104)</f>
        <v>44104</v>
      </c>
      <c r="B2004" s="6" t="str">
        <f ca="1">IFERROR(__xludf.DUMMYFUNCTION("""COMPUTED_VALUE"""),"-33.6093006-70.8900221")</f>
        <v>-33.6093006-70.8900221</v>
      </c>
      <c r="C2004" s="6" t="str">
        <f ca="1">IFERROR(__xludf.DUMMYFUNCTION("""COMPUTED_VALUE"""),"PORVENIR 2909")</f>
        <v>PORVENIR 2909</v>
      </c>
      <c r="D2004" s="6" t="str">
        <f ca="1">IFERROR(__xludf.DUMMYFUNCTION("""COMPUTED_VALUE"""),"PEÑAFLOR")</f>
        <v>PEÑAFLOR</v>
      </c>
    </row>
    <row r="2005" spans="1:4">
      <c r="A2005" s="7">
        <f ca="1">IFERROR(__xludf.DUMMYFUNCTION("""COMPUTED_VALUE"""),44105)</f>
        <v>44105</v>
      </c>
      <c r="B2005" s="8" t="str">
        <f ca="1">IFERROR(__xludf.DUMMYFUNCTION("""COMPUTED_VALUE"""),"-33.734049,- 70.777492")</f>
        <v>-33.734049,- 70.777492</v>
      </c>
      <c r="C2005" s="6" t="str">
        <f ca="1">IFERROR(__xludf.DUMMYFUNCTION("""COMPUTED_VALUE"""),"LA COSECHA 332")</f>
        <v>LA COSECHA 332</v>
      </c>
      <c r="D2005" s="6" t="str">
        <f ca="1">IFERROR(__xludf.DUMMYFUNCTION("""COMPUTED_VALUE"""),"BUIN")</f>
        <v>BUIN</v>
      </c>
    </row>
    <row r="2006" spans="1:4">
      <c r="A2006" s="7">
        <f ca="1">IFERROR(__xludf.DUMMYFUNCTION("""COMPUTED_VALUE"""),44105)</f>
        <v>44105</v>
      </c>
      <c r="B2006" s="8" t="str">
        <f ca="1">IFERROR(__xludf.DUMMYFUNCTION("""COMPUTED_VALUE"""),"-33.675669,- 71.214019")</f>
        <v>-33.675669,- 71.214019</v>
      </c>
      <c r="C2006" s="6" t="str">
        <f ca="1">IFERROR(__xludf.DUMMYFUNCTION("""COMPUTED_VALUE"""),"RICARDO SANTA CRUZ")</f>
        <v>RICARDO SANTA CRUZ</v>
      </c>
      <c r="D2006" s="6" t="str">
        <f ca="1">IFERROR(__xludf.DUMMYFUNCTION("""COMPUTED_VALUE"""),"MELIPILLA")</f>
        <v>MELIPILLA</v>
      </c>
    </row>
    <row r="2007" spans="1:4">
      <c r="A2007" s="7">
        <f ca="1">IFERROR(__xludf.DUMMYFUNCTION("""COMPUTED_VALUE"""),44105)</f>
        <v>44105</v>
      </c>
      <c r="B2007" s="8" t="str">
        <f ca="1">IFERROR(__xludf.DUMMYFUNCTION("""COMPUTED_VALUE"""),"-33.565961,- 70.534501")</f>
        <v>-33.565961,- 70.534501</v>
      </c>
      <c r="C2007" s="6" t="str">
        <f ca="1">IFERROR(__xludf.DUMMYFUNCTION("""COMPUTED_VALUE"""),"PASAJE EL ALAMO 1129")</f>
        <v>PASAJE EL ALAMO 1129</v>
      </c>
      <c r="D2007" s="6" t="str">
        <f ca="1">IFERROR(__xludf.DUMMYFUNCTION("""COMPUTED_VALUE"""),"MELIPILLA")</f>
        <v>MELIPILLA</v>
      </c>
    </row>
    <row r="2008" spans="1:4">
      <c r="A2008" s="7">
        <f ca="1">IFERROR(__xludf.DUMMYFUNCTION("""COMPUTED_VALUE"""),44105)</f>
        <v>44105</v>
      </c>
      <c r="B2008" s="6" t="str">
        <f ca="1">IFERROR(__xludf.DUMMYFUNCTION("""COMPUTED_VALUE"""),"-33.619641-70.892414")</f>
        <v>-33.619641-70.892414</v>
      </c>
      <c r="C2008" s="6" t="str">
        <f ca="1">IFERROR(__xludf.DUMMYFUNCTION("""COMPUTED_VALUE"""),"PEDRO CORREA 885 L4")</f>
        <v>PEDRO CORREA 885 L4</v>
      </c>
      <c r="D2008" s="6" t="str">
        <f ca="1">IFERROR(__xludf.DUMMYFUNCTION("""COMPUTED_VALUE"""),"PEÑAFLOR")</f>
        <v>PEÑAFLOR</v>
      </c>
    </row>
    <row r="2009" spans="1:4">
      <c r="A2009" s="7">
        <f ca="1">IFERROR(__xludf.DUMMYFUNCTION("""COMPUTED_VALUE"""),44105)</f>
        <v>44105</v>
      </c>
      <c r="B2009" s="6" t="str">
        <f ca="1">IFERROR(__xludf.DUMMYFUNCTION("""COMPUTED_VALUE"""),"-33.682721,-71.228800")</f>
        <v>-33.682721,-71.228800</v>
      </c>
      <c r="C2009" s="6" t="str">
        <f ca="1">IFERROR(__xludf.DUMMYFUNCTION("""COMPUTED_VALUE"""),"MERCED 1799")</f>
        <v>MERCED 1799</v>
      </c>
      <c r="D2009" s="6" t="str">
        <f ca="1">IFERROR(__xludf.DUMMYFUNCTION("""COMPUTED_VALUE"""),"MELIPILLA")</f>
        <v>MELIPILLA</v>
      </c>
    </row>
    <row r="2010" spans="1:4">
      <c r="A2010" s="7">
        <f ca="1">IFERROR(__xludf.DUMMYFUNCTION("""COMPUTED_VALUE"""),44105)</f>
        <v>44105</v>
      </c>
      <c r="B2010" s="6" t="str">
        <f ca="1">IFERROR(__xludf.DUMMYFUNCTION("""COMPUTED_VALUE"""),"-33.681123,-71.232560")</f>
        <v>-33.681123,-71.232560</v>
      </c>
      <c r="C2010" s="6" t="str">
        <f ca="1">IFERROR(__xludf.DUMMYFUNCTION("""COMPUTED_VALUE"""),"PJ JOSE HORMAZABAL A 318-P VILLA COLONIAL II")</f>
        <v>PJ JOSE HORMAZABAL A 318-P VILLA COLONIAL II</v>
      </c>
      <c r="D2010" s="6" t="str">
        <f ca="1">IFERROR(__xludf.DUMMYFUNCTION("""COMPUTED_VALUE"""),"MELIPILLA")</f>
        <v>MELIPILLA</v>
      </c>
    </row>
    <row r="2011" spans="1:4">
      <c r="A2011" s="7">
        <f ca="1">IFERROR(__xludf.DUMMYFUNCTION("""COMPUTED_VALUE"""),44105)</f>
        <v>44105</v>
      </c>
      <c r="B2011" s="6" t="str">
        <f ca="1">IFERROR(__xludf.DUMMYFUNCTION("""COMPUTED_VALUE"""),"-33.684004,-71.194775")</f>
        <v>-33.684004,-71.194775</v>
      </c>
      <c r="C2011" s="6" t="str">
        <f ca="1">IFERROR(__xludf.DUMMYFUNCTION("""COMPUTED_VALUE"""),"CAYETANO DONYZETTI 312")</f>
        <v>CAYETANO DONYZETTI 312</v>
      </c>
      <c r="D2011" s="6" t="str">
        <f ca="1">IFERROR(__xludf.DUMMYFUNCTION("""COMPUTED_VALUE"""),"MELIPILLA")</f>
        <v>MELIPILLA</v>
      </c>
    </row>
    <row r="2012" spans="1:4">
      <c r="A2012" s="7">
        <f ca="1">IFERROR(__xludf.DUMMYFUNCTION("""COMPUTED_VALUE"""),44105)</f>
        <v>44105</v>
      </c>
      <c r="B2012" s="6" t="str">
        <f ca="1">IFERROR(__xludf.DUMMYFUNCTION("""COMPUTED_VALUE"""),"-33.722247,-71.355345")</f>
        <v>-33.722247,-71.355345</v>
      </c>
      <c r="C2012" s="6" t="str">
        <f ca="1">IFERROR(__xludf.DUMMYFUNCTION("""COMPUTED_VALUE"""),"SECTOR RINCONADA DE HUECHUN BAJO 66")</f>
        <v>SECTOR RINCONADA DE HUECHUN BAJO 66</v>
      </c>
      <c r="D2012" s="6" t="str">
        <f ca="1">IFERROR(__xludf.DUMMYFUNCTION("""COMPUTED_VALUE"""),"MELIPILLA")</f>
        <v>MELIPILLA</v>
      </c>
    </row>
    <row r="2013" spans="1:4">
      <c r="A2013" s="7">
        <f ca="1">IFERROR(__xludf.DUMMYFUNCTION("""COMPUTED_VALUE"""),44106)</f>
        <v>44106</v>
      </c>
      <c r="B2013" s="8" t="str">
        <f ca="1">IFERROR(__xludf.DUMMYFUNCTION("""COMPUTED_VALUE"""),"-33.650548,-71.147759")</f>
        <v>-33.650548,-71.147759</v>
      </c>
      <c r="C2013" s="6" t="str">
        <f ca="1">IFERROR(__xludf.DUMMYFUNCTION("""COMPUTED_VALUE"""),"PASAJE JUANA ALVAREZ 119 B ")</f>
        <v xml:space="preserve">PASAJE JUANA ALVAREZ 119 B </v>
      </c>
      <c r="D2013" s="6" t="str">
        <f ca="1">IFERROR(__xludf.DUMMYFUNCTION("""COMPUTED_VALUE"""),"MELIPILLA")</f>
        <v>MELIPILLA</v>
      </c>
    </row>
    <row r="2014" spans="1:4">
      <c r="A2014" s="7">
        <f ca="1">IFERROR(__xludf.DUMMYFUNCTION("""COMPUTED_VALUE"""),44106)</f>
        <v>44106</v>
      </c>
      <c r="B2014" s="8" t="str">
        <f ca="1">IFERROR(__xludf.DUMMYFUNCTION("""COMPUTED_VALUE"""),"-33.676870,- 71.234239")</f>
        <v>-33.676870,- 71.234239</v>
      </c>
      <c r="C2014" s="6" t="str">
        <f ca="1">IFERROR(__xludf.DUMMYFUNCTION("""COMPUTED_VALUE"""),"PINTOR JOSE PEROTTI 62")</f>
        <v>PINTOR JOSE PEROTTI 62</v>
      </c>
      <c r="D2014" s="6" t="str">
        <f ca="1">IFERROR(__xludf.DUMMYFUNCTION("""COMPUTED_VALUE"""),"MELIPILLA")</f>
        <v>MELIPILLA</v>
      </c>
    </row>
    <row r="2015" spans="1:4">
      <c r="A2015" s="7">
        <f ca="1">IFERROR(__xludf.DUMMYFUNCTION("""COMPUTED_VALUE"""),44106)</f>
        <v>44106</v>
      </c>
      <c r="B2015" s="6" t="str">
        <f ca="1">IFERROR(__xludf.DUMMYFUNCTION("""COMPUTED_VALUE"""),"-33.292590 - 70.871440")</f>
        <v>-33.292590 - 70.871440</v>
      </c>
      <c r="C2015" s="6" t="str">
        <f ca="1">IFERROR(__xludf.DUMMYFUNCTION("""COMPUTED_VALUE"""),"LA FRONTERA 2162")</f>
        <v>LA FRONTERA 2162</v>
      </c>
      <c r="D2015" s="6" t="str">
        <f ca="1">IFERROR(__xludf.DUMMYFUNCTION("""COMPUTED_VALUE"""),"LAMPA")</f>
        <v>LAMPA</v>
      </c>
    </row>
    <row r="2016" spans="1:4">
      <c r="A2016" s="7">
        <f ca="1">IFERROR(__xludf.DUMMYFUNCTION("""COMPUTED_VALUE"""),44106)</f>
        <v>44106</v>
      </c>
      <c r="B2016" s="6" t="str">
        <f ca="1">IFERROR(__xludf.DUMMYFUNCTION("""COMPUTED_VALUE"""),"-33.279453 - 70.853820")</f>
        <v>-33.279453 - 70.853820</v>
      </c>
      <c r="C2016" s="6" t="str">
        <f ca="1">IFERROR(__xludf.DUMMYFUNCTION("""COMPUTED_VALUE"""),"INTERPROVINCIAL C/2 SIT/11")</f>
        <v>INTERPROVINCIAL C/2 SIT/11</v>
      </c>
      <c r="D2016" s="6" t="str">
        <f ca="1">IFERROR(__xludf.DUMMYFUNCTION("""COMPUTED_VALUE"""),"LAMPA")</f>
        <v>LAMPA</v>
      </c>
    </row>
    <row r="2017" spans="1:4">
      <c r="A2017" s="7">
        <f ca="1">IFERROR(__xludf.DUMMYFUNCTION("""COMPUTED_VALUE"""),44106)</f>
        <v>44106</v>
      </c>
      <c r="B2017" s="6" t="str">
        <f ca="1">IFERROR(__xludf.DUMMYFUNCTION("""COMPUTED_VALUE"""),"-33.2480854 - 70.874809")</f>
        <v>-33.2480854 - 70.874809</v>
      </c>
      <c r="C2017" s="6" t="str">
        <f ca="1">IFERROR(__xludf.DUMMYFUNCTION("""COMPUTED_VALUE"""),"BALMACEDA 1351 ")</f>
        <v xml:space="preserve">BALMACEDA 1351 </v>
      </c>
      <c r="D2017" s="6" t="str">
        <f ca="1">IFERROR(__xludf.DUMMYFUNCTION("""COMPUTED_VALUE"""),"LAMPA")</f>
        <v>LAMPA</v>
      </c>
    </row>
    <row r="2018" spans="1:4">
      <c r="A2018" s="7">
        <f ca="1">IFERROR(__xludf.DUMMYFUNCTION("""COMPUTED_VALUE"""),44109)</f>
        <v>44109</v>
      </c>
      <c r="B2018" s="8" t="str">
        <f ca="1">IFERROR(__xludf.DUMMYFUNCTION("""COMPUTED_VALUE"""),"-33.677517,-71.187146")</f>
        <v>-33.677517,-71.187146</v>
      </c>
      <c r="C2018" s="6" t="str">
        <f ca="1">IFERROR(__xludf.DUMMYFUNCTION("""COMPUTED_VALUE"""),"LA RINCONADA 1144")</f>
        <v>LA RINCONADA 1144</v>
      </c>
      <c r="D2018" s="6" t="str">
        <f ca="1">IFERROR(__xludf.DUMMYFUNCTION("""COMPUTED_VALUE"""),"MELIPILLA")</f>
        <v>MELIPILLA</v>
      </c>
    </row>
    <row r="2019" spans="1:4">
      <c r="A2019" s="7">
        <f ca="1">IFERROR(__xludf.DUMMYFUNCTION("""COMPUTED_VALUE"""),44109)</f>
        <v>44109</v>
      </c>
      <c r="B2019" s="6" t="str">
        <f ca="1">IFERROR(__xludf.DUMMYFUNCTION("""COMPUTED_VALUE"""),"-33.5993655-70.8541111")</f>
        <v>-33.5993655-70.8541111</v>
      </c>
      <c r="C2019" s="6" t="str">
        <f ca="1">IFERROR(__xludf.DUMMYFUNCTION("""COMPUTED_VALUE"""),"LA CAMPANA 503")</f>
        <v>LA CAMPANA 503</v>
      </c>
      <c r="D2019" s="6" t="str">
        <f ca="1">IFERROR(__xludf.DUMMYFUNCTION("""COMPUTED_VALUE"""),"PEÑAFLOR")</f>
        <v>PEÑAFLOR</v>
      </c>
    </row>
    <row r="2020" spans="1:4">
      <c r="A2020" s="7">
        <f ca="1">IFERROR(__xludf.DUMMYFUNCTION("""COMPUTED_VALUE"""),44109)</f>
        <v>44109</v>
      </c>
      <c r="B2020" s="6" t="str">
        <f ca="1">IFERROR(__xludf.DUMMYFUNCTION("""COMPUTED_VALUE"""),"-33.295925 - 70.870146")</f>
        <v>-33.295925 - 70.870146</v>
      </c>
      <c r="C2020" s="6" t="str">
        <f ca="1">IFERROR(__xludf.DUMMYFUNCTION("""COMPUTED_VALUE"""),"PASAJE LAS MARAVILLAS PONIENTE 2499")</f>
        <v>PASAJE LAS MARAVILLAS PONIENTE 2499</v>
      </c>
      <c r="D2020" s="6" t="str">
        <f ca="1">IFERROR(__xludf.DUMMYFUNCTION("""COMPUTED_VALUE"""),"LAMPA")</f>
        <v>LAMPA</v>
      </c>
    </row>
    <row r="2021" spans="1:4">
      <c r="A2021" s="7">
        <f ca="1">IFERROR(__xludf.DUMMYFUNCTION("""COMPUTED_VALUE"""),44110)</f>
        <v>44110</v>
      </c>
      <c r="B2021" s="6" t="str">
        <f ca="1">IFERROR(__xludf.DUMMYFUNCTION("""COMPUTED_VALUE"""),"-33.5982749-70.8868800")</f>
        <v>-33.5982749-70.8868800</v>
      </c>
      <c r="C2021" s="6" t="str">
        <f ca="1">IFERROR(__xludf.DUMMYFUNCTION("""COMPUTED_VALUE"""),"DOCE DE SEPTIEMBRE 3242")</f>
        <v>DOCE DE SEPTIEMBRE 3242</v>
      </c>
      <c r="D2021" s="6" t="str">
        <f ca="1">IFERROR(__xludf.DUMMYFUNCTION("""COMPUTED_VALUE"""),"PEÑAFLOR")</f>
        <v>PEÑAFLOR</v>
      </c>
    </row>
    <row r="2022" spans="1:4">
      <c r="A2022" s="7">
        <f ca="1">IFERROR(__xludf.DUMMYFUNCTION("""COMPUTED_VALUE"""),44110)</f>
        <v>44110</v>
      </c>
      <c r="B2022" s="6" t="str">
        <f ca="1">IFERROR(__xludf.DUMMYFUNCTION("""COMPUTED_VALUE"""),"-33.234979 - 70.774898")</f>
        <v>-33.234979 - 70.774898</v>
      </c>
      <c r="C2022" s="6" t="str">
        <f ca="1">IFERROR(__xludf.DUMMYFUNCTION("""COMPUTED_VALUE"""),"SERVIDUMBRE STA SARA LOTE 13 VIVIENDA 2")</f>
        <v>SERVIDUMBRE STA SARA LOTE 13 VIVIENDA 2</v>
      </c>
      <c r="D2022" s="6" t="str">
        <f ca="1">IFERROR(__xludf.DUMMYFUNCTION("""COMPUTED_VALUE"""),"LAMPA")</f>
        <v>LAMPA</v>
      </c>
    </row>
    <row r="2023" spans="1:4">
      <c r="A2023" s="7">
        <f ca="1">IFERROR(__xludf.DUMMYFUNCTION("""COMPUTED_VALUE"""),44110)</f>
        <v>44110</v>
      </c>
      <c r="B2023" s="6" t="str">
        <f ca="1">IFERROR(__xludf.DUMMYFUNCTION("""COMPUTED_VALUE"""),"-33.161086 - 70.887170")</f>
        <v>-33.161086 - 70.887170</v>
      </c>
      <c r="C2023" s="6" t="str">
        <f ca="1">IFERROR(__xludf.DUMMYFUNCTION("""COMPUTED_VALUE"""),"RIVERA DEL RIO (PLAZUELA POLPAICO SITIO 6)")</f>
        <v>RIVERA DEL RIO (PLAZUELA POLPAICO SITIO 6)</v>
      </c>
      <c r="D2023" s="6" t="str">
        <f ca="1">IFERROR(__xludf.DUMMYFUNCTION("""COMPUTED_VALUE"""),"TIL TIL")</f>
        <v>TIL TIL</v>
      </c>
    </row>
    <row r="2024" spans="1:4">
      <c r="A2024" s="7">
        <f ca="1">IFERROR(__xludf.DUMMYFUNCTION("""COMPUTED_VALUE"""),44111)</f>
        <v>44111</v>
      </c>
      <c r="B2024" s="8" t="str">
        <f ca="1">IFERROR(__xludf.DUMMYFUNCTION("""COMPUTED_VALUE"""),"-33.585604,-70.815854")</f>
        <v>-33.585604,-70.815854</v>
      </c>
      <c r="C2024" s="6" t="str">
        <f ca="1">IFERROR(__xludf.DUMMYFUNCTION("""COMPUTED_VALUE"""),"PARCELA 10 HUALLE 21-22")</f>
        <v>PARCELA 10 HUALLE 21-22</v>
      </c>
      <c r="D2024" s="6" t="str">
        <f ca="1">IFERROR(__xludf.DUMMYFUNCTION("""COMPUTED_VALUE"""),"PADRE HURTADO")</f>
        <v>PADRE HURTADO</v>
      </c>
    </row>
    <row r="2025" spans="1:4">
      <c r="A2025" s="7">
        <f ca="1">IFERROR(__xludf.DUMMYFUNCTION("""COMPUTED_VALUE"""),44111)</f>
        <v>44111</v>
      </c>
      <c r="B2025" s="8" t="str">
        <f ca="1">IFERROR(__xludf.DUMMYFUNCTION("""COMPUTED_VALUE"""),"-33.607645,-71.239125")</f>
        <v>-33.607645,-71.239125</v>
      </c>
      <c r="C2025" s="6" t="str">
        <f ca="1">IFERROR(__xludf.DUMMYFUNCTION("""COMPUTED_VALUE"""),"EL TRIGAL S/N ")</f>
        <v xml:space="preserve">EL TRIGAL S/N </v>
      </c>
      <c r="D2025" s="6" t="str">
        <f ca="1">IFERROR(__xludf.DUMMYFUNCTION("""COMPUTED_VALUE"""),"MELIPILLA")</f>
        <v>MELIPILLA</v>
      </c>
    </row>
    <row r="2026" spans="1:4">
      <c r="A2026" s="7">
        <f ca="1">IFERROR(__xludf.DUMMYFUNCTION("""COMPUTED_VALUE"""),44111)</f>
        <v>44111</v>
      </c>
      <c r="B2026" s="6" t="str">
        <f ca="1">IFERROR(__xludf.DUMMYFUNCTION("""COMPUTED_VALUE"""),"-33.818190,-71.270102")</f>
        <v>-33.818190,-71.270102</v>
      </c>
      <c r="C2026" s="6" t="str">
        <f ca="1">IFERROR(__xludf.DUMMYFUNCTION("""COMPUTED_VALUE"""),"SECTOR CULIPRAN S/N")</f>
        <v>SECTOR CULIPRAN S/N</v>
      </c>
      <c r="D2026" s="6" t="str">
        <f ca="1">IFERROR(__xludf.DUMMYFUNCTION("""COMPUTED_VALUE"""),"MELIPILLA")</f>
        <v>MELIPILLA</v>
      </c>
    </row>
    <row r="2027" spans="1:4">
      <c r="A2027" s="7">
        <f ca="1">IFERROR(__xludf.DUMMYFUNCTION("""COMPUTED_VALUE"""),44111)</f>
        <v>44111</v>
      </c>
      <c r="B2027" s="6" t="str">
        <f ca="1">IFERROR(__xludf.DUMMYFUNCTION("""COMPUTED_VALUE"""),"-33.689473,-71.211020")</f>
        <v>-33.689473,-71.211020</v>
      </c>
      <c r="C2027" s="6" t="str">
        <f ca="1">IFERROR(__xludf.DUMMYFUNCTION("""COMPUTED_VALUE"""),"FUENZALIDA 719 C/7")</f>
        <v>FUENZALIDA 719 C/7</v>
      </c>
      <c r="D2027" s="6" t="str">
        <f ca="1">IFERROR(__xludf.DUMMYFUNCTION("""COMPUTED_VALUE"""),"MELIPILLA")</f>
        <v>MELIPILLA</v>
      </c>
    </row>
    <row r="2028" spans="1:4">
      <c r="A2028" s="7">
        <f ca="1">IFERROR(__xludf.DUMMYFUNCTION("""COMPUTED_VALUE"""),44111)</f>
        <v>44111</v>
      </c>
      <c r="B2028" s="6" t="str">
        <f ca="1">IFERROR(__xludf.DUMMYFUNCTION("""COMPUTED_VALUE"""),"-33.298589 - 70.884666")</f>
        <v>-33.298589 - 70.884666</v>
      </c>
      <c r="C2028" s="6" t="str">
        <f ca="1">IFERROR(__xludf.DUMMYFUNCTION("""COMPUTED_VALUE"""),"CAMINO LA HACIENDA ALTA 2597")</f>
        <v>CAMINO LA HACIENDA ALTA 2597</v>
      </c>
      <c r="D2028" s="6" t="str">
        <f ca="1">IFERROR(__xludf.DUMMYFUNCTION("""COMPUTED_VALUE"""),"LAMPA")</f>
        <v>LAMPA</v>
      </c>
    </row>
    <row r="2029" spans="1:4">
      <c r="A2029" s="7">
        <f ca="1">IFERROR(__xludf.DUMMYFUNCTION("""COMPUTED_VALUE"""),44111)</f>
        <v>44111</v>
      </c>
      <c r="B2029" s="6" t="str">
        <f ca="1">IFERROR(__xludf.DUMMYFUNCTION("""COMPUTED_VALUE"""),"-33.299566 - 70.879753")</f>
        <v>-33.299566 - 70.879753</v>
      </c>
      <c r="C2029" s="6" t="str">
        <f ca="1">IFERROR(__xludf.DUMMYFUNCTION("""COMPUTED_VALUE"""),"CAM LAS FLORES 1008 C/137 ")</f>
        <v xml:space="preserve">CAM LAS FLORES 1008 C/137 </v>
      </c>
      <c r="D2029" s="6" t="str">
        <f ca="1">IFERROR(__xludf.DUMMYFUNCTION("""COMPUTED_VALUE"""),"LAMPA")</f>
        <v>LAMPA</v>
      </c>
    </row>
    <row r="2030" spans="1:4">
      <c r="A2030" s="7">
        <f ca="1">IFERROR(__xludf.DUMMYFUNCTION("""COMPUTED_VALUE"""),44112)</f>
        <v>44112</v>
      </c>
      <c r="B2030" s="8" t="str">
        <f ca="1">IFERROR(__xludf.DUMMYFUNCTION("""COMPUTED_VALUE"""),"-33.760963,-71.334514")</f>
        <v>-33.760963,-71.334514</v>
      </c>
      <c r="C2030" s="6" t="str">
        <f ca="1">IFERROR(__xludf.DUMMYFUNCTION("""COMPUTED_VALUE"""),"CODIGUA 4698")</f>
        <v>CODIGUA 4698</v>
      </c>
      <c r="D2030" s="6" t="str">
        <f ca="1">IFERROR(__xludf.DUMMYFUNCTION("""COMPUTED_VALUE"""),"MELIPILLA")</f>
        <v>MELIPILLA</v>
      </c>
    </row>
    <row r="2031" spans="1:4">
      <c r="A2031" s="7">
        <f ca="1">IFERROR(__xludf.DUMMYFUNCTION("""COMPUTED_VALUE"""),44113)</f>
        <v>44113</v>
      </c>
      <c r="B2031" s="6" t="str">
        <f ca="1">IFERROR(__xludf.DUMMYFUNCTION("""COMPUTED_VALUE"""),"-33.282625 - 70.880679")</f>
        <v>-33.282625 - 70.880679</v>
      </c>
      <c r="C2031" s="6" t="str">
        <f ca="1">IFERROR(__xludf.DUMMYFUNCTION("""COMPUTED_VALUE"""),"VALLE DE CALDERA 752")</f>
        <v>VALLE DE CALDERA 752</v>
      </c>
      <c r="D2031" s="6" t="str">
        <f ca="1">IFERROR(__xludf.DUMMYFUNCTION("""COMPUTED_VALUE"""),"LAMPA")</f>
        <v>LAMPA</v>
      </c>
    </row>
    <row r="2032" spans="1:4">
      <c r="A2032" s="7">
        <f ca="1">IFERROR(__xludf.DUMMYFUNCTION("""COMPUTED_VALUE"""),44117)</f>
        <v>44117</v>
      </c>
      <c r="B2032" s="6" t="str">
        <f ca="1">IFERROR(__xludf.DUMMYFUNCTION("""COMPUTED_VALUE"""),"-33.161086 - 70-887170")</f>
        <v>-33.161086 - 70-887170</v>
      </c>
      <c r="C2032" s="6" t="str">
        <f ca="1">IFERROR(__xludf.DUMMYFUNCTION("""COMPUTED_VALUE"""),"RIVERA DEL RIO (PLAZUELA POLPAICO SITIO 6)")</f>
        <v>RIVERA DEL RIO (PLAZUELA POLPAICO SITIO 6)</v>
      </c>
      <c r="D2032" s="6" t="str">
        <f ca="1">IFERROR(__xludf.DUMMYFUNCTION("""COMPUTED_VALUE"""),"TIL TIL")</f>
        <v>TIL TIL</v>
      </c>
    </row>
    <row r="2033" spans="1:4">
      <c r="A2033" s="7">
        <f ca="1">IFERROR(__xludf.DUMMYFUNCTION("""COMPUTED_VALUE"""),44120)</f>
        <v>44120</v>
      </c>
      <c r="B2033" s="8" t="str">
        <f ca="1">IFERROR(__xludf.DUMMYFUNCTION("""COMPUTED_VALUE"""),"-35.577774,-70.982731")</f>
        <v>-35.577774,-70.982731</v>
      </c>
      <c r="C2033" s="6" t="str">
        <f ca="1">IFERROR(__xludf.DUMMYFUNCTION("""COMPUTED_VALUE"""),"EL PIMIENTO MALLARAUCO")</f>
        <v>EL PIMIENTO MALLARAUCO</v>
      </c>
      <c r="D2033" s="6" t="str">
        <f ca="1">IFERROR(__xludf.DUMMYFUNCTION("""COMPUTED_VALUE"""),"MELIPILLA")</f>
        <v>MELIPILLA</v>
      </c>
    </row>
    <row r="2034" spans="1:4">
      <c r="A2034" s="7">
        <f ca="1">IFERROR(__xludf.DUMMYFUNCTION("""COMPUTED_VALUE"""),44120)</f>
        <v>44120</v>
      </c>
      <c r="B2034" s="8" t="str">
        <f ca="1">IFERROR(__xludf.DUMMYFUNCTION("""COMPUTED_VALUE"""),"-33.693849,-71.226170")</f>
        <v>-33.693849,-71.226170</v>
      </c>
      <c r="C2034" s="6" t="str">
        <f ca="1">IFERROR(__xludf.DUMMYFUNCTION("""COMPUTED_VALUE"""),"LOS ZORZALES 1559")</f>
        <v>LOS ZORZALES 1559</v>
      </c>
      <c r="D2034" s="6" t="str">
        <f ca="1">IFERROR(__xludf.DUMMYFUNCTION("""COMPUTED_VALUE"""),"MELIPILLA")</f>
        <v>MELIPILLA</v>
      </c>
    </row>
    <row r="2035" spans="1:4">
      <c r="A2035" s="7">
        <f ca="1">IFERROR(__xludf.DUMMYFUNCTION("""COMPUTED_VALUE"""),44120)</f>
        <v>44120</v>
      </c>
      <c r="B2035" s="8" t="str">
        <f ca="1">IFERROR(__xludf.DUMMYFUNCTION("""COMPUTED_VALUE"""),"-33.606857,-71.224499")</f>
        <v>-33.606857,-71.224499</v>
      </c>
      <c r="C2035" s="6" t="str">
        <f ca="1">IFERROR(__xludf.DUMMYFUNCTION("""COMPUTED_VALUE"""),"EL TRIGAL PCSS LT-A")</f>
        <v>EL TRIGAL PCSS LT-A</v>
      </c>
      <c r="D2035" s="6" t="str">
        <f ca="1">IFERROR(__xludf.DUMMYFUNCTION("""COMPUTED_VALUE"""),"MELIPILLA")</f>
        <v>MELIPILLA</v>
      </c>
    </row>
    <row r="2036" spans="1:4">
      <c r="A2036" s="7">
        <f ca="1">IFERROR(__xludf.DUMMYFUNCTION("""COMPUTED_VALUE"""),44120)</f>
        <v>44120</v>
      </c>
      <c r="B2036" s="8" t="str">
        <f ca="1">IFERROR(__xludf.DUMMYFUNCTION("""COMPUTED_VALUE"""),"-33.775184,-71.349542")</f>
        <v>-33.775184,-71.349542</v>
      </c>
      <c r="C2036" s="6" t="str">
        <f ca="1">IFERROR(__xludf.DUMMYFUNCTION("""COMPUTED_VALUE"""),"SITIO #4 SAN VALENTÍN CODIGUA")</f>
        <v>SITIO #4 SAN VALENTÍN CODIGUA</v>
      </c>
      <c r="D2036" s="6" t="str">
        <f ca="1">IFERROR(__xludf.DUMMYFUNCTION("""COMPUTED_VALUE"""),"MELIPILLA")</f>
        <v>MELIPILLA</v>
      </c>
    </row>
    <row r="2037" spans="1:4">
      <c r="A2037" s="7">
        <f ca="1">IFERROR(__xludf.DUMMYFUNCTION("""COMPUTED_VALUE"""),44120)</f>
        <v>44120</v>
      </c>
      <c r="B2037" s="8" t="str">
        <f ca="1">IFERROR(__xludf.DUMMYFUNCTION("""COMPUTED_VALUE"""),"-33.683522,-71.227322")</f>
        <v>-33.683522,-71.227322</v>
      </c>
      <c r="C2037" s="6" t="str">
        <f ca="1">IFERROR(__xludf.DUMMYFUNCTION("""COMPUTED_VALUE"""),"LAGO CHAPO #1671")</f>
        <v>LAGO CHAPO #1671</v>
      </c>
      <c r="D2037" s="6" t="str">
        <f ca="1">IFERROR(__xludf.DUMMYFUNCTION("""COMPUTED_VALUE"""),"MELIPILLA")</f>
        <v>MELIPILLA</v>
      </c>
    </row>
    <row r="2038" spans="1:4">
      <c r="A2038" s="7">
        <f ca="1">IFERROR(__xludf.DUMMYFUNCTION("""COMPUTED_VALUE"""),44123)</f>
        <v>44123</v>
      </c>
      <c r="B2038" s="8" t="str">
        <f ca="1">IFERROR(__xludf.DUMMYFUNCTION("""COMPUTED_VALUE"""),"-33.678688,-71.235207")</f>
        <v>-33.678688,-71.235207</v>
      </c>
      <c r="C2038" s="6" t="str">
        <f ca="1">IFERROR(__xludf.DUMMYFUNCTION("""COMPUTED_VALUE"""),"PINTOR JOSE PEROTTI 256")</f>
        <v>PINTOR JOSE PEROTTI 256</v>
      </c>
      <c r="D2038" s="6" t="str">
        <f ca="1">IFERROR(__xludf.DUMMYFUNCTION("""COMPUTED_VALUE"""),"MELIPILLA")</f>
        <v>MELIPILLA</v>
      </c>
    </row>
    <row r="2039" spans="1:4">
      <c r="A2039" s="7">
        <f ca="1">IFERROR(__xludf.DUMMYFUNCTION("""COMPUTED_VALUE"""),44124)</f>
        <v>44124</v>
      </c>
      <c r="B2039" s="6" t="str">
        <f ca="1">IFERROR(__xludf.DUMMYFUNCTION("""COMPUTED_VALUE"""),"-33.241590 - 70.877551")</f>
        <v>-33.241590 - 70.877551</v>
      </c>
      <c r="C2039" s="6" t="str">
        <f ca="1">IFERROR(__xludf.DUMMYFUNCTION("""COMPUTED_VALUE"""),"LA BANDERA 09 ")</f>
        <v xml:space="preserve">LA BANDERA 09 </v>
      </c>
      <c r="D2039" s="6" t="str">
        <f ca="1">IFERROR(__xludf.DUMMYFUNCTION("""COMPUTED_VALUE"""),"LAMPA")</f>
        <v>LAMPA</v>
      </c>
    </row>
    <row r="2040" spans="1:4">
      <c r="A2040" s="7">
        <f ca="1">IFERROR(__xludf.DUMMYFUNCTION("""COMPUTED_VALUE"""),44124)</f>
        <v>44124</v>
      </c>
      <c r="B2040" s="6" t="str">
        <f ca="1">IFERROR(__xludf.DUMMYFUNCTION("""COMPUTED_VALUE"""),"-33.285111 - 70.669853")</f>
        <v>-33.285111 - 70.669853</v>
      </c>
      <c r="C2040" s="6" t="str">
        <f ca="1">IFERROR(__xludf.DUMMYFUNCTION("""COMPUTED_VALUE"""),"AV CHICUREO 2900, PARCELA 6B ")</f>
        <v xml:space="preserve">AV CHICUREO 2900, PARCELA 6B </v>
      </c>
      <c r="D2040" s="6" t="str">
        <f ca="1">IFERROR(__xludf.DUMMYFUNCTION("""COMPUTED_VALUE"""),"COLINA")</f>
        <v>COLINA</v>
      </c>
    </row>
    <row r="2041" spans="1:4">
      <c r="A2041" s="7">
        <f ca="1">IFERROR(__xludf.DUMMYFUNCTION("""COMPUTED_VALUE"""),44124)</f>
        <v>44124</v>
      </c>
      <c r="B2041" s="6" t="str">
        <f ca="1">IFERROR(__xludf.DUMMYFUNCTION("""COMPUTED_VALUE"""),"-33.285111 - 70.669853")</f>
        <v>-33.285111 - 70.669853</v>
      </c>
      <c r="C2041" s="6" t="str">
        <f ca="1">IFERROR(__xludf.DUMMYFUNCTION("""COMPUTED_VALUE"""),"AV CHICUREO 2900, PARCELA 6B ")</f>
        <v xml:space="preserve">AV CHICUREO 2900, PARCELA 6B </v>
      </c>
      <c r="D2041" s="6" t="str">
        <f ca="1">IFERROR(__xludf.DUMMYFUNCTION("""COMPUTED_VALUE"""),"COLINA")</f>
        <v>COLINA</v>
      </c>
    </row>
    <row r="2042" spans="1:4">
      <c r="A2042" s="7">
        <f ca="1">IFERROR(__xludf.DUMMYFUNCTION("""COMPUTED_VALUE"""),44126)</f>
        <v>44126</v>
      </c>
      <c r="B2042" s="6" t="str">
        <f ca="1">IFERROR(__xludf.DUMMYFUNCTION("""COMPUTED_VALUE"""),"-33.233986 - 70.806784")</f>
        <v>-33.233986 - 70.806784</v>
      </c>
      <c r="C2042" s="6" t="str">
        <f ca="1">IFERROR(__xludf.DUMMYFUNCTION("""COMPUTED_VALUE"""),"PEDRO MONTT M/20 S/50 ")</f>
        <v xml:space="preserve">PEDRO MONTT M/20 S/50 </v>
      </c>
      <c r="D2042" s="6" t="str">
        <f ca="1">IFERROR(__xludf.DUMMYFUNCTION("""COMPUTED_VALUE"""),"LAMPA")</f>
        <v>LAMPA</v>
      </c>
    </row>
    <row r="2043" spans="1:4">
      <c r="A2043" s="7">
        <f ca="1">IFERROR(__xludf.DUMMYFUNCTION("""COMPUTED_VALUE"""),44126)</f>
        <v>44126</v>
      </c>
      <c r="B2043" s="6" t="str">
        <f ca="1">IFERROR(__xludf.DUMMYFUNCTION("""COMPUTED_VALUE"""),"-33218798 - 70.773473")</f>
        <v>-33218798 - 70.773473</v>
      </c>
      <c r="C2043" s="6" t="str">
        <f ca="1">IFERROR(__xludf.DUMMYFUNCTION("""COMPUTED_VALUE"""),"PARCELACION STA SARA SUB/34 LOTE A4")</f>
        <v>PARCELACION STA SARA SUB/34 LOTE A4</v>
      </c>
      <c r="D2043" s="6" t="str">
        <f ca="1">IFERROR(__xludf.DUMMYFUNCTION("""COMPUTED_VALUE"""),"LAMPA")</f>
        <v>LAMPA</v>
      </c>
    </row>
    <row r="2044" spans="1:4">
      <c r="A2044" s="7">
        <f ca="1">IFERROR(__xludf.DUMMYFUNCTION("""COMPUTED_VALUE"""),44127)</f>
        <v>44127</v>
      </c>
      <c r="B2044" s="6" t="str">
        <f ca="1">IFERROR(__xludf.DUMMYFUNCTION("""COMPUTED_VALUE"""),"-33.683927,-71.228277")</f>
        <v>-33.683927,-71.228277</v>
      </c>
      <c r="C2044" s="6" t="str">
        <f ca="1">IFERROR(__xludf.DUMMYFUNCTION("""COMPUTED_VALUE"""),"LAGO LLEU LLEU 1734")</f>
        <v>LAGO LLEU LLEU 1734</v>
      </c>
      <c r="D2044" s="6" t="str">
        <f ca="1">IFERROR(__xludf.DUMMYFUNCTION("""COMPUTED_VALUE"""),"MELIPILLA")</f>
        <v>MELIPILLA</v>
      </c>
    </row>
    <row r="2045" spans="1:4">
      <c r="A2045" s="7">
        <f ca="1">IFERROR(__xludf.DUMMYFUNCTION("""COMPUTED_VALUE"""),44127)</f>
        <v>44127</v>
      </c>
      <c r="B2045" s="6" t="str">
        <f ca="1">IFERROR(__xludf.DUMMYFUNCTION("""COMPUTED_VALUE"""),"-33.791189,-71.252292")</f>
        <v>-33.791189,-71.252292</v>
      </c>
      <c r="C2045" s="6" t="str">
        <f ca="1">IFERROR(__xludf.DUMMYFUNCTION("""COMPUTED_VALUE"""),"CULIPRAN 1 SITIO 21 CULIPRAN")</f>
        <v>CULIPRAN 1 SITIO 21 CULIPRAN</v>
      </c>
      <c r="D2045" s="6" t="str">
        <f ca="1">IFERROR(__xludf.DUMMYFUNCTION("""COMPUTED_VALUE"""),"MELIPILLA")</f>
        <v>MELIPILLA</v>
      </c>
    </row>
    <row r="2046" spans="1:4">
      <c r="A2046" s="7">
        <f ca="1">IFERROR(__xludf.DUMMYFUNCTION("""COMPUTED_VALUE"""),44127)</f>
        <v>44127</v>
      </c>
      <c r="B2046" s="6" t="str">
        <f ca="1">IFERROR(__xludf.DUMMYFUNCTION("""COMPUTED_VALUE"""),"-33.299606 - 70.880691")</f>
        <v>-33.299606 - 70.880691</v>
      </c>
      <c r="C2046" s="6" t="str">
        <f ca="1">IFERROR(__xludf.DUMMYFUNCTION("""COMPUTED_VALUE"""),"CAMINO LAS FLORES 1008 C/144")</f>
        <v>CAMINO LAS FLORES 1008 C/144</v>
      </c>
      <c r="D2046" s="6" t="str">
        <f ca="1">IFERROR(__xludf.DUMMYFUNCTION("""COMPUTED_VALUE"""),"LAMPA")</f>
        <v>LAMPA</v>
      </c>
    </row>
    <row r="2047" spans="1:4">
      <c r="A2047" s="7">
        <f ca="1">IFERROR(__xludf.DUMMYFUNCTION("""COMPUTED_VALUE"""),44127)</f>
        <v>44127</v>
      </c>
      <c r="B2047" s="6" t="str">
        <f ca="1">IFERROR(__xludf.DUMMYFUNCTION("""COMPUTED_VALUE"""),"-33.235649 - 70.774965")</f>
        <v>-33.235649 - 70.774965</v>
      </c>
      <c r="C2047" s="6" t="str">
        <f ca="1">IFERROR(__xludf.DUMMYFUNCTION("""COMPUTED_VALUE"""),"SERVIDUMBRE STA SARA LOTE 13-2")</f>
        <v>SERVIDUMBRE STA SARA LOTE 13-2</v>
      </c>
      <c r="D2047" s="6" t="str">
        <f ca="1">IFERROR(__xludf.DUMMYFUNCTION("""COMPUTED_VALUE"""),"LAMPA")</f>
        <v>LAMPA</v>
      </c>
    </row>
    <row r="2048" spans="1:4">
      <c r="A2048" s="7">
        <f ca="1">IFERROR(__xludf.DUMMYFUNCTION("""COMPUTED_VALUE"""),44128)</f>
        <v>44128</v>
      </c>
      <c r="B2048" s="6" t="str">
        <f ca="1">IFERROR(__xludf.DUMMYFUNCTION("""COMPUTED_VALUE"""),"-33.664147,-70.918503")</f>
        <v>-33.664147,-70.918503</v>
      </c>
      <c r="C2048" s="6" t="str">
        <f ca="1">IFERROR(__xludf.DUMMYFUNCTION("""COMPUTED_VALUE"""),"ALFEREZ REAL 1240 PASAJE")</f>
        <v>ALFEREZ REAL 1240 PASAJE</v>
      </c>
      <c r="D2048" s="6" t="str">
        <f ca="1">IFERROR(__xludf.DUMMYFUNCTION("""COMPUTED_VALUE"""),"TALAGANTE")</f>
        <v>TALAGANTE</v>
      </c>
    </row>
    <row r="2049" spans="1:4">
      <c r="A2049" s="7">
        <f ca="1">IFERROR(__xludf.DUMMYFUNCTION("""COMPUTED_VALUE"""),44128)</f>
        <v>44128</v>
      </c>
      <c r="B2049" s="6" t="str">
        <f ca="1">IFERROR(__xludf.DUMMYFUNCTION("""COMPUTED_VALUE"""),"-33.685141,-70.954026")</f>
        <v>-33.685141,-70.954026</v>
      </c>
      <c r="C2049" s="6" t="str">
        <f ca="1">IFERROR(__xludf.DUMMYFUNCTION("""COMPUTED_VALUE"""),"JOSE MANUEL BALMACEDA 121-P SANTA BERNARDITA")</f>
        <v>JOSE MANUEL BALMACEDA 121-P SANTA BERNARDITA</v>
      </c>
      <c r="D2049" s="6" t="str">
        <f ca="1">IFERROR(__xludf.DUMMYFUNCTION("""COMPUTED_VALUE"""),"TALAGANTE")</f>
        <v>TALAGANTE</v>
      </c>
    </row>
    <row r="2050" spans="1:4">
      <c r="A2050" s="7">
        <f ca="1">IFERROR(__xludf.DUMMYFUNCTION("""COMPUTED_VALUE"""),44128)</f>
        <v>44128</v>
      </c>
      <c r="B2050" s="6" t="str">
        <f ca="1">IFERROR(__xludf.DUMMYFUNCTION("""COMPUTED_VALUE"""),"-33.656296,-70.930259")</f>
        <v>-33.656296,-70.930259</v>
      </c>
      <c r="C2050" s="6" t="str">
        <f ca="1">IFERROR(__xludf.DUMMYFUNCTION("""COMPUTED_VALUE"""),"MERCEDES 874")</f>
        <v>MERCEDES 874</v>
      </c>
      <c r="D2050" s="6" t="str">
        <f ca="1">IFERROR(__xludf.DUMMYFUNCTION("""COMPUTED_VALUE"""),"TALAGANTE")</f>
        <v>TALAGANTE</v>
      </c>
    </row>
    <row r="2051" spans="1:4">
      <c r="A2051" s="7">
        <f ca="1">IFERROR(__xludf.DUMMYFUNCTION("""COMPUTED_VALUE"""),44131)</f>
        <v>44131</v>
      </c>
      <c r="B2051" s="6" t="str">
        <f ca="1">IFERROR(__xludf.DUMMYFUNCTION("""COMPUTED_VALUE"""),"-33.683232,-71.175705")</f>
        <v>-33.683232,-71.175705</v>
      </c>
      <c r="C2051" s="6" t="str">
        <f ca="1">IFERROR(__xludf.DUMMYFUNCTION("""COMPUTED_VALUE"""),"EL MAITEN S/N CV11 ")</f>
        <v xml:space="preserve">EL MAITEN S/N CV11 </v>
      </c>
      <c r="D2051" s="6" t="str">
        <f ca="1">IFERROR(__xludf.DUMMYFUNCTION("""COMPUTED_VALUE"""),"MELIPILLA")</f>
        <v>MELIPILLA</v>
      </c>
    </row>
    <row r="2052" spans="1:4">
      <c r="A2052" s="7">
        <f ca="1">IFERROR(__xludf.DUMMYFUNCTION("""COMPUTED_VALUE"""),44131)</f>
        <v>44131</v>
      </c>
      <c r="B2052" s="6" t="str">
        <f ca="1">IFERROR(__xludf.DUMMYFUNCTION("""COMPUTED_VALUE"""),"-33.721808,-71.209031")</f>
        <v>-33.721808,-71.209031</v>
      </c>
      <c r="C2052" s="6" t="str">
        <f ca="1">IFERROR(__xludf.DUMMYFUNCTION("""COMPUTED_VALUE"""),"SECTOR SANTA ROSA S/N -CV18 CHOCALAN")</f>
        <v>SECTOR SANTA ROSA S/N -CV18 CHOCALAN</v>
      </c>
      <c r="D2052" s="6" t="str">
        <f ca="1">IFERROR(__xludf.DUMMYFUNCTION("""COMPUTED_VALUE"""),"MELIPILLA")</f>
        <v>MELIPILLA</v>
      </c>
    </row>
    <row r="2053" spans="1:4">
      <c r="A2053" s="7">
        <f ca="1">IFERROR(__xludf.DUMMYFUNCTION("""COMPUTED_VALUE"""),44132)</f>
        <v>44132</v>
      </c>
      <c r="B2053" s="6" t="str">
        <f ca="1">IFERROR(__xludf.DUMMYFUNCTION("""COMPUTED_VALUE"""),"-33.203496 - 70.686046")</f>
        <v>-33.203496 - 70.686046</v>
      </c>
      <c r="C2053" s="6" t="str">
        <f ca="1">IFERROR(__xludf.DUMMYFUNCTION("""COMPUTED_VALUE"""),"PJE LA TRILLA 0128 ")</f>
        <v xml:space="preserve">PJE LA TRILLA 0128 </v>
      </c>
      <c r="D2053" s="6" t="str">
        <f ca="1">IFERROR(__xludf.DUMMYFUNCTION("""COMPUTED_VALUE"""),"COLINA")</f>
        <v>COLINA</v>
      </c>
    </row>
    <row r="2054" spans="1:4">
      <c r="A2054" s="7">
        <f ca="1">IFERROR(__xludf.DUMMYFUNCTION("""COMPUTED_VALUE"""),44132)</f>
        <v>44132</v>
      </c>
      <c r="B2054" s="6" t="str">
        <f ca="1">IFERROR(__xludf.DUMMYFUNCTION("""COMPUTED_VALUE"""),"-33.213423 - 70.807555")</f>
        <v>-33.213423 - 70.807555</v>
      </c>
      <c r="C2054" s="6" t="str">
        <f ca="1">IFERROR(__xludf.DUMMYFUNCTION("""COMPUTED_VALUE"""),"CAMINO SERVIDUMBRE S/N PARC 6 SECTOR C ")</f>
        <v xml:space="preserve">CAMINO SERVIDUMBRE S/N PARC 6 SECTOR C </v>
      </c>
      <c r="D2054" s="6" t="str">
        <f ca="1">IFERROR(__xludf.DUMMYFUNCTION("""COMPUTED_VALUE"""),"LAMPA")</f>
        <v>LAMPA</v>
      </c>
    </row>
    <row r="2055" spans="1:4">
      <c r="A2055" s="7">
        <f ca="1">IFERROR(__xludf.DUMMYFUNCTION("""COMPUTED_VALUE"""),44133)</f>
        <v>44133</v>
      </c>
      <c r="B2055" s="6" t="str">
        <f ca="1">IFERROR(__xludf.DUMMYFUNCTION("""COMPUTED_VALUE"""),"-33.721904,71.209873")</f>
        <v>-33.721904,71.209873</v>
      </c>
      <c r="C2055" s="6" t="str">
        <f ca="1">IFERROR(__xludf.DUMMYFUNCTION("""COMPUTED_VALUE"""),"SECTOR SANTA ROSA S/N -CV25 CHOCALAN")</f>
        <v>SECTOR SANTA ROSA S/N -CV25 CHOCALAN</v>
      </c>
      <c r="D2055" s="6" t="str">
        <f ca="1">IFERROR(__xludf.DUMMYFUNCTION("""COMPUTED_VALUE"""),"MELIPILLA")</f>
        <v>MELIPILLA</v>
      </c>
    </row>
    <row r="2056" spans="1:4">
      <c r="A2056" s="7">
        <f ca="1">IFERROR(__xludf.DUMMYFUNCTION("""COMPUTED_VALUE"""),44133)</f>
        <v>44133</v>
      </c>
      <c r="B2056" s="6" t="str">
        <f ca="1">IFERROR(__xludf.DUMMYFUNCTION("""COMPUTED_VALUE"""),"-33.687586,-71.196527")</f>
        <v>-33.687586,-71.196527</v>
      </c>
      <c r="C2056" s="6" t="str">
        <f ca="1">IFERROR(__xludf.DUMMYFUNCTION("""COMPUTED_VALUE"""),"SECTOR PARCELA EL ALTO 16 EL ALTO ")</f>
        <v xml:space="preserve">SECTOR PARCELA EL ALTO 16 EL ALTO </v>
      </c>
      <c r="D2056" s="6" t="str">
        <f ca="1">IFERROR(__xludf.DUMMYFUNCTION("""COMPUTED_VALUE"""),"MELIPILLA")</f>
        <v>MELIPILLA</v>
      </c>
    </row>
    <row r="2057" spans="1:4">
      <c r="A2057" s="7">
        <f ca="1">IFERROR(__xludf.DUMMYFUNCTION("""COMPUTED_VALUE"""),44134)</f>
        <v>44134</v>
      </c>
      <c r="B2057" s="6" t="str">
        <f ca="1">IFERROR(__xludf.DUMMYFUNCTION("""COMPUTED_VALUE"""),"-33.742296,-71.206378")</f>
        <v>-33.742296,-71.206378</v>
      </c>
      <c r="C2057" s="6" t="str">
        <f ca="1">IFERROR(__xludf.DUMMYFUNCTION("""COMPUTED_VALUE"""),"CHOCALAN S/N PAR -1 KM 23 RUTAG-54 LOTE 6")</f>
        <v>CHOCALAN S/N PAR -1 KM 23 RUTAG-54 LOTE 6</v>
      </c>
      <c r="D2057" s="6" t="str">
        <f ca="1">IFERROR(__xludf.DUMMYFUNCTION("""COMPUTED_VALUE"""),"MELIPILLA")</f>
        <v>MELIPILLA</v>
      </c>
    </row>
    <row r="2058" spans="1:4">
      <c r="A2058" s="7">
        <f ca="1">IFERROR(__xludf.DUMMYFUNCTION("""COMPUTED_VALUE"""),44134)</f>
        <v>44134</v>
      </c>
      <c r="B2058" s="6" t="str">
        <f ca="1">IFERROR(__xludf.DUMMYFUNCTION("""COMPUTED_VALUE"""),"-33.7211725,-71.209768")</f>
        <v>-33.7211725,-71.209768</v>
      </c>
      <c r="C2058" s="6" t="str">
        <f ca="1">IFERROR(__xludf.DUMMYFUNCTION("""COMPUTED_VALUE"""),"SECTOR SANTA ROSA S/N CV24 CHOCALAN")</f>
        <v>SECTOR SANTA ROSA S/N CV24 CHOCALAN</v>
      </c>
      <c r="D2058" s="6" t="str">
        <f ca="1">IFERROR(__xludf.DUMMYFUNCTION("""COMPUTED_VALUE"""),"MELIPILLA")</f>
        <v>MELIPILLA</v>
      </c>
    </row>
    <row r="2059" spans="1:4">
      <c r="A2059" s="7">
        <f ca="1">IFERROR(__xludf.DUMMYFUNCTION("""COMPUTED_VALUE"""),44134)</f>
        <v>44134</v>
      </c>
      <c r="B2059" s="6" t="str">
        <f ca="1">IFERROR(__xludf.DUMMYFUNCTION("""COMPUTED_VALUE"""),"-33280798 - 70.886123")</f>
        <v>-33280798 - 70.886123</v>
      </c>
      <c r="C2059" s="6" t="str">
        <f ca="1">IFERROR(__xludf.DUMMYFUNCTION("""COMPUTED_VALUE"""),"RITOQUE 237 ")</f>
        <v xml:space="preserve">RITOQUE 237 </v>
      </c>
      <c r="D2059" s="6" t="str">
        <f ca="1">IFERROR(__xludf.DUMMYFUNCTION("""COMPUTED_VALUE"""),"LAMPA")</f>
        <v>LAMPA</v>
      </c>
    </row>
    <row r="2060" spans="1:4">
      <c r="A2060" s="7">
        <f ca="1">IFERROR(__xludf.DUMMYFUNCTION("""COMPUTED_VALUE"""),44138)</f>
        <v>44138</v>
      </c>
      <c r="B2060" s="6" t="str">
        <f ca="1">IFERROR(__xludf.DUMMYFUNCTION("""COMPUTED_VALUE"""),"-33.721623, -71.209618")</f>
        <v>-33.721623, -71.209618</v>
      </c>
      <c r="C2060" s="6" t="str">
        <f ca="1">IFERROR(__xludf.DUMMYFUNCTION("""COMPUTED_VALUE"""),"FERNANDO FUEYO LANERI 2320 CHOCOLAN ")</f>
        <v xml:space="preserve">FERNANDO FUEYO LANERI 2320 CHOCOLAN </v>
      </c>
      <c r="D2060" s="6" t="str">
        <f ca="1">IFERROR(__xludf.DUMMYFUNCTION("""COMPUTED_VALUE"""),"MELIPILLA")</f>
        <v>MELIPILLA</v>
      </c>
    </row>
    <row r="2061" spans="1:4">
      <c r="A2061" s="7">
        <f ca="1">IFERROR(__xludf.DUMMYFUNCTION("""COMPUTED_VALUE"""),44138)</f>
        <v>44138</v>
      </c>
      <c r="B2061" s="6" t="str">
        <f ca="1">IFERROR(__xludf.DUMMYFUNCTION("""COMPUTED_VALUE"""),"-33.674460,-71.174374")</f>
        <v>-33.674460,-71.174374</v>
      </c>
      <c r="C2061" s="6" t="str">
        <f ca="1">IFERROR(__xludf.DUMMYFUNCTION("""COMPUTED_VALUE"""),"DINAMARCA N° 2083")</f>
        <v>DINAMARCA N° 2083</v>
      </c>
      <c r="D2061" s="6" t="str">
        <f ca="1">IFERROR(__xludf.DUMMYFUNCTION("""COMPUTED_VALUE"""),"MELIPILLA")</f>
        <v>MELIPILLA</v>
      </c>
    </row>
    <row r="2062" spans="1:4">
      <c r="A2062" s="7">
        <f ca="1">IFERROR(__xludf.DUMMYFUNCTION("""COMPUTED_VALUE"""),44138)</f>
        <v>44138</v>
      </c>
      <c r="B2062" s="6" t="str">
        <f ca="1">IFERROR(__xludf.DUMMYFUNCTION("""COMPUTED_VALUE"""),"-33.678528,-71.239129")</f>
        <v>-33.678528,-71.239129</v>
      </c>
      <c r="C2062" s="6" t="str">
        <f ca="1">IFERROR(__xludf.DUMMYFUNCTION("""COMPUTED_VALUE"""),"PASAJE VEINTIUNO 395 C.H LOS LOS JAZMINEZ")</f>
        <v>PASAJE VEINTIUNO 395 C.H LOS LOS JAZMINEZ</v>
      </c>
      <c r="D2062" s="6" t="str">
        <f ca="1">IFERROR(__xludf.DUMMYFUNCTION("""COMPUTED_VALUE"""),"MELIPILLA")</f>
        <v>MELIPILLA</v>
      </c>
    </row>
    <row r="2063" spans="1:4">
      <c r="A2063" s="7">
        <f ca="1">IFERROR(__xludf.DUMMYFUNCTION("""COMPUTED_VALUE"""),44146)</f>
        <v>44146</v>
      </c>
      <c r="B2063" s="6" t="str">
        <f ca="1">IFERROR(__xludf.DUMMYFUNCTION("""COMPUTED_VALUE"""),"-33.674046,-71.176648")</f>
        <v>-33.674046,-71.176648</v>
      </c>
      <c r="C2063" s="6" t="str">
        <f ca="1">IFERROR(__xludf.DUMMYFUNCTION("""COMPUTED_VALUE"""),"AV ITALIA Nº 2046")</f>
        <v>AV ITALIA Nº 2046</v>
      </c>
      <c r="D2063" s="6" t="str">
        <f ca="1">IFERROR(__xludf.DUMMYFUNCTION("""COMPUTED_VALUE"""),"MELIPILLA")</f>
        <v>MELIPILLA</v>
      </c>
    </row>
    <row r="2064" spans="1:4">
      <c r="A2064" s="7">
        <f ca="1">IFERROR(__xludf.DUMMYFUNCTION("""COMPUTED_VALUE"""),44147)</f>
        <v>44147</v>
      </c>
      <c r="B2064" s="6" t="str">
        <f ca="1">IFERROR(__xludf.DUMMYFUNCTION("""COMPUTED_VALUE"""),"-33.744885,-71.195395")</f>
        <v>-33.744885,-71.195395</v>
      </c>
      <c r="C2064" s="6" t="str">
        <f ca="1">IFERROR(__xludf.DUMMYFUNCTION("""COMPUTED_VALUE"""),"ERRAZURIZ S/N CV 15 PABELLON  EL PRADO")</f>
        <v>ERRAZURIZ S/N CV 15 PABELLON  EL PRADO</v>
      </c>
      <c r="D2064" s="6" t="str">
        <f ca="1">IFERROR(__xludf.DUMMYFUNCTION("""COMPUTED_VALUE"""),"MELIPILLA")</f>
        <v>MELIPILLA</v>
      </c>
    </row>
    <row r="2065" spans="1:4">
      <c r="A2065" s="7">
        <f ca="1">IFERROR(__xludf.DUMMYFUNCTION("""COMPUTED_VALUE"""),44147)</f>
        <v>44147</v>
      </c>
      <c r="B2065" s="6" t="str">
        <f ca="1">IFERROR(__xludf.DUMMYFUNCTION("""COMPUTED_VALUE"""),"-33.573157,-71.198767")</f>
        <v>-33.573157,-71.198767</v>
      </c>
      <c r="C2065" s="6" t="str">
        <f ca="1">IFERROR(__xludf.DUMMYFUNCTION("""COMPUTED_VALUE"""),"LA MARTA 908 BOLLENAR")</f>
        <v>LA MARTA 908 BOLLENAR</v>
      </c>
      <c r="D2065" s="6" t="str">
        <f ca="1">IFERROR(__xludf.DUMMYFUNCTION("""COMPUTED_VALUE"""),"MELIPILLA")</f>
        <v>MELIPILLA</v>
      </c>
    </row>
    <row r="2066" spans="1:4">
      <c r="A2066" s="7">
        <f ca="1">IFERROR(__xludf.DUMMYFUNCTION("""COMPUTED_VALUE"""),44148)</f>
        <v>44148</v>
      </c>
      <c r="B2066" s="6" t="str">
        <f ca="1">IFERROR(__xludf.DUMMYFUNCTION("""COMPUTED_VALUE"""),"-33.724588,-71.209284")</f>
        <v>-33.724588,-71.209284</v>
      </c>
      <c r="C2066" s="6" t="str">
        <f ca="1">IFERROR(__xludf.DUMMYFUNCTION("""COMPUTED_VALUE"""),"AV. FERNANDO FUEYO LANERI 2371 B")</f>
        <v>AV. FERNANDO FUEYO LANERI 2371 B</v>
      </c>
      <c r="D2066" s="6" t="str">
        <f ca="1">IFERROR(__xludf.DUMMYFUNCTION("""COMPUTED_VALUE"""),"MELIPILLA")</f>
        <v>MELIPILLA</v>
      </c>
    </row>
    <row r="2067" spans="1:4">
      <c r="A2067" s="7">
        <f ca="1">IFERROR(__xludf.DUMMYFUNCTION("""COMPUTED_VALUE"""),44148)</f>
        <v>44148</v>
      </c>
      <c r="B2067" s="6" t="str">
        <f ca="1">IFERROR(__xludf.DUMMYFUNCTION("""COMPUTED_VALUE"""),"-33.791070,-71.251476")</f>
        <v>-33.791070,-71.251476</v>
      </c>
      <c r="C2067" s="6" t="str">
        <f ca="1">IFERROR(__xludf.DUMMYFUNCTION("""COMPUTED_VALUE"""),"CULIPRAN S/N LT E PARCELA 21 ")</f>
        <v xml:space="preserve">CULIPRAN S/N LT E PARCELA 21 </v>
      </c>
      <c r="D2067" s="6" t="str">
        <f ca="1">IFERROR(__xludf.DUMMYFUNCTION("""COMPUTED_VALUE"""),"MELIPILLA")</f>
        <v>MELIPILLA</v>
      </c>
    </row>
    <row r="2068" spans="1:4">
      <c r="A2068" s="7">
        <f ca="1">IFERROR(__xludf.DUMMYFUNCTION("""COMPUTED_VALUE"""),44153)</f>
        <v>44153</v>
      </c>
      <c r="B2068" s="6" t="str">
        <f ca="1">IFERROR(__xludf.DUMMYFUNCTION("""COMPUTED_VALUE"""),"-33.694855,-71.214271")</f>
        <v>-33.694855,-71.214271</v>
      </c>
      <c r="C2068" s="6" t="str">
        <f ca="1">IFERROR(__xludf.DUMMYFUNCTION("""COMPUTED_VALUE"""),"SERRANO Nº 1195")</f>
        <v>SERRANO Nº 1195</v>
      </c>
      <c r="D2068" s="6" t="str">
        <f ca="1">IFERROR(__xludf.DUMMYFUNCTION("""COMPUTED_VALUE"""),"MELIPILLA")</f>
        <v>MELIPILLA</v>
      </c>
    </row>
    <row r="2069" spans="1:4">
      <c r="A2069" s="7">
        <f ca="1">IFERROR(__xludf.DUMMYFUNCTION("""COMPUTED_VALUE"""),44154)</f>
        <v>44154</v>
      </c>
      <c r="B2069" s="6" t="str">
        <f ca="1">IFERROR(__xludf.DUMMYFUNCTION("""COMPUTED_VALUE"""),"-33.683661,-71.228767")</f>
        <v>-33.683661,-71.228767</v>
      </c>
      <c r="C2069" s="6" t="str">
        <f ca="1">IFERROR(__xludf.DUMMYFUNCTION("""COMPUTED_VALUE"""),"PJE COLICO 1770")</f>
        <v>PJE COLICO 1770</v>
      </c>
      <c r="D2069" s="6" t="str">
        <f ca="1">IFERROR(__xludf.DUMMYFUNCTION("""COMPUTED_VALUE"""),"MELIPILLA")</f>
        <v>MELIPILLA</v>
      </c>
    </row>
    <row r="2070" spans="1:4">
      <c r="A2070" s="7">
        <f ca="1">IFERROR(__xludf.DUMMYFUNCTION("""COMPUTED_VALUE"""),44154)</f>
        <v>44154</v>
      </c>
      <c r="B2070" s="6" t="str">
        <f ca="1">IFERROR(__xludf.DUMMYFUNCTION("""COMPUTED_VALUE"""),"-33.695009,-71.213461")</f>
        <v>-33.695009,-71.213461</v>
      </c>
      <c r="C2070" s="6" t="str">
        <f ca="1">IFERROR(__xludf.DUMMYFUNCTION("""COMPUTED_VALUE"""),"OHIGGINS Nº480")</f>
        <v>OHIGGINS Nº480</v>
      </c>
      <c r="D2070" s="6" t="str">
        <f ca="1">IFERROR(__xludf.DUMMYFUNCTION("""COMPUTED_VALUE"""),"MELIPILLA")</f>
        <v>MELIPILLA</v>
      </c>
    </row>
    <row r="2071" spans="1:4">
      <c r="A2071" s="7">
        <f ca="1">IFERROR(__xludf.DUMMYFUNCTION("""COMPUTED_VALUE"""),44161)</f>
        <v>44161</v>
      </c>
      <c r="B2071" s="6" t="str">
        <f ca="1">IFERROR(__xludf.DUMMYFUNCTION("""COMPUTED_VALUE"""),"-33.679589,-70.953636")</f>
        <v>-33.679589,-70.953636</v>
      </c>
      <c r="C2071" s="6" t="str">
        <f ca="1">IFERROR(__xludf.DUMMYFUNCTION("""COMPUTED_VALUE"""),"EDUARDO FREI RUIZ TAGLE 1121")</f>
        <v>EDUARDO FREI RUIZ TAGLE 1121</v>
      </c>
      <c r="D2071" s="6" t="str">
        <f ca="1">IFERROR(__xludf.DUMMYFUNCTION("""COMPUTED_VALUE"""),"TALAGANTE")</f>
        <v>TALAGANTE</v>
      </c>
    </row>
    <row r="2072" spans="1:4">
      <c r="A2072" s="7">
        <f ca="1">IFERROR(__xludf.DUMMYFUNCTION("""COMPUTED_VALUE"""),44161)</f>
        <v>44161</v>
      </c>
      <c r="B2072" s="6" t="str">
        <f ca="1">IFERROR(__xludf.DUMMYFUNCTION("""COMPUTED_VALUE"""),"-33.663677,-70.836187")</f>
        <v>-33.663677,-70.836187</v>
      </c>
      <c r="C2072" s="6" t="str">
        <f ca="1">IFERROR(__xludf.DUMMYFUNCTION("""COMPUTED_VALUE"""),"CI LAS ENCINAS 6300 LOTE E 8 SANTA ALICIA DEL OLIVETO")</f>
        <v>CI LAS ENCINAS 6300 LOTE E 8 SANTA ALICIA DEL OLIVETO</v>
      </c>
      <c r="D2072" s="6" t="str">
        <f ca="1">IFERROR(__xludf.DUMMYFUNCTION("""COMPUTED_VALUE"""),"TALAGANTE")</f>
        <v>TALAGANTE</v>
      </c>
    </row>
    <row r="2073" spans="1:4">
      <c r="A2073" s="7">
        <f ca="1">IFERROR(__xludf.DUMMYFUNCTION("""COMPUTED_VALUE"""),44162)</f>
        <v>44162</v>
      </c>
      <c r="B2073" s="6" t="str">
        <f ca="1">IFERROR(__xludf.DUMMYFUNCTION("""COMPUTED_VALUE"""),"-33.655258,-71.279450")</f>
        <v>-33.655258,-71.279450</v>
      </c>
      <c r="C2073" s="6" t="str">
        <f ca="1">IFERROR(__xludf.DUMMYFUNCTION("""COMPUTED_VALUE"""),"SANTA ROSA DE ESMERALDA SITIO 569")</f>
        <v>SANTA ROSA DE ESMERALDA SITIO 569</v>
      </c>
      <c r="D2073" s="6" t="str">
        <f ca="1">IFERROR(__xludf.DUMMYFUNCTION("""COMPUTED_VALUE"""),"MELIPILLA")</f>
        <v>MELIPILLA</v>
      </c>
    </row>
    <row r="2074" spans="1:4">
      <c r="A2074" s="7">
        <f ca="1">IFERROR(__xludf.DUMMYFUNCTION("""COMPUTED_VALUE"""),44162)</f>
        <v>44162</v>
      </c>
      <c r="B2074" s="6" t="str">
        <f ca="1">IFERROR(__xludf.DUMMYFUNCTION("""COMPUTED_VALUE"""),"-33.701488,-70880085")</f>
        <v>-33.701488,-70880085</v>
      </c>
      <c r="C2074" s="6" t="str">
        <f ca="1">IFERROR(__xludf.DUMMYFUNCTION("""COMPUTED_VALUE"""),"LA COLMENA 6501")</f>
        <v>LA COLMENA 6501</v>
      </c>
      <c r="D2074" s="6" t="str">
        <f ca="1">IFERROR(__xludf.DUMMYFUNCTION("""COMPUTED_VALUE"""),"TALAGANTE")</f>
        <v>TALAGANTE</v>
      </c>
    </row>
    <row r="2075" spans="1:4">
      <c r="A2075" s="7">
        <f ca="1">IFERROR(__xludf.DUMMYFUNCTION("""COMPUTED_VALUE"""),44162)</f>
        <v>44162</v>
      </c>
      <c r="B2075" s="6" t="str">
        <f ca="1">IFERROR(__xludf.DUMMYFUNCTION("""COMPUTED_VALUE"""),"-33.659278,-70.929714")</f>
        <v>-33.659278,-70.929714</v>
      </c>
      <c r="C2075" s="6" t="str">
        <f ca="1">IFERROR(__xludf.DUMMYFUNCTION("""COMPUTED_VALUE"""),"JOSE LEYTON 346")</f>
        <v>JOSE LEYTON 346</v>
      </c>
      <c r="D2075" s="6" t="str">
        <f ca="1">IFERROR(__xludf.DUMMYFUNCTION("""COMPUTED_VALUE"""),"TALAGANTE")</f>
        <v>TALAGANTE</v>
      </c>
    </row>
    <row r="2076" spans="1:4">
      <c r="A2076" s="7">
        <f ca="1">IFERROR(__xludf.DUMMYFUNCTION("""COMPUTED_VALUE"""),44163)</f>
        <v>44163</v>
      </c>
      <c r="B2076" s="6" t="str">
        <f ca="1">IFERROR(__xludf.DUMMYFUNCTION("""COMPUTED_VALUE"""),"-33.683817,-71.229541")</f>
        <v>-33.683817,-71.229541</v>
      </c>
      <c r="C2076" s="6" t="str">
        <f ca="1">IFERROR(__xludf.DUMMYFUNCTION("""COMPUTED_VALUE"""),"LAGO LLEU LLEU 1840")</f>
        <v>LAGO LLEU LLEU 1840</v>
      </c>
      <c r="D2076" s="6" t="str">
        <f ca="1">IFERROR(__xludf.DUMMYFUNCTION("""COMPUTED_VALUE"""),"MELIPILLA")</f>
        <v>MELIPILLA</v>
      </c>
    </row>
    <row r="2077" spans="1:4">
      <c r="A2077" s="7">
        <f ca="1">IFERROR(__xludf.DUMMYFUNCTION("""COMPUTED_VALUE"""),44163)</f>
        <v>44163</v>
      </c>
      <c r="B2077" s="6" t="str">
        <f ca="1">IFERROR(__xludf.DUMMYFUNCTION("""COMPUTED_VALUE"""),"-33.65419,-70.925551")</f>
        <v>-33.65419,-70.925551</v>
      </c>
      <c r="C2077" s="6" t="str">
        <f ca="1">IFERROR(__xludf.DUMMYFUNCTION("""COMPUTED_VALUE"""),"MANUEL RODRIGUEZ 228")</f>
        <v>MANUEL RODRIGUEZ 228</v>
      </c>
      <c r="D2077" s="6" t="str">
        <f ca="1">IFERROR(__xludf.DUMMYFUNCTION("""COMPUTED_VALUE"""),"TALAGANTE")</f>
        <v>TALAGANTE</v>
      </c>
    </row>
    <row r="2078" spans="1:4">
      <c r="A2078" s="7">
        <f ca="1">IFERROR(__xludf.DUMMYFUNCTION("""COMPUTED_VALUE"""),44163)</f>
        <v>44163</v>
      </c>
      <c r="B2078" s="6" t="str">
        <f ca="1">IFERROR(__xludf.DUMMYFUNCTION("""COMPUTED_VALUE"""),"-33.673901,-70.940459")</f>
        <v>-33.673901,-70.940459</v>
      </c>
      <c r="C2078" s="6" t="str">
        <f ca="1">IFERROR(__xludf.DUMMYFUNCTION("""COMPUTED_VALUE"""),"AMBAR 2628")</f>
        <v>AMBAR 2628</v>
      </c>
      <c r="D2078" s="6" t="str">
        <f ca="1">IFERROR(__xludf.DUMMYFUNCTION("""COMPUTED_VALUE"""),"TALAGANTE")</f>
        <v>TALAGANTE</v>
      </c>
    </row>
    <row r="2079" spans="1:4">
      <c r="A2079" s="7">
        <f ca="1">IFERROR(__xludf.DUMMYFUNCTION("""COMPUTED_VALUE"""),44165)</f>
        <v>44165</v>
      </c>
      <c r="B2079" s="6" t="str">
        <f ca="1">IFERROR(__xludf.DUMMYFUNCTION("""COMPUTED_VALUE"""),"-33.566398,-71.22587")</f>
        <v>-33.566398,-71.22587</v>
      </c>
      <c r="C2079" s="6" t="str">
        <f ca="1">IFERROR(__xludf.DUMMYFUNCTION("""COMPUTED_VALUE"""),"SECTOR CULEBRAS VERDES 24")</f>
        <v>SECTOR CULEBRAS VERDES 24</v>
      </c>
      <c r="D2079" s="6" t="str">
        <f ca="1">IFERROR(__xludf.DUMMYFUNCTION("""COMPUTED_VALUE"""),"MELIPILLA")</f>
        <v>MELIPILLA</v>
      </c>
    </row>
    <row r="2080" spans="1:4">
      <c r="A2080" s="7">
        <f ca="1">IFERROR(__xludf.DUMMYFUNCTION("""COMPUTED_VALUE"""),44165)</f>
        <v>44165</v>
      </c>
      <c r="B2080" s="6" t="str">
        <f ca="1">IFERROR(__xludf.DUMMYFUNCTION("""COMPUTED_VALUE"""),"-33.684009,-71.196019")</f>
        <v>-33.684009,-71.196019</v>
      </c>
      <c r="C2080" s="6" t="str">
        <f ca="1">IFERROR(__xludf.DUMMYFUNCTION("""COMPUTED_VALUE"""),"FEDERICO CHOPIN 809")</f>
        <v>FEDERICO CHOPIN 809</v>
      </c>
      <c r="D2080" s="6" t="str">
        <f ca="1">IFERROR(__xludf.DUMMYFUNCTION("""COMPUTED_VALUE"""),"MELIPILLA")</f>
        <v>MELIPILLA</v>
      </c>
    </row>
    <row r="2081" spans="1:4">
      <c r="A2081" s="7">
        <f ca="1">IFERROR(__xludf.DUMMYFUNCTION("""COMPUTED_VALUE"""),44165)</f>
        <v>44165</v>
      </c>
      <c r="B2081" s="6" t="str">
        <f ca="1">IFERROR(__xludf.DUMMYFUNCTION("""COMPUTED_VALUE"""),"-33.6113231,-70.796910")</f>
        <v>-33.6113231,-70.796910</v>
      </c>
      <c r="C2081" s="6" t="str">
        <f ca="1">IFERROR(__xludf.DUMMYFUNCTION("""COMPUTED_VALUE"""),"EL ACACIO -S/48")</f>
        <v>EL ACACIO -S/48</v>
      </c>
      <c r="D2081" s="6" t="str">
        <f ca="1">IFERROR(__xludf.DUMMYFUNCTION("""COMPUTED_VALUE"""),"CALERA DE TANGO")</f>
        <v>CALERA DE TANGO</v>
      </c>
    </row>
    <row r="2082" spans="1:4">
      <c r="A2082" s="7">
        <f ca="1">IFERROR(__xludf.DUMMYFUNCTION("""COMPUTED_VALUE"""),44165)</f>
        <v>44165</v>
      </c>
      <c r="B2082" s="6" t="str">
        <f ca="1">IFERROR(__xludf.DUMMYFUNCTION("""COMPUTED_VALUE"""),"-33.612973,-70.796337")</f>
        <v>-33.612973,-70.796337</v>
      </c>
      <c r="C2082" s="6" t="str">
        <f ca="1">IFERROR(__xludf.DUMMYFUNCTION("""COMPUTED_VALUE"""),"SIN CALLE 48 EL ACACIO N 48")</f>
        <v>SIN CALLE 48 EL ACACIO N 48</v>
      </c>
      <c r="D2082" s="6" t="str">
        <f ca="1">IFERROR(__xludf.DUMMYFUNCTION("""COMPUTED_VALUE"""),"CALERA DE TANGO")</f>
        <v>CALERA DE TANGO</v>
      </c>
    </row>
    <row r="2083" spans="1:4">
      <c r="A2083" s="7">
        <f ca="1">IFERROR(__xludf.DUMMYFUNCTION("""COMPUTED_VALUE"""),44166)</f>
        <v>44166</v>
      </c>
      <c r="B2083" s="6" t="str">
        <f ca="1">IFERROR(__xludf.DUMMYFUNCTION("""COMPUTED_VALUE"""),"-33.683700,-71.195917")</f>
        <v>-33.683700,-71.195917</v>
      </c>
      <c r="C2083" s="6" t="str">
        <f ca="1">IFERROR(__xludf.DUMMYFUNCTION("""COMPUTED_VALUE"""),"FELIX MENDELSSON 257 VILLA GALILEA")</f>
        <v>FELIX MENDELSSON 257 VILLA GALILEA</v>
      </c>
      <c r="D2083" s="6" t="str">
        <f ca="1">IFERROR(__xludf.DUMMYFUNCTION("""COMPUTED_VALUE"""),"MELIPILLA")</f>
        <v>MELIPILLA</v>
      </c>
    </row>
    <row r="2084" spans="1:4">
      <c r="A2084" s="7">
        <f ca="1">IFERROR(__xludf.DUMMYFUNCTION("""COMPUTED_VALUE"""),44166)</f>
        <v>44166</v>
      </c>
      <c r="B2084" s="6" t="str">
        <f ca="1">IFERROR(__xludf.DUMMYFUNCTION("""COMPUTED_VALUE"""),"-33.683227,-71.001043")</f>
        <v>-33.683227,-71.001043</v>
      </c>
      <c r="C2084" s="6" t="str">
        <f ca="1">IFERROR(__xludf.DUMMYFUNCTION("""COMPUTED_VALUE"""),"COLLAN 25 LA FRENTA")</f>
        <v>COLLAN 25 LA FRENTA</v>
      </c>
      <c r="D2084" s="6" t="str">
        <f ca="1">IFERROR(__xludf.DUMMYFUNCTION("""COMPUTED_VALUE"""),"EL MONTE")</f>
        <v>EL MONTE</v>
      </c>
    </row>
    <row r="2085" spans="1:4">
      <c r="A2085" s="7">
        <f ca="1">IFERROR(__xludf.DUMMYFUNCTION("""COMPUTED_VALUE"""),44166)</f>
        <v>44166</v>
      </c>
      <c r="B2085" s="6" t="str">
        <f ca="1">IFERROR(__xludf.DUMMYFUNCTION("""COMPUTED_VALUE"""),"-33.687607,-71.032164")</f>
        <v>-33.687607,-71.032164</v>
      </c>
      <c r="C2085" s="6" t="str">
        <f ca="1">IFERROR(__xludf.DUMMYFUNCTION("""COMPUTED_VALUE"""),"AV LIBERTADOR 1505")</f>
        <v>AV LIBERTADOR 1505</v>
      </c>
      <c r="D2085" s="6" t="str">
        <f ca="1">IFERROR(__xludf.DUMMYFUNCTION("""COMPUTED_VALUE"""),"EL MONTE")</f>
        <v>EL MONTE</v>
      </c>
    </row>
    <row r="2086" spans="1:4">
      <c r="A2086" s="7">
        <f ca="1">IFERROR(__xludf.DUMMYFUNCTION("""COMPUTED_VALUE"""),44167)</f>
        <v>44167</v>
      </c>
      <c r="B2086" s="6" t="str">
        <f ca="1">IFERROR(__xludf.DUMMYFUNCTION("""COMPUTED_VALUE"""),"-33.400127,-71.132253")</f>
        <v>-33.400127,-71.132253</v>
      </c>
      <c r="C2086" s="6" t="str">
        <f ca="1">IFERROR(__xludf.DUMMYFUNCTION("""COMPUTED_VALUE"""),"FELICIANO CORNEJO 320")</f>
        <v>FELICIANO CORNEJO 320</v>
      </c>
      <c r="D2086" s="6" t="str">
        <f ca="1">IFERROR(__xludf.DUMMYFUNCTION("""COMPUTED_VALUE"""),"CURACAVI")</f>
        <v>CURACAVI</v>
      </c>
    </row>
    <row r="2087" spans="1:4">
      <c r="A2087" s="7">
        <f ca="1">IFERROR(__xludf.DUMMYFUNCTION("""COMPUTED_VALUE"""),44167)</f>
        <v>44167</v>
      </c>
      <c r="B2087" s="6" t="str">
        <f ca="1">IFERROR(__xludf.DUMMYFUNCTION("""COMPUTED_VALUE"""),"-33.406679,-71.134325")</f>
        <v>-33.406679,-71.134325</v>
      </c>
      <c r="C2087" s="6" t="str">
        <f ca="1">IFERROR(__xludf.DUMMYFUNCTION("""COMPUTED_VALUE"""),"DIEGO DE PRADO 1450")</f>
        <v>DIEGO DE PRADO 1450</v>
      </c>
      <c r="D2087" s="6" t="str">
        <f ca="1">IFERROR(__xludf.DUMMYFUNCTION("""COMPUTED_VALUE"""),"CURACAVI")</f>
        <v>CURACAVI</v>
      </c>
    </row>
    <row r="2088" spans="1:4">
      <c r="A2088" s="7">
        <f ca="1">IFERROR(__xludf.DUMMYFUNCTION("""COMPUTED_VALUE"""),44167)</f>
        <v>44167</v>
      </c>
      <c r="B2088" s="6" t="str">
        <f ca="1">IFERROR(__xludf.DUMMYFUNCTION("""COMPUTED_VALUE"""),"-33.625703,-71.297984")</f>
        <v>-33.625703,-71.297984</v>
      </c>
      <c r="C2088" s="6" t="str">
        <f ca="1">IFERROR(__xludf.DUMMYFUNCTION("""COMPUTED_VALUE"""),"CALLEJON EL LIMONAL P23 SAN JOSE ")</f>
        <v xml:space="preserve">CALLEJON EL LIMONAL P23 SAN JOSE </v>
      </c>
      <c r="D2088" s="6" t="str">
        <f ca="1">IFERROR(__xludf.DUMMYFUNCTION("""COMPUTED_VALUE"""),"MELIPILLA")</f>
        <v>MELIPILLA</v>
      </c>
    </row>
    <row r="2089" spans="1:4">
      <c r="A2089" s="7">
        <f ca="1">IFERROR(__xludf.DUMMYFUNCTION("""COMPUTED_VALUE"""),44167)</f>
        <v>44167</v>
      </c>
      <c r="B2089" s="6" t="str">
        <f ca="1">IFERROR(__xludf.DUMMYFUNCTION("""COMPUTED_VALUE"""),"-33.628921,-71.233499")</f>
        <v>-33.628921,-71.233499</v>
      </c>
      <c r="C2089" s="6" t="str">
        <f ca="1">IFERROR(__xludf.DUMMYFUNCTION("""COMPUTED_VALUE"""),"ALTO RUMAY PARCELA 10")</f>
        <v>ALTO RUMAY PARCELA 10</v>
      </c>
      <c r="D2089" s="6" t="str">
        <f ca="1">IFERROR(__xludf.DUMMYFUNCTION("""COMPUTED_VALUE"""),"MELIPILLA")</f>
        <v>MELIPILLA</v>
      </c>
    </row>
    <row r="2090" spans="1:4">
      <c r="A2090" s="7">
        <f ca="1">IFERROR(__xludf.DUMMYFUNCTION("""COMPUTED_VALUE"""),44168)</f>
        <v>44168</v>
      </c>
      <c r="B2090" s="6" t="str">
        <f ca="1">IFERROR(__xludf.DUMMYFUNCTION("""COMPUTED_VALUE"""),"-33.724606,-71.191699")</f>
        <v>-33.724606,-71.191699</v>
      </c>
      <c r="C2090" s="6" t="str">
        <f ca="1">IFERROR(__xludf.DUMMYFUNCTION("""COMPUTED_VALUE"""),"CARMEN BASO 14")</f>
        <v>CARMEN BASO 14</v>
      </c>
      <c r="D2090" s="6" t="str">
        <f ca="1">IFERROR(__xludf.DUMMYFUNCTION("""COMPUTED_VALUE"""),"MELIPILLA")</f>
        <v>MELIPILLA</v>
      </c>
    </row>
    <row r="2091" spans="1:4">
      <c r="A2091" s="7">
        <f ca="1">IFERROR(__xludf.DUMMYFUNCTION("""COMPUTED_VALUE"""),44168)</f>
        <v>44168</v>
      </c>
      <c r="B2091" s="6" t="str">
        <f ca="1">IFERROR(__xludf.DUMMYFUNCTION("""COMPUTED_VALUE"""),"-33.408787,-71.207337")</f>
        <v>-33.408787,-71.207337</v>
      </c>
      <c r="C2091" s="6" t="str">
        <f ca="1">IFERROR(__xludf.DUMMYFUNCTION("""COMPUTED_VALUE"""),"PARCELACION MAQUEHUA 21")</f>
        <v>PARCELACION MAQUEHUA 21</v>
      </c>
      <c r="D2091" s="6" t="str">
        <f ca="1">IFERROR(__xludf.DUMMYFUNCTION("""COMPUTED_VALUE"""),"CURACAVI")</f>
        <v>CURACAVI</v>
      </c>
    </row>
    <row r="2092" spans="1:4">
      <c r="A2092" s="7">
        <f ca="1">IFERROR(__xludf.DUMMYFUNCTION("""COMPUTED_VALUE"""),44168)</f>
        <v>44168</v>
      </c>
      <c r="B2092" s="6" t="str">
        <f ca="1">IFERROR(__xludf.DUMMYFUNCTION("""COMPUTED_VALUE"""),"-33.395095,-71.130532")</f>
        <v>-33.395095,-71.130532</v>
      </c>
      <c r="C2092" s="6" t="str">
        <f ca="1">IFERROR(__xludf.DUMMYFUNCTION("""COMPUTED_VALUE"""),"PASAJE QUINCE 1750")</f>
        <v>PASAJE QUINCE 1750</v>
      </c>
      <c r="D2092" s="6" t="str">
        <f ca="1">IFERROR(__xludf.DUMMYFUNCTION("""COMPUTED_VALUE"""),"CURACAVI")</f>
        <v>CURACAVI</v>
      </c>
    </row>
    <row r="2093" spans="1:4">
      <c r="A2093" s="7">
        <f ca="1">IFERROR(__xludf.DUMMYFUNCTION("""COMPUTED_VALUE"""),44169)</f>
        <v>44169</v>
      </c>
      <c r="B2093" s="6" t="str">
        <f ca="1">IFERROR(__xludf.DUMMYFUNCTION("""COMPUTED_VALUE"""),"-33.726559,-71.188787")</f>
        <v>-33.726559,-71.188787</v>
      </c>
      <c r="C2093" s="6" t="str">
        <f ca="1">IFERROR(__xludf.DUMMYFUNCTION("""COMPUTED_VALUE"""),"CARMEN BASO SIT R_CV57")</f>
        <v>CARMEN BASO SIT R_CV57</v>
      </c>
      <c r="D2093" s="6" t="str">
        <f ca="1">IFERROR(__xludf.DUMMYFUNCTION("""COMPUTED_VALUE"""),"MELIPILLA")</f>
        <v>MELIPILLA</v>
      </c>
    </row>
    <row r="2094" spans="1:4">
      <c r="A2094" s="7">
        <f ca="1">IFERROR(__xludf.DUMMYFUNCTION("""COMPUTED_VALUE"""),44169)</f>
        <v>44169</v>
      </c>
      <c r="B2094" s="6" t="str">
        <f ca="1">IFERROR(__xludf.DUMMYFUNCTION("""COMPUTED_VALUE"""),"-33.675630,-71.158479")</f>
        <v>-33.675630,-71.158479</v>
      </c>
      <c r="C2094" s="6" t="str">
        <f ca="1">IFERROR(__xludf.DUMMYFUNCTION("""COMPUTED_VALUE"""),"VILLA EL MARCO 0129")</f>
        <v>VILLA EL MARCO 0129</v>
      </c>
      <c r="D2094" s="6" t="str">
        <f ca="1">IFERROR(__xludf.DUMMYFUNCTION("""COMPUTED_VALUE"""),"MELIPILLA")</f>
        <v>MELIPILLA</v>
      </c>
    </row>
    <row r="2095" spans="1:4">
      <c r="A2095" s="7">
        <f ca="1">IFERROR(__xludf.DUMMYFUNCTION("""COMPUTED_VALUE"""),44169)</f>
        <v>44169</v>
      </c>
      <c r="B2095" s="6" t="str">
        <f ca="1">IFERROR(__xludf.DUMMYFUNCTION("""COMPUTED_VALUE"""),"-33.413301,-71.142468")</f>
        <v>-33.413301,-71.142468</v>
      </c>
      <c r="C2095" s="6" t="str">
        <f ca="1">IFERROR(__xludf.DUMMYFUNCTION("""COMPUTED_VALUE"""),"LO AGUILA SITIO 4-PAC A")</f>
        <v>LO AGUILA SITIO 4-PAC A</v>
      </c>
      <c r="D2095" s="6" t="str">
        <f ca="1">IFERROR(__xludf.DUMMYFUNCTION("""COMPUTED_VALUE"""),"CURACAVI")</f>
        <v>CURACAVI</v>
      </c>
    </row>
    <row r="2096" spans="1:4">
      <c r="A2096" s="7">
        <f ca="1">IFERROR(__xludf.DUMMYFUNCTION("""COMPUTED_VALUE"""),44169)</f>
        <v>44169</v>
      </c>
      <c r="B2096" s="6" t="str">
        <f ca="1">IFERROR(__xludf.DUMMYFUNCTION("""COMPUTED_VALUE"""),"-33.400457,-71.175830")</f>
        <v>-33.400457,-71.175830</v>
      </c>
      <c r="C2096" s="6" t="str">
        <f ca="1">IFERROR(__xludf.DUMMYFUNCTION("""COMPUTED_VALUE"""),"EX HACIENDA CURACAVI 92  SECTOR LA UNION")</f>
        <v>EX HACIENDA CURACAVI 92  SECTOR LA UNION</v>
      </c>
      <c r="D2096" s="6" t="str">
        <f ca="1">IFERROR(__xludf.DUMMYFUNCTION("""COMPUTED_VALUE"""),"CURACAVI")</f>
        <v>CURACAVI</v>
      </c>
    </row>
    <row r="2097" spans="1:4">
      <c r="A2097" s="7">
        <f ca="1">IFERROR(__xludf.DUMMYFUNCTION("""COMPUTED_VALUE"""),44172)</f>
        <v>44172</v>
      </c>
      <c r="B2097" s="6" t="str">
        <f ca="1">IFERROR(__xludf.DUMMYFUNCTION("""COMPUTED_VALUE"""),"-33.771595,-71.171814")</f>
        <v>-33.771595,-71.171814</v>
      </c>
      <c r="C2097" s="6" t="str">
        <f ca="1">IFERROR(__xludf.DUMMYFUNCTION("""COMPUTED_VALUE"""),"MANANTIALES P23")</f>
        <v>MANANTIALES P23</v>
      </c>
      <c r="D2097" s="6" t="str">
        <f ca="1">IFERROR(__xludf.DUMMYFUNCTION("""COMPUTED_VALUE"""),"MELIPILLA")</f>
        <v>MELIPILLA</v>
      </c>
    </row>
    <row r="2098" spans="1:4">
      <c r="A2098" s="7">
        <f ca="1">IFERROR(__xludf.DUMMYFUNCTION("""COMPUTED_VALUE"""),44172)</f>
        <v>44172</v>
      </c>
      <c r="B2098" s="6" t="str">
        <f ca="1">IFERROR(__xludf.DUMMYFUNCTION("""COMPUTED_VALUE"""),"-33.675079,-71.211101")</f>
        <v>-33.675079,-71.211101</v>
      </c>
      <c r="C2098" s="6" t="str">
        <f ca="1">IFERROR(__xludf.DUMMYFUNCTION("""COMPUTED_VALUE"""),"PASAJE MATILDE ALJARO ""!(")</f>
        <v>PASAJE MATILDE ALJARO "!(</v>
      </c>
      <c r="D2098" s="6" t="str">
        <f ca="1">IFERROR(__xludf.DUMMYFUNCTION("""COMPUTED_VALUE"""),"MELIPILLA")</f>
        <v>MELIPILLA</v>
      </c>
    </row>
    <row r="2099" spans="1:4">
      <c r="A2099" s="7">
        <f ca="1">IFERROR(__xludf.DUMMYFUNCTION("""COMPUTED_VALUE"""),44172)</f>
        <v>44172</v>
      </c>
      <c r="B2099" s="6" t="str">
        <f ca="1">IFERROR(__xludf.DUMMYFUNCTION("""COMPUTED_VALUE"""),"-33.684430,-71.199021")</f>
        <v>-33.684430,-71.199021</v>
      </c>
      <c r="C2099" s="6" t="str">
        <f ca="1">IFERROR(__xludf.DUMMYFUNCTION("""COMPUTED_VALUE"""),"PASAJE LAUTARO BENSEN 0622")</f>
        <v>PASAJE LAUTARO BENSEN 0622</v>
      </c>
      <c r="D2099" s="6" t="str">
        <f ca="1">IFERROR(__xludf.DUMMYFUNCTION("""COMPUTED_VALUE"""),"MELIPILLA")</f>
        <v>MELIPILLA</v>
      </c>
    </row>
    <row r="2100" spans="1:4">
      <c r="A2100" s="7">
        <f ca="1">IFERROR(__xludf.DUMMYFUNCTION("""COMPUTED_VALUE"""),44174)</f>
        <v>44174</v>
      </c>
      <c r="B2100" s="6" t="str">
        <f ca="1">IFERROR(__xludf.DUMMYFUNCTION("""COMPUTED_VALUE"""),"-33.673263,-71.210508")</f>
        <v>-33.673263,-71.210508</v>
      </c>
      <c r="C2100" s="6" t="str">
        <f ca="1">IFERROR(__xludf.DUMMYFUNCTION("""COMPUTED_VALUE"""),"PASAJE MATIAS NUÑEZ 2308")</f>
        <v>PASAJE MATIAS NUÑEZ 2308</v>
      </c>
      <c r="D2100" s="6" t="str">
        <f ca="1">IFERROR(__xludf.DUMMYFUNCTION("""COMPUTED_VALUE"""),"MELIPILLA")</f>
        <v>MELIPILLA</v>
      </c>
    </row>
    <row r="2101" spans="1:4">
      <c r="A2101" s="7">
        <f ca="1">IFERROR(__xludf.DUMMYFUNCTION("""COMPUTED_VALUE"""),44174)</f>
        <v>44174</v>
      </c>
      <c r="B2101" s="6" t="str">
        <f ca="1">IFERROR(__xludf.DUMMYFUNCTION("""COMPUTED_VALUE"""),"-33.682943,-712204423")</f>
        <v>-33.682943,-712204423</v>
      </c>
      <c r="C2101" s="6" t="str">
        <f ca="1">IFERROR(__xludf.DUMMYFUNCTION("""COMPUTED_VALUE"""),"CORREA 251")</f>
        <v>CORREA 251</v>
      </c>
      <c r="D2101" s="6" t="str">
        <f ca="1">IFERROR(__xludf.DUMMYFUNCTION("""COMPUTED_VALUE"""),"MELIPILLA")</f>
        <v>MELIPILLA</v>
      </c>
    </row>
    <row r="2102" spans="1:4">
      <c r="A2102" s="7">
        <f ca="1">IFERROR(__xludf.DUMMYFUNCTION("""COMPUTED_VALUE"""),44174)</f>
        <v>44174</v>
      </c>
      <c r="B2102" s="6" t="str">
        <f ca="1">IFERROR(__xludf.DUMMYFUNCTION("""COMPUTED_VALUE"""),"-33.410774,-71149463")</f>
        <v>-33.410774,-71149463</v>
      </c>
      <c r="C2102" s="6" t="str">
        <f ca="1">IFERROR(__xludf.DUMMYFUNCTION("""COMPUTED_VALUE"""),"AV AMBROSIO O HIGGINS  A 220")</f>
        <v>AV AMBROSIO O HIGGINS  A 220</v>
      </c>
      <c r="D2102" s="6" t="str">
        <f ca="1">IFERROR(__xludf.DUMMYFUNCTION("""COMPUTED_VALUE"""),"CURACAVI")</f>
        <v>CURACAVI</v>
      </c>
    </row>
    <row r="2103" spans="1:4">
      <c r="A2103" s="7">
        <f ca="1">IFERROR(__xludf.DUMMYFUNCTION("""COMPUTED_VALUE"""),44175)</f>
        <v>44175</v>
      </c>
      <c r="B2103" s="6" t="str">
        <f ca="1">IFERROR(__xludf.DUMMYFUNCTION("""COMPUTED_VALUE"""),"-33.410706,-71.149630")</f>
        <v>-33.410706,-71.149630</v>
      </c>
      <c r="C2103" s="6" t="str">
        <f ca="1">IFERROR(__xludf.DUMMYFUNCTION("""COMPUTED_VALUE"""),"AV AMBROSIO O HIGGINS 220")</f>
        <v>AV AMBROSIO O HIGGINS 220</v>
      </c>
      <c r="D2103" s="6" t="str">
        <f ca="1">IFERROR(__xludf.DUMMYFUNCTION("""COMPUTED_VALUE"""),"CURACAVI")</f>
        <v>CURACAVI</v>
      </c>
    </row>
    <row r="2104" spans="1:4">
      <c r="A2104" s="7">
        <f ca="1">IFERROR(__xludf.DUMMYFUNCTION("""COMPUTED_VALUE"""),44175)</f>
        <v>44175</v>
      </c>
      <c r="B2104" s="6" t="str">
        <f ca="1">IFERROR(__xludf.DUMMYFUNCTION("""COMPUTED_VALUE"""),"-33.395455,-71.130183")</f>
        <v>-33.395455,-71.130183</v>
      </c>
      <c r="C2104" s="6" t="str">
        <f ca="1">IFERROR(__xludf.DUMMYFUNCTION("""COMPUTED_VALUE"""),"MATRONA AMINTA LARA 1727")</f>
        <v>MATRONA AMINTA LARA 1727</v>
      </c>
      <c r="D2104" s="6" t="str">
        <f ca="1">IFERROR(__xludf.DUMMYFUNCTION("""COMPUTED_VALUE"""),"CURACAVI")</f>
        <v>CURACAVI</v>
      </c>
    </row>
    <row r="2105" spans="1:4">
      <c r="A2105" s="7">
        <f ca="1">IFERROR(__xludf.DUMMYFUNCTION("""COMPUTED_VALUE"""),44175)</f>
        <v>44175</v>
      </c>
      <c r="B2105" s="6" t="str">
        <f ca="1">IFERROR(__xludf.DUMMYFUNCTION("""COMPUTED_VALUE"""),"-33.396191,-71.130687")</f>
        <v>-33.396191,-71.130687</v>
      </c>
      <c r="C2105" s="6" t="str">
        <f ca="1">IFERROR(__xludf.DUMMYFUNCTION("""COMPUTED_VALUE"""),"EDUCADORA ANA NAVARRETE 691")</f>
        <v>EDUCADORA ANA NAVARRETE 691</v>
      </c>
      <c r="D2105" s="6" t="str">
        <f ca="1">IFERROR(__xludf.DUMMYFUNCTION("""COMPUTED_VALUE"""),"CURACAVI")</f>
        <v>CURACAVI</v>
      </c>
    </row>
    <row r="2106" spans="1:4">
      <c r="A2106" s="7">
        <f ca="1">IFERROR(__xludf.DUMMYFUNCTION("""COMPUTED_VALUE"""),44175)</f>
        <v>44175</v>
      </c>
      <c r="B2106" s="6" t="str">
        <f ca="1">IFERROR(__xludf.DUMMYFUNCTION("""COMPUTED_VALUE"""),"-33.411546,-70.996507")</f>
        <v>-33.411546,-70.996507</v>
      </c>
      <c r="C2106" s="6" t="str">
        <f ca="1">IFERROR(__xludf.DUMMYFUNCTION("""COMPUTED_VALUE"""),"LOS LINGUE PARCELA 78A")</f>
        <v>LOS LINGUE PARCELA 78A</v>
      </c>
      <c r="D2106" s="6" t="str">
        <f ca="1">IFERROR(__xludf.DUMMYFUNCTION("""COMPUTED_VALUE"""),"CURACAVI")</f>
        <v>CURACAVI</v>
      </c>
    </row>
    <row r="2107" spans="1:4">
      <c r="A2107" s="7">
        <f ca="1">IFERROR(__xludf.DUMMYFUNCTION("""COMPUTED_VALUE"""),44175)</f>
        <v>44175</v>
      </c>
      <c r="B2107" s="6" t="str">
        <f ca="1">IFERROR(__xludf.DUMMYFUNCTION("""COMPUTED_VALUE"""),"-33.656651,-71.279777")</f>
        <v>-33.656651,-71.279777</v>
      </c>
      <c r="C2107" s="6" t="str">
        <f ca="1">IFERROR(__xludf.DUMMYFUNCTION("""COMPUTED_VALUE"""),"PASAJE AGATA 12")</f>
        <v>PASAJE AGATA 12</v>
      </c>
      <c r="D2107" s="6" t="str">
        <f ca="1">IFERROR(__xludf.DUMMYFUNCTION("""COMPUTED_VALUE"""),"MELIPILLA")</f>
        <v>MELIPILLA</v>
      </c>
    </row>
    <row r="2108" spans="1:4">
      <c r="A2108" s="7">
        <f ca="1">IFERROR(__xludf.DUMMYFUNCTION("""COMPUTED_VALUE"""),44175)</f>
        <v>44175</v>
      </c>
      <c r="B2108" s="6" t="str">
        <f ca="1">IFERROR(__xludf.DUMMYFUNCTION("""COMPUTED_VALUE"""),"-33.685469,-71.198191")</f>
        <v>-33.685469,-71.198191</v>
      </c>
      <c r="C2108" s="6" t="str">
        <f ca="1">IFERROR(__xludf.DUMMYFUNCTION("""COMPUTED_VALUE"""),"PASAJE UNO NORTE OCT RAMON NUÑEZ 660")</f>
        <v>PASAJE UNO NORTE OCT RAMON NUÑEZ 660</v>
      </c>
      <c r="D2108" s="6" t="str">
        <f ca="1">IFERROR(__xludf.DUMMYFUNCTION("""COMPUTED_VALUE"""),"MELIPILLA")</f>
        <v>MELIPILLA</v>
      </c>
    </row>
    <row r="2109" spans="1:4">
      <c r="A2109" s="7">
        <f ca="1">IFERROR(__xludf.DUMMYFUNCTION("""COMPUTED_VALUE"""),44176)</f>
        <v>44176</v>
      </c>
      <c r="B2109" s="6" t="str">
        <f ca="1">IFERROR(__xludf.DUMMYFUNCTION("""COMPUTED_VALUE"""),"-33.684944,-71.197808")</f>
        <v>-33.684944,-71.197808</v>
      </c>
      <c r="C2109" s="6" t="str">
        <f ca="1">IFERROR(__xludf.DUMMYFUNCTION("""COMPUTED_VALUE"""),"JOSE MARIA NAVASAL 279")</f>
        <v>JOSE MARIA NAVASAL 279</v>
      </c>
      <c r="D2109" s="6" t="str">
        <f ca="1">IFERROR(__xludf.DUMMYFUNCTION("""COMPUTED_VALUE"""),"MELIPILLA")</f>
        <v>MELIPILLA</v>
      </c>
    </row>
    <row r="2110" spans="1:4">
      <c r="A2110" s="7">
        <f ca="1">IFERROR(__xludf.DUMMYFUNCTION("""COMPUTED_VALUE"""),44176)</f>
        <v>44176</v>
      </c>
      <c r="B2110" s="6" t="str">
        <f ca="1">IFERROR(__xludf.DUMMYFUNCTION("""COMPUTED_VALUE"""),"-33.690685,-71.220722")</f>
        <v>-33.690685,-71.220722</v>
      </c>
      <c r="C2110" s="6" t="str">
        <f ca="1">IFERROR(__xludf.DUMMYFUNCTION("""COMPUTED_VALUE"""),"HURTADO 871")</f>
        <v>HURTADO 871</v>
      </c>
      <c r="D2110" s="6" t="str">
        <f ca="1">IFERROR(__xludf.DUMMYFUNCTION("""COMPUTED_VALUE"""),"MELIPILLA")</f>
        <v>MELIPILLA</v>
      </c>
    </row>
    <row r="2111" spans="1:4">
      <c r="A2111" s="7">
        <f ca="1">IFERROR(__xludf.DUMMYFUNCTION("""COMPUTED_VALUE"""),44176)</f>
        <v>44176</v>
      </c>
      <c r="B2111" s="6" t="str">
        <f ca="1">IFERROR(__xludf.DUMMYFUNCTION("""COMPUTED_VALUE"""),"-33.67897,-71.234108")</f>
        <v>-33.67897,-71.234108</v>
      </c>
      <c r="C2111" s="6" t="str">
        <f ca="1">IFERROR(__xludf.DUMMYFUNCTION("""COMPUTED_VALUE"""),"PJE JUAN FRANCISCO GONZALEZ 162")</f>
        <v>PJE JUAN FRANCISCO GONZALEZ 162</v>
      </c>
      <c r="D2111" s="6" t="str">
        <f ca="1">IFERROR(__xludf.DUMMYFUNCTION("""COMPUTED_VALUE"""),"MELIPILLA")</f>
        <v>MELIPILLA</v>
      </c>
    </row>
    <row r="2112" spans="1:4">
      <c r="A2112" s="7">
        <f ca="1">IFERROR(__xludf.DUMMYFUNCTION("""COMPUTED_VALUE"""),44176)</f>
        <v>44176</v>
      </c>
      <c r="B2112" s="6" t="str">
        <f ca="1">IFERROR(__xludf.DUMMYFUNCTION("""COMPUTED_VALUE"""),"-33.690047,-71.220847")</f>
        <v>-33.690047,-71.220847</v>
      </c>
      <c r="C2112" s="6" t="str">
        <f ca="1">IFERROR(__xludf.DUMMYFUNCTION("""COMPUTED_VALUE"""),"PASAJE TRES 960")</f>
        <v>PASAJE TRES 960</v>
      </c>
      <c r="D2112" s="6" t="str">
        <f ca="1">IFERROR(__xludf.DUMMYFUNCTION("""COMPUTED_VALUE"""),"MELIPILLA")</f>
        <v>MELIPILLA</v>
      </c>
    </row>
    <row r="2113" spans="1:4">
      <c r="A2113" s="7">
        <f ca="1">IFERROR(__xludf.DUMMYFUNCTION("""COMPUTED_VALUE"""),44176)</f>
        <v>44176</v>
      </c>
      <c r="B2113" s="6" t="str">
        <f ca="1">IFERROR(__xludf.DUMMYFUNCTION("""COMPUTED_VALUE"""),"-33.579617,-71.028773")</f>
        <v>-33.579617,-71.028773</v>
      </c>
      <c r="C2113" s="6" t="str">
        <f ca="1">IFERROR(__xludf.DUMMYFUNCTION("""COMPUTED_VALUE"""),"SANTA TERESA DE MALLARAUCO S/N SITIO 9")</f>
        <v>SANTA TERESA DE MALLARAUCO S/N SITIO 9</v>
      </c>
      <c r="D2113" s="6" t="str">
        <f ca="1">IFERROR(__xludf.DUMMYFUNCTION("""COMPUTED_VALUE"""),"MELIPILLA")</f>
        <v>MELIPILLA</v>
      </c>
    </row>
    <row r="2114" spans="1:4">
      <c r="A2114" s="7">
        <f ca="1">IFERROR(__xludf.DUMMYFUNCTION("""COMPUTED_VALUE"""),44176)</f>
        <v>44176</v>
      </c>
      <c r="B2114" s="6" t="str">
        <f ca="1">IFERROR(__xludf.DUMMYFUNCTION("""COMPUTED_VALUE"""),"-33.686203,-71.192949")</f>
        <v>-33.686203,-71.192949</v>
      </c>
      <c r="C2114" s="6" t="str">
        <f ca="1">IFERROR(__xludf.DUMMYFUNCTION("""COMPUTED_VALUE"""),"PASAJE DANIEL JAHNSON 753")</f>
        <v>PASAJE DANIEL JAHNSON 753</v>
      </c>
      <c r="D2114" s="6" t="str">
        <f ca="1">IFERROR(__xludf.DUMMYFUNCTION("""COMPUTED_VALUE"""),"MELIPILLA")</f>
        <v>MELIPILLA</v>
      </c>
    </row>
    <row r="2115" spans="1:4">
      <c r="A2115" s="7">
        <f ca="1">IFERROR(__xludf.DUMMYFUNCTION("""COMPUTED_VALUE"""),44177)</f>
        <v>44177</v>
      </c>
      <c r="B2115" s="6" t="str">
        <f ca="1">IFERROR(__xludf.DUMMYFUNCTION("""COMPUTED_VALUE"""),"-33.683500,-71.212360")</f>
        <v>-33.683500,-71.212360</v>
      </c>
      <c r="C2115" s="6" t="str">
        <f ca="1">IFERROR(__xludf.DUMMYFUNCTION("""COMPUTED_VALUE"""),"BARROS 244")</f>
        <v>BARROS 244</v>
      </c>
      <c r="D2115" s="6" t="str">
        <f ca="1">IFERROR(__xludf.DUMMYFUNCTION("""COMPUTED_VALUE"""),"MELIPILLA")</f>
        <v>MELIPILLA</v>
      </c>
    </row>
    <row r="2116" spans="1:4">
      <c r="A2116" s="7">
        <f ca="1">IFERROR(__xludf.DUMMYFUNCTION("""COMPUTED_VALUE"""),44177)</f>
        <v>44177</v>
      </c>
      <c r="B2116" s="6" t="str">
        <f ca="1">IFERROR(__xludf.DUMMYFUNCTION("""COMPUTED_VALUE"""),"-33.688178,-71.227970")</f>
        <v>-33.688178,-71.227970</v>
      </c>
      <c r="C2116" s="6" t="str">
        <f ca="1">IFERROR(__xludf.DUMMYFUNCTION("""COMPUTED_VALUE"""),"PSJ GERMAN FELIPE HERNANDEZ SILVA 766")</f>
        <v>PSJ GERMAN FELIPE HERNANDEZ SILVA 766</v>
      </c>
      <c r="D2116" s="6" t="str">
        <f ca="1">IFERROR(__xludf.DUMMYFUNCTION("""COMPUTED_VALUE"""),"MELIPILLA")</f>
        <v>MELIPILLA</v>
      </c>
    </row>
    <row r="2117" spans="1:4">
      <c r="A2117" s="7">
        <f ca="1">IFERROR(__xludf.DUMMYFUNCTION("""COMPUTED_VALUE"""),44179)</f>
        <v>44179</v>
      </c>
      <c r="B2117" s="6" t="str">
        <f ca="1">IFERROR(__xludf.DUMMYFUNCTION("""COMPUTED_VALUE"""),"-33.621340,-71.266284")</f>
        <v>-33.621340,-71.266284</v>
      </c>
      <c r="C2117" s="6" t="str">
        <f ca="1">IFERROR(__xludf.DUMMYFUNCTION("""COMPUTED_VALUE"""),"PARCELA 5 LOTE A4-9 VILLA ALEGRE")</f>
        <v>PARCELA 5 LOTE A4-9 VILLA ALEGRE</v>
      </c>
      <c r="D2117" s="6" t="str">
        <f ca="1">IFERROR(__xludf.DUMMYFUNCTION("""COMPUTED_VALUE"""),"MELIPILLA")</f>
        <v>MELIPILLA</v>
      </c>
    </row>
    <row r="2118" spans="1:4">
      <c r="A2118" s="7">
        <f ca="1">IFERROR(__xludf.DUMMYFUNCTION("""COMPUTED_VALUE"""),44179)</f>
        <v>44179</v>
      </c>
      <c r="B2118" s="6" t="str">
        <f ca="1">IFERROR(__xludf.DUMMYFUNCTION("""COMPUTED_VALUE"""),"-33.699761,-71.214163")</f>
        <v>-33.699761,-71.214163</v>
      </c>
      <c r="C2118" s="6" t="str">
        <f ca="1">IFERROR(__xludf.DUMMYFUNCTION("""COMPUTED_VALUE"""),"O HIGGINS 448")</f>
        <v>O HIGGINS 448</v>
      </c>
      <c r="D2118" s="6" t="str">
        <f ca="1">IFERROR(__xludf.DUMMYFUNCTION("""COMPUTED_VALUE"""),"MELIPILLA")</f>
        <v>MELIPILLA</v>
      </c>
    </row>
    <row r="2119" spans="1:4">
      <c r="A2119" s="7">
        <f ca="1">IFERROR(__xludf.DUMMYFUNCTION("""COMPUTED_VALUE"""),44179)</f>
        <v>44179</v>
      </c>
      <c r="B2119" s="6" t="str">
        <f ca="1">IFERROR(__xludf.DUMMYFUNCTION("""COMPUTED_VALUE"""),"-33.573288,-70981761")</f>
        <v>-33.573288,-70981761</v>
      </c>
      <c r="C2119" s="6" t="str">
        <f ca="1">IFERROR(__xludf.DUMMYFUNCTION("""COMPUTED_VALUE"""),"EL PIMIENTO SITIO 4")</f>
        <v>EL PIMIENTO SITIO 4</v>
      </c>
      <c r="D2119" s="6" t="str">
        <f ca="1">IFERROR(__xludf.DUMMYFUNCTION("""COMPUTED_VALUE"""),"MELIPILLA")</f>
        <v>MELIPILLA</v>
      </c>
    </row>
    <row r="2120" spans="1:4">
      <c r="A2120" s="7">
        <f ca="1">IFERROR(__xludf.DUMMYFUNCTION("""COMPUTED_VALUE"""),44179)</f>
        <v>44179</v>
      </c>
      <c r="B2120" s="6" t="str">
        <f ca="1">IFERROR(__xludf.DUMMYFUNCTION("""COMPUTED_VALUE"""),"-33.683663,-71.193906")</f>
        <v>-33.683663,-71.193906</v>
      </c>
      <c r="C2120" s="6" t="str">
        <f ca="1">IFERROR(__xludf.DUMMYFUNCTION("""COMPUTED_VALUE"""),"PSJ WOLFAG AMADEUS MOZART 248")</f>
        <v>PSJ WOLFAG AMADEUS MOZART 248</v>
      </c>
      <c r="D2120" s="6" t="str">
        <f ca="1">IFERROR(__xludf.DUMMYFUNCTION("""COMPUTED_VALUE"""),"MELIPILLA")</f>
        <v>MELIPILLA</v>
      </c>
    </row>
    <row r="2121" spans="1:4">
      <c r="A2121" s="7">
        <f ca="1">IFERROR(__xludf.DUMMYFUNCTION("""COMPUTED_VALUE"""),44180)</f>
        <v>44180</v>
      </c>
      <c r="B2121" s="8" t="str">
        <f ca="1">IFERROR(__xludf.DUMMYFUNCTION("""COMPUTED_VALUE"""),"-33.631701,-71.297609")</f>
        <v>-33.631701,-71.297609</v>
      </c>
      <c r="C2121" s="6" t="str">
        <f ca="1">IFERROR(__xludf.DUMMYFUNCTION("""COMPUTED_VALUE"""),"LUMBRERA 2131 RUTA E 714")</f>
        <v>LUMBRERA 2131 RUTA E 714</v>
      </c>
      <c r="D2121" s="6" t="str">
        <f ca="1">IFERROR(__xludf.DUMMYFUNCTION("""COMPUTED_VALUE"""),"MELIPILLA")</f>
        <v>MELIPILLA</v>
      </c>
    </row>
    <row r="2122" spans="1:4">
      <c r="A2122" s="7">
        <f ca="1">IFERROR(__xludf.DUMMYFUNCTION("""COMPUTED_VALUE"""),44180)</f>
        <v>44180</v>
      </c>
      <c r="B2122" s="8" t="str">
        <f ca="1">IFERROR(__xludf.DUMMYFUNCTION("""COMPUTED_VALUE"""),"-33.685691,-71.207988")</f>
        <v>-33.685691,-71.207988</v>
      </c>
      <c r="C2122" s="6" t="str">
        <f ca="1">IFERROR(__xludf.DUMMYFUNCTION("""COMPUTED_VALUE"""),"ALCALDE 431")</f>
        <v>ALCALDE 431</v>
      </c>
      <c r="D2122" s="6" t="str">
        <f ca="1">IFERROR(__xludf.DUMMYFUNCTION("""COMPUTED_VALUE"""),"MELIPILLA")</f>
        <v>MELIPILLA</v>
      </c>
    </row>
    <row r="2123" spans="1:4">
      <c r="A2123" s="7">
        <f ca="1">IFERROR(__xludf.DUMMYFUNCTION("""COMPUTED_VALUE"""),44180)</f>
        <v>44180</v>
      </c>
      <c r="B2123" s="8" t="str">
        <f ca="1">IFERROR(__xludf.DUMMYFUNCTION("""COMPUTED_VALUE"""),"-33.574132,-70.823530")</f>
        <v>-33.574132,-70.823530</v>
      </c>
      <c r="C2123" s="6" t="str">
        <f ca="1">IFERROR(__xludf.DUMMYFUNCTION("""COMPUTED_VALUE"""),"LAS ACACIAS 3173 ")</f>
        <v xml:space="preserve">LAS ACACIAS 3173 </v>
      </c>
      <c r="D2123" s="6" t="str">
        <f ca="1">IFERROR(__xludf.DUMMYFUNCTION("""COMPUTED_VALUE"""),"MELIPILLA")</f>
        <v>MELIPILLA</v>
      </c>
    </row>
    <row r="2124" spans="1:4">
      <c r="A2124" s="7">
        <f ca="1">IFERROR(__xludf.DUMMYFUNCTION("""COMPUTED_VALUE"""),44180)</f>
        <v>44180</v>
      </c>
      <c r="B2124" s="8" t="str">
        <f ca="1">IFERROR(__xludf.DUMMYFUNCTION("""COMPUTED_VALUE"""),"-33.704396,- 70.933153")</f>
        <v>-33.704396,- 70.933153</v>
      </c>
      <c r="C2124" s="6" t="str">
        <f ca="1">IFERROR(__xludf.DUMMYFUNCTION("""COMPUTED_VALUE"""),"AV TALAGANTE KM 1/2 LOTE B ")</f>
        <v xml:space="preserve">AV TALAGANTE KM 1/2 LOTE B </v>
      </c>
      <c r="D2124" s="6" t="str">
        <f ca="1">IFERROR(__xludf.DUMMYFUNCTION("""COMPUTED_VALUE"""),"TALAGANTE")</f>
        <v>TALAGANTE</v>
      </c>
    </row>
    <row r="2125" spans="1:4">
      <c r="A2125" s="7">
        <f ca="1">IFERROR(__xludf.DUMMYFUNCTION("""COMPUTED_VALUE"""),44180)</f>
        <v>44180</v>
      </c>
      <c r="B2125" s="8" t="str">
        <f ca="1">IFERROR(__xludf.DUMMYFUNCTION("""COMPUTED_VALUE"""),"-33.704396,-70.933153")</f>
        <v>-33.704396,-70.933153</v>
      </c>
      <c r="C2125" s="6" t="str">
        <f ca="1">IFERROR(__xludf.DUMMYFUNCTION("""COMPUTED_VALUE"""),"AV TALAGANTE KM 1/2 LOTE B ")</f>
        <v xml:space="preserve">AV TALAGANTE KM 1/2 LOTE B </v>
      </c>
      <c r="D2125" s="6" t="str">
        <f ca="1">IFERROR(__xludf.DUMMYFUNCTION("""COMPUTED_VALUE"""),"TALAGANTE")</f>
        <v>TALAGANTE</v>
      </c>
    </row>
    <row r="2126" spans="1:4">
      <c r="A2126" s="7">
        <f ca="1">IFERROR(__xludf.DUMMYFUNCTION("""COMPUTED_VALUE"""),44180)</f>
        <v>44180</v>
      </c>
      <c r="B2126" s="6" t="str">
        <f ca="1">IFERROR(__xludf.DUMMYFUNCTION("""COMPUTED_VALUE"""),"-33.674858,-71.234965")</f>
        <v>-33.674858,-71.234965</v>
      </c>
      <c r="C2126" s="6" t="str">
        <f ca="1">IFERROR(__xludf.DUMMYFUNCTION("""COMPUTED_VALUE"""),"CALLE DOLORES POZO ROMANINI 49")</f>
        <v>CALLE DOLORES POZO ROMANINI 49</v>
      </c>
      <c r="D2126" s="6" t="str">
        <f ca="1">IFERROR(__xludf.DUMMYFUNCTION("""COMPUTED_VALUE"""),"MELIPILLA")</f>
        <v>MELIPILLA</v>
      </c>
    </row>
    <row r="2127" spans="1:4">
      <c r="A2127" s="7">
        <f ca="1">IFERROR(__xludf.DUMMYFUNCTION("""COMPUTED_VALUE"""),44180)</f>
        <v>44180</v>
      </c>
      <c r="B2127" s="6" t="str">
        <f ca="1">IFERROR(__xludf.DUMMYFUNCTION("""COMPUTED_VALUE"""),"-33.674934,-71.210072")</f>
        <v>-33.674934,-71.210072</v>
      </c>
      <c r="C2127" s="6" t="str">
        <f ca="1">IFERROR(__xludf.DUMMYFUNCTION("""COMPUTED_VALUE"""),"PSJE JUAN MARTINEZ JARA 242")</f>
        <v>PSJE JUAN MARTINEZ JARA 242</v>
      </c>
      <c r="D2127" s="6" t="str">
        <f ca="1">IFERROR(__xludf.DUMMYFUNCTION("""COMPUTED_VALUE"""),"MELIPILLA")</f>
        <v>MELIPILLA</v>
      </c>
    </row>
    <row r="2128" spans="1:4">
      <c r="A2128" s="7">
        <f ca="1">IFERROR(__xludf.DUMMYFUNCTION("""COMPUTED_VALUE"""),44180)</f>
        <v>44180</v>
      </c>
      <c r="B2128" s="6" t="str">
        <f ca="1">IFERROR(__xludf.DUMMYFUNCTION("""COMPUTED_VALUE"""),"-33.683302,-71.194666")</f>
        <v>-33.683302,-71.194666</v>
      </c>
      <c r="C2128" s="6" t="str">
        <f ca="1">IFERROR(__xludf.DUMMYFUNCTION("""COMPUTED_VALUE"""),"JOSEPH HAYDN 233  VILLA GALILEA")</f>
        <v>JOSEPH HAYDN 233  VILLA GALILEA</v>
      </c>
      <c r="D2128" s="6" t="str">
        <f ca="1">IFERROR(__xludf.DUMMYFUNCTION("""COMPUTED_VALUE"""),"MELIPILLA")</f>
        <v>MELIPILLA</v>
      </c>
    </row>
    <row r="2129" spans="1:4">
      <c r="A2129" s="7">
        <f ca="1">IFERROR(__xludf.DUMMYFUNCTION("""COMPUTED_VALUE"""),44180)</f>
        <v>44180</v>
      </c>
      <c r="B2129" s="6" t="str">
        <f ca="1">IFERROR(__xludf.DUMMYFUNCTION("""COMPUTED_VALUE"""),"-33.682956,-71.195048")</f>
        <v>-33.682956,-71.195048</v>
      </c>
      <c r="C2129" s="6" t="str">
        <f ca="1">IFERROR(__xludf.DUMMYFUNCTION("""COMPUTED_VALUE"""),"PJE FRANZ JOSEPH HAYDN 241 VILLA GALILEA")</f>
        <v>PJE FRANZ JOSEPH HAYDN 241 VILLA GALILEA</v>
      </c>
      <c r="D2129" s="6" t="str">
        <f ca="1">IFERROR(__xludf.DUMMYFUNCTION("""COMPUTED_VALUE"""),"MELIPILLA")</f>
        <v>MELIPILLA</v>
      </c>
    </row>
    <row r="2130" spans="1:4">
      <c r="A2130" s="7">
        <f ca="1">IFERROR(__xludf.DUMMYFUNCTION("""COMPUTED_VALUE"""),44180)</f>
        <v>44180</v>
      </c>
      <c r="B2130" s="6" t="str">
        <f ca="1">IFERROR(__xludf.DUMMYFUNCTION("""COMPUTED_VALUE"""),"-33.693596,-71.226296")</f>
        <v>-33.693596,-71.226296</v>
      </c>
      <c r="C2130" s="6" t="str">
        <f ca="1">IFERROR(__xludf.DUMMYFUNCTION("""COMPUTED_VALUE"""),"PSJE LOS ZORZALEZ 1558")</f>
        <v>PSJE LOS ZORZALEZ 1558</v>
      </c>
      <c r="D2130" s="6" t="str">
        <f ca="1">IFERROR(__xludf.DUMMYFUNCTION("""COMPUTED_VALUE"""),"MELIPILLA")</f>
        <v>MELIPILLA</v>
      </c>
    </row>
    <row r="2131" spans="1:4">
      <c r="A2131" s="7">
        <f ca="1">IFERROR(__xludf.DUMMYFUNCTION("""COMPUTED_VALUE"""),44180)</f>
        <v>44180</v>
      </c>
      <c r="B2131" s="6" t="str">
        <f ca="1">IFERROR(__xludf.DUMMYFUNCTION("""COMPUTED_VALUE"""),"-33.680967,-71.197416")</f>
        <v>-33.680967,-71.197416</v>
      </c>
      <c r="C2131" s="6" t="str">
        <f ca="1">IFERROR(__xludf.DUMMYFUNCTION("""COMPUTED_VALUE"""),"PA UNO 522 POBLACION KARINA ")</f>
        <v xml:space="preserve">PA UNO 522 POBLACION KARINA </v>
      </c>
      <c r="D2131" s="6" t="str">
        <f ca="1">IFERROR(__xludf.DUMMYFUNCTION("""COMPUTED_VALUE"""),"MELIPILLA")</f>
        <v>MELIPILLA</v>
      </c>
    </row>
    <row r="2132" spans="1:4">
      <c r="A2132" s="7">
        <f ca="1">IFERROR(__xludf.DUMMYFUNCTION("""COMPUTED_VALUE"""),44181)</f>
        <v>44181</v>
      </c>
      <c r="B2132" s="8" t="str">
        <f ca="1">IFERROR(__xludf.DUMMYFUNCTION("""COMPUTED_VALUE"""),"-33658631,-70.913235")</f>
        <v>-33658631,-70.913235</v>
      </c>
      <c r="C2132" s="6" t="str">
        <f ca="1">IFERROR(__xludf.DUMMYFUNCTION("""COMPUTED_VALUE"""),"MANUEL MONT 817")</f>
        <v>MANUEL MONT 817</v>
      </c>
      <c r="D2132" s="6" t="str">
        <f ca="1">IFERROR(__xludf.DUMMYFUNCTION("""COMPUTED_VALUE"""),"TALAGANTE")</f>
        <v>TALAGANTE</v>
      </c>
    </row>
    <row r="2133" spans="1:4">
      <c r="A2133" s="7">
        <f ca="1">IFERROR(__xludf.DUMMYFUNCTION("""COMPUTED_VALUE"""),44181)</f>
        <v>44181</v>
      </c>
      <c r="B2133" s="8" t="str">
        <f ca="1">IFERROR(__xludf.DUMMYFUNCTION("""COMPUTED_VALUE"""),"-33.461045,- 71.082604")</f>
        <v>-33.461045,- 71.082604</v>
      </c>
      <c r="C2133" s="6" t="str">
        <f ca="1">IFERROR(__xludf.DUMMYFUNCTION("""COMPUTED_VALUE"""),"LOS ALERCES 2105")</f>
        <v>LOS ALERCES 2105</v>
      </c>
      <c r="D2133" s="6" t="str">
        <f ca="1">IFERROR(__xludf.DUMMYFUNCTION("""COMPUTED_VALUE"""),"MARIA PINTO")</f>
        <v>MARIA PINTO</v>
      </c>
    </row>
    <row r="2134" spans="1:4">
      <c r="A2134" s="7">
        <f ca="1">IFERROR(__xludf.DUMMYFUNCTION("""COMPUTED_VALUE"""),44181)</f>
        <v>44181</v>
      </c>
      <c r="B2134" s="8" t="str">
        <f ca="1">IFERROR(__xludf.DUMMYFUNCTION("""COMPUTED_VALUE"""),"-33.664125,- 71.306368")</f>
        <v>-33.664125,- 71.306368</v>
      </c>
      <c r="C2134" s="6" t="str">
        <f ca="1">IFERROR(__xludf.DUMMYFUNCTION("""COMPUTED_VALUE"""),"PUERTA COLORADA CV 11 ")</f>
        <v xml:space="preserve">PUERTA COLORADA CV 11 </v>
      </c>
      <c r="D2134" s="6" t="str">
        <f ca="1">IFERROR(__xludf.DUMMYFUNCTION("""COMPUTED_VALUE"""),"MELIPILLA")</f>
        <v>MELIPILLA</v>
      </c>
    </row>
    <row r="2135" spans="1:4">
      <c r="A2135" s="7">
        <f ca="1">IFERROR(__xludf.DUMMYFUNCTION("""COMPUTED_VALUE"""),44181)</f>
        <v>44181</v>
      </c>
      <c r="B2135" s="8" t="str">
        <f ca="1">IFERROR(__xludf.DUMMYFUNCTION("""COMPUTED_VALUE"""),"-33.681859,- 71.220785")</f>
        <v>-33.681859,- 71.220785</v>
      </c>
      <c r="C2135" s="6" t="str">
        <f ca="1">IFERROR(__xludf.DUMMYFUNCTION("""COMPUTED_VALUE"""),"CORINA BRAVO 1003")</f>
        <v>CORINA BRAVO 1003</v>
      </c>
      <c r="D2135" s="6" t="str">
        <f ca="1">IFERROR(__xludf.DUMMYFUNCTION("""COMPUTED_VALUE"""),"MELIPILLA")</f>
        <v>MELIPILLA</v>
      </c>
    </row>
    <row r="2136" spans="1:4">
      <c r="A2136" s="7">
        <f ca="1">IFERROR(__xludf.DUMMYFUNCTION("""COMPUTED_VALUE"""),44181)</f>
        <v>44181</v>
      </c>
      <c r="B2136" s="8" t="str">
        <f ca="1">IFERROR(__xludf.DUMMYFUNCTION("""COMPUTED_VALUE"""),"-33.688677,- 71.22361")</f>
        <v>-33.688677,- 71.22361</v>
      </c>
      <c r="C2136" s="6" t="str">
        <f ca="1">IFERROR(__xludf.DUMMYFUNCTION("""COMPUTED_VALUE"""),"SAN MIGUEL 1150 ")</f>
        <v xml:space="preserve">SAN MIGUEL 1150 </v>
      </c>
      <c r="D2136" s="6" t="str">
        <f ca="1">IFERROR(__xludf.DUMMYFUNCTION("""COMPUTED_VALUE"""),"MELIPILLA")</f>
        <v>MELIPILLA</v>
      </c>
    </row>
    <row r="2137" spans="1:4">
      <c r="A2137" s="7">
        <f ca="1">IFERROR(__xludf.DUMMYFUNCTION("""COMPUTED_VALUE"""),44181)</f>
        <v>44181</v>
      </c>
      <c r="B2137" s="8" t="str">
        <f ca="1">IFERROR(__xludf.DUMMYFUNCTION("""COMPUTED_VALUE"""),"-33.757442,.71297853")</f>
        <v>-33.757442,.71297853</v>
      </c>
      <c r="C2137" s="6" t="str">
        <f ca="1">IFERROR(__xludf.DUMMYFUNCTION("""COMPUTED_VALUE"""),"SAN RAFAEL DE ZODIGUA SITIO 12 ")</f>
        <v xml:space="preserve">SAN RAFAEL DE ZODIGUA SITIO 12 </v>
      </c>
      <c r="D2137" s="6" t="str">
        <f ca="1">IFERROR(__xludf.DUMMYFUNCTION("""COMPUTED_VALUE"""),"MELIPILLA")</f>
        <v>MELIPILLA</v>
      </c>
    </row>
    <row r="2138" spans="1:4">
      <c r="A2138" s="7">
        <f ca="1">IFERROR(__xludf.DUMMYFUNCTION("""COMPUTED_VALUE"""),44181)</f>
        <v>44181</v>
      </c>
      <c r="B2138" s="8" t="str">
        <f ca="1">IFERROR(__xludf.DUMMYFUNCTION("""COMPUTED_VALUE"""),"-33.687746,-71210741")</f>
        <v>-33.687746,-71210741</v>
      </c>
      <c r="C2138" s="6" t="str">
        <f ca="1">IFERROR(__xludf.DUMMYFUNCTION("""COMPUTED_VALUE"""),"VALDES 269 ")</f>
        <v xml:space="preserve">VALDES 269 </v>
      </c>
      <c r="D2138" s="6" t="str">
        <f ca="1">IFERROR(__xludf.DUMMYFUNCTION("""COMPUTED_VALUE"""),"MELIPILLA")</f>
        <v>MELIPILLA</v>
      </c>
    </row>
    <row r="2139" spans="1:4">
      <c r="A2139" s="7">
        <f ca="1">IFERROR(__xludf.DUMMYFUNCTION("""COMPUTED_VALUE"""),44181)</f>
        <v>44181</v>
      </c>
      <c r="B2139" s="8" t="str">
        <f ca="1">IFERROR(__xludf.DUMMYFUNCTION("""COMPUTED_VALUE"""),"-33.656409,-70917568")</f>
        <v>-33.656409,-70917568</v>
      </c>
      <c r="C2139" s="6" t="str">
        <f ca="1">IFERROR(__xludf.DUMMYFUNCTION("""COMPUTED_VALUE"""),"FRANCISCO MANDIOLA 043")</f>
        <v>FRANCISCO MANDIOLA 043</v>
      </c>
      <c r="D2139" s="6" t="str">
        <f ca="1">IFERROR(__xludf.DUMMYFUNCTION("""COMPUTED_VALUE"""),"MELIPILLA")</f>
        <v>MELIPILLA</v>
      </c>
    </row>
    <row r="2140" spans="1:4">
      <c r="A2140" s="7">
        <f ca="1">IFERROR(__xludf.DUMMYFUNCTION("""COMPUTED_VALUE"""),44181)</f>
        <v>44181</v>
      </c>
      <c r="B2140" s="6" t="str">
        <f ca="1">IFERROR(__xludf.DUMMYFUNCTION("""COMPUTED_VALUE"""),"-33.797688,-71.246306")</f>
        <v>-33.797688,-71.246306</v>
      </c>
      <c r="C2140" s="6" t="str">
        <f ca="1">IFERROR(__xludf.DUMMYFUNCTION("""COMPUTED_VALUE"""),"SECTOR LAS CHILCAS PC 297")</f>
        <v>SECTOR LAS CHILCAS PC 297</v>
      </c>
      <c r="D2140" s="6" t="str">
        <f ca="1">IFERROR(__xludf.DUMMYFUNCTION("""COMPUTED_VALUE"""),"MELIPILLA")</f>
        <v>MELIPILLA</v>
      </c>
    </row>
    <row r="2141" spans="1:4">
      <c r="A2141" s="7">
        <f ca="1">IFERROR(__xludf.DUMMYFUNCTION("""COMPUTED_VALUE"""),44181)</f>
        <v>44181</v>
      </c>
      <c r="B2141" s="6" t="str">
        <f ca="1">IFERROR(__xludf.DUMMYFUNCTION("""COMPUTED_VALUE"""),"-33.687033,-71.211480")</f>
        <v>-33.687033,-71.211480</v>
      </c>
      <c r="C2141" s="6" t="str">
        <f ca="1">IFERROR(__xludf.DUMMYFUNCTION("""COMPUTED_VALUE"""),"FUENZALIDA 562")</f>
        <v>FUENZALIDA 562</v>
      </c>
      <c r="D2141" s="6" t="str">
        <f ca="1">IFERROR(__xludf.DUMMYFUNCTION("""COMPUTED_VALUE"""),"MELIPILLA")</f>
        <v>MELIPILLA</v>
      </c>
    </row>
    <row r="2142" spans="1:4">
      <c r="A2142" s="7">
        <f ca="1">IFERROR(__xludf.DUMMYFUNCTION("""COMPUTED_VALUE"""),44182)</f>
        <v>44182</v>
      </c>
      <c r="B2142" s="8" t="str">
        <f ca="1">IFERROR(__xludf.DUMMYFUNCTION("""COMPUTED_VALUE"""),"-33.683153,.71195976")</f>
        <v>-33.683153,.71195976</v>
      </c>
      <c r="C2142" s="6" t="str">
        <f ca="1">IFERROR(__xludf.DUMMYFUNCTION("""COMPUTED_VALUE"""),"FELIX MENDELSSOHN   225")</f>
        <v>FELIX MENDELSSOHN   225</v>
      </c>
      <c r="D2142" s="6" t="str">
        <f ca="1">IFERROR(__xludf.DUMMYFUNCTION("""COMPUTED_VALUE"""),"MELIPILLA")</f>
        <v>MELIPILLA</v>
      </c>
    </row>
    <row r="2143" spans="1:4">
      <c r="A2143" s="7">
        <f ca="1">IFERROR(__xludf.DUMMYFUNCTION("""COMPUTED_VALUE"""),44182)</f>
        <v>44182</v>
      </c>
      <c r="B2143" s="8" t="str">
        <f ca="1">IFERROR(__xludf.DUMMYFUNCTION("""COMPUTED_VALUE"""),"-33.713435,-71286763")</f>
        <v>-33.713435,-71286763</v>
      </c>
      <c r="C2143" s="6" t="str">
        <f ca="1">IFERROR(__xludf.DUMMYFUNCTION("""COMPUTED_VALUE"""),"VILLORIO HUECHUN 5 ")</f>
        <v xml:space="preserve">VILLORIO HUECHUN 5 </v>
      </c>
      <c r="D2143" s="6" t="str">
        <f ca="1">IFERROR(__xludf.DUMMYFUNCTION("""COMPUTED_VALUE"""),"MELIPILLA")</f>
        <v>MELIPILLA</v>
      </c>
    </row>
    <row r="2144" spans="1:4">
      <c r="A2144" s="7">
        <f ca="1">IFERROR(__xludf.DUMMYFUNCTION("""COMPUTED_VALUE"""),44182)</f>
        <v>44182</v>
      </c>
      <c r="B2144" s="8" t="str">
        <f ca="1">IFERROR(__xludf.DUMMYFUNCTION("""COMPUTED_VALUE"""),"-33.680357,-71.196706")</f>
        <v>-33.680357,-71.196706</v>
      </c>
      <c r="C2144" s="6" t="str">
        <f ca="1">IFERROR(__xludf.DUMMYFUNCTION("""COMPUTED_VALUE"""),"TUCAPEL 592")</f>
        <v>TUCAPEL 592</v>
      </c>
      <c r="D2144" s="6" t="str">
        <f ca="1">IFERROR(__xludf.DUMMYFUNCTION("""COMPUTED_VALUE"""),"MELIPILLA")</f>
        <v>MELIPILLA</v>
      </c>
    </row>
    <row r="2145" spans="1:4">
      <c r="A2145" s="7">
        <f ca="1">IFERROR(__xludf.DUMMYFUNCTION("""COMPUTED_VALUE"""),44182)</f>
        <v>44182</v>
      </c>
      <c r="B2145" s="8" t="str">
        <f ca="1">IFERROR(__xludf.DUMMYFUNCTION("""COMPUTED_VALUE"""),"-33.570281,-71.204446")</f>
        <v>-33.570281,-71.204446</v>
      </c>
      <c r="C2145" s="6" t="str">
        <f ca="1">IFERROR(__xludf.DUMMYFUNCTION("""COMPUTED_VALUE"""),"EL BALLENAR 612")</f>
        <v>EL BALLENAR 612</v>
      </c>
      <c r="D2145" s="6" t="str">
        <f ca="1">IFERROR(__xludf.DUMMYFUNCTION("""COMPUTED_VALUE"""),"MELIPILLA")</f>
        <v>MELIPILLA</v>
      </c>
    </row>
    <row r="2146" spans="1:4">
      <c r="A2146" s="7">
        <f ca="1">IFERROR(__xludf.DUMMYFUNCTION("""COMPUTED_VALUE"""),44182)</f>
        <v>44182</v>
      </c>
      <c r="B2146" s="8" t="str">
        <f ca="1">IFERROR(__xludf.DUMMYFUNCTION("""COMPUTED_VALUE"""),"-33.680340,-71.197033")</f>
        <v>-33.680340,-71.197033</v>
      </c>
      <c r="C2146" s="6" t="str">
        <f ca="1">IFERROR(__xludf.DUMMYFUNCTION("""COMPUTED_VALUE"""),"TUCAPEL 582")</f>
        <v>TUCAPEL 582</v>
      </c>
      <c r="D2146" s="6" t="str">
        <f ca="1">IFERROR(__xludf.DUMMYFUNCTION("""COMPUTED_VALUE"""),"MELIPILLA")</f>
        <v>MELIPILLA</v>
      </c>
    </row>
    <row r="2147" spans="1:4">
      <c r="A2147" s="7">
        <f ca="1">IFERROR(__xludf.DUMMYFUNCTION("""COMPUTED_VALUE"""),44182)</f>
        <v>44182</v>
      </c>
      <c r="B2147" s="6" t="str">
        <f ca="1">IFERROR(__xludf.DUMMYFUNCTION("""COMPUTED_VALUE"""),"-33.683163,-71.214636")</f>
        <v>-33.683163,-71.214636</v>
      </c>
      <c r="C2147" s="6" t="str">
        <f ca="1">IFERROR(__xludf.DUMMYFUNCTION("""COMPUTED_VALUE"""),"UGALDE 576 CASA 2")</f>
        <v>UGALDE 576 CASA 2</v>
      </c>
      <c r="D2147" s="6" t="str">
        <f ca="1">IFERROR(__xludf.DUMMYFUNCTION("""COMPUTED_VALUE"""),"MELIPILLA")</f>
        <v>MELIPILLA</v>
      </c>
    </row>
    <row r="2148" spans="1:4">
      <c r="A2148" s="7">
        <f ca="1">IFERROR(__xludf.DUMMYFUNCTION("""COMPUTED_VALUE"""),44182)</f>
        <v>44182</v>
      </c>
      <c r="B2148" s="6" t="str">
        <f ca="1">IFERROR(__xludf.DUMMYFUNCTION("""COMPUTED_VALUE"""),"-33.770960,-71.171487")</f>
        <v>-33.770960,-71.171487</v>
      </c>
      <c r="C2148" s="6" t="str">
        <f ca="1">IFERROR(__xludf.DUMMYFUNCTION("""COMPUTED_VALUE"""),"MANANTIALES 1043 ST-8")</f>
        <v>MANANTIALES 1043 ST-8</v>
      </c>
      <c r="D2148" s="6" t="str">
        <f ca="1">IFERROR(__xludf.DUMMYFUNCTION("""COMPUTED_VALUE"""),"MELIPILLA")</f>
        <v>MELIPILLA</v>
      </c>
    </row>
    <row r="2149" spans="1:4">
      <c r="A2149" s="7">
        <f ca="1">IFERROR(__xludf.DUMMYFUNCTION("""COMPUTED_VALUE"""),44182)</f>
        <v>44182</v>
      </c>
      <c r="B2149" s="6" t="str">
        <f ca="1">IFERROR(__xludf.DUMMYFUNCTION("""COMPUTED_VALUE"""),"-33.771525,-71.171780")</f>
        <v>-33.771525,-71.171780</v>
      </c>
      <c r="C2149" s="6" t="str">
        <f ca="1">IFERROR(__xludf.DUMMYFUNCTION("""COMPUTED_VALUE"""),"MANANTIALES  4310")</f>
        <v>MANANTIALES  4310</v>
      </c>
      <c r="D2149" s="6" t="str">
        <f ca="1">IFERROR(__xludf.DUMMYFUNCTION("""COMPUTED_VALUE"""),"MELIPILLA")</f>
        <v>MELIPILLA</v>
      </c>
    </row>
    <row r="2150" spans="1:4">
      <c r="A2150" s="7">
        <f ca="1">IFERROR(__xludf.DUMMYFUNCTION("""COMPUTED_VALUE"""),44182)</f>
        <v>44182</v>
      </c>
      <c r="B2150" s="6" t="str">
        <f ca="1">IFERROR(__xludf.DUMMYFUNCTION("""COMPUTED_VALUE"""),"-33.677063,-71.209967")</f>
        <v>-33.677063,-71.209967</v>
      </c>
      <c r="C2150" s="6" t="str">
        <f ca="1">IFERROR(__xludf.DUMMYFUNCTION("""COMPUTED_VALUE"""),"OSTOLOZAS 136 ")</f>
        <v xml:space="preserve">OSTOLOZAS 136 </v>
      </c>
      <c r="D2150" s="6" t="str">
        <f ca="1">IFERROR(__xludf.DUMMYFUNCTION("""COMPUTED_VALUE"""),"MELIPILLA")</f>
        <v>MELIPILLA</v>
      </c>
    </row>
    <row r="2151" spans="1:4">
      <c r="A2151" s="7">
        <f ca="1">IFERROR(__xludf.DUMMYFUNCTION("""COMPUTED_VALUE"""),44183)</f>
        <v>44183</v>
      </c>
      <c r="B2151" s="8" t="str">
        <f ca="1">IFERROR(__xludf.DUMMYFUNCTION("""COMPUTED_VALUE"""),"-33.8120550,-71.3148590")</f>
        <v>-33.8120550,-71.3148590</v>
      </c>
      <c r="C2151" s="6" t="str">
        <f ca="1">IFERROR(__xludf.DUMMYFUNCTION("""COMPUTED_VALUE"""),"RUTA G60 KM 16")</f>
        <v>RUTA G60 KM 16</v>
      </c>
      <c r="D2151" s="6" t="str">
        <f ca="1">IFERROR(__xludf.DUMMYFUNCTION("""COMPUTED_VALUE"""),"MELIPILLA")</f>
        <v>MELIPILLA</v>
      </c>
    </row>
    <row r="2152" spans="1:4">
      <c r="A2152" s="7">
        <f ca="1">IFERROR(__xludf.DUMMYFUNCTION("""COMPUTED_VALUE"""),44183)</f>
        <v>44183</v>
      </c>
      <c r="B2152" s="8" t="str">
        <f ca="1">IFERROR(__xludf.DUMMYFUNCTION("""COMPUTED_VALUE"""),"-33.691582,-71.227458")</f>
        <v>-33.691582,-71.227458</v>
      </c>
      <c r="C2152" s="6" t="str">
        <f ca="1">IFERROR(__xludf.DUMMYFUNCTION("""COMPUTED_VALUE"""),"PJE LAS VILCAS 1320 ")</f>
        <v xml:space="preserve">PJE LAS VILCAS 1320 </v>
      </c>
      <c r="D2152" s="6" t="str">
        <f ca="1">IFERROR(__xludf.DUMMYFUNCTION("""COMPUTED_VALUE"""),"MELIPILLA")</f>
        <v>MELIPILLA</v>
      </c>
    </row>
    <row r="2153" spans="1:4">
      <c r="A2153" s="7">
        <f ca="1">IFERROR(__xludf.DUMMYFUNCTION("""COMPUTED_VALUE"""),44183)</f>
        <v>44183</v>
      </c>
      <c r="B2153" s="8" t="str">
        <f ca="1">IFERROR(__xludf.DUMMYFUNCTION("""COMPUTED_VALUE"""),"-33.562017,-71.125666")</f>
        <v>-33.562017,-71.125666</v>
      </c>
      <c r="C2153" s="6" t="str">
        <f ca="1">IFERROR(__xludf.DUMMYFUNCTION("""COMPUTED_VALUE"""),"AV VALPARAISO PARCELA 13 LO LEO")</f>
        <v>AV VALPARAISO PARCELA 13 LO LEO</v>
      </c>
      <c r="D2153" s="6" t="str">
        <f ca="1">IFERROR(__xludf.DUMMYFUNCTION("""COMPUTED_VALUE"""),"MELIPILLA")</f>
        <v>MELIPILLA</v>
      </c>
    </row>
    <row r="2154" spans="1:4">
      <c r="A2154" s="7">
        <f ca="1">IFERROR(__xludf.DUMMYFUNCTION("""COMPUTED_VALUE"""),44183)</f>
        <v>44183</v>
      </c>
      <c r="B2154" s="8" t="str">
        <f ca="1">IFERROR(__xludf.DUMMYFUNCTION("""COMPUTED_VALUE"""),"-33.571716,-70.807866")</f>
        <v>-33.571716,-70.807866</v>
      </c>
      <c r="C2154" s="6" t="str">
        <f ca="1">IFERROR(__xludf.DUMMYFUNCTION("""COMPUTED_VALUE"""),"SANTIAGO 1982")</f>
        <v>SANTIAGO 1982</v>
      </c>
      <c r="D2154" s="6" t="str">
        <f ca="1">IFERROR(__xludf.DUMMYFUNCTION("""COMPUTED_VALUE"""),"MELIPILLA")</f>
        <v>MELIPILLA</v>
      </c>
    </row>
    <row r="2155" spans="1:4">
      <c r="A2155" s="7">
        <f ca="1">IFERROR(__xludf.DUMMYFUNCTION("""COMPUTED_VALUE"""),44183)</f>
        <v>44183</v>
      </c>
      <c r="B2155" s="8" t="str">
        <f ca="1">IFERROR(__xludf.DUMMYFUNCTION("""COMPUTED_VALUE"""),"-33.6527299,-70.9036160")</f>
        <v>-33.6527299,-70.9036160</v>
      </c>
      <c r="C2155" s="6" t="str">
        <f ca="1">IFERROR(__xludf.DUMMYFUNCTION("""COMPUTED_VALUE"""),"AV SAN MARTIN 0661")</f>
        <v>AV SAN MARTIN 0661</v>
      </c>
      <c r="D2155" s="6" t="str">
        <f ca="1">IFERROR(__xludf.DUMMYFUNCTION("""COMPUTED_VALUE"""),"MELIPILLA")</f>
        <v>MELIPILLA</v>
      </c>
    </row>
    <row r="2156" spans="1:4">
      <c r="A2156" s="7">
        <f ca="1">IFERROR(__xludf.DUMMYFUNCTION("""COMPUTED_VALUE"""),44183)</f>
        <v>44183</v>
      </c>
      <c r="B2156" s="8" t="str">
        <f ca="1">IFERROR(__xludf.DUMMYFUNCTION("""COMPUTED_VALUE"""),"-33.501128,-71.250869")</f>
        <v>-33.501128,-71.250869</v>
      </c>
      <c r="C2156" s="6" t="str">
        <f ca="1">IFERROR(__xludf.DUMMYFUNCTION("""COMPUTED_VALUE"""),"PARCELA 79")</f>
        <v>PARCELA 79</v>
      </c>
      <c r="D2156" s="6" t="str">
        <f ca="1">IFERROR(__xludf.DUMMYFUNCTION("""COMPUTED_VALUE"""),"MELIPILLA")</f>
        <v>MELIPILLA</v>
      </c>
    </row>
    <row r="2157" spans="1:4">
      <c r="A2157" s="7">
        <f ca="1">IFERROR(__xludf.DUMMYFUNCTION("""COMPUTED_VALUE"""),44183)</f>
        <v>44183</v>
      </c>
      <c r="B2157" s="8" t="str">
        <f ca="1">IFERROR(__xludf.DUMMYFUNCTION("""COMPUTED_VALUE"""),"-33.673744,-71.209865")</f>
        <v>-33.673744,-71.209865</v>
      </c>
      <c r="C2157" s="6" t="str">
        <f ca="1">IFERROR(__xludf.DUMMYFUNCTION("""COMPUTED_VALUE"""),"PJE XENON ALVAREZ 300 ")</f>
        <v xml:space="preserve">PJE XENON ALVAREZ 300 </v>
      </c>
      <c r="D2157" s="6" t="str">
        <f ca="1">IFERROR(__xludf.DUMMYFUNCTION("""COMPUTED_VALUE"""),"MELIPILLA")</f>
        <v>MELIPILLA</v>
      </c>
    </row>
    <row r="2158" spans="1:4">
      <c r="A2158" s="7">
        <f ca="1">IFERROR(__xludf.DUMMYFUNCTION("""COMPUTED_VALUE"""),44183)</f>
        <v>44183</v>
      </c>
      <c r="B2158" s="6" t="str">
        <f ca="1">IFERROR(__xludf.DUMMYFUNCTION("""COMPUTED_VALUE"""),"-33.694925,-71.197844")</f>
        <v>-33.694925,-71.197844</v>
      </c>
      <c r="C2158" s="6" t="str">
        <f ca="1">IFERROR(__xludf.DUMMYFUNCTION("""COMPUTED_VALUE"""),"EL  BAJO S/N-CV107LOTE A")</f>
        <v>EL  BAJO S/N-CV107LOTE A</v>
      </c>
      <c r="D2158" s="6" t="str">
        <f ca="1">IFERROR(__xludf.DUMMYFUNCTION("""COMPUTED_VALUE"""),"MELIPILLA")</f>
        <v>MELIPILLA</v>
      </c>
    </row>
    <row r="2159" spans="1:4">
      <c r="A2159" s="7">
        <f ca="1">IFERROR(__xludf.DUMMYFUNCTION("""COMPUTED_VALUE"""),44183)</f>
        <v>44183</v>
      </c>
      <c r="B2159" s="6" t="str">
        <f ca="1">IFERROR(__xludf.DUMMYFUNCTION("""COMPUTED_VALUE"""),"-33.694347,-71.197986")</f>
        <v>-33.694347,-71.197986</v>
      </c>
      <c r="C2159" s="6" t="str">
        <f ca="1">IFERROR(__xludf.DUMMYFUNCTION("""COMPUTED_VALUE"""),"EL BAJO S/N")</f>
        <v>EL BAJO S/N</v>
      </c>
      <c r="D2159" s="6" t="str">
        <f ca="1">IFERROR(__xludf.DUMMYFUNCTION("""COMPUTED_VALUE"""),"MELIPILLA")</f>
        <v>MELIPILLA</v>
      </c>
    </row>
    <row r="2160" spans="1:4">
      <c r="A2160" s="7">
        <f ca="1">IFERROR(__xludf.DUMMYFUNCTION("""COMPUTED_VALUE"""),44183)</f>
        <v>44183</v>
      </c>
      <c r="B2160" s="6" t="str">
        <f ca="1">IFERROR(__xludf.DUMMYFUNCTION("""COMPUTED_VALUE"""),"-33.694347,-71.197986")</f>
        <v>-33.694347,-71.197986</v>
      </c>
      <c r="C2160" s="6" t="str">
        <f ca="1">IFERROR(__xludf.DUMMYFUNCTION("""COMPUTED_VALUE"""),"EL BAJO S/N")</f>
        <v>EL BAJO S/N</v>
      </c>
      <c r="D2160" s="6" t="str">
        <f ca="1">IFERROR(__xludf.DUMMYFUNCTION("""COMPUTED_VALUE"""),"MELIPILLA")</f>
        <v>MELIPILLA</v>
      </c>
    </row>
    <row r="2161" spans="1:4">
      <c r="A2161" s="7">
        <f ca="1">IFERROR(__xludf.DUMMYFUNCTION("""COMPUTED_VALUE"""),44183)</f>
        <v>44183</v>
      </c>
      <c r="B2161" s="6" t="str">
        <f ca="1">IFERROR(__xludf.DUMMYFUNCTION("""COMPUTED_VALUE"""),"33.431395,-71.048853")</f>
        <v>33.431395,-71.048853</v>
      </c>
      <c r="C2161" s="6" t="str">
        <f ca="1">IFERROR(__xludf.DUMMYFUNCTION("""COMPUTED_VALUE"""),"FDO LAS CASA DE LOLENCO L 5  B")</f>
        <v>FDO LAS CASA DE LOLENCO L 5  B</v>
      </c>
      <c r="D2161" s="6" t="str">
        <f ca="1">IFERROR(__xludf.DUMMYFUNCTION("""COMPUTED_VALUE"""),"CURACAVI")</f>
        <v>CURACAVI</v>
      </c>
    </row>
    <row r="2162" spans="1:4">
      <c r="A2162" s="7">
        <f ca="1">IFERROR(__xludf.DUMMYFUNCTION("""COMPUTED_VALUE"""),44184)</f>
        <v>44184</v>
      </c>
      <c r="B2162" s="8" t="str">
        <f ca="1">IFERROR(__xludf.DUMMYFUNCTION("""COMPUTED_VALUE"""),"-33.570254,-71.210474")</f>
        <v>-33.570254,-71.210474</v>
      </c>
      <c r="C2162" s="6" t="str">
        <f ca="1">IFERROR(__xludf.DUMMYFUNCTION("""COMPUTED_VALUE"""),"BALLENAR 19")</f>
        <v>BALLENAR 19</v>
      </c>
      <c r="D2162" s="6" t="str">
        <f ca="1">IFERROR(__xludf.DUMMYFUNCTION("""COMPUTED_VALUE"""),"MELIPILLA")</f>
        <v>MELIPILLA</v>
      </c>
    </row>
    <row r="2163" spans="1:4">
      <c r="A2163" s="7">
        <f ca="1">IFERROR(__xludf.DUMMYFUNCTION("""COMPUTED_VALUE"""),44184)</f>
        <v>44184</v>
      </c>
      <c r="B2163" s="8" t="str">
        <f ca="1">IFERROR(__xludf.DUMMYFUNCTION("""COMPUTED_VALUE"""),"-33.683521,-71.199969")</f>
        <v>-33.683521,-71.199969</v>
      </c>
      <c r="C2163" s="6" t="str">
        <f ca="1">IFERROR(__xludf.DUMMYFUNCTION("""COMPUTED_VALUE"""),"SAN MARTIN 611")</f>
        <v>SAN MARTIN 611</v>
      </c>
      <c r="D2163" s="6" t="str">
        <f ca="1">IFERROR(__xludf.DUMMYFUNCTION("""COMPUTED_VALUE"""),"MELIPILLA")</f>
        <v>MELIPILLA</v>
      </c>
    </row>
    <row r="2164" spans="1:4">
      <c r="A2164" s="7">
        <f ca="1">IFERROR(__xludf.DUMMYFUNCTION("""COMPUTED_VALUE"""),44184)</f>
        <v>44184</v>
      </c>
      <c r="B2164" s="6" t="str">
        <f ca="1">IFERROR(__xludf.DUMMYFUNCTION("""COMPUTED_VALUE"""),"-33.616956,-70.788219")</f>
        <v>-33.616956,-70.788219</v>
      </c>
      <c r="C2164" s="6" t="str">
        <f ca="1">IFERROR(__xludf.DUMMYFUNCTION("""COMPUTED_VALUE"""),"LAS PARCELAS LOTE A PARCELA 3")</f>
        <v>LAS PARCELAS LOTE A PARCELA 3</v>
      </c>
      <c r="D2164" s="6" t="str">
        <f ca="1">IFERROR(__xludf.DUMMYFUNCTION("""COMPUTED_VALUE"""),"CALERA DE TANGO")</f>
        <v>CALERA DE TANGO</v>
      </c>
    </row>
    <row r="2165" spans="1:4">
      <c r="A2165" s="7">
        <f ca="1">IFERROR(__xludf.DUMMYFUNCTION("""COMPUTED_VALUE"""),44186)</f>
        <v>44186</v>
      </c>
      <c r="B2165" s="8" t="str">
        <f ca="1">IFERROR(__xludf.DUMMYFUNCTION("""COMPUTED_VALUE"""),"-33.842735,-71.276062")</f>
        <v>-33.842735,-71.276062</v>
      </c>
      <c r="C2165" s="6" t="str">
        <f ca="1">IFERROR(__xludf.DUMMYFUNCTION("""COMPUTED_VALUE"""),"POPETA S-N")</f>
        <v>POPETA S-N</v>
      </c>
      <c r="D2165" s="6" t="str">
        <f ca="1">IFERROR(__xludf.DUMMYFUNCTION("""COMPUTED_VALUE"""),"MELIPILLA")</f>
        <v>MELIPILLA</v>
      </c>
    </row>
    <row r="2166" spans="1:4">
      <c r="A2166" s="7">
        <f ca="1">IFERROR(__xludf.DUMMYFUNCTION("""COMPUTED_VALUE"""),44186)</f>
        <v>44186</v>
      </c>
      <c r="B2166" s="8" t="str">
        <f ca="1">IFERROR(__xludf.DUMMYFUNCTION("""COMPUTED_VALUE"""),"-33.541317,-71.223640")</f>
        <v>-33.541317,-71.223640</v>
      </c>
      <c r="C2166" s="6" t="str">
        <f ca="1">IFERROR(__xludf.DUMMYFUNCTION("""COMPUTED_VALUE"""),"CHOROMBO S/N  ")</f>
        <v xml:space="preserve">CHOROMBO S/N  </v>
      </c>
      <c r="D2166" s="6" t="str">
        <f ca="1">IFERROR(__xludf.DUMMYFUNCTION("""COMPUTED_VALUE"""),"MARIA PINTO")</f>
        <v>MARIA PINTO</v>
      </c>
    </row>
    <row r="2167" spans="1:4">
      <c r="A2167" s="7">
        <f ca="1">IFERROR(__xludf.DUMMYFUNCTION("""COMPUTED_VALUE"""),44186)</f>
        <v>44186</v>
      </c>
      <c r="B2167" s="8" t="str">
        <f ca="1">IFERROR(__xludf.DUMMYFUNCTION("""COMPUTED_VALUE"""),"-33.679970.-71.224635")</f>
        <v>-33.679970.-71.224635</v>
      </c>
      <c r="C2167" s="6" t="str">
        <f ca="1">IFERROR(__xludf.DUMMYFUNCTION("""COMPUTED_VALUE"""),"POLICARPO TORO 19")</f>
        <v>POLICARPO TORO 19</v>
      </c>
      <c r="D2167" s="6" t="str">
        <f ca="1">IFERROR(__xludf.DUMMYFUNCTION("""COMPUTED_VALUE"""),"MELIPILLA")</f>
        <v>MELIPILLA</v>
      </c>
    </row>
    <row r="2168" spans="1:4">
      <c r="A2168" s="7">
        <f ca="1">IFERROR(__xludf.DUMMYFUNCTION("""COMPUTED_VALUE"""),44186)</f>
        <v>44186</v>
      </c>
      <c r="B2168" s="6" t="str">
        <f ca="1">IFERROR(__xludf.DUMMYFUNCTION("""COMPUTED_VALUE"""),"-33.770068,-71.174631")</f>
        <v>-33.770068,-71.174631</v>
      </c>
      <c r="C2168" s="6" t="str">
        <f ca="1">IFERROR(__xludf.DUMMYFUNCTION("""COMPUTED_VALUE"""),"MANANTIALES 3")</f>
        <v>MANANTIALES 3</v>
      </c>
      <c r="D2168" s="6" t="str">
        <f ca="1">IFERROR(__xludf.DUMMYFUNCTION("""COMPUTED_VALUE"""),"MELIPILLA")</f>
        <v>MELIPILLA</v>
      </c>
    </row>
    <row r="2169" spans="1:4">
      <c r="A2169" s="7">
        <f ca="1">IFERROR(__xludf.DUMMYFUNCTION("""COMPUTED_VALUE"""),44186)</f>
        <v>44186</v>
      </c>
      <c r="B2169" s="6" t="str">
        <f ca="1">IFERROR(__xludf.DUMMYFUNCTION("""COMPUTED_VALUE"""),"-33.6762558,-71233692")</f>
        <v>-33.6762558,-71233692</v>
      </c>
      <c r="C2169" s="6" t="str">
        <f ca="1">IFERROR(__xludf.DUMMYFUNCTION("""COMPUTED_VALUE"""),"PJE JOSE PEROTTI 6 ")</f>
        <v xml:space="preserve">PJE JOSE PEROTTI 6 </v>
      </c>
      <c r="D2169" s="6" t="str">
        <f ca="1">IFERROR(__xludf.DUMMYFUNCTION("""COMPUTED_VALUE"""),"MELIPILLA")</f>
        <v>MELIPILLA</v>
      </c>
    </row>
    <row r="2170" spans="1:4">
      <c r="A2170" s="7">
        <f ca="1">IFERROR(__xludf.DUMMYFUNCTION("""COMPUTED_VALUE"""),44186)</f>
        <v>44186</v>
      </c>
      <c r="B2170" s="6" t="str">
        <f ca="1">IFERROR(__xludf.DUMMYFUNCTION("""COMPUTED_VALUE"""),"-33.769211,-71.177405")</f>
        <v>-33.769211,-71.177405</v>
      </c>
      <c r="C2170" s="6" t="str">
        <f ca="1">IFERROR(__xludf.DUMMYFUNCTION("""COMPUTED_VALUE"""),"SECTOR MANANTIALES S/N LOTE 5 Y 10")</f>
        <v>SECTOR MANANTIALES S/N LOTE 5 Y 10</v>
      </c>
      <c r="D2170" s="6" t="str">
        <f ca="1">IFERROR(__xludf.DUMMYFUNCTION("""COMPUTED_VALUE"""),"MELIPILLA")</f>
        <v>MELIPILLA</v>
      </c>
    </row>
    <row r="2171" spans="1:4">
      <c r="A2171" s="7">
        <f ca="1">IFERROR(__xludf.DUMMYFUNCTION("""COMPUTED_VALUE"""),44187)</f>
        <v>44187</v>
      </c>
      <c r="B2171" s="8" t="str">
        <f ca="1">IFERROR(__xludf.DUMMYFUNCTION("""COMPUTED_VALUE"""),"-33.683590.-71.186778")</f>
        <v>-33.683590.-71.186778</v>
      </c>
      <c r="C2171" s="6" t="str">
        <f ca="1">IFERROR(__xludf.DUMMYFUNCTION("""COMPUTED_VALUE"""),"SOINCA 3 ")</f>
        <v xml:space="preserve">SOINCA 3 </v>
      </c>
      <c r="D2171" s="6" t="str">
        <f ca="1">IFERROR(__xludf.DUMMYFUNCTION("""COMPUTED_VALUE"""),"MELIPILLA")</f>
        <v>MELIPILLA</v>
      </c>
    </row>
    <row r="2172" spans="1:4">
      <c r="A2172" s="7">
        <f ca="1">IFERROR(__xludf.DUMMYFUNCTION("""COMPUTED_VALUE"""),44187)</f>
        <v>44187</v>
      </c>
      <c r="B2172" s="8" t="str">
        <f ca="1">IFERROR(__xludf.DUMMYFUNCTION("""COMPUTED_VALUE"""),"-33.683590.-71.186778")</f>
        <v>-33.683590.-71.186778</v>
      </c>
      <c r="C2172" s="6" t="str">
        <f ca="1">IFERROR(__xludf.DUMMYFUNCTION("""COMPUTED_VALUE"""),"SECTOR SOINCA 3 ")</f>
        <v xml:space="preserve">SECTOR SOINCA 3 </v>
      </c>
      <c r="D2172" s="6" t="str">
        <f ca="1">IFERROR(__xludf.DUMMYFUNCTION("""COMPUTED_VALUE"""),"MELIPILLA")</f>
        <v>MELIPILLA</v>
      </c>
    </row>
    <row r="2173" spans="1:4">
      <c r="A2173" s="7">
        <f ca="1">IFERROR(__xludf.DUMMYFUNCTION("""COMPUTED_VALUE"""),44187)</f>
        <v>44187</v>
      </c>
      <c r="B2173" s="8" t="str">
        <f ca="1">IFERROR(__xludf.DUMMYFUNCTION("""COMPUTED_VALUE"""),"-33.6834523.-71.2309544")</f>
        <v>-33.6834523.-71.2309544</v>
      </c>
      <c r="C2173" s="6" t="str">
        <f ca="1">IFERROR(__xludf.DUMMYFUNCTION("""COMPUTED_VALUE"""),"RAUL SILVA HENRIQUEZ 391 ")</f>
        <v xml:space="preserve">RAUL SILVA HENRIQUEZ 391 </v>
      </c>
      <c r="D2173" s="6" t="str">
        <f ca="1">IFERROR(__xludf.DUMMYFUNCTION("""COMPUTED_VALUE"""),"MELIPILLA")</f>
        <v>MELIPILLA</v>
      </c>
    </row>
    <row r="2174" spans="1:4">
      <c r="A2174" s="7">
        <f ca="1">IFERROR(__xludf.DUMMYFUNCTION("""COMPUTED_VALUE"""),44187)</f>
        <v>44187</v>
      </c>
      <c r="B2174" s="8" t="str">
        <f ca="1">IFERROR(__xludf.DUMMYFUNCTION("""COMPUTED_VALUE"""),"-33.6736274.-71.2099588")</f>
        <v>-33.6736274.-71.2099588</v>
      </c>
      <c r="C2174" s="6" t="str">
        <f ca="1">IFERROR(__xludf.DUMMYFUNCTION("""COMPUTED_VALUE"""),"PJ XENON ALVAREZ 305")</f>
        <v>PJ XENON ALVAREZ 305</v>
      </c>
      <c r="D2174" s="6" t="str">
        <f ca="1">IFERROR(__xludf.DUMMYFUNCTION("""COMPUTED_VALUE"""),"MELIPILLA")</f>
        <v>MELIPILLA</v>
      </c>
    </row>
    <row r="2175" spans="1:4">
      <c r="A2175" s="7">
        <f ca="1">IFERROR(__xludf.DUMMYFUNCTION("""COMPUTED_VALUE"""),44187)</f>
        <v>44187</v>
      </c>
      <c r="B2175" s="8" t="str">
        <f ca="1">IFERROR(__xludf.DUMMYFUNCTION("""COMPUTED_VALUE"""),"-33.842463.-71.276578")</f>
        <v>-33.842463.-71.276578</v>
      </c>
      <c r="C2175" s="6" t="str">
        <f ca="1">IFERROR(__xludf.DUMMYFUNCTION("""COMPUTED_VALUE"""),"SECTOR CASCO POPETA S/N")</f>
        <v>SECTOR CASCO POPETA S/N</v>
      </c>
      <c r="D2175" s="6" t="str">
        <f ca="1">IFERROR(__xludf.DUMMYFUNCTION("""COMPUTED_VALUE"""),"MELIPILLA")</f>
        <v>MELIPILLA</v>
      </c>
    </row>
    <row r="2176" spans="1:4">
      <c r="A2176" s="7">
        <f ca="1">IFERROR(__xludf.DUMMYFUNCTION("""COMPUTED_VALUE"""),44187)</f>
        <v>44187</v>
      </c>
      <c r="B2176" s="8" t="str">
        <f ca="1">IFERROR(__xludf.DUMMYFUNCTION("""COMPUTED_VALUE"""),"-33.761172,-71.329170")</f>
        <v>-33.761172,-71.329170</v>
      </c>
      <c r="C2176" s="6" t="str">
        <f ca="1">IFERROR(__xludf.DUMMYFUNCTION("""COMPUTED_VALUE"""),"CAMINO CODIGUA 41")</f>
        <v>CAMINO CODIGUA 41</v>
      </c>
      <c r="D2176" s="6" t="str">
        <f ca="1">IFERROR(__xludf.DUMMYFUNCTION("""COMPUTED_VALUE"""),"MELIPILLA")</f>
        <v>MELIPILLA</v>
      </c>
    </row>
    <row r="2177" spans="1:4">
      <c r="A2177" s="7">
        <f ca="1">IFERROR(__xludf.DUMMYFUNCTION("""COMPUTED_VALUE"""),44187)</f>
        <v>44187</v>
      </c>
      <c r="B2177" s="8" t="str">
        <f ca="1">IFERROR(__xludf.DUMMYFUNCTION("""COMPUTED_VALUE"""),"-33.635193,-71.230652")</f>
        <v>-33.635193,-71.230652</v>
      </c>
      <c r="C2177" s="6" t="str">
        <f ca="1">IFERROR(__xludf.DUMMYFUNCTION("""COMPUTED_VALUE"""),"SECTOR RUMAY S/N")</f>
        <v>SECTOR RUMAY S/N</v>
      </c>
      <c r="D2177" s="6" t="str">
        <f ca="1">IFERROR(__xludf.DUMMYFUNCTION("""COMPUTED_VALUE"""),"MELIPILLA")</f>
        <v>MELIPILLA</v>
      </c>
    </row>
    <row r="2178" spans="1:4">
      <c r="A2178" s="7">
        <f ca="1">IFERROR(__xludf.DUMMYFUNCTION("""COMPUTED_VALUE"""),44187)</f>
        <v>44187</v>
      </c>
      <c r="B2178" s="6" t="str">
        <f ca="1">IFERROR(__xludf.DUMMYFUNCTION("""COMPUTED_VALUE"""),"-33.683945,-71.198519")</f>
        <v>-33.683945,-71.198519</v>
      </c>
      <c r="C2178" s="6" t="str">
        <f ca="1">IFERROR(__xludf.DUMMYFUNCTION("""COMPUTED_VALUE"""),"PJE RENZO PECHENNINO 241")</f>
        <v>PJE RENZO PECHENNINO 241</v>
      </c>
      <c r="D2178" s="6" t="str">
        <f ca="1">IFERROR(__xludf.DUMMYFUNCTION("""COMPUTED_VALUE"""),"MELIPILLA")</f>
        <v>MELIPILLA</v>
      </c>
    </row>
    <row r="2179" spans="1:4">
      <c r="A2179" s="7">
        <f ca="1">IFERROR(__xludf.DUMMYFUNCTION("""COMPUTED_VALUE"""),44187)</f>
        <v>44187</v>
      </c>
      <c r="B2179" s="6" t="str">
        <f ca="1">IFERROR(__xludf.DUMMYFUNCTION("""COMPUTED_VALUE"""),"-33.569847,-71.184419")</f>
        <v>-33.569847,-71.184419</v>
      </c>
      <c r="C2179" s="6" t="str">
        <f ca="1">IFERROR(__xludf.DUMMYFUNCTION("""COMPUTED_VALUE"""),"SAN RAMON MALLARAUCO S/N PARC 58")</f>
        <v>SAN RAMON MALLARAUCO S/N PARC 58</v>
      </c>
      <c r="D2179" s="6" t="str">
        <f ca="1">IFERROR(__xludf.DUMMYFUNCTION("""COMPUTED_VALUE"""),"MELIPILLA")</f>
        <v>MELIPILLA</v>
      </c>
    </row>
    <row r="2180" spans="1:4">
      <c r="A2180" s="7">
        <f ca="1">IFERROR(__xludf.DUMMYFUNCTION("""COMPUTED_VALUE"""),44188)</f>
        <v>44188</v>
      </c>
      <c r="B2180" s="8" t="str">
        <f ca="1">IFERROR(__xludf.DUMMYFUNCTION("""COMPUTED_VALUE"""),"-33.683207,-71.136712")</f>
        <v>-33.683207,-71.136712</v>
      </c>
      <c r="C2180" s="6" t="str">
        <f ca="1">IFERROR(__xludf.DUMMYFUNCTION("""COMPUTED_VALUE"""),"SOINCA 5")</f>
        <v>SOINCA 5</v>
      </c>
      <c r="D2180" s="6" t="str">
        <f ca="1">IFERROR(__xludf.DUMMYFUNCTION("""COMPUTED_VALUE"""),"MELIPILLA")</f>
        <v>MELIPILLA</v>
      </c>
    </row>
    <row r="2181" spans="1:4">
      <c r="A2181" s="7">
        <f ca="1">IFERROR(__xludf.DUMMYFUNCTION("""COMPUTED_VALUE"""),44188)</f>
        <v>44188</v>
      </c>
      <c r="B2181" s="8" t="str">
        <f ca="1">IFERROR(__xludf.DUMMYFUNCTION("""COMPUTED_VALUE"""),"-33.683207,-71.186712")</f>
        <v>-33.683207,-71.186712</v>
      </c>
      <c r="C2181" s="6" t="str">
        <f ca="1">IFERROR(__xludf.DUMMYFUNCTION("""COMPUTED_VALUE"""),"SOINCA 4 ")</f>
        <v xml:space="preserve">SOINCA 4 </v>
      </c>
      <c r="D2181" s="6" t="str">
        <f ca="1">IFERROR(__xludf.DUMMYFUNCTION("""COMPUTED_VALUE"""),"MELIPILLA")</f>
        <v>MELIPILLA</v>
      </c>
    </row>
    <row r="2182" spans="1:4">
      <c r="A2182" s="7">
        <f ca="1">IFERROR(__xludf.DUMMYFUNCTION("""COMPUTED_VALUE"""),44188)</f>
        <v>44188</v>
      </c>
      <c r="B2182" s="8" t="str">
        <f ca="1">IFERROR(__xludf.DUMMYFUNCTION("""COMPUTED_VALUE"""),"-33.795938,-71.297871")</f>
        <v>-33.795938,-71.297871</v>
      </c>
      <c r="C2182" s="6" t="str">
        <f ca="1">IFERROR(__xludf.DUMMYFUNCTION("""COMPUTED_VALUE"""),"CO PUBLICO S/N  ")</f>
        <v xml:space="preserve">CO PUBLICO S/N  </v>
      </c>
      <c r="D2182" s="6" t="str">
        <f ca="1">IFERROR(__xludf.DUMMYFUNCTION("""COMPUTED_VALUE"""),"MELIPILLA")</f>
        <v>MELIPILLA</v>
      </c>
    </row>
    <row r="2183" spans="1:4">
      <c r="A2183" s="7">
        <f ca="1">IFERROR(__xludf.DUMMYFUNCTION("""COMPUTED_VALUE"""),44188)</f>
        <v>44188</v>
      </c>
      <c r="B2183" s="6" t="str">
        <f ca="1">IFERROR(__xludf.DUMMYFUNCTION("""COMPUTED_VALUE"""),"-33.876266,-71.489525")</f>
        <v>-33.876266,-71.489525</v>
      </c>
      <c r="C2183" s="6" t="str">
        <f ca="1">IFERROR(__xludf.DUMMYFUNCTION("""COMPUTED_VALUE"""),"QUILAMUTA S/N LOTE E")</f>
        <v>QUILAMUTA S/N LOTE E</v>
      </c>
      <c r="D2183" s="6" t="str">
        <f ca="1">IFERROR(__xludf.DUMMYFUNCTION("""COMPUTED_VALUE"""),"MELIPILLA")</f>
        <v>MELIPILLA</v>
      </c>
    </row>
    <row r="2184" spans="1:4">
      <c r="A2184" s="7">
        <f ca="1">IFERROR(__xludf.DUMMYFUNCTION("""COMPUTED_VALUE"""),44188)</f>
        <v>44188</v>
      </c>
      <c r="B2184" s="6" t="str">
        <f ca="1">IFERROR(__xludf.DUMMYFUNCTION("""COMPUTED_VALUE"""),"-33.684581,-71.195194")</f>
        <v>-33.684581,-71.195194</v>
      </c>
      <c r="C2184" s="6" t="str">
        <f ca="1">IFERROR(__xludf.DUMMYFUNCTION("""COMPUTED_VALUE"""),"JOHANN SEBASTIAN BACH 0844")</f>
        <v>JOHANN SEBASTIAN BACH 0844</v>
      </c>
      <c r="D2184" s="6" t="str">
        <f ca="1">IFERROR(__xludf.DUMMYFUNCTION("""COMPUTED_VALUE"""),"MELIPILLA")</f>
        <v>MELIPILLA</v>
      </c>
    </row>
    <row r="2185" spans="1:4">
      <c r="A2185" s="7">
        <f ca="1">IFERROR(__xludf.DUMMYFUNCTION("""COMPUTED_VALUE"""),44188)</f>
        <v>44188</v>
      </c>
      <c r="B2185" s="6" t="str">
        <f ca="1">IFERROR(__xludf.DUMMYFUNCTION("""COMPUTED_VALUE"""),"-33.688541,-71.207303")</f>
        <v>-33.688541,-71.207303</v>
      </c>
      <c r="C2185" s="6" t="str">
        <f ca="1">IFERROR(__xludf.DUMMYFUNCTION("""COMPUTED_VALUE"""),"LIBERTAD 36")</f>
        <v>LIBERTAD 36</v>
      </c>
      <c r="D2185" s="6" t="str">
        <f ca="1">IFERROR(__xludf.DUMMYFUNCTION("""COMPUTED_VALUE"""),"MELIPILLA")</f>
        <v>MELIPILLA</v>
      </c>
    </row>
    <row r="2186" spans="1:4">
      <c r="A2186" s="7">
        <f ca="1">IFERROR(__xludf.DUMMYFUNCTION("""COMPUTED_VALUE"""),44188)</f>
        <v>44188</v>
      </c>
      <c r="B2186" s="6" t="str">
        <f ca="1">IFERROR(__xludf.DUMMYFUNCTION("""COMPUTED_VALUE"""),"-33.673163,-71.210675")</f>
        <v>-33.673163,-71.210675</v>
      </c>
      <c r="C2186" s="6" t="str">
        <f ca="1">IFERROR(__xludf.DUMMYFUNCTION("""COMPUTED_VALUE"""),"PASAJE MATIAS NUÑEZ 309")</f>
        <v>PASAJE MATIAS NUÑEZ 309</v>
      </c>
      <c r="D2186" s="6" t="str">
        <f ca="1">IFERROR(__xludf.DUMMYFUNCTION("""COMPUTED_VALUE"""),"MELIPILLA")</f>
        <v>MELIPILLA</v>
      </c>
    </row>
    <row r="2187" spans="1:4">
      <c r="A2187" s="7">
        <f ca="1">IFERROR(__xludf.DUMMYFUNCTION("""COMPUTED_VALUE"""),44188)</f>
        <v>44188</v>
      </c>
      <c r="B2187" s="6" t="str">
        <f ca="1">IFERROR(__xludf.DUMMYFUNCTION("""COMPUTED_VALUE"""),"-33.57774,-71.201011")</f>
        <v>-33.57774,-71.201011</v>
      </c>
      <c r="C2187" s="6" t="str">
        <f ca="1">IFERROR(__xludf.DUMMYFUNCTION("""COMPUTED_VALUE"""),"EL BOLLENAR 1074 ")</f>
        <v xml:space="preserve">EL BOLLENAR 1074 </v>
      </c>
      <c r="D2187" s="6" t="str">
        <f ca="1">IFERROR(__xludf.DUMMYFUNCTION("""COMPUTED_VALUE"""),"MELIPILLA")</f>
        <v>MELIPILLA</v>
      </c>
    </row>
    <row r="2188" spans="1:4">
      <c r="A2188" s="7">
        <f ca="1">IFERROR(__xludf.DUMMYFUNCTION("""COMPUTED_VALUE"""),44189)</f>
        <v>44189</v>
      </c>
      <c r="B2188" s="8" t="str">
        <f ca="1">IFERROR(__xludf.DUMMYFUNCTION("""COMPUTED_VALUE"""),"-33.837436,-71.278355")</f>
        <v>-33.837436,-71.278355</v>
      </c>
      <c r="C2188" s="6" t="str">
        <f ca="1">IFERROR(__xludf.DUMMYFUNCTION("""COMPUTED_VALUE"""),"LOS GUINDOS S/N ")</f>
        <v xml:space="preserve">LOS GUINDOS S/N </v>
      </c>
      <c r="D2188" s="6" t="str">
        <f ca="1">IFERROR(__xludf.DUMMYFUNCTION("""COMPUTED_VALUE"""),"MELIPILLA")</f>
        <v>MELIPILLA</v>
      </c>
    </row>
    <row r="2189" spans="1:4">
      <c r="A2189" s="7">
        <f ca="1">IFERROR(__xludf.DUMMYFUNCTION("""COMPUTED_VALUE"""),44189)</f>
        <v>44189</v>
      </c>
      <c r="B2189" s="6" t="str">
        <f ca="1">IFERROR(__xludf.DUMMYFUNCTION("""COMPUTED_VALUE"""),"-33.572127,-71.186275")</f>
        <v>-33.572127,-71.186275</v>
      </c>
      <c r="C2189" s="6" t="str">
        <f ca="1">IFERROR(__xludf.DUMMYFUNCTION("""COMPUTED_VALUE"""),"CINCO DE OCTUBRE PASAJE LAS FLORES CASA 5")</f>
        <v>CINCO DE OCTUBRE PASAJE LAS FLORES CASA 5</v>
      </c>
      <c r="D2189" s="6" t="str">
        <f ca="1">IFERROR(__xludf.DUMMYFUNCTION("""COMPUTED_VALUE"""),"MELIPILLA")</f>
        <v>MELIPILLA</v>
      </c>
    </row>
    <row r="2190" spans="1:4">
      <c r="A2190" s="7">
        <f ca="1">IFERROR(__xludf.DUMMYFUNCTION("""COMPUTED_VALUE"""),44189)</f>
        <v>44189</v>
      </c>
      <c r="B2190" s="6" t="str">
        <f ca="1">IFERROR(__xludf.DUMMYFUNCTION("""COMPUTED_VALUE"""),"-33.571921,-71.199232")</f>
        <v>-33.571921,-71.199232</v>
      </c>
      <c r="C2190" s="6" t="str">
        <f ca="1">IFERROR(__xludf.DUMMYFUNCTION("""COMPUTED_VALUE"""),"PJE LA NALCA 861")</f>
        <v>PJE LA NALCA 861</v>
      </c>
      <c r="D2190" s="6" t="str">
        <f ca="1">IFERROR(__xludf.DUMMYFUNCTION("""COMPUTED_VALUE"""),"MELIPILLA")</f>
        <v>MELIPILLA</v>
      </c>
    </row>
    <row r="2191" spans="1:4">
      <c r="A2191" s="7">
        <f ca="1">IFERROR(__xludf.DUMMYFUNCTION("""COMPUTED_VALUE"""),44193)</f>
        <v>44193</v>
      </c>
      <c r="B2191" s="8" t="str">
        <f ca="1">IFERROR(__xludf.DUMMYFUNCTION("""COMPUTED_VALUE"""),"-33.819511,-71.283389")</f>
        <v>-33.819511,-71.283389</v>
      </c>
      <c r="C2191" s="6" t="str">
        <f ca="1">IFERROR(__xludf.DUMMYFUNCTION("""COMPUTED_VALUE"""),"SECTOR CINCO POPETA S/N")</f>
        <v>SECTOR CINCO POPETA S/N</v>
      </c>
      <c r="D2191" s="6" t="str">
        <f ca="1">IFERROR(__xludf.DUMMYFUNCTION("""COMPUTED_VALUE"""),"MELIPILLA")</f>
        <v>MELIPILLA</v>
      </c>
    </row>
    <row r="2192" spans="1:4">
      <c r="A2192" s="7">
        <f ca="1">IFERROR(__xludf.DUMMYFUNCTION("""COMPUTED_VALUE"""),44193)</f>
        <v>44193</v>
      </c>
      <c r="B2192" s="6" t="str">
        <f ca="1">IFERROR(__xludf.DUMMYFUNCTION("""COMPUTED_VALUE"""),"-33.674286,-71.177267")</f>
        <v>-33.674286,-71.177267</v>
      </c>
      <c r="C2192" s="6" t="str">
        <f ca="1">IFERROR(__xludf.DUMMYFUNCTION("""COMPUTED_VALUE"""),"AVENIDA ITALIA 2027")</f>
        <v>AVENIDA ITALIA 2027</v>
      </c>
      <c r="D2192" s="6" t="str">
        <f ca="1">IFERROR(__xludf.DUMMYFUNCTION("""COMPUTED_VALUE"""),"MELIPILLA")</f>
        <v>MELIPILLA</v>
      </c>
    </row>
    <row r="2193" spans="1:4">
      <c r="A2193" s="7">
        <f ca="1">IFERROR(__xludf.DUMMYFUNCTION("""COMPUTED_VALUE"""),44194)</f>
        <v>44194</v>
      </c>
      <c r="B2193" s="8" t="str">
        <f ca="1">IFERROR(__xludf.DUMMYFUNCTION("""COMPUTED_VALUE"""),"-33.662434,-71.334450")</f>
        <v>-33.662434,-71.334450</v>
      </c>
      <c r="C2193" s="6" t="str">
        <f ca="1">IFERROR(__xludf.DUMMYFUNCTION("""COMPUTED_VALUE"""),"SECTOR CORREO S/N PUANGUE")</f>
        <v>SECTOR CORREO S/N PUANGUE</v>
      </c>
      <c r="D2193" s="6" t="str">
        <f ca="1">IFERROR(__xludf.DUMMYFUNCTION("""COMPUTED_VALUE"""),"MELIPILLA")</f>
        <v>MELIPILLA</v>
      </c>
    </row>
    <row r="2194" spans="1:4">
      <c r="A2194" s="7">
        <f ca="1">IFERROR(__xludf.DUMMYFUNCTION("""COMPUTED_VALUE"""),44194)</f>
        <v>44194</v>
      </c>
      <c r="B2194" s="8" t="str">
        <f ca="1">IFERROR(__xludf.DUMMYFUNCTION("""COMPUTED_VALUE"""),"-33.664941,-71.315130")</f>
        <v>-33.664941,-71.315130</v>
      </c>
      <c r="C2194" s="6" t="str">
        <f ca="1">IFERROR(__xludf.DUMMYFUNCTION("""COMPUTED_VALUE"""),"POBLACION DOCTOR YAZIGI SITIO 40 ")</f>
        <v xml:space="preserve">POBLACION DOCTOR YAZIGI SITIO 40 </v>
      </c>
      <c r="D2194" s="6" t="str">
        <f ca="1">IFERROR(__xludf.DUMMYFUNCTION("""COMPUTED_VALUE"""),"MELIPILLA")</f>
        <v>MELIPILLA</v>
      </c>
    </row>
    <row r="2195" spans="1:4">
      <c r="A2195" s="7">
        <f ca="1">IFERROR(__xludf.DUMMYFUNCTION("""COMPUTED_VALUE"""),44194)</f>
        <v>44194</v>
      </c>
      <c r="B2195" s="6" t="str">
        <f ca="1">IFERROR(__xludf.DUMMYFUNCTION("""COMPUTED_VALUE"""),"-33.612983-70.871043")</f>
        <v>-33.612983-70.871043</v>
      </c>
      <c r="C2195" s="6" t="str">
        <f ca="1">IFERROR(__xludf.DUMMYFUNCTION("""COMPUTED_VALUE"""),"PABLO DE ROKHA 1071")</f>
        <v>PABLO DE ROKHA 1071</v>
      </c>
      <c r="D2195" s="6" t="str">
        <f ca="1">IFERROR(__xludf.DUMMYFUNCTION("""COMPUTED_VALUE"""),"PEÑAFLOR")</f>
        <v>PEÑAFLOR</v>
      </c>
    </row>
    <row r="2196" spans="1:4">
      <c r="A2196" s="7">
        <f ca="1">IFERROR(__xludf.DUMMYFUNCTION("""COMPUTED_VALUE"""),44194)</f>
        <v>44194</v>
      </c>
      <c r="B2196" s="6" t="str">
        <f ca="1">IFERROR(__xludf.DUMMYFUNCTION("""COMPUTED_VALUE"""),"-33.45311-71.02778")</f>
        <v>-33.45311-71.02778</v>
      </c>
      <c r="C2196" s="6" t="str">
        <f ca="1">IFERROR(__xludf.DUMMYFUNCTION("""COMPUTED_VALUE"""),"UNION CHILENA LB/2 S-30")</f>
        <v>UNION CHILENA LB/2 S-30</v>
      </c>
      <c r="D2196" s="6" t="str">
        <f ca="1">IFERROR(__xludf.DUMMYFUNCTION("""COMPUTED_VALUE"""),"CURACAVI")</f>
        <v>CURACAVI</v>
      </c>
    </row>
    <row r="2197" spans="1:4">
      <c r="A2197" s="7">
        <f ca="1">IFERROR(__xludf.DUMMYFUNCTION("""COMPUTED_VALUE"""),44194)</f>
        <v>44194</v>
      </c>
      <c r="B2197" s="6" t="str">
        <f ca="1">IFERROR(__xludf.DUMMYFUNCTION("""COMPUTED_VALUE"""),"-33.45988-71.03539")</f>
        <v>-33.45988-71.03539</v>
      </c>
      <c r="C2197" s="6" t="str">
        <f ca="1">IFERROR(__xludf.DUMMYFUNCTION("""COMPUTED_VALUE"""),"PA SEIS 750")</f>
        <v>PA SEIS 750</v>
      </c>
      <c r="D2197" s="6" t="str">
        <f ca="1">IFERROR(__xludf.DUMMYFUNCTION("""COMPUTED_VALUE"""),"CURACAVI")</f>
        <v>CURACAVI</v>
      </c>
    </row>
    <row r="2198" spans="1:4">
      <c r="A2198" s="7">
        <f ca="1">IFERROR(__xludf.DUMMYFUNCTION("""COMPUTED_VALUE"""),44194)</f>
        <v>44194</v>
      </c>
      <c r="B2198" s="6" t="str">
        <f ca="1">IFERROR(__xludf.DUMMYFUNCTION("""COMPUTED_VALUE"""),"-33.45401-71.62531")</f>
        <v>-33.45401-71.62531</v>
      </c>
      <c r="C2198" s="6" t="str">
        <f ca="1">IFERROR(__xludf.DUMMYFUNCTION("""COMPUTED_VALUE"""),"UNION CHILENA 736")</f>
        <v>UNION CHILENA 736</v>
      </c>
      <c r="D2198" s="6" t="str">
        <f ca="1">IFERROR(__xludf.DUMMYFUNCTION("""COMPUTED_VALUE"""),"CURACAVI")</f>
        <v>CURACAVI</v>
      </c>
    </row>
    <row r="2199" spans="1:4">
      <c r="A2199" s="7">
        <f ca="1">IFERROR(__xludf.DUMMYFUNCTION("""COMPUTED_VALUE"""),44194)</f>
        <v>44194</v>
      </c>
      <c r="B2199" s="6" t="str">
        <f ca="1">IFERROR(__xludf.DUMMYFUNCTION("""COMPUTED_VALUE"""),"-33.44954-71.0275")</f>
        <v>-33.44954-71.0275</v>
      </c>
      <c r="C2199" s="6" t="str">
        <f ca="1">IFERROR(__xludf.DUMMYFUNCTION("""COMPUTED_VALUE"""),"UNION CHILENA S-23 L-G")</f>
        <v>UNION CHILENA S-23 L-G</v>
      </c>
      <c r="D2199" s="6" t="str">
        <f ca="1">IFERROR(__xludf.DUMMYFUNCTION("""COMPUTED_VALUE"""),"CURACAVI")</f>
        <v>CURACAVI</v>
      </c>
    </row>
    <row r="2200" spans="1:4">
      <c r="A2200" s="7">
        <f ca="1">IFERROR(__xludf.DUMMYFUNCTION("""COMPUTED_VALUE"""),44194)</f>
        <v>44194</v>
      </c>
      <c r="B2200" s="6" t="str">
        <f ca="1">IFERROR(__xludf.DUMMYFUNCTION("""COMPUTED_VALUE"""),"-33.687381,-71.223896")</f>
        <v>-33.687381,-71.223896</v>
      </c>
      <c r="C2200" s="6" t="str">
        <f ca="1">IFERROR(__xludf.DUMMYFUNCTION("""COMPUTED_VALUE"""),"PASAJE LILIUM 646")</f>
        <v>PASAJE LILIUM 646</v>
      </c>
      <c r="D2200" s="6" t="str">
        <f ca="1">IFERROR(__xludf.DUMMYFUNCTION("""COMPUTED_VALUE"""),"MELIPILLA")</f>
        <v>MELIPILLA</v>
      </c>
    </row>
    <row r="2201" spans="1:4">
      <c r="A2201" s="7">
        <f ca="1">IFERROR(__xludf.DUMMYFUNCTION("""COMPUTED_VALUE"""),44194)</f>
        <v>44194</v>
      </c>
      <c r="B2201" s="6" t="str">
        <f ca="1">IFERROR(__xludf.DUMMYFUNCTION("""COMPUTED_VALUE"""),"-33.576848,-71.214158")</f>
        <v>-33.576848,-71.214158</v>
      </c>
      <c r="C2201" s="6" t="str">
        <f ca="1">IFERROR(__xludf.DUMMYFUNCTION("""COMPUTED_VALUE"""),"SECTOR EL CARDAL S/N P1")</f>
        <v>SECTOR EL CARDAL S/N P1</v>
      </c>
      <c r="D2201" s="6" t="str">
        <f ca="1">IFERROR(__xludf.DUMMYFUNCTION("""COMPUTED_VALUE"""),"MELIPILLA")</f>
        <v>MELIPILLA</v>
      </c>
    </row>
    <row r="2202" spans="1:4">
      <c r="A2202" s="7">
        <f ca="1">IFERROR(__xludf.DUMMYFUNCTION("""COMPUTED_VALUE"""),44195)</f>
        <v>44195</v>
      </c>
      <c r="B2202" s="8" t="str">
        <f ca="1">IFERROR(__xludf.DUMMYFUNCTION("""COMPUTED_VALUE"""),"-33.570714,-71196727")</f>
        <v>-33.570714,-71196727</v>
      </c>
      <c r="C2202" s="6" t="str">
        <f ca="1">IFERROR(__xludf.DUMMYFUNCTION("""COMPUTED_VALUE"""),"ANSELMO ALARCON 7004 ")</f>
        <v xml:space="preserve">ANSELMO ALARCON 7004 </v>
      </c>
      <c r="D2202" s="6" t="str">
        <f ca="1">IFERROR(__xludf.DUMMYFUNCTION("""COMPUTED_VALUE"""),"MELIPILLA")</f>
        <v>MELIPILLA</v>
      </c>
    </row>
    <row r="2203" spans="1:4">
      <c r="A2203" s="7">
        <f ca="1">IFERROR(__xludf.DUMMYFUNCTION("""COMPUTED_VALUE"""),44195)</f>
        <v>44195</v>
      </c>
      <c r="B2203" s="8" t="str">
        <f ca="1">IFERROR(__xludf.DUMMYFUNCTION("""COMPUTED_VALUE"""),"-33.665040,-71.308403")</f>
        <v>-33.665040,-71.308403</v>
      </c>
      <c r="C2203" s="6" t="str">
        <f ca="1">IFERROR(__xludf.DUMMYFUNCTION("""COMPUTED_VALUE"""),"PJE UNO SITIO PUANGUE ")</f>
        <v xml:space="preserve">PJE UNO SITIO PUANGUE </v>
      </c>
      <c r="D2203" s="6" t="str">
        <f ca="1">IFERROR(__xludf.DUMMYFUNCTION("""COMPUTED_VALUE"""),"MELIPILLA")</f>
        <v>MELIPILLA</v>
      </c>
    </row>
    <row r="2204" spans="1:4">
      <c r="A2204" s="7">
        <f ca="1">IFERROR(__xludf.DUMMYFUNCTION("""COMPUTED_VALUE"""),44195)</f>
        <v>44195</v>
      </c>
      <c r="B2204" s="6" t="str">
        <f ca="1">IFERROR(__xludf.DUMMYFUNCTION("""COMPUTED_VALUE"""),"-33.683060,-71.189458")</f>
        <v>-33.683060,-71.189458</v>
      </c>
      <c r="C2204" s="6" t="str">
        <f ca="1">IFERROR(__xludf.DUMMYFUNCTION("""COMPUTED_VALUE"""),"PROFESOR EDUARDO MALLEA LLANOS 899")</f>
        <v>PROFESOR EDUARDO MALLEA LLANOS 899</v>
      </c>
      <c r="D2204" s="6" t="str">
        <f ca="1">IFERROR(__xludf.DUMMYFUNCTION("""COMPUTED_VALUE"""),"MELIPILLA")</f>
        <v>MELIPILLA</v>
      </c>
    </row>
    <row r="2205" spans="1:4">
      <c r="A2205" s="7">
        <f ca="1">IFERROR(__xludf.DUMMYFUNCTION("""COMPUTED_VALUE"""),44195)</f>
        <v>44195</v>
      </c>
      <c r="B2205" s="6" t="str">
        <f ca="1">IFERROR(__xludf.DUMMYFUNCTION("""COMPUTED_VALUE"""),"-33.763099,-71.296854")</f>
        <v>-33.763099,-71.296854</v>
      </c>
      <c r="C2205" s="6" t="str">
        <f ca="1">IFERROR(__xludf.DUMMYFUNCTION("""COMPUTED_VALUE"""),"SECTOR SAN RAFAEL DE CODIGUA CASA 36 SITIO")</f>
        <v>SECTOR SAN RAFAEL DE CODIGUA CASA 36 SITIO</v>
      </c>
      <c r="D2205" s="6" t="str">
        <f ca="1">IFERROR(__xludf.DUMMYFUNCTION("""COMPUTED_VALUE"""),"MELIPILLA")</f>
        <v>MELIPILLA</v>
      </c>
    </row>
    <row r="2206" spans="1:4">
      <c r="A2206" s="7">
        <f ca="1">IFERROR(__xludf.DUMMYFUNCTION("""COMPUTED_VALUE"""),44195)</f>
        <v>44195</v>
      </c>
      <c r="B2206" s="6" t="str">
        <f ca="1">IFERROR(__xludf.DUMMYFUNCTION("""COMPUTED_VALUE"""),"-33.676545,-71.209838")</f>
        <v>-33.676545,-71.209838</v>
      </c>
      <c r="C2206" s="6" t="str">
        <f ca="1">IFERROR(__xludf.DUMMYFUNCTION("""COMPUTED_VALUE"""),"OSTOLOZAS S/N CV11")</f>
        <v>OSTOLOZAS S/N CV11</v>
      </c>
      <c r="D2206" s="6" t="str">
        <f ca="1">IFERROR(__xludf.DUMMYFUNCTION("""COMPUTED_VALUE"""),"MELIPILLA")</f>
        <v>MELIPILLA</v>
      </c>
    </row>
    <row r="2207" spans="1:4">
      <c r="A2207" s="7">
        <f ca="1">IFERROR(__xludf.DUMMYFUNCTION("""COMPUTED_VALUE"""),44196)</f>
        <v>44196</v>
      </c>
      <c r="B2207" s="6" t="str">
        <f ca="1">IFERROR(__xludf.DUMMYFUNCTION("""COMPUTED_VALUE"""),"-33.756396,-71.298092")</f>
        <v>-33.756396,-71.298092</v>
      </c>
      <c r="C2207" s="6" t="str">
        <f ca="1">IFERROR(__xludf.DUMMYFUNCTION("""COMPUTED_VALUE"""),"SAN RAFAEL DE CODIGUA SITIO 7")</f>
        <v>SAN RAFAEL DE CODIGUA SITIO 7</v>
      </c>
      <c r="D2207" s="6" t="str">
        <f ca="1">IFERROR(__xludf.DUMMYFUNCTION("""COMPUTED_VALUE"""),"MELIPILLA")</f>
        <v>MELIPILLA</v>
      </c>
    </row>
    <row r="2208" spans="1:4">
      <c r="A2208" s="7">
        <f ca="1">IFERROR(__xludf.DUMMYFUNCTION("""COMPUTED_VALUE"""),44198)</f>
        <v>44198</v>
      </c>
      <c r="B2208" s="6" t="str">
        <f ca="1">IFERROR(__xludf.DUMMYFUNCTION("""COMPUTED_VALUE"""),"-33.4549-71.02869")</f>
        <v>-33.4549-71.02869</v>
      </c>
      <c r="C2208" s="6" t="str">
        <f ca="1">IFERROR(__xludf.DUMMYFUNCTION("""COMPUTED_VALUE"""),"CAMINO CUESTA BARRIGA")</f>
        <v>CAMINO CUESTA BARRIGA</v>
      </c>
      <c r="D2208" s="6" t="str">
        <f ca="1">IFERROR(__xludf.DUMMYFUNCTION("""COMPUTED_VALUE"""),"CURACAVI")</f>
        <v>CURACAVI</v>
      </c>
    </row>
    <row r="2209" spans="1:4">
      <c r="A2209" s="7">
        <f ca="1">IFERROR(__xludf.DUMMYFUNCTION("""COMPUTED_VALUE"""),44198)</f>
        <v>44198</v>
      </c>
      <c r="B2209" s="6" t="str">
        <f ca="1">IFERROR(__xludf.DUMMYFUNCTION("""COMPUTED_VALUE"""),"-33.46016-71.03533")</f>
        <v>-33.46016-71.03533</v>
      </c>
      <c r="C2209" s="6" t="str">
        <f ca="1">IFERROR(__xludf.DUMMYFUNCTION("""COMPUTED_VALUE"""),"PA CINCO 741")</f>
        <v>PA CINCO 741</v>
      </c>
      <c r="D2209" s="6" t="str">
        <f ca="1">IFERROR(__xludf.DUMMYFUNCTION("""COMPUTED_VALUE"""),"CURACAVI")</f>
        <v>CURACAVI</v>
      </c>
    </row>
    <row r="2210" spans="1:4">
      <c r="A2210" s="7">
        <f ca="1">IFERROR(__xludf.DUMMYFUNCTION("""COMPUTED_VALUE"""),44198)</f>
        <v>44198</v>
      </c>
      <c r="B2210" s="6" t="str">
        <f ca="1">IFERROR(__xludf.DUMMYFUNCTION("""COMPUTED_VALUE"""),"-33.46024-71.03544")</f>
        <v>-33.46024-71.03544</v>
      </c>
      <c r="C2210" s="6" t="str">
        <f ca="1">IFERROR(__xludf.DUMMYFUNCTION("""COMPUTED_VALUE"""),"PA CINCO 751")</f>
        <v>PA CINCO 751</v>
      </c>
      <c r="D2210" s="6" t="str">
        <f ca="1">IFERROR(__xludf.DUMMYFUNCTION("""COMPUTED_VALUE"""),"CURACAVI")</f>
        <v>CURACAVI</v>
      </c>
    </row>
    <row r="2211" spans="1:4">
      <c r="A2211" s="7">
        <f ca="1">IFERROR(__xludf.DUMMYFUNCTION("""COMPUTED_VALUE"""),44198)</f>
        <v>44198</v>
      </c>
      <c r="B2211" s="6" t="str">
        <f ca="1">IFERROR(__xludf.DUMMYFUNCTION("""COMPUTED_VALUE"""),"-33.45495-71.02864")</f>
        <v>-33.45495-71.02864</v>
      </c>
      <c r="C2211" s="6" t="str">
        <f ca="1">IFERROR(__xludf.DUMMYFUNCTION("""COMPUTED_VALUE"""),"CUESTA BARRIGA S/N")</f>
        <v>CUESTA BARRIGA S/N</v>
      </c>
      <c r="D2211" s="6" t="str">
        <f ca="1">IFERROR(__xludf.DUMMYFUNCTION("""COMPUTED_VALUE"""),"CURACAVI")</f>
        <v>CURACAVI</v>
      </c>
    </row>
    <row r="2212" spans="1:4">
      <c r="A2212" s="7">
        <f ca="1">IFERROR(__xludf.DUMMYFUNCTION("""COMPUTED_VALUE"""),44200)</f>
        <v>44200</v>
      </c>
      <c r="B2212" s="8" t="str">
        <f ca="1">IFERROR(__xludf.DUMMYFUNCTION("""COMPUTED_VALUE"""),"-33.494490,-71.157041")</f>
        <v>-33.494490,-71.157041</v>
      </c>
      <c r="C2212" s="6" t="str">
        <f ca="1">IFERROR(__xludf.DUMMYFUNCTION("""COMPUTED_VALUE"""),"MALALHUE SITIO 15")</f>
        <v>MALALHUE SITIO 15</v>
      </c>
      <c r="D2212" s="6" t="str">
        <f ca="1">IFERROR(__xludf.DUMMYFUNCTION("""COMPUTED_VALUE"""),"MELIPILLA")</f>
        <v>MELIPILLA</v>
      </c>
    </row>
    <row r="2213" spans="1:4">
      <c r="A2213" s="7">
        <f ca="1">IFERROR(__xludf.DUMMYFUNCTION("""COMPUTED_VALUE"""),44200)</f>
        <v>44200</v>
      </c>
      <c r="B2213" s="8" t="str">
        <f ca="1">IFERROR(__xludf.DUMMYFUNCTION("""COMPUTED_VALUE"""),"-33.6796387,-71.968932")</f>
        <v>-33.6796387,-71.968932</v>
      </c>
      <c r="C2213" s="6" t="str">
        <f ca="1">IFERROR(__xludf.DUMMYFUNCTION("""COMPUTED_VALUE"""),"CALLE AURORA DE CHILE 562 ")</f>
        <v xml:space="preserve">CALLE AURORA DE CHILE 562 </v>
      </c>
      <c r="D2213" s="6" t="str">
        <f ca="1">IFERROR(__xludf.DUMMYFUNCTION("""COMPUTED_VALUE"""),"MELIPILLA")</f>
        <v>MELIPILLA</v>
      </c>
    </row>
    <row r="2214" spans="1:4">
      <c r="A2214" s="7">
        <f ca="1">IFERROR(__xludf.DUMMYFUNCTION("""COMPUTED_VALUE"""),44200)</f>
        <v>44200</v>
      </c>
      <c r="B2214" s="6" t="str">
        <f ca="1">IFERROR(__xludf.DUMMYFUNCTION("""COMPUTED_VALUE"""),"-33.606864-70.905273")</f>
        <v>-33.606864-70.905273</v>
      </c>
      <c r="C2214" s="6" t="str">
        <f ca="1">IFERROR(__xludf.DUMMYFUNCTION("""COMPUTED_VALUE"""),"EL CREPUSCULO 251")</f>
        <v>EL CREPUSCULO 251</v>
      </c>
      <c r="D2214" s="6" t="str">
        <f ca="1">IFERROR(__xludf.DUMMYFUNCTION("""COMPUTED_VALUE"""),"CURACAVI")</f>
        <v>CURACAVI</v>
      </c>
    </row>
    <row r="2215" spans="1:4">
      <c r="A2215" s="7">
        <f ca="1">IFERROR(__xludf.DUMMYFUNCTION("""COMPUTED_VALUE"""),44200)</f>
        <v>44200</v>
      </c>
      <c r="B2215" s="6" t="str">
        <f ca="1">IFERROR(__xludf.DUMMYFUNCTION("""COMPUTED_VALUE"""),"-33.608363-70.893235")</f>
        <v>-33.608363-70.893235</v>
      </c>
      <c r="C2215" s="6" t="str">
        <f ca="1">IFERROR(__xludf.DUMMYFUNCTION("""COMPUTED_VALUE"""),"LAS QUINCHAS 2913")</f>
        <v>LAS QUINCHAS 2913</v>
      </c>
      <c r="D2215" s="6" t="str">
        <f ca="1">IFERROR(__xludf.DUMMYFUNCTION("""COMPUTED_VALUE"""),"PEÑAFLOR")</f>
        <v>PEÑAFLOR</v>
      </c>
    </row>
    <row r="2216" spans="1:4">
      <c r="A2216" s="7">
        <f ca="1">IFERROR(__xludf.DUMMYFUNCTION("""COMPUTED_VALUE"""),44200)</f>
        <v>44200</v>
      </c>
      <c r="B2216" s="6" t="str">
        <f ca="1">IFERROR(__xludf.DUMMYFUNCTION("""COMPUTED_VALUE"""),"-33.684803,-71.227086")</f>
        <v>-33.684803,-71.227086</v>
      </c>
      <c r="C2216" s="6" t="str">
        <f ca="1">IFERROR(__xludf.DUMMYFUNCTION("""COMPUTED_VALUE"""),"LAGO VICHUQUEN 1651")</f>
        <v>LAGO VICHUQUEN 1651</v>
      </c>
      <c r="D2216" s="6" t="str">
        <f ca="1">IFERROR(__xludf.DUMMYFUNCTION("""COMPUTED_VALUE"""),"MELIPILLA")</f>
        <v>MELIPILLA</v>
      </c>
    </row>
    <row r="2217" spans="1:4">
      <c r="A2217" s="7">
        <f ca="1">IFERROR(__xludf.DUMMYFUNCTION("""COMPUTED_VALUE"""),44200)</f>
        <v>44200</v>
      </c>
      <c r="B2217" s="6" t="str">
        <f ca="1">IFERROR(__xludf.DUMMYFUNCTION("""COMPUTED_VALUE"""),"-33.767000,-71.282834")</f>
        <v>-33.767000,-71.282834</v>
      </c>
      <c r="C2217" s="6" t="str">
        <f ca="1">IFERROR(__xludf.DUMMYFUNCTION("""COMPUTED_VALUE"""),"CODIGUA S/N -CV49 SAN MANUEL")</f>
        <v>CODIGUA S/N -CV49 SAN MANUEL</v>
      </c>
      <c r="D2217" s="6" t="str">
        <f ca="1">IFERROR(__xludf.DUMMYFUNCTION("""COMPUTED_VALUE"""),"MELIPILLA")</f>
        <v>MELIPILLA</v>
      </c>
    </row>
    <row r="2218" spans="1:4">
      <c r="A2218" s="7">
        <f ca="1">IFERROR(__xludf.DUMMYFUNCTION("""COMPUTED_VALUE"""),44200)</f>
        <v>44200</v>
      </c>
      <c r="B2218" s="6" t="str">
        <f ca="1">IFERROR(__xludf.DUMMYFUNCTION("""COMPUTED_VALUE"""),"-33.602745,-71.108540")</f>
        <v>-33.602745,-71.108540</v>
      </c>
      <c r="C2218" s="6" t="str">
        <f ca="1">IFERROR(__xludf.DUMMYFUNCTION("""COMPUTED_VALUE"""),"HERMANOS CARRERA S/N")</f>
        <v>HERMANOS CARRERA S/N</v>
      </c>
      <c r="D2218" s="6" t="str">
        <f ca="1">IFERROR(__xludf.DUMMYFUNCTION("""COMPUTED_VALUE"""),"MELIPILLA")</f>
        <v>MELIPILLA</v>
      </c>
    </row>
    <row r="2219" spans="1:4">
      <c r="A2219" s="7">
        <f ca="1">IFERROR(__xludf.DUMMYFUNCTION("""COMPUTED_VALUE"""),44201)</f>
        <v>44201</v>
      </c>
      <c r="B2219" s="8" t="str">
        <f ca="1">IFERROR(__xludf.DUMMYFUNCTION("""COMPUTED_VALUE"""),"-33.774123,-71.340596")</f>
        <v>-33.774123,-71.340596</v>
      </c>
      <c r="C2219" s="6" t="str">
        <f ca="1">IFERROR(__xludf.DUMMYFUNCTION("""COMPUTED_VALUE"""),"SECTOR SOINCA 10")</f>
        <v>SECTOR SOINCA 10</v>
      </c>
      <c r="D2219" s="6" t="str">
        <f ca="1">IFERROR(__xludf.DUMMYFUNCTION("""COMPUTED_VALUE"""),"MELIPILLA")</f>
        <v>MELIPILLA</v>
      </c>
    </row>
    <row r="2220" spans="1:4">
      <c r="A2220" s="7">
        <f ca="1">IFERROR(__xludf.DUMMYFUNCTION("""COMPUTED_VALUE"""),44201)</f>
        <v>44201</v>
      </c>
      <c r="B2220" s="8" t="str">
        <f ca="1">IFERROR(__xludf.DUMMYFUNCTION("""COMPUTED_VALUE"""),"-33.677849,-71.234718")</f>
        <v>-33.677849,-71.234718</v>
      </c>
      <c r="C2220" s="6" t="str">
        <f ca="1">IFERROR(__xludf.DUMMYFUNCTION("""COMPUTED_VALUE"""),"SECTOR POPETA S/N ")</f>
        <v xml:space="preserve">SECTOR POPETA S/N </v>
      </c>
      <c r="D2220" s="6" t="str">
        <f ca="1">IFERROR(__xludf.DUMMYFUNCTION("""COMPUTED_VALUE"""),"MELIPILLA")</f>
        <v>MELIPILLA</v>
      </c>
    </row>
    <row r="2221" spans="1:4">
      <c r="A2221" s="7">
        <f ca="1">IFERROR(__xludf.DUMMYFUNCTION("""COMPUTED_VALUE"""),44201)</f>
        <v>44201</v>
      </c>
      <c r="B2221" s="8" t="str">
        <f ca="1">IFERROR(__xludf.DUMMYFUNCTION("""COMPUTED_VALUE"""),"-33.774123,-71.340586")</f>
        <v>-33.774123,-71.340586</v>
      </c>
      <c r="C2221" s="6" t="str">
        <f ca="1">IFERROR(__xludf.DUMMYFUNCTION("""COMPUTED_VALUE"""),"SECTOR SOINCA 10 ")</f>
        <v xml:space="preserve">SECTOR SOINCA 10 </v>
      </c>
      <c r="D2221" s="6" t="str">
        <f ca="1">IFERROR(__xludf.DUMMYFUNCTION("""COMPUTED_VALUE"""),"MELIPILLA")</f>
        <v>MELIPILLA</v>
      </c>
    </row>
    <row r="2222" spans="1:4">
      <c r="A2222" s="7">
        <f ca="1">IFERROR(__xludf.DUMMYFUNCTION("""COMPUTED_VALUE"""),44201)</f>
        <v>44201</v>
      </c>
      <c r="B2222" s="8" t="str">
        <f ca="1">IFERROR(__xludf.DUMMYFUNCTION("""COMPUTED_VALUE"""),"-33.677644,-71.234624")</f>
        <v>-33.677644,-71.234624</v>
      </c>
      <c r="C2222" s="6" t="str">
        <f ca="1">IFERROR(__xludf.DUMMYFUNCTION("""COMPUTED_VALUE"""),"PINTOR JOSE PEROTTI 150")</f>
        <v>PINTOR JOSE PEROTTI 150</v>
      </c>
      <c r="D2222" s="6" t="str">
        <f ca="1">IFERROR(__xludf.DUMMYFUNCTION("""COMPUTED_VALUE"""),"MELIPILLA")</f>
        <v>MELIPILLA</v>
      </c>
    </row>
    <row r="2223" spans="1:4">
      <c r="A2223" s="7">
        <f ca="1">IFERROR(__xludf.DUMMYFUNCTION("""COMPUTED_VALUE"""),44201)</f>
        <v>44201</v>
      </c>
      <c r="B2223" s="6" t="str">
        <f ca="1">IFERROR(__xludf.DUMMYFUNCTION("""COMPUTED_VALUE"""),"-33.601490-70.891427")</f>
        <v>-33.601490-70.891427</v>
      </c>
      <c r="C2223" s="6" t="str">
        <f ca="1">IFERROR(__xludf.DUMMYFUNCTION("""COMPUTED_VALUE"""),"MANUEL OJEDA 134")</f>
        <v>MANUEL OJEDA 134</v>
      </c>
      <c r="D2223" s="6" t="str">
        <f ca="1">IFERROR(__xludf.DUMMYFUNCTION("""COMPUTED_VALUE"""),"PEÑAFLOR")</f>
        <v>PEÑAFLOR</v>
      </c>
    </row>
    <row r="2224" spans="1:4">
      <c r="A2224" s="7">
        <f ca="1">IFERROR(__xludf.DUMMYFUNCTION("""COMPUTED_VALUE"""),44201)</f>
        <v>44201</v>
      </c>
      <c r="B2224" s="6" t="str">
        <f ca="1">IFERROR(__xludf.DUMMYFUNCTION("""COMPUTED_VALUE"""),"-33.636130,-71.250880")</f>
        <v>-33.636130,-71.250880</v>
      </c>
      <c r="C2224" s="6" t="str">
        <f ca="1">IFERROR(__xludf.DUMMYFUNCTION("""COMPUTED_VALUE"""),"CAMPO LINDO 29 L9 SIT DV ALEGRE CAMPO LINDO ")</f>
        <v xml:space="preserve">CAMPO LINDO 29 L9 SIT DV ALEGRE CAMPO LINDO </v>
      </c>
      <c r="D2224" s="6" t="str">
        <f ca="1">IFERROR(__xludf.DUMMYFUNCTION("""COMPUTED_VALUE"""),"MELIPILLA")</f>
        <v>MELIPILLA</v>
      </c>
    </row>
    <row r="2225" spans="1:4">
      <c r="A2225" s="7">
        <f ca="1">IFERROR(__xludf.DUMMYFUNCTION("""COMPUTED_VALUE"""),44201)</f>
        <v>44201</v>
      </c>
      <c r="B2225" s="6" t="str">
        <f ca="1">IFERROR(__xludf.DUMMYFUNCTION("""COMPUTED_VALUE"""),"-33.676431,-71.233429")</f>
        <v>-33.676431,-71.233429</v>
      </c>
      <c r="C2225" s="6" t="str">
        <f ca="1">IFERROR(__xludf.DUMMYFUNCTION("""COMPUTED_VALUE"""),"ARTURO PACHECO N° 6")</f>
        <v>ARTURO PACHECO N° 6</v>
      </c>
      <c r="D2225" s="6" t="str">
        <f ca="1">IFERROR(__xludf.DUMMYFUNCTION("""COMPUTED_VALUE"""),"MELIPILLA")</f>
        <v>MELIPILLA</v>
      </c>
    </row>
    <row r="2226" spans="1:4">
      <c r="A2226" s="7">
        <f ca="1">IFERROR(__xludf.DUMMYFUNCTION("""COMPUTED_VALUE"""),44201)</f>
        <v>44201</v>
      </c>
      <c r="B2226" s="6" t="str">
        <f ca="1">IFERROR(__xludf.DUMMYFUNCTION("""COMPUTED_VALUE"""),"-33.681676,-71.189783")</f>
        <v>-33.681676,-71.189783</v>
      </c>
      <c r="C2226" s="6" t="str">
        <f ca="1">IFERROR(__xludf.DUMMYFUNCTION("""COMPUTED_VALUE"""),"CALLE PROFESORA NELLY YAÑEZ 897")</f>
        <v>CALLE PROFESORA NELLY YAÑEZ 897</v>
      </c>
      <c r="D2226" s="6" t="str">
        <f ca="1">IFERROR(__xludf.DUMMYFUNCTION("""COMPUTED_VALUE"""),"MELIPILLA")</f>
        <v>MELIPILLA</v>
      </c>
    </row>
    <row r="2227" spans="1:4">
      <c r="A2227" s="7">
        <f ca="1">IFERROR(__xludf.DUMMYFUNCTION("""COMPUTED_VALUE"""),44202)</f>
        <v>44202</v>
      </c>
      <c r="B2227" s="8" t="str">
        <f ca="1">IFERROR(__xludf.DUMMYFUNCTION("""COMPUTED_VALUE"""),"-33.643357,.71.314885")</f>
        <v>-33.643357,.71.314885</v>
      </c>
      <c r="C2227" s="6" t="str">
        <f ca="1">IFERROR(__xludf.DUMMYFUNCTION("""COMPUTED_VALUE"""),"PUERTAS COLORADAS PARCELA 2")</f>
        <v>PUERTAS COLORADAS PARCELA 2</v>
      </c>
      <c r="D2227" s="6" t="str">
        <f ca="1">IFERROR(__xludf.DUMMYFUNCTION("""COMPUTED_VALUE"""),"MELIPILLA")</f>
        <v>MELIPILLA</v>
      </c>
    </row>
    <row r="2228" spans="1:4">
      <c r="A2228" s="7">
        <f ca="1">IFERROR(__xludf.DUMMYFUNCTION("""COMPUTED_VALUE"""),44202)</f>
        <v>44202</v>
      </c>
      <c r="B2228" s="8" t="str">
        <f ca="1">IFERROR(__xludf.DUMMYFUNCTION("""COMPUTED_VALUE"""),"-33.568038,-71.221465")</f>
        <v>-33.568038,-71.221465</v>
      </c>
      <c r="C2228" s="6" t="str">
        <f ca="1">IFERROR(__xludf.DUMMYFUNCTION("""COMPUTED_VALUE"""),"VILLA ESPERANZA 313")</f>
        <v>VILLA ESPERANZA 313</v>
      </c>
      <c r="D2228" s="6" t="str">
        <f ca="1">IFERROR(__xludf.DUMMYFUNCTION("""COMPUTED_VALUE"""),"MELIPILLA")</f>
        <v>MELIPILLA</v>
      </c>
    </row>
    <row r="2229" spans="1:4">
      <c r="A2229" s="7">
        <f ca="1">IFERROR(__xludf.DUMMYFUNCTION("""COMPUTED_VALUE"""),44202)</f>
        <v>44202</v>
      </c>
      <c r="B2229" s="8" t="str">
        <f ca="1">IFERROR(__xludf.DUMMYFUNCTION("""COMPUTED_VALUE"""),"-33.819774,-71.288990")</f>
        <v>-33.819774,-71.288990</v>
      </c>
      <c r="C2229" s="6" t="str">
        <f ca="1">IFERROR(__xludf.DUMMYFUNCTION("""COMPUTED_VALUE"""),"SECTOR POPETA S/N ")</f>
        <v xml:space="preserve">SECTOR POPETA S/N </v>
      </c>
      <c r="D2229" s="6" t="str">
        <f ca="1">IFERROR(__xludf.DUMMYFUNCTION("""COMPUTED_VALUE"""),"MELIPILLA")</f>
        <v>MELIPILLA</v>
      </c>
    </row>
    <row r="2230" spans="1:4">
      <c r="A2230" s="7">
        <f ca="1">IFERROR(__xludf.DUMMYFUNCTION("""COMPUTED_VALUE"""),44202)</f>
        <v>44202</v>
      </c>
      <c r="B2230" s="8" t="str">
        <f ca="1">IFERROR(__xludf.DUMMYFUNCTION("""COMPUTED_VALUE"""),"-33.642321,-71.315016")</f>
        <v>-33.642321,-71.315016</v>
      </c>
      <c r="C2230" s="6" t="str">
        <f ca="1">IFERROR(__xludf.DUMMYFUNCTION("""COMPUTED_VALUE"""),"PUERTAS COLORADAS PARCELA 2")</f>
        <v>PUERTAS COLORADAS PARCELA 2</v>
      </c>
      <c r="D2230" s="6" t="str">
        <f ca="1">IFERROR(__xludf.DUMMYFUNCTION("""COMPUTED_VALUE"""),"MELIPILLA")</f>
        <v>MELIPILLA</v>
      </c>
    </row>
    <row r="2231" spans="1:4">
      <c r="A2231" s="7">
        <f ca="1">IFERROR(__xludf.DUMMYFUNCTION("""COMPUTED_VALUE"""),44202)</f>
        <v>44202</v>
      </c>
      <c r="B2231" s="8" t="str">
        <f ca="1">IFERROR(__xludf.DUMMYFUNCTION("""COMPUTED_VALUE"""),"-33.83046,-71.266964")</f>
        <v>-33.83046,-71.266964</v>
      </c>
      <c r="C2231" s="6" t="str">
        <f ca="1">IFERROR(__xludf.DUMMYFUNCTION("""COMPUTED_VALUE"""),"SECTOR SAN JUAN DE POPETA S/N")</f>
        <v>SECTOR SAN JUAN DE POPETA S/N</v>
      </c>
      <c r="D2231" s="6" t="str">
        <f ca="1">IFERROR(__xludf.DUMMYFUNCTION("""COMPUTED_VALUE"""),"MELIPILLA")</f>
        <v>MELIPILLA</v>
      </c>
    </row>
    <row r="2232" spans="1:4">
      <c r="A2232" s="7">
        <f ca="1">IFERROR(__xludf.DUMMYFUNCTION("""COMPUTED_VALUE"""),44202)</f>
        <v>44202</v>
      </c>
      <c r="B2232" s="6" t="str">
        <f ca="1">IFERROR(__xludf.DUMMYFUNCTION("""COMPUTED_VALUE"""),"-33.612840-70.899272")</f>
        <v>-33.612840-70.899272</v>
      </c>
      <c r="C2232" s="6" t="str">
        <f ca="1">IFERROR(__xludf.DUMMYFUNCTION("""COMPUTED_VALUE"""),"SANTIAGO BUERAS 3567")</f>
        <v>SANTIAGO BUERAS 3567</v>
      </c>
      <c r="D2232" s="6" t="str">
        <f ca="1">IFERROR(__xludf.DUMMYFUNCTION("""COMPUTED_VALUE"""),"PEÑAFLOR")</f>
        <v>PEÑAFLOR</v>
      </c>
    </row>
    <row r="2233" spans="1:4">
      <c r="A2233" s="7">
        <f ca="1">IFERROR(__xludf.DUMMYFUNCTION("""COMPUTED_VALUE"""),44202)</f>
        <v>44202</v>
      </c>
      <c r="B2233" s="6" t="str">
        <f ca="1">IFERROR(__xludf.DUMMYFUNCTION("""COMPUTED_VALUE"""),"-33.598514-70.848930")</f>
        <v>-33.598514-70.848930</v>
      </c>
      <c r="C2233" s="6" t="str">
        <f ca="1">IFERROR(__xludf.DUMMYFUNCTION("""COMPUTED_VALUE"""),"PAJARITO 136")</f>
        <v>PAJARITO 136</v>
      </c>
      <c r="D2233" s="6" t="str">
        <f ca="1">IFERROR(__xludf.DUMMYFUNCTION("""COMPUTED_VALUE"""),"PEÑAFLOR")</f>
        <v>PEÑAFLOR</v>
      </c>
    </row>
    <row r="2234" spans="1:4">
      <c r="A2234" s="7">
        <f ca="1">IFERROR(__xludf.DUMMYFUNCTION("""COMPUTED_VALUE"""),44202)</f>
        <v>44202</v>
      </c>
      <c r="B2234" s="6" t="str">
        <f ca="1">IFERROR(__xludf.DUMMYFUNCTION("""COMPUTED_VALUE"""),"-33.60933-70.88164")</f>
        <v>-33.60933-70.88164</v>
      </c>
      <c r="C2234" s="6" t="str">
        <f ca="1">IFERROR(__xludf.DUMMYFUNCTION("""COMPUTED_VALUE"""),"PA NILAHUE 2362")</f>
        <v>PA NILAHUE 2362</v>
      </c>
      <c r="D2234" s="6" t="str">
        <f ca="1">IFERROR(__xludf.DUMMYFUNCTION("""COMPUTED_VALUE"""),"PEÑAFLOR")</f>
        <v>PEÑAFLOR</v>
      </c>
    </row>
    <row r="2235" spans="1:4">
      <c r="A2235" s="7">
        <f ca="1">IFERROR(__xludf.DUMMYFUNCTION("""COMPUTED_VALUE"""),44202)</f>
        <v>44202</v>
      </c>
      <c r="B2235" s="6" t="str">
        <f ca="1">IFERROR(__xludf.DUMMYFUNCTION("""COMPUTED_VALUE"""),"-33.61114-70.87759")</f>
        <v>-33.61114-70.87759</v>
      </c>
      <c r="C2235" s="6" t="str">
        <f ca="1">IFERROR(__xludf.DUMMYFUNCTION("""COMPUTED_VALUE"""),"VOLCAN TACORA 1526")</f>
        <v>VOLCAN TACORA 1526</v>
      </c>
      <c r="D2235" s="6" t="str">
        <f ca="1">IFERROR(__xludf.DUMMYFUNCTION("""COMPUTED_VALUE"""),"PEÑAFLOR")</f>
        <v>PEÑAFLOR</v>
      </c>
    </row>
    <row r="2236" spans="1:4">
      <c r="A2236" s="7">
        <f ca="1">IFERROR(__xludf.DUMMYFUNCTION("""COMPUTED_VALUE"""),44202)</f>
        <v>44202</v>
      </c>
      <c r="B2236" s="6" t="str">
        <f ca="1">IFERROR(__xludf.DUMMYFUNCTION("""COMPUTED_VALUE"""),"-33.767217,-71.282687")</f>
        <v>-33.767217,-71.282687</v>
      </c>
      <c r="C2236" s="6" t="str">
        <f ca="1">IFERROR(__xludf.DUMMYFUNCTION("""COMPUTED_VALUE"""),"CODIGUA S/N -CV49 SAN MANUEL")</f>
        <v>CODIGUA S/N -CV49 SAN MANUEL</v>
      </c>
      <c r="D2236" s="6" t="str">
        <f ca="1">IFERROR(__xludf.DUMMYFUNCTION("""COMPUTED_VALUE"""),"MELIPILLA")</f>
        <v>MELIPILLA</v>
      </c>
    </row>
    <row r="2237" spans="1:4">
      <c r="A2237" s="7">
        <f ca="1">IFERROR(__xludf.DUMMYFUNCTION("""COMPUTED_VALUE"""),44202)</f>
        <v>44202</v>
      </c>
      <c r="B2237" s="6" t="str">
        <f ca="1">IFERROR(__xludf.DUMMYFUNCTION("""COMPUTED_VALUE"""),"-33.811565,-71.328806")</f>
        <v>-33.811565,-71.328806</v>
      </c>
      <c r="C2237" s="6" t="str">
        <f ca="1">IFERROR(__xludf.DUMMYFUNCTION("""COMPUTED_VALUE"""),"PATRICIA DONOSO GUTIERREZ")</f>
        <v>PATRICIA DONOSO GUTIERREZ</v>
      </c>
      <c r="D2237" s="6" t="str">
        <f ca="1">IFERROR(__xludf.DUMMYFUNCTION("""COMPUTED_VALUE"""),"MELIPILLA")</f>
        <v>MELIPILLA</v>
      </c>
    </row>
    <row r="2238" spans="1:4">
      <c r="A2238" s="7">
        <f ca="1">IFERROR(__xludf.DUMMYFUNCTION("""COMPUTED_VALUE"""),44202)</f>
        <v>44202</v>
      </c>
      <c r="B2238" s="6" t="str">
        <f ca="1">IFERROR(__xludf.DUMMYFUNCTION("""COMPUTED_VALUE"""),"-33.676608,-71.233696")</f>
        <v>-33.676608,-71.233696</v>
      </c>
      <c r="C2238" s="6" t="str">
        <f ca="1">IFERROR(__xludf.DUMMYFUNCTION("""COMPUTED_VALUE"""),"PINTOR JOSE PEROTTI 27")</f>
        <v>PINTOR JOSE PEROTTI 27</v>
      </c>
      <c r="D2238" s="6" t="str">
        <f ca="1">IFERROR(__xludf.DUMMYFUNCTION("""COMPUTED_VALUE"""),"MELIPILLA")</f>
        <v>MELIPILLA</v>
      </c>
    </row>
    <row r="2239" spans="1:4">
      <c r="A2239" s="7">
        <f ca="1">IFERROR(__xludf.DUMMYFUNCTION("""COMPUTED_VALUE"""),44203)</f>
        <v>44203</v>
      </c>
      <c r="B2239" s="8" t="str">
        <f ca="1">IFERROR(__xludf.DUMMYFUNCTION("""COMPUTED_VALUE"""),"-33.677492,-71.186493")</f>
        <v>-33.677492,-71.186493</v>
      </c>
      <c r="C2239" s="6" t="str">
        <f ca="1">IFERROR(__xludf.DUMMYFUNCTION("""COMPUTED_VALUE"""),"LA RINCONADA 1240 ")</f>
        <v xml:space="preserve">LA RINCONADA 1240 </v>
      </c>
      <c r="D2239" s="6" t="str">
        <f ca="1">IFERROR(__xludf.DUMMYFUNCTION("""COMPUTED_VALUE"""),"MELIPILLA")</f>
        <v>MELIPILLA</v>
      </c>
    </row>
    <row r="2240" spans="1:4">
      <c r="A2240" s="7">
        <f ca="1">IFERROR(__xludf.DUMMYFUNCTION("""COMPUTED_VALUE"""),44203)</f>
        <v>44203</v>
      </c>
      <c r="B2240" s="8" t="str">
        <f ca="1">IFERROR(__xludf.DUMMYFUNCTION("""COMPUTED_VALUE"""),"-33.570827,-71.209090")</f>
        <v>-33.570827,-71.209090</v>
      </c>
      <c r="C2240" s="6" t="str">
        <f ca="1">IFERROR(__xludf.DUMMYFUNCTION("""COMPUTED_VALUE"""),"CALLE LA CANAMERA 157 BOLLENAR ")</f>
        <v xml:space="preserve">CALLE LA CANAMERA 157 BOLLENAR </v>
      </c>
      <c r="D2240" s="6" t="str">
        <f ca="1">IFERROR(__xludf.DUMMYFUNCTION("""COMPUTED_VALUE"""),"MELIPILLA")</f>
        <v>MELIPILLA</v>
      </c>
    </row>
    <row r="2241" spans="1:4">
      <c r="A2241" s="7">
        <f ca="1">IFERROR(__xludf.DUMMYFUNCTION("""COMPUTED_VALUE"""),44203)</f>
        <v>44203</v>
      </c>
      <c r="B2241" s="8" t="str">
        <f ca="1">IFERROR(__xludf.DUMMYFUNCTION("""COMPUTED_VALUE"""),"-33.678506,-71.234847")</f>
        <v>-33.678506,-71.234847</v>
      </c>
      <c r="C2241" s="6" t="str">
        <f ca="1">IFERROR(__xludf.DUMMYFUNCTION("""COMPUTED_VALUE"""),"PINTOR JOSE PEROTTI")</f>
        <v>PINTOR JOSE PEROTTI</v>
      </c>
      <c r="D2241" s="6" t="str">
        <f ca="1">IFERROR(__xludf.DUMMYFUNCTION("""COMPUTED_VALUE"""),"MELIPILLA")</f>
        <v>MELIPILLA</v>
      </c>
    </row>
    <row r="2242" spans="1:4">
      <c r="A2242" s="7">
        <f ca="1">IFERROR(__xludf.DUMMYFUNCTION("""COMPUTED_VALUE"""),44203)</f>
        <v>44203</v>
      </c>
      <c r="B2242" s="8" t="str">
        <f ca="1">IFERROR(__xludf.DUMMYFUNCTION("""COMPUTED_VALUE"""),"-33.680218,-71.225566")</f>
        <v>-33.680218,-71.225566</v>
      </c>
      <c r="C2242" s="6" t="str">
        <f ca="1">IFERROR(__xludf.DUMMYFUNCTION("""COMPUTED_VALUE"""),"LA PALMA 1319")</f>
        <v>LA PALMA 1319</v>
      </c>
      <c r="D2242" s="6" t="str">
        <f ca="1">IFERROR(__xludf.DUMMYFUNCTION("""COMPUTED_VALUE"""),"MELIPILLA")</f>
        <v>MELIPILLA</v>
      </c>
    </row>
    <row r="2243" spans="1:4">
      <c r="A2243" s="7">
        <f ca="1">IFERROR(__xludf.DUMMYFUNCTION("""COMPUTED_VALUE"""),44203)</f>
        <v>44203</v>
      </c>
      <c r="B2243" s="8" t="str">
        <f ca="1">IFERROR(__xludf.DUMMYFUNCTION("""COMPUTED_VALUE"""),"-33.656624,-71.323367")</f>
        <v>-33.656624,-71.323367</v>
      </c>
      <c r="C2243" s="6" t="str">
        <f ca="1">IFERROR(__xludf.DUMMYFUNCTION("""COMPUTED_VALUE"""),"PUERTA COLORADA 1 PARCELA 14 ")</f>
        <v xml:space="preserve">PUERTA COLORADA 1 PARCELA 14 </v>
      </c>
      <c r="D2243" s="6" t="str">
        <f ca="1">IFERROR(__xludf.DUMMYFUNCTION("""COMPUTED_VALUE"""),"MELIPILLA")</f>
        <v>MELIPILLA</v>
      </c>
    </row>
    <row r="2244" spans="1:4">
      <c r="A2244" s="7">
        <f ca="1">IFERROR(__xludf.DUMMYFUNCTION("""COMPUTED_VALUE"""),44203)</f>
        <v>44203</v>
      </c>
      <c r="B2244" s="8" t="str">
        <f ca="1">IFERROR(__xludf.DUMMYFUNCTION("""COMPUTED_VALUE"""),"-33.6796925,-71.1962986")</f>
        <v>-33.6796925,-71.1962986</v>
      </c>
      <c r="C2244" s="6" t="str">
        <f ca="1">IFERROR(__xludf.DUMMYFUNCTION("""COMPUTED_VALUE"""),"CALLE AURORA DE CHILE 642 ")</f>
        <v xml:space="preserve">CALLE AURORA DE CHILE 642 </v>
      </c>
      <c r="D2244" s="6" t="str">
        <f ca="1">IFERROR(__xludf.DUMMYFUNCTION("""COMPUTED_VALUE"""),"MELIPILLA")</f>
        <v>MELIPILLA</v>
      </c>
    </row>
    <row r="2245" spans="1:4">
      <c r="A2245" s="7">
        <f ca="1">IFERROR(__xludf.DUMMYFUNCTION("""COMPUTED_VALUE"""),44203)</f>
        <v>44203</v>
      </c>
      <c r="B2245" s="8" t="str">
        <f ca="1">IFERROR(__xludf.DUMMYFUNCTION("""COMPUTED_VALUE"""),"-33.568007,-71.221628")</f>
        <v>-33.568007,-71.221628</v>
      </c>
      <c r="C2245" s="6" t="str">
        <f ca="1">IFERROR(__xludf.DUMMYFUNCTION("""COMPUTED_VALUE"""),"VILLA ESPERANZA S/N SITIO 56")</f>
        <v>VILLA ESPERANZA S/N SITIO 56</v>
      </c>
      <c r="D2245" s="6" t="str">
        <f ca="1">IFERROR(__xludf.DUMMYFUNCTION("""COMPUTED_VALUE"""),"MELIPILLA")</f>
        <v>MELIPILLA</v>
      </c>
    </row>
    <row r="2246" spans="1:4">
      <c r="A2246" s="7">
        <f ca="1">IFERROR(__xludf.DUMMYFUNCTION("""COMPUTED_VALUE"""),44203)</f>
        <v>44203</v>
      </c>
      <c r="B2246" s="8" t="str">
        <f ca="1">IFERROR(__xludf.DUMMYFUNCTION("""COMPUTED_VALUE"""),"-33.677967,-71.234610")</f>
        <v>-33.677967,-71.234610</v>
      </c>
      <c r="C2246" s="6" t="str">
        <f ca="1">IFERROR(__xludf.DUMMYFUNCTION("""COMPUTED_VALUE"""),"PINTOR JOSE PEROTTI 172")</f>
        <v>PINTOR JOSE PEROTTI 172</v>
      </c>
      <c r="D2246" s="6" t="str">
        <f ca="1">IFERROR(__xludf.DUMMYFUNCTION("""COMPUTED_VALUE"""),"MELIPILLA")</f>
        <v>MELIPILLA</v>
      </c>
    </row>
    <row r="2247" spans="1:4">
      <c r="A2247" s="7">
        <f ca="1">IFERROR(__xludf.DUMMYFUNCTION("""COMPUTED_VALUE"""),44203)</f>
        <v>44203</v>
      </c>
      <c r="B2247" s="6" t="str">
        <f ca="1">IFERROR(__xludf.DUMMYFUNCTION("""COMPUTED_VALUE"""),"-33.614903-70.905681")</f>
        <v>-33.614903-70.905681</v>
      </c>
      <c r="C2247" s="6" t="str">
        <f ca="1">IFERROR(__xludf.DUMMYFUNCTION("""COMPUTED_VALUE"""),"CA UNO 3989")</f>
        <v>CA UNO 3989</v>
      </c>
      <c r="D2247" s="6" t="str">
        <f ca="1">IFERROR(__xludf.DUMMYFUNCTION("""COMPUTED_VALUE"""),"PEÑAFLOR")</f>
        <v>PEÑAFLOR</v>
      </c>
    </row>
    <row r="2248" spans="1:4">
      <c r="A2248" s="7">
        <f ca="1">IFERROR(__xludf.DUMMYFUNCTION("""COMPUTED_VALUE"""),44203)</f>
        <v>44203</v>
      </c>
      <c r="B2248" s="6" t="str">
        <f ca="1">IFERROR(__xludf.DUMMYFUNCTION("""COMPUTED_VALUE"""),"-33.44711-71.0298")</f>
        <v>-33.44711-71.0298</v>
      </c>
      <c r="C2248" s="6" t="str">
        <f ca="1">IFERROR(__xludf.DUMMYFUNCTION("""COMPUTED_VALUE"""),"UNION CHILENA S-14 L-F")</f>
        <v>UNION CHILENA S-14 L-F</v>
      </c>
      <c r="D2248" s="6" t="str">
        <f ca="1">IFERROR(__xludf.DUMMYFUNCTION("""COMPUTED_VALUE"""),"CURACAVI")</f>
        <v>CURACAVI</v>
      </c>
    </row>
    <row r="2249" spans="1:4">
      <c r="A2249" s="7">
        <f ca="1">IFERROR(__xludf.DUMMYFUNCTION("""COMPUTED_VALUE"""),44203)</f>
        <v>44203</v>
      </c>
      <c r="B2249" s="6" t="str">
        <f ca="1">IFERROR(__xludf.DUMMYFUNCTION("""COMPUTED_VALUE"""),"-33.43251-71.0322")</f>
        <v>-33.43251-71.0322</v>
      </c>
      <c r="C2249" s="6" t="str">
        <f ca="1">IFERROR(__xludf.DUMMYFUNCTION("""COMPUTED_VALUE"""),"SITIO 14-A RUTA 68")</f>
        <v>SITIO 14-A RUTA 68</v>
      </c>
      <c r="D2249" s="6" t="str">
        <f ca="1">IFERROR(__xludf.DUMMYFUNCTION("""COMPUTED_VALUE"""),"CURACAVI")</f>
        <v>CURACAVI</v>
      </c>
    </row>
    <row r="2250" spans="1:4">
      <c r="A2250" s="7">
        <f ca="1">IFERROR(__xludf.DUMMYFUNCTION("""COMPUTED_VALUE"""),44203)</f>
        <v>44203</v>
      </c>
      <c r="B2250" s="6" t="str">
        <f ca="1">IFERROR(__xludf.DUMMYFUNCTION("""COMPUTED_VALUE"""),"-33.44809-71.03485")</f>
        <v>-33.44809-71.03485</v>
      </c>
      <c r="C2250" s="6" t="str">
        <f ca="1">IFERROR(__xludf.DUMMYFUNCTION("""COMPUTED_VALUE"""),"UNION CHILENA 20")</f>
        <v>UNION CHILENA 20</v>
      </c>
      <c r="D2250" s="6" t="str">
        <f ca="1">IFERROR(__xludf.DUMMYFUNCTION("""COMPUTED_VALUE"""),"CURACAVI")</f>
        <v>CURACAVI</v>
      </c>
    </row>
    <row r="2251" spans="1:4">
      <c r="A2251" s="7">
        <f ca="1">IFERROR(__xludf.DUMMYFUNCTION("""COMPUTED_VALUE"""),44203)</f>
        <v>44203</v>
      </c>
      <c r="B2251" s="6" t="str">
        <f ca="1">IFERROR(__xludf.DUMMYFUNCTION("""COMPUTED_VALUE"""),"-33.686132,-71.193467")</f>
        <v>-33.686132,-71.193467</v>
      </c>
      <c r="C2251" s="6" t="str">
        <f ca="1">IFERROR(__xludf.DUMMYFUNCTION("""COMPUTED_VALUE"""),"GEBAUR BRINGAS 966 CH VILLA EL ALTO ETAPA A")</f>
        <v>GEBAUR BRINGAS 966 CH VILLA EL ALTO ETAPA A</v>
      </c>
      <c r="D2251" s="6" t="str">
        <f ca="1">IFERROR(__xludf.DUMMYFUNCTION("""COMPUTED_VALUE"""),"MELIPILLA")</f>
        <v>MELIPILLA</v>
      </c>
    </row>
    <row r="2252" spans="1:4">
      <c r="A2252" s="7">
        <f ca="1">IFERROR(__xludf.DUMMYFUNCTION("""COMPUTED_VALUE"""),44203)</f>
        <v>44203</v>
      </c>
      <c r="B2252" s="6" t="str">
        <f ca="1">IFERROR(__xludf.DUMMYFUNCTION("""COMPUTED_VALUE"""),"-33.574509,-71.215762")</f>
        <v>-33.574509,-71.215762</v>
      </c>
      <c r="C2252" s="6" t="str">
        <f ca="1">IFERROR(__xludf.DUMMYFUNCTION("""COMPUTED_VALUE"""),"LOS MAQUIS 305 LOTE A BOLLENAR")</f>
        <v>LOS MAQUIS 305 LOTE A BOLLENAR</v>
      </c>
      <c r="D2252" s="6" t="str">
        <f ca="1">IFERROR(__xludf.DUMMYFUNCTION("""COMPUTED_VALUE"""),"MELIPILLA")</f>
        <v>MELIPILLA</v>
      </c>
    </row>
    <row r="2253" spans="1:4">
      <c r="A2253" s="7">
        <f ca="1">IFERROR(__xludf.DUMMYFUNCTION("""COMPUTED_VALUE"""),44203)</f>
        <v>44203</v>
      </c>
      <c r="B2253" s="6" t="str">
        <f ca="1">IFERROR(__xludf.DUMMYFUNCTION("""COMPUTED_VALUE"""),"-33.681334,-71.205556")</f>
        <v>-33.681334,-71.205556</v>
      </c>
      <c r="C2253" s="6" t="str">
        <f ca="1">IFERROR(__xludf.DUMMYFUNCTION("""COMPUTED_VALUE"""),"VICUÑA MACKENNA 50 B")</f>
        <v>VICUÑA MACKENNA 50 B</v>
      </c>
      <c r="D2253" s="6" t="str">
        <f ca="1">IFERROR(__xludf.DUMMYFUNCTION("""COMPUTED_VALUE"""),"MELIPILLA")</f>
        <v>MELIPILLA</v>
      </c>
    </row>
    <row r="2254" spans="1:4">
      <c r="A2254" s="7">
        <f ca="1">IFERROR(__xludf.DUMMYFUNCTION("""COMPUTED_VALUE"""),44203)</f>
        <v>44203</v>
      </c>
      <c r="B2254" s="6" t="str">
        <f ca="1">IFERROR(__xludf.DUMMYFUNCTION("""COMPUTED_VALUE"""),"-33.746790,-71.191840")</f>
        <v>-33.746790,-71.191840</v>
      </c>
      <c r="C2254" s="6" t="str">
        <f ca="1">IFERROR(__xludf.DUMMYFUNCTION("""COMPUTED_VALUE"""),"CALLE LECAROS S 119")</f>
        <v>CALLE LECAROS S 119</v>
      </c>
      <c r="D2254" s="6" t="str">
        <f ca="1">IFERROR(__xludf.DUMMYFUNCTION("""COMPUTED_VALUE"""),"MELIPILLA")</f>
        <v>MELIPILLA</v>
      </c>
    </row>
    <row r="2255" spans="1:4">
      <c r="A2255" s="7">
        <f ca="1">IFERROR(__xludf.DUMMYFUNCTION("""COMPUTED_VALUE"""),44203)</f>
        <v>44203</v>
      </c>
      <c r="B2255" s="6" t="str">
        <f ca="1">IFERROR(__xludf.DUMMYFUNCTION("""COMPUTED_VALUE"""),"-33.681620,-71.195652")</f>
        <v>-33.681620,-71.195652</v>
      </c>
      <c r="C2255" s="6" t="str">
        <f ca="1">IFERROR(__xludf.DUMMYFUNCTION("""COMPUTED_VALUE"""),"LUDWING VAN B 844")</f>
        <v>LUDWING VAN B 844</v>
      </c>
      <c r="D2255" s="6" t="str">
        <f ca="1">IFERROR(__xludf.DUMMYFUNCTION("""COMPUTED_VALUE"""),"MELIPILLA")</f>
        <v>MELIPILLA</v>
      </c>
    </row>
    <row r="2256" spans="1:4">
      <c r="A2256" s="7">
        <f ca="1">IFERROR(__xludf.DUMMYFUNCTION("""COMPUTED_VALUE"""),44203)</f>
        <v>44203</v>
      </c>
      <c r="B2256" s="6" t="str">
        <f ca="1">IFERROR(__xludf.DUMMYFUNCTION("""COMPUTED_VALUE"""),"-33.746533,-71.191840")</f>
        <v>-33.746533,-71.191840</v>
      </c>
      <c r="C2256" s="6" t="str">
        <f ca="1">IFERROR(__xludf.DUMMYFUNCTION("""COMPUTED_VALUE"""),"CALLE LECAROS S 119")</f>
        <v>CALLE LECAROS S 119</v>
      </c>
      <c r="D2256" s="6" t="str">
        <f ca="1">IFERROR(__xludf.DUMMYFUNCTION("""COMPUTED_VALUE"""),"MELIPILLA")</f>
        <v>MELIPILLA</v>
      </c>
    </row>
    <row r="2257" spans="1:4">
      <c r="A2257" s="7">
        <f ca="1">IFERROR(__xludf.DUMMYFUNCTION("""COMPUTED_VALUE"""),44204)</f>
        <v>44204</v>
      </c>
      <c r="B2257" s="8" t="str">
        <f ca="1">IFERROR(__xludf.DUMMYFUNCTION("""COMPUTED_VALUE"""),"-33.395095,-71.1822900")</f>
        <v>-33.395095,-71.1822900</v>
      </c>
      <c r="C2257" s="6" t="str">
        <f ca="1">IFERROR(__xludf.DUMMYFUNCTION("""COMPUTED_VALUE"""),"LAS HORTENCIAS S/N PUANGUE")</f>
        <v>LAS HORTENCIAS S/N PUANGUE</v>
      </c>
      <c r="D2257" s="6" t="str">
        <f ca="1">IFERROR(__xludf.DUMMYFUNCTION("""COMPUTED_VALUE"""),"MELIPILLA")</f>
        <v>MELIPILLA</v>
      </c>
    </row>
    <row r="2258" spans="1:4">
      <c r="A2258" s="7">
        <f ca="1">IFERROR(__xludf.DUMMYFUNCTION("""COMPUTED_VALUE"""),44204)</f>
        <v>44204</v>
      </c>
      <c r="B2258" s="8" t="str">
        <f ca="1">IFERROR(__xludf.DUMMYFUNCTION("""COMPUTED_VALUE"""),"-33,663719,-71.306334")</f>
        <v>-33,663719,-71.306334</v>
      </c>
      <c r="C2258" s="6" t="str">
        <f ca="1">IFERROR(__xludf.DUMMYFUNCTION("""COMPUTED_VALUE"""),"SECTOR EL EJEMPLO PARCELA 12 PUANGUE ")</f>
        <v xml:space="preserve">SECTOR EL EJEMPLO PARCELA 12 PUANGUE </v>
      </c>
      <c r="D2258" s="6" t="str">
        <f ca="1">IFERROR(__xludf.DUMMYFUNCTION("""COMPUTED_VALUE"""),"MELIPILLA")</f>
        <v>MELIPILLA</v>
      </c>
    </row>
    <row r="2259" spans="1:4">
      <c r="A2259" s="7">
        <f ca="1">IFERROR(__xludf.DUMMYFUNCTION("""COMPUTED_VALUE"""),44204)</f>
        <v>44204</v>
      </c>
      <c r="B2259" s="8" t="str">
        <f ca="1">IFERROR(__xludf.DUMMYFUNCTION("""COMPUTED_VALUE"""),"-33.732685,-71.164428")</f>
        <v>-33.732685,-71.164428</v>
      </c>
      <c r="C2259" s="6" t="str">
        <f ca="1">IFERROR(__xludf.DUMMYFUNCTION("""COMPUTED_VALUE"""),"CARMEN BAJO 2")</f>
        <v>CARMEN BAJO 2</v>
      </c>
      <c r="D2259" s="6" t="str">
        <f ca="1">IFERROR(__xludf.DUMMYFUNCTION("""COMPUTED_VALUE"""),"MELIPILLA")</f>
        <v>MELIPILLA</v>
      </c>
    </row>
    <row r="2260" spans="1:4">
      <c r="A2260" s="7">
        <f ca="1">IFERROR(__xludf.DUMMYFUNCTION("""COMPUTED_VALUE"""),44204)</f>
        <v>44204</v>
      </c>
      <c r="B2260" s="8" t="str">
        <f ca="1">IFERROR(__xludf.DUMMYFUNCTION("""COMPUTED_VALUE"""),"-33.518229,-71.122890")</f>
        <v>-33.518229,-71.122890</v>
      </c>
      <c r="C2260" s="6" t="str">
        <f ca="1">IFERROR(__xludf.DUMMYFUNCTION("""COMPUTED_VALUE"""),"DIEGO PORTALES 136 ")</f>
        <v xml:space="preserve">DIEGO PORTALES 136 </v>
      </c>
      <c r="D2260" s="6" t="str">
        <f ca="1">IFERROR(__xludf.DUMMYFUNCTION("""COMPUTED_VALUE"""),"MARIA PINTO")</f>
        <v>MARIA PINTO</v>
      </c>
    </row>
    <row r="2261" spans="1:4">
      <c r="A2261" s="7">
        <f ca="1">IFERROR(__xludf.DUMMYFUNCTION("""COMPUTED_VALUE"""),44204)</f>
        <v>44204</v>
      </c>
      <c r="B2261" s="6" t="str">
        <f ca="1">IFERROR(__xludf.DUMMYFUNCTION("""COMPUTED_VALUE"""),"-33.684277,-71.225522")</f>
        <v>-33.684277,-71.225522</v>
      </c>
      <c r="C2261" s="6" t="str">
        <f ca="1">IFERROR(__xludf.DUMMYFUNCTION("""COMPUTED_VALUE"""),"PASAJE CARACAS 464")</f>
        <v>PASAJE CARACAS 464</v>
      </c>
      <c r="D2261" s="6" t="str">
        <f ca="1">IFERROR(__xludf.DUMMYFUNCTION("""COMPUTED_VALUE"""),"MELIPILLA")</f>
        <v>MELIPILLA</v>
      </c>
    </row>
    <row r="2262" spans="1:4">
      <c r="A2262" s="7">
        <f ca="1">IFERROR(__xludf.DUMMYFUNCTION("""COMPUTED_VALUE"""),44204)</f>
        <v>44204</v>
      </c>
      <c r="B2262" s="6" t="str">
        <f ca="1">IFERROR(__xludf.DUMMYFUNCTION("""COMPUTED_VALUE"""),"-33.585685,-71.051791")</f>
        <v>-33.585685,-71.051791</v>
      </c>
      <c r="C2262" s="6" t="str">
        <f ca="1">IFERROR(__xludf.DUMMYFUNCTION("""COMPUTED_VALUE"""),"SANTA VICTORIA S/N")</f>
        <v>SANTA VICTORIA S/N</v>
      </c>
      <c r="D2262" s="6" t="str">
        <f ca="1">IFERROR(__xludf.DUMMYFUNCTION("""COMPUTED_VALUE"""),"MELIPILLA")</f>
        <v>MELIPILLA</v>
      </c>
    </row>
    <row r="2263" spans="1:4">
      <c r="A2263" s="7">
        <f ca="1">IFERROR(__xludf.DUMMYFUNCTION("""COMPUTED_VALUE"""),44204)</f>
        <v>44204</v>
      </c>
      <c r="B2263" s="6" t="str">
        <f ca="1">IFERROR(__xludf.DUMMYFUNCTION("""COMPUTED_VALUE"""),"-33.656341,-71.281042")</f>
        <v>-33.656341,-71.281042</v>
      </c>
      <c r="C2263" s="6" t="str">
        <f ca="1">IFERROR(__xludf.DUMMYFUNCTION("""COMPUTED_VALUE"""),"PASAJE TURQUESA 44 SANTA ROSA ESMERALDA")</f>
        <v>PASAJE TURQUESA 44 SANTA ROSA ESMERALDA</v>
      </c>
      <c r="D2263" s="6" t="str">
        <f ca="1">IFERROR(__xludf.DUMMYFUNCTION("""COMPUTED_VALUE"""),"MELIPILLA")</f>
        <v>MELIPILLA</v>
      </c>
    </row>
    <row r="2264" spans="1:4">
      <c r="A2264" s="7">
        <f ca="1">IFERROR(__xludf.DUMMYFUNCTION("""COMPUTED_VALUE"""),44204)</f>
        <v>44204</v>
      </c>
      <c r="B2264" s="6" t="str">
        <f ca="1">IFERROR(__xludf.DUMMYFUNCTION("""COMPUTED_VALUE"""),"-33.585293,-71052096")</f>
        <v>-33.585293,-71052096</v>
      </c>
      <c r="C2264" s="6" t="str">
        <f ca="1">IFERROR(__xludf.DUMMYFUNCTION("""COMPUTED_VALUE"""),"SANTA VICTORIA S/N")</f>
        <v>SANTA VICTORIA S/N</v>
      </c>
      <c r="D2264" s="6" t="str">
        <f ca="1">IFERROR(__xludf.DUMMYFUNCTION("""COMPUTED_VALUE"""),"MELIPILLA")</f>
        <v>MELIPILLA</v>
      </c>
    </row>
    <row r="2265" spans="1:4">
      <c r="A2265" s="7">
        <f ca="1">IFERROR(__xludf.DUMMYFUNCTION("""COMPUTED_VALUE"""),44204)</f>
        <v>44204</v>
      </c>
      <c r="B2265" s="6" t="str">
        <f ca="1">IFERROR(__xludf.DUMMYFUNCTION("""COMPUTED_VALUE"""),"-33.656516,-71.281076")</f>
        <v>-33.656516,-71.281076</v>
      </c>
      <c r="C2265" s="6" t="str">
        <f ca="1">IFERROR(__xludf.DUMMYFUNCTION("""COMPUTED_VALUE"""),"PASAJE TURQUESA 28 SANTA ROSA ESMERALDA")</f>
        <v>PASAJE TURQUESA 28 SANTA ROSA ESMERALDA</v>
      </c>
      <c r="D2265" s="6" t="str">
        <f ca="1">IFERROR(__xludf.DUMMYFUNCTION("""COMPUTED_VALUE"""),"MELIPILLA")</f>
        <v>MELIPILLA</v>
      </c>
    </row>
    <row r="2266" spans="1:4">
      <c r="A2266" s="7">
        <f ca="1">IFERROR(__xludf.DUMMYFUNCTION("""COMPUTED_VALUE"""),44204)</f>
        <v>44204</v>
      </c>
      <c r="B2266" s="6" t="str">
        <f ca="1">IFERROR(__xludf.DUMMYFUNCTION("""COMPUTED_VALUE"""),"-33.675742,-71.236130")</f>
        <v>-33.675742,-71.236130</v>
      </c>
      <c r="C2266" s="6" t="str">
        <f ca="1">IFERROR(__xludf.DUMMYFUNCTION("""COMPUTED_VALUE"""),"LUIS EMILIO RECABARREN 2574")</f>
        <v>LUIS EMILIO RECABARREN 2574</v>
      </c>
      <c r="D2266" s="6" t="str">
        <f ca="1">IFERROR(__xludf.DUMMYFUNCTION("""COMPUTED_VALUE"""),"MELIPILLA")</f>
        <v>MELIPILLA</v>
      </c>
    </row>
    <row r="2267" spans="1:4">
      <c r="A2267" s="7">
        <f ca="1">IFERROR(__xludf.DUMMYFUNCTION("""COMPUTED_VALUE"""),44205)</f>
        <v>44205</v>
      </c>
      <c r="B2267" s="8" t="str">
        <f ca="1">IFERROR(__xludf.DUMMYFUNCTION("""COMPUTED_VALUE"""),"-33.608277,-71224741")</f>
        <v>-33.608277,-71224741</v>
      </c>
      <c r="C2267" s="6" t="str">
        <f ca="1">IFERROR(__xludf.DUMMYFUNCTION("""COMPUTED_VALUE"""),"EL TRIGAL S/N")</f>
        <v>EL TRIGAL S/N</v>
      </c>
      <c r="D2267" s="6" t="str">
        <f ca="1">IFERROR(__xludf.DUMMYFUNCTION("""COMPUTED_VALUE"""),"MELIPILLA")</f>
        <v>MELIPILLA</v>
      </c>
    </row>
    <row r="2268" spans="1:4">
      <c r="A2268" s="7">
        <f ca="1">IFERROR(__xludf.DUMMYFUNCTION("""COMPUTED_VALUE"""),44205)</f>
        <v>44205</v>
      </c>
      <c r="B2268" s="6" t="str">
        <f ca="1">IFERROR(__xludf.DUMMYFUNCTION("""COMPUTED_VALUE"""),"-33.656323,-71.281092")</f>
        <v>-33.656323,-71.281092</v>
      </c>
      <c r="C2268" s="6" t="str">
        <f ca="1">IFERROR(__xludf.DUMMYFUNCTION("""COMPUTED_VALUE"""),"PASAJE TURQUESA 60 SANTA ROSA ESMERALDA")</f>
        <v>PASAJE TURQUESA 60 SANTA ROSA ESMERALDA</v>
      </c>
      <c r="D2268" s="6" t="str">
        <f ca="1">IFERROR(__xludf.DUMMYFUNCTION("""COMPUTED_VALUE"""),"MELIPILLA")</f>
        <v>MELIPILLA</v>
      </c>
    </row>
    <row r="2269" spans="1:4">
      <c r="A2269" s="7">
        <f ca="1">IFERROR(__xludf.DUMMYFUNCTION("""COMPUTED_VALUE"""),44205)</f>
        <v>44205</v>
      </c>
      <c r="B2269" s="6" t="str">
        <f ca="1">IFERROR(__xludf.DUMMYFUNCTION("""COMPUTED_VALUE"""),"-33.771429,-71.172144")</f>
        <v>-33.771429,-71.172144</v>
      </c>
      <c r="C2269" s="6" t="str">
        <f ca="1">IFERROR(__xludf.DUMMYFUNCTION("""COMPUTED_VALUE"""),"MANANTIALES 8 ")</f>
        <v xml:space="preserve">MANANTIALES 8 </v>
      </c>
      <c r="D2269" s="6" t="str">
        <f ca="1">IFERROR(__xludf.DUMMYFUNCTION("""COMPUTED_VALUE"""),"MELIPILLA")</f>
        <v>MELIPILLA</v>
      </c>
    </row>
    <row r="2270" spans="1:4">
      <c r="A2270" s="7">
        <f ca="1">IFERROR(__xludf.DUMMYFUNCTION("""COMPUTED_VALUE"""),44207)</f>
        <v>44207</v>
      </c>
      <c r="B2270" s="6" t="str">
        <f ca="1">IFERROR(__xludf.DUMMYFUNCTION("""COMPUTED_VALUE"""),"-33.59926-70.88756")</f>
        <v>-33.59926-70.88756</v>
      </c>
      <c r="C2270" s="6" t="str">
        <f ca="1">IFERROR(__xludf.DUMMYFUNCTION("""COMPUTED_VALUE"""),"PA EDEN 3604")</f>
        <v>PA EDEN 3604</v>
      </c>
      <c r="D2270" s="6" t="str">
        <f ca="1">IFERROR(__xludf.DUMMYFUNCTION("""COMPUTED_VALUE"""),"PEÑAFLOR")</f>
        <v>PEÑAFLOR</v>
      </c>
    </row>
    <row r="2271" spans="1:4">
      <c r="A2271" s="7">
        <f ca="1">IFERROR(__xludf.DUMMYFUNCTION("""COMPUTED_VALUE"""),44207)</f>
        <v>44207</v>
      </c>
      <c r="B2271" s="6" t="str">
        <f ca="1">IFERROR(__xludf.DUMMYFUNCTION("""COMPUTED_VALUE"""),"-33.61198-70.87789")</f>
        <v>-33.61198-70.87789</v>
      </c>
      <c r="C2271" s="6" t="str">
        <f ca="1">IFERROR(__xludf.DUMMYFUNCTION("""COMPUTED_VALUE"""),"CERRO JUNCAL 1871")</f>
        <v>CERRO JUNCAL 1871</v>
      </c>
      <c r="D2271" s="6" t="str">
        <f ca="1">IFERROR(__xludf.DUMMYFUNCTION("""COMPUTED_VALUE"""),"PEÑAFLOR")</f>
        <v>PEÑAFLOR</v>
      </c>
    </row>
    <row r="2272" spans="1:4">
      <c r="A2272" s="7">
        <f ca="1">IFERROR(__xludf.DUMMYFUNCTION("""COMPUTED_VALUE"""),44207)</f>
        <v>44207</v>
      </c>
      <c r="B2272" s="6" t="str">
        <f ca="1">IFERROR(__xludf.DUMMYFUNCTION("""COMPUTED_VALUE"""),"-33.679969,-71.197199")</f>
        <v>-33.679969,-71.197199</v>
      </c>
      <c r="C2272" s="6" t="str">
        <f ca="1">IFERROR(__xludf.DUMMYFUNCTION("""COMPUTED_VALUE"""),"CALLE AURORA DE CHILE 551")</f>
        <v>CALLE AURORA DE CHILE 551</v>
      </c>
      <c r="D2272" s="6" t="str">
        <f ca="1">IFERROR(__xludf.DUMMYFUNCTION("""COMPUTED_VALUE"""),"MELIPILLA")</f>
        <v>MELIPILLA</v>
      </c>
    </row>
    <row r="2273" spans="1:4">
      <c r="A2273" s="7">
        <f ca="1">IFERROR(__xludf.DUMMYFUNCTION("""COMPUTED_VALUE"""),44207)</f>
        <v>44207</v>
      </c>
      <c r="B2273" s="6" t="str">
        <f ca="1">IFERROR(__xludf.DUMMYFUNCTION("""COMPUTED_VALUE"""),"-33.660692,-71.276162")</f>
        <v>-33.660692,-71.276162</v>
      </c>
      <c r="C2273" s="6" t="str">
        <f ca="1">IFERROR(__xludf.DUMMYFUNCTION("""COMPUTED_VALUE"""),"ESMERALDA 195")</f>
        <v>ESMERALDA 195</v>
      </c>
      <c r="D2273" s="6" t="str">
        <f ca="1">IFERROR(__xludf.DUMMYFUNCTION("""COMPUTED_VALUE"""),"MELIPILLA")</f>
        <v>MELIPILLA</v>
      </c>
    </row>
    <row r="2274" spans="1:4">
      <c r="A2274" s="7">
        <f ca="1">IFERROR(__xludf.DUMMYFUNCTION("""COMPUTED_VALUE"""),44207)</f>
        <v>44207</v>
      </c>
      <c r="B2274" s="6" t="str">
        <f ca="1">IFERROR(__xludf.DUMMYFUNCTION("""COMPUTED_VALUE"""),"-33.682504,-71.194612")</f>
        <v>-33.682504,-71.194612</v>
      </c>
      <c r="C2274" s="6" t="str">
        <f ca="1">IFERROR(__xludf.DUMMYFUNCTION("""COMPUTED_VALUE"""),"PSJ FREDERICH HANDEL 213")</f>
        <v>PSJ FREDERICH HANDEL 213</v>
      </c>
      <c r="D2274" s="6" t="str">
        <f ca="1">IFERROR(__xludf.DUMMYFUNCTION("""COMPUTED_VALUE"""),"MELIPILLA")</f>
        <v>MELIPILLA</v>
      </c>
    </row>
    <row r="2275" spans="1:4">
      <c r="A2275" s="7">
        <f ca="1">IFERROR(__xludf.DUMMYFUNCTION("""COMPUTED_VALUE"""),44207)</f>
        <v>44207</v>
      </c>
      <c r="B2275" s="6" t="str">
        <f ca="1">IFERROR(__xludf.DUMMYFUNCTION("""COMPUTED_VALUE"""),"-33.674873,-71.176620")</f>
        <v>-33.674873,-71.176620</v>
      </c>
      <c r="C2275" s="6" t="str">
        <f ca="1">IFERROR(__xludf.DUMMYFUNCTION("""COMPUTED_VALUE"""),"SUIZA 135")</f>
        <v>SUIZA 135</v>
      </c>
      <c r="D2275" s="6" t="str">
        <f ca="1">IFERROR(__xludf.DUMMYFUNCTION("""COMPUTED_VALUE"""),"MELIPILLA")</f>
        <v>MELIPILLA</v>
      </c>
    </row>
    <row r="2276" spans="1:4">
      <c r="A2276" s="7">
        <f ca="1">IFERROR(__xludf.DUMMYFUNCTION("""COMPUTED_VALUE"""),44207)</f>
        <v>44207</v>
      </c>
      <c r="B2276" s="6" t="str">
        <f ca="1">IFERROR(__xludf.DUMMYFUNCTION("""COMPUTED_VALUE"""),"-33.6775637,-71.1847495")</f>
        <v>-33.6775637,-71.1847495</v>
      </c>
      <c r="C2276" s="6" t="str">
        <f ca="1">IFERROR(__xludf.DUMMYFUNCTION("""COMPUTED_VALUE"""),"CODIGUA S/N SIT 1")</f>
        <v>CODIGUA S/N SIT 1</v>
      </c>
      <c r="D2276" s="6" t="str">
        <f ca="1">IFERROR(__xludf.DUMMYFUNCTION("""COMPUTED_VALUE"""),"MELIPILLA")</f>
        <v>MELIPILLA</v>
      </c>
    </row>
    <row r="2277" spans="1:4">
      <c r="A2277" s="7">
        <f ca="1">IFERROR(__xludf.DUMMYFUNCTION("""COMPUTED_VALUE"""),44207)</f>
        <v>44207</v>
      </c>
      <c r="B2277" s="6" t="str">
        <f ca="1">IFERROR(__xludf.DUMMYFUNCTION("""COMPUTED_VALUE"""),"-33.656243,-71.279920")</f>
        <v>-33.656243,-71.279920</v>
      </c>
      <c r="C2277" s="6" t="str">
        <f ca="1">IFERROR(__xludf.DUMMYFUNCTION("""COMPUTED_VALUE"""),"PSJE ANAKITA 75 VILLA SANTA ROSA ESMERALDA")</f>
        <v>PSJE ANAKITA 75 VILLA SANTA ROSA ESMERALDA</v>
      </c>
      <c r="D2277" s="6" t="str">
        <f ca="1">IFERROR(__xludf.DUMMYFUNCTION("""COMPUTED_VALUE"""),"MELIPILLA")</f>
        <v>MELIPILLA</v>
      </c>
    </row>
    <row r="2278" spans="1:4">
      <c r="A2278" s="7">
        <f ca="1">IFERROR(__xludf.DUMMYFUNCTION("""COMPUTED_VALUE"""),44208)</f>
        <v>44208</v>
      </c>
      <c r="B2278" s="8" t="str">
        <f ca="1">IFERROR(__xludf.DUMMYFUNCTION("""COMPUTED_VALUE"""),"-33.570495,-71.199475")</f>
        <v>-33.570495,-71.199475</v>
      </c>
      <c r="C2278" s="6" t="str">
        <f ca="1">IFERROR(__xludf.DUMMYFUNCTION("""COMPUTED_VALUE"""),"BALLENAR S/N PARADERO 7")</f>
        <v>BALLENAR S/N PARADERO 7</v>
      </c>
      <c r="D2278" s="6" t="str">
        <f ca="1">IFERROR(__xludf.DUMMYFUNCTION("""COMPUTED_VALUE"""),"MELIPILLA")</f>
        <v>MELIPILLA</v>
      </c>
    </row>
    <row r="2279" spans="1:4">
      <c r="A2279" s="7">
        <f ca="1">IFERROR(__xludf.DUMMYFUNCTION("""COMPUTED_VALUE"""),44208)</f>
        <v>44208</v>
      </c>
      <c r="B2279" s="6" t="str">
        <f ca="1">IFERROR(__xludf.DUMMYFUNCTION("""COMPUTED_VALUE"""),"-33.606321-70.881826")</f>
        <v>-33.606321-70.881826</v>
      </c>
      <c r="C2279" s="6" t="str">
        <f ca="1">IFERROR(__xludf.DUMMYFUNCTION("""COMPUTED_VALUE"""),"VILLA FERNANDO 965")</f>
        <v>VILLA FERNANDO 965</v>
      </c>
      <c r="D2279" s="6" t="str">
        <f ca="1">IFERROR(__xludf.DUMMYFUNCTION("""COMPUTED_VALUE"""),"PEÑAFLOR")</f>
        <v>PEÑAFLOR</v>
      </c>
    </row>
    <row r="2280" spans="1:4">
      <c r="A2280" s="7">
        <f ca="1">IFERROR(__xludf.DUMMYFUNCTION("""COMPUTED_VALUE"""),44208)</f>
        <v>44208</v>
      </c>
      <c r="B2280" s="6" t="str">
        <f ca="1">IFERROR(__xludf.DUMMYFUNCTION("""COMPUTED_VALUE"""),"-33.45161-71.02692")</f>
        <v>-33.45161-71.02692</v>
      </c>
      <c r="C2280" s="6" t="str">
        <f ca="1">IFERROR(__xludf.DUMMYFUNCTION("""COMPUTED_VALUE"""),"UNION CHILENA S-26")</f>
        <v>UNION CHILENA S-26</v>
      </c>
      <c r="D2280" s="6" t="str">
        <f ca="1">IFERROR(__xludf.DUMMYFUNCTION("""COMPUTED_VALUE"""),"CURACAVI")</f>
        <v>CURACAVI</v>
      </c>
    </row>
    <row r="2281" spans="1:4">
      <c r="A2281" s="7">
        <f ca="1">IFERROR(__xludf.DUMMYFUNCTION("""COMPUTED_VALUE"""),44208)</f>
        <v>44208</v>
      </c>
      <c r="B2281" s="6" t="str">
        <f ca="1">IFERROR(__xludf.DUMMYFUNCTION("""COMPUTED_VALUE"""),"-33.4522-71.02797")</f>
        <v>-33.4522-71.02797</v>
      </c>
      <c r="C2281" s="6" t="str">
        <f ca="1">IFERROR(__xludf.DUMMYFUNCTION("""COMPUTED_VALUE"""),"UNION CHILENA S/N SITIO 28-A")</f>
        <v>UNION CHILENA S/N SITIO 28-A</v>
      </c>
      <c r="D2281" s="6" t="str">
        <f ca="1">IFERROR(__xludf.DUMMYFUNCTION("""COMPUTED_VALUE"""),"CURACAVI")</f>
        <v>CURACAVI</v>
      </c>
    </row>
    <row r="2282" spans="1:4">
      <c r="A2282" s="7">
        <f ca="1">IFERROR(__xludf.DUMMYFUNCTION("""COMPUTED_VALUE"""),44208)</f>
        <v>44208</v>
      </c>
      <c r="B2282" s="6" t="str">
        <f ca="1">IFERROR(__xludf.DUMMYFUNCTION("""COMPUTED_VALUE"""),"-33.3984-71.12198")</f>
        <v>-33.3984-71.12198</v>
      </c>
      <c r="C2282" s="6" t="str">
        <f ca="1">IFERROR(__xludf.DUMMYFUNCTION("""COMPUTED_VALUE"""),"CO PADRE HURTADO S/25")</f>
        <v>CO PADRE HURTADO S/25</v>
      </c>
      <c r="D2282" s="6" t="str">
        <f ca="1">IFERROR(__xludf.DUMMYFUNCTION("""COMPUTED_VALUE"""),"CURACAVI")</f>
        <v>CURACAVI</v>
      </c>
    </row>
    <row r="2283" spans="1:4">
      <c r="A2283" s="7">
        <f ca="1">IFERROR(__xludf.DUMMYFUNCTION("""COMPUTED_VALUE"""),44208)</f>
        <v>44208</v>
      </c>
      <c r="B2283" s="6" t="str">
        <f ca="1">IFERROR(__xludf.DUMMYFUNCTION("""COMPUTED_VALUE"""),"-33.822807,-71.276815")</f>
        <v>-33.822807,-71.276815</v>
      </c>
      <c r="C2283" s="6" t="str">
        <f ca="1">IFERROR(__xludf.DUMMYFUNCTION("""COMPUTED_VALUE"""),"LAS PARCELAS 235 SECTOR POPETA")</f>
        <v>LAS PARCELAS 235 SECTOR POPETA</v>
      </c>
      <c r="D2283" s="6" t="str">
        <f ca="1">IFERROR(__xludf.DUMMYFUNCTION("""COMPUTED_VALUE"""),"MELIPILLA")</f>
        <v>MELIPILLA</v>
      </c>
    </row>
    <row r="2284" spans="1:4">
      <c r="A2284" s="7">
        <f ca="1">IFERROR(__xludf.DUMMYFUNCTION("""COMPUTED_VALUE"""),44208)</f>
        <v>44208</v>
      </c>
      <c r="B2284" s="6" t="str">
        <f ca="1">IFERROR(__xludf.DUMMYFUNCTION("""COMPUTED_VALUE"""),"-33.679933,-71.197267")</f>
        <v>-33.679933,-71.197267</v>
      </c>
      <c r="C2284" s="6" t="str">
        <f ca="1">IFERROR(__xludf.DUMMYFUNCTION("""COMPUTED_VALUE"""),"AURORA DE CHILE 542")</f>
        <v>AURORA DE CHILE 542</v>
      </c>
      <c r="D2284" s="6" t="str">
        <f ca="1">IFERROR(__xludf.DUMMYFUNCTION("""COMPUTED_VALUE"""),"MELIPILLA")</f>
        <v>MELIPILLA</v>
      </c>
    </row>
    <row r="2285" spans="1:4">
      <c r="A2285" s="7">
        <f ca="1">IFERROR(__xludf.DUMMYFUNCTION("""COMPUTED_VALUE"""),44208)</f>
        <v>44208</v>
      </c>
      <c r="B2285" s="6" t="str">
        <f ca="1">IFERROR(__xludf.DUMMYFUNCTION("""COMPUTED_VALUE"""),"-33.680197,-71.196672")</f>
        <v>-33.680197,-71.196672</v>
      </c>
      <c r="C2285" s="6" t="str">
        <f ca="1">IFERROR(__xludf.DUMMYFUNCTION("""COMPUTED_VALUE"""),"AURORA DE CHILE S/N  561")</f>
        <v>AURORA DE CHILE S/N  561</v>
      </c>
      <c r="D2285" s="6" t="str">
        <f ca="1">IFERROR(__xludf.DUMMYFUNCTION("""COMPUTED_VALUE"""),"MELIPILLA")</f>
        <v>MELIPILLA</v>
      </c>
    </row>
    <row r="2286" spans="1:4">
      <c r="A2286" s="7">
        <f ca="1">IFERROR(__xludf.DUMMYFUNCTION("""COMPUTED_VALUE"""),44209)</f>
        <v>44209</v>
      </c>
      <c r="B2286" s="8" t="str">
        <f ca="1">IFERROR(__xludf.DUMMYFUNCTION("""COMPUTED_VALUE"""),"-33.732642,-71.176529")</f>
        <v>-33.732642,-71.176529</v>
      </c>
      <c r="C2286" s="6" t="str">
        <f ca="1">IFERROR(__xludf.DUMMYFUNCTION("""COMPUTED_VALUE"""),"CARMEN BAJO 2")</f>
        <v>CARMEN BAJO 2</v>
      </c>
      <c r="D2286" s="6" t="str">
        <f ca="1">IFERROR(__xludf.DUMMYFUNCTION("""COMPUTED_VALUE"""),"MELIPILLA")</f>
        <v>MELIPILLA</v>
      </c>
    </row>
    <row r="2287" spans="1:4">
      <c r="A2287" s="7">
        <f ca="1">IFERROR(__xludf.DUMMYFUNCTION("""COMPUTED_VALUE"""),44209)</f>
        <v>44209</v>
      </c>
      <c r="B2287" s="6" t="str">
        <f ca="1">IFERROR(__xludf.DUMMYFUNCTION("""COMPUTED_VALUE"""),"-33.381417-71.164738")</f>
        <v>-33.381417-71.164738</v>
      </c>
      <c r="C2287" s="6" t="str">
        <f ca="1">IFERROR(__xludf.DUMMYFUNCTION("""COMPUTED_VALUE"""),"CO EL TORO KM 4.5 PARC/S2")</f>
        <v>CO EL TORO KM 4.5 PARC/S2</v>
      </c>
      <c r="D2287" s="6" t="str">
        <f ca="1">IFERROR(__xludf.DUMMYFUNCTION("""COMPUTED_VALUE"""),"CURACAVI")</f>
        <v>CURACAVI</v>
      </c>
    </row>
    <row r="2288" spans="1:4">
      <c r="A2288" s="7">
        <f ca="1">IFERROR(__xludf.DUMMYFUNCTION("""COMPUTED_VALUE"""),44209)</f>
        <v>44209</v>
      </c>
      <c r="B2288" s="6" t="str">
        <f ca="1">IFERROR(__xludf.DUMMYFUNCTION("""COMPUTED_VALUE"""),"-33.381417-71.164738")</f>
        <v>-33.381417-71.164738</v>
      </c>
      <c r="C2288" s="6" t="str">
        <f ca="1">IFERROR(__xludf.DUMMYFUNCTION("""COMPUTED_VALUE"""),"CO EL TORO KM 4.5 PARC/S2")</f>
        <v>CO EL TORO KM 4.5 PARC/S2</v>
      </c>
      <c r="D2288" s="6" t="str">
        <f ca="1">IFERROR(__xludf.DUMMYFUNCTION("""COMPUTED_VALUE"""),"CURACAVI")</f>
        <v>CURACAVI</v>
      </c>
    </row>
    <row r="2289" spans="1:4">
      <c r="A2289" s="7">
        <f ca="1">IFERROR(__xludf.DUMMYFUNCTION("""COMPUTED_VALUE"""),44209)</f>
        <v>44209</v>
      </c>
      <c r="B2289" s="6" t="str">
        <f ca="1">IFERROR(__xludf.DUMMYFUNCTION("""COMPUTED_VALUE"""),"-33.674428,-71.209226")</f>
        <v>-33.674428,-71.209226</v>
      </c>
      <c r="C2289" s="6" t="str">
        <f ca="1">IFERROR(__xludf.DUMMYFUNCTION("""COMPUTED_VALUE"""),"ASTOLAZAS 289")</f>
        <v>ASTOLAZAS 289</v>
      </c>
      <c r="D2289" s="6" t="str">
        <f ca="1">IFERROR(__xludf.DUMMYFUNCTION("""COMPUTED_VALUE"""),"MELIPILLA")</f>
        <v>MELIPILLA</v>
      </c>
    </row>
    <row r="2290" spans="1:4">
      <c r="A2290" s="7">
        <f ca="1">IFERROR(__xludf.DUMMYFUNCTION("""COMPUTED_VALUE"""),44209)</f>
        <v>44209</v>
      </c>
      <c r="B2290" s="6" t="str">
        <f ca="1">IFERROR(__xludf.DUMMYFUNCTION("""COMPUTED_VALUE"""),"-33.6844004,-71.204027")</f>
        <v>-33.6844004,-71.204027</v>
      </c>
      <c r="C2290" s="6" t="str">
        <f ca="1">IFERROR(__xludf.DUMMYFUNCTION("""COMPUTED_VALUE"""),"UGALDE 221")</f>
        <v>UGALDE 221</v>
      </c>
      <c r="D2290" s="6" t="str">
        <f ca="1">IFERROR(__xludf.DUMMYFUNCTION("""COMPUTED_VALUE"""),"MELIPILLA")</f>
        <v>MELIPILLA</v>
      </c>
    </row>
    <row r="2291" spans="1:4">
      <c r="A2291" s="7">
        <f ca="1">IFERROR(__xludf.DUMMYFUNCTION("""COMPUTED_VALUE"""),44209)</f>
        <v>44209</v>
      </c>
      <c r="B2291" s="6" t="str">
        <f ca="1">IFERROR(__xludf.DUMMYFUNCTION("""COMPUTED_VALUE"""),"-33.679597,-71.197564")</f>
        <v>-33.679597,-71.197564</v>
      </c>
      <c r="C2291" s="6" t="str">
        <f ca="1">IFERROR(__xludf.DUMMYFUNCTION("""COMPUTED_VALUE"""),"AURORA DE CHILE 522")</f>
        <v>AURORA DE CHILE 522</v>
      </c>
      <c r="D2291" s="6" t="str">
        <f ca="1">IFERROR(__xludf.DUMMYFUNCTION("""COMPUTED_VALUE"""),"MELIPILLA")</f>
        <v>MELIPILLA</v>
      </c>
    </row>
    <row r="2292" spans="1:4">
      <c r="A2292" s="7">
        <f ca="1">IFERROR(__xludf.DUMMYFUNCTION("""COMPUTED_VALUE"""),44209)</f>
        <v>44209</v>
      </c>
      <c r="B2292" s="6" t="str">
        <f ca="1">IFERROR(__xludf.DUMMYFUNCTION("""COMPUTED_VALUE"""),"-33.700271,-71.221186")</f>
        <v>-33.700271,-71.221186</v>
      </c>
      <c r="C2292" s="6" t="str">
        <f ca="1">IFERROR(__xludf.DUMMYFUNCTION("""COMPUTED_VALUE"""),"SANTA MARIA 6")</f>
        <v>SANTA MARIA 6</v>
      </c>
      <c r="D2292" s="6" t="str">
        <f ca="1">IFERROR(__xludf.DUMMYFUNCTION("""COMPUTED_VALUE"""),"MELIPILLA")</f>
        <v>MELIPILLA</v>
      </c>
    </row>
    <row r="2293" spans="1:4">
      <c r="A2293" s="7">
        <f ca="1">IFERROR(__xludf.DUMMYFUNCTION("""COMPUTED_VALUE"""),44209)</f>
        <v>44209</v>
      </c>
      <c r="B2293" s="6" t="str">
        <f ca="1">IFERROR(__xludf.DUMMYFUNCTION("""COMPUTED_VALUE"""),"-33.683675,-71.19907")</f>
        <v>-33.683675,-71.19907</v>
      </c>
      <c r="C2293" s="6" t="str">
        <f ca="1">IFERROR(__xludf.DUMMYFUNCTION("""COMPUTED_VALUE"""),"FCO BASCUÑAN 307")</f>
        <v>FCO BASCUÑAN 307</v>
      </c>
      <c r="D2293" s="6" t="str">
        <f ca="1">IFERROR(__xludf.DUMMYFUNCTION("""COMPUTED_VALUE"""),"MELIPILLA")</f>
        <v>MELIPILLA</v>
      </c>
    </row>
    <row r="2294" spans="1:4">
      <c r="A2294" s="7">
        <f ca="1">IFERROR(__xludf.DUMMYFUNCTION("""COMPUTED_VALUE"""),44209)</f>
        <v>44209</v>
      </c>
      <c r="B2294" s="6" t="str">
        <f ca="1">IFERROR(__xludf.DUMMYFUNCTION("""COMPUTED_VALUE"""),"-33.686880,-71.224195")</f>
        <v>-33.686880,-71.224195</v>
      </c>
      <c r="C2294" s="6" t="str">
        <f ca="1">IFERROR(__xludf.DUMMYFUNCTION("""COMPUTED_VALUE"""),"PSJ LILIUM 639")</f>
        <v>PSJ LILIUM 639</v>
      </c>
      <c r="D2294" s="6" t="str">
        <f ca="1">IFERROR(__xludf.DUMMYFUNCTION("""COMPUTED_VALUE"""),"MELIPILLA")</f>
        <v>MELIPILLA</v>
      </c>
    </row>
    <row r="2295" spans="1:4">
      <c r="A2295" s="7">
        <f ca="1">IFERROR(__xludf.DUMMYFUNCTION("""COMPUTED_VALUE"""),44210)</f>
        <v>44210</v>
      </c>
      <c r="B2295" s="6" t="str">
        <f ca="1">IFERROR(__xludf.DUMMYFUNCTION("""COMPUTED_VALUE"""),"-33.619582-70.867806")</f>
        <v>-33.619582-70.867806</v>
      </c>
      <c r="C2295" s="6" t="str">
        <f ca="1">IFERROR(__xludf.DUMMYFUNCTION("""COMPUTED_VALUE"""),"LAS PLAMERAS 101 LOTE 3")</f>
        <v>LAS PLAMERAS 101 LOTE 3</v>
      </c>
      <c r="D2295" s="6" t="str">
        <f ca="1">IFERROR(__xludf.DUMMYFUNCTION("""COMPUTED_VALUE"""),"CURACAVI")</f>
        <v>CURACAVI</v>
      </c>
    </row>
    <row r="2296" spans="1:4">
      <c r="A2296" s="7">
        <f ca="1">IFERROR(__xludf.DUMMYFUNCTION("""COMPUTED_VALUE"""),44210)</f>
        <v>44210</v>
      </c>
      <c r="B2296" s="6" t="str">
        <f ca="1">IFERROR(__xludf.DUMMYFUNCTION("""COMPUTED_VALUE"""),"-33.43219-71.03108")</f>
        <v>-33.43219-71.03108</v>
      </c>
      <c r="C2296" s="6" t="str">
        <f ca="1">IFERROR(__xludf.DUMMYFUNCTION("""COMPUTED_VALUE"""),"UNION SAN JOSE SITIO 14 ")</f>
        <v xml:space="preserve">UNION SAN JOSE SITIO 14 </v>
      </c>
      <c r="D2296" s="6" t="str">
        <f ca="1">IFERROR(__xludf.DUMMYFUNCTION("""COMPUTED_VALUE"""),"CURACAVI")</f>
        <v>CURACAVI</v>
      </c>
    </row>
    <row r="2297" spans="1:4">
      <c r="A2297" s="7">
        <f ca="1">IFERROR(__xludf.DUMMYFUNCTION("""COMPUTED_VALUE"""),44210)</f>
        <v>44210</v>
      </c>
      <c r="B2297" s="6" t="str">
        <f ca="1">IFERROR(__xludf.DUMMYFUNCTION("""COMPUTED_VALUE"""),"-33.43197-71.03092")</f>
        <v>-33.43197-71.03092</v>
      </c>
      <c r="C2297" s="6" t="str">
        <f ca="1">IFERROR(__xludf.DUMMYFUNCTION("""COMPUTED_VALUE"""),"UNION SAN JOSE S-14 ")</f>
        <v xml:space="preserve">UNION SAN JOSE S-14 </v>
      </c>
      <c r="D2297" s="6" t="str">
        <f ca="1">IFERROR(__xludf.DUMMYFUNCTION("""COMPUTED_VALUE"""),"CURACAVI")</f>
        <v>CURACAVI</v>
      </c>
    </row>
    <row r="2298" spans="1:4">
      <c r="A2298" s="7">
        <f ca="1">IFERROR(__xludf.DUMMYFUNCTION("""COMPUTED_VALUE"""),44210)</f>
        <v>44210</v>
      </c>
      <c r="B2298" s="6" t="str">
        <f ca="1">IFERROR(__xludf.DUMMYFUNCTION("""COMPUTED_VALUE"""),"-33.45136-71.02721")</f>
        <v>-33.45136-71.02721</v>
      </c>
      <c r="C2298" s="6" t="str">
        <f ca="1">IFERROR(__xludf.DUMMYFUNCTION("""COMPUTED_VALUE"""),"UNION CHILENA S-26")</f>
        <v>UNION CHILENA S-26</v>
      </c>
      <c r="D2298" s="6" t="str">
        <f ca="1">IFERROR(__xludf.DUMMYFUNCTION("""COMPUTED_VALUE"""),"CURACAVI")</f>
        <v>CURACAVI</v>
      </c>
    </row>
    <row r="2299" spans="1:4">
      <c r="A2299" s="7">
        <f ca="1">IFERROR(__xludf.DUMMYFUNCTION("""COMPUTED_VALUE"""),44210)</f>
        <v>44210</v>
      </c>
      <c r="B2299" s="6" t="str">
        <f ca="1">IFERROR(__xludf.DUMMYFUNCTION("""COMPUTED_VALUE"""),"-33.777973,-71.266391")</f>
        <v>-33.777973,-71.266391</v>
      </c>
      <c r="C2299" s="6" t="str">
        <f ca="1">IFERROR(__xludf.DUMMYFUNCTION("""COMPUTED_VALUE"""),"EUROPA PC 22")</f>
        <v>EUROPA PC 22</v>
      </c>
      <c r="D2299" s="6" t="str">
        <f ca="1">IFERROR(__xludf.DUMMYFUNCTION("""COMPUTED_VALUE"""),"MELIPILLA")</f>
        <v>MELIPILLA</v>
      </c>
    </row>
    <row r="2300" spans="1:4">
      <c r="A2300" s="7">
        <f ca="1">IFERROR(__xludf.DUMMYFUNCTION("""COMPUTED_VALUE"""),44210)</f>
        <v>44210</v>
      </c>
      <c r="B2300" s="6" t="str">
        <f ca="1">IFERROR(__xludf.DUMMYFUNCTION("""COMPUTED_VALUE"""),"-33.584061,-71.055253")</f>
        <v>-33.584061,-71.055253</v>
      </c>
      <c r="C2300" s="6" t="str">
        <f ca="1">IFERROR(__xludf.DUMMYFUNCTION("""COMPUTED_VALUE"""),"STA VICTORIA 53")</f>
        <v>STA VICTORIA 53</v>
      </c>
      <c r="D2300" s="6" t="str">
        <f ca="1">IFERROR(__xludf.DUMMYFUNCTION("""COMPUTED_VALUE"""),"MELIPILLA")</f>
        <v>MELIPILLA</v>
      </c>
    </row>
    <row r="2301" spans="1:4">
      <c r="A2301" s="7">
        <f ca="1">IFERROR(__xludf.DUMMYFUNCTION("""COMPUTED_VALUE"""),44210)</f>
        <v>44210</v>
      </c>
      <c r="B2301" s="6" t="str">
        <f ca="1">IFERROR(__xludf.DUMMYFUNCTION("""COMPUTED_VALUE"""),"-33.583393,-71.055208")</f>
        <v>-33.583393,-71.055208</v>
      </c>
      <c r="C2301" s="6" t="str">
        <f ca="1">IFERROR(__xludf.DUMMYFUNCTION("""COMPUTED_VALUE"""),"STA VICTORIA 529")</f>
        <v>STA VICTORIA 529</v>
      </c>
      <c r="D2301" s="6" t="str">
        <f ca="1">IFERROR(__xludf.DUMMYFUNCTION("""COMPUTED_VALUE"""),"MELIPILLA")</f>
        <v>MELIPILLA</v>
      </c>
    </row>
    <row r="2302" spans="1:4">
      <c r="A2302" s="7">
        <f ca="1">IFERROR(__xludf.DUMMYFUNCTION("""COMPUTED_VALUE"""),44210)</f>
        <v>44210</v>
      </c>
      <c r="B2302" s="6" t="str">
        <f ca="1">IFERROR(__xludf.DUMMYFUNCTION("""COMPUTED_VALUE"""),"-33.768180,-71.274299")</f>
        <v>-33.768180,-71.274299</v>
      </c>
      <c r="C2302" s="6" t="str">
        <f ca="1">IFERROR(__xludf.DUMMYFUNCTION("""COMPUTED_VALUE"""),"CODIGUA S/N LOTE 2 SAN MANUEL")</f>
        <v>CODIGUA S/N LOTE 2 SAN MANUEL</v>
      </c>
      <c r="D2302" s="6" t="str">
        <f ca="1">IFERROR(__xludf.DUMMYFUNCTION("""COMPUTED_VALUE"""),"MELIPILLA")</f>
        <v>MELIPILLA</v>
      </c>
    </row>
    <row r="2303" spans="1:4">
      <c r="A2303" s="7">
        <f ca="1">IFERROR(__xludf.DUMMYFUNCTION("""COMPUTED_VALUE"""),44210)</f>
        <v>44210</v>
      </c>
      <c r="B2303" s="6" t="str">
        <f ca="1">IFERROR(__xludf.DUMMYFUNCTION("""COMPUTED_VALUE"""),"-33.584350,-71.055323")</f>
        <v>-33.584350,-71.055323</v>
      </c>
      <c r="C2303" s="6" t="str">
        <f ca="1">IFERROR(__xludf.DUMMYFUNCTION("""COMPUTED_VALUE"""),"STA VICTORIA 533")</f>
        <v>STA VICTORIA 533</v>
      </c>
      <c r="D2303" s="6" t="str">
        <f ca="1">IFERROR(__xludf.DUMMYFUNCTION("""COMPUTED_VALUE"""),"MELIPILLA")</f>
        <v>MELIPILLA</v>
      </c>
    </row>
    <row r="2304" spans="1:4">
      <c r="A2304" s="7">
        <f ca="1">IFERROR(__xludf.DUMMYFUNCTION("""COMPUTED_VALUE"""),44210)</f>
        <v>44210</v>
      </c>
      <c r="B2304" s="6" t="str">
        <f ca="1">IFERROR(__xludf.DUMMYFUNCTION("""COMPUTED_VALUE"""),"-33.584794,-71.053761")</f>
        <v>-33.584794,-71.053761</v>
      </c>
      <c r="C2304" s="6" t="str">
        <f ca="1">IFERROR(__xludf.DUMMYFUNCTION("""COMPUTED_VALUE"""),"STA VICTORIA 53 ")</f>
        <v xml:space="preserve">STA VICTORIA 53 </v>
      </c>
      <c r="D2304" s="6" t="str">
        <f ca="1">IFERROR(__xludf.DUMMYFUNCTION("""COMPUTED_VALUE"""),"MELIPILLA")</f>
        <v>MELIPILLA</v>
      </c>
    </row>
    <row r="2305" spans="1:4">
      <c r="A2305" s="7">
        <f ca="1">IFERROR(__xludf.DUMMYFUNCTION("""COMPUTED_VALUE"""),44210)</f>
        <v>44210</v>
      </c>
      <c r="B2305" s="6" t="str">
        <f ca="1">IFERROR(__xludf.DUMMYFUNCTION("""COMPUTED_VALUE"""),"-33.684767,-71.235039")</f>
        <v>-33.684767,-71.235039</v>
      </c>
      <c r="C2305" s="6" t="str">
        <f ca="1">IFERROR(__xludf.DUMMYFUNCTION("""COMPUTED_VALUE"""),"BOMBERO ONOFRE CANTILLANA MOYA 626")</f>
        <v>BOMBERO ONOFRE CANTILLANA MOYA 626</v>
      </c>
      <c r="D2305" s="6" t="str">
        <f ca="1">IFERROR(__xludf.DUMMYFUNCTION("""COMPUTED_VALUE"""),"MELIPILLA")</f>
        <v>MELIPILLA</v>
      </c>
    </row>
    <row r="2306" spans="1:4">
      <c r="A2306" s="7">
        <f ca="1">IFERROR(__xludf.DUMMYFUNCTION("""COMPUTED_VALUE"""),44211)</f>
        <v>44211</v>
      </c>
      <c r="B2306" s="6" t="str">
        <f ca="1">IFERROR(__xludf.DUMMYFUNCTION("""COMPUTED_VALUE"""),"-33.632681-70.896934")</f>
        <v>-33.632681-70.896934</v>
      </c>
      <c r="C2306" s="6" t="str">
        <f ca="1">IFERROR(__xludf.DUMMYFUNCTION("""COMPUTED_VALUE"""),"EL AMBU A PONIENTE 110")</f>
        <v>EL AMBU A PONIENTE 110</v>
      </c>
      <c r="D2306" s="6" t="str">
        <f ca="1">IFERROR(__xludf.DUMMYFUNCTION("""COMPUTED_VALUE"""),"PEÑAFLOR")</f>
        <v>PEÑAFLOR</v>
      </c>
    </row>
    <row r="2307" spans="1:4">
      <c r="A2307" s="7">
        <f ca="1">IFERROR(__xludf.DUMMYFUNCTION("""COMPUTED_VALUE"""),44211)</f>
        <v>44211</v>
      </c>
      <c r="B2307" s="6" t="str">
        <f ca="1">IFERROR(__xludf.DUMMYFUNCTION("""COMPUTED_VALUE"""),"-33.683173,-71.226438")</f>
        <v>-33.683173,-71.226438</v>
      </c>
      <c r="C2307" s="6" t="str">
        <f ca="1">IFERROR(__xludf.DUMMYFUNCTION("""COMPUTED_VALUE"""),"BAZTAN 244 VILLA RICA")</f>
        <v>BAZTAN 244 VILLA RICA</v>
      </c>
      <c r="D2307" s="6" t="str">
        <f ca="1">IFERROR(__xludf.DUMMYFUNCTION("""COMPUTED_VALUE"""),"MELIPILLA")</f>
        <v>MELIPILLA</v>
      </c>
    </row>
    <row r="2308" spans="1:4">
      <c r="A2308" s="7">
        <f ca="1">IFERROR(__xludf.DUMMYFUNCTION("""COMPUTED_VALUE"""),44211)</f>
        <v>44211</v>
      </c>
      <c r="B2308" s="6" t="str">
        <f ca="1">IFERROR(__xludf.DUMMYFUNCTION("""COMPUTED_VALUE"""),"-33.578116,-71.083556")</f>
        <v>-33.578116,-71.083556</v>
      </c>
      <c r="C2308" s="6" t="str">
        <f ca="1">IFERROR(__xludf.DUMMYFUNCTION("""COMPUTED_VALUE"""),"STA CLARA  L 78")</f>
        <v>STA CLARA  L 78</v>
      </c>
      <c r="D2308" s="6" t="str">
        <f ca="1">IFERROR(__xludf.DUMMYFUNCTION("""COMPUTED_VALUE"""),"MELIPILLA")</f>
        <v>MELIPILLA</v>
      </c>
    </row>
    <row r="2309" spans="1:4">
      <c r="A2309" s="7">
        <f ca="1">IFERROR(__xludf.DUMMYFUNCTION("""COMPUTED_VALUE"""),44211)</f>
        <v>44211</v>
      </c>
      <c r="B2309" s="6" t="str">
        <f ca="1">IFERROR(__xludf.DUMMYFUNCTION("""COMPUTED_VALUE"""),"-33.581997,-71.053649")</f>
        <v>-33.581997,-71.053649</v>
      </c>
      <c r="C2309" s="6" t="str">
        <f ca="1">IFERROR(__xludf.DUMMYFUNCTION("""COMPUTED_VALUE"""),"SANTA VICTORIA 544")</f>
        <v>SANTA VICTORIA 544</v>
      </c>
      <c r="D2309" s="6" t="str">
        <f ca="1">IFERROR(__xludf.DUMMYFUNCTION("""COMPUTED_VALUE"""),"MELIPILLA")</f>
        <v>MELIPILLA</v>
      </c>
    </row>
    <row r="2310" spans="1:4">
      <c r="A2310" s="7">
        <f ca="1">IFERROR(__xludf.DUMMYFUNCTION("""COMPUTED_VALUE"""),44211)</f>
        <v>44211</v>
      </c>
      <c r="B2310" s="6" t="str">
        <f ca="1">IFERROR(__xludf.DUMMYFUNCTION("""COMPUTED_VALUE"""),"-33.569776,-71.195576")</f>
        <v>-33.569776,-71.195576</v>
      </c>
      <c r="C2310" s="6" t="str">
        <f ca="1">IFERROR(__xludf.DUMMYFUNCTION("""COMPUTED_VALUE"""),"BOLLENAR S/N 9 LA MERCED  BOLLENAR")</f>
        <v>BOLLENAR S/N 9 LA MERCED  BOLLENAR</v>
      </c>
      <c r="D2310" s="6" t="str">
        <f ca="1">IFERROR(__xludf.DUMMYFUNCTION("""COMPUTED_VALUE"""),"MELIPILLA")</f>
        <v>MELIPILLA</v>
      </c>
    </row>
    <row r="2311" spans="1:4">
      <c r="A2311" s="7">
        <f ca="1">IFERROR(__xludf.DUMMYFUNCTION("""COMPUTED_VALUE"""),44211)</f>
        <v>44211</v>
      </c>
      <c r="B2311" s="6" t="str">
        <f ca="1">IFERROR(__xludf.DUMMYFUNCTION("""COMPUTED_VALUE"""),"-33.581922,-71.053728")</f>
        <v>-33.581922,-71.053728</v>
      </c>
      <c r="C2311" s="6" t="str">
        <f ca="1">IFERROR(__xludf.DUMMYFUNCTION("""COMPUTED_VALUE"""),"SANTA VICTORIA 55")</f>
        <v>SANTA VICTORIA 55</v>
      </c>
      <c r="D2311" s="6" t="str">
        <f ca="1">IFERROR(__xludf.DUMMYFUNCTION("""COMPUTED_VALUE"""),"MELIPILLA")</f>
        <v>MELIPILLA</v>
      </c>
    </row>
    <row r="2312" spans="1:4">
      <c r="A2312" s="7">
        <f ca="1">IFERROR(__xludf.DUMMYFUNCTION("""COMPUTED_VALUE"""),44211)</f>
        <v>44211</v>
      </c>
      <c r="B2312" s="6" t="str">
        <f ca="1">IFERROR(__xludf.DUMMYFUNCTION("""COMPUTED_VALUE"""),"-33.793018,-71.251479")</f>
        <v>-33.793018,-71.251479</v>
      </c>
      <c r="C2312" s="6" t="str">
        <f ca="1">IFERROR(__xludf.DUMMYFUNCTION("""COMPUTED_VALUE"""),"EL MOLINO S/N")</f>
        <v>EL MOLINO S/N</v>
      </c>
      <c r="D2312" s="6" t="str">
        <f ca="1">IFERROR(__xludf.DUMMYFUNCTION("""COMPUTED_VALUE"""),"MELIPILLA")</f>
        <v>MELIPILLA</v>
      </c>
    </row>
    <row r="2313" spans="1:4">
      <c r="A2313" s="7">
        <f ca="1">IFERROR(__xludf.DUMMYFUNCTION("""COMPUTED_VALUE"""),44211)</f>
        <v>44211</v>
      </c>
      <c r="B2313" s="6" t="str">
        <f ca="1">IFERROR(__xludf.DUMMYFUNCTION("""COMPUTED_VALUE"""),"-33.582069,-71.053933")</f>
        <v>-33.582069,-71.053933</v>
      </c>
      <c r="C2313" s="6" t="str">
        <f ca="1">IFERROR(__xludf.DUMMYFUNCTION("""COMPUTED_VALUE"""),"STA VICTORIA 55")</f>
        <v>STA VICTORIA 55</v>
      </c>
      <c r="D2313" s="6" t="str">
        <f ca="1">IFERROR(__xludf.DUMMYFUNCTION("""COMPUTED_VALUE"""),"MELIPILLA")</f>
        <v>MELIPILLA</v>
      </c>
    </row>
    <row r="2314" spans="1:4">
      <c r="A2314" s="7">
        <f ca="1">IFERROR(__xludf.DUMMYFUNCTION("""COMPUTED_VALUE"""),44212)</f>
        <v>44212</v>
      </c>
      <c r="B2314" s="6" t="str">
        <f ca="1">IFERROR(__xludf.DUMMYFUNCTION("""COMPUTED_VALUE"""),"-33.39238-71.12856")</f>
        <v>-33.39238-71.12856</v>
      </c>
      <c r="C2314" s="6" t="str">
        <f ca="1">IFERROR(__xludf.DUMMYFUNCTION("""COMPUTED_VALUE"""),"CINCO NORTE 1981")</f>
        <v>CINCO NORTE 1981</v>
      </c>
      <c r="D2314" s="6" t="str">
        <f ca="1">IFERROR(__xludf.DUMMYFUNCTION("""COMPUTED_VALUE"""),"CURACAVI")</f>
        <v>CURACAVI</v>
      </c>
    </row>
    <row r="2315" spans="1:4">
      <c r="A2315" s="7">
        <f ca="1">IFERROR(__xludf.DUMMYFUNCTION("""COMPUTED_VALUE"""),44212)</f>
        <v>44212</v>
      </c>
      <c r="B2315" s="6" t="str">
        <f ca="1">IFERROR(__xludf.DUMMYFUNCTION("""COMPUTED_VALUE"""),"-33.41207-71.16207")</f>
        <v>-33.41207-71.16207</v>
      </c>
      <c r="C2315" s="6" t="str">
        <f ca="1">IFERROR(__xludf.DUMMYFUNCTION("""COMPUTED_VALUE"""),"HDA. CURACAVI LADO S/N")</f>
        <v>HDA. CURACAVI LADO S/N</v>
      </c>
      <c r="D2315" s="6" t="str">
        <f ca="1">IFERROR(__xludf.DUMMYFUNCTION("""COMPUTED_VALUE"""),"CURACAVI")</f>
        <v>CURACAVI</v>
      </c>
    </row>
    <row r="2316" spans="1:4">
      <c r="A2316" s="7">
        <f ca="1">IFERROR(__xludf.DUMMYFUNCTION("""COMPUTED_VALUE"""),44212)</f>
        <v>44212</v>
      </c>
      <c r="B2316" s="6" t="str">
        <f ca="1">IFERROR(__xludf.DUMMYFUNCTION("""COMPUTED_VALUE"""),"-33.685926,-71.022864")</f>
        <v>-33.685926,-71.022864</v>
      </c>
      <c r="C2316" s="6" t="str">
        <f ca="1">IFERROR(__xludf.DUMMYFUNCTION("""COMPUTED_VALUE"""),"PASAJE LOS DAMASCOS 1240")</f>
        <v>PASAJE LOS DAMASCOS 1240</v>
      </c>
      <c r="D2316" s="6" t="str">
        <f ca="1">IFERROR(__xludf.DUMMYFUNCTION("""COMPUTED_VALUE"""),"EL MONTE")</f>
        <v>EL MONTE</v>
      </c>
    </row>
    <row r="2317" spans="1:4">
      <c r="A2317" s="7">
        <f ca="1">IFERROR(__xludf.DUMMYFUNCTION("""COMPUTED_VALUE"""),44214)</f>
        <v>44214</v>
      </c>
      <c r="B2317" s="8" t="str">
        <f ca="1">IFERROR(__xludf.DUMMYFUNCTION("""COMPUTED_VALUE"""),"-33.677563,-71.986730")</f>
        <v>-33.677563,-71.986730</v>
      </c>
      <c r="C2317" s="6" t="str">
        <f ca="1">IFERROR(__xludf.DUMMYFUNCTION("""COMPUTED_VALUE"""),"RINCONADA 01228 ")</f>
        <v xml:space="preserve">RINCONADA 01228 </v>
      </c>
      <c r="D2317" s="6" t="str">
        <f ca="1">IFERROR(__xludf.DUMMYFUNCTION("""COMPUTED_VALUE"""),"MELIPILLA")</f>
        <v>MELIPILLA</v>
      </c>
    </row>
    <row r="2318" spans="1:4">
      <c r="A2318" s="7">
        <f ca="1">IFERROR(__xludf.DUMMYFUNCTION("""COMPUTED_VALUE"""),44214)</f>
        <v>44214</v>
      </c>
      <c r="B2318" s="8" t="str">
        <f ca="1">IFERROR(__xludf.DUMMYFUNCTION("""COMPUTED_VALUE"""),"-33.682511,-71.230821")</f>
        <v>-33.682511,-71.230821</v>
      </c>
      <c r="C2318" s="6" t="str">
        <f ca="1">IFERROR(__xludf.DUMMYFUNCTION("""COMPUTED_VALUE"""),"PJE CARDENAL SILVA HENRIQUEZ 346 ")</f>
        <v xml:space="preserve">PJE CARDENAL SILVA HENRIQUEZ 346 </v>
      </c>
      <c r="D2318" s="6" t="str">
        <f ca="1">IFERROR(__xludf.DUMMYFUNCTION("""COMPUTED_VALUE"""),"MELIPILLA")</f>
        <v>MELIPILLA</v>
      </c>
    </row>
    <row r="2319" spans="1:4">
      <c r="A2319" s="7">
        <f ca="1">IFERROR(__xludf.DUMMYFUNCTION("""COMPUTED_VALUE"""),44214)</f>
        <v>44214</v>
      </c>
      <c r="B2319" s="8" t="str">
        <f ca="1">IFERROR(__xludf.DUMMYFUNCTION("""COMPUTED_VALUE"""),"-33.817184,-71.271316")</f>
        <v>-33.817184,-71.271316</v>
      </c>
      <c r="C2319" s="6" t="str">
        <f ca="1">IFERROR(__xludf.DUMMYFUNCTION("""COMPUTED_VALUE"""),"SECTOR CULIPRAN 259")</f>
        <v>SECTOR CULIPRAN 259</v>
      </c>
      <c r="D2319" s="6" t="str">
        <f ca="1">IFERROR(__xludf.DUMMYFUNCTION("""COMPUTED_VALUE"""),"MELIPILLA")</f>
        <v>MELIPILLA</v>
      </c>
    </row>
    <row r="2320" spans="1:4">
      <c r="A2320" s="7">
        <f ca="1">IFERROR(__xludf.DUMMYFUNCTION("""COMPUTED_VALUE"""),44214)</f>
        <v>44214</v>
      </c>
      <c r="B2320" s="8" t="str">
        <f ca="1">IFERROR(__xludf.DUMMYFUNCTION("""COMPUTED_VALUE"""),"-33.884555,-71.221733")</f>
        <v>-33.884555,-71.221733</v>
      </c>
      <c r="C2320" s="6" t="str">
        <f ca="1">IFERROR(__xludf.DUMMYFUNCTION("""COMPUTED_VALUE"""),"SECTOR TANTEHUE 4 ")</f>
        <v xml:space="preserve">SECTOR TANTEHUE 4 </v>
      </c>
      <c r="D2320" s="6" t="str">
        <f ca="1">IFERROR(__xludf.DUMMYFUNCTION("""COMPUTED_VALUE"""),"MELIPILLA")</f>
        <v>MELIPILLA</v>
      </c>
    </row>
    <row r="2321" spans="1:4">
      <c r="A2321" s="7">
        <f ca="1">IFERROR(__xludf.DUMMYFUNCTION("""COMPUTED_VALUE"""),44214)</f>
        <v>44214</v>
      </c>
      <c r="B2321" s="6" t="str">
        <f ca="1">IFERROR(__xludf.DUMMYFUNCTION("""COMPUTED_VALUE"""),"-33.612189-70.883020")</f>
        <v>-33.612189-70.883020</v>
      </c>
      <c r="C2321" s="6" t="str">
        <f ca="1">IFERROR(__xludf.DUMMYFUNCTION("""COMPUTED_VALUE"""),"EL CONDOR 2208")</f>
        <v>EL CONDOR 2208</v>
      </c>
      <c r="D2321" s="6" t="str">
        <f ca="1">IFERROR(__xludf.DUMMYFUNCTION("""COMPUTED_VALUE"""),"PEÑAFLOR")</f>
        <v>PEÑAFLOR</v>
      </c>
    </row>
    <row r="2322" spans="1:4">
      <c r="A2322" s="7">
        <f ca="1">IFERROR(__xludf.DUMMYFUNCTION("""COMPUTED_VALUE"""),44214)</f>
        <v>44214</v>
      </c>
      <c r="B2322" s="6" t="str">
        <f ca="1">IFERROR(__xludf.DUMMYFUNCTION("""COMPUTED_VALUE"""),"-33.612189-70.883020")</f>
        <v>-33.612189-70.883020</v>
      </c>
      <c r="C2322" s="6" t="str">
        <f ca="1">IFERROR(__xludf.DUMMYFUNCTION("""COMPUTED_VALUE"""),"EL CONDOR 2208")</f>
        <v>EL CONDOR 2208</v>
      </c>
      <c r="D2322" s="6" t="str">
        <f ca="1">IFERROR(__xludf.DUMMYFUNCTION("""COMPUTED_VALUE"""),"PEÑAFLOR")</f>
        <v>PEÑAFLOR</v>
      </c>
    </row>
    <row r="2323" spans="1:4">
      <c r="A2323" s="7">
        <f ca="1">IFERROR(__xludf.DUMMYFUNCTION("""COMPUTED_VALUE"""),44214)</f>
        <v>44214</v>
      </c>
      <c r="B2323" s="6" t="str">
        <f ca="1">IFERROR(__xludf.DUMMYFUNCTION("""COMPUTED_VALUE"""),"-33.094059-70.678748")</f>
        <v>-33.094059-70.678748</v>
      </c>
      <c r="C2323" s="6" t="str">
        <f ca="1">IFERROR(__xludf.DUMMYFUNCTION("""COMPUTED_VALUE"""),"QUILAPILUN ALTO PARC 4-S LOTE 3-A")</f>
        <v>QUILAPILUN ALTO PARC 4-S LOTE 3-A</v>
      </c>
      <c r="D2323" s="6" t="str">
        <f ca="1">IFERROR(__xludf.DUMMYFUNCTION("""COMPUTED_VALUE"""),"COLINA")</f>
        <v>COLINA</v>
      </c>
    </row>
    <row r="2324" spans="1:4">
      <c r="A2324" s="7">
        <f ca="1">IFERROR(__xludf.DUMMYFUNCTION("""COMPUTED_VALUE"""),44214)</f>
        <v>44214</v>
      </c>
      <c r="B2324" s="6" t="str">
        <f ca="1">IFERROR(__xludf.DUMMYFUNCTION("""COMPUTED_VALUE"""),"-33.091559-70.666084")</f>
        <v>-33.091559-70.666084</v>
      </c>
      <c r="C2324" s="6" t="str">
        <f ca="1">IFERROR(__xludf.DUMMYFUNCTION("""COMPUTED_VALUE"""),"QUILAPILUN ALTO PARC 2-S LOTE S-1")</f>
        <v>QUILAPILUN ALTO PARC 2-S LOTE S-1</v>
      </c>
      <c r="D2324" s="6" t="str">
        <f ca="1">IFERROR(__xludf.DUMMYFUNCTION("""COMPUTED_VALUE"""),"COLINA")</f>
        <v>COLINA</v>
      </c>
    </row>
    <row r="2325" spans="1:4">
      <c r="A2325" s="7">
        <f ca="1">IFERROR(__xludf.DUMMYFUNCTION("""COMPUTED_VALUE"""),44214)</f>
        <v>44214</v>
      </c>
      <c r="B2325" s="6" t="str">
        <f ca="1">IFERROR(__xludf.DUMMYFUNCTION("""COMPUTED_VALUE"""),"-33.61011-70.87747")</f>
        <v>-33.61011-70.87747</v>
      </c>
      <c r="C2325" s="6" t="str">
        <f ca="1">IFERROR(__xludf.DUMMYFUNCTION("""COMPUTED_VALUE"""),"VOLCAN TACORA 1526")</f>
        <v>VOLCAN TACORA 1526</v>
      </c>
      <c r="D2325" s="6" t="str">
        <f ca="1">IFERROR(__xludf.DUMMYFUNCTION("""COMPUTED_VALUE"""),"PEÑAFLOR")</f>
        <v>PEÑAFLOR</v>
      </c>
    </row>
    <row r="2326" spans="1:4">
      <c r="A2326" s="7">
        <f ca="1">IFERROR(__xludf.DUMMYFUNCTION("""COMPUTED_VALUE"""),44214)</f>
        <v>44214</v>
      </c>
      <c r="B2326" s="6" t="str">
        <f ca="1">IFERROR(__xludf.DUMMYFUNCTION("""COMPUTED_VALUE"""),"-33.60047-70.88419")</f>
        <v>-33.60047-70.88419</v>
      </c>
      <c r="C2326" s="6" t="str">
        <f ca="1">IFERROR(__xludf.DUMMYFUNCTION("""COMPUTED_VALUE"""),"MAIPO 2825")</f>
        <v>MAIPO 2825</v>
      </c>
      <c r="D2326" s="6" t="str">
        <f ca="1">IFERROR(__xludf.DUMMYFUNCTION("""COMPUTED_VALUE"""),"PEÑAFLOR")</f>
        <v>PEÑAFLOR</v>
      </c>
    </row>
    <row r="2327" spans="1:4">
      <c r="A2327" s="7">
        <f ca="1">IFERROR(__xludf.DUMMYFUNCTION("""COMPUTED_VALUE"""),44214)</f>
        <v>44214</v>
      </c>
      <c r="B2327" s="6" t="str">
        <f ca="1">IFERROR(__xludf.DUMMYFUNCTION("""COMPUTED_VALUE"""),"-33.679978,-71.197030")</f>
        <v>-33.679978,-71.197030</v>
      </c>
      <c r="C2327" s="6" t="str">
        <f ca="1">IFERROR(__xludf.DUMMYFUNCTION("""COMPUTED_VALUE"""),"PJE TRES 542")</f>
        <v>PJE TRES 542</v>
      </c>
      <c r="D2327" s="6" t="str">
        <f ca="1">IFERROR(__xludf.DUMMYFUNCTION("""COMPUTED_VALUE"""),"MELIPILLA")</f>
        <v>MELIPILLA</v>
      </c>
    </row>
    <row r="2328" spans="1:4">
      <c r="A2328" s="7">
        <f ca="1">IFERROR(__xludf.DUMMYFUNCTION("""COMPUTED_VALUE"""),44214)</f>
        <v>44214</v>
      </c>
      <c r="B2328" s="6" t="str">
        <f ca="1">IFERROR(__xludf.DUMMYFUNCTION("""COMPUTED_VALUE"""),"-33.656554,-71.279271")</f>
        <v>-33.656554,-71.279271</v>
      </c>
      <c r="C2328" s="6" t="str">
        <f ca="1">IFERROR(__xludf.DUMMYFUNCTION("""COMPUTED_VALUE"""),"PASAJE  TURMALINA 28  SANTA ROSA  ")</f>
        <v xml:space="preserve">PASAJE  TURMALINA 28  SANTA ROSA  </v>
      </c>
      <c r="D2328" s="6" t="str">
        <f ca="1">IFERROR(__xludf.DUMMYFUNCTION("""COMPUTED_VALUE"""),"MELIPILLA")</f>
        <v>MELIPILLA</v>
      </c>
    </row>
    <row r="2329" spans="1:4">
      <c r="A2329" s="7">
        <f ca="1">IFERROR(__xludf.DUMMYFUNCTION("""COMPUTED_VALUE"""),44214)</f>
        <v>44214</v>
      </c>
      <c r="B2329" s="6" t="str">
        <f ca="1">IFERROR(__xludf.DUMMYFUNCTION("""COMPUTED_VALUE"""),"-33.586303,-71.051711")</f>
        <v>-33.586303,-71.051711</v>
      </c>
      <c r="C2329" s="6" t="str">
        <f ca="1">IFERROR(__xludf.DUMMYFUNCTION("""COMPUTED_VALUE"""),"SANTA  VICTORIA  560")</f>
        <v>SANTA  VICTORIA  560</v>
      </c>
      <c r="D2329" s="6" t="str">
        <f ca="1">IFERROR(__xludf.DUMMYFUNCTION("""COMPUTED_VALUE"""),"MELIPILLA")</f>
        <v>MELIPILLA</v>
      </c>
    </row>
    <row r="2330" spans="1:4">
      <c r="A2330" s="7">
        <f ca="1">IFERROR(__xludf.DUMMYFUNCTION("""COMPUTED_VALUE"""),44214)</f>
        <v>44214</v>
      </c>
      <c r="B2330" s="6" t="str">
        <f ca="1">IFERROR(__xludf.DUMMYFUNCTION("""COMPUTED_VALUE"""),"-33.659068,-71.276566")</f>
        <v>-33.659068,-71.276566</v>
      </c>
      <c r="C2330" s="6" t="str">
        <f ca="1">IFERROR(__xludf.DUMMYFUNCTION("""COMPUTED_VALUE"""),"SANTA ROSA 17 ")</f>
        <v xml:space="preserve">SANTA ROSA 17 </v>
      </c>
      <c r="D2330" s="6" t="str">
        <f ca="1">IFERROR(__xludf.DUMMYFUNCTION("""COMPUTED_VALUE"""),"MELIPILLA")</f>
        <v>MELIPILLA</v>
      </c>
    </row>
    <row r="2331" spans="1:4">
      <c r="A2331" s="7">
        <f ca="1">IFERROR(__xludf.DUMMYFUNCTION("""COMPUTED_VALUE"""),44214)</f>
        <v>44214</v>
      </c>
      <c r="B2331" s="6" t="str">
        <f ca="1">IFERROR(__xludf.DUMMYFUNCTION("""COMPUTED_VALUE"""),"-33.585606,-71.052762")</f>
        <v>-33.585606,-71.052762</v>
      </c>
      <c r="C2331" s="6" t="str">
        <f ca="1">IFERROR(__xludf.DUMMYFUNCTION("""COMPUTED_VALUE"""),"SANTA VICTORIA P 21")</f>
        <v>SANTA VICTORIA P 21</v>
      </c>
      <c r="D2331" s="6" t="str">
        <f ca="1">IFERROR(__xludf.DUMMYFUNCTION("""COMPUTED_VALUE"""),"MELIPILLA")</f>
        <v>MELIPILLA</v>
      </c>
    </row>
    <row r="2332" spans="1:4">
      <c r="A2332" s="7">
        <f ca="1">IFERROR(__xludf.DUMMYFUNCTION("""COMPUTED_VALUE"""),44214)</f>
        <v>44214</v>
      </c>
      <c r="B2332" s="6" t="str">
        <f ca="1">IFERROR(__xludf.DUMMYFUNCTION("""COMPUTED_VALUE"""),"-33.586631,-71.053053")</f>
        <v>-33.586631,-71.053053</v>
      </c>
      <c r="C2332" s="6" t="str">
        <f ca="1">IFERROR(__xludf.DUMMYFUNCTION("""COMPUTED_VALUE"""),"SANTA VICTORIA  P 21")</f>
        <v>SANTA VICTORIA  P 21</v>
      </c>
      <c r="D2332" s="6" t="str">
        <f ca="1">IFERROR(__xludf.DUMMYFUNCTION("""COMPUTED_VALUE"""),"MELIPILLA")</f>
        <v>MELIPILLA</v>
      </c>
    </row>
    <row r="2333" spans="1:4">
      <c r="A2333" s="7">
        <f ca="1">IFERROR(__xludf.DUMMYFUNCTION("""COMPUTED_VALUE"""),44215)</f>
        <v>44215</v>
      </c>
      <c r="B2333" s="8" t="str">
        <f ca="1">IFERROR(__xludf.DUMMYFUNCTION("""COMPUTED_VALUE"""),"-33.683310,-71187008")</f>
        <v>-33.683310,-71187008</v>
      </c>
      <c r="C2333" s="6" t="str">
        <f ca="1">IFERROR(__xludf.DUMMYFUNCTION("""COMPUTED_VALUE"""),"SECTOR SOINCA 8 ")</f>
        <v xml:space="preserve">SECTOR SOINCA 8 </v>
      </c>
      <c r="D2333" s="6" t="str">
        <f ca="1">IFERROR(__xludf.DUMMYFUNCTION("""COMPUTED_VALUE"""),"MELIPILLA")</f>
        <v>MELIPILLA</v>
      </c>
    </row>
    <row r="2334" spans="1:4">
      <c r="A2334" s="7">
        <f ca="1">IFERROR(__xludf.DUMMYFUNCTION("""COMPUTED_VALUE"""),44215)</f>
        <v>44215</v>
      </c>
      <c r="B2334" s="8" t="str">
        <f ca="1">IFERROR(__xludf.DUMMYFUNCTION("""COMPUTED_VALUE"""),"-33.683310,-71.187008")</f>
        <v>-33.683310,-71.187008</v>
      </c>
      <c r="C2334" s="6" t="str">
        <f ca="1">IFERROR(__xludf.DUMMYFUNCTION("""COMPUTED_VALUE"""),"SECTOR SOINCA 10 ")</f>
        <v xml:space="preserve">SECTOR SOINCA 10 </v>
      </c>
      <c r="D2334" s="6" t="str">
        <f ca="1">IFERROR(__xludf.DUMMYFUNCTION("""COMPUTED_VALUE"""),"MELIPILLA")</f>
        <v>MELIPILLA</v>
      </c>
    </row>
    <row r="2335" spans="1:4">
      <c r="A2335" s="7">
        <f ca="1">IFERROR(__xludf.DUMMYFUNCTION("""COMPUTED_VALUE"""),44215)</f>
        <v>44215</v>
      </c>
      <c r="B2335" s="6" t="str">
        <f ca="1">IFERROR(__xludf.DUMMYFUNCTION("""COMPUTED_VALUE"""),"-33.612647-70.882906")</f>
        <v>-33.612647-70.882906</v>
      </c>
      <c r="C2335" s="6" t="str">
        <f ca="1">IFERROR(__xludf.DUMMYFUNCTION("""COMPUTED_VALUE"""),"PA EL TORDO 2195")</f>
        <v>PA EL TORDO 2195</v>
      </c>
      <c r="D2335" s="6" t="str">
        <f ca="1">IFERROR(__xludf.DUMMYFUNCTION("""COMPUTED_VALUE"""),"PEÑAFLOR")</f>
        <v>PEÑAFLOR</v>
      </c>
    </row>
    <row r="2336" spans="1:4">
      <c r="A2336" s="7">
        <f ca="1">IFERROR(__xludf.DUMMYFUNCTION("""COMPUTED_VALUE"""),44215)</f>
        <v>44215</v>
      </c>
      <c r="B2336" s="6" t="str">
        <f ca="1">IFERROR(__xludf.DUMMYFUNCTION("""COMPUTED_VALUE"""),"-33.603261-70.900323")</f>
        <v>-33.603261-70.900323</v>
      </c>
      <c r="C2336" s="6" t="str">
        <f ca="1">IFERROR(__xludf.DUMMYFUNCTION("""COMPUTED_VALUE"""),"PA DOS 268, EL BOSQUE II")</f>
        <v>PA DOS 268, EL BOSQUE II</v>
      </c>
      <c r="D2336" s="6" t="str">
        <f ca="1">IFERROR(__xludf.DUMMYFUNCTION("""COMPUTED_VALUE"""),"PEÑAFLOR")</f>
        <v>PEÑAFLOR</v>
      </c>
    </row>
    <row r="2337" spans="1:4">
      <c r="A2337" s="7">
        <f ca="1">IFERROR(__xludf.DUMMYFUNCTION("""COMPUTED_VALUE"""),44215)</f>
        <v>44215</v>
      </c>
      <c r="B2337" s="6" t="str">
        <f ca="1">IFERROR(__xludf.DUMMYFUNCTION("""COMPUTED_VALUE"""),"-33409832-71.144368")</f>
        <v>-33409832-71.144368</v>
      </c>
      <c r="C2337" s="6" t="str">
        <f ca="1">IFERROR(__xludf.DUMMYFUNCTION("""COMPUTED_VALUE"""),"LOS AROMOS 185")</f>
        <v>LOS AROMOS 185</v>
      </c>
      <c r="D2337" s="6" t="str">
        <f ca="1">IFERROR(__xludf.DUMMYFUNCTION("""COMPUTED_VALUE"""),"CURACAVI")</f>
        <v>CURACAVI</v>
      </c>
    </row>
    <row r="2338" spans="1:4">
      <c r="A2338" s="7">
        <f ca="1">IFERROR(__xludf.DUMMYFUNCTION("""COMPUTED_VALUE"""),44215)</f>
        <v>44215</v>
      </c>
      <c r="B2338" s="6" t="str">
        <f ca="1">IFERROR(__xludf.DUMMYFUNCTION("""COMPUTED_VALUE"""),"-33.596240,-71.0533667")</f>
        <v>-33.596240,-71.0533667</v>
      </c>
      <c r="C2338" s="6" t="str">
        <f ca="1">IFERROR(__xludf.DUMMYFUNCTION("""COMPUTED_VALUE"""),"SANTA VICTORIA  P 31")</f>
        <v>SANTA VICTORIA  P 31</v>
      </c>
      <c r="D2338" s="6" t="str">
        <f ca="1">IFERROR(__xludf.DUMMYFUNCTION("""COMPUTED_VALUE"""),"MELIPILLA")</f>
        <v>MELIPILLA</v>
      </c>
    </row>
    <row r="2339" spans="1:4">
      <c r="A2339" s="7">
        <f ca="1">IFERROR(__xludf.DUMMYFUNCTION("""COMPUTED_VALUE"""),44215)</f>
        <v>44215</v>
      </c>
      <c r="B2339" s="6" t="str">
        <f ca="1">IFERROR(__xludf.DUMMYFUNCTION("""COMPUTED_VALUE"""),"-33.580572,-71.044233")</f>
        <v>-33.580572,-71.044233</v>
      </c>
      <c r="C2339" s="6" t="str">
        <f ca="1">IFERROR(__xludf.DUMMYFUNCTION("""COMPUTED_VALUE"""),"SANTA  VICTORIA  MALLEARAUCO CV 84")</f>
        <v>SANTA  VICTORIA  MALLEARAUCO CV 84</v>
      </c>
      <c r="D2339" s="6" t="str">
        <f ca="1">IFERROR(__xludf.DUMMYFUNCTION("""COMPUTED_VALUE"""),"MELIPILLA")</f>
        <v>MELIPILLA</v>
      </c>
    </row>
    <row r="2340" spans="1:4">
      <c r="A2340" s="7">
        <f ca="1">IFERROR(__xludf.DUMMYFUNCTION("""COMPUTED_VALUE"""),44215)</f>
        <v>44215</v>
      </c>
      <c r="B2340" s="6" t="str">
        <f ca="1">IFERROR(__xludf.DUMMYFUNCTION("""COMPUTED_VALUE"""),"-33.582556,-71.021773")</f>
        <v>-33.582556,-71.021773</v>
      </c>
      <c r="C2340" s="6" t="str">
        <f ca="1">IFERROR(__xludf.DUMMYFUNCTION("""COMPUTED_VALUE"""),"PADRE ALBERTO HURTADO  S /6")</f>
        <v>PADRE ALBERTO HURTADO  S /6</v>
      </c>
      <c r="D2340" s="6" t="str">
        <f ca="1">IFERROR(__xludf.DUMMYFUNCTION("""COMPUTED_VALUE"""),"MELIPILLA")</f>
        <v>MELIPILLA</v>
      </c>
    </row>
    <row r="2341" spans="1:4">
      <c r="A2341" s="7">
        <f ca="1">IFERROR(__xludf.DUMMYFUNCTION("""COMPUTED_VALUE"""),44215)</f>
        <v>44215</v>
      </c>
      <c r="B2341" s="6" t="str">
        <f ca="1">IFERROR(__xludf.DUMMYFUNCTION("""COMPUTED_VALUE"""),"-33.582455,-71.052848")</f>
        <v>-33.582455,-71.052848</v>
      </c>
      <c r="C2341" s="6" t="str">
        <f ca="1">IFERROR(__xludf.DUMMYFUNCTION("""COMPUTED_VALUE"""),"SANTA VICTORIA  S/29")</f>
        <v>SANTA VICTORIA  S/29</v>
      </c>
      <c r="D2341" s="6" t="str">
        <f ca="1">IFERROR(__xludf.DUMMYFUNCTION("""COMPUTED_VALUE"""),"MELIPILLA")</f>
        <v>MELIPILLA</v>
      </c>
    </row>
    <row r="2342" spans="1:4">
      <c r="A2342" s="7">
        <f ca="1">IFERROR(__xludf.DUMMYFUNCTION("""COMPUTED_VALUE"""),44215)</f>
        <v>44215</v>
      </c>
      <c r="B2342" s="6" t="str">
        <f ca="1">IFERROR(__xludf.DUMMYFUNCTION("""COMPUTED_VALUE"""),"-33.594776,-71.047885")</f>
        <v>-33.594776,-71.047885</v>
      </c>
      <c r="C2342" s="6" t="str">
        <f ca="1">IFERROR(__xludf.DUMMYFUNCTION("""COMPUTED_VALUE"""),"SANTA  VICTORIA  S/82")</f>
        <v>SANTA  VICTORIA  S/82</v>
      </c>
      <c r="D2342" s="6" t="str">
        <f ca="1">IFERROR(__xludf.DUMMYFUNCTION("""COMPUTED_VALUE"""),"MELIPILLA")</f>
        <v>MELIPILLA</v>
      </c>
    </row>
    <row r="2343" spans="1:4">
      <c r="A2343" s="7">
        <f ca="1">IFERROR(__xludf.DUMMYFUNCTION("""COMPUTED_VALUE"""),44216)</f>
        <v>44216</v>
      </c>
      <c r="B2343" s="8" t="str">
        <f ca="1">IFERROR(__xludf.DUMMYFUNCTION("""COMPUTED_VALUE"""),"-33.677701,-71.186691")</f>
        <v>-33.677701,-71.186691</v>
      </c>
      <c r="C2343" s="6" t="str">
        <f ca="1">IFERROR(__xludf.DUMMYFUNCTION("""COMPUTED_VALUE"""),"RINCONADA 631")</f>
        <v>RINCONADA 631</v>
      </c>
      <c r="D2343" s="6" t="str">
        <f ca="1">IFERROR(__xludf.DUMMYFUNCTION("""COMPUTED_VALUE"""),"MELIPILLA")</f>
        <v>MELIPILLA</v>
      </c>
    </row>
    <row r="2344" spans="1:4">
      <c r="A2344" s="7">
        <f ca="1">IFERROR(__xludf.DUMMYFUNCTION("""COMPUTED_VALUE"""),44216)</f>
        <v>44216</v>
      </c>
      <c r="B2344" s="8" t="str">
        <f ca="1">IFERROR(__xludf.DUMMYFUNCTION("""COMPUTED_VALUE"""),"-33.665445.-71.309143")</f>
        <v>-33.665445.-71.309143</v>
      </c>
      <c r="C2344" s="6" t="str">
        <f ca="1">IFERROR(__xludf.DUMMYFUNCTION("""COMPUTED_VALUE"""),"PUANGUE RUTA G 78")</f>
        <v>PUANGUE RUTA G 78</v>
      </c>
      <c r="D2344" s="6" t="str">
        <f ca="1">IFERROR(__xludf.DUMMYFUNCTION("""COMPUTED_VALUE"""),"MELIPILLA")</f>
        <v>MELIPILLA</v>
      </c>
    </row>
    <row r="2345" spans="1:4">
      <c r="A2345" s="7">
        <f ca="1">IFERROR(__xludf.DUMMYFUNCTION("""COMPUTED_VALUE"""),44216)</f>
        <v>44216</v>
      </c>
      <c r="B2345" s="8" t="str">
        <f ca="1">IFERROR(__xludf.DUMMYFUNCTION("""COMPUTED_VALUE"""),"-33.682942.-71.230501")</f>
        <v>-33.682942.-71.230501</v>
      </c>
      <c r="C2345" s="6" t="str">
        <f ca="1">IFERROR(__xludf.DUMMYFUNCTION("""COMPUTED_VALUE"""),"NICOLAS MARIN 351")</f>
        <v>NICOLAS MARIN 351</v>
      </c>
      <c r="D2345" s="6" t="str">
        <f ca="1">IFERROR(__xludf.DUMMYFUNCTION("""COMPUTED_VALUE"""),"MELIPILLA")</f>
        <v>MELIPILLA</v>
      </c>
    </row>
    <row r="2346" spans="1:4">
      <c r="A2346" s="7">
        <f ca="1">IFERROR(__xludf.DUMMYFUNCTION("""COMPUTED_VALUE"""),44216)</f>
        <v>44216</v>
      </c>
      <c r="B2346" s="8" t="str">
        <f ca="1">IFERROR(__xludf.DUMMYFUNCTION("""COMPUTED_VALUE"""),"-33.568834,-71,213111")</f>
        <v>-33.568834,-71,213111</v>
      </c>
      <c r="C2346" s="6" t="str">
        <f ca="1">IFERROR(__xludf.DUMMYFUNCTION("""COMPUTED_VALUE"""),"LOS QUILLAYES 130")</f>
        <v>LOS QUILLAYES 130</v>
      </c>
      <c r="D2346" s="6" t="str">
        <f ca="1">IFERROR(__xludf.DUMMYFUNCTION("""COMPUTED_VALUE"""),"MELIPILLA")</f>
        <v>MELIPILLA</v>
      </c>
    </row>
    <row r="2347" spans="1:4">
      <c r="A2347" s="7">
        <f ca="1">IFERROR(__xludf.DUMMYFUNCTION("""COMPUTED_VALUE"""),44216)</f>
        <v>44216</v>
      </c>
      <c r="B2347" s="8" t="str">
        <f ca="1">IFERROR(__xludf.DUMMYFUNCTION("""COMPUTED_VALUE"""),"-33.568812,-71.213269")</f>
        <v>-33.568812,-71.213269</v>
      </c>
      <c r="C2347" s="6" t="str">
        <f ca="1">IFERROR(__xludf.DUMMYFUNCTION("""COMPUTED_VALUE"""),"LOS QUILLAYES 140 ")</f>
        <v xml:space="preserve">LOS QUILLAYES 140 </v>
      </c>
      <c r="D2347" s="6" t="str">
        <f ca="1">IFERROR(__xludf.DUMMYFUNCTION("""COMPUTED_VALUE"""),"MELIPILLA")</f>
        <v>MELIPILLA</v>
      </c>
    </row>
    <row r="2348" spans="1:4">
      <c r="A2348" s="7">
        <f ca="1">IFERROR(__xludf.DUMMYFUNCTION("""COMPUTED_VALUE"""),44216)</f>
        <v>44216</v>
      </c>
      <c r="B2348" s="8" t="str">
        <f ca="1">IFERROR(__xludf.DUMMYFUNCTION("""COMPUTED_VALUE"""),"-33.568830,-71213345")</f>
        <v>-33.568830,-71213345</v>
      </c>
      <c r="C2348" s="6" t="str">
        <f ca="1">IFERROR(__xludf.DUMMYFUNCTION("""COMPUTED_VALUE"""),"LOS QUILLAYES 130")</f>
        <v>LOS QUILLAYES 130</v>
      </c>
      <c r="D2348" s="6" t="str">
        <f ca="1">IFERROR(__xludf.DUMMYFUNCTION("""COMPUTED_VALUE"""),"MELIPILLA")</f>
        <v>MELIPILLA</v>
      </c>
    </row>
    <row r="2349" spans="1:4">
      <c r="A2349" s="7">
        <f ca="1">IFERROR(__xludf.DUMMYFUNCTION("""COMPUTED_VALUE"""),44216)</f>
        <v>44216</v>
      </c>
      <c r="B2349" s="8" t="str">
        <f ca="1">IFERROR(__xludf.DUMMYFUNCTION("""COMPUTED_VALUE"""),"-33.681983,-71.231042")</f>
        <v>-33.681983,-71.231042</v>
      </c>
      <c r="C2349" s="6" t="str">
        <f ca="1">IFERROR(__xludf.DUMMYFUNCTION("""COMPUTED_VALUE"""),"ANITA FRESNO")</f>
        <v>ANITA FRESNO</v>
      </c>
      <c r="D2349" s="6" t="str">
        <f ca="1">IFERROR(__xludf.DUMMYFUNCTION("""COMPUTED_VALUE"""),"MELIPILLA")</f>
        <v>MELIPILLA</v>
      </c>
    </row>
    <row r="2350" spans="1:4">
      <c r="A2350" s="7">
        <f ca="1">IFERROR(__xludf.DUMMYFUNCTION("""COMPUTED_VALUE"""),44216)</f>
        <v>44216</v>
      </c>
      <c r="B2350" s="6" t="str">
        <f ca="1">IFERROR(__xludf.DUMMYFUNCTION("""COMPUTED_VALUE"""),"-33.614425-70.905278")</f>
        <v>-33.614425-70.905278</v>
      </c>
      <c r="C2350" s="6" t="str">
        <f ca="1">IFERROR(__xludf.DUMMYFUNCTION("""COMPUTED_VALUE"""),"CA UNO 3989")</f>
        <v>CA UNO 3989</v>
      </c>
      <c r="D2350" s="6" t="str">
        <f ca="1">IFERROR(__xludf.DUMMYFUNCTION("""COMPUTED_VALUE"""),"PEÑAFLOR")</f>
        <v>PEÑAFLOR</v>
      </c>
    </row>
    <row r="2351" spans="1:4">
      <c r="A2351" s="7">
        <f ca="1">IFERROR(__xludf.DUMMYFUNCTION("""COMPUTED_VALUE"""),44216)</f>
        <v>44216</v>
      </c>
      <c r="B2351" s="6" t="str">
        <f ca="1">IFERROR(__xludf.DUMMYFUNCTION("""COMPUTED_VALUE"""),"-33.407436-71.132403")</f>
        <v>-33.407436-71.132403</v>
      </c>
      <c r="C2351" s="6" t="str">
        <f ca="1">IFERROR(__xludf.DUMMYFUNCTION("""COMPUTED_VALUE"""),"PA ALEJANDRO CONTRERAS 1641")</f>
        <v>PA ALEJANDRO CONTRERAS 1641</v>
      </c>
      <c r="D2351" s="6" t="str">
        <f ca="1">IFERROR(__xludf.DUMMYFUNCTION("""COMPUTED_VALUE"""),"CURACAVI")</f>
        <v>CURACAVI</v>
      </c>
    </row>
    <row r="2352" spans="1:4">
      <c r="A2352" s="7">
        <f ca="1">IFERROR(__xludf.DUMMYFUNCTION("""COMPUTED_VALUE"""),44216)</f>
        <v>44216</v>
      </c>
      <c r="B2352" s="6" t="str">
        <f ca="1">IFERROR(__xludf.DUMMYFUNCTION("""COMPUTED_VALUE"""),"-33.405659-71.134290")</f>
        <v>-33.405659-71.134290</v>
      </c>
      <c r="C2352" s="6" t="str">
        <f ca="1">IFERROR(__xludf.DUMMYFUNCTION("""COMPUTED_VALUE"""),"PA CACIQUECHUMAVO 1514")</f>
        <v>PA CACIQUECHUMAVO 1514</v>
      </c>
      <c r="D2352" s="6" t="str">
        <f ca="1">IFERROR(__xludf.DUMMYFUNCTION("""COMPUTED_VALUE"""),"CURACAVI")</f>
        <v>CURACAVI</v>
      </c>
    </row>
    <row r="2353" spans="1:4">
      <c r="A2353" s="7">
        <f ca="1">IFERROR(__xludf.DUMMYFUNCTION("""COMPUTED_VALUE"""),44216)</f>
        <v>44216</v>
      </c>
      <c r="B2353" s="6" t="str">
        <f ca="1">IFERROR(__xludf.DUMMYFUNCTION("""COMPUTED_VALUE"""),"-33.50967-71.00328")</f>
        <v>-33.50967-71.00328</v>
      </c>
      <c r="C2353" s="6" t="str">
        <f ca="1">IFERROR(__xludf.DUMMYFUNCTION("""COMPUTED_VALUE"""),"COLO COLO 32 LOTE 3 SITIO 32")</f>
        <v>COLO COLO 32 LOTE 3 SITIO 32</v>
      </c>
      <c r="D2353" s="6" t="str">
        <f ca="1">IFERROR(__xludf.DUMMYFUNCTION("""COMPUTED_VALUE"""),"CURACAVI")</f>
        <v>CURACAVI</v>
      </c>
    </row>
    <row r="2354" spans="1:4">
      <c r="A2354" s="7">
        <f ca="1">IFERROR(__xludf.DUMMYFUNCTION("""COMPUTED_VALUE"""),44216)</f>
        <v>44216</v>
      </c>
      <c r="B2354" s="6" t="str">
        <f ca="1">IFERROR(__xludf.DUMMYFUNCTION("""COMPUTED_VALUE"""),"-33.50938-71.00299")</f>
        <v>-33.50938-71.00299</v>
      </c>
      <c r="C2354" s="6" t="str">
        <f ca="1">IFERROR(__xludf.DUMMYFUNCTION("""COMPUTED_VALUE"""),"PASAJE  COLO COLO SITIO 32 LOTE 3")</f>
        <v>PASAJE  COLO COLO SITIO 32 LOTE 3</v>
      </c>
      <c r="D2354" s="6" t="str">
        <f ca="1">IFERROR(__xludf.DUMMYFUNCTION("""COMPUTED_VALUE"""),"CURACAVI")</f>
        <v>CURACAVI</v>
      </c>
    </row>
    <row r="2355" spans="1:4">
      <c r="A2355" s="7">
        <f ca="1">IFERROR(__xludf.DUMMYFUNCTION("""COMPUTED_VALUE"""),44216)</f>
        <v>44216</v>
      </c>
      <c r="B2355" s="6" t="str">
        <f ca="1">IFERROR(__xludf.DUMMYFUNCTION("""COMPUTED_VALUE"""),"-33.682359,-71.195659")</f>
        <v>-33.682359,-71.195659</v>
      </c>
      <c r="C2355" s="6" t="str">
        <f ca="1">IFERROR(__xludf.DUMMYFUNCTION("""COMPUTED_VALUE"""),"LUDWING VAN BETHOVEN 836")</f>
        <v>LUDWING VAN BETHOVEN 836</v>
      </c>
      <c r="D2355" s="6" t="str">
        <f ca="1">IFERROR(__xludf.DUMMYFUNCTION("""COMPUTED_VALUE"""),"MELIPILLA")</f>
        <v>MELIPILLA</v>
      </c>
    </row>
    <row r="2356" spans="1:4">
      <c r="A2356" s="7">
        <f ca="1">IFERROR(__xludf.DUMMYFUNCTION("""COMPUTED_VALUE"""),44216)</f>
        <v>44216</v>
      </c>
      <c r="B2356" s="6" t="str">
        <f ca="1">IFERROR(__xludf.DUMMYFUNCTION("""COMPUTED_VALUE"""),"-33.681031,-71.197342")</f>
        <v>-33.681031,-71.197342</v>
      </c>
      <c r="C2356" s="6" t="str">
        <f ca="1">IFERROR(__xludf.DUMMYFUNCTION("""COMPUTED_VALUE"""),"PSJE ARAUCO 521")</f>
        <v>PSJE ARAUCO 521</v>
      </c>
      <c r="D2356" s="6" t="str">
        <f ca="1">IFERROR(__xludf.DUMMYFUNCTION("""COMPUTED_VALUE"""),"MELIPILLA")</f>
        <v>MELIPILLA</v>
      </c>
    </row>
    <row r="2357" spans="1:4">
      <c r="A2357" s="7">
        <f ca="1">IFERROR(__xludf.DUMMYFUNCTION("""COMPUTED_VALUE"""),44216)</f>
        <v>44216</v>
      </c>
      <c r="B2357" s="6" t="str">
        <f ca="1">IFERROR(__xludf.DUMMYFUNCTION("""COMPUTED_VALUE"""),"-33.661205,-71.276252")</f>
        <v>-33.661205,-71.276252</v>
      </c>
      <c r="C2357" s="6" t="str">
        <f ca="1">IFERROR(__xludf.DUMMYFUNCTION("""COMPUTED_VALUE"""),"SANTA ROSA ESMERALDA P 14")</f>
        <v>SANTA ROSA ESMERALDA P 14</v>
      </c>
      <c r="D2357" s="6" t="str">
        <f ca="1">IFERROR(__xludf.DUMMYFUNCTION("""COMPUTED_VALUE"""),"MELIPILLA")</f>
        <v>MELIPILLA</v>
      </c>
    </row>
    <row r="2358" spans="1:4">
      <c r="A2358" s="7">
        <f ca="1">IFERROR(__xludf.DUMMYFUNCTION("""COMPUTED_VALUE"""),44216)</f>
        <v>44216</v>
      </c>
      <c r="B2358" s="6" t="str">
        <f ca="1">IFERROR(__xludf.DUMMYFUNCTION("""COMPUTED_VALUE"""),"-33.803893,-71.246015")</f>
        <v>-33.803893,-71.246015</v>
      </c>
      <c r="C2358" s="6" t="str">
        <f ca="1">IFERROR(__xludf.DUMMYFUNCTION("""COMPUTED_VALUE"""),"SECTOR LAS CHILCAS S/N")</f>
        <v>SECTOR LAS CHILCAS S/N</v>
      </c>
      <c r="D2358" s="6" t="str">
        <f ca="1">IFERROR(__xludf.DUMMYFUNCTION("""COMPUTED_VALUE"""),"MELIPILLA")</f>
        <v>MELIPILLA</v>
      </c>
    </row>
    <row r="2359" spans="1:4">
      <c r="A2359" s="7">
        <f ca="1">IFERROR(__xludf.DUMMYFUNCTION("""COMPUTED_VALUE"""),44217)</f>
        <v>44217</v>
      </c>
      <c r="B2359" s="8" t="str">
        <f ca="1">IFERROR(__xludf.DUMMYFUNCTION("""COMPUTED_VALUE"""),"-33.507178,-71.072313")</f>
        <v>-33.507178,-71.072313</v>
      </c>
      <c r="C2359" s="6" t="str">
        <f ca="1">IFERROR(__xludf.DUMMYFUNCTION("""COMPUTED_VALUE"""),"EL PARRON SITIO 32 ")</f>
        <v xml:space="preserve">EL PARRON SITIO 32 </v>
      </c>
      <c r="D2359" s="6" t="str">
        <f ca="1">IFERROR(__xludf.DUMMYFUNCTION("""COMPUTED_VALUE"""),"MELIPILLA")</f>
        <v>MELIPILLA</v>
      </c>
    </row>
    <row r="2360" spans="1:4">
      <c r="A2360" s="7">
        <f ca="1">IFERROR(__xludf.DUMMYFUNCTION("""COMPUTED_VALUE"""),44217)</f>
        <v>44217</v>
      </c>
      <c r="B2360" s="8" t="str">
        <f ca="1">IFERROR(__xludf.DUMMYFUNCTION("""COMPUTED_VALUE"""),"-33.514278,-71.117101")</f>
        <v>-33.514278,-71.117101</v>
      </c>
      <c r="C2360" s="6" t="str">
        <f ca="1">IFERROR(__xludf.DUMMYFUNCTION("""COMPUTED_VALUE"""),"EL HURACAN 770 ")</f>
        <v xml:space="preserve">EL HURACAN 770 </v>
      </c>
      <c r="D2360" s="6" t="str">
        <f ca="1">IFERROR(__xludf.DUMMYFUNCTION("""COMPUTED_VALUE"""),"MELIPILLA")</f>
        <v>MELIPILLA</v>
      </c>
    </row>
    <row r="2361" spans="1:4">
      <c r="A2361" s="7">
        <f ca="1">IFERROR(__xludf.DUMMYFUNCTION("""COMPUTED_VALUE"""),44217)</f>
        <v>44217</v>
      </c>
      <c r="B2361" s="8" t="str">
        <f ca="1">IFERROR(__xludf.DUMMYFUNCTION("""COMPUTED_VALUE"""),"-33.652887,-71.147812")</f>
        <v>-33.652887,-71.147812</v>
      </c>
      <c r="C2361" s="6" t="str">
        <f ca="1">IFERROR(__xludf.DUMMYFUNCTION("""COMPUTED_VALUE"""),"PJE EL ALFARERO ")</f>
        <v xml:space="preserve">PJE EL ALFARERO </v>
      </c>
      <c r="D2361" s="6" t="str">
        <f ca="1">IFERROR(__xludf.DUMMYFUNCTION("""COMPUTED_VALUE"""),"MELIPILLA")</f>
        <v>MELIPILLA</v>
      </c>
    </row>
    <row r="2362" spans="1:4">
      <c r="A2362" s="7">
        <f ca="1">IFERROR(__xludf.DUMMYFUNCTION("""COMPUTED_VALUE"""),44217)</f>
        <v>44217</v>
      </c>
      <c r="B2362" s="6" t="str">
        <f ca="1">IFERROR(__xludf.DUMMYFUNCTION("""COMPUTED_VALUE"""),"-33.404949-71.134438")</f>
        <v>-33.404949-71.134438</v>
      </c>
      <c r="C2362" s="6" t="str">
        <f ca="1">IFERROR(__xludf.DUMMYFUNCTION("""COMPUTED_VALUE"""),"PA JUAN LUIS MORALES 1510")</f>
        <v>PA JUAN LUIS MORALES 1510</v>
      </c>
      <c r="D2362" s="6" t="str">
        <f ca="1">IFERROR(__xludf.DUMMYFUNCTION("""COMPUTED_VALUE"""),"CURACAVI")</f>
        <v>CURACAVI</v>
      </c>
    </row>
    <row r="2363" spans="1:4">
      <c r="A2363" s="7">
        <f ca="1">IFERROR(__xludf.DUMMYFUNCTION("""COMPUTED_VALUE"""),44217)</f>
        <v>44217</v>
      </c>
      <c r="B2363" s="6" t="str">
        <f ca="1">IFERROR(__xludf.DUMMYFUNCTION("""COMPUTED_VALUE"""),"-33.612469-70.897243")</f>
        <v>-33.612469-70.897243</v>
      </c>
      <c r="C2363" s="6" t="str">
        <f ca="1">IFERROR(__xludf.DUMMYFUNCTION("""COMPUTED_VALUE"""),"CA EL OMBU PONIENTE 90 LA ARBOLEDA")</f>
        <v>CA EL OMBU PONIENTE 90 LA ARBOLEDA</v>
      </c>
      <c r="D2363" s="6" t="str">
        <f ca="1">IFERROR(__xludf.DUMMYFUNCTION("""COMPUTED_VALUE"""),"CURACAVI")</f>
        <v>CURACAVI</v>
      </c>
    </row>
    <row r="2364" spans="1:4">
      <c r="A2364" s="7">
        <f ca="1">IFERROR(__xludf.DUMMYFUNCTION("""COMPUTED_VALUE"""),44217)</f>
        <v>44217</v>
      </c>
      <c r="B2364" s="6" t="str">
        <f ca="1">IFERROR(__xludf.DUMMYFUNCTION("""COMPUTED_VALUE"""),"-33.585287,-71.054626")</f>
        <v>-33.585287,-71.054626</v>
      </c>
      <c r="C2364" s="6" t="str">
        <f ca="1">IFERROR(__xludf.DUMMYFUNCTION("""COMPUTED_VALUE"""),"CHILE NUEVO P19")</f>
        <v>CHILE NUEVO P19</v>
      </c>
      <c r="D2364" s="6" t="str">
        <f ca="1">IFERROR(__xludf.DUMMYFUNCTION("""COMPUTED_VALUE"""),"MELIPILLA")</f>
        <v>MELIPILLA</v>
      </c>
    </row>
    <row r="2365" spans="1:4">
      <c r="A2365" s="7">
        <f ca="1">IFERROR(__xludf.DUMMYFUNCTION("""COMPUTED_VALUE"""),44217)</f>
        <v>44217</v>
      </c>
      <c r="B2365" s="6" t="str">
        <f ca="1">IFERROR(__xludf.DUMMYFUNCTION("""COMPUTED_VALUE"""),"-33.768202,-71.274011")</f>
        <v>-33.768202,-71.274011</v>
      </c>
      <c r="C2365" s="6" t="str">
        <f ca="1">IFERROR(__xludf.DUMMYFUNCTION("""COMPUTED_VALUE"""),"CODIGUA S/N")</f>
        <v>CODIGUA S/N</v>
      </c>
      <c r="D2365" s="6" t="str">
        <f ca="1">IFERROR(__xludf.DUMMYFUNCTION("""COMPUTED_VALUE"""),"MELIPILLA")</f>
        <v>MELIPILLA</v>
      </c>
    </row>
    <row r="2366" spans="1:4">
      <c r="A2366" s="7">
        <f ca="1">IFERROR(__xludf.DUMMYFUNCTION("""COMPUTED_VALUE"""),44217)</f>
        <v>44217</v>
      </c>
      <c r="B2366" s="6" t="str">
        <f ca="1">IFERROR(__xludf.DUMMYFUNCTION("""COMPUTED_VALUE"""),"-33.583021,-71.048673")</f>
        <v>-33.583021,-71.048673</v>
      </c>
      <c r="C2366" s="6" t="str">
        <f ca="1">IFERROR(__xludf.DUMMYFUNCTION("""COMPUTED_VALUE"""),"SANTA VICTORIA P 21")</f>
        <v>SANTA VICTORIA P 21</v>
      </c>
      <c r="D2366" s="6" t="str">
        <f ca="1">IFERROR(__xludf.DUMMYFUNCTION("""COMPUTED_VALUE"""),"MELIPILLA")</f>
        <v>MELIPILLA</v>
      </c>
    </row>
    <row r="2367" spans="1:4">
      <c r="A2367" s="7">
        <f ca="1">IFERROR(__xludf.DUMMYFUNCTION("""COMPUTED_VALUE"""),44217)</f>
        <v>44217</v>
      </c>
      <c r="B2367" s="6" t="str">
        <f ca="1">IFERROR(__xludf.DUMMYFUNCTION("""COMPUTED_VALUE"""),"-33.684775,-71.225960")</f>
        <v>-33.684775,-71.225960</v>
      </c>
      <c r="C2367" s="6" t="str">
        <f ca="1">IFERROR(__xludf.DUMMYFUNCTION("""COMPUTED_VALUE"""),"PSJE QUITO 435")</f>
        <v>PSJE QUITO 435</v>
      </c>
      <c r="D2367" s="6" t="str">
        <f ca="1">IFERROR(__xludf.DUMMYFUNCTION("""COMPUTED_VALUE"""),"MELIPILLA")</f>
        <v>MELIPILLA</v>
      </c>
    </row>
    <row r="2368" spans="1:4">
      <c r="A2368" s="7">
        <f ca="1">IFERROR(__xludf.DUMMYFUNCTION("""COMPUTED_VALUE"""),44218)</f>
        <v>44218</v>
      </c>
      <c r="B2368" s="8" t="str">
        <f ca="1">IFERROR(__xludf.DUMMYFUNCTION("""COMPUTED_VALUE"""),"-33.662370,-70.887498")</f>
        <v>-33.662370,-70.887498</v>
      </c>
      <c r="C2368" s="6" t="str">
        <f ca="1">IFERROR(__xludf.DUMMYFUNCTION("""COMPUTED_VALUE"""),"LOS CIRUELOS 1454 STA VERONICA LOTE 11")</f>
        <v>LOS CIRUELOS 1454 STA VERONICA LOTE 11</v>
      </c>
      <c r="D2368" s="6" t="str">
        <f ca="1">IFERROR(__xludf.DUMMYFUNCTION("""COMPUTED_VALUE"""),"TALAGANTE")</f>
        <v>TALAGANTE</v>
      </c>
    </row>
    <row r="2369" spans="1:4">
      <c r="A2369" s="7">
        <f ca="1">IFERROR(__xludf.DUMMYFUNCTION("""COMPUTED_VALUE"""),44218)</f>
        <v>44218</v>
      </c>
      <c r="B2369" s="8" t="str">
        <f ca="1">IFERROR(__xludf.DUMMYFUNCTION("""COMPUTED_VALUE"""),"-33.5888934,-70.9836175")</f>
        <v>-33.5888934,-70.9836175</v>
      </c>
      <c r="C2369" s="6" t="str">
        <f ca="1">IFERROR(__xludf.DUMMYFUNCTION("""COMPUTED_VALUE"""),"SANTA ELISA DE MALLARAUCO S/N ")</f>
        <v xml:space="preserve">SANTA ELISA DE MALLARAUCO S/N </v>
      </c>
      <c r="D2369" s="6" t="str">
        <f ca="1">IFERROR(__xludf.DUMMYFUNCTION("""COMPUTED_VALUE"""),"MELIPILLA")</f>
        <v>MELIPILLA</v>
      </c>
    </row>
    <row r="2370" spans="1:4">
      <c r="A2370" s="7">
        <f ca="1">IFERROR(__xludf.DUMMYFUNCTION("""COMPUTED_VALUE"""),44218)</f>
        <v>44218</v>
      </c>
      <c r="B2370" s="8" t="str">
        <f ca="1">IFERROR(__xludf.DUMMYFUNCTION("""COMPUTED_VALUE"""),"-33.680852,-71.194200")</f>
        <v>-33.680852,-71.194200</v>
      </c>
      <c r="C2370" s="6" t="str">
        <f ca="1">IFERROR(__xludf.DUMMYFUNCTION("""COMPUTED_VALUE"""),"VICUÑA MACKENNA ")</f>
        <v xml:space="preserve">VICUÑA MACKENNA </v>
      </c>
      <c r="D2370" s="6" t="str">
        <f ca="1">IFERROR(__xludf.DUMMYFUNCTION("""COMPUTED_VALUE"""),"MELIPILLA")</f>
        <v>MELIPILLA</v>
      </c>
    </row>
    <row r="2371" spans="1:4">
      <c r="A2371" s="7">
        <f ca="1">IFERROR(__xludf.DUMMYFUNCTION("""COMPUTED_VALUE"""),44218)</f>
        <v>44218</v>
      </c>
      <c r="B2371" s="8" t="str">
        <f ca="1">IFERROR(__xludf.DUMMYFUNCTION("""COMPUTED_VALUE"""),"-33.790977,-71.392815")</f>
        <v>-33.790977,-71.392815</v>
      </c>
      <c r="C2371" s="6" t="str">
        <f ca="1">IFERROR(__xludf.DUMMYFUNCTION("""COMPUTED_VALUE"""),"LAUNION CODIGUE ")</f>
        <v xml:space="preserve">LAUNION CODIGUE </v>
      </c>
      <c r="D2371" s="6" t="str">
        <f ca="1">IFERROR(__xludf.DUMMYFUNCTION("""COMPUTED_VALUE"""),"MELIPILLA")</f>
        <v>MELIPILLA</v>
      </c>
    </row>
    <row r="2372" spans="1:4">
      <c r="A2372" s="7">
        <f ca="1">IFERROR(__xludf.DUMMYFUNCTION("""COMPUTED_VALUE"""),44218)</f>
        <v>44218</v>
      </c>
      <c r="B2372" s="6" t="str">
        <f ca="1">IFERROR(__xludf.DUMMYFUNCTION("""COMPUTED_VALUE"""),"-33.45314-71.02719")</f>
        <v>-33.45314-71.02719</v>
      </c>
      <c r="C2372" s="6" t="str">
        <f ca="1">IFERROR(__xludf.DUMMYFUNCTION("""COMPUTED_VALUE"""),"UNION CHILENA S-30 B L S/N")</f>
        <v>UNION CHILENA S-30 B L S/N</v>
      </c>
      <c r="D2372" s="6" t="str">
        <f ca="1">IFERROR(__xludf.DUMMYFUNCTION("""COMPUTED_VALUE"""),"CURACAVI")</f>
        <v>CURACAVI</v>
      </c>
    </row>
    <row r="2373" spans="1:4">
      <c r="A2373" s="7">
        <f ca="1">IFERROR(__xludf.DUMMYFUNCTION("""COMPUTED_VALUE"""),44218)</f>
        <v>44218</v>
      </c>
      <c r="B2373" s="6" t="str">
        <f ca="1">IFERROR(__xludf.DUMMYFUNCTION("""COMPUTED_VALUE"""),"-33.41207-71.16186")</f>
        <v>-33.41207-71.16186</v>
      </c>
      <c r="C2373" s="6" t="str">
        <f ca="1">IFERROR(__xludf.DUMMYFUNCTION("""COMPUTED_VALUE"""),"HDA. CURACAVI LADO S/N")</f>
        <v>HDA. CURACAVI LADO S/N</v>
      </c>
      <c r="D2373" s="6" t="str">
        <f ca="1">IFERROR(__xludf.DUMMYFUNCTION("""COMPUTED_VALUE"""),"CURACAVI")</f>
        <v>CURACAVI</v>
      </c>
    </row>
    <row r="2374" spans="1:4">
      <c r="A2374" s="7">
        <f ca="1">IFERROR(__xludf.DUMMYFUNCTION("""COMPUTED_VALUE"""),44218)</f>
        <v>44218</v>
      </c>
      <c r="B2374" s="6" t="str">
        <f ca="1">IFERROR(__xludf.DUMMYFUNCTION("""COMPUTED_VALUE"""),"-33.41202-71.16158")</f>
        <v>-33.41202-71.16158</v>
      </c>
      <c r="C2374" s="6" t="str">
        <f ca="1">IFERROR(__xludf.DUMMYFUNCTION("""COMPUTED_VALUE"""),"HDA. CURACAVI LADO S/N")</f>
        <v>HDA. CURACAVI LADO S/N</v>
      </c>
      <c r="D2374" s="6" t="str">
        <f ca="1">IFERROR(__xludf.DUMMYFUNCTION("""COMPUTED_VALUE"""),"CURACAVI")</f>
        <v>CURACAVI</v>
      </c>
    </row>
    <row r="2375" spans="1:4">
      <c r="A2375" s="7">
        <f ca="1">IFERROR(__xludf.DUMMYFUNCTION("""COMPUTED_VALUE"""),44218)</f>
        <v>44218</v>
      </c>
      <c r="B2375" s="6" t="str">
        <f ca="1">IFERROR(__xludf.DUMMYFUNCTION("""COMPUTED_VALUE"""),"-33.405888-71.134191")</f>
        <v>-33.405888-71.134191</v>
      </c>
      <c r="C2375" s="6" t="str">
        <f ca="1">IFERROR(__xludf.DUMMYFUNCTION("""COMPUTED_VALUE"""),"CALLE BERNARDO ESCOBAR 180")</f>
        <v>CALLE BERNARDO ESCOBAR 180</v>
      </c>
      <c r="D2375" s="6" t="str">
        <f ca="1">IFERROR(__xludf.DUMMYFUNCTION("""COMPUTED_VALUE"""),"CURACAVI")</f>
        <v>CURACAVI</v>
      </c>
    </row>
    <row r="2376" spans="1:4">
      <c r="A2376" s="7">
        <f ca="1">IFERROR(__xludf.DUMMYFUNCTION("""COMPUTED_VALUE"""),44218)</f>
        <v>44218</v>
      </c>
      <c r="B2376" s="6" t="str">
        <f ca="1">IFERROR(__xludf.DUMMYFUNCTION("""COMPUTED_VALUE"""),"-33.404949-71.134155")</f>
        <v>-33.404949-71.134155</v>
      </c>
      <c r="C2376" s="6" t="str">
        <f ca="1">IFERROR(__xludf.DUMMYFUNCTION("""COMPUTED_VALUE"""),"PASAJE JUAN MORALES 1508")</f>
        <v>PASAJE JUAN MORALES 1508</v>
      </c>
      <c r="D2376" s="6" t="str">
        <f ca="1">IFERROR(__xludf.DUMMYFUNCTION("""COMPUTED_VALUE"""),"CURACAVI")</f>
        <v>CURACAVI</v>
      </c>
    </row>
    <row r="2377" spans="1:4">
      <c r="A2377" s="7">
        <f ca="1">IFERROR(__xludf.DUMMYFUNCTION("""COMPUTED_VALUE"""),44218)</f>
        <v>44218</v>
      </c>
      <c r="B2377" s="6" t="str">
        <f ca="1">IFERROR(__xludf.DUMMYFUNCTION("""COMPUTED_VALUE"""),"-33.766454,-71.287518")</f>
        <v>-33.766454,-71.287518</v>
      </c>
      <c r="C2377" s="6" t="str">
        <f ca="1">IFERROR(__xludf.DUMMYFUNCTION("""COMPUTED_VALUE"""),"RINCONADA SAN MANUEL S/N")</f>
        <v>RINCONADA SAN MANUEL S/N</v>
      </c>
      <c r="D2377" s="6" t="str">
        <f ca="1">IFERROR(__xludf.DUMMYFUNCTION("""COMPUTED_VALUE"""),"MELIPILLA")</f>
        <v>MELIPILLA</v>
      </c>
    </row>
    <row r="2378" spans="1:4">
      <c r="A2378" s="7">
        <f ca="1">IFERROR(__xludf.DUMMYFUNCTION("""COMPUTED_VALUE"""),44218)</f>
        <v>44218</v>
      </c>
      <c r="B2378" s="6" t="str">
        <f ca="1">IFERROR(__xludf.DUMMYFUNCTION("""COMPUTED_VALUE"""),"-33.583072,-71.052943")</f>
        <v>-33.583072,-71.052943</v>
      </c>
      <c r="C2378" s="6" t="str">
        <f ca="1">IFERROR(__xludf.DUMMYFUNCTION("""COMPUTED_VALUE"""),"SANTA VICTORIA  6689")</f>
        <v>SANTA VICTORIA  6689</v>
      </c>
      <c r="D2378" s="6" t="str">
        <f ca="1">IFERROR(__xludf.DUMMYFUNCTION("""COMPUTED_VALUE"""),"MELIPILLA")</f>
        <v>MELIPILLA</v>
      </c>
    </row>
    <row r="2379" spans="1:4">
      <c r="A2379" s="7">
        <f ca="1">IFERROR(__xludf.DUMMYFUNCTION("""COMPUTED_VALUE"""),44218)</f>
        <v>44218</v>
      </c>
      <c r="B2379" s="6" t="str">
        <f ca="1">IFERROR(__xludf.DUMMYFUNCTION("""COMPUTED_VALUE"""),"-33.684881,-71.223937")</f>
        <v>-33.684881,-71.223937</v>
      </c>
      <c r="C2379" s="6" t="str">
        <f ca="1">IFERROR(__xludf.DUMMYFUNCTION("""COMPUTED_VALUE"""),"PSJE MERCEDES MORRIS 1179")</f>
        <v>PSJE MERCEDES MORRIS 1179</v>
      </c>
      <c r="D2379" s="6" t="str">
        <f ca="1">IFERROR(__xludf.DUMMYFUNCTION("""COMPUTED_VALUE"""),"MELIPILLA")</f>
        <v>MELIPILLA</v>
      </c>
    </row>
    <row r="2380" spans="1:4">
      <c r="A2380" s="7">
        <f ca="1">IFERROR(__xludf.DUMMYFUNCTION("""COMPUTED_VALUE"""),44218)</f>
        <v>44218</v>
      </c>
      <c r="B2380" s="6" t="str">
        <f ca="1">IFERROR(__xludf.DUMMYFUNCTION("""COMPUTED_VALUE"""),"-33.767014,-71.286803")</f>
        <v>-33.767014,-71.286803</v>
      </c>
      <c r="C2380" s="6" t="str">
        <f ca="1">IFERROR(__xludf.DUMMYFUNCTION("""COMPUTED_VALUE"""),"SAN MANUEL S/N RINCONADA PN-R")</f>
        <v>SAN MANUEL S/N RINCONADA PN-R</v>
      </c>
      <c r="D2380" s="6" t="str">
        <f ca="1">IFERROR(__xludf.DUMMYFUNCTION("""COMPUTED_VALUE"""),"MELIPILLA")</f>
        <v>MELIPILLA</v>
      </c>
    </row>
    <row r="2381" spans="1:4">
      <c r="A2381" s="7">
        <f ca="1">IFERROR(__xludf.DUMMYFUNCTION("""COMPUTED_VALUE"""),44218)</f>
        <v>44218</v>
      </c>
      <c r="B2381" s="6" t="str">
        <f ca="1">IFERROR(__xludf.DUMMYFUNCTION("""COMPUTED_VALUE"""),"-33.584024,-71.053391")</f>
        <v>-33.584024,-71.053391</v>
      </c>
      <c r="C2381" s="6" t="str">
        <f ca="1">IFERROR(__xludf.DUMMYFUNCTION("""COMPUTED_VALUE"""),"SANTA  VICTORIA DE MALLARAUCO S/12")</f>
        <v>SANTA  VICTORIA DE MALLARAUCO S/12</v>
      </c>
      <c r="D2381" s="6" t="str">
        <f ca="1">IFERROR(__xludf.DUMMYFUNCTION("""COMPUTED_VALUE"""),"MELIPILLA")</f>
        <v>MELIPILLA</v>
      </c>
    </row>
    <row r="2382" spans="1:4">
      <c r="A2382" s="7">
        <f ca="1">IFERROR(__xludf.DUMMYFUNCTION("""COMPUTED_VALUE"""),44218)</f>
        <v>44218</v>
      </c>
      <c r="B2382" s="12" t="str">
        <f ca="1">IFERROR(__xludf.DUMMYFUNCTION("""COMPUTED_VALUE"""),"-33593835,-71.044894")</f>
        <v>-33593835,-71.044894</v>
      </c>
      <c r="C2382" s="6" t="str">
        <f ca="1">IFERROR(__xludf.DUMMYFUNCTION("""COMPUTED_VALUE"""),"SANTA VICTORIA  S/36")</f>
        <v>SANTA VICTORIA  S/36</v>
      </c>
      <c r="D2382" s="6" t="str">
        <f ca="1">IFERROR(__xludf.DUMMYFUNCTION("""COMPUTED_VALUE"""),"MELIPILLA")</f>
        <v>MELIPILLA</v>
      </c>
    </row>
    <row r="2383" spans="1:4">
      <c r="A2383" s="7">
        <f ca="1">IFERROR(__xludf.DUMMYFUNCTION("""COMPUTED_VALUE"""),44218)</f>
        <v>44218</v>
      </c>
      <c r="B2383" s="6" t="str">
        <f ca="1">IFERROR(__xludf.DUMMYFUNCTION("""COMPUTED_VALUE"""),"-33.582716,-71.054607")</f>
        <v>-33.582716,-71.054607</v>
      </c>
      <c r="C2383" s="6" t="str">
        <f ca="1">IFERROR(__xludf.DUMMYFUNCTION("""COMPUTED_VALUE"""),"SANTA VICTORIA  P/19")</f>
        <v>SANTA VICTORIA  P/19</v>
      </c>
      <c r="D2383" s="6" t="str">
        <f ca="1">IFERROR(__xludf.DUMMYFUNCTION("""COMPUTED_VALUE"""),"MELIPILLA")</f>
        <v>MELIPILLA</v>
      </c>
    </row>
    <row r="2384" spans="1:4">
      <c r="A2384" s="7">
        <f ca="1">IFERROR(__xludf.DUMMYFUNCTION("""COMPUTED_VALUE"""),44219)</f>
        <v>44219</v>
      </c>
      <c r="B2384" s="6" t="str">
        <f ca="1">IFERROR(__xludf.DUMMYFUNCTION("""COMPUTED_VALUE"""),"-33.398132-71.128253")</f>
        <v>-33.398132-71.128253</v>
      </c>
      <c r="C2384" s="6" t="str">
        <f ca="1">IFERROR(__xludf.DUMMYFUNCTION("""COMPUTED_VALUE"""),"CARLOS BRULL 1930")</f>
        <v>CARLOS BRULL 1930</v>
      </c>
      <c r="D2384" s="6" t="str">
        <f ca="1">IFERROR(__xludf.DUMMYFUNCTION("""COMPUTED_VALUE"""),"CURACAVI")</f>
        <v>CURACAVI</v>
      </c>
    </row>
    <row r="2385" spans="1:4">
      <c r="A2385" s="7">
        <f ca="1">IFERROR(__xludf.DUMMYFUNCTION("""COMPUTED_VALUE"""),44219)</f>
        <v>44219</v>
      </c>
      <c r="B2385" s="6" t="str">
        <f ca="1">IFERROR(__xludf.DUMMYFUNCTION("""COMPUTED_VALUE"""),"-33.399546-71.128083")</f>
        <v>-33.399546-71.128083</v>
      </c>
      <c r="C2385" s="6" t="str">
        <f ca="1">IFERROR(__xludf.DUMMYFUNCTION("""COMPUTED_VALUE"""),"FRANCISCO SAAVEDRA 2055")</f>
        <v>FRANCISCO SAAVEDRA 2055</v>
      </c>
      <c r="D2385" s="6" t="str">
        <f ca="1">IFERROR(__xludf.DUMMYFUNCTION("""COMPUTED_VALUE"""),"CURACAVI")</f>
        <v>CURACAVI</v>
      </c>
    </row>
    <row r="2386" spans="1:4">
      <c r="A2386" s="7">
        <f ca="1">IFERROR(__xludf.DUMMYFUNCTION("""COMPUTED_VALUE"""),44219)</f>
        <v>44219</v>
      </c>
      <c r="B2386" s="6" t="str">
        <f ca="1">IFERROR(__xludf.DUMMYFUNCTION("""COMPUTED_VALUE"""),"-33.584885,-71.0511929")</f>
        <v>-33.584885,-71.0511929</v>
      </c>
      <c r="C2386" s="6" t="str">
        <f ca="1">IFERROR(__xludf.DUMMYFUNCTION("""COMPUTED_VALUE"""),"STA VICTORIA P/20 MALLEARAUCO")</f>
        <v>STA VICTORIA P/20 MALLEARAUCO</v>
      </c>
      <c r="D2386" s="6" t="str">
        <f ca="1">IFERROR(__xludf.DUMMYFUNCTION("""COMPUTED_VALUE"""),"MELIPILLA")</f>
        <v>MELIPILLA</v>
      </c>
    </row>
    <row r="2387" spans="1:4">
      <c r="A2387" s="7">
        <f ca="1">IFERROR(__xludf.DUMMYFUNCTION("""COMPUTED_VALUE"""),44221)</f>
        <v>44221</v>
      </c>
      <c r="B2387" s="6" t="str">
        <f ca="1">IFERROR(__xludf.DUMMYFUNCTION("""COMPUTED_VALUE"""),"-33.609451-70.882602")</f>
        <v>-33.609451-70.882602</v>
      </c>
      <c r="C2387" s="6" t="str">
        <f ca="1">IFERROR(__xludf.DUMMYFUNCTION("""COMPUTED_VALUE"""),"PA NILAHUE 2427")</f>
        <v>PA NILAHUE 2427</v>
      </c>
      <c r="D2387" s="6" t="str">
        <f ca="1">IFERROR(__xludf.DUMMYFUNCTION("""COMPUTED_VALUE"""),"PEÑAFLOR")</f>
        <v>PEÑAFLOR</v>
      </c>
    </row>
    <row r="2388" spans="1:4">
      <c r="A2388" s="7">
        <f ca="1">IFERROR(__xludf.DUMMYFUNCTION("""COMPUTED_VALUE"""),44221)</f>
        <v>44221</v>
      </c>
      <c r="B2388" s="6" t="str">
        <f ca="1">IFERROR(__xludf.DUMMYFUNCTION("""COMPUTED_VALUE"""),"-33.5888221,-70.983920")</f>
        <v>-33.5888221,-70.983920</v>
      </c>
      <c r="C2388" s="6" t="str">
        <f ca="1">IFERROR(__xludf.DUMMYFUNCTION("""COMPUTED_VALUE"""),"SANTA ELISA  MALLEARAUCO")</f>
        <v>SANTA ELISA  MALLEARAUCO</v>
      </c>
      <c r="D2388" s="6" t="str">
        <f ca="1">IFERROR(__xludf.DUMMYFUNCTION("""COMPUTED_VALUE"""),"MELIPILLA")</f>
        <v>MELIPILLA</v>
      </c>
    </row>
    <row r="2389" spans="1:4">
      <c r="A2389" s="7">
        <f ca="1">IFERROR(__xludf.DUMMYFUNCTION("""COMPUTED_VALUE"""),44221)</f>
        <v>44221</v>
      </c>
      <c r="B2389" s="6" t="str">
        <f ca="1">IFERROR(__xludf.DUMMYFUNCTION("""COMPUTED_VALUE"""),"-33.684475,-71.197045")</f>
        <v>-33.684475,-71.197045</v>
      </c>
      <c r="C2389" s="6" t="str">
        <f ca="1">IFERROR(__xludf.DUMMYFUNCTION("""COMPUTED_VALUE"""),"ANTONIO VIVALDI  320")</f>
        <v>ANTONIO VIVALDI  320</v>
      </c>
      <c r="D2389" s="6" t="str">
        <f ca="1">IFERROR(__xludf.DUMMYFUNCTION("""COMPUTED_VALUE"""),"MELIPILLA")</f>
        <v>MELIPILLA</v>
      </c>
    </row>
    <row r="2390" spans="1:4">
      <c r="A2390" s="7">
        <f ca="1">IFERROR(__xludf.DUMMYFUNCTION("""COMPUTED_VALUE"""),44221)</f>
        <v>44221</v>
      </c>
      <c r="B2390" s="6" t="str">
        <f ca="1">IFERROR(__xludf.DUMMYFUNCTION("""COMPUTED_VALUE"""),"-33.572054,-70.981418")</f>
        <v>-33.572054,-70.981418</v>
      </c>
      <c r="C2390" s="6" t="str">
        <f ca="1">IFERROR(__xludf.DUMMYFUNCTION("""COMPUTED_VALUE"""),"EL PIMIENTO  S/7")</f>
        <v>EL PIMIENTO  S/7</v>
      </c>
      <c r="D2390" s="6" t="str">
        <f ca="1">IFERROR(__xludf.DUMMYFUNCTION("""COMPUTED_VALUE"""),"MELIPILLA")</f>
        <v>MELIPILLA</v>
      </c>
    </row>
    <row r="2391" spans="1:4">
      <c r="A2391" s="7">
        <f ca="1">IFERROR(__xludf.DUMMYFUNCTION("""COMPUTED_VALUE"""),44221)</f>
        <v>44221</v>
      </c>
      <c r="B2391" s="6" t="str">
        <f ca="1">IFERROR(__xludf.DUMMYFUNCTION("""COMPUTED_VALUE"""),"-33.572551,-70.981752")</f>
        <v>-33.572551,-70.981752</v>
      </c>
      <c r="C2391" s="6" t="str">
        <f ca="1">IFERROR(__xludf.DUMMYFUNCTION("""COMPUTED_VALUE"""),"EL PIMIENTO SANTA ELISA ")</f>
        <v xml:space="preserve">EL PIMIENTO SANTA ELISA </v>
      </c>
      <c r="D2391" s="6" t="str">
        <f ca="1">IFERROR(__xludf.DUMMYFUNCTION("""COMPUTED_VALUE"""),"MELIPILLA")</f>
        <v>MELIPILLA</v>
      </c>
    </row>
    <row r="2392" spans="1:4">
      <c r="A2392" s="7">
        <f ca="1">IFERROR(__xludf.DUMMYFUNCTION("""COMPUTED_VALUE"""),44221)</f>
        <v>44221</v>
      </c>
      <c r="B2392" s="6" t="str">
        <f ca="1">IFERROR(__xludf.DUMMYFUNCTION("""COMPUTED_VALUE"""),"-33.572054,-70.981418")</f>
        <v>-33.572054,-70.981418</v>
      </c>
      <c r="C2392" s="6" t="str">
        <f ca="1">IFERROR(__xludf.DUMMYFUNCTION("""COMPUTED_VALUE"""),"EL PIMINETO S/ 7")</f>
        <v>EL PIMINETO S/ 7</v>
      </c>
      <c r="D2392" s="6" t="str">
        <f ca="1">IFERROR(__xludf.DUMMYFUNCTION("""COMPUTED_VALUE"""),"MELIPILLA")</f>
        <v>MELIPILLA</v>
      </c>
    </row>
    <row r="2393" spans="1:4">
      <c r="A2393" s="7">
        <f ca="1">IFERROR(__xludf.DUMMYFUNCTION("""COMPUTED_VALUE"""),44222)</f>
        <v>44222</v>
      </c>
      <c r="B2393" s="6" t="str">
        <f ca="1">IFERROR(__xludf.DUMMYFUNCTION("""COMPUTED_VALUE"""),"-33.609616-70.880258")</f>
        <v>-33.609616-70.880258</v>
      </c>
      <c r="C2393" s="6" t="str">
        <f ca="1">IFERROR(__xludf.DUMMYFUNCTION("""COMPUTED_VALUE"""),"PASAJE UNIVERSO 2152")</f>
        <v>PASAJE UNIVERSO 2152</v>
      </c>
      <c r="D2393" s="6" t="str">
        <f ca="1">IFERROR(__xludf.DUMMYFUNCTION("""COMPUTED_VALUE"""),"PEÑAFLOR")</f>
        <v>PEÑAFLOR</v>
      </c>
    </row>
    <row r="2394" spans="1:4">
      <c r="A2394" s="7">
        <f ca="1">IFERROR(__xludf.DUMMYFUNCTION("""COMPUTED_VALUE"""),44222)</f>
        <v>44222</v>
      </c>
      <c r="B2394" s="6" t="str">
        <f ca="1">IFERROR(__xludf.DUMMYFUNCTION("""COMPUTED_VALUE"""),"-34.410290-71.144013")</f>
        <v>-34.410290-71.144013</v>
      </c>
      <c r="C2394" s="6" t="str">
        <f ca="1">IFERROR(__xludf.DUMMYFUNCTION("""COMPUTED_VALUE"""),"LOS ALAMOS S/N POSTE 587080")</f>
        <v>LOS ALAMOS S/N POSTE 587080</v>
      </c>
      <c r="D2394" s="6" t="str">
        <f ca="1">IFERROR(__xludf.DUMMYFUNCTION("""COMPUTED_VALUE"""),"CURACAVI")</f>
        <v>CURACAVI</v>
      </c>
    </row>
    <row r="2395" spans="1:4">
      <c r="A2395" s="7">
        <f ca="1">IFERROR(__xludf.DUMMYFUNCTION("""COMPUTED_VALUE"""),44222)</f>
        <v>44222</v>
      </c>
      <c r="B2395" s="6" t="str">
        <f ca="1">IFERROR(__xludf.DUMMYFUNCTION("""COMPUTED_VALUE"""),"-33.390879-71.123484")</f>
        <v>-33.390879-71.123484</v>
      </c>
      <c r="C2395" s="6" t="str">
        <f ca="1">IFERROR(__xludf.DUMMYFUNCTION("""COMPUTED_VALUE"""),"MANUEL RODRIGUEZ 1142")</f>
        <v>MANUEL RODRIGUEZ 1142</v>
      </c>
      <c r="D2395" s="6" t="str">
        <f ca="1">IFERROR(__xludf.DUMMYFUNCTION("""COMPUTED_VALUE"""),"CURACAVI")</f>
        <v>CURACAVI</v>
      </c>
    </row>
    <row r="2396" spans="1:4">
      <c r="A2396" s="7">
        <f ca="1">IFERROR(__xludf.DUMMYFUNCTION("""COMPUTED_VALUE"""),44222)</f>
        <v>44222</v>
      </c>
      <c r="B2396" s="6" t="str">
        <f ca="1">IFERROR(__xludf.DUMMYFUNCTION("""COMPUTED_VALUE"""),"-33.44962-71.02769")</f>
        <v>-33.44962-71.02769</v>
      </c>
      <c r="C2396" s="6" t="str">
        <f ca="1">IFERROR(__xludf.DUMMYFUNCTION("""COMPUTED_VALUE"""),"UNION CHILENA 23")</f>
        <v>UNION CHILENA 23</v>
      </c>
      <c r="D2396" s="6" t="str">
        <f ca="1">IFERROR(__xludf.DUMMYFUNCTION("""COMPUTED_VALUE"""),"CURACAVI")</f>
        <v>CURACAVI</v>
      </c>
    </row>
    <row r="2397" spans="1:4">
      <c r="A2397" s="7">
        <f ca="1">IFERROR(__xludf.DUMMYFUNCTION("""COMPUTED_VALUE"""),44222)</f>
        <v>44222</v>
      </c>
      <c r="B2397" s="6" t="str">
        <f ca="1">IFERROR(__xludf.DUMMYFUNCTION("""COMPUTED_VALUE"""),"-33.44979-71.02792")</f>
        <v>-33.44979-71.02792</v>
      </c>
      <c r="C2397" s="6" t="str">
        <f ca="1">IFERROR(__xludf.DUMMYFUNCTION("""COMPUTED_VALUE"""),"UNION CHILENA S-23 L E")</f>
        <v>UNION CHILENA S-23 L E</v>
      </c>
      <c r="D2397" s="6" t="str">
        <f ca="1">IFERROR(__xludf.DUMMYFUNCTION("""COMPUTED_VALUE"""),"CURACAVI")</f>
        <v>CURACAVI</v>
      </c>
    </row>
    <row r="2398" spans="1:4">
      <c r="A2398" s="7">
        <f ca="1">IFERROR(__xludf.DUMMYFUNCTION("""COMPUTED_VALUE"""),44222)</f>
        <v>44222</v>
      </c>
      <c r="B2398" s="6" t="str">
        <f ca="1">IFERROR(__xludf.DUMMYFUNCTION("""COMPUTED_VALUE"""),"-33.45444-71.02683")</f>
        <v>-33.45444-71.02683</v>
      </c>
      <c r="C2398" s="6" t="str">
        <f ca="1">IFERROR(__xludf.DUMMYFUNCTION("""COMPUTED_VALUE"""),"UNION CHILENA S-33")</f>
        <v>UNION CHILENA S-33</v>
      </c>
      <c r="D2398" s="6" t="str">
        <f ca="1">IFERROR(__xludf.DUMMYFUNCTION("""COMPUTED_VALUE"""),"CURACAVI")</f>
        <v>CURACAVI</v>
      </c>
    </row>
    <row r="2399" spans="1:4">
      <c r="A2399" s="7">
        <f ca="1">IFERROR(__xludf.DUMMYFUNCTION("""COMPUTED_VALUE"""),44222)</f>
        <v>44222</v>
      </c>
      <c r="B2399" s="6" t="str">
        <f ca="1">IFERROR(__xludf.DUMMYFUNCTION("""COMPUTED_VALUE"""),"-33.571484,-70.980335")</f>
        <v>-33.571484,-70.980335</v>
      </c>
      <c r="C2399" s="6" t="str">
        <f ca="1">IFERROR(__xludf.DUMMYFUNCTION("""COMPUTED_VALUE"""),"EL PIMIENTO L7")</f>
        <v>EL PIMIENTO L7</v>
      </c>
      <c r="D2399" s="6" t="str">
        <f ca="1">IFERROR(__xludf.DUMMYFUNCTION("""COMPUTED_VALUE"""),"MELIPILLA")</f>
        <v>MELIPILLA</v>
      </c>
    </row>
    <row r="2400" spans="1:4">
      <c r="A2400" s="7">
        <f ca="1">IFERROR(__xludf.DUMMYFUNCTION("""COMPUTED_VALUE"""),44222)</f>
        <v>44222</v>
      </c>
      <c r="B2400" s="6" t="str">
        <f ca="1">IFERROR(__xludf.DUMMYFUNCTION("""COMPUTED_VALUE"""),"-33.570010,-71.126541")</f>
        <v>-33.570010,-71.126541</v>
      </c>
      <c r="C2400" s="6" t="str">
        <f ca="1">IFERROR(__xludf.DUMMYFUNCTION("""COMPUTED_VALUE"""),"EL PIMIENTO L 2")</f>
        <v>EL PIMIENTO L 2</v>
      </c>
      <c r="D2400" s="6" t="str">
        <f ca="1">IFERROR(__xludf.DUMMYFUNCTION("""COMPUTED_VALUE"""),"MELIPILLA")</f>
        <v>MELIPILLA</v>
      </c>
    </row>
    <row r="2401" spans="1:4">
      <c r="A2401" s="7">
        <f ca="1">IFERROR(__xludf.DUMMYFUNCTION("""COMPUTED_VALUE"""),44222)</f>
        <v>44222</v>
      </c>
      <c r="B2401" s="6" t="str">
        <f ca="1">IFERROR(__xludf.DUMMYFUNCTION("""COMPUTED_VALUE"""),"-33.686777,-71.007093")</f>
        <v>-33.686777,-71.007093</v>
      </c>
      <c r="C2401" s="6" t="str">
        <f ca="1">IFERROR(__xludf.DUMMYFUNCTION("""COMPUTED_VALUE"""),"CALLE LOS GLADIOLOS 211")</f>
        <v>CALLE LOS GLADIOLOS 211</v>
      </c>
      <c r="D2401" s="6" t="str">
        <f ca="1">IFERROR(__xludf.DUMMYFUNCTION("""COMPUTED_VALUE"""),"EL MONTE")</f>
        <v>EL MONTE</v>
      </c>
    </row>
    <row r="2402" spans="1:4">
      <c r="A2402" s="7">
        <f ca="1">IFERROR(__xludf.DUMMYFUNCTION("""COMPUTED_VALUE"""),44222)</f>
        <v>44222</v>
      </c>
      <c r="B2402" s="6" t="str">
        <f ca="1">IFERROR(__xludf.DUMMYFUNCTION("""COMPUTED_VALUE"""),"-33.689629,-71.031232")</f>
        <v>-33.689629,-71.031232</v>
      </c>
      <c r="C2402" s="6" t="str">
        <f ca="1">IFERROR(__xludf.DUMMYFUNCTION("""COMPUTED_VALUE"""),"ANGEL ORTEGA 1475")</f>
        <v>ANGEL ORTEGA 1475</v>
      </c>
      <c r="D2402" s="6" t="str">
        <f ca="1">IFERROR(__xludf.DUMMYFUNCTION("""COMPUTED_VALUE"""),"EL MONTE")</f>
        <v>EL MONTE</v>
      </c>
    </row>
    <row r="2403" spans="1:4">
      <c r="A2403" s="7">
        <f ca="1">IFERROR(__xludf.DUMMYFUNCTION("""COMPUTED_VALUE"""),44222)</f>
        <v>44222</v>
      </c>
      <c r="B2403" s="6" t="str">
        <f ca="1">IFERROR(__xludf.DUMMYFUNCTION("""COMPUTED_VALUE"""),"-33.684278,-71.096260")</f>
        <v>-33.684278,-71.096260</v>
      </c>
      <c r="C2403" s="6" t="str">
        <f ca="1">IFERROR(__xludf.DUMMYFUNCTION("""COMPUTED_VALUE"""),"CHIÑIHUE, EL CRISTO SETRO 16")</f>
        <v>CHIÑIHUE, EL CRISTO SETRO 16</v>
      </c>
      <c r="D2403" s="6" t="str">
        <f ca="1">IFERROR(__xludf.DUMMYFUNCTION("""COMPUTED_VALUE"""),"EL MONTE")</f>
        <v>EL MONTE</v>
      </c>
    </row>
    <row r="2404" spans="1:4">
      <c r="A2404" s="7">
        <f ca="1">IFERROR(__xludf.DUMMYFUNCTION("""COMPUTED_VALUE"""),44223)</f>
        <v>44223</v>
      </c>
      <c r="B2404" s="6" t="str">
        <f ca="1">IFERROR(__xludf.DUMMYFUNCTION("""COMPUTED_VALUE"""),"-33.407981-71.129710")</f>
        <v>-33.407981-71.129710</v>
      </c>
      <c r="C2404" s="6" t="str">
        <f ca="1">IFERROR(__xludf.DUMMYFUNCTION("""COMPUTED_VALUE"""),"PA CINCO 582")</f>
        <v>PA CINCO 582</v>
      </c>
      <c r="D2404" s="6" t="str">
        <f ca="1">IFERROR(__xludf.DUMMYFUNCTION("""COMPUTED_VALUE"""),"CURACAVI")</f>
        <v>CURACAVI</v>
      </c>
    </row>
    <row r="2405" spans="1:4">
      <c r="A2405" s="7">
        <f ca="1">IFERROR(__xludf.DUMMYFUNCTION("""COMPUTED_VALUE"""),44223)</f>
        <v>44223</v>
      </c>
      <c r="B2405" s="6" t="str">
        <f ca="1">IFERROR(__xludf.DUMMYFUNCTION("""COMPUTED_VALUE"""),"-33.390021-71.118196")</f>
        <v>-33.390021-71.118196</v>
      </c>
      <c r="C2405" s="6" t="str">
        <f ca="1">IFERROR(__xludf.DUMMYFUNCTION("""COMPUTED_VALUE"""),"PORTADA DE CURACAVI PARC 24")</f>
        <v>PORTADA DE CURACAVI PARC 24</v>
      </c>
      <c r="D2405" s="6" t="str">
        <f ca="1">IFERROR(__xludf.DUMMYFUNCTION("""COMPUTED_VALUE"""),"CURACAVI")</f>
        <v>CURACAVI</v>
      </c>
    </row>
    <row r="2406" spans="1:4">
      <c r="A2406" s="7">
        <f ca="1">IFERROR(__xludf.DUMMYFUNCTION("""COMPUTED_VALUE"""),44223)</f>
        <v>44223</v>
      </c>
      <c r="B2406" s="6" t="str">
        <f ca="1">IFERROR(__xludf.DUMMYFUNCTION("""COMPUTED_VALUE"""),"-33.460333-71.028793")</f>
        <v>-33.460333-71.028793</v>
      </c>
      <c r="C2406" s="6" t="str">
        <f ca="1">IFERROR(__xludf.DUMMYFUNCTION("""COMPUTED_VALUE"""),"BATALLA DE SAN JUAN C/7")</f>
        <v>BATALLA DE SAN JUAN C/7</v>
      </c>
      <c r="D2406" s="6" t="str">
        <f ca="1">IFERROR(__xludf.DUMMYFUNCTION("""COMPUTED_VALUE"""),"CURACAVI")</f>
        <v>CURACAVI</v>
      </c>
    </row>
    <row r="2407" spans="1:4">
      <c r="A2407" s="7">
        <f ca="1">IFERROR(__xludf.DUMMYFUNCTION("""COMPUTED_VALUE"""),44223)</f>
        <v>44223</v>
      </c>
      <c r="B2407" s="6" t="str">
        <f ca="1">IFERROR(__xludf.DUMMYFUNCTION("""COMPUTED_VALUE"""),"-33.399496-71.121839")</f>
        <v>-33.399496-71.121839</v>
      </c>
      <c r="C2407" s="6" t="str">
        <f ca="1">IFERROR(__xludf.DUMMYFUNCTION("""COMPUTED_VALUE"""),"CABO PRIMERO CARDENIO HERNANDEZ 246")</f>
        <v>CABO PRIMERO CARDENIO HERNANDEZ 246</v>
      </c>
      <c r="D2407" s="6" t="str">
        <f ca="1">IFERROR(__xludf.DUMMYFUNCTION("""COMPUTED_VALUE"""),"CURACAVI")</f>
        <v>CURACAVI</v>
      </c>
    </row>
    <row r="2408" spans="1:4">
      <c r="A2408" s="7">
        <f ca="1">IFERROR(__xludf.DUMMYFUNCTION("""COMPUTED_VALUE"""),44223)</f>
        <v>44223</v>
      </c>
      <c r="B2408" s="6" t="str">
        <f ca="1">IFERROR(__xludf.DUMMYFUNCTION("""COMPUTED_VALUE"""),"-33.60066-70.89059")</f>
        <v>-33.60066-70.89059</v>
      </c>
      <c r="C2408" s="6" t="str">
        <f ca="1">IFERROR(__xludf.DUMMYFUNCTION("""COMPUTED_VALUE"""),"CAUPOLICAN 3880")</f>
        <v>CAUPOLICAN 3880</v>
      </c>
      <c r="D2408" s="6" t="str">
        <f ca="1">IFERROR(__xludf.DUMMYFUNCTION("""COMPUTED_VALUE"""),"PEÑAFLOR")</f>
        <v>PEÑAFLOR</v>
      </c>
    </row>
    <row r="2409" spans="1:4">
      <c r="A2409" s="7">
        <f ca="1">IFERROR(__xludf.DUMMYFUNCTION("""COMPUTED_VALUE"""),44223)</f>
        <v>44223</v>
      </c>
      <c r="B2409" s="6" t="str">
        <f ca="1">IFERROR(__xludf.DUMMYFUNCTION("""COMPUTED_VALUE"""),"-33.673556,-71.174907")</f>
        <v>-33.673556,-71.174907</v>
      </c>
      <c r="C2409" s="6" t="str">
        <f ca="1">IFERROR(__xludf.DUMMYFUNCTION("""COMPUTED_VALUE"""),"PASAJE VIENA 153")</f>
        <v>PASAJE VIENA 153</v>
      </c>
      <c r="D2409" s="6" t="str">
        <f ca="1">IFERROR(__xludf.DUMMYFUNCTION("""COMPUTED_VALUE"""),"MELIPILLA")</f>
        <v>MELIPILLA</v>
      </c>
    </row>
    <row r="2410" spans="1:4">
      <c r="A2410" s="7">
        <f ca="1">IFERROR(__xludf.DUMMYFUNCTION("""COMPUTED_VALUE"""),44223)</f>
        <v>44223</v>
      </c>
      <c r="B2410" s="6" t="str">
        <f ca="1">IFERROR(__xludf.DUMMYFUNCTION("""COMPUTED_VALUE"""),"-33.627638,-71.259456")</f>
        <v>-33.627638,-71.259456</v>
      </c>
      <c r="C2410" s="6" t="str">
        <f ca="1">IFERROR(__xludf.DUMMYFUNCTION("""COMPUTED_VALUE"""),"VILLA ALEGRE LOTE 1")</f>
        <v>VILLA ALEGRE LOTE 1</v>
      </c>
      <c r="D2410" s="6" t="str">
        <f ca="1">IFERROR(__xludf.DUMMYFUNCTION("""COMPUTED_VALUE"""),"MELIPILLA")</f>
        <v>MELIPILLA</v>
      </c>
    </row>
    <row r="2411" spans="1:4">
      <c r="A2411" s="7">
        <f ca="1">IFERROR(__xludf.DUMMYFUNCTION("""COMPUTED_VALUE"""),44223)</f>
        <v>44223</v>
      </c>
      <c r="B2411" s="6" t="str">
        <f ca="1">IFERROR(__xludf.DUMMYFUNCTION("""COMPUTED_VALUE"""),"-33.674362,-71.172615")</f>
        <v>-33.674362,-71.172615</v>
      </c>
      <c r="C2411" s="6" t="str">
        <f ca="1">IFERROR(__xludf.DUMMYFUNCTION("""COMPUTED_VALUE"""),"REPUBLICA CHECA 121 ")</f>
        <v xml:space="preserve">REPUBLICA CHECA 121 </v>
      </c>
      <c r="D2411" s="6" t="str">
        <f ca="1">IFERROR(__xludf.DUMMYFUNCTION("""COMPUTED_VALUE"""),"MELIPILLA")</f>
        <v>MELIPILLA</v>
      </c>
    </row>
    <row r="2412" spans="1:4">
      <c r="A2412" s="7">
        <f ca="1">IFERROR(__xludf.DUMMYFUNCTION("""COMPUTED_VALUE"""),44223)</f>
        <v>44223</v>
      </c>
      <c r="B2412" s="6" t="str">
        <f ca="1">IFERROR(__xludf.DUMMYFUNCTION("""COMPUTED_VALUE"""),"-33.567372,-71.174521")</f>
        <v>-33.567372,-71.174521</v>
      </c>
      <c r="C2412" s="6" t="str">
        <f ca="1">IFERROR(__xludf.DUMMYFUNCTION("""COMPUTED_VALUE"""),"SAN RAMON S/N C/V 18")</f>
        <v>SAN RAMON S/N C/V 18</v>
      </c>
      <c r="D2412" s="6" t="str">
        <f ca="1">IFERROR(__xludf.DUMMYFUNCTION("""COMPUTED_VALUE"""),"MELIPILLA")</f>
        <v>MELIPILLA</v>
      </c>
    </row>
    <row r="2413" spans="1:4">
      <c r="A2413" s="7">
        <f ca="1">IFERROR(__xludf.DUMMYFUNCTION("""COMPUTED_VALUE"""),44223)</f>
        <v>44223</v>
      </c>
      <c r="B2413" s="6" t="str">
        <f ca="1">IFERROR(__xludf.DUMMYFUNCTION("""COMPUTED_VALUE"""),"-33.674447,-71.172555")</f>
        <v>-33.674447,-71.172555</v>
      </c>
      <c r="C2413" s="6" t="str">
        <f ca="1">IFERROR(__xludf.DUMMYFUNCTION("""COMPUTED_VALUE"""),"CALLE REPUBLICA CHECA 123")</f>
        <v>CALLE REPUBLICA CHECA 123</v>
      </c>
      <c r="D2413" s="6" t="str">
        <f ca="1">IFERROR(__xludf.DUMMYFUNCTION("""COMPUTED_VALUE"""),"MELIPILLA")</f>
        <v>MELIPILLA</v>
      </c>
    </row>
    <row r="2414" spans="1:4">
      <c r="A2414" s="7">
        <f ca="1">IFERROR(__xludf.DUMMYFUNCTION("""COMPUTED_VALUE"""),44224)</f>
        <v>44224</v>
      </c>
      <c r="B2414" s="6" t="str">
        <f ca="1">IFERROR(__xludf.DUMMYFUNCTION("""COMPUTED_VALUE"""),"-33.390952-71.118300")</f>
        <v>-33.390952-71.118300</v>
      </c>
      <c r="C2414" s="6" t="str">
        <f ca="1">IFERROR(__xludf.DUMMYFUNCTION("""COMPUTED_VALUE"""),"CUYUNCAVI 22 SECTOR ORIENTE")</f>
        <v>CUYUNCAVI 22 SECTOR ORIENTE</v>
      </c>
      <c r="D2414" s="6" t="str">
        <f ca="1">IFERROR(__xludf.DUMMYFUNCTION("""COMPUTED_VALUE"""),"CURACAVI")</f>
        <v>CURACAVI</v>
      </c>
    </row>
    <row r="2415" spans="1:4">
      <c r="A2415" s="7">
        <f ca="1">IFERROR(__xludf.DUMMYFUNCTION("""COMPUTED_VALUE"""),44224)</f>
        <v>44224</v>
      </c>
      <c r="B2415" s="6" t="str">
        <f ca="1">IFERROR(__xludf.DUMMYFUNCTION("""COMPUTED_VALUE"""),"-'33.397863-71.122636")</f>
        <v>-'33.397863-71.122636</v>
      </c>
      <c r="C2415" s="6" t="str">
        <f ca="1">IFERROR(__xludf.DUMMYFUNCTION("""COMPUTED_VALUE"""),"EL TAMARUGO392")</f>
        <v>EL TAMARUGO392</v>
      </c>
      <c r="D2415" s="6" t="str">
        <f ca="1">IFERROR(__xludf.DUMMYFUNCTION("""COMPUTED_VALUE"""),"CURACAVI")</f>
        <v>CURACAVI</v>
      </c>
    </row>
    <row r="2416" spans="1:4">
      <c r="A2416" s="7">
        <f ca="1">IFERROR(__xludf.DUMMYFUNCTION("""COMPUTED_VALUE"""),44224)</f>
        <v>44224</v>
      </c>
      <c r="B2416" s="6" t="str">
        <f ca="1">IFERROR(__xludf.DUMMYFUNCTION("""COMPUTED_VALUE"""),"-33.42042-71.13581")</f>
        <v>-33.42042-71.13581</v>
      </c>
      <c r="C2416" s="6" t="str">
        <f ca="1">IFERROR(__xludf.DUMMYFUNCTION("""COMPUTED_VALUE"""),"LO AGUILA LOTE 16")</f>
        <v>LO AGUILA LOTE 16</v>
      </c>
      <c r="D2416" s="6" t="str">
        <f ca="1">IFERROR(__xludf.DUMMYFUNCTION("""COMPUTED_VALUE"""),"CURACAVI")</f>
        <v>CURACAVI</v>
      </c>
    </row>
    <row r="2417" spans="1:4">
      <c r="A2417" s="7">
        <f ca="1">IFERROR(__xludf.DUMMYFUNCTION("""COMPUTED_VALUE"""),44224)</f>
        <v>44224</v>
      </c>
      <c r="B2417" s="6" t="str">
        <f ca="1">IFERROR(__xludf.DUMMYFUNCTION("""COMPUTED_VALUE"""),"-33.42042-71.13581")</f>
        <v>-33.42042-71.13581</v>
      </c>
      <c r="C2417" s="6" t="str">
        <f ca="1">IFERROR(__xludf.DUMMYFUNCTION("""COMPUTED_VALUE"""),"LO AGUILA LOTE 16")</f>
        <v>LO AGUILA LOTE 16</v>
      </c>
      <c r="D2417" s="6" t="str">
        <f ca="1">IFERROR(__xludf.DUMMYFUNCTION("""COMPUTED_VALUE"""),"CURACAVI")</f>
        <v>CURACAVI</v>
      </c>
    </row>
    <row r="2418" spans="1:4">
      <c r="A2418" s="7">
        <f ca="1">IFERROR(__xludf.DUMMYFUNCTION("""COMPUTED_VALUE"""),44224)</f>
        <v>44224</v>
      </c>
      <c r="B2418" s="6" t="str">
        <f ca="1">IFERROR(__xludf.DUMMYFUNCTION("""COMPUTED_VALUE"""),"-33.40335-71.13339")</f>
        <v>-33.40335-71.13339</v>
      </c>
      <c r="C2418" s="6" t="str">
        <f ca="1">IFERROR(__xludf.DUMMYFUNCTION("""COMPUTED_VALUE"""),"JUAN PASTENE 55")</f>
        <v>JUAN PASTENE 55</v>
      </c>
      <c r="D2418" s="6" t="str">
        <f ca="1">IFERROR(__xludf.DUMMYFUNCTION("""COMPUTED_VALUE"""),"CURACAVI")</f>
        <v>CURACAVI</v>
      </c>
    </row>
    <row r="2419" spans="1:4">
      <c r="A2419" s="7">
        <f ca="1">IFERROR(__xludf.DUMMYFUNCTION("""COMPUTED_VALUE"""),44224)</f>
        <v>44224</v>
      </c>
      <c r="B2419" s="6" t="str">
        <f ca="1">IFERROR(__xludf.DUMMYFUNCTION("""COMPUTED_VALUE"""),"-33.399523-71.121571")</f>
        <v>-33.399523-71.121571</v>
      </c>
      <c r="C2419" s="6" t="str">
        <f ca="1">IFERROR(__xludf.DUMMYFUNCTION("""COMPUTED_VALUE"""),"CABO PRIMERO CARDENIO HERNANDEZ 245")</f>
        <v>CABO PRIMERO CARDENIO HERNANDEZ 245</v>
      </c>
      <c r="D2419" s="6" t="str">
        <f ca="1">IFERROR(__xludf.DUMMYFUNCTION("""COMPUTED_VALUE"""),"CURACAVI")</f>
        <v>CURACAVI</v>
      </c>
    </row>
    <row r="2420" spans="1:4">
      <c r="A2420" s="7">
        <f ca="1">IFERROR(__xludf.DUMMYFUNCTION("""COMPUTED_VALUE"""),44224)</f>
        <v>44224</v>
      </c>
      <c r="B2420" s="6" t="str">
        <f ca="1">IFERROR(__xludf.DUMMYFUNCTION("""COMPUTED_VALUE"""),"-33.399290-71.121271")</f>
        <v>-33.399290-71.121271</v>
      </c>
      <c r="C2420" s="6" t="str">
        <f ca="1">IFERROR(__xludf.DUMMYFUNCTION("""COMPUTED_VALUE"""),"CABO PRIMERO CARDENIO HERNANDEZ 276")</f>
        <v>CABO PRIMERO CARDENIO HERNANDEZ 276</v>
      </c>
      <c r="D2420" s="6" t="str">
        <f ca="1">IFERROR(__xludf.DUMMYFUNCTION("""COMPUTED_VALUE"""),"CURACAVI")</f>
        <v>CURACAVI</v>
      </c>
    </row>
    <row r="2421" spans="1:4">
      <c r="A2421" s="7">
        <f ca="1">IFERROR(__xludf.DUMMYFUNCTION("""COMPUTED_VALUE"""),44224)</f>
        <v>44224</v>
      </c>
      <c r="B2421" s="6" t="str">
        <f ca="1">IFERROR(__xludf.DUMMYFUNCTION("""COMPUTED_VALUE"""),"-33.767681,-71.288169")</f>
        <v>-33.767681,-71.288169</v>
      </c>
      <c r="C2421" s="6" t="str">
        <f ca="1">IFERROR(__xludf.DUMMYFUNCTION("""COMPUTED_VALUE"""),"RINCONADA SAN MANUEL S/N")</f>
        <v>RINCONADA SAN MANUEL S/N</v>
      </c>
      <c r="D2421" s="6" t="str">
        <f ca="1">IFERROR(__xludf.DUMMYFUNCTION("""COMPUTED_VALUE"""),"MELIPILLA")</f>
        <v>MELIPILLA</v>
      </c>
    </row>
    <row r="2422" spans="1:4">
      <c r="A2422" s="7">
        <f ca="1">IFERROR(__xludf.DUMMYFUNCTION("""COMPUTED_VALUE"""),44224)</f>
        <v>44224</v>
      </c>
      <c r="B2422" s="6" t="str">
        <f ca="1">IFERROR(__xludf.DUMMYFUNCTION("""COMPUTED_VALUE"""),"-33.584209,-70.986725")</f>
        <v>-33.584209,-70.986725</v>
      </c>
      <c r="C2422" s="6" t="str">
        <f ca="1">IFERROR(__xludf.DUMMYFUNCTION("""COMPUTED_VALUE"""),"SANTA ELISA DE MALLARAUCO")</f>
        <v>SANTA ELISA DE MALLARAUCO</v>
      </c>
      <c r="D2422" s="6" t="str">
        <f ca="1">IFERROR(__xludf.DUMMYFUNCTION("""COMPUTED_VALUE"""),"MELIPILLA")</f>
        <v>MELIPILLA</v>
      </c>
    </row>
    <row r="2423" spans="1:4">
      <c r="A2423" s="7">
        <f ca="1">IFERROR(__xludf.DUMMYFUNCTION("""COMPUTED_VALUE"""),44224)</f>
        <v>44224</v>
      </c>
      <c r="B2423" s="6" t="str">
        <f ca="1">IFERROR(__xludf.DUMMYFUNCTION("""COMPUTED_VALUE"""),"-33.673752,-71.175715")</f>
        <v>-33.673752,-71.175715</v>
      </c>
      <c r="C2423" s="6" t="str">
        <f ca="1">IFERROR(__xludf.DUMMYFUNCTION("""COMPUTED_VALUE"""),"AUSTRIA 2061")</f>
        <v>AUSTRIA 2061</v>
      </c>
      <c r="D2423" s="6" t="str">
        <f ca="1">IFERROR(__xludf.DUMMYFUNCTION("""COMPUTED_VALUE"""),"MELIPILLA")</f>
        <v>MELIPILLA</v>
      </c>
    </row>
    <row r="2424" spans="1:4">
      <c r="A2424" s="7">
        <f ca="1">IFERROR(__xludf.DUMMYFUNCTION("""COMPUTED_VALUE"""),44224)</f>
        <v>44224</v>
      </c>
      <c r="B2424" s="6" t="str">
        <f ca="1">IFERROR(__xludf.DUMMYFUNCTION("""COMPUTED_VALUE"""),"-33.763296,-71.297108")</f>
        <v>-33.763296,-71.297108</v>
      </c>
      <c r="C2424" s="6" t="str">
        <f ca="1">IFERROR(__xludf.DUMMYFUNCTION("""COMPUTED_VALUE"""),"RUTA G  558-K4,7 LAS PRADERAS")</f>
        <v>RUTA G  558-K4,7 LAS PRADERAS</v>
      </c>
      <c r="D2424" s="6" t="str">
        <f ca="1">IFERROR(__xludf.DUMMYFUNCTION("""COMPUTED_VALUE"""),"MELIPILLA")</f>
        <v>MELIPILLA</v>
      </c>
    </row>
    <row r="2425" spans="1:4">
      <c r="A2425" s="7">
        <f ca="1">IFERROR(__xludf.DUMMYFUNCTION("""COMPUTED_VALUE"""),44224)</f>
        <v>44224</v>
      </c>
      <c r="B2425" s="6" t="str">
        <f ca="1">IFERROR(__xludf.DUMMYFUNCTION("""COMPUTED_VALUE"""),"-33.573565,-70.983049")</f>
        <v>-33.573565,-70.983049</v>
      </c>
      <c r="C2425" s="6" t="str">
        <f ca="1">IFERROR(__xludf.DUMMYFUNCTION("""COMPUTED_VALUE"""),"EL PIMINETO MALLARAUCO")</f>
        <v>EL PIMINETO MALLARAUCO</v>
      </c>
      <c r="D2425" s="6" t="str">
        <f ca="1">IFERROR(__xludf.DUMMYFUNCTION("""COMPUTED_VALUE"""),"MELIPILLA")</f>
        <v>MELIPILLA</v>
      </c>
    </row>
    <row r="2426" spans="1:4">
      <c r="A2426" s="7">
        <f ca="1">IFERROR(__xludf.DUMMYFUNCTION("""COMPUTED_VALUE"""),44224)</f>
        <v>44224</v>
      </c>
      <c r="B2426" s="6" t="str">
        <f ca="1">IFERROR(__xludf.DUMMYFUNCTION("""COMPUTED_VALUE"""),"-33.763260,-71.296042")</f>
        <v>-33.763260,-71.296042</v>
      </c>
      <c r="C2426" s="6" t="str">
        <f ca="1">IFERROR(__xludf.DUMMYFUNCTION("""COMPUTED_VALUE"""),"CO PUBLICO 10 B SAN MANUEL")</f>
        <v>CO PUBLICO 10 B SAN MANUEL</v>
      </c>
      <c r="D2426" s="6" t="str">
        <f ca="1">IFERROR(__xludf.DUMMYFUNCTION("""COMPUTED_VALUE"""),"MELIPILLA")</f>
        <v>MELIPILLA</v>
      </c>
    </row>
    <row r="2427" spans="1:4">
      <c r="A2427" s="7">
        <f ca="1">IFERROR(__xludf.DUMMYFUNCTION("""COMPUTED_VALUE"""),44224)</f>
        <v>44224</v>
      </c>
      <c r="B2427" s="6" t="str">
        <f ca="1">IFERROR(__xludf.DUMMYFUNCTION("""COMPUTED_VALUE"""),"-33.573357,-70.980960")</f>
        <v>-33.573357,-70.980960</v>
      </c>
      <c r="C2427" s="6" t="str">
        <f ca="1">IFERROR(__xludf.DUMMYFUNCTION("""COMPUTED_VALUE"""),"EL PIMIENTO CV 39")</f>
        <v>EL PIMIENTO CV 39</v>
      </c>
      <c r="D2427" s="6" t="str">
        <f ca="1">IFERROR(__xludf.DUMMYFUNCTION("""COMPUTED_VALUE"""),"MELIPILLA")</f>
        <v>MELIPILLA</v>
      </c>
    </row>
    <row r="2428" spans="1:4">
      <c r="A2428" s="7">
        <f ca="1">IFERROR(__xludf.DUMMYFUNCTION("""COMPUTED_VALUE"""),44224)</f>
        <v>44224</v>
      </c>
      <c r="B2428" s="6" t="str">
        <f ca="1">IFERROR(__xludf.DUMMYFUNCTION("""COMPUTED_VALUE"""),"-33.573822,-70.980894")</f>
        <v>-33.573822,-70.980894</v>
      </c>
      <c r="C2428" s="6" t="str">
        <f ca="1">IFERROR(__xludf.DUMMYFUNCTION("""COMPUTED_VALUE"""),"EL PIMIENTO CV 37 (CASA 45)")</f>
        <v>EL PIMIENTO CV 37 (CASA 45)</v>
      </c>
      <c r="D2428" s="6" t="str">
        <f ca="1">IFERROR(__xludf.DUMMYFUNCTION("""COMPUTED_VALUE"""),"MELIPILLA")</f>
        <v>MELIPILLA</v>
      </c>
    </row>
    <row r="2429" spans="1:4">
      <c r="A2429" s="7">
        <f ca="1">IFERROR(__xludf.DUMMYFUNCTION("""COMPUTED_VALUE"""),44224)</f>
        <v>44224</v>
      </c>
      <c r="B2429" s="6" t="str">
        <f ca="1">IFERROR(__xludf.DUMMYFUNCTION("""COMPUTED_VALUE"""),"-33.674706,-71.173813")</f>
        <v>-33.674706,-71.173813</v>
      </c>
      <c r="C2429" s="6" t="str">
        <f ca="1">IFERROR(__xludf.DUMMYFUNCTION("""COMPUTED_VALUE"""),"POLONIA 2094")</f>
        <v>POLONIA 2094</v>
      </c>
      <c r="D2429" s="6" t="str">
        <f ca="1">IFERROR(__xludf.DUMMYFUNCTION("""COMPUTED_VALUE"""),"MELIPILLA")</f>
        <v>MELIPILLA</v>
      </c>
    </row>
    <row r="2430" spans="1:4">
      <c r="A2430" s="7">
        <f ca="1">IFERROR(__xludf.DUMMYFUNCTION("""COMPUTED_VALUE"""),44225)</f>
        <v>44225</v>
      </c>
      <c r="B2430" s="8" t="str">
        <f ca="1">IFERROR(__xludf.DUMMYFUNCTION("""COMPUTED_VALUE"""),"-33.682629,-71137149")</f>
        <v>-33.682629,-71137149</v>
      </c>
      <c r="C2430" s="6" t="str">
        <f ca="1">IFERROR(__xludf.DUMMYFUNCTION("""COMPUTED_VALUE"""),"SECTOR SOINCA 7")</f>
        <v>SECTOR SOINCA 7</v>
      </c>
      <c r="D2430" s="6" t="str">
        <f ca="1">IFERROR(__xludf.DUMMYFUNCTION("""COMPUTED_VALUE"""),"MELIPILLA")</f>
        <v>MELIPILLA</v>
      </c>
    </row>
    <row r="2431" spans="1:4">
      <c r="A2431" s="7">
        <f ca="1">IFERROR(__xludf.DUMMYFUNCTION("""COMPUTED_VALUE"""),44225)</f>
        <v>44225</v>
      </c>
      <c r="B2431" s="6" t="str">
        <f ca="1">IFERROR(__xludf.DUMMYFUNCTION("""COMPUTED_VALUE"""),"-33.414702-71.155620")</f>
        <v>-33.414702-71.155620</v>
      </c>
      <c r="C2431" s="6" t="str">
        <f ca="1">IFERROR(__xludf.DUMMYFUNCTION("""COMPUTED_VALUE"""),"JOSE RAMON ARMAZAN 234")</f>
        <v>JOSE RAMON ARMAZAN 234</v>
      </c>
      <c r="D2431" s="6" t="str">
        <f ca="1">IFERROR(__xludf.DUMMYFUNCTION("""COMPUTED_VALUE"""),"CURACAVI")</f>
        <v>CURACAVI</v>
      </c>
    </row>
    <row r="2432" spans="1:4">
      <c r="A2432" s="7">
        <f ca="1">IFERROR(__xludf.DUMMYFUNCTION("""COMPUTED_VALUE"""),44225)</f>
        <v>44225</v>
      </c>
      <c r="B2432" s="6" t="str">
        <f ca="1">IFERROR(__xludf.DUMMYFUNCTION("""COMPUTED_VALUE"""),"-33.3984572-71.1223337")</f>
        <v>-33.3984572-71.1223337</v>
      </c>
      <c r="C2432" s="6" t="str">
        <f ca="1">IFERROR(__xludf.DUMMYFUNCTION("""COMPUTED_VALUE"""),"EL TAMARUGO 328")</f>
        <v>EL TAMARUGO 328</v>
      </c>
      <c r="D2432" s="6" t="str">
        <f ca="1">IFERROR(__xludf.DUMMYFUNCTION("""COMPUTED_VALUE"""),"CURACAVI")</f>
        <v>CURACAVI</v>
      </c>
    </row>
    <row r="2433" spans="1:4">
      <c r="A2433" s="7">
        <f ca="1">IFERROR(__xludf.DUMMYFUNCTION("""COMPUTED_VALUE"""),44225)</f>
        <v>44225</v>
      </c>
      <c r="B2433" s="6" t="str">
        <f ca="1">IFERROR(__xludf.DUMMYFUNCTION("""COMPUTED_VALUE"""),"-33.394760-71.127155")</f>
        <v>-33.394760-71.127155</v>
      </c>
      <c r="C2433" s="6" t="str">
        <f ca="1">IFERROR(__xludf.DUMMYFUNCTION("""COMPUTED_VALUE"""),"TRES NORTE 2025")</f>
        <v>TRES NORTE 2025</v>
      </c>
      <c r="D2433" s="6" t="str">
        <f ca="1">IFERROR(__xludf.DUMMYFUNCTION("""COMPUTED_VALUE"""),"CURACAVI")</f>
        <v>CURACAVI</v>
      </c>
    </row>
    <row r="2434" spans="1:4">
      <c r="A2434" s="7">
        <f ca="1">IFERROR(__xludf.DUMMYFUNCTION("""COMPUTED_VALUE"""),44225)</f>
        <v>44225</v>
      </c>
      <c r="B2434" s="6" t="str">
        <f ca="1">IFERROR(__xludf.DUMMYFUNCTION("""COMPUTED_VALUE"""),"-33.459665-71.028994")</f>
        <v>-33.459665-71.028994</v>
      </c>
      <c r="C2434" s="6" t="str">
        <f ca="1">IFERROR(__xludf.DUMMYFUNCTION("""COMPUTED_VALUE"""),"RUTA 68 G CERRILLOS")</f>
        <v>RUTA 68 G CERRILLOS</v>
      </c>
      <c r="D2434" s="6" t="str">
        <f ca="1">IFERROR(__xludf.DUMMYFUNCTION("""COMPUTED_VALUE"""),"CURACAVI")</f>
        <v>CURACAVI</v>
      </c>
    </row>
    <row r="2435" spans="1:4">
      <c r="A2435" s="7">
        <f ca="1">IFERROR(__xludf.DUMMYFUNCTION("""COMPUTED_VALUE"""),44225)</f>
        <v>44225</v>
      </c>
      <c r="B2435" s="6" t="str">
        <f ca="1">IFERROR(__xludf.DUMMYFUNCTION("""COMPUTED_VALUE"""),"-33.584187,-70.986938")</f>
        <v>-33.584187,-70.986938</v>
      </c>
      <c r="C2435" s="6" t="str">
        <f ca="1">IFERROR(__xludf.DUMMYFUNCTION("""COMPUTED_VALUE"""),"SANTA ELISA S/N CV 11 ")</f>
        <v xml:space="preserve">SANTA ELISA S/N CV 11 </v>
      </c>
      <c r="D2435" s="6" t="str">
        <f ca="1">IFERROR(__xludf.DUMMYFUNCTION("""COMPUTED_VALUE"""),"MELIPILLA")</f>
        <v>MELIPILLA</v>
      </c>
    </row>
    <row r="2436" spans="1:4">
      <c r="A2436" s="7">
        <f ca="1">IFERROR(__xludf.DUMMYFUNCTION("""COMPUTED_VALUE"""),44225)</f>
        <v>44225</v>
      </c>
      <c r="B2436" s="6" t="str">
        <f ca="1">IFERROR(__xludf.DUMMYFUNCTION("""COMPUTED_VALUE"""),"-33.584844,-71.055120")</f>
        <v>-33.584844,-71.055120</v>
      </c>
      <c r="C2436" s="6" t="str">
        <f ca="1">IFERROR(__xludf.DUMMYFUNCTION("""COMPUTED_VALUE"""),"SANTA VICTORIA  S -35")</f>
        <v>SANTA VICTORIA  S -35</v>
      </c>
      <c r="D2436" s="6" t="str">
        <f ca="1">IFERROR(__xludf.DUMMYFUNCTION("""COMPUTED_VALUE"""),"MELIPILLA")</f>
        <v>MELIPILLA</v>
      </c>
    </row>
    <row r="2437" spans="1:4">
      <c r="A2437" s="7">
        <f ca="1">IFERROR(__xludf.DUMMYFUNCTION("""COMPUTED_VALUE"""),44225)</f>
        <v>44225</v>
      </c>
      <c r="B2437" s="6" t="str">
        <f ca="1">IFERROR(__xludf.DUMMYFUNCTION("""COMPUTED_VALUE"""),"-33.569770,-71.203350")</f>
        <v>-33.569770,-71.203350</v>
      </c>
      <c r="C2437" s="6" t="str">
        <f ca="1">IFERROR(__xludf.DUMMYFUNCTION("""COMPUTED_VALUE"""),"SAN PABLO 34 BOLLENAR")</f>
        <v>SAN PABLO 34 BOLLENAR</v>
      </c>
      <c r="D2437" s="6" t="str">
        <f ca="1">IFERROR(__xludf.DUMMYFUNCTION("""COMPUTED_VALUE"""),"MELIPILLA")</f>
        <v>MELIPILLA</v>
      </c>
    </row>
    <row r="2438" spans="1:4">
      <c r="A2438" s="7">
        <f ca="1">IFERROR(__xludf.DUMMYFUNCTION("""COMPUTED_VALUE"""),44225)</f>
        <v>44225</v>
      </c>
      <c r="B2438" s="6" t="str">
        <f ca="1">IFERROR(__xludf.DUMMYFUNCTION("""COMPUTED_VALUE"""),"-33.749482,-71.196258")</f>
        <v>-33.749482,-71.196258</v>
      </c>
      <c r="C2438" s="6" t="str">
        <f ca="1">IFERROR(__xludf.DUMMYFUNCTION("""COMPUTED_VALUE"""),"LARRAIN S/N CV22 PABELLON EL PRADO ")</f>
        <v xml:space="preserve">LARRAIN S/N CV22 PABELLON EL PRADO </v>
      </c>
      <c r="D2438" s="6" t="str">
        <f ca="1">IFERROR(__xludf.DUMMYFUNCTION("""COMPUTED_VALUE"""),"MELIPILLA")</f>
        <v>MELIPILLA</v>
      </c>
    </row>
    <row r="2439" spans="1:4">
      <c r="A2439" s="7">
        <f ca="1">IFERROR(__xludf.DUMMYFUNCTION("""COMPUTED_VALUE"""),44225)</f>
        <v>44225</v>
      </c>
      <c r="B2439" s="6" t="str">
        <f ca="1">IFERROR(__xludf.DUMMYFUNCTION("""COMPUTED_VALUE"""),"-33.574376,-70.981540")</f>
        <v>-33.574376,-70.981540</v>
      </c>
      <c r="C2439" s="6" t="str">
        <f ca="1">IFERROR(__xludf.DUMMYFUNCTION("""COMPUTED_VALUE"""),"EL PIMIENTO S/T 38")</f>
        <v>EL PIMIENTO S/T 38</v>
      </c>
      <c r="D2439" s="6" t="str">
        <f ca="1">IFERROR(__xludf.DUMMYFUNCTION("""COMPUTED_VALUE"""),"MELIPILLA")</f>
        <v>MELIPILLA</v>
      </c>
    </row>
    <row r="2440" spans="1:4">
      <c r="A2440" s="7">
        <f ca="1">IFERROR(__xludf.DUMMYFUNCTION("""COMPUTED_VALUE"""),44228)</f>
        <v>44228</v>
      </c>
      <c r="B2440" s="8" t="str">
        <f ca="1">IFERROR(__xludf.DUMMYFUNCTION("""COMPUTED_VALUE"""),"-33.683055,-71.187079")</f>
        <v>-33.683055,-71.187079</v>
      </c>
      <c r="C2440" s="6" t="str">
        <f ca="1">IFERROR(__xludf.DUMMYFUNCTION("""COMPUTED_VALUE"""),"SECTOR SOINCA 7")</f>
        <v>SECTOR SOINCA 7</v>
      </c>
      <c r="D2440" s="6" t="str">
        <f ca="1">IFERROR(__xludf.DUMMYFUNCTION("""COMPUTED_VALUE"""),"MELIPILLA")</f>
        <v>MELIPILLA</v>
      </c>
    </row>
    <row r="2441" spans="1:4">
      <c r="A2441" s="7">
        <f ca="1">IFERROR(__xludf.DUMMYFUNCTION("""COMPUTED_VALUE"""),44228)</f>
        <v>44228</v>
      </c>
      <c r="B2441" s="6" t="str">
        <f ca="1">IFERROR(__xludf.DUMMYFUNCTION("""COMPUTED_VALUE"""),"-33.613856-70.902146")</f>
        <v>-33.613856-70.902146</v>
      </c>
      <c r="C2441" s="6" t="str">
        <f ca="1">IFERROR(__xludf.DUMMYFUNCTION("""COMPUTED_VALUE"""),"PASAJE EL CINEASTA 668")</f>
        <v>PASAJE EL CINEASTA 668</v>
      </c>
      <c r="D2441" s="6" t="str">
        <f ca="1">IFERROR(__xludf.DUMMYFUNCTION("""COMPUTED_VALUE"""),"PEÑAFLOR")</f>
        <v>PEÑAFLOR</v>
      </c>
    </row>
    <row r="2442" spans="1:4">
      <c r="A2442" s="7">
        <f ca="1">IFERROR(__xludf.DUMMYFUNCTION("""COMPUTED_VALUE"""),44228)</f>
        <v>44228</v>
      </c>
      <c r="B2442" s="6" t="str">
        <f ca="1">IFERROR(__xludf.DUMMYFUNCTION("""COMPUTED_VALUE"""),"-33.762675,-71.299331")</f>
        <v>-33.762675,-71.299331</v>
      </c>
      <c r="C2442" s="6" t="str">
        <f ca="1">IFERROR(__xludf.DUMMYFUNCTION("""COMPUTED_VALUE"""),"SAN RAFAEL CASA 13")</f>
        <v>SAN RAFAEL CASA 13</v>
      </c>
      <c r="D2442" s="6" t="str">
        <f ca="1">IFERROR(__xludf.DUMMYFUNCTION("""COMPUTED_VALUE"""),"MELIPILLA")</f>
        <v>MELIPILLA</v>
      </c>
    </row>
    <row r="2443" spans="1:4">
      <c r="A2443" s="7">
        <f ca="1">IFERROR(__xludf.DUMMYFUNCTION("""COMPUTED_VALUE"""),44228)</f>
        <v>44228</v>
      </c>
      <c r="B2443" s="6" t="str">
        <f ca="1">IFERROR(__xludf.DUMMYFUNCTION("""COMPUTED_VALUE"""),"-33.763537,-71.295101")</f>
        <v>-33.763537,-71.295101</v>
      </c>
      <c r="C2443" s="6" t="str">
        <f ca="1">IFERROR(__xludf.DUMMYFUNCTION("""COMPUTED_VALUE"""),"SAN RAFAEL CASA 13")</f>
        <v>SAN RAFAEL CASA 13</v>
      </c>
      <c r="D2443" s="6" t="str">
        <f ca="1">IFERROR(__xludf.DUMMYFUNCTION("""COMPUTED_VALUE"""),"MELIPILLA")</f>
        <v>MELIPILLA</v>
      </c>
    </row>
    <row r="2444" spans="1:4">
      <c r="A2444" s="7">
        <f ca="1">IFERROR(__xludf.DUMMYFUNCTION("""COMPUTED_VALUE"""),44228)</f>
        <v>44228</v>
      </c>
      <c r="B2444" s="6" t="str">
        <f ca="1">IFERROR(__xludf.DUMMYFUNCTION("""COMPUTED_VALUE"""),"-33.750926,-71.197010")</f>
        <v>-33.750926,-71.197010</v>
      </c>
      <c r="C2444" s="6" t="str">
        <f ca="1">IFERROR(__xludf.DUMMYFUNCTION("""COMPUTED_VALUE"""),"CAMINO CHORQUI S/N PABELLON")</f>
        <v>CAMINO CHORQUI S/N PABELLON</v>
      </c>
      <c r="D2444" s="6" t="str">
        <f ca="1">IFERROR(__xludf.DUMMYFUNCTION("""COMPUTED_VALUE"""),"MELIPILLA")</f>
        <v>MELIPILLA</v>
      </c>
    </row>
    <row r="2445" spans="1:4">
      <c r="A2445" s="7">
        <f ca="1">IFERROR(__xludf.DUMMYFUNCTION("""COMPUTED_VALUE"""),44228)</f>
        <v>44228</v>
      </c>
      <c r="B2445" s="6" t="str">
        <f ca="1">IFERROR(__xludf.DUMMYFUNCTION("""COMPUTED_VALUE"""),"-33.573239,-70.980781")</f>
        <v>-33.573239,-70.980781</v>
      </c>
      <c r="C2445" s="6" t="str">
        <f ca="1">IFERROR(__xludf.DUMMYFUNCTION("""COMPUTED_VALUE"""),"EL PIMIENTO S/N")</f>
        <v>EL PIMIENTO S/N</v>
      </c>
      <c r="D2445" s="6" t="str">
        <f ca="1">IFERROR(__xludf.DUMMYFUNCTION("""COMPUTED_VALUE"""),"MELIPILLA")</f>
        <v>MELIPILLA</v>
      </c>
    </row>
    <row r="2446" spans="1:4">
      <c r="A2446" s="7">
        <f ca="1">IFERROR(__xludf.DUMMYFUNCTION("""COMPUTED_VALUE"""),44228)</f>
        <v>44228</v>
      </c>
      <c r="B2446" s="6" t="str">
        <f ca="1">IFERROR(__xludf.DUMMYFUNCTION("""COMPUTED_VALUE"""),"-33.573624,-70.981406")</f>
        <v>-33.573624,-70.981406</v>
      </c>
      <c r="C2446" s="6" t="str">
        <f ca="1">IFERROR(__xludf.DUMMYFUNCTION("""COMPUTED_VALUE"""),"PIMIENTO ST 38")</f>
        <v>PIMIENTO ST 38</v>
      </c>
      <c r="D2446" s="6" t="str">
        <f ca="1">IFERROR(__xludf.DUMMYFUNCTION("""COMPUTED_VALUE"""),"MELIPILLA")</f>
        <v>MELIPILLA</v>
      </c>
    </row>
    <row r="2447" spans="1:4">
      <c r="A2447" s="7">
        <f ca="1">IFERROR(__xludf.DUMMYFUNCTION("""COMPUTED_VALUE"""),44228)</f>
        <v>44228</v>
      </c>
      <c r="B2447" s="6" t="str">
        <f ca="1">IFERROR(__xludf.DUMMYFUNCTION("""COMPUTED_VALUE"""),"-33.739430,-71.290601")</f>
        <v>-33.739430,-71.290601</v>
      </c>
      <c r="C2447" s="6" t="str">
        <f ca="1">IFERROR(__xludf.DUMMYFUNCTION("""COMPUTED_VALUE"""),"LARRAIN S/N PABELLON")</f>
        <v>LARRAIN S/N PABELLON</v>
      </c>
      <c r="D2447" s="6" t="str">
        <f ca="1">IFERROR(__xludf.DUMMYFUNCTION("""COMPUTED_VALUE"""),"MELIPILLA")</f>
        <v>MELIPILLA</v>
      </c>
    </row>
    <row r="2448" spans="1:4">
      <c r="A2448" s="7">
        <f ca="1">IFERROR(__xludf.DUMMYFUNCTION("""COMPUTED_VALUE"""),44229)</f>
        <v>44229</v>
      </c>
      <c r="B2448" s="8" t="str">
        <f ca="1">IFERROR(__xludf.DUMMYFUNCTION("""COMPUTED_VALUE"""),"-33.683055,-71.187074")</f>
        <v>-33.683055,-71.187074</v>
      </c>
      <c r="C2448" s="6" t="str">
        <f ca="1">IFERROR(__xludf.DUMMYFUNCTION("""COMPUTED_VALUE"""),"SOINCA 2")</f>
        <v>SOINCA 2</v>
      </c>
      <c r="D2448" s="6" t="str">
        <f ca="1">IFERROR(__xludf.DUMMYFUNCTION("""COMPUTED_VALUE"""),"MELIPILLA")</f>
        <v>MELIPILLA</v>
      </c>
    </row>
    <row r="2449" spans="1:4">
      <c r="A2449" s="7">
        <f ca="1">IFERROR(__xludf.DUMMYFUNCTION("""COMPUTED_VALUE"""),44229)</f>
        <v>44229</v>
      </c>
      <c r="B2449" s="8" t="str">
        <f ca="1">IFERROR(__xludf.DUMMYFUNCTION("""COMPUTED_VALUE"""),"-33.683055,-71.187074")</f>
        <v>-33.683055,-71.187074</v>
      </c>
      <c r="C2449" s="6" t="str">
        <f ca="1">IFERROR(__xludf.DUMMYFUNCTION("""COMPUTED_VALUE"""),"SOINCA  7")</f>
        <v>SOINCA  7</v>
      </c>
      <c r="D2449" s="6" t="str">
        <f ca="1">IFERROR(__xludf.DUMMYFUNCTION("""COMPUTED_VALUE"""),"MELIPILLA")</f>
        <v>MELIPILLA</v>
      </c>
    </row>
    <row r="2450" spans="1:4">
      <c r="A2450" s="7">
        <f ca="1">IFERROR(__xludf.DUMMYFUNCTION("""COMPUTED_VALUE"""),44229)</f>
        <v>44229</v>
      </c>
      <c r="B2450" s="8" t="str">
        <f ca="1">IFERROR(__xludf.DUMMYFUNCTION("""COMPUTED_VALUE"""),"-33.730725- 70.684250 ")</f>
        <v xml:space="preserve">-33.730725- 70.684250 </v>
      </c>
      <c r="C2450" s="6" t="str">
        <f ca="1">IFERROR(__xludf.DUMMYFUNCTION("""COMPUTED_VALUE"""),"MIRAFLORES 0112 ")</f>
        <v xml:space="preserve">MIRAFLORES 0112 </v>
      </c>
      <c r="D2450" s="6" t="str">
        <f ca="1">IFERROR(__xludf.DUMMYFUNCTION("""COMPUTED_VALUE"""),"BUIN")</f>
        <v>BUIN</v>
      </c>
    </row>
    <row r="2451" spans="1:4">
      <c r="A2451" s="7">
        <f ca="1">IFERROR(__xludf.DUMMYFUNCTION("""COMPUTED_VALUE"""),44229)</f>
        <v>44229</v>
      </c>
      <c r="B2451" s="8" t="str">
        <f ca="1">IFERROR(__xludf.DUMMYFUNCTION("""COMPUTED_VALUE"""),"-33.730613,-710683403")</f>
        <v>-33.730613,-710683403</v>
      </c>
      <c r="C2451" s="6" t="str">
        <f ca="1">IFERROR(__xludf.DUMMYFUNCTION("""COMPUTED_VALUE"""),"PAULA JARAQUEMADA 63")</f>
        <v>PAULA JARAQUEMADA 63</v>
      </c>
      <c r="D2451" s="6" t="str">
        <f ca="1">IFERROR(__xludf.DUMMYFUNCTION("""COMPUTED_VALUE"""),"BUIN")</f>
        <v>BUIN</v>
      </c>
    </row>
    <row r="2452" spans="1:4">
      <c r="A2452" s="7">
        <f ca="1">IFERROR(__xludf.DUMMYFUNCTION("""COMPUTED_VALUE"""),44229)</f>
        <v>44229</v>
      </c>
      <c r="B2452" s="8" t="str">
        <f ca="1">IFERROR(__xludf.DUMMYFUNCTION("""COMPUTED_VALUE"""),"-33.663139,-70.914283")</f>
        <v>-33.663139,-70.914283</v>
      </c>
      <c r="C2452" s="6" t="str">
        <f ca="1">IFERROR(__xludf.DUMMYFUNCTION("""COMPUTED_VALUE"""),"JOSE BRONCOLI 1351")</f>
        <v>JOSE BRONCOLI 1351</v>
      </c>
      <c r="D2452" s="6" t="str">
        <f ca="1">IFERROR(__xludf.DUMMYFUNCTION("""COMPUTED_VALUE"""),"TALAGANTE")</f>
        <v>TALAGANTE</v>
      </c>
    </row>
    <row r="2453" spans="1:4">
      <c r="A2453" s="7">
        <f ca="1">IFERROR(__xludf.DUMMYFUNCTION("""COMPUTED_VALUE"""),44229)</f>
        <v>44229</v>
      </c>
      <c r="B2453" s="6" t="str">
        <f ca="1">IFERROR(__xludf.DUMMYFUNCTION("""COMPUTED_VALUE"""),"-33.416293-71.157462")</f>
        <v>-33.416293-71.157462</v>
      </c>
      <c r="C2453" s="6" t="str">
        <f ca="1">IFERROR(__xludf.DUMMYFUNCTION("""COMPUTED_VALUE"""),"REGIDOR ONOFRE JARA 387")</f>
        <v>REGIDOR ONOFRE JARA 387</v>
      </c>
      <c r="D2453" s="6" t="str">
        <f ca="1">IFERROR(__xludf.DUMMYFUNCTION("""COMPUTED_VALUE"""),"CURACAVI")</f>
        <v>CURACAVI</v>
      </c>
    </row>
    <row r="2454" spans="1:4">
      <c r="A2454" s="7">
        <f ca="1">IFERROR(__xludf.DUMMYFUNCTION("""COMPUTED_VALUE"""),44229)</f>
        <v>44229</v>
      </c>
      <c r="B2454" s="6" t="str">
        <f ca="1">IFERROR(__xludf.DUMMYFUNCTION("""COMPUTED_VALUE"""),"-33.460902-71.027103")</f>
        <v>-33.460902-71.027103</v>
      </c>
      <c r="C2454" s="6" t="str">
        <f ca="1">IFERROR(__xludf.DUMMYFUNCTION("""COMPUTED_VALUE"""),"BATALLA DE SAN  JUAN LOTE 1 SITIO 5")</f>
        <v>BATALLA DE SAN  JUAN LOTE 1 SITIO 5</v>
      </c>
      <c r="D2454" s="6" t="str">
        <f ca="1">IFERROR(__xludf.DUMMYFUNCTION("""COMPUTED_VALUE"""),"CURACAVI")</f>
        <v>CURACAVI</v>
      </c>
    </row>
    <row r="2455" spans="1:4">
      <c r="A2455" s="7">
        <f ca="1">IFERROR(__xludf.DUMMYFUNCTION("""COMPUTED_VALUE"""),44229)</f>
        <v>44229</v>
      </c>
      <c r="B2455" s="6" t="str">
        <f ca="1">IFERROR(__xludf.DUMMYFUNCTION("""COMPUTED_VALUE"""),"-33.407517-71.140170")</f>
        <v>-33.407517-71.140170</v>
      </c>
      <c r="C2455" s="6" t="str">
        <f ca="1">IFERROR(__xludf.DUMMYFUNCTION("""COMPUTED_VALUE"""),"SIN CALLE S-5 PABLO OHIGGINS")</f>
        <v>SIN CALLE S-5 PABLO OHIGGINS</v>
      </c>
      <c r="D2455" s="6" t="str">
        <f ca="1">IFERROR(__xludf.DUMMYFUNCTION("""COMPUTED_VALUE"""),"CURACAVI")</f>
        <v>CURACAVI</v>
      </c>
    </row>
    <row r="2456" spans="1:4">
      <c r="A2456" s="7">
        <f ca="1">IFERROR(__xludf.DUMMYFUNCTION("""COMPUTED_VALUE"""),44229)</f>
        <v>44229</v>
      </c>
      <c r="B2456" s="6" t="str">
        <f ca="1">IFERROR(__xludf.DUMMYFUNCTION("""COMPUTED_VALUE"""),"-33.573872,-70981042")</f>
        <v>-33.573872,-70981042</v>
      </c>
      <c r="C2456" s="6" t="str">
        <f ca="1">IFERROR(__xludf.DUMMYFUNCTION("""COMPUTED_VALUE"""),"EL PIMIENTO ST 92")</f>
        <v>EL PIMIENTO ST 92</v>
      </c>
      <c r="D2456" s="6" t="str">
        <f ca="1">IFERROR(__xludf.DUMMYFUNCTION("""COMPUTED_VALUE"""),"MELIPILLA")</f>
        <v>MELIPILLA</v>
      </c>
    </row>
    <row r="2457" spans="1:4">
      <c r="A2457" s="7">
        <f ca="1">IFERROR(__xludf.DUMMYFUNCTION("""COMPUTED_VALUE"""),44229)</f>
        <v>44229</v>
      </c>
      <c r="B2457" s="6" t="str">
        <f ca="1">IFERROR(__xludf.DUMMYFUNCTION("""COMPUTED_VALUE"""),"-33.578120,-70.998811")</f>
        <v>-33.578120,-70.998811</v>
      </c>
      <c r="C2457" s="6" t="str">
        <f ca="1">IFERROR(__xludf.DUMMYFUNCTION("""COMPUTED_VALUE"""),"CALLE PRINCIPAL EL PIMIENTO")</f>
        <v>CALLE PRINCIPAL EL PIMIENTO</v>
      </c>
      <c r="D2457" s="6" t="str">
        <f ca="1">IFERROR(__xludf.DUMMYFUNCTION("""COMPUTED_VALUE"""),"MELIPILLA")</f>
        <v>MELIPILLA</v>
      </c>
    </row>
    <row r="2458" spans="1:4">
      <c r="A2458" s="7">
        <f ca="1">IFERROR(__xludf.DUMMYFUNCTION("""COMPUTED_VALUE"""),44229)</f>
        <v>44229</v>
      </c>
      <c r="B2458" s="6" t="str">
        <f ca="1">IFERROR(__xludf.DUMMYFUNCTION("""COMPUTED_VALUE"""),"-33.574990,-70.995412")</f>
        <v>-33.574990,-70.995412</v>
      </c>
      <c r="C2458" s="6" t="str">
        <f ca="1">IFERROR(__xludf.DUMMYFUNCTION("""COMPUTED_VALUE"""),"SANTA ELISA P13")</f>
        <v>SANTA ELISA P13</v>
      </c>
      <c r="D2458" s="6" t="str">
        <f ca="1">IFERROR(__xludf.DUMMYFUNCTION("""COMPUTED_VALUE"""),"MELIPILLA")</f>
        <v>MELIPILLA</v>
      </c>
    </row>
    <row r="2459" spans="1:4">
      <c r="A2459" s="7">
        <f ca="1">IFERROR(__xludf.DUMMYFUNCTION("""COMPUTED_VALUE"""),44229)</f>
        <v>44229</v>
      </c>
      <c r="B2459" s="6" t="str">
        <f ca="1">IFERROR(__xludf.DUMMYFUNCTION("""COMPUTED_VALUE"""),"-33.574460,-70.981899")</f>
        <v>-33.574460,-70.981899</v>
      </c>
      <c r="C2459" s="6" t="str">
        <f ca="1">IFERROR(__xludf.DUMMYFUNCTION("""COMPUTED_VALUE"""),"JUAN ANTONIO COLOMA  EL PIMIENTO P 63")</f>
        <v>JUAN ANTONIO COLOMA  EL PIMIENTO P 63</v>
      </c>
      <c r="D2459" s="6" t="str">
        <f ca="1">IFERROR(__xludf.DUMMYFUNCTION("""COMPUTED_VALUE"""),"MELIPILLA")</f>
        <v>MELIPILLA</v>
      </c>
    </row>
    <row r="2460" spans="1:4">
      <c r="A2460" s="7">
        <f ca="1">IFERROR(__xludf.DUMMYFUNCTION("""COMPUTED_VALUE"""),44229)</f>
        <v>44229</v>
      </c>
      <c r="B2460" s="6" t="str">
        <f ca="1">IFERROR(__xludf.DUMMYFUNCTION("""COMPUTED_VALUE"""),"-33.573484,-70.979682")</f>
        <v>-33.573484,-70.979682</v>
      </c>
      <c r="C2460" s="6" t="str">
        <f ca="1">IFERROR(__xludf.DUMMYFUNCTION("""COMPUTED_VALUE"""),"EL PIMIENTO ST 30")</f>
        <v>EL PIMIENTO ST 30</v>
      </c>
      <c r="D2460" s="6" t="str">
        <f ca="1">IFERROR(__xludf.DUMMYFUNCTION("""COMPUTED_VALUE"""),"MELIPILLA")</f>
        <v>MELIPILLA</v>
      </c>
    </row>
    <row r="2461" spans="1:4">
      <c r="A2461" s="7">
        <f ca="1">IFERROR(__xludf.DUMMYFUNCTION("""COMPUTED_VALUE"""),44229)</f>
        <v>44229</v>
      </c>
      <c r="B2461" s="6" t="str">
        <f ca="1">IFERROR(__xludf.DUMMYFUNCTION("""COMPUTED_VALUE"""),"-33.573593,-70.9800240")</f>
        <v>-33.573593,-70.9800240</v>
      </c>
      <c r="C2461" s="6" t="str">
        <f ca="1">IFERROR(__xludf.DUMMYFUNCTION("""COMPUTED_VALUE"""),"EL PIMIENTO CV 41")</f>
        <v>EL PIMIENTO CV 41</v>
      </c>
      <c r="D2461" s="6" t="str">
        <f ca="1">IFERROR(__xludf.DUMMYFUNCTION("""COMPUTED_VALUE"""),"MELIPILLA")</f>
        <v>MELIPILLA</v>
      </c>
    </row>
    <row r="2462" spans="1:4">
      <c r="A2462" s="7">
        <f ca="1">IFERROR(__xludf.DUMMYFUNCTION("""COMPUTED_VALUE"""),44229)</f>
        <v>44229</v>
      </c>
      <c r="B2462" s="6" t="str">
        <f ca="1">IFERROR(__xludf.DUMMYFUNCTION("""COMPUTED_VALUE"""),"-33.585178,-70.987017")</f>
        <v>-33.585178,-70.987017</v>
      </c>
      <c r="C2462" s="6" t="str">
        <f ca="1">IFERROR(__xludf.DUMMYFUNCTION("""COMPUTED_VALUE"""),"SANTA ELISA MALLARAUCO")</f>
        <v>SANTA ELISA MALLARAUCO</v>
      </c>
      <c r="D2462" s="6" t="str">
        <f ca="1">IFERROR(__xludf.DUMMYFUNCTION("""COMPUTED_VALUE"""),"MELIPILLA")</f>
        <v>MELIPILLA</v>
      </c>
    </row>
    <row r="2463" spans="1:4">
      <c r="A2463" s="7">
        <f ca="1">IFERROR(__xludf.DUMMYFUNCTION("""COMPUTED_VALUE"""),44230)</f>
        <v>44230</v>
      </c>
      <c r="B2463" s="8" t="str">
        <f ca="1">IFERROR(__xludf.DUMMYFUNCTION("""COMPUTED_VALUE"""),"-33.863895,-71.220409")</f>
        <v>-33.863895,-71.220409</v>
      </c>
      <c r="C2463" s="6" t="str">
        <f ca="1">IFERROR(__xludf.DUMMYFUNCTION("""COMPUTED_VALUE"""),"SECTOR TANTEHUE 4 ")</f>
        <v xml:space="preserve">SECTOR TANTEHUE 4 </v>
      </c>
      <c r="D2463" s="6" t="str">
        <f ca="1">IFERROR(__xludf.DUMMYFUNCTION("""COMPUTED_VALUE"""),"MELIPILLA")</f>
        <v>MELIPILLA</v>
      </c>
    </row>
    <row r="2464" spans="1:4">
      <c r="A2464" s="7">
        <f ca="1">IFERROR(__xludf.DUMMYFUNCTION("""COMPUTED_VALUE"""),44230)</f>
        <v>44230</v>
      </c>
      <c r="B2464" s="8" t="str">
        <f ca="1">IFERROR(__xludf.DUMMYFUNCTION("""COMPUTED_VALUE"""),"-33.774295,-71.268966")</f>
        <v>-33.774295,-71.268966</v>
      </c>
      <c r="C2464" s="6" t="str">
        <f ca="1">IFERROR(__xludf.DUMMYFUNCTION("""COMPUTED_VALUE"""),"EUROPA ORIENTE PARCELA 15")</f>
        <v>EUROPA ORIENTE PARCELA 15</v>
      </c>
      <c r="D2464" s="6" t="str">
        <f ca="1">IFERROR(__xludf.DUMMYFUNCTION("""COMPUTED_VALUE"""),"MELIPILLA")</f>
        <v>MELIPILLA</v>
      </c>
    </row>
    <row r="2465" spans="1:4">
      <c r="A2465" s="7">
        <f ca="1">IFERROR(__xludf.DUMMYFUNCTION("""COMPUTED_VALUE"""),44230)</f>
        <v>44230</v>
      </c>
      <c r="B2465" s="8" t="str">
        <f ca="1">IFERROR(__xludf.DUMMYFUNCTION("""COMPUTED_VALUE"""),"-33.774295,-71.268966")</f>
        <v>-33.774295,-71.268966</v>
      </c>
      <c r="C2465" s="6" t="str">
        <f ca="1">IFERROR(__xludf.DUMMYFUNCTION("""COMPUTED_VALUE"""),"EUROPA ORIENTE PARCELA 15")</f>
        <v>EUROPA ORIENTE PARCELA 15</v>
      </c>
      <c r="D2465" s="6" t="str">
        <f ca="1">IFERROR(__xludf.DUMMYFUNCTION("""COMPUTED_VALUE"""),"MELIPILLA")</f>
        <v>MELIPILLA</v>
      </c>
    </row>
    <row r="2466" spans="1:4">
      <c r="A2466" s="7">
        <f ca="1">IFERROR(__xludf.DUMMYFUNCTION("""COMPUTED_VALUE"""),44230)</f>
        <v>44230</v>
      </c>
      <c r="B2466" s="8" t="str">
        <f ca="1">IFERROR(__xludf.DUMMYFUNCTION("""COMPUTED_VALUE"""),"-33.716277,-70.791261")</f>
        <v>-33.716277,-70.791261</v>
      </c>
      <c r="C2466" s="6" t="str">
        <f ca="1">IFERROR(__xludf.DUMMYFUNCTION("""COMPUTED_VALUE"""),"LA MARCHAN 01260 ")</f>
        <v xml:space="preserve">LA MARCHAN 01260 </v>
      </c>
      <c r="D2466" s="6" t="str">
        <f ca="1">IFERROR(__xludf.DUMMYFUNCTION("""COMPUTED_VALUE"""),"BUIN")</f>
        <v>BUIN</v>
      </c>
    </row>
    <row r="2467" spans="1:4">
      <c r="A2467" s="7">
        <f ca="1">IFERROR(__xludf.DUMMYFUNCTION("""COMPUTED_VALUE"""),44230)</f>
        <v>44230</v>
      </c>
      <c r="B2467" s="6" t="str">
        <f ca="1">IFERROR(__xludf.DUMMYFUNCTION("""COMPUTED_VALUE"""),"-33.573225,-70.979944")</f>
        <v>-33.573225,-70.979944</v>
      </c>
      <c r="C2467" s="6" t="str">
        <f ca="1">IFERROR(__xludf.DUMMYFUNCTION("""COMPUTED_VALUE"""),"EL PIMIENTO ST 26 ")</f>
        <v xml:space="preserve">EL PIMIENTO ST 26 </v>
      </c>
      <c r="D2467" s="6" t="str">
        <f ca="1">IFERROR(__xludf.DUMMYFUNCTION("""COMPUTED_VALUE"""),"MELIPILLA")</f>
        <v>MELIPILLA</v>
      </c>
    </row>
    <row r="2468" spans="1:4">
      <c r="A2468" s="7">
        <f ca="1">IFERROR(__xludf.DUMMYFUNCTION("""COMPUTED_VALUE"""),44230)</f>
        <v>44230</v>
      </c>
      <c r="B2468" s="6" t="str">
        <f ca="1">IFERROR(__xludf.DUMMYFUNCTION("""COMPUTED_VALUE"""),"-33.745195,-71.292618")</f>
        <v>-33.745195,-71.292618</v>
      </c>
      <c r="C2468" s="6" t="str">
        <f ca="1">IFERROR(__xludf.DUMMYFUNCTION("""COMPUTED_VALUE"""),"BULNES S/N SAN PEDRO ")</f>
        <v xml:space="preserve">BULNES S/N SAN PEDRO </v>
      </c>
      <c r="D2468" s="6" t="str">
        <f ca="1">IFERROR(__xludf.DUMMYFUNCTION("""COMPUTED_VALUE"""),"MELIPILLA")</f>
        <v>MELIPILLA</v>
      </c>
    </row>
    <row r="2469" spans="1:4">
      <c r="A2469" s="7">
        <f ca="1">IFERROR(__xludf.DUMMYFUNCTION("""COMPUTED_VALUE"""),44230)</f>
        <v>44230</v>
      </c>
      <c r="B2469" s="6" t="str">
        <f ca="1">IFERROR(__xludf.DUMMYFUNCTION("""COMPUTED_VALUE"""),"-33.573756,-70.975823")</f>
        <v>-33.573756,-70.975823</v>
      </c>
      <c r="C2469" s="6" t="str">
        <f ca="1">IFERROR(__xludf.DUMMYFUNCTION("""COMPUTED_VALUE"""),"EL PIMIENTO MALLARAUCO")</f>
        <v>EL PIMIENTO MALLARAUCO</v>
      </c>
      <c r="D2469" s="6" t="str">
        <f ca="1">IFERROR(__xludf.DUMMYFUNCTION("""COMPUTED_VALUE"""),"MELIPILLA")</f>
        <v>MELIPILLA</v>
      </c>
    </row>
    <row r="2470" spans="1:4">
      <c r="A2470" s="7">
        <f ca="1">IFERROR(__xludf.DUMMYFUNCTION("""COMPUTED_VALUE"""),44230)</f>
        <v>44230</v>
      </c>
      <c r="B2470" s="6" t="str">
        <f ca="1">IFERROR(__xludf.DUMMYFUNCTION("""COMPUTED_VALUE"""),"-33.579785,-71.008617")</f>
        <v>-33.579785,-71.008617</v>
      </c>
      <c r="C2470" s="6" t="str">
        <f ca="1">IFERROR(__xludf.DUMMYFUNCTION("""COMPUTED_VALUE"""),"EL PIMIENTO MALLARAUCO")</f>
        <v>EL PIMIENTO MALLARAUCO</v>
      </c>
      <c r="D2470" s="6" t="str">
        <f ca="1">IFERROR(__xludf.DUMMYFUNCTION("""COMPUTED_VALUE"""),"MELIPILLA")</f>
        <v>MELIPILLA</v>
      </c>
    </row>
    <row r="2471" spans="1:4">
      <c r="A2471" s="7">
        <f ca="1">IFERROR(__xludf.DUMMYFUNCTION("""COMPUTED_VALUE"""),44230)</f>
        <v>44230</v>
      </c>
      <c r="B2471" s="6" t="str">
        <f ca="1">IFERROR(__xludf.DUMMYFUNCTION("""COMPUTED_VALUE"""),"-33.579855,-70.985604")</f>
        <v>-33.579855,-70.985604</v>
      </c>
      <c r="C2471" s="6" t="str">
        <f ca="1">IFERROR(__xludf.DUMMYFUNCTION("""COMPUTED_VALUE"""),"EL PIMIENTO MALLARAUCO")</f>
        <v>EL PIMIENTO MALLARAUCO</v>
      </c>
      <c r="D2471" s="6" t="str">
        <f ca="1">IFERROR(__xludf.DUMMYFUNCTION("""COMPUTED_VALUE"""),"MELIPILLA")</f>
        <v>MELIPILLA</v>
      </c>
    </row>
    <row r="2472" spans="1:4">
      <c r="A2472" s="7">
        <f ca="1">IFERROR(__xludf.DUMMYFUNCTION("""COMPUTED_VALUE"""),44231)</f>
        <v>44231</v>
      </c>
      <c r="B2472" s="8" t="str">
        <f ca="1">IFERROR(__xludf.DUMMYFUNCTION("""COMPUTED_VALUE"""),"-33.664022,-71.306600")</f>
        <v>-33.664022,-71.306600</v>
      </c>
      <c r="C2472" s="6" t="str">
        <f ca="1">IFERROR(__xludf.DUMMYFUNCTION("""COMPUTED_VALUE"""),"PUANGUE S/N ")</f>
        <v xml:space="preserve">PUANGUE S/N </v>
      </c>
      <c r="D2472" s="6" t="str">
        <f ca="1">IFERROR(__xludf.DUMMYFUNCTION("""COMPUTED_VALUE"""),"MELIPILLA")</f>
        <v>MELIPILLA</v>
      </c>
    </row>
    <row r="2473" spans="1:4">
      <c r="A2473" s="7">
        <f ca="1">IFERROR(__xludf.DUMMYFUNCTION("""COMPUTED_VALUE"""),44231)</f>
        <v>44231</v>
      </c>
      <c r="B2473" s="6" t="str">
        <f ca="1">IFERROR(__xludf.DUMMYFUNCTION("""COMPUTED_VALUE"""),"-33.684142,-71.007622")</f>
        <v>-33.684142,-71.007622</v>
      </c>
      <c r="C2473" s="6" t="str">
        <f ca="1">IFERROR(__xludf.DUMMYFUNCTION("""COMPUTED_VALUE"""),"LAS VIOLETAS 31")</f>
        <v>LAS VIOLETAS 31</v>
      </c>
      <c r="D2473" s="6" t="str">
        <f ca="1">IFERROR(__xludf.DUMMYFUNCTION("""COMPUTED_VALUE"""),"EL MONTE")</f>
        <v>EL MONTE</v>
      </c>
    </row>
    <row r="2474" spans="1:4">
      <c r="A2474" s="7">
        <f ca="1">IFERROR(__xludf.DUMMYFUNCTION("""COMPUTED_VALUE"""),44231)</f>
        <v>44231</v>
      </c>
      <c r="B2474" s="6" t="str">
        <f ca="1">IFERROR(__xludf.DUMMYFUNCTION("""COMPUTED_VALUE"""),"-33.684244,-71.007624")</f>
        <v>-33.684244,-71.007624</v>
      </c>
      <c r="C2474" s="6" t="str">
        <f ca="1">IFERROR(__xludf.DUMMYFUNCTION("""COMPUTED_VALUE"""),"YUNGAY 1475 LO CHACON ")</f>
        <v xml:space="preserve">YUNGAY 1475 LO CHACON </v>
      </c>
      <c r="D2474" s="6" t="str">
        <f ca="1">IFERROR(__xludf.DUMMYFUNCTION("""COMPUTED_VALUE"""),"EL MONTE")</f>
        <v>EL MONTE</v>
      </c>
    </row>
    <row r="2475" spans="1:4">
      <c r="A2475" s="7">
        <f ca="1">IFERROR(__xludf.DUMMYFUNCTION("""COMPUTED_VALUE"""),44231)</f>
        <v>44231</v>
      </c>
      <c r="B2475" s="6" t="str">
        <f ca="1">IFERROR(__xludf.DUMMYFUNCTION("""COMPUTED_VALUE"""),"-33.573377,-70.975686")</f>
        <v>-33.573377,-70.975686</v>
      </c>
      <c r="C2475" s="6" t="str">
        <f ca="1">IFERROR(__xludf.DUMMYFUNCTION("""COMPUTED_VALUE"""),"EL PIMIENTO 1 ")</f>
        <v xml:space="preserve">EL PIMIENTO 1 </v>
      </c>
      <c r="D2475" s="6" t="str">
        <f ca="1">IFERROR(__xludf.DUMMYFUNCTION("""COMPUTED_VALUE"""),"MELIPILLA")</f>
        <v>MELIPILLA</v>
      </c>
    </row>
    <row r="2476" spans="1:4">
      <c r="A2476" s="7">
        <f ca="1">IFERROR(__xludf.DUMMYFUNCTION("""COMPUTED_VALUE"""),44231)</f>
        <v>44231</v>
      </c>
      <c r="B2476" s="6" t="str">
        <f ca="1">IFERROR(__xludf.DUMMYFUNCTION("""COMPUTED_VALUE"""),"-33.742119,-71.188804")</f>
        <v>-33.742119,-71.188804</v>
      </c>
      <c r="C2476" s="6" t="str">
        <f ca="1">IFERROR(__xludf.DUMMYFUNCTION("""COMPUTED_VALUE"""),"LECAROS  LT 2C PABELLON")</f>
        <v>LECAROS  LT 2C PABELLON</v>
      </c>
      <c r="D2476" s="6" t="str">
        <f ca="1">IFERROR(__xludf.DUMMYFUNCTION("""COMPUTED_VALUE"""),"MELIPILLA")</f>
        <v>MELIPILLA</v>
      </c>
    </row>
    <row r="2477" spans="1:4">
      <c r="A2477" s="7">
        <f ca="1">IFERROR(__xludf.DUMMYFUNCTION("""COMPUTED_VALUE"""),44231)</f>
        <v>44231</v>
      </c>
      <c r="B2477" s="6" t="str">
        <f ca="1">IFERROR(__xludf.DUMMYFUNCTION("""COMPUTED_VALUE"""),"-33.573056,-70.975283")</f>
        <v>-33.573056,-70.975283</v>
      </c>
      <c r="C2477" s="6" t="str">
        <f ca="1">IFERROR(__xludf.DUMMYFUNCTION("""COMPUTED_VALUE"""),"EL TRANQUE S/N")</f>
        <v>EL TRANQUE S/N</v>
      </c>
      <c r="D2477" s="6" t="str">
        <f ca="1">IFERROR(__xludf.DUMMYFUNCTION("""COMPUTED_VALUE"""),"MELIPILLA")</f>
        <v>MELIPILLA</v>
      </c>
    </row>
    <row r="2478" spans="1:4">
      <c r="A2478" s="7">
        <f ca="1">IFERROR(__xludf.DUMMYFUNCTION("""COMPUTED_VALUE"""),44231)</f>
        <v>44231</v>
      </c>
      <c r="B2478" s="6" t="str">
        <f ca="1">IFERROR(__xludf.DUMMYFUNCTION("""COMPUTED_VALUE"""),"-33.579779,-70.985175")</f>
        <v>-33.579779,-70.985175</v>
      </c>
      <c r="C2478" s="6" t="str">
        <f ca="1">IFERROR(__xludf.DUMMYFUNCTION("""COMPUTED_VALUE"""),"SANTA ELISA PT 60245")</f>
        <v>SANTA ELISA PT 60245</v>
      </c>
      <c r="D2478" s="6" t="str">
        <f ca="1">IFERROR(__xludf.DUMMYFUNCTION("""COMPUTED_VALUE"""),"MELIPILLA")</f>
        <v>MELIPILLA</v>
      </c>
    </row>
    <row r="2479" spans="1:4">
      <c r="A2479" s="7">
        <f ca="1">IFERROR(__xludf.DUMMYFUNCTION("""COMPUTED_VALUE"""),44231)</f>
        <v>44231</v>
      </c>
      <c r="B2479" s="6" t="str">
        <f ca="1">IFERROR(__xludf.DUMMYFUNCTION("""COMPUTED_VALUE"""),"-33.582917,-71.055204")</f>
        <v>-33.582917,-71.055204</v>
      </c>
      <c r="C2479" s="6" t="str">
        <f ca="1">IFERROR(__xludf.DUMMYFUNCTION("""COMPUTED_VALUE"""),"SANTA CLARA 8")</f>
        <v>SANTA CLARA 8</v>
      </c>
      <c r="D2479" s="6" t="str">
        <f ca="1">IFERROR(__xludf.DUMMYFUNCTION("""COMPUTED_VALUE"""),"MELIPILLA")</f>
        <v>MELIPILLA</v>
      </c>
    </row>
    <row r="2480" spans="1:4">
      <c r="A2480" s="7">
        <f ca="1">IFERROR(__xludf.DUMMYFUNCTION("""COMPUTED_VALUE"""),44232)</f>
        <v>44232</v>
      </c>
      <c r="B2480" s="8" t="str">
        <f ca="1">IFERROR(__xludf.DUMMYFUNCTION("""COMPUTED_VALUE"""),"-33.664548-71.310060")</f>
        <v>-33.664548-71.310060</v>
      </c>
      <c r="C2480" s="6" t="str">
        <f ca="1">IFERROR(__xludf.DUMMYFUNCTION("""COMPUTED_VALUE"""),"SECTOR POBLACION PUANGUE PARCELA 12 ")</f>
        <v xml:space="preserve">SECTOR POBLACION PUANGUE PARCELA 12 </v>
      </c>
      <c r="D2480" s="6" t="str">
        <f ca="1">IFERROR(__xludf.DUMMYFUNCTION("""COMPUTED_VALUE"""),"MELIPILLA")</f>
        <v>MELIPILLA</v>
      </c>
    </row>
    <row r="2481" spans="1:4">
      <c r="A2481" s="7">
        <f ca="1">IFERROR(__xludf.DUMMYFUNCTION("""COMPUTED_VALUE"""),44232)</f>
        <v>44232</v>
      </c>
      <c r="B2481" s="6" t="str">
        <f ca="1">IFERROR(__xludf.DUMMYFUNCTION("""COMPUTED_VALUE"""),"-33.407284-71.130936")</f>
        <v>-33.407284-71.130936</v>
      </c>
      <c r="C2481" s="6" t="str">
        <f ca="1">IFERROR(__xludf.DUMMYFUNCTION("""COMPUTED_VALUE"""),"FRANCISCO JOFRE 1747")</f>
        <v>FRANCISCO JOFRE 1747</v>
      </c>
      <c r="D2481" s="6" t="str">
        <f ca="1">IFERROR(__xludf.DUMMYFUNCTION("""COMPUTED_VALUE"""),"CURACAVI")</f>
        <v>CURACAVI</v>
      </c>
    </row>
    <row r="2482" spans="1:4">
      <c r="A2482" s="7">
        <f ca="1">IFERROR(__xludf.DUMMYFUNCTION("""COMPUTED_VALUE"""),44232)</f>
        <v>44232</v>
      </c>
      <c r="B2482" s="6" t="str">
        <f ca="1">IFERROR(__xludf.DUMMYFUNCTION("""COMPUTED_VALUE"""),"-33.397694-71.122184")</f>
        <v>-33.397694-71.122184</v>
      </c>
      <c r="C2482" s="6" t="str">
        <f ca="1">IFERROR(__xludf.DUMMYFUNCTION("""COMPUTED_VALUE"""),"LOS ALERCES 375")</f>
        <v>LOS ALERCES 375</v>
      </c>
      <c r="D2482" s="6" t="str">
        <f ca="1">IFERROR(__xludf.DUMMYFUNCTION("""COMPUTED_VALUE"""),"CURACAVI")</f>
        <v>CURACAVI</v>
      </c>
    </row>
    <row r="2483" spans="1:4">
      <c r="A2483" s="7">
        <f ca="1">IFERROR(__xludf.DUMMYFUNCTION("""COMPUTED_VALUE"""),44232)</f>
        <v>44232</v>
      </c>
      <c r="B2483" s="6" t="str">
        <f ca="1">IFERROR(__xludf.DUMMYFUNCTION("""COMPUTED_VALUE"""),"-33.401918-71.133222")</f>
        <v>-33.401918-71.133222</v>
      </c>
      <c r="C2483" s="6" t="str">
        <f ca="1">IFERROR(__xludf.DUMMYFUNCTION("""COMPUTED_VALUE"""),"PA CLOTARIO BLEST 202")</f>
        <v>PA CLOTARIO BLEST 202</v>
      </c>
      <c r="D2483" s="6" t="str">
        <f ca="1">IFERROR(__xludf.DUMMYFUNCTION("""COMPUTED_VALUE"""),"CURACAVI")</f>
        <v>CURACAVI</v>
      </c>
    </row>
    <row r="2484" spans="1:4">
      <c r="A2484" s="7">
        <f ca="1">IFERROR(__xludf.DUMMYFUNCTION("""COMPUTED_VALUE"""),44233)</f>
        <v>44233</v>
      </c>
      <c r="B2484" s="6" t="str">
        <f ca="1">IFERROR(__xludf.DUMMYFUNCTION("""COMPUTED_VALUE"""),"-33.395623-71.118305")</f>
        <v>-33.395623-71.118305</v>
      </c>
      <c r="C2484" s="6" t="str">
        <f ca="1">IFERROR(__xludf.DUMMYFUNCTION("""COMPUTED_VALUE"""),"EL QUILLAY 311 VILLA EL SOL")</f>
        <v>EL QUILLAY 311 VILLA EL SOL</v>
      </c>
      <c r="D2484" s="6" t="str">
        <f ca="1">IFERROR(__xludf.DUMMYFUNCTION("""COMPUTED_VALUE"""),"CURACAVI")</f>
        <v>CURACAVI</v>
      </c>
    </row>
    <row r="2485" spans="1:4">
      <c r="A2485" s="7">
        <f ca="1">IFERROR(__xludf.DUMMYFUNCTION("""COMPUTED_VALUE"""),44233)</f>
        <v>44233</v>
      </c>
      <c r="B2485" s="6" t="str">
        <f ca="1">IFERROR(__xludf.DUMMYFUNCTION("""COMPUTED_VALUE"""),"-33.419013-71.148074")</f>
        <v>-33.419013-71.148074</v>
      </c>
      <c r="C2485" s="6" t="str">
        <f ca="1">IFERROR(__xludf.DUMMYFUNCTION("""COMPUTED_VALUE"""),"CO LO AGUILA LOTE 11 D S/N")</f>
        <v>CO LO AGUILA LOTE 11 D S/N</v>
      </c>
      <c r="D2485" s="6" t="str">
        <f ca="1">IFERROR(__xludf.DUMMYFUNCTION("""COMPUTED_VALUE"""),"CURACAVI")</f>
        <v>CURACAVI</v>
      </c>
    </row>
    <row r="2486" spans="1:4">
      <c r="A2486" s="7">
        <f ca="1">IFERROR(__xludf.DUMMYFUNCTION("""COMPUTED_VALUE"""),44233)</f>
        <v>44233</v>
      </c>
      <c r="B2486" s="6" t="str">
        <f ca="1">IFERROR(__xludf.DUMMYFUNCTION("""COMPUTED_VALUE"""),"-33.391726-71.127898")</f>
        <v>-33.391726-71.127898</v>
      </c>
      <c r="C2486" s="6" t="str">
        <f ca="1">IFERROR(__xludf.DUMMYFUNCTION("""COMPUTED_VALUE"""),"PA RARADA 1911 ")</f>
        <v xml:space="preserve">PA RARADA 1911 </v>
      </c>
      <c r="D2486" s="6" t="str">
        <f ca="1">IFERROR(__xludf.DUMMYFUNCTION("""COMPUTED_VALUE"""),"CURACAVI")</f>
        <v>CURACAVI</v>
      </c>
    </row>
    <row r="2487" spans="1:4">
      <c r="A2487" s="7">
        <f ca="1">IFERROR(__xludf.DUMMYFUNCTION("""COMPUTED_VALUE"""),44233)</f>
        <v>44233</v>
      </c>
      <c r="B2487" s="6" t="str">
        <f ca="1">IFERROR(__xludf.DUMMYFUNCTION("""COMPUTED_VALUE"""),"-33.435864-71.029137")</f>
        <v>-33.435864-71.029137</v>
      </c>
      <c r="C2487" s="6" t="str">
        <f ca="1">IFERROR(__xludf.DUMMYFUNCTION("""COMPUTED_VALUE"""),"UNION SAN JOSE S/7 POSTE 723181")</f>
        <v>UNION SAN JOSE S/7 POSTE 723181</v>
      </c>
      <c r="D2487" s="6" t="str">
        <f ca="1">IFERROR(__xludf.DUMMYFUNCTION("""COMPUTED_VALUE"""),"CURACAVI")</f>
        <v>CURACAVI</v>
      </c>
    </row>
    <row r="2488" spans="1:4">
      <c r="A2488" s="7">
        <f ca="1">IFERROR(__xludf.DUMMYFUNCTION("""COMPUTED_VALUE"""),44234)</f>
        <v>44234</v>
      </c>
      <c r="B2488" s="6" t="str">
        <f ca="1">IFERROR(__xludf.DUMMYFUNCTION("""COMPUTED_VALUE"""),"-'33.466758-71.066025")</f>
        <v>-'33.466758-71.066025</v>
      </c>
      <c r="C2488" s="6" t="str">
        <f ca="1">IFERROR(__xludf.DUMMYFUNCTION("""COMPUTED_VALUE"""),"LO ALVARADO 561 CON LOS COPIHUES 16")</f>
        <v>LO ALVARADO 561 CON LOS COPIHUES 16</v>
      </c>
      <c r="D2488" s="6" t="str">
        <f ca="1">IFERROR(__xludf.DUMMYFUNCTION("""COMPUTED_VALUE"""),"CURACAVI")</f>
        <v>CURACAVI</v>
      </c>
    </row>
    <row r="2489" spans="1:4">
      <c r="A2489" s="7">
        <f ca="1">IFERROR(__xludf.DUMMYFUNCTION("""COMPUTED_VALUE"""),44234)</f>
        <v>44234</v>
      </c>
      <c r="B2489" s="6" t="str">
        <f ca="1">IFERROR(__xludf.DUMMYFUNCTION("""COMPUTED_VALUE"""),"-33.467388-71.065930")</f>
        <v>-33.467388-71.065930</v>
      </c>
      <c r="C2489" s="6" t="str">
        <f ca="1">IFERROR(__xludf.DUMMYFUNCTION("""COMPUTED_VALUE"""),"LO ALVARADO 581")</f>
        <v>LO ALVARADO 581</v>
      </c>
      <c r="D2489" s="6" t="str">
        <f ca="1">IFERROR(__xludf.DUMMYFUNCTION("""COMPUTED_VALUE"""),"CURACAVI")</f>
        <v>CURACAVI</v>
      </c>
    </row>
    <row r="2490" spans="1:4">
      <c r="A2490" s="7">
        <f ca="1">IFERROR(__xludf.DUMMYFUNCTION("""COMPUTED_VALUE"""),44235)</f>
        <v>44235</v>
      </c>
      <c r="B2490" s="8" t="str">
        <f ca="1">IFERROR(__xludf.DUMMYFUNCTION("""COMPUTED_VALUE"""),"-33.572667,-71.186787")</f>
        <v>-33.572667,-71.186787</v>
      </c>
      <c r="C2490" s="6" t="str">
        <f ca="1">IFERROR(__xludf.DUMMYFUNCTION("""COMPUTED_VALUE"""),"CALLE CUATRO S/N 5 DE OCTUBRE ")</f>
        <v xml:space="preserve">CALLE CUATRO S/N 5 DE OCTUBRE </v>
      </c>
      <c r="D2490" s="6" t="str">
        <f ca="1">IFERROR(__xludf.DUMMYFUNCTION("""COMPUTED_VALUE"""),"MELIPILLA")</f>
        <v>MELIPILLA</v>
      </c>
    </row>
    <row r="2491" spans="1:4">
      <c r="A2491" s="7">
        <f ca="1">IFERROR(__xludf.DUMMYFUNCTION("""COMPUTED_VALUE"""),44235)</f>
        <v>44235</v>
      </c>
      <c r="B2491" s="8" t="str">
        <f ca="1">IFERROR(__xludf.DUMMYFUNCTION("""COMPUTED_VALUE"""),"-33.572459,-71.186901")</f>
        <v>-33.572459,-71.186901</v>
      </c>
      <c r="C2491" s="6" t="str">
        <f ca="1">IFERROR(__xludf.DUMMYFUNCTION("""COMPUTED_VALUE"""),"LOS AROMOS 49 5 DE OCTUBRE ")</f>
        <v xml:space="preserve">LOS AROMOS 49 5 DE OCTUBRE </v>
      </c>
      <c r="D2491" s="6" t="str">
        <f ca="1">IFERROR(__xludf.DUMMYFUNCTION("""COMPUTED_VALUE"""),"MELIPILLA")</f>
        <v>MELIPILLA</v>
      </c>
    </row>
    <row r="2492" spans="1:4">
      <c r="A2492" s="7">
        <f ca="1">IFERROR(__xludf.DUMMYFUNCTION("""COMPUTED_VALUE"""),44235)</f>
        <v>44235</v>
      </c>
      <c r="B2492" s="6" t="str">
        <f ca="1">IFERROR(__xludf.DUMMYFUNCTION("""COMPUTED_VALUE"""),"-33.398400-71.128211")</f>
        <v>-33.398400-71.128211</v>
      </c>
      <c r="C2492" s="6" t="str">
        <f ca="1">IFERROR(__xludf.DUMMYFUNCTION("""COMPUTED_VALUE"""),"CARLOS BRULL 1927")</f>
        <v>CARLOS BRULL 1927</v>
      </c>
      <c r="D2492" s="6" t="str">
        <f ca="1">IFERROR(__xludf.DUMMYFUNCTION("""COMPUTED_VALUE"""),"CURACAVI")</f>
        <v>CURACAVI</v>
      </c>
    </row>
    <row r="2493" spans="1:4">
      <c r="A2493" s="7">
        <f ca="1">IFERROR(__xludf.DUMMYFUNCTION("""COMPUTED_VALUE"""),44235)</f>
        <v>44235</v>
      </c>
      <c r="B2493" s="6" t="str">
        <f ca="1">IFERROR(__xludf.DUMMYFUNCTION("""COMPUTED_VALUE"""),"-33.398670-71.127348")</f>
        <v>-33.398670-71.127348</v>
      </c>
      <c r="C2493" s="6" t="str">
        <f ca="1">IFERROR(__xludf.DUMMYFUNCTION("""COMPUTED_VALUE"""),"MANUEL LARRAIN 493")</f>
        <v>MANUEL LARRAIN 493</v>
      </c>
      <c r="D2493" s="6" t="str">
        <f ca="1">IFERROR(__xludf.DUMMYFUNCTION("""COMPUTED_VALUE"""),"CURACAVI")</f>
        <v>CURACAVI</v>
      </c>
    </row>
    <row r="2494" spans="1:4">
      <c r="A2494" s="7">
        <f ca="1">IFERROR(__xludf.DUMMYFUNCTION("""COMPUTED_VALUE"""),44235)</f>
        <v>44235</v>
      </c>
      <c r="B2494" s="6" t="str">
        <f ca="1">IFERROR(__xludf.DUMMYFUNCTION("""COMPUTED_VALUE"""),"-33.4558203687-71.0276691147168")</f>
        <v>-33.4558203687-71.0276691147168</v>
      </c>
      <c r="C2494" s="6" t="str">
        <f ca="1">IFERROR(__xludf.DUMMYFUNCTION("""COMPUTED_VALUE"""),"BATALLA DE SAN JUAN S12 L-1")</f>
        <v>BATALLA DE SAN JUAN S12 L-1</v>
      </c>
      <c r="D2494" s="6" t="str">
        <f ca="1">IFERROR(__xludf.DUMMYFUNCTION("""COMPUTED_VALUE"""),"CURACAVI")</f>
        <v>CURACAVI</v>
      </c>
    </row>
    <row r="2495" spans="1:4">
      <c r="A2495" s="7">
        <f ca="1">IFERROR(__xludf.DUMMYFUNCTION("""COMPUTED_VALUE"""),44235)</f>
        <v>44235</v>
      </c>
      <c r="B2495" s="6" t="str">
        <f ca="1">IFERROR(__xludf.DUMMYFUNCTION("""COMPUTED_VALUE"""),"-33.607558,-71.210074")</f>
        <v>-33.607558,-71.210074</v>
      </c>
      <c r="C2495" s="6" t="str">
        <f ca="1">IFERROR(__xludf.DUMMYFUNCTION("""COMPUTED_VALUE"""),"LAS PERDICES 8")</f>
        <v>LAS PERDICES 8</v>
      </c>
      <c r="D2495" s="6" t="str">
        <f ca="1">IFERROR(__xludf.DUMMYFUNCTION("""COMPUTED_VALUE"""),"MELIPILLA")</f>
        <v>MELIPILLA</v>
      </c>
    </row>
    <row r="2496" spans="1:4">
      <c r="A2496" s="7">
        <f ca="1">IFERROR(__xludf.DUMMYFUNCTION("""COMPUTED_VALUE"""),44235)</f>
        <v>44235</v>
      </c>
      <c r="B2496" s="6" t="str">
        <f ca="1">IFERROR(__xludf.DUMMYFUNCTION("""COMPUTED_VALUE"""),"-33.574638,-71.013568")</f>
        <v>-33.574638,-71.013568</v>
      </c>
      <c r="C2496" s="6" t="str">
        <f ca="1">IFERROR(__xludf.DUMMYFUNCTION("""COMPUTED_VALUE"""),"SANTA TERESA DE MALLARAUCO S/N ")</f>
        <v xml:space="preserve">SANTA TERESA DE MALLARAUCO S/N </v>
      </c>
      <c r="D2496" s="6" t="str">
        <f ca="1">IFERROR(__xludf.DUMMYFUNCTION("""COMPUTED_VALUE"""),"MELIPILLA")</f>
        <v>MELIPILLA</v>
      </c>
    </row>
    <row r="2497" spans="1:4">
      <c r="A2497" s="7">
        <f ca="1">IFERROR(__xludf.DUMMYFUNCTION("""COMPUTED_VALUE"""),44235)</f>
        <v>44235</v>
      </c>
      <c r="B2497" s="6" t="str">
        <f ca="1">IFERROR(__xludf.DUMMYFUNCTION("""COMPUTED_VALUE"""),"-33.569628,-71.295366")</f>
        <v>-33.569628,-71.295366</v>
      </c>
      <c r="C2497" s="6" t="str">
        <f ca="1">IFERROR(__xludf.DUMMYFUNCTION("""COMPUTED_VALUE"""),"LOMAS DE LA MERCED  SISTIO  13")</f>
        <v>LOMAS DE LA MERCED  SISTIO  13</v>
      </c>
      <c r="D2497" s="6" t="str">
        <f ca="1">IFERROR(__xludf.DUMMYFUNCTION("""COMPUTED_VALUE"""),"MELIPILLA")</f>
        <v>MELIPILLA</v>
      </c>
    </row>
    <row r="2498" spans="1:4">
      <c r="A2498" s="7">
        <f ca="1">IFERROR(__xludf.DUMMYFUNCTION("""COMPUTED_VALUE"""),44235)</f>
        <v>44235</v>
      </c>
      <c r="B2498" s="6" t="str">
        <f ca="1">IFERROR(__xludf.DUMMYFUNCTION("""COMPUTED_VALUE"""),"-33.593614,-70.989181")</f>
        <v>-33.593614,-70.989181</v>
      </c>
      <c r="C2498" s="6" t="str">
        <f ca="1">IFERROR(__xludf.DUMMYFUNCTION("""COMPUTED_VALUE"""),"SECTOR LA PRIMAVERA -SANTA ELISA 1")</f>
        <v>SECTOR LA PRIMAVERA -SANTA ELISA 1</v>
      </c>
      <c r="D2498" s="6" t="str">
        <f ca="1">IFERROR(__xludf.DUMMYFUNCTION("""COMPUTED_VALUE"""),"MELIPILLA")</f>
        <v>MELIPILLA</v>
      </c>
    </row>
    <row r="2499" spans="1:4">
      <c r="A2499" s="7">
        <f ca="1">IFERROR(__xludf.DUMMYFUNCTION("""COMPUTED_VALUE"""),44236)</f>
        <v>44236</v>
      </c>
      <c r="B2499" s="8" t="str">
        <f ca="1">IFERROR(__xludf.DUMMYFUNCTION("""COMPUTED_VALUE"""),"-33.572660,-71.186669")</f>
        <v>-33.572660,-71.186669</v>
      </c>
      <c r="C2499" s="6" t="str">
        <f ca="1">IFERROR(__xludf.DUMMYFUNCTION("""COMPUTED_VALUE"""),"LOS AROMOS 52 ")</f>
        <v xml:space="preserve">LOS AROMOS 52 </v>
      </c>
      <c r="D2499" s="6" t="str">
        <f ca="1">IFERROR(__xludf.DUMMYFUNCTION("""COMPUTED_VALUE"""),"MELIPILLA")</f>
        <v>MELIPILLA</v>
      </c>
    </row>
    <row r="2500" spans="1:4">
      <c r="A2500" s="7">
        <f ca="1">IFERROR(__xludf.DUMMYFUNCTION("""COMPUTED_VALUE"""),44236)</f>
        <v>44236</v>
      </c>
      <c r="B2500" s="6" t="str">
        <f ca="1">IFERROR(__xludf.DUMMYFUNCTION("""COMPUTED_VALUE"""),"-33.4070161-71.131137")</f>
        <v>-33.4070161-71.131137</v>
      </c>
      <c r="C2500" s="6" t="str">
        <f ca="1">IFERROR(__xludf.DUMMYFUNCTION("""COMPUTED_VALUE"""),"PA CERRO MAUCO 466")</f>
        <v>PA CERRO MAUCO 466</v>
      </c>
      <c r="D2500" s="6" t="str">
        <f ca="1">IFERROR(__xludf.DUMMYFUNCTION("""COMPUTED_VALUE"""),"CURACAVI")</f>
        <v>CURACAVI</v>
      </c>
    </row>
    <row r="2501" spans="1:4">
      <c r="A2501" s="7">
        <f ca="1">IFERROR(__xludf.DUMMYFUNCTION("""COMPUTED_VALUE"""),44236)</f>
        <v>44236</v>
      </c>
      <c r="B2501" s="6" t="str">
        <f ca="1">IFERROR(__xludf.DUMMYFUNCTION("""COMPUTED_VALUE"""),"-33.407044-71.32099")</f>
        <v>-33.407044-71.32099</v>
      </c>
      <c r="C2501" s="6" t="str">
        <f ca="1">IFERROR(__xludf.DUMMYFUNCTION("""COMPUTED_VALUE"""),"PA ISABEL MELERO")</f>
        <v>PA ISABEL MELERO</v>
      </c>
      <c r="D2501" s="6" t="str">
        <f ca="1">IFERROR(__xludf.DUMMYFUNCTION("""COMPUTED_VALUE"""),"CURACAVI")</f>
        <v>CURACAVI</v>
      </c>
    </row>
    <row r="2502" spans="1:4">
      <c r="A2502" s="7">
        <f ca="1">IFERROR(__xludf.DUMMYFUNCTION("""COMPUTED_VALUE"""),44236)</f>
        <v>44236</v>
      </c>
      <c r="B2502" s="6" t="str">
        <f ca="1">IFERROR(__xludf.DUMMYFUNCTION("""COMPUTED_VALUE"""),"-33.391475-71.127878")</f>
        <v>-33.391475-71.127878</v>
      </c>
      <c r="C2502" s="6" t="str">
        <f ca="1">IFERROR(__xludf.DUMMYFUNCTION("""COMPUTED_VALUE"""),"PA JUAN PARADA 1913")</f>
        <v>PA JUAN PARADA 1913</v>
      </c>
      <c r="D2502" s="6" t="str">
        <f ca="1">IFERROR(__xludf.DUMMYFUNCTION("""COMPUTED_VALUE"""),"CURACAVI")</f>
        <v>CURACAVI</v>
      </c>
    </row>
    <row r="2503" spans="1:4">
      <c r="A2503" s="7">
        <f ca="1">IFERROR(__xludf.DUMMYFUNCTION("""COMPUTED_VALUE"""),44236)</f>
        <v>44236</v>
      </c>
      <c r="B2503" s="6" t="str">
        <f ca="1">IFERROR(__xludf.DUMMYFUNCTION("""COMPUTED_VALUE"""),"-33.397518-71.121922")</f>
        <v>-33.397518-71.121922</v>
      </c>
      <c r="C2503" s="6" t="str">
        <f ca="1">IFERROR(__xludf.DUMMYFUNCTION("""COMPUTED_VALUE"""),"LOS ALERCES 368 ")</f>
        <v xml:space="preserve">LOS ALERCES 368 </v>
      </c>
      <c r="D2503" s="6" t="str">
        <f ca="1">IFERROR(__xludf.DUMMYFUNCTION("""COMPUTED_VALUE"""),"CURACAVI")</f>
        <v>CURACAVI</v>
      </c>
    </row>
    <row r="2504" spans="1:4">
      <c r="A2504" s="7">
        <f ca="1">IFERROR(__xludf.DUMMYFUNCTION("""COMPUTED_VALUE"""),44236)</f>
        <v>44236</v>
      </c>
      <c r="B2504" s="6" t="str">
        <f ca="1">IFERROR(__xludf.DUMMYFUNCTION("""COMPUTED_VALUE"""),"-33.462453736539-71.02743943506202")</f>
        <v>-33.462453736539-71.02743943506202</v>
      </c>
      <c r="C2504" s="6" t="str">
        <f ca="1">IFERROR(__xludf.DUMMYFUNCTION("""COMPUTED_VALUE"""),"BATALLA SAN JUAN S/N")</f>
        <v>BATALLA SAN JUAN S/N</v>
      </c>
      <c r="D2504" s="6" t="str">
        <f ca="1">IFERROR(__xludf.DUMMYFUNCTION("""COMPUTED_VALUE"""),"CURACAVI")</f>
        <v>CURACAVI</v>
      </c>
    </row>
    <row r="2505" spans="1:4">
      <c r="A2505" s="7">
        <f ca="1">IFERROR(__xludf.DUMMYFUNCTION("""COMPUTED_VALUE"""),44236)</f>
        <v>44236</v>
      </c>
      <c r="B2505" s="6" t="str">
        <f ca="1">IFERROR(__xludf.DUMMYFUNCTION("""COMPUTED_VALUE"""),"-33.4022289-71.1293733")</f>
        <v>-33.4022289-71.1293733</v>
      </c>
      <c r="C2505" s="6" t="str">
        <f ca="1">IFERROR(__xludf.DUMMYFUNCTION("""COMPUTED_VALUE"""),"CO CUESTA BARRIGA S/N")</f>
        <v>CO CUESTA BARRIGA S/N</v>
      </c>
      <c r="D2505" s="6" t="str">
        <f ca="1">IFERROR(__xludf.DUMMYFUNCTION("""COMPUTED_VALUE"""),"CURACAVI")</f>
        <v>CURACAVI</v>
      </c>
    </row>
    <row r="2506" spans="1:4">
      <c r="A2506" s="7">
        <f ca="1">IFERROR(__xludf.DUMMYFUNCTION("""COMPUTED_VALUE"""),44236)</f>
        <v>44236</v>
      </c>
      <c r="B2506" s="6" t="str">
        <f ca="1">IFERROR(__xludf.DUMMYFUNCTION("""COMPUTED_VALUE"""),"-33.459140-71.029153")</f>
        <v>-33.459140-71.029153</v>
      </c>
      <c r="C2506" s="6" t="str">
        <f ca="1">IFERROR(__xludf.DUMMYFUNCTION("""COMPUTED_VALUE"""),"RUTA 68G CERRILLOS SAN JOAGUIN")</f>
        <v>RUTA 68G CERRILLOS SAN JOAGUIN</v>
      </c>
      <c r="D2506" s="6" t="str">
        <f ca="1">IFERROR(__xludf.DUMMYFUNCTION("""COMPUTED_VALUE"""),"CURACAVI")</f>
        <v>CURACAVI</v>
      </c>
    </row>
    <row r="2507" spans="1:4">
      <c r="A2507" s="7">
        <f ca="1">IFERROR(__xludf.DUMMYFUNCTION("""COMPUTED_VALUE"""),44236)</f>
        <v>44236</v>
      </c>
      <c r="B2507" s="6" t="str">
        <f ca="1">IFERROR(__xludf.DUMMYFUNCTION("""COMPUTED_VALUE"""),"-33.459705-71.028665")</f>
        <v>-33.459705-71.028665</v>
      </c>
      <c r="C2507" s="6" t="str">
        <f ca="1">IFERROR(__xludf.DUMMYFUNCTION("""COMPUTED_VALUE"""),"CERRILLO L-18 C S/N")</f>
        <v>CERRILLO L-18 C S/N</v>
      </c>
      <c r="D2507" s="6" t="str">
        <f ca="1">IFERROR(__xludf.DUMMYFUNCTION("""COMPUTED_VALUE"""),"CURACAVI")</f>
        <v>CURACAVI</v>
      </c>
    </row>
    <row r="2508" spans="1:4">
      <c r="A2508" s="7">
        <f ca="1">IFERROR(__xludf.DUMMYFUNCTION("""COMPUTED_VALUE"""),44236)</f>
        <v>44236</v>
      </c>
      <c r="B2508" s="6" t="str">
        <f ca="1">IFERROR(__xludf.DUMMYFUNCTION("""COMPUTED_VALUE"""),"-33.7050586,-71.2200382")</f>
        <v>-33.7050586,-71.2200382</v>
      </c>
      <c r="C2508" s="6" t="str">
        <f ca="1">IFERROR(__xludf.DUMMYFUNCTION("""COMPUTED_VALUE"""),"LOS CARDENALES 2097")</f>
        <v>LOS CARDENALES 2097</v>
      </c>
      <c r="D2508" s="6" t="str">
        <f ca="1">IFERROR(__xludf.DUMMYFUNCTION("""COMPUTED_VALUE"""),"MELIPILLA")</f>
        <v>MELIPILLA</v>
      </c>
    </row>
    <row r="2509" spans="1:4">
      <c r="A2509" s="7">
        <f ca="1">IFERROR(__xludf.DUMMYFUNCTION("""COMPUTED_VALUE"""),44236)</f>
        <v>44236</v>
      </c>
      <c r="B2509" s="6" t="str">
        <f ca="1">IFERROR(__xludf.DUMMYFUNCTION("""COMPUTED_VALUE"""),"-33.579297,-71.021879")</f>
        <v>-33.579297,-71.021879</v>
      </c>
      <c r="C2509" s="6" t="str">
        <f ca="1">IFERROR(__xludf.DUMMYFUNCTION("""COMPUTED_VALUE"""),"SANTA TERESA S/N")</f>
        <v>SANTA TERESA S/N</v>
      </c>
      <c r="D2509" s="6" t="str">
        <f ca="1">IFERROR(__xludf.DUMMYFUNCTION("""COMPUTED_VALUE"""),"MELIPILLA")</f>
        <v>MELIPILLA</v>
      </c>
    </row>
    <row r="2510" spans="1:4">
      <c r="A2510" s="7">
        <f ca="1">IFERROR(__xludf.DUMMYFUNCTION("""COMPUTED_VALUE"""),44236)</f>
        <v>44236</v>
      </c>
      <c r="B2510" s="6" t="str">
        <f ca="1">IFERROR(__xludf.DUMMYFUNCTION("""COMPUTED_VALUE"""),"-33.749129,-71.193009")</f>
        <v>-33.749129,-71.193009</v>
      </c>
      <c r="C2510" s="6" t="str">
        <f ca="1">IFERROR(__xludf.DUMMYFUNCTION("""COMPUTED_VALUE"""),"LECAROS S/N 9A")</f>
        <v>LECAROS S/N 9A</v>
      </c>
      <c r="D2510" s="6" t="str">
        <f ca="1">IFERROR(__xludf.DUMMYFUNCTION("""COMPUTED_VALUE"""),"MELIPILLA")</f>
        <v>MELIPILLA</v>
      </c>
    </row>
    <row r="2511" spans="1:4">
      <c r="A2511" s="7">
        <f ca="1">IFERROR(__xludf.DUMMYFUNCTION("""COMPUTED_VALUE"""),44236)</f>
        <v>44236</v>
      </c>
      <c r="B2511" s="6" t="str">
        <f ca="1">IFERROR(__xludf.DUMMYFUNCTION("""COMPUTED_VALUE"""),"-33.579238,-71.008216")</f>
        <v>-33.579238,-71.008216</v>
      </c>
      <c r="C2511" s="6" t="str">
        <f ca="1">IFERROR(__xludf.DUMMYFUNCTION("""COMPUTED_VALUE"""),"SANTA TERESA S/N SITIO 12")</f>
        <v>SANTA TERESA S/N SITIO 12</v>
      </c>
      <c r="D2511" s="6" t="str">
        <f ca="1">IFERROR(__xludf.DUMMYFUNCTION("""COMPUTED_VALUE"""),"MELIPILLA")</f>
        <v>MELIPILLA</v>
      </c>
    </row>
    <row r="2512" spans="1:4">
      <c r="A2512" s="7">
        <f ca="1">IFERROR(__xludf.DUMMYFUNCTION("""COMPUTED_VALUE"""),44236)</f>
        <v>44236</v>
      </c>
      <c r="B2512" s="6" t="str">
        <f ca="1">IFERROR(__xludf.DUMMYFUNCTION("""COMPUTED_VALUE"""),"-33.761402,-71.194973")</f>
        <v>-33.761402,-71.194973</v>
      </c>
      <c r="C2512" s="6" t="str">
        <f ca="1">IFERROR(__xludf.DUMMYFUNCTION("""COMPUTED_VALUE"""),"PABELLON 297 PC -23 VIÑA VIEJA")</f>
        <v>PABELLON 297 PC -23 VIÑA VIEJA</v>
      </c>
      <c r="D2512" s="6" t="str">
        <f ca="1">IFERROR(__xludf.DUMMYFUNCTION("""COMPUTED_VALUE"""),"MELIPILLA")</f>
        <v>MELIPILLA</v>
      </c>
    </row>
    <row r="2513" spans="1:4">
      <c r="A2513" s="7">
        <f ca="1">IFERROR(__xludf.DUMMYFUNCTION("""COMPUTED_VALUE"""),44237)</f>
        <v>44237</v>
      </c>
      <c r="B2513" s="8" t="str">
        <f ca="1">IFERROR(__xludf.DUMMYFUNCTION("""COMPUTED_VALUE"""),"-33.662698,-71.333000")</f>
        <v>-33.662698,-71.333000</v>
      </c>
      <c r="C2513" s="6" t="str">
        <f ca="1">IFERROR(__xludf.DUMMYFUNCTION("""COMPUTED_VALUE"""),"PUANGUE PARCELA 22")</f>
        <v>PUANGUE PARCELA 22</v>
      </c>
      <c r="D2513" s="6" t="str">
        <f ca="1">IFERROR(__xludf.DUMMYFUNCTION("""COMPUTED_VALUE"""),"MELIPILLA")</f>
        <v>MELIPILLA</v>
      </c>
    </row>
    <row r="2514" spans="1:4">
      <c r="A2514" s="7">
        <f ca="1">IFERROR(__xludf.DUMMYFUNCTION("""COMPUTED_VALUE"""),44237)</f>
        <v>44237</v>
      </c>
      <c r="B2514" s="6" t="str">
        <f ca="1">IFERROR(__xludf.DUMMYFUNCTION("""COMPUTED_VALUE"""),"-33.402475-71.131527")</f>
        <v>-33.402475-71.131527</v>
      </c>
      <c r="C2514" s="6" t="str">
        <f ca="1">IFERROR(__xludf.DUMMYFUNCTION("""COMPUTED_VALUE"""),"WILLIAMS REBOLLEDO 1810")</f>
        <v>WILLIAMS REBOLLEDO 1810</v>
      </c>
      <c r="D2514" s="6" t="str">
        <f ca="1">IFERROR(__xludf.DUMMYFUNCTION("""COMPUTED_VALUE"""),"CURACAVI")</f>
        <v>CURACAVI</v>
      </c>
    </row>
    <row r="2515" spans="1:4">
      <c r="A2515" s="7">
        <f ca="1">IFERROR(__xludf.DUMMYFUNCTION("""COMPUTED_VALUE"""),44237)</f>
        <v>44237</v>
      </c>
      <c r="B2515" s="6" t="str">
        <f ca="1">IFERROR(__xludf.DUMMYFUNCTION("""COMPUTED_VALUE"""),"-33.397911-71.122611")</f>
        <v>-33.397911-71.122611</v>
      </c>
      <c r="C2515" s="6" t="str">
        <f ca="1">IFERROR(__xludf.DUMMYFUNCTION("""COMPUTED_VALUE"""),"EL TAMARUCO 360")</f>
        <v>EL TAMARUCO 360</v>
      </c>
      <c r="D2515" s="6" t="str">
        <f ca="1">IFERROR(__xludf.DUMMYFUNCTION("""COMPUTED_VALUE"""),"CURACAVI")</f>
        <v>CURACAVI</v>
      </c>
    </row>
    <row r="2516" spans="1:4">
      <c r="A2516" s="7">
        <f ca="1">IFERROR(__xludf.DUMMYFUNCTION("""COMPUTED_VALUE"""),44237)</f>
        <v>44237</v>
      </c>
      <c r="B2516" s="6" t="str">
        <f ca="1">IFERROR(__xludf.DUMMYFUNCTION("""COMPUTED_VALUE"""),"-33.43287-71.02986")</f>
        <v>-33.43287-71.02986</v>
      </c>
      <c r="C2516" s="6" t="str">
        <f ca="1">IFERROR(__xludf.DUMMYFUNCTION("""COMPUTED_VALUE"""),"UNION SAN JOSE P-10 S/N")</f>
        <v>UNION SAN JOSE P-10 S/N</v>
      </c>
      <c r="D2516" s="6" t="str">
        <f ca="1">IFERROR(__xludf.DUMMYFUNCTION("""COMPUTED_VALUE"""),"CURACAVI")</f>
        <v>CURACAVI</v>
      </c>
    </row>
    <row r="2517" spans="1:4">
      <c r="A2517" s="7">
        <f ca="1">IFERROR(__xludf.DUMMYFUNCTION("""COMPUTED_VALUE"""),44237)</f>
        <v>44237</v>
      </c>
      <c r="B2517" s="6" t="str">
        <f ca="1">IFERROR(__xludf.DUMMYFUNCTION("""COMPUTED_VALUE"""),"-33.46857-71.06948")</f>
        <v>-33.46857-71.06948</v>
      </c>
      <c r="C2517" s="6" t="str">
        <f ca="1">IFERROR(__xludf.DUMMYFUNCTION("""COMPUTED_VALUE"""),"FUNDA SANTA RITA 5 SITIO 5")</f>
        <v>FUNDA SANTA RITA 5 SITIO 5</v>
      </c>
      <c r="D2517" s="6" t="str">
        <f ca="1">IFERROR(__xludf.DUMMYFUNCTION("""COMPUTED_VALUE"""),"CURACAVI")</f>
        <v>CURACAVI</v>
      </c>
    </row>
    <row r="2518" spans="1:4">
      <c r="A2518" s="7">
        <f ca="1">IFERROR(__xludf.DUMMYFUNCTION("""COMPUTED_VALUE"""),44237)</f>
        <v>44237</v>
      </c>
      <c r="B2518" s="6" t="str">
        <f ca="1">IFERROR(__xludf.DUMMYFUNCTION("""COMPUTED_VALUE"""),"-33.50932-71.00326")</f>
        <v>-33.50932-71.00326</v>
      </c>
      <c r="C2518" s="6" t="str">
        <f ca="1">IFERROR(__xludf.DUMMYFUNCTION("""COMPUTED_VALUE"""),"PASAJE CALLEJON COLO COLO ST-32 L3")</f>
        <v>PASAJE CALLEJON COLO COLO ST-32 L3</v>
      </c>
      <c r="D2518" s="6" t="str">
        <f ca="1">IFERROR(__xludf.DUMMYFUNCTION("""COMPUTED_VALUE"""),"CURACAVI")</f>
        <v>CURACAVI</v>
      </c>
    </row>
    <row r="2519" spans="1:4">
      <c r="A2519" s="7">
        <f ca="1">IFERROR(__xludf.DUMMYFUNCTION("""COMPUTED_VALUE"""),44237)</f>
        <v>44237</v>
      </c>
      <c r="B2519" s="6" t="str">
        <f ca="1">IFERROR(__xludf.DUMMYFUNCTION("""COMPUTED_VALUE"""),"-33.49738-71.00603")</f>
        <v>-33.49738-71.00603</v>
      </c>
      <c r="C2519" s="6" t="str">
        <f ca="1">IFERROR(__xludf.DUMMYFUNCTION("""COMPUTED_VALUE"""),"SANTA INES S/N")</f>
        <v>SANTA INES S/N</v>
      </c>
      <c r="D2519" s="6" t="str">
        <f ca="1">IFERROR(__xludf.DUMMYFUNCTION("""COMPUTED_VALUE"""),"CURACAVI")</f>
        <v>CURACAVI</v>
      </c>
    </row>
    <row r="2520" spans="1:4">
      <c r="A2520" s="7">
        <f ca="1">IFERROR(__xludf.DUMMYFUNCTION("""COMPUTED_VALUE"""),44237)</f>
        <v>44237</v>
      </c>
      <c r="B2520" s="6" t="str">
        <f ca="1">IFERROR(__xludf.DUMMYFUNCTION("""COMPUTED_VALUE"""),"-33.402156-71.131099")</f>
        <v>-33.402156-71.131099</v>
      </c>
      <c r="C2520" s="6" t="str">
        <f ca="1">IFERROR(__xludf.DUMMYFUNCTION("""COMPUTED_VALUE"""),"WILLIAMS REBOLLEDO 1823")</f>
        <v>WILLIAMS REBOLLEDO 1823</v>
      </c>
      <c r="D2520" s="6" t="str">
        <f ca="1">IFERROR(__xludf.DUMMYFUNCTION("""COMPUTED_VALUE"""),"CURACAVI")</f>
        <v>CURACAVI</v>
      </c>
    </row>
    <row r="2521" spans="1:4">
      <c r="A2521" s="7">
        <f ca="1">IFERROR(__xludf.DUMMYFUNCTION("""COMPUTED_VALUE"""),44237)</f>
        <v>44237</v>
      </c>
      <c r="B2521" s="6" t="str">
        <f ca="1">IFERROR(__xludf.DUMMYFUNCTION("""COMPUTED_VALUE"""),"-33.391651-71.127609")</f>
        <v>-33.391651-71.127609</v>
      </c>
      <c r="C2521" s="6" t="str">
        <f ca="1">IFERROR(__xludf.DUMMYFUNCTION("""COMPUTED_VALUE"""),"PJE. JUAN PARADA 1922")</f>
        <v>PJE. JUAN PARADA 1922</v>
      </c>
      <c r="D2521" s="6" t="str">
        <f ca="1">IFERROR(__xludf.DUMMYFUNCTION("""COMPUTED_VALUE"""),"CURACAVI")</f>
        <v>CURACAVI</v>
      </c>
    </row>
    <row r="2522" spans="1:4">
      <c r="A2522" s="7">
        <f ca="1">IFERROR(__xludf.DUMMYFUNCTION("""COMPUTED_VALUE"""),44237)</f>
        <v>44237</v>
      </c>
      <c r="B2522" s="6" t="str">
        <f ca="1">IFERROR(__xludf.DUMMYFUNCTION("""COMPUTED_VALUE"""),"-33.397805-71.122169")</f>
        <v>-33.397805-71.122169</v>
      </c>
      <c r="C2522" s="6" t="str">
        <f ca="1">IFERROR(__xludf.DUMMYFUNCTION("""COMPUTED_VALUE"""),"LOS ALERCES 349")</f>
        <v>LOS ALERCES 349</v>
      </c>
      <c r="D2522" s="6" t="str">
        <f ca="1">IFERROR(__xludf.DUMMYFUNCTION("""COMPUTED_VALUE"""),"CURACAVI")</f>
        <v>CURACAVI</v>
      </c>
    </row>
    <row r="2523" spans="1:4">
      <c r="A2523" s="7">
        <f ca="1">IFERROR(__xludf.DUMMYFUNCTION("""COMPUTED_VALUE"""),44237)</f>
        <v>44237</v>
      </c>
      <c r="B2523" s="6" t="str">
        <f ca="1">IFERROR(__xludf.DUMMYFUNCTION("""COMPUTED_VALUE"""),"-33.46114226514-71.027045005656")</f>
        <v>-33.46114226514-71.027045005656</v>
      </c>
      <c r="C2523" s="6" t="str">
        <f ca="1">IFERROR(__xludf.DUMMYFUNCTION("""COMPUTED_VALUE"""),"BATALLA DE SAN JUAN CASA 8")</f>
        <v>BATALLA DE SAN JUAN CASA 8</v>
      </c>
      <c r="D2523" s="6" t="str">
        <f ca="1">IFERROR(__xludf.DUMMYFUNCTION("""COMPUTED_VALUE"""),"CURACAVI")</f>
        <v>CURACAVI</v>
      </c>
    </row>
    <row r="2524" spans="1:4">
      <c r="A2524" s="7">
        <f ca="1">IFERROR(__xludf.DUMMYFUNCTION("""COMPUTED_VALUE"""),44237)</f>
        <v>44237</v>
      </c>
      <c r="B2524" s="6" t="str">
        <f ca="1">IFERROR(__xludf.DUMMYFUNCTION("""COMPUTED_VALUE"""),"-33.452032628068-71.027862262864")</f>
        <v>-33.452032628068-71.027862262864</v>
      </c>
      <c r="C2524" s="6" t="str">
        <f ca="1">IFERROR(__xludf.DUMMYFUNCTION("""COMPUTED_VALUE"""),"UNION CHILENA SITIO 28B")</f>
        <v>UNION CHILENA SITIO 28B</v>
      </c>
      <c r="D2524" s="6" t="str">
        <f ca="1">IFERROR(__xludf.DUMMYFUNCTION("""COMPUTED_VALUE"""),"CURACAVI")</f>
        <v>CURACAVI</v>
      </c>
    </row>
    <row r="2525" spans="1:4">
      <c r="A2525" s="7">
        <f ca="1">IFERROR(__xludf.DUMMYFUNCTION("""COMPUTED_VALUE"""),44237)</f>
        <v>44237</v>
      </c>
      <c r="B2525" s="6" t="str">
        <f ca="1">IFERROR(__xludf.DUMMYFUNCTION("""COMPUTED_VALUE"""),"-33.405544-71.128320")</f>
        <v>-33.405544-71.128320</v>
      </c>
      <c r="C2525" s="6" t="str">
        <f ca="1">IFERROR(__xludf.DUMMYFUNCTION("""COMPUTED_VALUE"""),"PA LEPE 64")</f>
        <v>PA LEPE 64</v>
      </c>
      <c r="D2525" s="6" t="str">
        <f ca="1">IFERROR(__xludf.DUMMYFUNCTION("""COMPUTED_VALUE"""),"CURACAVI")</f>
        <v>CURACAVI</v>
      </c>
    </row>
    <row r="2526" spans="1:4">
      <c r="A2526" s="7">
        <f ca="1">IFERROR(__xludf.DUMMYFUNCTION("""COMPUTED_VALUE"""),44237)</f>
        <v>44237</v>
      </c>
      <c r="B2526" s="6" t="str">
        <f ca="1">IFERROR(__xludf.DUMMYFUNCTION("""COMPUTED_VALUE"""),"-33.203564-70.670937")</f>
        <v>-33.203564-70.670937</v>
      </c>
      <c r="C2526" s="6" t="str">
        <f ca="1">IFERROR(__xludf.DUMMYFUNCTION("""COMPUTED_VALUE"""),"LA UNION 165")</f>
        <v>LA UNION 165</v>
      </c>
      <c r="D2526" s="6" t="str">
        <f ca="1">IFERROR(__xludf.DUMMYFUNCTION("""COMPUTED_VALUE"""),"COLINA")</f>
        <v>COLINA</v>
      </c>
    </row>
    <row r="2527" spans="1:4">
      <c r="A2527" s="7">
        <f ca="1">IFERROR(__xludf.DUMMYFUNCTION("""COMPUTED_VALUE"""),44237)</f>
        <v>44237</v>
      </c>
      <c r="B2527" s="6" t="str">
        <f ca="1">IFERROR(__xludf.DUMMYFUNCTION("""COMPUTED_VALUE"""),"-33.739553,-71.190990")</f>
        <v>-33.739553,-71.190990</v>
      </c>
      <c r="C2527" s="6" t="str">
        <f ca="1">IFERROR(__xludf.DUMMYFUNCTION("""COMPUTED_VALUE"""),"PEDRO LARRAIN  1124")</f>
        <v>PEDRO LARRAIN  1124</v>
      </c>
      <c r="D2527" s="6" t="str">
        <f ca="1">IFERROR(__xludf.DUMMYFUNCTION("""COMPUTED_VALUE"""),"MELIPILLA")</f>
        <v>MELIPILLA</v>
      </c>
    </row>
    <row r="2528" spans="1:4">
      <c r="A2528" s="7">
        <f ca="1">IFERROR(__xludf.DUMMYFUNCTION("""COMPUTED_VALUE"""),44237)</f>
        <v>44237</v>
      </c>
      <c r="B2528" s="6" t="str">
        <f ca="1">IFERROR(__xludf.DUMMYFUNCTION("""COMPUTED_VALUE"""),"-33.606512,-71.105645")</f>
        <v>-33.606512,-71.105645</v>
      </c>
      <c r="C2528" s="6" t="str">
        <f ca="1">IFERROR(__xludf.DUMMYFUNCTION("""COMPUTED_VALUE"""),"HERMANOS CARRERA S/N CV 58")</f>
        <v>HERMANOS CARRERA S/N CV 58</v>
      </c>
      <c r="D2528" s="6" t="str">
        <f ca="1">IFERROR(__xludf.DUMMYFUNCTION("""COMPUTED_VALUE"""),"MELIPILLA")</f>
        <v>MELIPILLA</v>
      </c>
    </row>
    <row r="2529" spans="1:4">
      <c r="A2529" s="7">
        <f ca="1">IFERROR(__xludf.DUMMYFUNCTION("""COMPUTED_VALUE"""),44237)</f>
        <v>44237</v>
      </c>
      <c r="B2529" s="6" t="str">
        <f ca="1">IFERROR(__xludf.DUMMYFUNCTION("""COMPUTED_VALUE"""),"-33.605296,-71.103539")</f>
        <v>-33.605296,-71.103539</v>
      </c>
      <c r="C2529" s="6" t="str">
        <f ca="1">IFERROR(__xludf.DUMMYFUNCTION("""COMPUTED_VALUE"""),"HERMANOS CARRERA  ST 1I")</f>
        <v>HERMANOS CARRERA  ST 1I</v>
      </c>
      <c r="D2529" s="6" t="str">
        <f ca="1">IFERROR(__xludf.DUMMYFUNCTION("""COMPUTED_VALUE"""),"MELIPILLA")</f>
        <v>MELIPILLA</v>
      </c>
    </row>
    <row r="2530" spans="1:4">
      <c r="A2530" s="7">
        <f ca="1">IFERROR(__xludf.DUMMYFUNCTION("""COMPUTED_VALUE"""),44237)</f>
        <v>44237</v>
      </c>
      <c r="B2530" s="6" t="str">
        <f ca="1">IFERROR(__xludf.DUMMYFUNCTION("""COMPUTED_VALUE"""),"-33.770885,-71.199065")</f>
        <v>-33.770885,-71.199065</v>
      </c>
      <c r="C2530" s="6" t="str">
        <f ca="1">IFERROR(__xludf.DUMMYFUNCTION("""COMPUTED_VALUE"""),"PABELLON S/N PC 30")</f>
        <v>PABELLON S/N PC 30</v>
      </c>
      <c r="D2530" s="6" t="str">
        <f ca="1">IFERROR(__xludf.DUMMYFUNCTION("""COMPUTED_VALUE"""),"MELIPILLA")</f>
        <v>MELIPILLA</v>
      </c>
    </row>
    <row r="2531" spans="1:4">
      <c r="A2531" s="7">
        <f ca="1">IFERROR(__xludf.DUMMYFUNCTION("""COMPUTED_VALUE"""),44237)</f>
        <v>44237</v>
      </c>
      <c r="B2531" s="6" t="str">
        <f ca="1">IFERROR(__xludf.DUMMYFUNCTION("""COMPUTED_VALUE"""),"-33.590391,-71.096222")</f>
        <v>-33.590391,-71.096222</v>
      </c>
      <c r="C2531" s="6" t="str">
        <f ca="1">IFERROR(__xludf.DUMMYFUNCTION("""COMPUTED_VALUE"""),"HERMANOS CARRERA S/N CV 70")</f>
        <v>HERMANOS CARRERA S/N CV 70</v>
      </c>
      <c r="D2531" s="6" t="str">
        <f ca="1">IFERROR(__xludf.DUMMYFUNCTION("""COMPUTED_VALUE"""),"MELIPILLA")</f>
        <v>MELIPILLA</v>
      </c>
    </row>
    <row r="2532" spans="1:4">
      <c r="A2532" s="7">
        <f ca="1">IFERROR(__xludf.DUMMYFUNCTION("""COMPUTED_VALUE"""),44237)</f>
        <v>44237</v>
      </c>
      <c r="B2532" s="6" t="str">
        <f ca="1">IFERROR(__xludf.DUMMYFUNCTION("""COMPUTED_VALUE"""),"-33.607468,-71.105641")</f>
        <v>-33.607468,-71.105641</v>
      </c>
      <c r="C2532" s="6" t="str">
        <f ca="1">IFERROR(__xludf.DUMMYFUNCTION("""COMPUTED_VALUE"""),"HERMANOS CARRERA 5253")</f>
        <v>HERMANOS CARRERA 5253</v>
      </c>
      <c r="D2532" s="6" t="str">
        <f ca="1">IFERROR(__xludf.DUMMYFUNCTION("""COMPUTED_VALUE"""),"MELIPILLA")</f>
        <v>MELIPILLA</v>
      </c>
    </row>
    <row r="2533" spans="1:4">
      <c r="A2533" s="7">
        <f ca="1">IFERROR(__xludf.DUMMYFUNCTION("""COMPUTED_VALUE"""),44238)</f>
        <v>44238</v>
      </c>
      <c r="B2533" s="8" t="str">
        <f ca="1">IFERROR(__xludf.DUMMYFUNCTION("""COMPUTED_VALUE"""),"-33.572896,-71.186906")</f>
        <v>-33.572896,-71.186906</v>
      </c>
      <c r="C2533" s="6" t="str">
        <f ca="1">IFERROR(__xludf.DUMMYFUNCTION("""COMPUTED_VALUE"""),"LOS AROMOS CASA 80 ")</f>
        <v xml:space="preserve">LOS AROMOS CASA 80 </v>
      </c>
      <c r="D2533" s="6" t="str">
        <f ca="1">IFERROR(__xludf.DUMMYFUNCTION("""COMPUTED_VALUE"""),"MELIPILLA")</f>
        <v>MELIPILLA</v>
      </c>
    </row>
    <row r="2534" spans="1:4">
      <c r="A2534" s="7">
        <f ca="1">IFERROR(__xludf.DUMMYFUNCTION("""COMPUTED_VALUE"""),44238)</f>
        <v>44238</v>
      </c>
      <c r="B2534" s="6" t="str">
        <f ca="1">IFERROR(__xludf.DUMMYFUNCTION("""COMPUTED_VALUE"""),"-33.44991-71.0281")</f>
        <v>-33.44991-71.0281</v>
      </c>
      <c r="C2534" s="6" t="str">
        <f ca="1">IFERROR(__xludf.DUMMYFUNCTION("""COMPUTED_VALUE"""),"CERRILLO P-2 S/N")</f>
        <v>CERRILLO P-2 S/N</v>
      </c>
      <c r="D2534" s="6" t="str">
        <f ca="1">IFERROR(__xludf.DUMMYFUNCTION("""COMPUTED_VALUE"""),"CURACAVI")</f>
        <v>CURACAVI</v>
      </c>
    </row>
    <row r="2535" spans="1:4">
      <c r="A2535" s="7">
        <f ca="1">IFERROR(__xludf.DUMMYFUNCTION("""COMPUTED_VALUE"""),44238)</f>
        <v>44238</v>
      </c>
      <c r="B2535" s="6" t="str">
        <f ca="1">IFERROR(__xludf.DUMMYFUNCTION("""COMPUTED_VALUE"""),"-33.39655-71.12885")</f>
        <v>-33.39655-71.12885</v>
      </c>
      <c r="C2535" s="6" t="str">
        <f ca="1">IFERROR(__xludf.DUMMYFUNCTION("""COMPUTED_VALUE"""),"ALBERTO FELLERBERG 1889 LOTE B")</f>
        <v>ALBERTO FELLERBERG 1889 LOTE B</v>
      </c>
      <c r="D2535" s="6" t="str">
        <f ca="1">IFERROR(__xludf.DUMMYFUNCTION("""COMPUTED_VALUE"""),"CURACAVI")</f>
        <v>CURACAVI</v>
      </c>
    </row>
    <row r="2536" spans="1:4">
      <c r="A2536" s="7">
        <f ca="1">IFERROR(__xludf.DUMMYFUNCTION("""COMPUTED_VALUE"""),44238)</f>
        <v>44238</v>
      </c>
      <c r="B2536" s="6" t="str">
        <f ca="1">IFERROR(__xludf.DUMMYFUNCTION("""COMPUTED_VALUE"""),"-33.39655-71.12885")</f>
        <v>-33.39655-71.12885</v>
      </c>
      <c r="C2536" s="6" t="str">
        <f ca="1">IFERROR(__xludf.DUMMYFUNCTION("""COMPUTED_VALUE"""),"ALBERTO FELLERBERG 1889 LOTE B")</f>
        <v>ALBERTO FELLERBERG 1889 LOTE B</v>
      </c>
      <c r="D2536" s="6" t="str">
        <f ca="1">IFERROR(__xludf.DUMMYFUNCTION("""COMPUTED_VALUE"""),"CURACAVI")</f>
        <v>CURACAVI</v>
      </c>
    </row>
    <row r="2537" spans="1:4">
      <c r="A2537" s="7">
        <f ca="1">IFERROR(__xludf.DUMMYFUNCTION("""COMPUTED_VALUE"""),44238)</f>
        <v>44238</v>
      </c>
      <c r="B2537" s="6" t="str">
        <f ca="1">IFERROR(__xludf.DUMMYFUNCTION("""COMPUTED_VALUE"""),"-33.457786791387-71.02821512607971")</f>
        <v>-33.457786791387-71.02821512607971</v>
      </c>
      <c r="C2537" s="6" t="str">
        <f ca="1">IFERROR(__xludf.DUMMYFUNCTION("""COMPUTED_VALUE"""),"BATALLA SANN JUAN 14B ")</f>
        <v xml:space="preserve">BATALLA SANN JUAN 14B </v>
      </c>
      <c r="D2537" s="6" t="str">
        <f ca="1">IFERROR(__xludf.DUMMYFUNCTION("""COMPUTED_VALUE"""),"CURACAVI")</f>
        <v>CURACAVI</v>
      </c>
    </row>
    <row r="2538" spans="1:4">
      <c r="A2538" s="7">
        <f ca="1">IFERROR(__xludf.DUMMYFUNCTION("""COMPUTED_VALUE"""),44238)</f>
        <v>44238</v>
      </c>
      <c r="B2538" s="6" t="str">
        <f ca="1">IFERROR(__xludf.DUMMYFUNCTION("""COMPUTED_VALUE"""),"-33.404777-71.126686")</f>
        <v>-33.404777-71.126686</v>
      </c>
      <c r="C2538" s="6" t="str">
        <f ca="1">IFERROR(__xludf.DUMMYFUNCTION("""COMPUTED_VALUE"""),"PASAJE LOLENCO 69")</f>
        <v>PASAJE LOLENCO 69</v>
      </c>
      <c r="D2538" s="6" t="str">
        <f ca="1">IFERROR(__xludf.DUMMYFUNCTION("""COMPUTED_VALUE"""),"CURACAVI")</f>
        <v>CURACAVI</v>
      </c>
    </row>
    <row r="2539" spans="1:4">
      <c r="A2539" s="7">
        <f ca="1">IFERROR(__xludf.DUMMYFUNCTION("""COMPUTED_VALUE"""),44238)</f>
        <v>44238</v>
      </c>
      <c r="B2539" s="6" t="str">
        <f ca="1">IFERROR(__xludf.DUMMYFUNCTION("""COMPUTED_VALUE"""),"-33.392110-71.127192")</f>
        <v>-33.392110-71.127192</v>
      </c>
      <c r="C2539" s="6" t="str">
        <f ca="1">IFERROR(__xludf.DUMMYFUNCTION("""COMPUTED_VALUE"""),"MANUEL LARRAIN 1024")</f>
        <v>MANUEL LARRAIN 1024</v>
      </c>
      <c r="D2539" s="6" t="str">
        <f ca="1">IFERROR(__xludf.DUMMYFUNCTION("""COMPUTED_VALUE"""),"CURACAVI")</f>
        <v>CURACAVI</v>
      </c>
    </row>
    <row r="2540" spans="1:4">
      <c r="A2540" s="7">
        <f ca="1">IFERROR(__xludf.DUMMYFUNCTION("""COMPUTED_VALUE"""),44238)</f>
        <v>44238</v>
      </c>
      <c r="B2540" s="6" t="str">
        <f ca="1">IFERROR(__xludf.DUMMYFUNCTION("""COMPUTED_VALUE"""),"-33.460061-71.027389")</f>
        <v>-33.460061-71.027389</v>
      </c>
      <c r="C2540" s="6" t="str">
        <f ca="1">IFERROR(__xludf.DUMMYFUNCTION("""COMPUTED_VALUE"""),"BATALLA SAN JUAN 16")</f>
        <v>BATALLA SAN JUAN 16</v>
      </c>
      <c r="D2540" s="6" t="str">
        <f ca="1">IFERROR(__xludf.DUMMYFUNCTION("""COMPUTED_VALUE"""),"CURACAVI")</f>
        <v>CURACAVI</v>
      </c>
    </row>
    <row r="2541" spans="1:4">
      <c r="A2541" s="7">
        <f ca="1">IFERROR(__xludf.DUMMYFUNCTION("""COMPUTED_VALUE"""),44238)</f>
        <v>44238</v>
      </c>
      <c r="B2541" s="6" t="str">
        <f ca="1">IFERROR(__xludf.DUMMYFUNCTION("""COMPUTED_VALUE"""),"-33.400511-71.129873")</f>
        <v>-33.400511-71.129873</v>
      </c>
      <c r="C2541" s="6" t="str">
        <f ca="1">IFERROR(__xludf.DUMMYFUNCTION("""COMPUTED_VALUE"""),"AV. GERMAN RIESCO 346")</f>
        <v>AV. GERMAN RIESCO 346</v>
      </c>
      <c r="D2541" s="6" t="str">
        <f ca="1">IFERROR(__xludf.DUMMYFUNCTION("""COMPUTED_VALUE"""),"CURACAVI")</f>
        <v>CURACAVI</v>
      </c>
    </row>
    <row r="2542" spans="1:4">
      <c r="A2542" s="7">
        <f ca="1">IFERROR(__xludf.DUMMYFUNCTION("""COMPUTED_VALUE"""),44238)</f>
        <v>44238</v>
      </c>
      <c r="B2542" s="6" t="str">
        <f ca="1">IFERROR(__xludf.DUMMYFUNCTION("""COMPUTED_VALUE"""),"-33.40080991982-71.13231336020")</f>
        <v>-33.40080991982-71.13231336020</v>
      </c>
      <c r="C2542" s="6" t="str">
        <f ca="1">IFERROR(__xludf.DUMMYFUNCTION("""COMPUTED_VALUE"""),"JORGE MONTT 1595")</f>
        <v>JORGE MONTT 1595</v>
      </c>
      <c r="D2542" s="6" t="str">
        <f ca="1">IFERROR(__xludf.DUMMYFUNCTION("""COMPUTED_VALUE"""),"CURACAVI")</f>
        <v>CURACAVI</v>
      </c>
    </row>
    <row r="2543" spans="1:4">
      <c r="A2543" s="7">
        <f ca="1">IFERROR(__xludf.DUMMYFUNCTION("""COMPUTED_VALUE"""),44238)</f>
        <v>44238</v>
      </c>
      <c r="B2543" s="6" t="str">
        <f ca="1">IFERROR(__xludf.DUMMYFUNCTION("""COMPUTED_VALUE"""),"-33.203766-70.670910")</f>
        <v>-33.203766-70.670910</v>
      </c>
      <c r="C2543" s="6" t="str">
        <f ca="1">IFERROR(__xludf.DUMMYFUNCTION("""COMPUTED_VALUE"""),"UNION 157")</f>
        <v>UNION 157</v>
      </c>
      <c r="D2543" s="6" t="str">
        <f ca="1">IFERROR(__xludf.DUMMYFUNCTION("""COMPUTED_VALUE"""),"COLINA")</f>
        <v>COLINA</v>
      </c>
    </row>
    <row r="2544" spans="1:4">
      <c r="A2544" s="7">
        <f ca="1">IFERROR(__xludf.DUMMYFUNCTION("""COMPUTED_VALUE"""),44238)</f>
        <v>44238</v>
      </c>
      <c r="B2544" s="6" t="str">
        <f ca="1">IFERROR(__xludf.DUMMYFUNCTION("""COMPUTED_VALUE"""),"-33.245.356,-70.734986")</f>
        <v>-33.245.356,-70.734986</v>
      </c>
      <c r="C2544" s="6" t="str">
        <f ca="1">IFERROR(__xludf.DUMMYFUNCTION("""COMPUTED_VALUE"""),"CAMINO LA VIÑA C-12")</f>
        <v>CAMINO LA VIÑA C-12</v>
      </c>
      <c r="D2544" s="6" t="str">
        <f ca="1">IFERROR(__xludf.DUMMYFUNCTION("""COMPUTED_VALUE"""),"COLINA")</f>
        <v>COLINA</v>
      </c>
    </row>
    <row r="2545" spans="1:4">
      <c r="A2545" s="7">
        <f ca="1">IFERROR(__xludf.DUMMYFUNCTION("""COMPUTED_VALUE"""),44238)</f>
        <v>44238</v>
      </c>
      <c r="B2545" s="6" t="str">
        <f ca="1">IFERROR(__xludf.DUMMYFUNCTION("""COMPUTED_VALUE"""),"-33.606973,-71.105408")</f>
        <v>-33.606973,-71.105408</v>
      </c>
      <c r="C2545" s="6" t="str">
        <f ca="1">IFERROR(__xludf.DUMMYFUNCTION("""COMPUTED_VALUE"""),"HERMANOS CARRERA S/N CV64")</f>
        <v>HERMANOS CARRERA S/N CV64</v>
      </c>
      <c r="D2545" s="6" t="str">
        <f ca="1">IFERROR(__xludf.DUMMYFUNCTION("""COMPUTED_VALUE"""),"MELIPILLA")</f>
        <v>MELIPILLA</v>
      </c>
    </row>
    <row r="2546" spans="1:4">
      <c r="A2546" s="7">
        <f ca="1">IFERROR(__xludf.DUMMYFUNCTION("""COMPUTED_VALUE"""),44238)</f>
        <v>44238</v>
      </c>
      <c r="B2546" s="6" t="str">
        <f ca="1">IFERROR(__xludf.DUMMYFUNCTION("""COMPUTED_VALUE"""),"-33.7919800,-71.2459905")</f>
        <v>-33.7919800,-71.2459905</v>
      </c>
      <c r="C2546" s="6" t="str">
        <f ca="1">IFERROR(__xludf.DUMMYFUNCTION("""COMPUTED_VALUE"""),"SECTOR EL DIBUJO  23")</f>
        <v>SECTOR EL DIBUJO  23</v>
      </c>
      <c r="D2546" s="6" t="str">
        <f ca="1">IFERROR(__xludf.DUMMYFUNCTION("""COMPUTED_VALUE"""),"MELIPILLA")</f>
        <v>MELIPILLA</v>
      </c>
    </row>
    <row r="2547" spans="1:4">
      <c r="A2547" s="7">
        <f ca="1">IFERROR(__xludf.DUMMYFUNCTION("""COMPUTED_VALUE"""),44238)</f>
        <v>44238</v>
      </c>
      <c r="B2547" s="6" t="str">
        <f ca="1">IFERROR(__xludf.DUMMYFUNCTION("""COMPUTED_VALUE"""),"-33.608111,-71.1055796")</f>
        <v>-33.608111,-71.1055796</v>
      </c>
      <c r="C2547" s="6" t="str">
        <f ca="1">IFERROR(__xludf.DUMMYFUNCTION("""COMPUTED_VALUE"""),"HERNANOS CARRERA  S/N")</f>
        <v>HERNANOS CARRERA  S/N</v>
      </c>
      <c r="D2547" s="6" t="str">
        <f ca="1">IFERROR(__xludf.DUMMYFUNCTION("""COMPUTED_VALUE"""),"MELIPILLA")</f>
        <v>MELIPILLA</v>
      </c>
    </row>
    <row r="2548" spans="1:4">
      <c r="A2548" s="7">
        <f ca="1">IFERROR(__xludf.DUMMYFUNCTION("""COMPUTED_VALUE"""),44238)</f>
        <v>44238</v>
      </c>
      <c r="B2548" s="6" t="str">
        <f ca="1">IFERROR(__xludf.DUMMYFUNCTION("""COMPUTED_VALUE"""),"-33.718955,-71.211779")</f>
        <v>-33.718955,-71.211779</v>
      </c>
      <c r="C2548" s="6" t="str">
        <f ca="1">IFERROR(__xludf.DUMMYFUNCTION("""COMPUTED_VALUE"""),"CO A RAPEL S/N KM 0,5 CHOCOLAN")</f>
        <v>CO A RAPEL S/N KM 0,5 CHOCOLAN</v>
      </c>
      <c r="D2548" s="6" t="str">
        <f ca="1">IFERROR(__xludf.DUMMYFUNCTION("""COMPUTED_VALUE"""),"MELIPILLA")</f>
        <v>MELIPILLA</v>
      </c>
    </row>
    <row r="2549" spans="1:4">
      <c r="A2549" s="7">
        <f ca="1">IFERROR(__xludf.DUMMYFUNCTION("""COMPUTED_VALUE"""),44238)</f>
        <v>44238</v>
      </c>
      <c r="B2549" s="6" t="str">
        <f ca="1">IFERROR(__xludf.DUMMYFUNCTION("""COMPUTED_VALUE"""),"-33.606909,-71.105618")</f>
        <v>-33.606909,-71.105618</v>
      </c>
      <c r="C2549" s="6" t="str">
        <f ca="1">IFERROR(__xludf.DUMMYFUNCTION("""COMPUTED_VALUE"""),"HERMANOS CARRERA  S/N CV56")</f>
        <v>HERMANOS CARRERA  S/N CV56</v>
      </c>
      <c r="D2549" s="6" t="str">
        <f ca="1">IFERROR(__xludf.DUMMYFUNCTION("""COMPUTED_VALUE"""),"MELIPILLA")</f>
        <v>MELIPILLA</v>
      </c>
    </row>
    <row r="2550" spans="1:4">
      <c r="A2550" s="7">
        <f ca="1">IFERROR(__xludf.DUMMYFUNCTION("""COMPUTED_VALUE"""),44238)</f>
        <v>44238</v>
      </c>
      <c r="B2550" s="6" t="str">
        <f ca="1">IFERROR(__xludf.DUMMYFUNCTION("""COMPUTED_VALUE"""),"-33.729092,-71.213252")</f>
        <v>-33.729092,-71.213252</v>
      </c>
      <c r="C2550" s="6" t="str">
        <f ca="1">IFERROR(__xludf.DUMMYFUNCTION("""COMPUTED_VALUE"""),"FERNANDO FUEYO LANERI 2494")</f>
        <v>FERNANDO FUEYO LANERI 2494</v>
      </c>
      <c r="D2550" s="6" t="str">
        <f ca="1">IFERROR(__xludf.DUMMYFUNCTION("""COMPUTED_VALUE"""),"MELIPILLA")</f>
        <v>MELIPILLA</v>
      </c>
    </row>
    <row r="2551" spans="1:4">
      <c r="A2551" s="7">
        <f ca="1">IFERROR(__xludf.DUMMYFUNCTION("""COMPUTED_VALUE"""),44238)</f>
        <v>44238</v>
      </c>
      <c r="B2551" s="6" t="str">
        <f ca="1">IFERROR(__xludf.DUMMYFUNCTION("""COMPUTED_VALUE"""),"-33.7703465,-71.2389451")</f>
        <v>-33.7703465,-71.2389451</v>
      </c>
      <c r="C2551" s="6" t="str">
        <f ca="1">IFERROR(__xludf.DUMMYFUNCTION("""COMPUTED_VALUE"""),"CULIPRAN S/N  CV 154")</f>
        <v>CULIPRAN S/N  CV 154</v>
      </c>
      <c r="D2551" s="6" t="str">
        <f ca="1">IFERROR(__xludf.DUMMYFUNCTION("""COMPUTED_VALUE"""),"MELIPILLA")</f>
        <v>MELIPILLA</v>
      </c>
    </row>
    <row r="2552" spans="1:4">
      <c r="A2552" s="7">
        <f ca="1">IFERROR(__xludf.DUMMYFUNCTION("""COMPUTED_VALUE"""),44238)</f>
        <v>44238</v>
      </c>
      <c r="B2552" s="6" t="str">
        <f ca="1">IFERROR(__xludf.DUMMYFUNCTION("""COMPUTED_VALUE"""),"-33.579779,-71.029149")</f>
        <v>-33.579779,-71.029149</v>
      </c>
      <c r="C2552" s="6" t="str">
        <f ca="1">IFERROR(__xludf.DUMMYFUNCTION("""COMPUTED_VALUE"""),"SECTOR SANTA ELISA DE MALLARAUCO LOTE 1")</f>
        <v>SECTOR SANTA ELISA DE MALLARAUCO LOTE 1</v>
      </c>
      <c r="D2552" s="6" t="str">
        <f ca="1">IFERROR(__xludf.DUMMYFUNCTION("""COMPUTED_VALUE"""),"MELIPILLA")</f>
        <v>MELIPILLA</v>
      </c>
    </row>
    <row r="2553" spans="1:4">
      <c r="A2553" s="7">
        <f ca="1">IFERROR(__xludf.DUMMYFUNCTION("""COMPUTED_VALUE"""),44239)</f>
        <v>44239</v>
      </c>
      <c r="B2553" s="8" t="str">
        <f ca="1">IFERROR(__xludf.DUMMYFUNCTION("""COMPUTED_VALUE"""),"-33.681094,-71.2144580")</f>
        <v>-33.681094,-71.2144580</v>
      </c>
      <c r="C2553" s="6" t="str">
        <f ca="1">IFERROR(__xludf.DUMMYFUNCTION("""COMPUTED_VALUE"""),"ORTUZAR 65 CASA C ")</f>
        <v xml:space="preserve">ORTUZAR 65 CASA C </v>
      </c>
      <c r="D2553" s="6" t="str">
        <f ca="1">IFERROR(__xludf.DUMMYFUNCTION("""COMPUTED_VALUE"""),"MELIPILLA")</f>
        <v>MELIPILLA</v>
      </c>
    </row>
    <row r="2554" spans="1:4">
      <c r="A2554" s="7">
        <f ca="1">IFERROR(__xludf.DUMMYFUNCTION("""COMPUTED_VALUE"""),44239)</f>
        <v>44239</v>
      </c>
      <c r="B2554" s="8" t="str">
        <f ca="1">IFERROR(__xludf.DUMMYFUNCTION("""COMPUTED_VALUE"""),"-33.573048,-71.186983")</f>
        <v>-33.573048,-71.186983</v>
      </c>
      <c r="C2554" s="6" t="str">
        <f ca="1">IFERROR(__xludf.DUMMYFUNCTION("""COMPUTED_VALUE"""),"LOS AROMOS 77 POBLACION 5 DE OCTUBRE ")</f>
        <v xml:space="preserve">LOS AROMOS 77 POBLACION 5 DE OCTUBRE </v>
      </c>
      <c r="D2554" s="6" t="str">
        <f ca="1">IFERROR(__xludf.DUMMYFUNCTION("""COMPUTED_VALUE"""),"MELIPILLA")</f>
        <v>MELIPILLA</v>
      </c>
    </row>
    <row r="2555" spans="1:4">
      <c r="A2555" s="7">
        <f ca="1">IFERROR(__xludf.DUMMYFUNCTION("""COMPUTED_VALUE"""),44239)</f>
        <v>44239</v>
      </c>
      <c r="B2555" s="6" t="str">
        <f ca="1">IFERROR(__xludf.DUMMYFUNCTION("""COMPUTED_VALUE"""),"-33.39658-71.12906")</f>
        <v>-33.39658-71.12906</v>
      </c>
      <c r="C2555" s="6" t="str">
        <f ca="1">IFERROR(__xludf.DUMMYFUNCTION("""COMPUTED_VALUE"""),"ALBERTO FELLERBERG 1889 LOTE A")</f>
        <v>ALBERTO FELLERBERG 1889 LOTE A</v>
      </c>
      <c r="D2555" s="6" t="str">
        <f ca="1">IFERROR(__xludf.DUMMYFUNCTION("""COMPUTED_VALUE"""),"CURACAVI")</f>
        <v>CURACAVI</v>
      </c>
    </row>
    <row r="2556" spans="1:4">
      <c r="A2556" s="7">
        <f ca="1">IFERROR(__xludf.DUMMYFUNCTION("""COMPUTED_VALUE"""),44239)</f>
        <v>44239</v>
      </c>
      <c r="B2556" s="6" t="str">
        <f ca="1">IFERROR(__xludf.DUMMYFUNCTION("""COMPUTED_VALUE"""),"-33.46316-71.62885")</f>
        <v>-33.46316-71.62885</v>
      </c>
      <c r="C2556" s="6" t="str">
        <f ca="1">IFERROR(__xludf.DUMMYFUNCTION("""COMPUTED_VALUE"""),"FDO. SAN JUAQUIN S/N")</f>
        <v>FDO. SAN JUAQUIN S/N</v>
      </c>
      <c r="D2556" s="6" t="str">
        <f ca="1">IFERROR(__xludf.DUMMYFUNCTION("""COMPUTED_VALUE"""),"CURACAVI")</f>
        <v>CURACAVI</v>
      </c>
    </row>
    <row r="2557" spans="1:4">
      <c r="A2557" s="7">
        <f ca="1">IFERROR(__xludf.DUMMYFUNCTION("""COMPUTED_VALUE"""),44239)</f>
        <v>44239</v>
      </c>
      <c r="B2557" s="6" t="str">
        <f ca="1">IFERROR(__xludf.DUMMYFUNCTION("""COMPUTED_VALUE"""),"-33.40885380843-71.1430535297725")</f>
        <v>-33.40885380843-71.1430535297725</v>
      </c>
      <c r="C2557" s="6" t="str">
        <f ca="1">IFERROR(__xludf.DUMMYFUNCTION("""COMPUTED_VALUE"""),"OSCAR CASTRO 55")</f>
        <v>OSCAR CASTRO 55</v>
      </c>
      <c r="D2557" s="6" t="str">
        <f ca="1">IFERROR(__xludf.DUMMYFUNCTION("""COMPUTED_VALUE"""),"CURACAVI")</f>
        <v>CURACAVI</v>
      </c>
    </row>
    <row r="2558" spans="1:4">
      <c r="A2558" s="7">
        <f ca="1">IFERROR(__xludf.DUMMYFUNCTION("""COMPUTED_VALUE"""),44239)</f>
        <v>44239</v>
      </c>
      <c r="B2558" s="6" t="str">
        <f ca="1">IFERROR(__xludf.DUMMYFUNCTION("""COMPUTED_VALUE"""),"-33.4317261691020-71.022740308636")</f>
        <v>-33.4317261691020-71.022740308636</v>
      </c>
      <c r="C2558" s="6" t="str">
        <f ca="1">IFERROR(__xludf.DUMMYFUNCTION("""COMPUTED_VALUE"""),"UNION SAN JOSE P-7 S-14")</f>
        <v>UNION SAN JOSE P-7 S-14</v>
      </c>
      <c r="D2558" s="6" t="str">
        <f ca="1">IFERROR(__xludf.DUMMYFUNCTION("""COMPUTED_VALUE"""),"CURACAVI")</f>
        <v>CURACAVI</v>
      </c>
    </row>
    <row r="2559" spans="1:4">
      <c r="A2559" s="7">
        <f ca="1">IFERROR(__xludf.DUMMYFUNCTION("""COMPUTED_VALUE"""),44239)</f>
        <v>44239</v>
      </c>
      <c r="B2559" s="6" t="str">
        <f ca="1">IFERROR(__xludf.DUMMYFUNCTION("""COMPUTED_VALUE"""),"-33.405447-71.128028")</f>
        <v>-33.405447-71.128028</v>
      </c>
      <c r="C2559" s="6" t="str">
        <f ca="1">IFERROR(__xludf.DUMMYFUNCTION("""COMPUTED_VALUE"""),"PRESBITERO MORAGA SUR 55")</f>
        <v>PRESBITERO MORAGA SUR 55</v>
      </c>
      <c r="D2559" s="6" t="str">
        <f ca="1">IFERROR(__xludf.DUMMYFUNCTION("""COMPUTED_VALUE"""),"CURACAVI")</f>
        <v>CURACAVI</v>
      </c>
    </row>
    <row r="2560" spans="1:4">
      <c r="A2560" s="7">
        <f ca="1">IFERROR(__xludf.DUMMYFUNCTION("""COMPUTED_VALUE"""),44239)</f>
        <v>44239</v>
      </c>
      <c r="B2560" s="6" t="str">
        <f ca="1">IFERROR(__xludf.DUMMYFUNCTION("""COMPUTED_VALUE"""),"-33.4053905-71.1280250")</f>
        <v>-33.4053905-71.1280250</v>
      </c>
      <c r="C2560" s="6" t="str">
        <f ca="1">IFERROR(__xludf.DUMMYFUNCTION("""COMPUTED_VALUE"""),"PRESBITERO MORAGA 52")</f>
        <v>PRESBITERO MORAGA 52</v>
      </c>
      <c r="D2560" s="6" t="str">
        <f ca="1">IFERROR(__xludf.DUMMYFUNCTION("""COMPUTED_VALUE"""),"CURACAVI")</f>
        <v>CURACAVI</v>
      </c>
    </row>
    <row r="2561" spans="1:4">
      <c r="A2561" s="7">
        <f ca="1">IFERROR(__xludf.DUMMYFUNCTION("""COMPUTED_VALUE"""),44239)</f>
        <v>44239</v>
      </c>
      <c r="B2561" s="6" t="str">
        <f ca="1">IFERROR(__xludf.DUMMYFUNCTION("""COMPUTED_VALUE"""),"-33.404454-71.128516")</f>
        <v>-33.404454-71.128516</v>
      </c>
      <c r="C2561" s="6" t="str">
        <f ca="1">IFERROR(__xludf.DUMMYFUNCTION("""COMPUTED_VALUE"""),"PRESBITERO MORAGA LOTE 2B S/N")</f>
        <v>PRESBITERO MORAGA LOTE 2B S/N</v>
      </c>
      <c r="D2561" s="6" t="str">
        <f ca="1">IFERROR(__xludf.DUMMYFUNCTION("""COMPUTED_VALUE"""),"CURACAVI")</f>
        <v>CURACAVI</v>
      </c>
    </row>
    <row r="2562" spans="1:4">
      <c r="A2562" s="7">
        <f ca="1">IFERROR(__xludf.DUMMYFUNCTION("""COMPUTED_VALUE"""),44239)</f>
        <v>44239</v>
      </c>
      <c r="B2562" s="6" t="str">
        <f ca="1">IFERROR(__xludf.DUMMYFUNCTION("""COMPUTED_VALUE"""),"-33.403602-71.124452")</f>
        <v>-33.403602-71.124452</v>
      </c>
      <c r="C2562" s="6" t="str">
        <f ca="1">IFERROR(__xludf.DUMMYFUNCTION("""COMPUTED_VALUE"""),"AV. GERMAN RIESCO 346")</f>
        <v>AV. GERMAN RIESCO 346</v>
      </c>
      <c r="D2562" s="6" t="str">
        <f ca="1">IFERROR(__xludf.DUMMYFUNCTION("""COMPUTED_VALUE"""),"CURACAVI")</f>
        <v>CURACAVI</v>
      </c>
    </row>
    <row r="2563" spans="1:4">
      <c r="A2563" s="7">
        <f ca="1">IFERROR(__xludf.DUMMYFUNCTION("""COMPUTED_VALUE"""),44239)</f>
        <v>44239</v>
      </c>
      <c r="B2563" s="6" t="str">
        <f ca="1">IFERROR(__xludf.DUMMYFUNCTION("""COMPUTED_VALUE"""),"-33.304415-70.690432")</f>
        <v>-33.304415-70.690432</v>
      </c>
      <c r="C2563" s="6" t="str">
        <f ca="1">IFERROR(__xludf.DUMMYFUNCTION("""COMPUTED_VALUE"""),"FERMIN VERGARA 146-A6")</f>
        <v>FERMIN VERGARA 146-A6</v>
      </c>
      <c r="D2563" s="6" t="str">
        <f ca="1">IFERROR(__xludf.DUMMYFUNCTION("""COMPUTED_VALUE"""),"COLINA")</f>
        <v>COLINA</v>
      </c>
    </row>
    <row r="2564" spans="1:4">
      <c r="A2564" s="7">
        <f ca="1">IFERROR(__xludf.DUMMYFUNCTION("""COMPUTED_VALUE"""),44239)</f>
        <v>44239</v>
      </c>
      <c r="B2564" s="6" t="str">
        <f ca="1">IFERROR(__xludf.DUMMYFUNCTION("""COMPUTED_VALUE"""),"-33.190523-70.673540")</f>
        <v>-33.190523-70.673540</v>
      </c>
      <c r="C2564" s="6" t="str">
        <f ca="1">IFERROR(__xludf.DUMMYFUNCTION("""COMPUTED_VALUE"""),"PATRIOTA JUAN M DE ROZAS 0654")</f>
        <v>PATRIOTA JUAN M DE ROZAS 0654</v>
      </c>
      <c r="D2564" s="6" t="str">
        <f ca="1">IFERROR(__xludf.DUMMYFUNCTION("""COMPUTED_VALUE"""),"COLINA")</f>
        <v>COLINA</v>
      </c>
    </row>
    <row r="2565" spans="1:4">
      <c r="A2565" s="7">
        <f ca="1">IFERROR(__xludf.DUMMYFUNCTION("""COMPUTED_VALUE"""),44239)</f>
        <v>44239</v>
      </c>
      <c r="B2565" s="6" t="str">
        <f ca="1">IFERROR(__xludf.DUMMYFUNCTION("""COMPUTED_VALUE"""),"-33.76982-71.27242")</f>
        <v>-33.76982-71.27242</v>
      </c>
      <c r="C2565" s="6" t="str">
        <f ca="1">IFERROR(__xludf.DUMMYFUNCTION("""COMPUTED_VALUE"""),"CALLE EUROPA 6")</f>
        <v>CALLE EUROPA 6</v>
      </c>
      <c r="D2565" s="6" t="str">
        <f ca="1">IFERROR(__xludf.DUMMYFUNCTION("""COMPUTED_VALUE"""),"MELIPILLA")</f>
        <v>MELIPILLA</v>
      </c>
    </row>
    <row r="2566" spans="1:4">
      <c r="A2566" s="7">
        <f ca="1">IFERROR(__xludf.DUMMYFUNCTION("""COMPUTED_VALUE"""),44239)</f>
        <v>44239</v>
      </c>
      <c r="B2566" s="6" t="str">
        <f ca="1">IFERROR(__xludf.DUMMYFUNCTION("""COMPUTED_VALUE"""),"-33.748559,-71.192668")</f>
        <v>-33.748559,-71.192668</v>
      </c>
      <c r="C2566" s="6" t="str">
        <f ca="1">IFERROR(__xludf.DUMMYFUNCTION("""COMPUTED_VALUE"""),"LECAROS 2 PABELLON")</f>
        <v>LECAROS 2 PABELLON</v>
      </c>
      <c r="D2566" s="6" t="str">
        <f ca="1">IFERROR(__xludf.DUMMYFUNCTION("""COMPUTED_VALUE"""),"MELIPILLA")</f>
        <v>MELIPILLA</v>
      </c>
    </row>
    <row r="2567" spans="1:4">
      <c r="A2567" s="7">
        <f ca="1">IFERROR(__xludf.DUMMYFUNCTION("""COMPUTED_VALUE"""),44239)</f>
        <v>44239</v>
      </c>
      <c r="B2567" s="6" t="str">
        <f ca="1">IFERROR(__xludf.DUMMYFUNCTION("""COMPUTED_VALUE"""),"-33.746900,-71.194991")</f>
        <v>-33.746900,-71.194991</v>
      </c>
      <c r="C2567" s="6" t="str">
        <f ca="1">IFERROR(__xludf.DUMMYFUNCTION("""COMPUTED_VALUE"""),"LARRAIN S/N PABELLON")</f>
        <v>LARRAIN S/N PABELLON</v>
      </c>
      <c r="D2567" s="6" t="str">
        <f ca="1">IFERROR(__xludf.DUMMYFUNCTION("""COMPUTED_VALUE"""),"MELIPILLA")</f>
        <v>MELIPILLA</v>
      </c>
    </row>
    <row r="2568" spans="1:4">
      <c r="A2568" s="7">
        <f ca="1">IFERROR(__xludf.DUMMYFUNCTION("""COMPUTED_VALUE"""),44239)</f>
        <v>44239</v>
      </c>
      <c r="B2568" s="6" t="str">
        <f ca="1">IFERROR(__xludf.DUMMYFUNCTION("""COMPUTED_VALUE"""),"-33.605848,-71.101309")</f>
        <v>-33.605848,-71.101309</v>
      </c>
      <c r="C2568" s="6" t="str">
        <f ca="1">IFERROR(__xludf.DUMMYFUNCTION("""COMPUTED_VALUE"""),"HERMANOS CARRERA  S/N -CV 14")</f>
        <v>HERMANOS CARRERA  S/N -CV 14</v>
      </c>
      <c r="D2568" s="6" t="str">
        <f ca="1">IFERROR(__xludf.DUMMYFUNCTION("""COMPUTED_VALUE"""),"MELIPILLA")</f>
        <v>MELIPILLA</v>
      </c>
    </row>
    <row r="2569" spans="1:4">
      <c r="A2569" s="7">
        <f ca="1">IFERROR(__xludf.DUMMYFUNCTION("""COMPUTED_VALUE"""),44239)</f>
        <v>44239</v>
      </c>
      <c r="B2569" s="6" t="str">
        <f ca="1">IFERROR(__xludf.DUMMYFUNCTION("""COMPUTED_VALUE"""),"-33.602436,-71.106013")</f>
        <v>-33.602436,-71.106013</v>
      </c>
      <c r="C2569" s="6" t="str">
        <f ca="1">IFERROR(__xludf.DUMMYFUNCTION("""COMPUTED_VALUE"""),"HERMANOS CARRERA S/N -CV2 ")</f>
        <v xml:space="preserve">HERMANOS CARRERA S/N -CV2 </v>
      </c>
      <c r="D2569" s="6" t="str">
        <f ca="1">IFERROR(__xludf.DUMMYFUNCTION("""COMPUTED_VALUE"""),"MELIPILLA")</f>
        <v>MELIPILLA</v>
      </c>
    </row>
    <row r="2570" spans="1:4">
      <c r="A2570" s="7">
        <f ca="1">IFERROR(__xludf.DUMMYFUNCTION("""COMPUTED_VALUE"""),44239)</f>
        <v>44239</v>
      </c>
      <c r="B2570" s="6" t="str">
        <f ca="1">IFERROR(__xludf.DUMMYFUNCTION("""COMPUTED_VALUE"""),"-33.609194,-71.111281")</f>
        <v>-33.609194,-71.111281</v>
      </c>
      <c r="C2570" s="6" t="str">
        <f ca="1">IFERROR(__xludf.DUMMYFUNCTION("""COMPUTED_VALUE"""),"HERMANOS CARRERA  S/N CV 32 PASAJE 3")</f>
        <v>HERMANOS CARRERA  S/N CV 32 PASAJE 3</v>
      </c>
      <c r="D2570" s="6" t="str">
        <f ca="1">IFERROR(__xludf.DUMMYFUNCTION("""COMPUTED_VALUE"""),"MELIPILLA")</f>
        <v>MELIPILLA</v>
      </c>
    </row>
    <row r="2571" spans="1:4">
      <c r="A2571" s="7">
        <f ca="1">IFERROR(__xludf.DUMMYFUNCTION("""COMPUTED_VALUE"""),44239)</f>
        <v>44239</v>
      </c>
      <c r="B2571" s="6" t="str">
        <f ca="1">IFERROR(__xludf.DUMMYFUNCTION("""COMPUTED_VALUE"""),"-33.571172,-71.109880")</f>
        <v>-33.571172,-71.109880</v>
      </c>
      <c r="C2571" s="6" t="str">
        <f ca="1">IFERROR(__xludf.DUMMYFUNCTION("""COMPUTED_VALUE"""),"LA UNION S/N CV1 LA CARRERA")</f>
        <v>LA UNION S/N CV1 LA CARRERA</v>
      </c>
      <c r="D2571" s="6" t="str">
        <f ca="1">IFERROR(__xludf.DUMMYFUNCTION("""COMPUTED_VALUE"""),"MELIPILLA")</f>
        <v>MELIPILLA</v>
      </c>
    </row>
    <row r="2572" spans="1:4">
      <c r="A2572" s="7">
        <f ca="1">IFERROR(__xludf.DUMMYFUNCTION("""COMPUTED_VALUE"""),44239)</f>
        <v>44239</v>
      </c>
      <c r="B2572" s="6" t="str">
        <f ca="1">IFERROR(__xludf.DUMMYFUNCTION("""COMPUTED_VALUE"""),"-33.675756,-70.975003")</f>
        <v>-33.675756,-70.975003</v>
      </c>
      <c r="C2572" s="6" t="str">
        <f ca="1">IFERROR(__xludf.DUMMYFUNCTION("""COMPUTED_VALUE"""),"FRANCISCA DE PAULA 21")</f>
        <v>FRANCISCA DE PAULA 21</v>
      </c>
      <c r="D2572" s="6" t="str">
        <f ca="1">IFERROR(__xludf.DUMMYFUNCTION("""COMPUTED_VALUE"""),"EL MONTE")</f>
        <v>EL MONTE</v>
      </c>
    </row>
    <row r="2573" spans="1:4">
      <c r="A2573" s="7">
        <f ca="1">IFERROR(__xludf.DUMMYFUNCTION("""COMPUTED_VALUE"""),44240)</f>
        <v>44240</v>
      </c>
      <c r="B2573" s="6" t="str">
        <f ca="1">IFERROR(__xludf.DUMMYFUNCTION("""COMPUTED_VALUE"""),"-33.60153-70.89068")</f>
        <v>-33.60153-70.89068</v>
      </c>
      <c r="C2573" s="6" t="str">
        <f ca="1">IFERROR(__xludf.DUMMYFUNCTION("""COMPUTED_VALUE"""),"PA RIALTO 3816")</f>
        <v>PA RIALTO 3816</v>
      </c>
      <c r="D2573" s="6" t="str">
        <f ca="1">IFERROR(__xludf.DUMMYFUNCTION("""COMPUTED_VALUE"""),"PEÑAFLOR")</f>
        <v>PEÑAFLOR</v>
      </c>
    </row>
    <row r="2574" spans="1:4">
      <c r="A2574" s="7">
        <f ca="1">IFERROR(__xludf.DUMMYFUNCTION("""COMPUTED_VALUE"""),44240)</f>
        <v>44240</v>
      </c>
      <c r="B2574" s="6" t="str">
        <f ca="1">IFERROR(__xludf.DUMMYFUNCTION("""COMPUTED_VALUE"""),"-33.60153-70.89068")</f>
        <v>-33.60153-70.89068</v>
      </c>
      <c r="C2574" s="6" t="str">
        <f ca="1">IFERROR(__xludf.DUMMYFUNCTION("""COMPUTED_VALUE"""),"PA RIALTO 3816")</f>
        <v>PA RIALTO 3816</v>
      </c>
      <c r="D2574" s="6" t="str">
        <f ca="1">IFERROR(__xludf.DUMMYFUNCTION("""COMPUTED_VALUE"""),"PEÑAFLOR")</f>
        <v>PEÑAFLOR</v>
      </c>
    </row>
    <row r="2575" spans="1:4">
      <c r="A2575" s="7">
        <f ca="1">IFERROR(__xludf.DUMMYFUNCTION("""COMPUTED_VALUE"""),44240)</f>
        <v>44240</v>
      </c>
      <c r="B2575" s="6" t="str">
        <f ca="1">IFERROR(__xludf.DUMMYFUNCTION("""COMPUTED_VALUE"""),"-33.396032-71.131113")</f>
        <v>-33.396032-71.131113</v>
      </c>
      <c r="C2575" s="6" t="str">
        <f ca="1">IFERROR(__xludf.DUMMYFUNCTION("""COMPUTED_VALUE"""),"COMPOSITORA TETRONILA ORELLANA 661")</f>
        <v>COMPOSITORA TETRONILA ORELLANA 661</v>
      </c>
      <c r="D2575" s="6" t="str">
        <f ca="1">IFERROR(__xludf.DUMMYFUNCTION("""COMPUTED_VALUE"""),"CURACAVI")</f>
        <v>CURACAVI</v>
      </c>
    </row>
    <row r="2576" spans="1:4">
      <c r="A2576" s="7">
        <f ca="1">IFERROR(__xludf.DUMMYFUNCTION("""COMPUTED_VALUE"""),44240)</f>
        <v>44240</v>
      </c>
      <c r="B2576" s="6" t="str">
        <f ca="1">IFERROR(__xludf.DUMMYFUNCTION("""COMPUTED_VALUE"""),"-33.398503-71.125288")</f>
        <v>-33.398503-71.125288</v>
      </c>
      <c r="C2576" s="6" t="str">
        <f ca="1">IFERROR(__xludf.DUMMYFUNCTION("""COMPUTED_VALUE"""),"CUYANCAVI 460")</f>
        <v>CUYANCAVI 460</v>
      </c>
      <c r="D2576" s="6" t="str">
        <f ca="1">IFERROR(__xludf.DUMMYFUNCTION("""COMPUTED_VALUE"""),"CURACAVI")</f>
        <v>CURACAVI</v>
      </c>
    </row>
    <row r="2577" spans="1:4">
      <c r="A2577" s="7">
        <f ca="1">IFERROR(__xludf.DUMMYFUNCTION("""COMPUTED_VALUE"""),44240)</f>
        <v>44240</v>
      </c>
      <c r="B2577" s="6" t="str">
        <f ca="1">IFERROR(__xludf.DUMMYFUNCTION("""COMPUTED_VALUE"""),"-33.426534-71.130823")</f>
        <v>-33.426534-71.130823</v>
      </c>
      <c r="C2577" s="6" t="str">
        <f ca="1">IFERROR(__xludf.DUMMYFUNCTION("""COMPUTED_VALUE"""),"PARC LOS AGUILA EL PANTANO S/N")</f>
        <v>PARC LOS AGUILA EL PANTANO S/N</v>
      </c>
      <c r="D2577" s="6" t="str">
        <f ca="1">IFERROR(__xludf.DUMMYFUNCTION("""COMPUTED_VALUE"""),"CURACAVI")</f>
        <v>CURACAVI</v>
      </c>
    </row>
    <row r="2578" spans="1:4">
      <c r="A2578" s="7">
        <f ca="1">IFERROR(__xludf.DUMMYFUNCTION("""COMPUTED_VALUE"""),44242)</f>
        <v>44242</v>
      </c>
      <c r="B2578" s="8" t="str">
        <f ca="1">IFERROR(__xludf.DUMMYFUNCTION("""COMPUTED_VALUE"""),"-33.570797,-71.187311")</f>
        <v>-33.570797,-71.187311</v>
      </c>
      <c r="C2578" s="6" t="str">
        <f ca="1">IFERROR(__xludf.DUMMYFUNCTION("""COMPUTED_VALUE"""),"SECTOR BOLLENAR ORIENTE S/N ")</f>
        <v xml:space="preserve">SECTOR BOLLENAR ORIENTE S/N </v>
      </c>
      <c r="D2578" s="6" t="str">
        <f ca="1">IFERROR(__xludf.DUMMYFUNCTION("""COMPUTED_VALUE"""),"MELIPILLA")</f>
        <v>MELIPILLA</v>
      </c>
    </row>
    <row r="2579" spans="1:4">
      <c r="A2579" s="7">
        <f ca="1">IFERROR(__xludf.DUMMYFUNCTION("""COMPUTED_VALUE"""),44242)</f>
        <v>44242</v>
      </c>
      <c r="B2579" s="8" t="str">
        <f ca="1">IFERROR(__xludf.DUMMYFUNCTION("""COMPUTED_VALUE"""),"-33.494510,-71.157042")</f>
        <v>-33.494510,-71.157042</v>
      </c>
      <c r="C2579" s="6" t="str">
        <f ca="1">IFERROR(__xludf.DUMMYFUNCTION("""COMPUTED_VALUE"""),"MALOLHUE CV 11 ")</f>
        <v xml:space="preserve">MALOLHUE CV 11 </v>
      </c>
      <c r="D2579" s="6" t="str">
        <f ca="1">IFERROR(__xludf.DUMMYFUNCTION("""COMPUTED_VALUE"""),"MARIA PINTO")</f>
        <v>MARIA PINTO</v>
      </c>
    </row>
    <row r="2580" spans="1:4">
      <c r="A2580" s="7">
        <f ca="1">IFERROR(__xludf.DUMMYFUNCTION("""COMPUTED_VALUE"""),44242)</f>
        <v>44242</v>
      </c>
      <c r="B2580" s="8" t="str">
        <f ca="1">IFERROR(__xludf.DUMMYFUNCTION("""COMPUTED_VALUE"""),"-33.574420,-71.199203")</f>
        <v>-33.574420,-71.199203</v>
      </c>
      <c r="C2580" s="6" t="str">
        <f ca="1">IFERROR(__xludf.DUMMYFUNCTION("""COMPUTED_VALUE"""),"PJE EL BAILAHUEN 878 BOLLENAR ")</f>
        <v xml:space="preserve">PJE EL BAILAHUEN 878 BOLLENAR </v>
      </c>
      <c r="D2580" s="6" t="str">
        <f ca="1">IFERROR(__xludf.DUMMYFUNCTION("""COMPUTED_VALUE"""),"MELIPILLA")</f>
        <v>MELIPILLA</v>
      </c>
    </row>
    <row r="2581" spans="1:4">
      <c r="A2581" s="7">
        <f ca="1">IFERROR(__xludf.DUMMYFUNCTION("""COMPUTED_VALUE"""),44242)</f>
        <v>44242</v>
      </c>
      <c r="B2581" s="8" t="str">
        <f ca="1">IFERROR(__xludf.DUMMYFUNCTION("""COMPUTED_VALUE"""),"-33.63005,-71.225658")</f>
        <v>-33.63005,-71.225658</v>
      </c>
      <c r="C2581" s="6" t="str">
        <f ca="1">IFERROR(__xludf.DUMMYFUNCTION("""COMPUTED_VALUE"""),"SECTOR CHIMBITO SITIO E")</f>
        <v>SECTOR CHIMBITO SITIO E</v>
      </c>
      <c r="D2581" s="6" t="str">
        <f ca="1">IFERROR(__xludf.DUMMYFUNCTION("""COMPUTED_VALUE"""),"MELIPILLA")</f>
        <v>MELIPILLA</v>
      </c>
    </row>
    <row r="2582" spans="1:4">
      <c r="A2582" s="7">
        <f ca="1">IFERROR(__xludf.DUMMYFUNCTION("""COMPUTED_VALUE"""),44242)</f>
        <v>44242</v>
      </c>
      <c r="B2582" s="6" t="str">
        <f ca="1">IFERROR(__xludf.DUMMYFUNCTION("""COMPUTED_VALUE"""),"-33.400052-71.120305")</f>
        <v>-33.400052-71.120305</v>
      </c>
      <c r="C2582" s="6" t="str">
        <f ca="1">IFERROR(__xludf.DUMMYFUNCTION("""COMPUTED_VALUE"""),"PA UNO 2207")</f>
        <v>PA UNO 2207</v>
      </c>
      <c r="D2582" s="6" t="str">
        <f ca="1">IFERROR(__xludf.DUMMYFUNCTION("""COMPUTED_VALUE"""),"CURACAVI")</f>
        <v>CURACAVI</v>
      </c>
    </row>
    <row r="2583" spans="1:4">
      <c r="A2583" s="7">
        <f ca="1">IFERROR(__xludf.DUMMYFUNCTION("""COMPUTED_VALUE"""),44242)</f>
        <v>44242</v>
      </c>
      <c r="B2583" s="6" t="str">
        <f ca="1">IFERROR(__xludf.DUMMYFUNCTION("""COMPUTED_VALUE"""),"-33.400068-71.120227")</f>
        <v>-33.400068-71.120227</v>
      </c>
      <c r="C2583" s="6" t="str">
        <f ca="1">IFERROR(__xludf.DUMMYFUNCTION("""COMPUTED_VALUE"""),"PASAJE UNO 2211")</f>
        <v>PASAJE UNO 2211</v>
      </c>
      <c r="D2583" s="6" t="str">
        <f ca="1">IFERROR(__xludf.DUMMYFUNCTION("""COMPUTED_VALUE"""),"CURACAVI")</f>
        <v>CURACAVI</v>
      </c>
    </row>
    <row r="2584" spans="1:4">
      <c r="A2584" s="7">
        <f ca="1">IFERROR(__xludf.DUMMYFUNCTION("""COMPUTED_VALUE"""),44242)</f>
        <v>44242</v>
      </c>
      <c r="B2584" s="6" t="str">
        <f ca="1">IFERROR(__xludf.DUMMYFUNCTION("""COMPUTED_VALUE"""),"-33.390425-71.158389")</f>
        <v>-33.390425-71.158389</v>
      </c>
      <c r="C2584" s="6" t="str">
        <f ca="1">IFERROR(__xludf.DUMMYFUNCTION("""COMPUTED_VALUE"""),"JULIO SILVA 15B EX HACIENDA CURACAVI")</f>
        <v>JULIO SILVA 15B EX HACIENDA CURACAVI</v>
      </c>
      <c r="D2584" s="6" t="str">
        <f ca="1">IFERROR(__xludf.DUMMYFUNCTION("""COMPUTED_VALUE"""),"CURACAVI")</f>
        <v>CURACAVI</v>
      </c>
    </row>
    <row r="2585" spans="1:4">
      <c r="A2585" s="7">
        <f ca="1">IFERROR(__xludf.DUMMYFUNCTION("""COMPUTED_VALUE"""),44242)</f>
        <v>44242</v>
      </c>
      <c r="B2585" s="6" t="str">
        <f ca="1">IFERROR(__xludf.DUMMYFUNCTION("""COMPUTED_VALUE"""),"-33.407684-71.126778")</f>
        <v>-33.407684-71.126778</v>
      </c>
      <c r="C2585" s="6" t="str">
        <f ca="1">IFERROR(__xludf.DUMMYFUNCTION("""COMPUTED_VALUE"""),"PA LAS TORCAZAS 1861-203 E")</f>
        <v>PA LAS TORCAZAS 1861-203 E</v>
      </c>
      <c r="D2585" s="6" t="str">
        <f ca="1">IFERROR(__xludf.DUMMYFUNCTION("""COMPUTED_VALUE"""),"CURACAVI")</f>
        <v>CURACAVI</v>
      </c>
    </row>
    <row r="2586" spans="1:4">
      <c r="A2586" s="7">
        <f ca="1">IFERROR(__xludf.DUMMYFUNCTION("""COMPUTED_VALUE"""),44242)</f>
        <v>44242</v>
      </c>
      <c r="B2586" s="6" t="str">
        <f ca="1">IFERROR(__xludf.DUMMYFUNCTION("""COMPUTED_VALUE"""),"-33.3909127500-71.121448345")</f>
        <v>-33.3909127500-71.121448345</v>
      </c>
      <c r="C2586" s="6" t="str">
        <f ca="1">IFERROR(__xludf.DUMMYFUNCTION("""COMPUTED_VALUE"""),"ISLAS NEGRAS 1123")</f>
        <v>ISLAS NEGRAS 1123</v>
      </c>
      <c r="D2586" s="6" t="str">
        <f ca="1">IFERROR(__xludf.DUMMYFUNCTION("""COMPUTED_VALUE"""),"CURACAVI")</f>
        <v>CURACAVI</v>
      </c>
    </row>
    <row r="2587" spans="1:4">
      <c r="A2587" s="7">
        <f ca="1">IFERROR(__xludf.DUMMYFUNCTION("""COMPUTED_VALUE"""),44242)</f>
        <v>44242</v>
      </c>
      <c r="B2587" s="6" t="str">
        <f ca="1">IFERROR(__xludf.DUMMYFUNCTION("""COMPUTED_VALUE"""),"-33.573312,-71.086247")</f>
        <v>-33.573312,-71.086247</v>
      </c>
      <c r="C2587" s="6" t="str">
        <f ca="1">IFERROR(__xludf.DUMMYFUNCTION("""COMPUTED_VALUE"""),"SAN BERNARDO S/N")</f>
        <v>SAN BERNARDO S/N</v>
      </c>
      <c r="D2587" s="6" t="str">
        <f ca="1">IFERROR(__xludf.DUMMYFUNCTION("""COMPUTED_VALUE"""),"MELIPILLA")</f>
        <v>MELIPILLA</v>
      </c>
    </row>
    <row r="2588" spans="1:4">
      <c r="A2588" s="7">
        <f ca="1">IFERROR(__xludf.DUMMYFUNCTION("""COMPUTED_VALUE"""),44242)</f>
        <v>44242</v>
      </c>
      <c r="B2588" s="6" t="str">
        <f ca="1">IFERROR(__xludf.DUMMYFUNCTION("""COMPUTED_VALUE"""),"-33.582295,-71.127975")</f>
        <v>-33.582295,-71.127975</v>
      </c>
      <c r="C2588" s="6" t="str">
        <f ca="1">IFERROR(__xludf.DUMMYFUNCTION("""COMPUTED_VALUE"""),"EL OLIVO DE MALLARAUCO S/N")</f>
        <v>EL OLIVO DE MALLARAUCO S/N</v>
      </c>
      <c r="D2588" s="6" t="str">
        <f ca="1">IFERROR(__xludf.DUMMYFUNCTION("""COMPUTED_VALUE"""),"MELIPILLA")</f>
        <v>MELIPILLA</v>
      </c>
    </row>
    <row r="2589" spans="1:4">
      <c r="A2589" s="7">
        <f ca="1">IFERROR(__xludf.DUMMYFUNCTION("""COMPUTED_VALUE"""),44242)</f>
        <v>44242</v>
      </c>
      <c r="B2589" s="6" t="str">
        <f ca="1">IFERROR(__xludf.DUMMYFUNCTION("""COMPUTED_VALUE"""),"-33.780648,-71.163421")</f>
        <v>-33.780648,-71.163421</v>
      </c>
      <c r="C2589" s="6" t="str">
        <f ca="1">IFERROR(__xludf.DUMMYFUNCTION("""COMPUTED_VALUE"""),"SECTOR LAS ENCINAS 216")</f>
        <v>SECTOR LAS ENCINAS 216</v>
      </c>
      <c r="D2589" s="6" t="str">
        <f ca="1">IFERROR(__xludf.DUMMYFUNCTION("""COMPUTED_VALUE"""),"MELIPILLA")</f>
        <v>MELIPILLA</v>
      </c>
    </row>
    <row r="2590" spans="1:4">
      <c r="A2590" s="7">
        <f ca="1">IFERROR(__xludf.DUMMYFUNCTION("""COMPUTED_VALUE"""),44242)</f>
        <v>44242</v>
      </c>
      <c r="B2590" s="6" t="str">
        <f ca="1">IFERROR(__xludf.DUMMYFUNCTION("""COMPUTED_VALUE"""),"-33.7499515,-71.3158913")</f>
        <v>-33.7499515,-71.3158913</v>
      </c>
      <c r="C2590" s="6" t="str">
        <f ca="1">IFERROR(__xludf.DUMMYFUNCTION("""COMPUTED_VALUE"""),"EL ESFUERZO 9 CASA 9 CODIGUA")</f>
        <v>EL ESFUERZO 9 CASA 9 CODIGUA</v>
      </c>
      <c r="D2590" s="6" t="str">
        <f ca="1">IFERROR(__xludf.DUMMYFUNCTION("""COMPUTED_VALUE"""),"MELIPILLA")</f>
        <v>MELIPILLA</v>
      </c>
    </row>
    <row r="2591" spans="1:4">
      <c r="A2591" s="7">
        <f ca="1">IFERROR(__xludf.DUMMYFUNCTION("""COMPUTED_VALUE"""),44242)</f>
        <v>44242</v>
      </c>
      <c r="B2591" s="6" t="str">
        <f ca="1">IFERROR(__xludf.DUMMYFUNCTION("""COMPUTED_VALUE"""),"-33.779859,-71.263850")</f>
        <v>-33.779859,-71.263850</v>
      </c>
      <c r="C2591" s="6" t="str">
        <f ca="1">IFERROR(__xludf.DUMMYFUNCTION("""COMPUTED_VALUE"""),"SECTOR EL PABELLON  S/N -CV38")</f>
        <v>SECTOR EL PABELLON  S/N -CV38</v>
      </c>
      <c r="D2591" s="6" t="str">
        <f ca="1">IFERROR(__xludf.DUMMYFUNCTION("""COMPUTED_VALUE"""),"MELIPILLA")</f>
        <v>MELIPILLA</v>
      </c>
    </row>
    <row r="2592" spans="1:4">
      <c r="A2592" s="7">
        <f ca="1">IFERROR(__xludf.DUMMYFUNCTION("""COMPUTED_VALUE"""),44243)</f>
        <v>44243</v>
      </c>
      <c r="B2592" s="8" t="str">
        <f ca="1">IFERROR(__xludf.DUMMYFUNCTION("""COMPUTED_VALUE"""),"-33.568094,-71.220781")</f>
        <v>-33.568094,-71.220781</v>
      </c>
      <c r="C2592" s="6" t="str">
        <f ca="1">IFERROR(__xludf.DUMMYFUNCTION("""COMPUTED_VALUE"""),"CALLE TRICAHUE 313 BOLLENAR ")</f>
        <v xml:space="preserve">CALLE TRICAHUE 313 BOLLENAR </v>
      </c>
      <c r="D2592" s="6" t="str">
        <f ca="1">IFERROR(__xludf.DUMMYFUNCTION("""COMPUTED_VALUE"""),"MELIPILLA")</f>
        <v>MELIPILLA</v>
      </c>
    </row>
    <row r="2593" spans="1:4">
      <c r="A2593" s="7">
        <f ca="1">IFERROR(__xludf.DUMMYFUNCTION("""COMPUTED_VALUE"""),44243)</f>
        <v>44243</v>
      </c>
      <c r="B2593" s="8" t="str">
        <f ca="1">IFERROR(__xludf.DUMMYFUNCTION("""COMPUTED_VALUE"""),"-33.569357,-71.214164")</f>
        <v>-33.569357,-71.214164</v>
      </c>
      <c r="C2593" s="6" t="str">
        <f ca="1">IFERROR(__xludf.DUMMYFUNCTION("""COMPUTED_VALUE"""),"LOS MAQUIS 162 SITIO 78 ")</f>
        <v xml:space="preserve">LOS MAQUIS 162 SITIO 78 </v>
      </c>
      <c r="D2593" s="6" t="str">
        <f ca="1">IFERROR(__xludf.DUMMYFUNCTION("""COMPUTED_VALUE"""),"MELIPILLA")</f>
        <v>MELIPILLA</v>
      </c>
    </row>
    <row r="2594" spans="1:4">
      <c r="A2594" s="7">
        <f ca="1">IFERROR(__xludf.DUMMYFUNCTION("""COMPUTED_VALUE"""),44243)</f>
        <v>44243</v>
      </c>
      <c r="B2594" s="6" t="str">
        <f ca="1">IFERROR(__xludf.DUMMYFUNCTION("""COMPUTED_VALUE"""),"-33.408288-71.133629")</f>
        <v>-33.408288-71.133629</v>
      </c>
      <c r="C2594" s="6" t="str">
        <f ca="1">IFERROR(__xludf.DUMMYFUNCTION("""COMPUTED_VALUE"""),"TENIENTE BERNANDO ESCOBAR 438")</f>
        <v>TENIENTE BERNANDO ESCOBAR 438</v>
      </c>
      <c r="D2594" s="6" t="str">
        <f ca="1">IFERROR(__xludf.DUMMYFUNCTION("""COMPUTED_VALUE"""),"CURACAVI")</f>
        <v>CURACAVI</v>
      </c>
    </row>
    <row r="2595" spans="1:4">
      <c r="A2595" s="7">
        <f ca="1">IFERROR(__xludf.DUMMYFUNCTION("""COMPUTED_VALUE"""),44243)</f>
        <v>44243</v>
      </c>
      <c r="B2595" s="6" t="str">
        <f ca="1">IFERROR(__xludf.DUMMYFUNCTION("""COMPUTED_VALUE"""),"-33.607084-70.879082")</f>
        <v>-33.607084-70.879082</v>
      </c>
      <c r="C2595" s="6" t="str">
        <f ca="1">IFERROR(__xludf.DUMMYFUNCTION("""COMPUTED_VALUE"""),"PJE UNO 2190")</f>
        <v>PJE UNO 2190</v>
      </c>
      <c r="D2595" s="6" t="str">
        <f ca="1">IFERROR(__xludf.DUMMYFUNCTION("""COMPUTED_VALUE"""),"PEÑAFLOR")</f>
        <v>PEÑAFLOR</v>
      </c>
    </row>
    <row r="2596" spans="1:4">
      <c r="A2596" s="7">
        <f ca="1">IFERROR(__xludf.DUMMYFUNCTION("""COMPUTED_VALUE"""),44243)</f>
        <v>44243</v>
      </c>
      <c r="B2596" s="6" t="str">
        <f ca="1">IFERROR(__xludf.DUMMYFUNCTION("""COMPUTED_VALUE"""),"-33.409802-71.144415")</f>
        <v>-33.409802-71.144415</v>
      </c>
      <c r="C2596" s="6" t="str">
        <f ca="1">IFERROR(__xludf.DUMMYFUNCTION("""COMPUTED_VALUE"""),"LOS AROMOS 184")</f>
        <v>LOS AROMOS 184</v>
      </c>
      <c r="D2596" s="6" t="str">
        <f ca="1">IFERROR(__xludf.DUMMYFUNCTION("""COMPUTED_VALUE"""),"CURACAVI")</f>
        <v>CURACAVI</v>
      </c>
    </row>
    <row r="2597" spans="1:4">
      <c r="A2597" s="7">
        <f ca="1">IFERROR(__xludf.DUMMYFUNCTION("""COMPUTED_VALUE"""),44243)</f>
        <v>44243</v>
      </c>
      <c r="B2597" s="6" t="str">
        <f ca="1">IFERROR(__xludf.DUMMYFUNCTION("""COMPUTED_VALUE"""),"-33.399689-71.120602")</f>
        <v>-33.399689-71.120602</v>
      </c>
      <c r="C2597" s="6" t="str">
        <f ca="1">IFERROR(__xludf.DUMMYFUNCTION("""COMPUTED_VALUE"""),"PA DOS 2203")</f>
        <v>PA DOS 2203</v>
      </c>
      <c r="D2597" s="6" t="str">
        <f ca="1">IFERROR(__xludf.DUMMYFUNCTION("""COMPUTED_VALUE"""),"CURACAVI")</f>
        <v>CURACAVI</v>
      </c>
    </row>
    <row r="2598" spans="1:4">
      <c r="A2598" s="7">
        <f ca="1">IFERROR(__xludf.DUMMYFUNCTION("""COMPUTED_VALUE"""),44243)</f>
        <v>44243</v>
      </c>
      <c r="B2598" s="6" t="str">
        <f ca="1">IFERROR(__xludf.DUMMYFUNCTION("""COMPUTED_VALUE"""),"-33.3944001-71.128474")</f>
        <v>-33.3944001-71.128474</v>
      </c>
      <c r="C2598" s="6" t="str">
        <f ca="1">IFERROR(__xludf.DUMMYFUNCTION("""COMPUTED_VALUE"""),"PRESBITERO MORAGA 897")</f>
        <v>PRESBITERO MORAGA 897</v>
      </c>
      <c r="D2598" s="6" t="str">
        <f ca="1">IFERROR(__xludf.DUMMYFUNCTION("""COMPUTED_VALUE"""),"CURACAVI")</f>
        <v>CURACAVI</v>
      </c>
    </row>
    <row r="2599" spans="1:4">
      <c r="A2599" s="7">
        <f ca="1">IFERROR(__xludf.DUMMYFUNCTION("""COMPUTED_VALUE"""),44243)</f>
        <v>44243</v>
      </c>
      <c r="B2599" s="6" t="str">
        <f ca="1">IFERROR(__xludf.DUMMYFUNCTION("""COMPUTED_VALUE"""),"-33.46572565177-71.0927142292")</f>
        <v>-33.46572565177-71.0927142292</v>
      </c>
      <c r="C2599" s="6" t="str">
        <f ca="1">IFERROR(__xludf.DUMMYFUNCTION("""COMPUTED_VALUE"""),"SAN JOAQUIN PARC 1-B")</f>
        <v>SAN JOAQUIN PARC 1-B</v>
      </c>
      <c r="D2599" s="6" t="str">
        <f ca="1">IFERROR(__xludf.DUMMYFUNCTION("""COMPUTED_VALUE"""),"CURACAVI")</f>
        <v>CURACAVI</v>
      </c>
    </row>
    <row r="2600" spans="1:4">
      <c r="A2600" s="7">
        <f ca="1">IFERROR(__xludf.DUMMYFUNCTION("""COMPUTED_VALUE"""),44243)</f>
        <v>44243</v>
      </c>
      <c r="B2600" s="6" t="str">
        <f ca="1">IFERROR(__xludf.DUMMYFUNCTION("""COMPUTED_VALUE"""),"-33.391.069721-71.122078960")</f>
        <v>-33.391.069721-71.122078960</v>
      </c>
      <c r="C2600" s="6" t="str">
        <f ca="1">IFERROR(__xludf.DUMMYFUNCTION("""COMPUTED_VALUE"""),"LOS PATRIOTAS 2175")</f>
        <v>LOS PATRIOTAS 2175</v>
      </c>
      <c r="D2600" s="6" t="str">
        <f ca="1">IFERROR(__xludf.DUMMYFUNCTION("""COMPUTED_VALUE"""),"CURACAVI")</f>
        <v>CURACAVI</v>
      </c>
    </row>
    <row r="2601" spans="1:4">
      <c r="A2601" s="7">
        <f ca="1">IFERROR(__xludf.DUMMYFUNCTION("""COMPUTED_VALUE"""),44243)</f>
        <v>44243</v>
      </c>
      <c r="B2601" s="6" t="str">
        <f ca="1">IFERROR(__xludf.DUMMYFUNCTION("""COMPUTED_VALUE"""),"-33.41254-71.11844")</f>
        <v>-33.41254-71.11844</v>
      </c>
      <c r="C2601" s="6" t="str">
        <f ca="1">IFERROR(__xludf.DUMMYFUNCTION("""COMPUTED_VALUE"""),"POBL. LAS ROSAS S/N")</f>
        <v>POBL. LAS ROSAS S/N</v>
      </c>
      <c r="D2601" s="6" t="str">
        <f ca="1">IFERROR(__xludf.DUMMYFUNCTION("""COMPUTED_VALUE"""),"CURACAVI")</f>
        <v>CURACAVI</v>
      </c>
    </row>
    <row r="2602" spans="1:4">
      <c r="A2602" s="7">
        <f ca="1">IFERROR(__xludf.DUMMYFUNCTION("""COMPUTED_VALUE"""),44243)</f>
        <v>44243</v>
      </c>
      <c r="B2602" s="6" t="str">
        <f ca="1">IFERROR(__xludf.DUMMYFUNCTION("""COMPUTED_VALUE"""),"-33.39644-71.13175")</f>
        <v>-33.39644-71.13175</v>
      </c>
      <c r="C2602" s="6" t="str">
        <f ca="1">IFERROR(__xludf.DUMMYFUNCTION("""COMPUTED_VALUE"""),"REGIDORA VANIA ORELLANA 1653")</f>
        <v>REGIDORA VANIA ORELLANA 1653</v>
      </c>
      <c r="D2602" s="6" t="str">
        <f ca="1">IFERROR(__xludf.DUMMYFUNCTION("""COMPUTED_VALUE"""),"CURACAVI")</f>
        <v>CURACAVI</v>
      </c>
    </row>
    <row r="2603" spans="1:4">
      <c r="A2603" s="7">
        <f ca="1">IFERROR(__xludf.DUMMYFUNCTION("""COMPUTED_VALUE"""),44243)</f>
        <v>44243</v>
      </c>
      <c r="B2603" s="6" t="str">
        <f ca="1">IFERROR(__xludf.DUMMYFUNCTION("""COMPUTED_VALUE"""),"-33.40763-71.14842")</f>
        <v>-33.40763-71.14842</v>
      </c>
      <c r="C2603" s="6" t="str">
        <f ca="1">IFERROR(__xludf.DUMMYFUNCTION("""COMPUTED_VALUE"""),"PA EL MOSTO 148")</f>
        <v>PA EL MOSTO 148</v>
      </c>
      <c r="D2603" s="6" t="str">
        <f ca="1">IFERROR(__xludf.DUMMYFUNCTION("""COMPUTED_VALUE"""),"CURACAVI")</f>
        <v>CURACAVI</v>
      </c>
    </row>
    <row r="2604" spans="1:4">
      <c r="A2604" s="7">
        <f ca="1">IFERROR(__xludf.DUMMYFUNCTION("""COMPUTED_VALUE"""),44243)</f>
        <v>44243</v>
      </c>
      <c r="B2604" s="6" t="str">
        <f ca="1">IFERROR(__xludf.DUMMYFUNCTION("""COMPUTED_VALUE"""),"-33.609822,-71.104665")</f>
        <v>-33.609822,-71.104665</v>
      </c>
      <c r="C2604" s="6" t="str">
        <f ca="1">IFERROR(__xludf.DUMMYFUNCTION("""COMPUTED_VALUE"""),"HERMANOS CARRERA S/N CV77")</f>
        <v>HERMANOS CARRERA S/N CV77</v>
      </c>
      <c r="D2604" s="6" t="str">
        <f ca="1">IFERROR(__xludf.DUMMYFUNCTION("""COMPUTED_VALUE"""),"MELIPILLA")</f>
        <v>MELIPILLA</v>
      </c>
    </row>
    <row r="2605" spans="1:4">
      <c r="A2605" s="7">
        <f ca="1">IFERROR(__xludf.DUMMYFUNCTION("""COMPUTED_VALUE"""),44243)</f>
        <v>44243</v>
      </c>
      <c r="B2605" s="6" t="str">
        <f ca="1">IFERROR(__xludf.DUMMYFUNCTION("""COMPUTED_VALUE"""),"-33.611276,-71.104385")</f>
        <v>-33.611276,-71.104385</v>
      </c>
      <c r="C2605" s="6" t="str">
        <f ca="1">IFERROR(__xludf.DUMMYFUNCTION("""COMPUTED_VALUE"""),"HERMANOS CARRERA S/N - CV78")</f>
        <v>HERMANOS CARRERA S/N - CV78</v>
      </c>
      <c r="D2605" s="6" t="str">
        <f ca="1">IFERROR(__xludf.DUMMYFUNCTION("""COMPUTED_VALUE"""),"MELIPILLA")</f>
        <v>MELIPILLA</v>
      </c>
    </row>
    <row r="2606" spans="1:4">
      <c r="A2606" s="7">
        <f ca="1">IFERROR(__xludf.DUMMYFUNCTION("""COMPUTED_VALUE"""),44243)</f>
        <v>44243</v>
      </c>
      <c r="B2606" s="6" t="str">
        <f ca="1">IFERROR(__xludf.DUMMYFUNCTION("""COMPUTED_VALUE"""),"-33.609981,-71.104662")</f>
        <v>-33.609981,-71.104662</v>
      </c>
      <c r="C2606" s="6" t="str">
        <f ca="1">IFERROR(__xludf.DUMMYFUNCTION("""COMPUTED_VALUE"""),"HERMANOS CARRERA S/N -CV 77 PASAJE 1")</f>
        <v>HERMANOS CARRERA S/N -CV 77 PASAJE 1</v>
      </c>
      <c r="D2606" s="6" t="str">
        <f ca="1">IFERROR(__xludf.DUMMYFUNCTION("""COMPUTED_VALUE"""),"MELIPILLA")</f>
        <v>MELIPILLA</v>
      </c>
    </row>
    <row r="2607" spans="1:4">
      <c r="A2607" s="7">
        <f ca="1">IFERROR(__xludf.DUMMYFUNCTION("""COMPUTED_VALUE"""),44243)</f>
        <v>44243</v>
      </c>
      <c r="B2607" s="6" t="str">
        <f ca="1">IFERROR(__xludf.DUMMYFUNCTION("""COMPUTED_VALUE"""),"-33.577313,-71.106928")</f>
        <v>-33.577313,-71.106928</v>
      </c>
      <c r="C2607" s="6" t="str">
        <f ca="1">IFERROR(__xludf.DUMMYFUNCTION("""COMPUTED_VALUE""")," LA CARRERA DE MALLARAUCO 37")</f>
        <v xml:space="preserve"> LA CARRERA DE MALLARAUCO 37</v>
      </c>
      <c r="D2607" s="6" t="str">
        <f ca="1">IFERROR(__xludf.DUMMYFUNCTION("""COMPUTED_VALUE"""),"MELIPILLA")</f>
        <v>MELIPILLA</v>
      </c>
    </row>
    <row r="2608" spans="1:4">
      <c r="A2608" s="7">
        <f ca="1">IFERROR(__xludf.DUMMYFUNCTION("""COMPUTED_VALUE"""),44243)</f>
        <v>44243</v>
      </c>
      <c r="B2608" s="6" t="str">
        <f ca="1">IFERROR(__xludf.DUMMYFUNCTION("""COMPUTED_VALUE"""),"-33.604756,-71.221646")</f>
        <v>-33.604756,-71.221646</v>
      </c>
      <c r="C2608" s="6" t="str">
        <f ca="1">IFERROR(__xludf.DUMMYFUNCTION("""COMPUTED_VALUE"""),"                      PASAJE MAISSONETTE SITIO N°2")</f>
        <v xml:space="preserve">                      PASAJE MAISSONETTE SITIO N°2</v>
      </c>
      <c r="D2608" s="6" t="str">
        <f ca="1">IFERROR(__xludf.DUMMYFUNCTION("""COMPUTED_VALUE"""),"MELIPILLA")</f>
        <v>MELIPILLA</v>
      </c>
    </row>
    <row r="2609" spans="1:4">
      <c r="A2609" s="7">
        <f ca="1">IFERROR(__xludf.DUMMYFUNCTION("""COMPUTED_VALUE"""),44243)</f>
        <v>44243</v>
      </c>
      <c r="B2609" s="6" t="str">
        <f ca="1">IFERROR(__xludf.DUMMYFUNCTION("""COMPUTED_VALUE"""),"-33.604866,-71.221635")</f>
        <v>-33.604866,-71.221635</v>
      </c>
      <c r="C2609" s="6" t="str">
        <f ca="1">IFERROR(__xludf.DUMMYFUNCTION("""COMPUTED_VALUE"""),"                      PASAJE MAISSONETTE SITIO N°2")</f>
        <v xml:space="preserve">                      PASAJE MAISSONETTE SITIO N°2</v>
      </c>
      <c r="D2609" s="6" t="str">
        <f ca="1">IFERROR(__xludf.DUMMYFUNCTION("""COMPUTED_VALUE"""),"MELIPILLA")</f>
        <v>MELIPILLA</v>
      </c>
    </row>
    <row r="2610" spans="1:4">
      <c r="A2610" s="7">
        <f ca="1">IFERROR(__xludf.DUMMYFUNCTION("""COMPUTED_VALUE"""),44243)</f>
        <v>44243</v>
      </c>
      <c r="B2610" s="6" t="str">
        <f ca="1">IFERROR(__xludf.DUMMYFUNCTION("""COMPUTED_VALUE"""),"-33.6667917,-71.1074833")</f>
        <v>-33.6667917,-71.1074833</v>
      </c>
      <c r="C2610" s="6" t="str">
        <f ca="1">IFERROR(__xludf.DUMMYFUNCTION("""COMPUTED_VALUE"""),"LAS  ROSAS  10 CHINIGUE")</f>
        <v>LAS  ROSAS  10 CHINIGUE</v>
      </c>
      <c r="D2610" s="6" t="str">
        <f ca="1">IFERROR(__xludf.DUMMYFUNCTION("""COMPUTED_VALUE"""),"MELIPILLA")</f>
        <v>MELIPILLA</v>
      </c>
    </row>
    <row r="2611" spans="1:4">
      <c r="A2611" s="7">
        <f ca="1">IFERROR(__xludf.DUMMYFUNCTION("""COMPUTED_VALUE"""),44244)</f>
        <v>44244</v>
      </c>
      <c r="B2611" s="8" t="str">
        <f ca="1">IFERROR(__xludf.DUMMYFUNCTION("""COMPUTED_VALUE"""),"-33.570439,-71.187060")</f>
        <v>-33.570439,-71.187060</v>
      </c>
      <c r="C2611" s="6" t="str">
        <f ca="1">IFERROR(__xludf.DUMMYFUNCTION("""COMPUTED_VALUE"""),"VALPARAISO S/N ")</f>
        <v xml:space="preserve">VALPARAISO S/N </v>
      </c>
      <c r="D2611" s="6" t="str">
        <f ca="1">IFERROR(__xludf.DUMMYFUNCTION("""COMPUTED_VALUE"""),"MELIPILLA")</f>
        <v>MELIPILLA</v>
      </c>
    </row>
    <row r="2612" spans="1:4">
      <c r="A2612" s="7">
        <f ca="1">IFERROR(__xludf.DUMMYFUNCTION("""COMPUTED_VALUE"""),44244)</f>
        <v>44244</v>
      </c>
      <c r="B2612" s="8" t="str">
        <f ca="1">IFERROR(__xludf.DUMMYFUNCTION("""COMPUTED_VALUE"""),"-33.494222,-71.157115")</f>
        <v>-33.494222,-71.157115</v>
      </c>
      <c r="C2612" s="6" t="str">
        <f ca="1">IFERROR(__xludf.DUMMYFUNCTION("""COMPUTED_VALUE"""),"MALALHUE 515 ")</f>
        <v xml:space="preserve">MALALHUE 515 </v>
      </c>
      <c r="D2612" s="6" t="str">
        <f ca="1">IFERROR(__xludf.DUMMYFUNCTION("""COMPUTED_VALUE"""),"MARIA PINTO")</f>
        <v>MARIA PINTO</v>
      </c>
    </row>
    <row r="2613" spans="1:4">
      <c r="A2613" s="7">
        <f ca="1">IFERROR(__xludf.DUMMYFUNCTION("""COMPUTED_VALUE"""),44244)</f>
        <v>44244</v>
      </c>
      <c r="B2613" s="6" t="str">
        <f ca="1">IFERROR(__xludf.DUMMYFUNCTION("""COMPUTED_VALUE"""),"-33.419992-71.148613")</f>
        <v>-33.419992-71.148613</v>
      </c>
      <c r="C2613" s="6" t="str">
        <f ca="1">IFERROR(__xludf.DUMMYFUNCTION("""COMPUTED_VALUE"""),"CO LO AGUILA LOTE 11 G S/N")</f>
        <v>CO LO AGUILA LOTE 11 G S/N</v>
      </c>
      <c r="D2613" s="6" t="str">
        <f ca="1">IFERROR(__xludf.DUMMYFUNCTION("""COMPUTED_VALUE"""),"CURACAVI")</f>
        <v>CURACAVI</v>
      </c>
    </row>
    <row r="2614" spans="1:4">
      <c r="A2614" s="7">
        <f ca="1">IFERROR(__xludf.DUMMYFUNCTION("""COMPUTED_VALUE"""),44244)</f>
        <v>44244</v>
      </c>
      <c r="B2614" s="6" t="str">
        <f ca="1">IFERROR(__xludf.DUMMYFUNCTION("""COMPUTED_VALUE"""),"-33.412537-71.141041")</f>
        <v>-33.412537-71.141041</v>
      </c>
      <c r="C2614" s="6" t="str">
        <f ca="1">IFERROR(__xludf.DUMMYFUNCTION("""COMPUTED_VALUE"""),"LO AGUILA LT 101")</f>
        <v>LO AGUILA LT 101</v>
      </c>
      <c r="D2614" s="6" t="str">
        <f ca="1">IFERROR(__xludf.DUMMYFUNCTION("""COMPUTED_VALUE"""),"CURACAVI")</f>
        <v>CURACAVI</v>
      </c>
    </row>
    <row r="2615" spans="1:4">
      <c r="A2615" s="7">
        <f ca="1">IFERROR(__xludf.DUMMYFUNCTION("""COMPUTED_VALUE"""),44244)</f>
        <v>44244</v>
      </c>
      <c r="B2615" s="6" t="str">
        <f ca="1">IFERROR(__xludf.DUMMYFUNCTION("""COMPUTED_VALUE"""),"-33.393917-71.128797")</f>
        <v>-33.393917-71.128797</v>
      </c>
      <c r="C2615" s="6" t="str">
        <f ca="1">IFERROR(__xludf.DUMMYFUNCTION("""COMPUTED_VALUE"""),"PRESBITERO MORAGA 841")</f>
        <v>PRESBITERO MORAGA 841</v>
      </c>
      <c r="D2615" s="6" t="str">
        <f ca="1">IFERROR(__xludf.DUMMYFUNCTION("""COMPUTED_VALUE"""),"CURACAVI")</f>
        <v>CURACAVI</v>
      </c>
    </row>
    <row r="2616" spans="1:4">
      <c r="A2616" s="7">
        <f ca="1">IFERROR(__xludf.DUMMYFUNCTION("""COMPUTED_VALUE"""),44244)</f>
        <v>44244</v>
      </c>
      <c r="B2616" s="6" t="str">
        <f ca="1">IFERROR(__xludf.DUMMYFUNCTION("""COMPUTED_VALUE"""),"-33.897263-71.127095")</f>
        <v>-33.897263-71.127095</v>
      </c>
      <c r="C2616" s="6" t="str">
        <f ca="1">IFERROR(__xludf.DUMMYFUNCTION("""COMPUTED_VALUE"""),"MANUEL HARRAIN 594")</f>
        <v>MANUEL HARRAIN 594</v>
      </c>
      <c r="D2616" s="6" t="str">
        <f ca="1">IFERROR(__xludf.DUMMYFUNCTION("""COMPUTED_VALUE"""),"CURACAVI")</f>
        <v>CURACAVI</v>
      </c>
    </row>
    <row r="2617" spans="1:4">
      <c r="A2617" s="7">
        <f ca="1">IFERROR(__xludf.DUMMYFUNCTION("""COMPUTED_VALUE"""),44244)</f>
        <v>44244</v>
      </c>
      <c r="B2617" s="6" t="str">
        <f ca="1">IFERROR(__xludf.DUMMYFUNCTION("""COMPUTED_VALUE"""),"-33.393684-71.123404")</f>
        <v>-33.393684-71.123404</v>
      </c>
      <c r="C2617" s="6" t="str">
        <f ca="1">IFERROR(__xludf.DUMMYFUNCTION("""COMPUTED_VALUE"""),"MANUEL DE SALAS 2174")</f>
        <v>MANUEL DE SALAS 2174</v>
      </c>
      <c r="D2617" s="6" t="str">
        <f ca="1">IFERROR(__xludf.DUMMYFUNCTION("""COMPUTED_VALUE"""),"CURACAVI")</f>
        <v>CURACAVI</v>
      </c>
    </row>
    <row r="2618" spans="1:4">
      <c r="A2618" s="7">
        <f ca="1">IFERROR(__xludf.DUMMYFUNCTION("""COMPUTED_VALUE"""),44244)</f>
        <v>44244</v>
      </c>
      <c r="B2618" s="6" t="str">
        <f ca="1">IFERROR(__xludf.DUMMYFUNCTION("""COMPUTED_VALUE"""),"-33.60213-70.87472")</f>
        <v>-33.60213-70.87472</v>
      </c>
      <c r="C2618" s="6" t="str">
        <f ca="1">IFERROR(__xludf.DUMMYFUNCTION("""COMPUTED_VALUE"""),"PA ANGOL 411 DON PEDRO")</f>
        <v>PA ANGOL 411 DON PEDRO</v>
      </c>
      <c r="D2618" s="6" t="str">
        <f ca="1">IFERROR(__xludf.DUMMYFUNCTION("""COMPUTED_VALUE"""),"PEÑAFLOR")</f>
        <v>PEÑAFLOR</v>
      </c>
    </row>
    <row r="2619" spans="1:4">
      <c r="A2619" s="7">
        <f ca="1">IFERROR(__xludf.DUMMYFUNCTION("""COMPUTED_VALUE"""),44244)</f>
        <v>44244</v>
      </c>
      <c r="B2619" s="6" t="str">
        <f ca="1">IFERROR(__xludf.DUMMYFUNCTION("""COMPUTED_VALUE"""),"-33.393066-71.128916")</f>
        <v>-33.393066-71.128916</v>
      </c>
      <c r="C2619" s="6" t="str">
        <f ca="1">IFERROR(__xludf.DUMMYFUNCTION("""COMPUTED_VALUE"""),"PRESBITERO MORAGA 914")</f>
        <v>PRESBITERO MORAGA 914</v>
      </c>
      <c r="D2619" s="6" t="str">
        <f ca="1">IFERROR(__xludf.DUMMYFUNCTION("""COMPUTED_VALUE"""),"CURACAVI")</f>
        <v>CURACAVI</v>
      </c>
    </row>
    <row r="2620" spans="1:4">
      <c r="A2620" s="7">
        <f ca="1">IFERROR(__xludf.DUMMYFUNCTION("""COMPUTED_VALUE"""),44244)</f>
        <v>44244</v>
      </c>
      <c r="B2620" s="6" t="str">
        <f ca="1">IFERROR(__xludf.DUMMYFUNCTION("""COMPUTED_VALUE"""),"-33.6167-70.9167")</f>
        <v>-33.6167-70.9167</v>
      </c>
      <c r="C2620" s="6" t="str">
        <f ca="1">IFERROR(__xludf.DUMMYFUNCTION("""COMPUTED_VALUE"""),"MIRAFLORES 1905")</f>
        <v>MIRAFLORES 1905</v>
      </c>
      <c r="D2620" s="6" t="str">
        <f ca="1">IFERROR(__xludf.DUMMYFUNCTION("""COMPUTED_VALUE"""),"PEÑAFLOR")</f>
        <v>PEÑAFLOR</v>
      </c>
    </row>
    <row r="2621" spans="1:4">
      <c r="A2621" s="7">
        <f ca="1">IFERROR(__xludf.DUMMYFUNCTION("""COMPUTED_VALUE"""),44244)</f>
        <v>44244</v>
      </c>
      <c r="B2621" s="6" t="str">
        <f ca="1">IFERROR(__xludf.DUMMYFUNCTION("""COMPUTED_VALUE"""),"-33.604367,-71.112147")</f>
        <v>-33.604367,-71.112147</v>
      </c>
      <c r="C2621" s="6" t="str">
        <f ca="1">IFERROR(__xludf.DUMMYFUNCTION("""COMPUTED_VALUE"""),"HERMANOS  CARRERA 2 ")</f>
        <v xml:space="preserve">HERMANOS  CARRERA 2 </v>
      </c>
      <c r="D2621" s="6" t="str">
        <f ca="1">IFERROR(__xludf.DUMMYFUNCTION("""COMPUTED_VALUE"""),"MELIPILLA")</f>
        <v>MELIPILLA</v>
      </c>
    </row>
    <row r="2622" spans="1:4">
      <c r="A2622" s="7">
        <f ca="1">IFERROR(__xludf.DUMMYFUNCTION("""COMPUTED_VALUE"""),44244)</f>
        <v>44244</v>
      </c>
      <c r="B2622" s="6" t="str">
        <f ca="1">IFERROR(__xludf.DUMMYFUNCTION("""COMPUTED_VALUE"""),"-33.604261,-71.110205")</f>
        <v>-33.604261,-71.110205</v>
      </c>
      <c r="C2622" s="6" t="str">
        <f ca="1">IFERROR(__xludf.DUMMYFUNCTION("""COMPUTED_VALUE"""),"HERMANOS CARRERA S/N CV9")</f>
        <v>HERMANOS CARRERA S/N CV9</v>
      </c>
      <c r="D2622" s="6" t="str">
        <f ca="1">IFERROR(__xludf.DUMMYFUNCTION("""COMPUTED_VALUE"""),"MELIPILLA")</f>
        <v>MELIPILLA</v>
      </c>
    </row>
    <row r="2623" spans="1:4">
      <c r="A2623" s="7">
        <f ca="1">IFERROR(__xludf.DUMMYFUNCTION("""COMPUTED_VALUE"""),44244)</f>
        <v>44244</v>
      </c>
      <c r="B2623" s="6" t="str">
        <f ca="1">IFERROR(__xludf.DUMMYFUNCTION("""COMPUTED_VALUE"""),"-33.772000,-71.239500")</f>
        <v>-33.772000,-71.239500</v>
      </c>
      <c r="C2623" s="6" t="str">
        <f ca="1">IFERROR(__xludf.DUMMYFUNCTION("""COMPUTED_VALUE"""),"CULIPAN,SECTOR PARCELA DIEZ S/N")</f>
        <v>CULIPAN,SECTOR PARCELA DIEZ S/N</v>
      </c>
      <c r="D2623" s="6" t="str">
        <f ca="1">IFERROR(__xludf.DUMMYFUNCTION("""COMPUTED_VALUE"""),"MELIPILLA")</f>
        <v>MELIPILLA</v>
      </c>
    </row>
    <row r="2624" spans="1:4">
      <c r="A2624" s="7">
        <f ca="1">IFERROR(__xludf.DUMMYFUNCTION("""COMPUTED_VALUE"""),44244)</f>
        <v>44244</v>
      </c>
      <c r="B2624" s="6" t="str">
        <f ca="1">IFERROR(__xludf.DUMMYFUNCTION("""COMPUTED_VALUE"""),"-33.676040,-71.211966")</f>
        <v>-33.676040,-71.211966</v>
      </c>
      <c r="C2624" s="6" t="str">
        <f ca="1">IFERROR(__xludf.DUMMYFUNCTION("""COMPUTED_VALUE"""),"ALONSO DE RIVERA 439")</f>
        <v>ALONSO DE RIVERA 439</v>
      </c>
      <c r="D2624" s="6" t="str">
        <f ca="1">IFERROR(__xludf.DUMMYFUNCTION("""COMPUTED_VALUE"""),"MELIPILLA")</f>
        <v>MELIPILLA</v>
      </c>
    </row>
    <row r="2625" spans="1:4">
      <c r="A2625" s="7">
        <f ca="1">IFERROR(__xludf.DUMMYFUNCTION("""COMPUTED_VALUE"""),44244)</f>
        <v>44244</v>
      </c>
      <c r="B2625" s="6" t="str">
        <f ca="1">IFERROR(__xludf.DUMMYFUNCTION("""COMPUTED_VALUE"""),"-33.603698,-71.110921")</f>
        <v>-33.603698,-71.110921</v>
      </c>
      <c r="C2625" s="6" t="str">
        <f ca="1">IFERROR(__xludf.DUMMYFUNCTION("""COMPUTED_VALUE"""),"HERMANOS CARRERA  S/N CV 25")</f>
        <v>HERMANOS CARRERA  S/N CV 25</v>
      </c>
      <c r="D2625" s="6" t="str">
        <f ca="1">IFERROR(__xludf.DUMMYFUNCTION("""COMPUTED_VALUE"""),"MELIPILLA")</f>
        <v>MELIPILLA</v>
      </c>
    </row>
    <row r="2626" spans="1:4">
      <c r="A2626" s="7">
        <f ca="1">IFERROR(__xludf.DUMMYFUNCTION("""COMPUTED_VALUE"""),44244)</f>
        <v>44244</v>
      </c>
      <c r="B2626" s="6" t="str">
        <f ca="1">IFERROR(__xludf.DUMMYFUNCTION("""COMPUTED_VALUE"""),"-33.675229,-71.211505")</f>
        <v>-33.675229,-71.211505</v>
      </c>
      <c r="C2626" s="6" t="str">
        <f ca="1">IFERROR(__xludf.DUMMYFUNCTION("""COMPUTED_VALUE"""),"PATRICIO LARRAIN 308")</f>
        <v>PATRICIO LARRAIN 308</v>
      </c>
      <c r="D2626" s="6" t="str">
        <f ca="1">IFERROR(__xludf.DUMMYFUNCTION("""COMPUTED_VALUE"""),"MELIPILLA")</f>
        <v>MELIPILLA</v>
      </c>
    </row>
    <row r="2627" spans="1:4">
      <c r="A2627" s="7">
        <f ca="1">IFERROR(__xludf.DUMMYFUNCTION("""COMPUTED_VALUE"""),44244)</f>
        <v>44244</v>
      </c>
      <c r="B2627" s="6" t="str">
        <f ca="1">IFERROR(__xludf.DUMMYFUNCTION("""COMPUTED_VALUE"""),"-33.6667116,-71.1073931")</f>
        <v>-33.6667116,-71.1073931</v>
      </c>
      <c r="C2627" s="6" t="str">
        <f ca="1">IFERROR(__xludf.DUMMYFUNCTION("""COMPUTED_VALUE"""),"SECTOR CHIRIGUE,LAS ROSAS 17")</f>
        <v>SECTOR CHIRIGUE,LAS ROSAS 17</v>
      </c>
      <c r="D2627" s="6" t="str">
        <f ca="1">IFERROR(__xludf.DUMMYFUNCTION("""COMPUTED_VALUE"""),"MELIPILLA")</f>
        <v>MELIPILLA</v>
      </c>
    </row>
    <row r="2628" spans="1:4">
      <c r="A2628" s="7">
        <f ca="1">IFERROR(__xludf.DUMMYFUNCTION("""COMPUTED_VALUE"""),44244)</f>
        <v>44244</v>
      </c>
      <c r="B2628" s="6" t="str">
        <f ca="1">IFERROR(__xludf.DUMMYFUNCTION("""COMPUTED_VALUE"""),"-33.574787,-70.982823")</f>
        <v>-33.574787,-70.982823</v>
      </c>
      <c r="C2628" s="6" t="str">
        <f ca="1">IFERROR(__xludf.DUMMYFUNCTION("""COMPUTED_VALUE"""),"EL PIMIENTO S/N ")</f>
        <v xml:space="preserve">EL PIMIENTO S/N </v>
      </c>
      <c r="D2628" s="6" t="str">
        <f ca="1">IFERROR(__xludf.DUMMYFUNCTION("""COMPUTED_VALUE"""),"MELIPILLA")</f>
        <v>MELIPILLA</v>
      </c>
    </row>
    <row r="2629" spans="1:4">
      <c r="A2629" s="7">
        <f ca="1">IFERROR(__xludf.DUMMYFUNCTION("""COMPUTED_VALUE"""),44244)</f>
        <v>44244</v>
      </c>
      <c r="B2629" s="6" t="str">
        <f ca="1">IFERROR(__xludf.DUMMYFUNCTION("""COMPUTED_VALUE"""),"-33.594179,-70.978630")</f>
        <v>-33.594179,-70.978630</v>
      </c>
      <c r="C2629" s="6" t="str">
        <f ca="1">IFERROR(__xludf.DUMMYFUNCTION("""COMPUTED_VALUE"""),"LA PRIMAVERA 1")</f>
        <v>LA PRIMAVERA 1</v>
      </c>
      <c r="D2629" s="6" t="str">
        <f ca="1">IFERROR(__xludf.DUMMYFUNCTION("""COMPUTED_VALUE"""),"MELIPILLA")</f>
        <v>MELIPILLA</v>
      </c>
    </row>
    <row r="2630" spans="1:4">
      <c r="A2630" s="7">
        <f ca="1">IFERROR(__xludf.DUMMYFUNCTION("""COMPUTED_VALUE"""),44245)</f>
        <v>44245</v>
      </c>
      <c r="B2630" s="8" t="str">
        <f ca="1">IFERROR(__xludf.DUMMYFUNCTION("""COMPUTED_VALUE"""),"-33.682531,-71.196576")</f>
        <v>-33.682531,-71.196576</v>
      </c>
      <c r="C2630" s="6" t="str">
        <f ca="1">IFERROR(__xludf.DUMMYFUNCTION("""COMPUTED_VALUE"""),"LUDWING VAN BEETHOVEN 792")</f>
        <v>LUDWING VAN BEETHOVEN 792</v>
      </c>
      <c r="D2630" s="6" t="str">
        <f ca="1">IFERROR(__xludf.DUMMYFUNCTION("""COMPUTED_VALUE"""),"MELIPILLA")</f>
        <v>MELIPILLA</v>
      </c>
    </row>
    <row r="2631" spans="1:4">
      <c r="A2631" s="7">
        <f ca="1">IFERROR(__xludf.DUMMYFUNCTION("""COMPUTED_VALUE"""),44245)</f>
        <v>44245</v>
      </c>
      <c r="B2631" s="8" t="str">
        <f ca="1">IFERROR(__xludf.DUMMYFUNCTION("""COMPUTED_VALUE"""),"-33.681557,-71.228758")</f>
        <v>-33.681557,-71.228758</v>
      </c>
      <c r="C2631" s="6" t="str">
        <f ca="1">IFERROR(__xludf.DUMMYFUNCTION("""COMPUTED_VALUE"""),"LOS PEUMOS 199 ")</f>
        <v xml:space="preserve">LOS PEUMOS 199 </v>
      </c>
      <c r="D2631" s="6" t="str">
        <f ca="1">IFERROR(__xludf.DUMMYFUNCTION("""COMPUTED_VALUE"""),"MELIPILLA")</f>
        <v>MELIPILLA</v>
      </c>
    </row>
    <row r="2632" spans="1:4">
      <c r="A2632" s="7">
        <f ca="1">IFERROR(__xludf.DUMMYFUNCTION("""COMPUTED_VALUE"""),44245)</f>
        <v>44245</v>
      </c>
      <c r="B2632" s="6" t="str">
        <f ca="1">IFERROR(__xludf.DUMMYFUNCTION("""COMPUTED_VALUE"""),"-33.597695-70.880102")</f>
        <v>-33.597695-70.880102</v>
      </c>
      <c r="C2632" s="6" t="str">
        <f ca="1">IFERROR(__xludf.DUMMYFUNCTION("""COMPUTED_VALUE"""),"AV. SALVADOR SILVA 2746")</f>
        <v>AV. SALVADOR SILVA 2746</v>
      </c>
      <c r="D2632" s="6" t="str">
        <f ca="1">IFERROR(__xludf.DUMMYFUNCTION("""COMPUTED_VALUE"""),"PEÑAFLOR")</f>
        <v>PEÑAFLOR</v>
      </c>
    </row>
    <row r="2633" spans="1:4">
      <c r="A2633" s="7">
        <f ca="1">IFERROR(__xludf.DUMMYFUNCTION("""COMPUTED_VALUE"""),44245)</f>
        <v>44245</v>
      </c>
      <c r="B2633" s="6" t="str">
        <f ca="1">IFERROR(__xludf.DUMMYFUNCTION("""COMPUTED_VALUE"""),"-33.460710588-71.045541270")</f>
        <v>-33.460710588-71.045541270</v>
      </c>
      <c r="C2633" s="6" t="str">
        <f ca="1">IFERROR(__xludf.DUMMYFUNCTION("""COMPUTED_VALUE"""),"SAN JOAQUIN P-1 A S/N")</f>
        <v>SAN JOAQUIN P-1 A S/N</v>
      </c>
      <c r="D2633" s="6" t="str">
        <f ca="1">IFERROR(__xludf.DUMMYFUNCTION("""COMPUTED_VALUE"""),"CURACAVI")</f>
        <v>CURACAVI</v>
      </c>
    </row>
    <row r="2634" spans="1:4">
      <c r="A2634" s="7">
        <f ca="1">IFERROR(__xludf.DUMMYFUNCTION("""COMPUTED_VALUE"""),44245)</f>
        <v>44245</v>
      </c>
      <c r="B2634" s="6" t="str">
        <f ca="1">IFERROR(__xludf.DUMMYFUNCTION("""COMPUTED_VALUE"""),"-33.398328015-71.1283948893")</f>
        <v>-33.398328015-71.1283948893</v>
      </c>
      <c r="C2634" s="6" t="str">
        <f ca="1">IFERROR(__xludf.DUMMYFUNCTION("""COMPUTED_VALUE"""),"CARLOS BRULL 1939")</f>
        <v>CARLOS BRULL 1939</v>
      </c>
      <c r="D2634" s="6" t="str">
        <f ca="1">IFERROR(__xludf.DUMMYFUNCTION("""COMPUTED_VALUE"""),"CURACAVI")</f>
        <v>CURACAVI</v>
      </c>
    </row>
    <row r="2635" spans="1:4">
      <c r="A2635" s="7">
        <f ca="1">IFERROR(__xludf.DUMMYFUNCTION("""COMPUTED_VALUE"""),44245)</f>
        <v>44245</v>
      </c>
      <c r="B2635" s="6" t="str">
        <f ca="1">IFERROR(__xludf.DUMMYFUNCTION("""COMPUTED_VALUE"""),"-33.4608338364-71.036984151")</f>
        <v>-33.4608338364-71.036984151</v>
      </c>
      <c r="C2635" s="6" t="str">
        <f ca="1">IFERROR(__xludf.DUMMYFUNCTION("""COMPUTED_VALUE"""),"SAN JOAQUIN PAR 4 LOTE B 3")</f>
        <v>SAN JOAQUIN PAR 4 LOTE B 3</v>
      </c>
      <c r="D2635" s="6" t="str">
        <f ca="1">IFERROR(__xludf.DUMMYFUNCTION("""COMPUTED_VALUE"""),"CURACAVI")</f>
        <v>CURACAVI</v>
      </c>
    </row>
    <row r="2636" spans="1:4">
      <c r="A2636" s="7">
        <f ca="1">IFERROR(__xludf.DUMMYFUNCTION("""COMPUTED_VALUE"""),44245)</f>
        <v>44245</v>
      </c>
      <c r="B2636" s="6" t="str">
        <f ca="1">IFERROR(__xludf.DUMMYFUNCTION("""COMPUTED_VALUE"""),"-33.39647-71.113173")</f>
        <v>-33.39647-71.113173</v>
      </c>
      <c r="C2636" s="6" t="str">
        <f ca="1">IFERROR(__xludf.DUMMYFUNCTION("""COMPUTED_VALUE"""),"REGIDARA VANIA ORELLANA 1649")</f>
        <v>REGIDARA VANIA ORELLANA 1649</v>
      </c>
      <c r="D2636" s="6" t="str">
        <f ca="1">IFERROR(__xludf.DUMMYFUNCTION("""COMPUTED_VALUE"""),"CURACAVI")</f>
        <v>CURACAVI</v>
      </c>
    </row>
    <row r="2637" spans="1:4">
      <c r="A2637" s="7">
        <f ca="1">IFERROR(__xludf.DUMMYFUNCTION("""COMPUTED_VALUE"""),44245)</f>
        <v>44245</v>
      </c>
      <c r="B2637" s="6" t="str">
        <f ca="1">IFERROR(__xludf.DUMMYFUNCTION("""COMPUTED_VALUE"""),"-33.39662-71.12332")</f>
        <v>-33.39662-71.12332</v>
      </c>
      <c r="C2637" s="6" t="str">
        <f ca="1">IFERROR(__xludf.DUMMYFUNCTION("""COMPUTED_VALUE"""),"LAS ARAUCARIAS 437")</f>
        <v>LAS ARAUCARIAS 437</v>
      </c>
      <c r="D2637" s="6" t="str">
        <f ca="1">IFERROR(__xludf.DUMMYFUNCTION("""COMPUTED_VALUE"""),"CURACAVI")</f>
        <v>CURACAVI</v>
      </c>
    </row>
    <row r="2638" spans="1:4">
      <c r="A2638" s="7">
        <f ca="1">IFERROR(__xludf.DUMMYFUNCTION("""COMPUTED_VALUE"""),44245)</f>
        <v>44245</v>
      </c>
      <c r="B2638" s="6" t="str">
        <f ca="1">IFERROR(__xludf.DUMMYFUNCTION("""COMPUTED_VALUE"""),"-33.396137-71.127000")</f>
        <v>-33.396137-71.127000</v>
      </c>
      <c r="C2638" s="6" t="str">
        <f ca="1">IFERROR(__xludf.DUMMYFUNCTION("""COMPUTED_VALUE"""),"MANUEL LARRAIN 640 L2 A")</f>
        <v>MANUEL LARRAIN 640 L2 A</v>
      </c>
      <c r="D2638" s="6" t="str">
        <f ca="1">IFERROR(__xludf.DUMMYFUNCTION("""COMPUTED_VALUE"""),"CURACAVI")</f>
        <v>CURACAVI</v>
      </c>
    </row>
    <row r="2639" spans="1:4">
      <c r="A2639" s="7">
        <f ca="1">IFERROR(__xludf.DUMMYFUNCTION("""COMPUTED_VALUE"""),44245)</f>
        <v>44245</v>
      </c>
      <c r="B2639" s="6" t="str">
        <f ca="1">IFERROR(__xludf.DUMMYFUNCTION("""COMPUTED_VALUE"""),"-33.396213-71.127085")</f>
        <v>-33.396213-71.127085</v>
      </c>
      <c r="C2639" s="6" t="str">
        <f ca="1">IFERROR(__xludf.DUMMYFUNCTION("""COMPUTED_VALUE"""),"MANUEL LARRAIN 631")</f>
        <v>MANUEL LARRAIN 631</v>
      </c>
      <c r="D2639" s="6" t="str">
        <f ca="1">IFERROR(__xludf.DUMMYFUNCTION("""COMPUTED_VALUE"""),"CURACAVI")</f>
        <v>CURACAVI</v>
      </c>
    </row>
    <row r="2640" spans="1:4">
      <c r="A2640" s="7">
        <f ca="1">IFERROR(__xludf.DUMMYFUNCTION("""COMPUTED_VALUE"""),44245)</f>
        <v>44245</v>
      </c>
      <c r="B2640" s="6" t="str">
        <f ca="1">IFERROR(__xludf.DUMMYFUNCTION("""COMPUTED_VALUE"""),"-33.231405-71.711421")</f>
        <v>-33.231405-71.711421</v>
      </c>
      <c r="C2640" s="6" t="str">
        <f ca="1">IFERROR(__xludf.DUMMYFUNCTION("""COMPUTED_VALUE"""),"PRESBITERO MORAGA 804")</f>
        <v>PRESBITERO MORAGA 804</v>
      </c>
      <c r="D2640" s="6" t="str">
        <f ca="1">IFERROR(__xludf.DUMMYFUNCTION("""COMPUTED_VALUE"""),"CURACAVI")</f>
        <v>CURACAVI</v>
      </c>
    </row>
    <row r="2641" spans="1:4">
      <c r="A2641" s="7">
        <f ca="1">IFERROR(__xludf.DUMMYFUNCTION("""COMPUTED_VALUE"""),44245)</f>
        <v>44245</v>
      </c>
      <c r="B2641" s="6" t="str">
        <f ca="1">IFERROR(__xludf.DUMMYFUNCTION("""COMPUTED_VALUE"""),"-33.6668269,-71.1080177")</f>
        <v>-33.6668269,-71.1080177</v>
      </c>
      <c r="C2641" s="6" t="str">
        <f ca="1">IFERROR(__xludf.DUMMYFUNCTION("""COMPUTED_VALUE"""),"LAS ROSAS 5-A")</f>
        <v>LAS ROSAS 5-A</v>
      </c>
      <c r="D2641" s="6" t="str">
        <f ca="1">IFERROR(__xludf.DUMMYFUNCTION("""COMPUTED_VALUE"""),"MELIPILLA")</f>
        <v>MELIPILLA</v>
      </c>
    </row>
    <row r="2642" spans="1:4">
      <c r="A2642" s="7">
        <f ca="1">IFERROR(__xludf.DUMMYFUNCTION("""COMPUTED_VALUE"""),44245)</f>
        <v>44245</v>
      </c>
      <c r="B2642" s="6" t="str">
        <f ca="1">IFERROR(__xludf.DUMMYFUNCTION("""COMPUTED_VALUE"""),"-33.609915,-71.104545")</f>
        <v>-33.609915,-71.104545</v>
      </c>
      <c r="C2642" s="6" t="str">
        <f ca="1">IFERROR(__xludf.DUMMYFUNCTION("""COMPUTED_VALUE"""),"HERMANOS CARRERA  S/N ")</f>
        <v xml:space="preserve">HERMANOS CARRERA  S/N </v>
      </c>
      <c r="D2642" s="6" t="str">
        <f ca="1">IFERROR(__xludf.DUMMYFUNCTION("""COMPUTED_VALUE"""),"MELIPILLA")</f>
        <v>MELIPILLA</v>
      </c>
    </row>
    <row r="2643" spans="1:4">
      <c r="A2643" s="7">
        <f ca="1">IFERROR(__xludf.DUMMYFUNCTION("""COMPUTED_VALUE"""),44245)</f>
        <v>44245</v>
      </c>
      <c r="B2643" s="6" t="str">
        <f ca="1">IFERROR(__xludf.DUMMYFUNCTION("""COMPUTED_VALUE"""),"-33.605858,-71.099316")</f>
        <v>-33.605858,-71.099316</v>
      </c>
      <c r="C2643" s="6" t="str">
        <f ca="1">IFERROR(__xludf.DUMMYFUNCTION("""COMPUTED_VALUE"""),"HERMANOS CARRERA  S/N CV15")</f>
        <v>HERMANOS CARRERA  S/N CV15</v>
      </c>
      <c r="D2643" s="6" t="str">
        <f ca="1">IFERROR(__xludf.DUMMYFUNCTION("""COMPUTED_VALUE"""),"MELIPILLA")</f>
        <v>MELIPILLA</v>
      </c>
    </row>
    <row r="2644" spans="1:4">
      <c r="A2644" s="7">
        <f ca="1">IFERROR(__xludf.DUMMYFUNCTION("""COMPUTED_VALUE"""),44245)</f>
        <v>44245</v>
      </c>
      <c r="B2644" s="6" t="str">
        <f ca="1">IFERROR(__xludf.DUMMYFUNCTION("""COMPUTED_VALUE"""),"-33.7616739,-71.1949019")</f>
        <v>-33.7616739,-71.1949019</v>
      </c>
      <c r="C2644" s="6" t="str">
        <f ca="1">IFERROR(__xludf.DUMMYFUNCTION("""COMPUTED_VALUE"""),"PARCELA 126 PABELLON")</f>
        <v>PARCELA 126 PABELLON</v>
      </c>
      <c r="D2644" s="6" t="str">
        <f ca="1">IFERROR(__xludf.DUMMYFUNCTION("""COMPUTED_VALUE"""),"MELIPILLA")</f>
        <v>MELIPILLA</v>
      </c>
    </row>
    <row r="2645" spans="1:4">
      <c r="A2645" s="7">
        <f ca="1">IFERROR(__xludf.DUMMYFUNCTION("""COMPUTED_VALUE"""),44245)</f>
        <v>44245</v>
      </c>
      <c r="B2645" s="6" t="str">
        <f ca="1">IFERROR(__xludf.DUMMYFUNCTION("""COMPUTED_VALUE"""),"-33.605009,-71.111704")</f>
        <v>-33.605009,-71.111704</v>
      </c>
      <c r="C2645" s="6" t="str">
        <f ca="1">IFERROR(__xludf.DUMMYFUNCTION("""COMPUTED_VALUE"""),"HERANOS CARERRA  S/N CV26")</f>
        <v>HERANOS CARERRA  S/N CV26</v>
      </c>
      <c r="D2645" s="6" t="str">
        <f ca="1">IFERROR(__xludf.DUMMYFUNCTION("""COMPUTED_VALUE"""),"MELIPILLA")</f>
        <v>MELIPILLA</v>
      </c>
    </row>
    <row r="2646" spans="1:4">
      <c r="A2646" s="7">
        <f ca="1">IFERROR(__xludf.DUMMYFUNCTION("""COMPUTED_VALUE"""),44245)</f>
        <v>44245</v>
      </c>
      <c r="B2646" s="6" t="str">
        <f ca="1">IFERROR(__xludf.DUMMYFUNCTION("""COMPUTED_VALUE"""),"-33.743564,-71.190911")</f>
        <v>-33.743564,-71.190911</v>
      </c>
      <c r="C2646" s="6" t="str">
        <f ca="1">IFERROR(__xludf.DUMMYFUNCTION("""COMPUTED_VALUE"""),"CALLE LECAROS 1002")</f>
        <v>CALLE LECAROS 1002</v>
      </c>
      <c r="D2646" s="6" t="str">
        <f ca="1">IFERROR(__xludf.DUMMYFUNCTION("""COMPUTED_VALUE"""),"MELIPILLA")</f>
        <v>MELIPILLA</v>
      </c>
    </row>
    <row r="2647" spans="1:4">
      <c r="A2647" s="7">
        <f ca="1">IFERROR(__xludf.DUMMYFUNCTION("""COMPUTED_VALUE"""),44245)</f>
        <v>44245</v>
      </c>
      <c r="B2647" s="6" t="str">
        <f ca="1">IFERROR(__xludf.DUMMYFUNCTION("""COMPUTED_VALUE"""),"-33.6667378,-71.1062495")</f>
        <v>-33.6667378,-71.1062495</v>
      </c>
      <c r="C2647" s="6" t="str">
        <f ca="1">IFERROR(__xludf.DUMMYFUNCTION("""COMPUTED_VALUE"""),"LAS ROSAS 3 CHIRIGUE ")</f>
        <v xml:space="preserve">LAS ROSAS 3 CHIRIGUE </v>
      </c>
      <c r="D2647" s="6" t="str">
        <f ca="1">IFERROR(__xludf.DUMMYFUNCTION("""COMPUTED_VALUE"""),"MELIPILLA")</f>
        <v>MELIPILLA</v>
      </c>
    </row>
    <row r="2648" spans="1:4">
      <c r="A2648" s="7">
        <f ca="1">IFERROR(__xludf.DUMMYFUNCTION("""COMPUTED_VALUE"""),44245)</f>
        <v>44245</v>
      </c>
      <c r="B2648" s="6" t="str">
        <f ca="1">IFERROR(__xludf.DUMMYFUNCTION("""COMPUTED_VALUE"""),"-33.579881,-71.021700")</f>
        <v>-33.579881,-71.021700</v>
      </c>
      <c r="C2648" s="6" t="str">
        <f ca="1">IFERROR(__xludf.DUMMYFUNCTION("""COMPUTED_VALUE"""),"SANTA TERESA  ST 12 ")</f>
        <v xml:space="preserve">SANTA TERESA  ST 12 </v>
      </c>
      <c r="D2648" s="6" t="str">
        <f ca="1">IFERROR(__xludf.DUMMYFUNCTION("""COMPUTED_VALUE"""),"MELIPILLA")</f>
        <v>MELIPILLA</v>
      </c>
    </row>
    <row r="2649" spans="1:4">
      <c r="A2649" s="7">
        <f ca="1">IFERROR(__xludf.DUMMYFUNCTION("""COMPUTED_VALUE"""),44245)</f>
        <v>44245</v>
      </c>
      <c r="B2649" s="6" t="str">
        <f ca="1">IFERROR(__xludf.DUMMYFUNCTION("""COMPUTED_VALUE"""),"-33.579279,-71.007731")</f>
        <v>-33.579279,-71.007731</v>
      </c>
      <c r="C2649" s="6" t="str">
        <f ca="1">IFERROR(__xludf.DUMMYFUNCTION("""COMPUTED_VALUE"""),"SANTA TERESA  S/N ")</f>
        <v xml:space="preserve">SANTA TERESA  S/N </v>
      </c>
      <c r="D2649" s="6" t="str">
        <f ca="1">IFERROR(__xludf.DUMMYFUNCTION("""COMPUTED_VALUE"""),"MELIPILLA")</f>
        <v>MELIPILLA</v>
      </c>
    </row>
    <row r="2650" spans="1:4">
      <c r="A2650" s="7">
        <f ca="1">IFERROR(__xludf.DUMMYFUNCTION("""COMPUTED_VALUE"""),44246)</f>
        <v>44246</v>
      </c>
      <c r="B2650" s="8" t="str">
        <f ca="1">IFERROR(__xludf.DUMMYFUNCTION("""COMPUTED_VALUE"""),"-33.674769,-71.176992")</f>
        <v>-33.674769,-71.176992</v>
      </c>
      <c r="C2650" s="6" t="str">
        <f ca="1">IFERROR(__xludf.DUMMYFUNCTION("""COMPUTED_VALUE"""),"ESPAÑA 2031")</f>
        <v>ESPAÑA 2031</v>
      </c>
      <c r="D2650" s="6" t="str">
        <f ca="1">IFERROR(__xludf.DUMMYFUNCTION("""COMPUTED_VALUE"""),"MELIPILLA")</f>
        <v>MELIPILLA</v>
      </c>
    </row>
    <row r="2651" spans="1:4">
      <c r="A2651" s="7">
        <f ca="1">IFERROR(__xludf.DUMMYFUNCTION("""COMPUTED_VALUE"""),44246)</f>
        <v>44246</v>
      </c>
      <c r="B2651" s="8" t="str">
        <f ca="1">IFERROR(__xludf.DUMMYFUNCTION("""COMPUTED_VALUE"""),"-33.593706,-71.218752")</f>
        <v>-33.593706,-71.218752</v>
      </c>
      <c r="C2651" s="6" t="str">
        <f ca="1">IFERROR(__xludf.DUMMYFUNCTION("""COMPUTED_VALUE"""),"VALPARAISO S/N ")</f>
        <v xml:space="preserve">VALPARAISO S/N </v>
      </c>
      <c r="D2651" s="6" t="str">
        <f ca="1">IFERROR(__xludf.DUMMYFUNCTION("""COMPUTED_VALUE"""),"MELIPILLA")</f>
        <v>MELIPILLA</v>
      </c>
    </row>
    <row r="2652" spans="1:4">
      <c r="A2652" s="7">
        <f ca="1">IFERROR(__xludf.DUMMYFUNCTION("""COMPUTED_VALUE"""),44246)</f>
        <v>44246</v>
      </c>
      <c r="B2652" s="8" t="str">
        <f ca="1">IFERROR(__xludf.DUMMYFUNCTION("""COMPUTED_VALUE"""),"-33.573903,-71.199122")</f>
        <v>-33.573903,-71.199122</v>
      </c>
      <c r="C2652" s="6" t="str">
        <f ca="1">IFERROR(__xludf.DUMMYFUNCTION("""COMPUTED_VALUE"""),"PASAJE EL CHAGUAL 904 BOLLENAR ")</f>
        <v xml:space="preserve">PASAJE EL CHAGUAL 904 BOLLENAR </v>
      </c>
      <c r="D2652" s="6" t="str">
        <f ca="1">IFERROR(__xludf.DUMMYFUNCTION("""COMPUTED_VALUE"""),"MELIPILLA")</f>
        <v>MELIPILLA</v>
      </c>
    </row>
    <row r="2653" spans="1:4">
      <c r="A2653" s="7">
        <f ca="1">IFERROR(__xludf.DUMMYFUNCTION("""COMPUTED_VALUE"""),44246)</f>
        <v>44246</v>
      </c>
      <c r="B2653" s="8" t="str">
        <f ca="1">IFERROR(__xludf.DUMMYFUNCTION("""COMPUTED_VALUE"""),"-33.593757,-71.018958")</f>
        <v>-33.593757,-71.018958</v>
      </c>
      <c r="C2653" s="6" t="str">
        <f ca="1">IFERROR(__xludf.DUMMYFUNCTION("""COMPUTED_VALUE"""),"VALPARAISO S/N ")</f>
        <v xml:space="preserve">VALPARAISO S/N </v>
      </c>
      <c r="D2653" s="6" t="str">
        <f ca="1">IFERROR(__xludf.DUMMYFUNCTION("""COMPUTED_VALUE"""),"MELIPILLA")</f>
        <v>MELIPILLA</v>
      </c>
    </row>
    <row r="2654" spans="1:4">
      <c r="A2654" s="7">
        <f ca="1">IFERROR(__xludf.DUMMYFUNCTION("""COMPUTED_VALUE"""),44246)</f>
        <v>44246</v>
      </c>
      <c r="B2654" s="8" t="str">
        <f ca="1">IFERROR(__xludf.DUMMYFUNCTION("""COMPUTED_VALUE"""),"-33.587527-71.050960")</f>
        <v>-33.587527-71.050960</v>
      </c>
      <c r="C2654" s="6" t="str">
        <f ca="1">IFERROR(__xludf.DUMMYFUNCTION("""COMPUTED_VALUE"""),"SANTA VICTORIA SITIO 3")</f>
        <v>SANTA VICTORIA SITIO 3</v>
      </c>
      <c r="D2654" s="6" t="str">
        <f ca="1">IFERROR(__xludf.DUMMYFUNCTION("""COMPUTED_VALUE"""),"MELIPILLA")</f>
        <v>MELIPILLA</v>
      </c>
    </row>
    <row r="2655" spans="1:4">
      <c r="A2655" s="7">
        <f ca="1">IFERROR(__xludf.DUMMYFUNCTION("""COMPUTED_VALUE"""),44246)</f>
        <v>44246</v>
      </c>
      <c r="B2655" s="6" t="str">
        <f ca="1">IFERROR(__xludf.DUMMYFUNCTION("""COMPUTED_VALUE"""),"-33.4026903-71.1288214")</f>
        <v>-33.4026903-71.1288214</v>
      </c>
      <c r="C2655" s="6" t="str">
        <f ca="1">IFERROR(__xludf.DUMMYFUNCTION("""COMPUTED_VALUE"""),"PA UNO 831 VILLORIO PATAGUILLA")</f>
        <v>PA UNO 831 VILLORIO PATAGUILLA</v>
      </c>
      <c r="D2655" s="6" t="str">
        <f ca="1">IFERROR(__xludf.DUMMYFUNCTION("""COMPUTED_VALUE"""),"CURACAVI")</f>
        <v>CURACAVI</v>
      </c>
    </row>
    <row r="2656" spans="1:4">
      <c r="A2656" s="7">
        <f ca="1">IFERROR(__xludf.DUMMYFUNCTION("""COMPUTED_VALUE"""),44246)</f>
        <v>44246</v>
      </c>
      <c r="B2656" s="6" t="str">
        <f ca="1">IFERROR(__xludf.DUMMYFUNCTION("""COMPUTED_VALUE"""),"-33.45997971-71.0280457359")</f>
        <v>-33.45997971-71.0280457359</v>
      </c>
      <c r="C2656" s="6" t="str">
        <f ca="1">IFERROR(__xludf.DUMMYFUNCTION("""COMPUTED_VALUE"""),"BATALLA DE SAN JUAN LOTE 16 M S/N")</f>
        <v>BATALLA DE SAN JUAN LOTE 16 M S/N</v>
      </c>
      <c r="D2656" s="6" t="str">
        <f ca="1">IFERROR(__xludf.DUMMYFUNCTION("""COMPUTED_VALUE"""),"CURACAVI")</f>
        <v>CURACAVI</v>
      </c>
    </row>
    <row r="2657" spans="1:4">
      <c r="A2657" s="7">
        <f ca="1">IFERROR(__xludf.DUMMYFUNCTION("""COMPUTED_VALUE"""),44246)</f>
        <v>44246</v>
      </c>
      <c r="B2657" s="6" t="str">
        <f ca="1">IFERROR(__xludf.DUMMYFUNCTION("""COMPUTED_VALUE"""),"-33.379352-71.168179")</f>
        <v>-33.379352-71.168179</v>
      </c>
      <c r="C2657" s="6" t="str">
        <f ca="1">IFERROR(__xludf.DUMMYFUNCTION("""COMPUTED_VALUE"""),"CO EL TORO KM 4,5 PARC 3")</f>
        <v>CO EL TORO KM 4,5 PARC 3</v>
      </c>
      <c r="D2657" s="6" t="str">
        <f ca="1">IFERROR(__xludf.DUMMYFUNCTION("""COMPUTED_VALUE"""),"CURACAVI")</f>
        <v>CURACAVI</v>
      </c>
    </row>
    <row r="2658" spans="1:4">
      <c r="A2658" s="7">
        <f ca="1">IFERROR(__xludf.DUMMYFUNCTION("""COMPUTED_VALUE"""),44246)</f>
        <v>44246</v>
      </c>
      <c r="B2658" s="6" t="str">
        <f ca="1">IFERROR(__xludf.DUMMYFUNCTION("""COMPUTED_VALUE"""),"-33.379352-71.168179")</f>
        <v>-33.379352-71.168179</v>
      </c>
      <c r="C2658" s="6" t="str">
        <f ca="1">IFERROR(__xludf.DUMMYFUNCTION("""COMPUTED_VALUE"""),"CO EL TORO KM 4,5 PARC 3")</f>
        <v>CO EL TORO KM 4,5 PARC 3</v>
      </c>
      <c r="D2658" s="6" t="str">
        <f ca="1">IFERROR(__xludf.DUMMYFUNCTION("""COMPUTED_VALUE"""),"CURACAVI")</f>
        <v>CURACAVI</v>
      </c>
    </row>
    <row r="2659" spans="1:4">
      <c r="A2659" s="7">
        <f ca="1">IFERROR(__xludf.DUMMYFUNCTION("""COMPUTED_VALUE"""),44246)</f>
        <v>44246</v>
      </c>
      <c r="B2659" s="6" t="str">
        <f ca="1">IFERROR(__xludf.DUMMYFUNCTION("""COMPUTED_VALUE"""),"-33.398045-71.126043")</f>
        <v>-33.398045-71.126043</v>
      </c>
      <c r="C2659" s="6" t="str">
        <f ca="1">IFERROR(__xludf.DUMMYFUNCTION("""COMPUTED_VALUE"""),"LUIS CRUCHAGA 517")</f>
        <v>LUIS CRUCHAGA 517</v>
      </c>
      <c r="D2659" s="6" t="str">
        <f ca="1">IFERROR(__xludf.DUMMYFUNCTION("""COMPUTED_VALUE"""),"CURACAVI")</f>
        <v>CURACAVI</v>
      </c>
    </row>
    <row r="2660" spans="1:4">
      <c r="A2660" s="7">
        <f ca="1">IFERROR(__xludf.DUMMYFUNCTION("""COMPUTED_VALUE"""),44246)</f>
        <v>44246</v>
      </c>
      <c r="B2660" s="6" t="str">
        <f ca="1">IFERROR(__xludf.DUMMYFUNCTION("""COMPUTED_VALUE"""),"-33.400270-71.120212")</f>
        <v>-33.400270-71.120212</v>
      </c>
      <c r="C2660" s="6" t="str">
        <f ca="1">IFERROR(__xludf.DUMMYFUNCTION("""COMPUTED_VALUE"""),"PASAJE UNO 2208")</f>
        <v>PASAJE UNO 2208</v>
      </c>
      <c r="D2660" s="6" t="str">
        <f ca="1">IFERROR(__xludf.DUMMYFUNCTION("""COMPUTED_VALUE"""),"CURACAVI")</f>
        <v>CURACAVI</v>
      </c>
    </row>
    <row r="2661" spans="1:4">
      <c r="A2661" s="7">
        <f ca="1">IFERROR(__xludf.DUMMYFUNCTION("""COMPUTED_VALUE"""),44246)</f>
        <v>44246</v>
      </c>
      <c r="B2661" s="6" t="str">
        <f ca="1">IFERROR(__xludf.DUMMYFUNCTION("""COMPUTED_VALUE"""),"-33.409608-71.145350")</f>
        <v>-33.409608-71.145350</v>
      </c>
      <c r="C2661" s="6" t="str">
        <f ca="1">IFERROR(__xludf.DUMMYFUNCTION("""COMPUTED_VALUE"""),"LAS ACACIAS 550")</f>
        <v>LAS ACACIAS 550</v>
      </c>
      <c r="D2661" s="6" t="str">
        <f ca="1">IFERROR(__xludf.DUMMYFUNCTION("""COMPUTED_VALUE"""),"CURACAVI")</f>
        <v>CURACAVI</v>
      </c>
    </row>
    <row r="2662" spans="1:4">
      <c r="A2662" s="7">
        <f ca="1">IFERROR(__xludf.DUMMYFUNCTION("""COMPUTED_VALUE"""),44246)</f>
        <v>44246</v>
      </c>
      <c r="B2662" s="6" t="str">
        <f ca="1">IFERROR(__xludf.DUMMYFUNCTION("""COMPUTED_VALUE"""),"-33.410444-71.143633")</f>
        <v>-33.410444-71.143633</v>
      </c>
      <c r="C2662" s="6" t="str">
        <f ca="1">IFERROR(__xludf.DUMMYFUNCTION("""COMPUTED_VALUE"""),"LAS LILAS 678")</f>
        <v>LAS LILAS 678</v>
      </c>
      <c r="D2662" s="6" t="str">
        <f ca="1">IFERROR(__xludf.DUMMYFUNCTION("""COMPUTED_VALUE"""),"CURACAVI")</f>
        <v>CURACAVI</v>
      </c>
    </row>
    <row r="2663" spans="1:4">
      <c r="A2663" s="7">
        <f ca="1">IFERROR(__xludf.DUMMYFUNCTION("""COMPUTED_VALUE"""),44246)</f>
        <v>44246</v>
      </c>
      <c r="B2663" s="6" t="str">
        <f ca="1">IFERROR(__xludf.DUMMYFUNCTION("""COMPUTED_VALUE"""),"-33.231391-71.714211")</f>
        <v>-33.231391-71.714211</v>
      </c>
      <c r="C2663" s="6" t="str">
        <f ca="1">IFERROR(__xludf.DUMMYFUNCTION("""COMPUTED_VALUE"""),"PRESBITERO MORAGA 842")</f>
        <v>PRESBITERO MORAGA 842</v>
      </c>
      <c r="D2663" s="6" t="str">
        <f ca="1">IFERROR(__xludf.DUMMYFUNCTION("""COMPUTED_VALUE"""),"CURACAVI")</f>
        <v>CURACAVI</v>
      </c>
    </row>
    <row r="2664" spans="1:4">
      <c r="A2664" s="7">
        <f ca="1">IFERROR(__xludf.DUMMYFUNCTION("""COMPUTED_VALUE"""),44246)</f>
        <v>44246</v>
      </c>
      <c r="B2664" s="6" t="str">
        <f ca="1">IFERROR(__xludf.DUMMYFUNCTION("""COMPUTED_VALUE"""),"-33.241291-71.711411")</f>
        <v>-33.241291-71.711411</v>
      </c>
      <c r="C2664" s="6" t="str">
        <f ca="1">IFERROR(__xludf.DUMMYFUNCTION("""COMPUTED_VALUE"""),"PRESBITERO MORAGA 1039")</f>
        <v>PRESBITERO MORAGA 1039</v>
      </c>
      <c r="D2664" s="6" t="str">
        <f ca="1">IFERROR(__xludf.DUMMYFUNCTION("""COMPUTED_VALUE"""),"CURACAVI")</f>
        <v>CURACAVI</v>
      </c>
    </row>
    <row r="2665" spans="1:4">
      <c r="A2665" s="7">
        <f ca="1">IFERROR(__xludf.DUMMYFUNCTION("""COMPUTED_VALUE"""),44246)</f>
        <v>44246</v>
      </c>
      <c r="B2665" s="6" t="str">
        <f ca="1">IFERROR(__xludf.DUMMYFUNCTION("""COMPUTED_VALUE"""),"-33.24036-70.79207")</f>
        <v>-33.24036-70.79207</v>
      </c>
      <c r="C2665" s="6" t="str">
        <f ca="1">IFERROR(__xludf.DUMMYFUNCTION("""COMPUTED_VALUE"""),"VOLCAN VILLARICA P. B4")</f>
        <v>VOLCAN VILLARICA P. B4</v>
      </c>
      <c r="D2665" s="6" t="str">
        <f ca="1">IFERROR(__xludf.DUMMYFUNCTION("""COMPUTED_VALUE"""),"LAMPA")</f>
        <v>LAMPA</v>
      </c>
    </row>
    <row r="2666" spans="1:4">
      <c r="A2666" s="7">
        <f ca="1">IFERROR(__xludf.DUMMYFUNCTION("""COMPUTED_VALUE"""),44246)</f>
        <v>44246</v>
      </c>
      <c r="B2666" s="6" t="str">
        <f ca="1">IFERROR(__xludf.DUMMYFUNCTION("""COMPUTED_VALUE"""),"-33.300319-70.668431")</f>
        <v>-33.300319-70.668431</v>
      </c>
      <c r="C2666" s="6" t="str">
        <f ca="1">IFERROR(__xludf.DUMMYFUNCTION("""COMPUTED_VALUE"""),"CASA DEL ALBA P/34 S/17")</f>
        <v>CASA DEL ALBA P/34 S/17</v>
      </c>
      <c r="D2666" s="6" t="str">
        <f ca="1">IFERROR(__xludf.DUMMYFUNCTION("""COMPUTED_VALUE"""),"COLINA")</f>
        <v>COLINA</v>
      </c>
    </row>
    <row r="2667" spans="1:4">
      <c r="A2667" s="7">
        <f ca="1">IFERROR(__xludf.DUMMYFUNCTION("""COMPUTED_VALUE"""),44246)</f>
        <v>44246</v>
      </c>
      <c r="B2667" s="6" t="str">
        <f ca="1">IFERROR(__xludf.DUMMYFUNCTION("""COMPUTED_VALUE"""),"-33.300319-70.668431")</f>
        <v>-33.300319-70.668431</v>
      </c>
      <c r="C2667" s="6" t="str">
        <f ca="1">IFERROR(__xludf.DUMMYFUNCTION("""COMPUTED_VALUE"""),"CASA DEL ALBA P/34 S/17")</f>
        <v>CASA DEL ALBA P/34 S/17</v>
      </c>
      <c r="D2667" s="6" t="str">
        <f ca="1">IFERROR(__xludf.DUMMYFUNCTION("""COMPUTED_VALUE"""),"COLINA")</f>
        <v>COLINA</v>
      </c>
    </row>
    <row r="2668" spans="1:4">
      <c r="A2668" s="7">
        <f ca="1">IFERROR(__xludf.DUMMYFUNCTION("""COMPUTED_VALUE"""),44246)</f>
        <v>44246</v>
      </c>
      <c r="B2668" s="6" t="str">
        <f ca="1">IFERROR(__xludf.DUMMYFUNCTION("""COMPUTED_VALUE"""),"-33.255611-70.67843")</f>
        <v>-33.255611-70.67843</v>
      </c>
      <c r="C2668" s="6" t="str">
        <f ca="1">IFERROR(__xludf.DUMMYFUNCTION("""COMPUTED_VALUE"""),"LOS INGLESES 54")</f>
        <v>LOS INGLESES 54</v>
      </c>
      <c r="D2668" s="6" t="str">
        <f ca="1">IFERROR(__xludf.DUMMYFUNCTION("""COMPUTED_VALUE"""),"COLINA")</f>
        <v>COLINA</v>
      </c>
    </row>
    <row r="2669" spans="1:4">
      <c r="A2669" s="7">
        <f ca="1">IFERROR(__xludf.DUMMYFUNCTION("""COMPUTED_VALUE"""),44246)</f>
        <v>44246</v>
      </c>
      <c r="B2669" s="6" t="str">
        <f ca="1">IFERROR(__xludf.DUMMYFUNCTION("""COMPUTED_VALUE"""),"-33.415931-71.155386")</f>
        <v>-33.415931-71.155386</v>
      </c>
      <c r="C2669" s="6" t="str">
        <f ca="1">IFERROR(__xludf.DUMMYFUNCTION("""COMPUTED_VALUE"""),"JOSE RAMON ARMAZAN 288")</f>
        <v>JOSE RAMON ARMAZAN 288</v>
      </c>
      <c r="D2669" s="6" t="str">
        <f ca="1">IFERROR(__xludf.DUMMYFUNCTION("""COMPUTED_VALUE"""),"CURACAVI")</f>
        <v>CURACAVI</v>
      </c>
    </row>
    <row r="2670" spans="1:4">
      <c r="A2670" s="7">
        <f ca="1">IFERROR(__xludf.DUMMYFUNCTION("""COMPUTED_VALUE"""),44246)</f>
        <v>44246</v>
      </c>
      <c r="B2670" s="6" t="str">
        <f ca="1">IFERROR(__xludf.DUMMYFUNCTION("""COMPUTED_VALUE"""),"-33.566106,-71.221953")</f>
        <v>-33.566106,-71.221953</v>
      </c>
      <c r="C2670" s="6" t="str">
        <f ca="1">IFERROR(__xludf.DUMMYFUNCTION("""COMPUTED_VALUE"""),"ESPERANZA S/N")</f>
        <v>ESPERANZA S/N</v>
      </c>
      <c r="D2670" s="6" t="str">
        <f ca="1">IFERROR(__xludf.DUMMYFUNCTION("""COMPUTED_VALUE"""),"MELIPILLA")</f>
        <v>MELIPILLA</v>
      </c>
    </row>
    <row r="2671" spans="1:4">
      <c r="A2671" s="7">
        <f ca="1">IFERROR(__xludf.DUMMYFUNCTION("""COMPUTED_VALUE"""),44246)</f>
        <v>44246</v>
      </c>
      <c r="B2671" s="6" t="str">
        <f ca="1">IFERROR(__xludf.DUMMYFUNCTION("""COMPUTED_VALUE"""),"-33.6668137,-71.1074139")</f>
        <v>-33.6668137,-71.1074139</v>
      </c>
      <c r="C2671" s="6" t="str">
        <f ca="1">IFERROR(__xludf.DUMMYFUNCTION("""COMPUTED_VALUE"""),"CHIRIGUE LAS ROSAS 13")</f>
        <v>CHIRIGUE LAS ROSAS 13</v>
      </c>
      <c r="D2671" s="6" t="str">
        <f ca="1">IFERROR(__xludf.DUMMYFUNCTION("""COMPUTED_VALUE"""),"MELIPILLA")</f>
        <v>MELIPILLA</v>
      </c>
    </row>
    <row r="2672" spans="1:4">
      <c r="A2672" s="7">
        <f ca="1">IFERROR(__xludf.DUMMYFUNCTION("""COMPUTED_VALUE"""),44246)</f>
        <v>44246</v>
      </c>
      <c r="B2672" s="6" t="str">
        <f ca="1">IFERROR(__xludf.DUMMYFUNCTION("""COMPUTED_VALUE"""),"-33.683481,-71.232040")</f>
        <v>-33.683481,-71.232040</v>
      </c>
      <c r="C2672" s="6" t="str">
        <f ca="1">IFERROR(__xludf.DUMMYFUNCTION("""COMPUTED_VALUE"""),"ROBERTO MORANDEZ 2028")</f>
        <v>ROBERTO MORANDEZ 2028</v>
      </c>
      <c r="D2672" s="6" t="str">
        <f ca="1">IFERROR(__xludf.DUMMYFUNCTION("""COMPUTED_VALUE"""),"MELIPILLA")</f>
        <v>MELIPILLA</v>
      </c>
    </row>
    <row r="2673" spans="1:4">
      <c r="A2673" s="7">
        <f ca="1">IFERROR(__xludf.DUMMYFUNCTION("""COMPUTED_VALUE"""),44246)</f>
        <v>44246</v>
      </c>
      <c r="B2673" s="6" t="str">
        <f ca="1">IFERROR(__xludf.DUMMYFUNCTION("""COMPUTED_VALUE"""),"-33.569116.-71.216531")</f>
        <v>-33.569116.-71.216531</v>
      </c>
      <c r="C2673" s="6" t="str">
        <f ca="1">IFERROR(__xludf.DUMMYFUNCTION("""COMPUTED_VALUE"""),"NUEVO BOLLENAR S/N")</f>
        <v>NUEVO BOLLENAR S/N</v>
      </c>
      <c r="D2673" s="6" t="str">
        <f ca="1">IFERROR(__xludf.DUMMYFUNCTION("""COMPUTED_VALUE"""),"MELIPILLA")</f>
        <v>MELIPILLA</v>
      </c>
    </row>
    <row r="2674" spans="1:4">
      <c r="A2674" s="7">
        <f ca="1">IFERROR(__xludf.DUMMYFUNCTION("""COMPUTED_VALUE"""),44246)</f>
        <v>44246</v>
      </c>
      <c r="B2674" s="6" t="str">
        <f ca="1">IFERROR(__xludf.DUMMYFUNCTION("""COMPUTED_VALUE"""),"-33.570184,-71.212439")</f>
        <v>-33.570184,-71.212439</v>
      </c>
      <c r="C2674" s="6" t="str">
        <f ca="1">IFERROR(__xludf.DUMMYFUNCTION("""COMPUTED_VALUE"""),"LOS PEUMOS  98 ")</f>
        <v xml:space="preserve">LOS PEUMOS  98 </v>
      </c>
      <c r="D2674" s="6" t="str">
        <f ca="1">IFERROR(__xludf.DUMMYFUNCTION("""COMPUTED_VALUE"""),"MELIPILLA")</f>
        <v>MELIPILLA</v>
      </c>
    </row>
    <row r="2675" spans="1:4">
      <c r="A2675" s="7">
        <f ca="1">IFERROR(__xludf.DUMMYFUNCTION("""COMPUTED_VALUE"""),44246)</f>
        <v>44246</v>
      </c>
      <c r="B2675" s="6" t="str">
        <f ca="1">IFERROR(__xludf.DUMMYFUNCTION("""COMPUTED_VALUE"""),"-33.576302,-71.015132")</f>
        <v>-33.576302,-71.015132</v>
      </c>
      <c r="C2675" s="6" t="str">
        <f ca="1">IFERROR(__xludf.DUMMYFUNCTION("""COMPUTED_VALUE"""),"SANTA TERESA  S/N ")</f>
        <v xml:space="preserve">SANTA TERESA  S/N </v>
      </c>
      <c r="D2675" s="6" t="str">
        <f ca="1">IFERROR(__xludf.DUMMYFUNCTION("""COMPUTED_VALUE"""),"MELIPILLA")</f>
        <v>MELIPILLA</v>
      </c>
    </row>
    <row r="2676" spans="1:4">
      <c r="A2676" s="7">
        <f ca="1">IFERROR(__xludf.DUMMYFUNCTION("""COMPUTED_VALUE"""),44247)</f>
        <v>44247</v>
      </c>
      <c r="B2676" s="6" t="str">
        <f ca="1">IFERROR(__xludf.DUMMYFUNCTION("""COMPUTED_VALUE"""),"-33.391796-71.127204")</f>
        <v>-33.391796-71.127204</v>
      </c>
      <c r="C2676" s="6" t="str">
        <f ca="1">IFERROR(__xludf.DUMMYFUNCTION("""COMPUTED_VALUE"""),"MANUEL LARRAIN 1040")</f>
        <v>MANUEL LARRAIN 1040</v>
      </c>
      <c r="D2676" s="6" t="str">
        <f ca="1">IFERROR(__xludf.DUMMYFUNCTION("""COMPUTED_VALUE"""),"CURACAVI")</f>
        <v>CURACAVI</v>
      </c>
    </row>
    <row r="2677" spans="1:4">
      <c r="A2677" s="7">
        <f ca="1">IFERROR(__xludf.DUMMYFUNCTION("""COMPUTED_VALUE"""),44247)</f>
        <v>44247</v>
      </c>
      <c r="B2677" s="6" t="str">
        <f ca="1">IFERROR(__xludf.DUMMYFUNCTION("""COMPUTED_VALUE"""),"-33.6668442,-71.1071259")</f>
        <v>-33.6668442,-71.1071259</v>
      </c>
      <c r="C2677" s="6" t="str">
        <f ca="1">IFERROR(__xludf.DUMMYFUNCTION("""COMPUTED_VALUE"""),"LAS ROSAS 285")</f>
        <v>LAS ROSAS 285</v>
      </c>
      <c r="D2677" s="6" t="str">
        <f ca="1">IFERROR(__xludf.DUMMYFUNCTION("""COMPUTED_VALUE"""),"MELIPILLA")</f>
        <v>MELIPILLA</v>
      </c>
    </row>
    <row r="2678" spans="1:4">
      <c r="A2678" s="7">
        <f ca="1">IFERROR(__xludf.DUMMYFUNCTION("""COMPUTED_VALUE"""),44248)</f>
        <v>44248</v>
      </c>
      <c r="B2678" s="8" t="str">
        <f ca="1">IFERROR(__xludf.DUMMYFUNCTION("""COMPUTED_VALUE"""),"-33.568680,-71.2135159")</f>
        <v>-33.568680,-71.2135159</v>
      </c>
      <c r="C2678" s="6" t="str">
        <f ca="1">IFERROR(__xludf.DUMMYFUNCTION("""COMPUTED_VALUE"""),"LOS QUILLAYES 156")</f>
        <v>LOS QUILLAYES 156</v>
      </c>
      <c r="D2678" s="6" t="str">
        <f ca="1">IFERROR(__xludf.DUMMYFUNCTION("""COMPUTED_VALUE"""),"MELIPILLA")</f>
        <v>MELIPILLA</v>
      </c>
    </row>
    <row r="2679" spans="1:4">
      <c r="A2679" s="7">
        <f ca="1">IFERROR(__xludf.DUMMYFUNCTION("""COMPUTED_VALUE"""),44249)</f>
        <v>44249</v>
      </c>
      <c r="B2679" s="8" t="str">
        <f ca="1">IFERROR(__xludf.DUMMYFUNCTION("""COMPUTED_VALUE"""),"-33.674394,-71.177617")</f>
        <v>-33.674394,-71.177617</v>
      </c>
      <c r="C2679" s="6" t="str">
        <f ca="1">IFERROR(__xludf.DUMMYFUNCTION("""COMPUTED_VALUE"""),"AVENIDA ITALIA 2080 ")</f>
        <v xml:space="preserve">AVENIDA ITALIA 2080 </v>
      </c>
      <c r="D2679" s="6" t="str">
        <f ca="1">IFERROR(__xludf.DUMMYFUNCTION("""COMPUTED_VALUE"""),"MELIPILLA")</f>
        <v>MELIPILLA</v>
      </c>
    </row>
    <row r="2680" spans="1:4">
      <c r="A2680" s="7">
        <f ca="1">IFERROR(__xludf.DUMMYFUNCTION("""COMPUTED_VALUE"""),44249)</f>
        <v>44249</v>
      </c>
      <c r="B2680" s="6" t="str">
        <f ca="1">IFERROR(__xludf.DUMMYFUNCTION("""COMPUTED_VALUE"""),"-33.400258-71.120162")</f>
        <v>-33.400258-71.120162</v>
      </c>
      <c r="C2680" s="6" t="str">
        <f ca="1">IFERROR(__xludf.DUMMYFUNCTION("""COMPUTED_VALUE"""),"PASAJE UNO 2212")</f>
        <v>PASAJE UNO 2212</v>
      </c>
      <c r="D2680" s="6" t="str">
        <f ca="1">IFERROR(__xludf.DUMMYFUNCTION("""COMPUTED_VALUE"""),"CURACAVI")</f>
        <v>CURACAVI</v>
      </c>
    </row>
    <row r="2681" spans="1:4">
      <c r="A2681" s="7">
        <f ca="1">IFERROR(__xludf.DUMMYFUNCTION("""COMPUTED_VALUE"""),44249)</f>
        <v>44249</v>
      </c>
      <c r="B2681" s="6" t="str">
        <f ca="1">IFERROR(__xludf.DUMMYFUNCTION("""COMPUTED_VALUE"""),"-33.397910-71.125863")</f>
        <v>-33.397910-71.125863</v>
      </c>
      <c r="C2681" s="6" t="str">
        <f ca="1">IFERROR(__xludf.DUMMYFUNCTION("""COMPUTED_VALUE"""),"LUIS CRUCHAGA 522")</f>
        <v>LUIS CRUCHAGA 522</v>
      </c>
      <c r="D2681" s="6" t="str">
        <f ca="1">IFERROR(__xludf.DUMMYFUNCTION("""COMPUTED_VALUE"""),"CURACAVI")</f>
        <v>CURACAVI</v>
      </c>
    </row>
    <row r="2682" spans="1:4">
      <c r="A2682" s="7">
        <f ca="1">IFERROR(__xludf.DUMMYFUNCTION("""COMPUTED_VALUE"""),44249)</f>
        <v>44249</v>
      </c>
      <c r="B2682" s="6" t="str">
        <f ca="1">IFERROR(__xludf.DUMMYFUNCTION("""COMPUTED_VALUE"""),"-33.391984-71.126925")</f>
        <v>-33.391984-71.126925</v>
      </c>
      <c r="C2682" s="6" t="str">
        <f ca="1">IFERROR(__xludf.DUMMYFUNCTION("""COMPUTED_VALUE"""),"ENRIQUE VELIZ 1115")</f>
        <v>ENRIQUE VELIZ 1115</v>
      </c>
      <c r="D2682" s="6" t="str">
        <f ca="1">IFERROR(__xludf.DUMMYFUNCTION("""COMPUTED_VALUE"""),"CURACAVI")</f>
        <v>CURACAVI</v>
      </c>
    </row>
    <row r="2683" spans="1:4">
      <c r="A2683" s="7">
        <f ca="1">IFERROR(__xludf.DUMMYFUNCTION("""COMPUTED_VALUE"""),44249)</f>
        <v>44249</v>
      </c>
      <c r="B2683" s="6" t="str">
        <f ca="1">IFERROR(__xludf.DUMMYFUNCTION("""COMPUTED_VALUE"""),"-33.638059-70.914728")</f>
        <v>-33.638059-70.914728</v>
      </c>
      <c r="C2683" s="6" t="str">
        <f ca="1">IFERROR(__xludf.DUMMYFUNCTION("""COMPUTED_VALUE"""),"AV. PEÑAFLOR PARCELA 9")</f>
        <v>AV. PEÑAFLOR PARCELA 9</v>
      </c>
      <c r="D2683" s="6" t="str">
        <f ca="1">IFERROR(__xludf.DUMMYFUNCTION("""COMPUTED_VALUE"""),"PEÑAFLOR")</f>
        <v>PEÑAFLOR</v>
      </c>
    </row>
    <row r="2684" spans="1:4">
      <c r="A2684" s="7">
        <f ca="1">IFERROR(__xludf.DUMMYFUNCTION("""COMPUTED_VALUE"""),44249)</f>
        <v>44249</v>
      </c>
      <c r="B2684" s="6" t="str">
        <f ca="1">IFERROR(__xludf.DUMMYFUNCTION("""COMPUTED_VALUE"""),"-33.394926-71.128453")</f>
        <v>-33.394926-71.128453</v>
      </c>
      <c r="C2684" s="6" t="str">
        <f ca="1">IFERROR(__xludf.DUMMYFUNCTION("""COMPUTED_VALUE"""),"PRESBITERIO MORAGA 793")</f>
        <v>PRESBITERIO MORAGA 793</v>
      </c>
      <c r="D2684" s="6" t="str">
        <f ca="1">IFERROR(__xludf.DUMMYFUNCTION("""COMPUTED_VALUE"""),"CURACAVI")</f>
        <v>CURACAVI</v>
      </c>
    </row>
    <row r="2685" spans="1:4">
      <c r="A2685" s="7">
        <f ca="1">IFERROR(__xludf.DUMMYFUNCTION("""COMPUTED_VALUE"""),44249)</f>
        <v>44249</v>
      </c>
      <c r="B2685" s="6" t="str">
        <f ca="1">IFERROR(__xludf.DUMMYFUNCTION("""COMPUTED_VALUE"""),"-33.394889-71.128885")</f>
        <v>-33.394889-71.128885</v>
      </c>
      <c r="C2685" s="6" t="str">
        <f ca="1">IFERROR(__xludf.DUMMYFUNCTION("""COMPUTED_VALUE"""),"PRESBITERIO MOREGA 795")</f>
        <v>PRESBITERIO MOREGA 795</v>
      </c>
      <c r="D2685" s="6" t="str">
        <f ca="1">IFERROR(__xludf.DUMMYFUNCTION("""COMPUTED_VALUE"""),"CURACAVI")</f>
        <v>CURACAVI</v>
      </c>
    </row>
    <row r="2686" spans="1:4">
      <c r="A2686" s="7">
        <f ca="1">IFERROR(__xludf.DUMMYFUNCTION("""COMPUTED_VALUE"""),44249)</f>
        <v>44249</v>
      </c>
      <c r="B2686" s="6" t="str">
        <f ca="1">IFERROR(__xludf.DUMMYFUNCTION("""COMPUTED_VALUE"""),"-33.666899,-71.107216")</f>
        <v>-33.666899,-71.107216</v>
      </c>
      <c r="C2686" s="6" t="str">
        <f ca="1">IFERROR(__xludf.DUMMYFUNCTION("""COMPUTED_VALUE"""),"CHIRIGUE LAS ROSAS 142")</f>
        <v>CHIRIGUE LAS ROSAS 142</v>
      </c>
      <c r="D2686" s="6" t="str">
        <f ca="1">IFERROR(__xludf.DUMMYFUNCTION("""COMPUTED_VALUE"""),"MELIPILLA")</f>
        <v>MELIPILLA</v>
      </c>
    </row>
    <row r="2687" spans="1:4">
      <c r="A2687" s="7">
        <f ca="1">IFERROR(__xludf.DUMMYFUNCTION("""COMPUTED_VALUE"""),44249)</f>
        <v>44249</v>
      </c>
      <c r="B2687" s="6" t="str">
        <f ca="1">IFERROR(__xludf.DUMMYFUNCTION("""COMPUTED_VALUE"""),"-33.761237,-71.195624")</f>
        <v>-33.761237,-71.195624</v>
      </c>
      <c r="C2687" s="6" t="str">
        <f ca="1">IFERROR(__xludf.DUMMYFUNCTION("""COMPUTED_VALUE"""),"PABELLON  297")</f>
        <v>PABELLON  297</v>
      </c>
      <c r="D2687" s="6" t="str">
        <f ca="1">IFERROR(__xludf.DUMMYFUNCTION("""COMPUTED_VALUE"""),"MELIPILLA")</f>
        <v>MELIPILLA</v>
      </c>
    </row>
    <row r="2688" spans="1:4">
      <c r="A2688" s="7">
        <f ca="1">IFERROR(__xludf.DUMMYFUNCTION("""COMPUTED_VALUE"""),44249)</f>
        <v>44249</v>
      </c>
      <c r="B2688" s="6" t="str">
        <f ca="1">IFERROR(__xludf.DUMMYFUNCTION("""COMPUTED_VALUE"""),"-33.675179,-71.172735")</f>
        <v>-33.675179,-71.172735</v>
      </c>
      <c r="C2688" s="6" t="str">
        <f ca="1">IFERROR(__xludf.DUMMYFUNCTION("""COMPUTED_VALUE"""),"GRECIA 2170 BARRIO ORIENTE")</f>
        <v>GRECIA 2170 BARRIO ORIENTE</v>
      </c>
      <c r="D2688" s="6" t="str">
        <f ca="1">IFERROR(__xludf.DUMMYFUNCTION("""COMPUTED_VALUE"""),"MELIPILLA")</f>
        <v>MELIPILLA</v>
      </c>
    </row>
    <row r="2689" spans="1:4">
      <c r="A2689" s="7">
        <f ca="1">IFERROR(__xludf.DUMMYFUNCTION("""COMPUTED_VALUE"""),44249)</f>
        <v>44249</v>
      </c>
      <c r="B2689" s="6" t="str">
        <f ca="1">IFERROR(__xludf.DUMMYFUNCTION("""COMPUTED_VALUE"""),"-33.072032,-70.717653")</f>
        <v>-33.072032,-70.717653</v>
      </c>
      <c r="C2689" s="6" t="str">
        <f ca="1">IFERROR(__xludf.DUMMYFUNCTION("""COMPUTED_VALUE"""),"ASENT CHACABUCO 15")</f>
        <v>ASENT CHACABUCO 15</v>
      </c>
      <c r="D2689" s="6" t="str">
        <f ca="1">IFERROR(__xludf.DUMMYFUNCTION("""COMPUTED_VALUE"""),"COLINA")</f>
        <v>COLINA</v>
      </c>
    </row>
    <row r="2690" spans="1:4">
      <c r="A2690" s="7">
        <f ca="1">IFERROR(__xludf.DUMMYFUNCTION("""COMPUTED_VALUE"""),44249)</f>
        <v>44249</v>
      </c>
      <c r="B2690" s="6" t="str">
        <f ca="1">IFERROR(__xludf.DUMMYFUNCTION("""COMPUTED_VALUE"""),"-33.073158,-70.718453")</f>
        <v>-33.073158,-70.718453</v>
      </c>
      <c r="C2690" s="6" t="str">
        <f ca="1">IFERROR(__xludf.DUMMYFUNCTION("""COMPUTED_VALUE"""),"EL COLORADO S/15")</f>
        <v>EL COLORADO S/15</v>
      </c>
      <c r="D2690" s="6" t="str">
        <f ca="1">IFERROR(__xludf.DUMMYFUNCTION("""COMPUTED_VALUE"""),"COLINA")</f>
        <v>COLINA</v>
      </c>
    </row>
    <row r="2691" spans="1:4">
      <c r="A2691" s="7">
        <f ca="1">IFERROR(__xludf.DUMMYFUNCTION("""COMPUTED_VALUE"""),44250)</f>
        <v>44250</v>
      </c>
      <c r="B2691" s="8" t="str">
        <f ca="1">IFERROR(__xludf.DUMMYFUNCTION("""COMPUTED_VALUE"""),"-33.714378,-70.740868")</f>
        <v>-33.714378,-70.740868</v>
      </c>
      <c r="C2691" s="6" t="str">
        <f ca="1">IFERROR(__xludf.DUMMYFUNCTION("""COMPUTED_VALUE"""),"RAUL OMEGA 1440")</f>
        <v>RAUL OMEGA 1440</v>
      </c>
      <c r="D2691" s="6" t="str">
        <f ca="1">IFERROR(__xludf.DUMMYFUNCTION("""COMPUTED_VALUE"""),"BUIN")</f>
        <v>BUIN</v>
      </c>
    </row>
    <row r="2692" spans="1:4">
      <c r="A2692" s="7">
        <f ca="1">IFERROR(__xludf.DUMMYFUNCTION("""COMPUTED_VALUE"""),44250)</f>
        <v>44250</v>
      </c>
      <c r="B2692" s="8" t="str">
        <f ca="1">IFERROR(__xludf.DUMMYFUNCTION("""COMPUTED_VALUE"""),"-33.755323,-70.912520")</f>
        <v>-33.755323,-70.912520</v>
      </c>
      <c r="C2692" s="6" t="str">
        <f ca="1">IFERROR(__xludf.DUMMYFUNCTION("""COMPUTED_VALUE"""),"CAMINO DE PAINE 9198  ")</f>
        <v xml:space="preserve">CAMINO DE PAINE 9198  </v>
      </c>
      <c r="D2692" s="6" t="str">
        <f ca="1">IFERROR(__xludf.DUMMYFUNCTION("""COMPUTED_VALUE"""),"BUIN")</f>
        <v>BUIN</v>
      </c>
    </row>
    <row r="2693" spans="1:4">
      <c r="A2693" s="7">
        <f ca="1">IFERROR(__xludf.DUMMYFUNCTION("""COMPUTED_VALUE"""),44250)</f>
        <v>44250</v>
      </c>
      <c r="B2693" s="8" t="str">
        <f ca="1">IFERROR(__xludf.DUMMYFUNCTION("""COMPUTED_VALUE"""),"-33.572866,-71.98670")</f>
        <v>-33.572866,-71.98670</v>
      </c>
      <c r="C2693" s="6" t="str">
        <f ca="1">IFERROR(__xludf.DUMMYFUNCTION("""COMPUTED_VALUE"""),"SITIO 37 POBLACION 5 DE OCTUBRE ")</f>
        <v xml:space="preserve">SITIO 37 POBLACION 5 DE OCTUBRE </v>
      </c>
      <c r="D2693" s="6" t="str">
        <f ca="1">IFERROR(__xludf.DUMMYFUNCTION("""COMPUTED_VALUE"""),"MELIPILLA")</f>
        <v>MELIPILLA</v>
      </c>
    </row>
    <row r="2694" spans="1:4">
      <c r="A2694" s="7">
        <f ca="1">IFERROR(__xludf.DUMMYFUNCTION("""COMPUTED_VALUE"""),44250)</f>
        <v>44250</v>
      </c>
      <c r="B2694" s="8" t="str">
        <f ca="1">IFERROR(__xludf.DUMMYFUNCTION("""COMPUTED_VALUE"""),"-33.5798761,-71.1774641")</f>
        <v>-33.5798761,-71.1774641</v>
      </c>
      <c r="C2694" s="6" t="str">
        <f ca="1">IFERROR(__xludf.DUMMYFUNCTION("""COMPUTED_VALUE"""),"STA ANA LUCIA 18 LOTE 8 ")</f>
        <v xml:space="preserve">STA ANA LUCIA 18 LOTE 8 </v>
      </c>
      <c r="D2694" s="6" t="str">
        <f ca="1">IFERROR(__xludf.DUMMYFUNCTION("""COMPUTED_VALUE"""),"MELIPILLA")</f>
        <v>MELIPILLA</v>
      </c>
    </row>
    <row r="2695" spans="1:4">
      <c r="A2695" s="7">
        <f ca="1">IFERROR(__xludf.DUMMYFUNCTION("""COMPUTED_VALUE"""),44250)</f>
        <v>44250</v>
      </c>
      <c r="B2695" s="8" t="str">
        <f ca="1">IFERROR(__xludf.DUMMYFUNCTION("""COMPUTED_VALUE"""),"-33.572545,-71.215551")</f>
        <v>-33.572545,-71.215551</v>
      </c>
      <c r="C2695" s="6" t="str">
        <f ca="1">IFERROR(__xludf.DUMMYFUNCTION("""COMPUTED_VALUE"""),"SAN PABLO S/N PARADERO 5 ")</f>
        <v xml:space="preserve">SAN PABLO S/N PARADERO 5 </v>
      </c>
      <c r="D2695" s="6" t="str">
        <f ca="1">IFERROR(__xludf.DUMMYFUNCTION("""COMPUTED_VALUE"""),"MELIPILLA")</f>
        <v>MELIPILLA</v>
      </c>
    </row>
    <row r="2696" spans="1:4">
      <c r="A2696" s="7">
        <f ca="1">IFERROR(__xludf.DUMMYFUNCTION("""COMPUTED_VALUE"""),44250)</f>
        <v>44250</v>
      </c>
      <c r="B2696" s="8" t="str">
        <f ca="1">IFERROR(__xludf.DUMMYFUNCTION("""COMPUTED_VALUE"""),"-33.630329,-71.225767")</f>
        <v>-33.630329,-71.225767</v>
      </c>
      <c r="C2696" s="6" t="str">
        <f ca="1">IFERROR(__xludf.DUMMYFUNCTION("""COMPUTED_VALUE"""),"CAMINO VALPARAISO 8G ")</f>
        <v xml:space="preserve">CAMINO VALPARAISO 8G </v>
      </c>
      <c r="D2696" s="6" t="str">
        <f ca="1">IFERROR(__xludf.DUMMYFUNCTION("""COMPUTED_VALUE"""),"MELIPILLA")</f>
        <v>MELIPILLA</v>
      </c>
    </row>
    <row r="2697" spans="1:4">
      <c r="A2697" s="7">
        <f ca="1">IFERROR(__xludf.DUMMYFUNCTION("""COMPUTED_VALUE"""),44250)</f>
        <v>44250</v>
      </c>
      <c r="B2697" s="6" t="str">
        <f ca="1">IFERROR(__xludf.DUMMYFUNCTION("""COMPUTED_VALUE"""),"-33.396834-71.122152")</f>
        <v>-33.396834-71.122152</v>
      </c>
      <c r="C2697" s="6" t="str">
        <f ca="1">IFERROR(__xludf.DUMMYFUNCTION("""COMPUTED_VALUE"""),"LOS ALERCES 430")</f>
        <v>LOS ALERCES 430</v>
      </c>
      <c r="D2697" s="6" t="str">
        <f ca="1">IFERROR(__xludf.DUMMYFUNCTION("""COMPUTED_VALUE"""),"CURACAVI")</f>
        <v>CURACAVI</v>
      </c>
    </row>
    <row r="2698" spans="1:4">
      <c r="A2698" s="7">
        <f ca="1">IFERROR(__xludf.DUMMYFUNCTION("""COMPUTED_VALUE"""),44250)</f>
        <v>44250</v>
      </c>
      <c r="B2698" s="6" t="str">
        <f ca="1">IFERROR(__xludf.DUMMYFUNCTION("""COMPUTED_VALUE"""),"-33.381062-71.172649")</f>
        <v>-33.381062-71.172649</v>
      </c>
      <c r="C2698" s="6" t="str">
        <f ca="1">IFERROR(__xludf.DUMMYFUNCTION("""COMPUTED_VALUE"""),"CO EL TORO KM 4.5 PARC/36")</f>
        <v>CO EL TORO KM 4.5 PARC/36</v>
      </c>
      <c r="D2698" s="6" t="str">
        <f ca="1">IFERROR(__xludf.DUMMYFUNCTION("""COMPUTED_VALUE"""),"CURACAVI")</f>
        <v>CURACAVI</v>
      </c>
    </row>
    <row r="2699" spans="1:4">
      <c r="A2699" s="7">
        <f ca="1">IFERROR(__xludf.DUMMYFUNCTION("""COMPUTED_VALUE"""),44250)</f>
        <v>44250</v>
      </c>
      <c r="B2699" s="6" t="str">
        <f ca="1">IFERROR(__xludf.DUMMYFUNCTION("""COMPUTED_VALUE"""),"-33.434494-71.026961")</f>
        <v>-33.434494-71.026961</v>
      </c>
      <c r="C2699" s="6" t="str">
        <f ca="1">IFERROR(__xludf.DUMMYFUNCTION("""COMPUTED_VALUE"""),"UNION SAN JOSE SITIO 6")</f>
        <v>UNION SAN JOSE SITIO 6</v>
      </c>
      <c r="D2699" s="6" t="str">
        <f ca="1">IFERROR(__xludf.DUMMYFUNCTION("""COMPUTED_VALUE"""),"CURACAVI")</f>
        <v>CURACAVI</v>
      </c>
    </row>
    <row r="2700" spans="1:4">
      <c r="A2700" s="7">
        <f ca="1">IFERROR(__xludf.DUMMYFUNCTION("""COMPUTED_VALUE"""),44250)</f>
        <v>44250</v>
      </c>
      <c r="B2700" s="6" t="str">
        <f ca="1">IFERROR(__xludf.DUMMYFUNCTION("""COMPUTED_VALUE"""),"-33.39129004623789-71.12182619277928")</f>
        <v>-33.39129004623789-71.12182619277928</v>
      </c>
      <c r="C2700" s="6" t="str">
        <f ca="1">IFERROR(__xludf.DUMMYFUNCTION("""COMPUTED_VALUE"""),"LOS PATRIOTAS 2187")</f>
        <v>LOS PATRIOTAS 2187</v>
      </c>
      <c r="D2700" s="6" t="str">
        <f ca="1">IFERROR(__xludf.DUMMYFUNCTION("""COMPUTED_VALUE"""),"CURACAVI")</f>
        <v>CURACAVI</v>
      </c>
    </row>
    <row r="2701" spans="1:4">
      <c r="A2701" s="7">
        <f ca="1">IFERROR(__xludf.DUMMYFUNCTION("""COMPUTED_VALUE"""),44250)</f>
        <v>44250</v>
      </c>
      <c r="B2701" s="6" t="str">
        <f ca="1">IFERROR(__xludf.DUMMYFUNCTION("""COMPUTED_VALUE"""),"-33.603838-70.891372")</f>
        <v>-33.603838-70.891372</v>
      </c>
      <c r="C2701" s="6" t="str">
        <f ca="1">IFERROR(__xludf.DUMMYFUNCTION("""COMPUTED_VALUE"""),"JUAN ANTONIO ROJAS 32")</f>
        <v>JUAN ANTONIO ROJAS 32</v>
      </c>
      <c r="D2701" s="6" t="str">
        <f ca="1">IFERROR(__xludf.DUMMYFUNCTION("""COMPUTED_VALUE"""),"PEÑAFLOR")</f>
        <v>PEÑAFLOR</v>
      </c>
    </row>
    <row r="2702" spans="1:4">
      <c r="A2702" s="7">
        <f ca="1">IFERROR(__xludf.DUMMYFUNCTION("""COMPUTED_VALUE"""),44250)</f>
        <v>44250</v>
      </c>
      <c r="B2702" s="6" t="str">
        <f ca="1">IFERROR(__xludf.DUMMYFUNCTION("""COMPUTED_VALUE"""),"-33.15366-70.887407")</f>
        <v>-33.15366-70.887407</v>
      </c>
      <c r="C2702" s="6" t="str">
        <f ca="1">IFERROR(__xludf.DUMMYFUNCTION("""COMPUTED_VALUE"""),"CALLEJON DEL RIO SITIO 16")</f>
        <v>CALLEJON DEL RIO SITIO 16</v>
      </c>
      <c r="D2702" s="6" t="str">
        <f ca="1">IFERROR(__xludf.DUMMYFUNCTION("""COMPUTED_VALUE"""),"TIL TIL")</f>
        <v>TIL TIL</v>
      </c>
    </row>
    <row r="2703" spans="1:4">
      <c r="A2703" s="7">
        <f ca="1">IFERROR(__xludf.DUMMYFUNCTION("""COMPUTED_VALUE"""),44250)</f>
        <v>44250</v>
      </c>
      <c r="B2703" s="6" t="str">
        <f ca="1">IFERROR(__xludf.DUMMYFUNCTION("""COMPUTED_VALUE"""),"-33.090663-70.675692")</f>
        <v>-33.090663-70.675692</v>
      </c>
      <c r="C2703" s="6" t="str">
        <f ca="1">IFERROR(__xludf.DUMMYFUNCTION("""COMPUTED_VALUE""")," QUILAPILUN PARC 4 SITIO B")</f>
        <v xml:space="preserve"> QUILAPILUN PARC 4 SITIO B</v>
      </c>
      <c r="D2703" s="6" t="str">
        <f ca="1">IFERROR(__xludf.DUMMYFUNCTION("""COMPUTED_VALUE"""),"COLINA")</f>
        <v>COLINA</v>
      </c>
    </row>
    <row r="2704" spans="1:4">
      <c r="A2704" s="7">
        <f ca="1">IFERROR(__xludf.DUMMYFUNCTION("""COMPUTED_VALUE"""),44250)</f>
        <v>44250</v>
      </c>
      <c r="B2704" s="6" t="str">
        <f ca="1">IFERROR(__xludf.DUMMYFUNCTION("""COMPUTED_VALUE"""),"-33.094059-70.678748")</f>
        <v>-33.094059-70.678748</v>
      </c>
      <c r="C2704" s="6" t="str">
        <f ca="1">IFERROR(__xludf.DUMMYFUNCTION("""COMPUTED_VALUE"""),"QUILAPILUN PARC 4-S LOTE 3-A")</f>
        <v>QUILAPILUN PARC 4-S LOTE 3-A</v>
      </c>
      <c r="D2704" s="6" t="str">
        <f ca="1">IFERROR(__xludf.DUMMYFUNCTION("""COMPUTED_VALUE"""),"COLINA")</f>
        <v>COLINA</v>
      </c>
    </row>
    <row r="2705" spans="1:4">
      <c r="A2705" s="7">
        <f ca="1">IFERROR(__xludf.DUMMYFUNCTION("""COMPUTED_VALUE"""),44250)</f>
        <v>44250</v>
      </c>
      <c r="B2705" s="6" t="str">
        <f ca="1">IFERROR(__xludf.DUMMYFUNCTION("""COMPUTED_VALUE"""),"-33.4475533278-71.0401373298")</f>
        <v>-33.4475533278-71.0401373298</v>
      </c>
      <c r="C2705" s="6" t="str">
        <f ca="1">IFERROR(__xludf.DUMMYFUNCTION("""COMPUTED_VALUE"""),"UNION CHILENA CAS 2 ")</f>
        <v xml:space="preserve">UNION CHILENA CAS 2 </v>
      </c>
      <c r="D2705" s="6" t="str">
        <f ca="1">IFERROR(__xludf.DUMMYFUNCTION("""COMPUTED_VALUE"""),"CURACAVI")</f>
        <v>CURACAVI</v>
      </c>
    </row>
    <row r="2706" spans="1:4">
      <c r="A2706" s="7">
        <f ca="1">IFERROR(__xludf.DUMMYFUNCTION("""COMPUTED_VALUE"""),44250)</f>
        <v>44250</v>
      </c>
      <c r="B2706" s="6" t="str">
        <f ca="1">IFERROR(__xludf.DUMMYFUNCTION("""COMPUTED_VALUE"""),"-33.4072581625-71.133426416")</f>
        <v>-33.4072581625-71.133426416</v>
      </c>
      <c r="C2706" s="6" t="str">
        <f ca="1">IFERROR(__xludf.DUMMYFUNCTION("""COMPUTED_VALUE"""),"ISABEL MELERO")</f>
        <v>ISABEL MELERO</v>
      </c>
      <c r="D2706" s="6" t="str">
        <f ca="1">IFERROR(__xludf.DUMMYFUNCTION("""COMPUTED_VALUE"""),"CURACAVI")</f>
        <v>CURACAVI</v>
      </c>
    </row>
    <row r="2707" spans="1:4">
      <c r="A2707" s="7">
        <f ca="1">IFERROR(__xludf.DUMMYFUNCTION("""COMPUTED_VALUE"""),44250)</f>
        <v>44250</v>
      </c>
      <c r="B2707" s="6" t="str">
        <f ca="1">IFERROR(__xludf.DUMMYFUNCTION("""COMPUTED_VALUE"""),"-33.604453-70.891580")</f>
        <v>-33.604453-70.891580</v>
      </c>
      <c r="C2707" s="6" t="str">
        <f ca="1">IFERROR(__xludf.DUMMYFUNCTION("""COMPUTED_VALUE"""),"DORIS ROGEL 41")</f>
        <v>DORIS ROGEL 41</v>
      </c>
      <c r="D2707" s="6" t="str">
        <f ca="1">IFERROR(__xludf.DUMMYFUNCTION("""COMPUTED_VALUE"""),"PEÑAFLOR")</f>
        <v>PEÑAFLOR</v>
      </c>
    </row>
    <row r="2708" spans="1:4">
      <c r="A2708" s="7">
        <f ca="1">IFERROR(__xludf.DUMMYFUNCTION("""COMPUTED_VALUE"""),44250)</f>
        <v>44250</v>
      </c>
      <c r="B2708" s="6" t="str">
        <f ca="1">IFERROR(__xludf.DUMMYFUNCTION("""COMPUTED_VALUE"""),"-33.408095-71.067996")</f>
        <v>-33.408095-71.067996</v>
      </c>
      <c r="C2708" s="6" t="str">
        <f ca="1">IFERROR(__xludf.DUMMYFUNCTION("""COMPUTED_VALUE"""),"UNION MIRAFLORES SITIO 13")</f>
        <v>UNION MIRAFLORES SITIO 13</v>
      </c>
      <c r="D2708" s="6" t="str">
        <f ca="1">IFERROR(__xludf.DUMMYFUNCTION("""COMPUTED_VALUE"""),"CURACAVI")</f>
        <v>CURACAVI</v>
      </c>
    </row>
    <row r="2709" spans="1:4">
      <c r="A2709" s="7">
        <f ca="1">IFERROR(__xludf.DUMMYFUNCTION("""COMPUTED_VALUE"""),44250)</f>
        <v>44250</v>
      </c>
      <c r="B2709" s="6" t="str">
        <f ca="1">IFERROR(__xludf.DUMMYFUNCTION("""COMPUTED_VALUE"""),"-33.398982-71.122431")</f>
        <v>-33.398982-71.122431</v>
      </c>
      <c r="C2709" s="6" t="str">
        <f ca="1">IFERROR(__xludf.DUMMYFUNCTION("""COMPUTED_VALUE"""),"MIGUEL GUERRERO 286")</f>
        <v>MIGUEL GUERRERO 286</v>
      </c>
      <c r="D2709" s="6" t="str">
        <f ca="1">IFERROR(__xludf.DUMMYFUNCTION("""COMPUTED_VALUE"""),"CURACAVI")</f>
        <v>CURACAVI</v>
      </c>
    </row>
    <row r="2710" spans="1:4">
      <c r="A2710" s="7">
        <f ca="1">IFERROR(__xludf.DUMMYFUNCTION("""COMPUTED_VALUE"""),44250)</f>
        <v>44250</v>
      </c>
      <c r="B2710" s="6" t="str">
        <f ca="1">IFERROR(__xludf.DUMMYFUNCTION("""COMPUTED_VALUE"""),"-33.39466-71.12616")</f>
        <v>-33.39466-71.12616</v>
      </c>
      <c r="C2710" s="6" t="str">
        <f ca="1">IFERROR(__xludf.DUMMYFUNCTION("""COMPUTED_VALUE"""),"TRES NORTE 2065")</f>
        <v>TRES NORTE 2065</v>
      </c>
      <c r="D2710" s="6" t="str">
        <f ca="1">IFERROR(__xludf.DUMMYFUNCTION("""COMPUTED_VALUE"""),"CURACAVI")</f>
        <v>CURACAVI</v>
      </c>
    </row>
    <row r="2711" spans="1:4">
      <c r="A2711" s="7">
        <f ca="1">IFERROR(__xludf.DUMMYFUNCTION("""COMPUTED_VALUE"""),44250)</f>
        <v>44250</v>
      </c>
      <c r="B2711" s="6" t="str">
        <f ca="1">IFERROR(__xludf.DUMMYFUNCTION("""COMPUTED_VALUE"""),"-33.39456-71.13163")</f>
        <v>-33.39456-71.13163</v>
      </c>
      <c r="C2711" s="6" t="str">
        <f ca="1">IFERROR(__xludf.DUMMYFUNCTION("""COMPUTED_VALUE"""),"VECINO GASTON MANZO 610")</f>
        <v>VECINO GASTON MANZO 610</v>
      </c>
      <c r="D2711" s="6" t="str">
        <f ca="1">IFERROR(__xludf.DUMMYFUNCTION("""COMPUTED_VALUE"""),"CURACAVI")</f>
        <v>CURACAVI</v>
      </c>
    </row>
    <row r="2712" spans="1:4">
      <c r="A2712" s="7">
        <f ca="1">IFERROR(__xludf.DUMMYFUNCTION("""COMPUTED_VALUE"""),44250)</f>
        <v>44250</v>
      </c>
      <c r="B2712" s="6" t="str">
        <f ca="1">IFERROR(__xludf.DUMMYFUNCTION("""COMPUTED_VALUE"""),"-33.49325-71.02606")</f>
        <v>-33.49325-71.02606</v>
      </c>
      <c r="C2712" s="6" t="str">
        <f ca="1">IFERROR(__xludf.DUMMYFUNCTION("""COMPUTED_VALUE"""),"EL AJIAL S/N CV 61")</f>
        <v>EL AJIAL S/N CV 61</v>
      </c>
      <c r="D2712" s="6" t="str">
        <f ca="1">IFERROR(__xludf.DUMMYFUNCTION("""COMPUTED_VALUE"""),"CURACAVI")</f>
        <v>CURACAVI</v>
      </c>
    </row>
    <row r="2713" spans="1:4">
      <c r="A2713" s="7">
        <f ca="1">IFERROR(__xludf.DUMMYFUNCTION("""COMPUTED_VALUE"""),44250)</f>
        <v>44250</v>
      </c>
      <c r="B2713" s="6" t="str">
        <f ca="1">IFERROR(__xludf.DUMMYFUNCTION("""COMPUTED_VALUE"""),"-33.652843,-71.304101")</f>
        <v>-33.652843,-71.304101</v>
      </c>
      <c r="C2713" s="6" t="str">
        <f ca="1">IFERROR(__xludf.DUMMYFUNCTION("""COMPUTED_VALUE"""),"PUERTAS COLORADAS 14 LOTE -D")</f>
        <v>PUERTAS COLORADAS 14 LOTE -D</v>
      </c>
      <c r="D2713" s="6" t="str">
        <f ca="1">IFERROR(__xludf.DUMMYFUNCTION("""COMPUTED_VALUE"""),"MELIPILLA")</f>
        <v>MELIPILLA</v>
      </c>
    </row>
    <row r="2714" spans="1:4">
      <c r="A2714" s="7">
        <f ca="1">IFERROR(__xludf.DUMMYFUNCTION("""COMPUTED_VALUE"""),44250)</f>
        <v>44250</v>
      </c>
      <c r="B2714" s="6" t="str">
        <f ca="1">IFERROR(__xludf.DUMMYFUNCTION("""COMPUTED_VALUE"""),"-33.761705,-71.195145")</f>
        <v>-33.761705,-71.195145</v>
      </c>
      <c r="C2714" s="6" t="str">
        <f ca="1">IFERROR(__xludf.DUMMYFUNCTION("""COMPUTED_VALUE""")," VIÑA VIEJA 517 PC 26")</f>
        <v xml:space="preserve"> VIÑA VIEJA 517 PC 26</v>
      </c>
      <c r="D2714" s="6" t="str">
        <f ca="1">IFERROR(__xludf.DUMMYFUNCTION("""COMPUTED_VALUE"""),"MELIPILLA")</f>
        <v>MELIPILLA</v>
      </c>
    </row>
    <row r="2715" spans="1:4">
      <c r="A2715" s="7">
        <f ca="1">IFERROR(__xludf.DUMMYFUNCTION("""COMPUTED_VALUE"""),44250)</f>
        <v>44250</v>
      </c>
      <c r="B2715" s="6" t="str">
        <f ca="1">IFERROR(__xludf.DUMMYFUNCTION("""COMPUTED_VALUE"""),"-33.028559,-70.692791")</f>
        <v>-33.028559,-70.692791</v>
      </c>
      <c r="C2715" s="6" t="str">
        <f ca="1">IFERROR(__xludf.DUMMYFUNCTION("""COMPUTED_VALUE""")," CAMPUSANO HIDALGO  S/6")</f>
        <v xml:space="preserve"> CAMPUSANO HIDALGO  S/6</v>
      </c>
      <c r="D2715" s="6" t="str">
        <f ca="1">IFERROR(__xludf.DUMMYFUNCTION("""COMPUTED_VALUE"""),"COLINA")</f>
        <v>COLINA</v>
      </c>
    </row>
    <row r="2716" spans="1:4">
      <c r="A2716" s="7">
        <f ca="1">IFERROR(__xludf.DUMMYFUNCTION("""COMPUTED_VALUE"""),44250)</f>
        <v>44250</v>
      </c>
      <c r="B2716" s="6" t="str">
        <f ca="1">IFERROR(__xludf.DUMMYFUNCTION("""COMPUTED_VALUE"""),"-33.033238,-70.692016")</f>
        <v>-33.033238,-70.692016</v>
      </c>
      <c r="C2716" s="6" t="str">
        <f ca="1">IFERROR(__xludf.DUMMYFUNCTION("""COMPUTED_VALUE"""),"MANZ/ C ST/2")</f>
        <v>MANZ/ C ST/2</v>
      </c>
      <c r="D2716" s="6" t="str">
        <f ca="1">IFERROR(__xludf.DUMMYFUNCTION("""COMPUTED_VALUE"""),"COLINA")</f>
        <v>COLINA</v>
      </c>
    </row>
    <row r="2717" spans="1:4">
      <c r="A2717" s="7">
        <f ca="1">IFERROR(__xludf.DUMMYFUNCTION("""COMPUTED_VALUE"""),44251)</f>
        <v>44251</v>
      </c>
      <c r="B2717" s="8" t="str">
        <f ca="1">IFERROR(__xludf.DUMMYFUNCTION("""COMPUTED_VALUE"""),"-33.571981,-71.183824")</f>
        <v>-33.571981,-71.183824</v>
      </c>
      <c r="C2717" s="6" t="str">
        <f ca="1">IFERROR(__xludf.DUMMYFUNCTION("""COMPUTED_VALUE"""),"CALLE SANTA LUCIA S/N ")</f>
        <v xml:space="preserve">CALLE SANTA LUCIA S/N </v>
      </c>
      <c r="D2717" s="6" t="str">
        <f ca="1">IFERROR(__xludf.DUMMYFUNCTION("""COMPUTED_VALUE"""),"MELIPILLA")</f>
        <v>MELIPILLA</v>
      </c>
    </row>
    <row r="2718" spans="1:4">
      <c r="A2718" s="7">
        <f ca="1">IFERROR(__xludf.DUMMYFUNCTION("""COMPUTED_VALUE"""),44251)</f>
        <v>44251</v>
      </c>
      <c r="B2718" s="8" t="str">
        <f ca="1">IFERROR(__xludf.DUMMYFUNCTION("""COMPUTED_VALUE"""),"-33.573952,-71.198861")</f>
        <v>-33.573952,-71.198861</v>
      </c>
      <c r="C2718" s="6" t="str">
        <f ca="1">IFERROR(__xludf.DUMMYFUNCTION("""COMPUTED_VALUE"""),"EL CHAGUAL 909 BOLLENAR ")</f>
        <v xml:space="preserve">EL CHAGUAL 909 BOLLENAR </v>
      </c>
      <c r="D2718" s="6" t="str">
        <f ca="1">IFERROR(__xludf.DUMMYFUNCTION("""COMPUTED_VALUE"""),"MELIPILLA")</f>
        <v>MELIPILLA</v>
      </c>
    </row>
    <row r="2719" spans="1:4">
      <c r="A2719" s="7">
        <f ca="1">IFERROR(__xludf.DUMMYFUNCTION("""COMPUTED_VALUE"""),44251)</f>
        <v>44251</v>
      </c>
      <c r="B2719" s="8" t="str">
        <f ca="1">IFERROR(__xludf.DUMMYFUNCTION("""COMPUTED_VALUE"""),"-33.601565,-71.247236")</f>
        <v>-33.601565,-71.247236</v>
      </c>
      <c r="C2719" s="6" t="str">
        <f ca="1">IFERROR(__xludf.DUMMYFUNCTION("""COMPUTED_VALUE"""),"EL RECURSO SITIO 15 ")</f>
        <v xml:space="preserve">EL RECURSO SITIO 15 </v>
      </c>
      <c r="D2719" s="6" t="str">
        <f ca="1">IFERROR(__xludf.DUMMYFUNCTION("""COMPUTED_VALUE"""),"MELIPILLA")</f>
        <v>MELIPILLA</v>
      </c>
    </row>
    <row r="2720" spans="1:4">
      <c r="A2720" s="7">
        <f ca="1">IFERROR(__xludf.DUMMYFUNCTION("""COMPUTED_VALUE"""),44251)</f>
        <v>44251</v>
      </c>
      <c r="B2720" s="6" t="str">
        <f ca="1">IFERROR(__xludf.DUMMYFUNCTION("""COMPUTED_VALUE"""),"-33.6000962-70.862340")</f>
        <v>-33.6000962-70.862340</v>
      </c>
      <c r="C2720" s="6" t="str">
        <f ca="1">IFERROR(__xludf.DUMMYFUNCTION("""COMPUTED_VALUE"""),"AV. MIRAFLORES 1100 CASA  A")</f>
        <v>AV. MIRAFLORES 1100 CASA  A</v>
      </c>
      <c r="D2720" s="6" t="str">
        <f ca="1">IFERROR(__xludf.DUMMYFUNCTION("""COMPUTED_VALUE"""),"PEÑAFLOR")</f>
        <v>PEÑAFLOR</v>
      </c>
    </row>
    <row r="2721" spans="1:4">
      <c r="A2721" s="7">
        <f ca="1">IFERROR(__xludf.DUMMYFUNCTION("""COMPUTED_VALUE"""),44251)</f>
        <v>44251</v>
      </c>
      <c r="B2721" s="6" t="str">
        <f ca="1">IFERROR(__xludf.DUMMYFUNCTION("""COMPUTED_VALUE"""),"-33.46093368021122-71.04581024618304")</f>
        <v>-33.46093368021122-71.04581024618304</v>
      </c>
      <c r="C2721" s="6" t="str">
        <f ca="1">IFERROR(__xludf.DUMMYFUNCTION("""COMPUTED_VALUE"""),"SAN JOAQUIN PC 1 LT 1B")</f>
        <v>SAN JOAQUIN PC 1 LT 1B</v>
      </c>
      <c r="D2721" s="6" t="str">
        <f ca="1">IFERROR(__xludf.DUMMYFUNCTION("""COMPUTED_VALUE"""),"CURACAVI")</f>
        <v>CURACAVI</v>
      </c>
    </row>
    <row r="2722" spans="1:4">
      <c r="A2722" s="7">
        <f ca="1">IFERROR(__xludf.DUMMYFUNCTION("""COMPUTED_VALUE"""),44251)</f>
        <v>44251</v>
      </c>
      <c r="B2722" s="6" t="str">
        <f ca="1">IFERROR(__xludf.DUMMYFUNCTION("""COMPUTED_VALUE"""),"-33.4609238831242-71.04441201784")</f>
        <v>-33.4609238831242-71.04441201784</v>
      </c>
      <c r="C2722" s="6" t="str">
        <f ca="1">IFERROR(__xludf.DUMMYFUNCTION("""COMPUTED_VALUE"""),"SAN JOAQUIN PARC 1 LOTE B PC1")</f>
        <v>SAN JOAQUIN PARC 1 LOTE B PC1</v>
      </c>
      <c r="D2722" s="6" t="str">
        <f ca="1">IFERROR(__xludf.DUMMYFUNCTION("""COMPUTED_VALUE"""),"CURACAVI")</f>
        <v>CURACAVI</v>
      </c>
    </row>
    <row r="2723" spans="1:4">
      <c r="A2723" s="7">
        <f ca="1">IFERROR(__xludf.DUMMYFUNCTION("""COMPUTED_VALUE"""),44251)</f>
        <v>44251</v>
      </c>
      <c r="B2723" s="6" t="str">
        <f ca="1">IFERROR(__xludf.DUMMYFUNCTION("""COMPUTED_VALUE"""),"-33.161361-70.481111")</f>
        <v>-33.161361-70.481111</v>
      </c>
      <c r="C2723" s="6" t="str">
        <f ca="1">IFERROR(__xludf.DUMMYFUNCTION("""COMPUTED_VALUE"""),"SANTA INES PARC 14 SITIO 13")</f>
        <v>SANTA INES PARC 14 SITIO 13</v>
      </c>
      <c r="D2723" s="6" t="str">
        <f ca="1">IFERROR(__xludf.DUMMYFUNCTION("""COMPUTED_VALUE"""),"LAMPA")</f>
        <v>LAMPA</v>
      </c>
    </row>
    <row r="2724" spans="1:4">
      <c r="A2724" s="7">
        <f ca="1">IFERROR(__xludf.DUMMYFUNCTION("""COMPUTED_VALUE"""),44251)</f>
        <v>44251</v>
      </c>
      <c r="B2724" s="6" t="str">
        <f ca="1">IFERROR(__xludf.DUMMYFUNCTION("""COMPUTED_VALUE"""),"-33.410025-71.142989")</f>
        <v>-33.410025-71.142989</v>
      </c>
      <c r="C2724" s="6" t="str">
        <f ca="1">IFERROR(__xludf.DUMMYFUNCTION("""COMPUTED_VALUE"""),"GABRIELA MISTRAL 743")</f>
        <v>GABRIELA MISTRAL 743</v>
      </c>
      <c r="D2724" s="6" t="str">
        <f ca="1">IFERROR(__xludf.DUMMYFUNCTION("""COMPUTED_VALUE"""),"CURACAVI")</f>
        <v>CURACAVI</v>
      </c>
    </row>
    <row r="2725" spans="1:4">
      <c r="A2725" s="7">
        <f ca="1">IFERROR(__xludf.DUMMYFUNCTION("""COMPUTED_VALUE"""),44251)</f>
        <v>44251</v>
      </c>
      <c r="B2725" s="6" t="str">
        <f ca="1">IFERROR(__xludf.DUMMYFUNCTION("""COMPUTED_VALUE"""),"-33.420177-71.40740")</f>
        <v>-33.420177-71.40740</v>
      </c>
      <c r="C2725" s="6" t="str">
        <f ca="1">IFERROR(__xludf.DUMMYFUNCTION("""COMPUTED_VALUE"""),"LO AGUILA LOTE 14 FUNDO LO AGUILA")</f>
        <v>LO AGUILA LOTE 14 FUNDO LO AGUILA</v>
      </c>
      <c r="D2725" s="6" t="str">
        <f ca="1">IFERROR(__xludf.DUMMYFUNCTION("""COMPUTED_VALUE"""),"CURACAVI")</f>
        <v>CURACAVI</v>
      </c>
    </row>
    <row r="2726" spans="1:4">
      <c r="A2726" s="7">
        <f ca="1">IFERROR(__xludf.DUMMYFUNCTION("""COMPUTED_VALUE"""),44251)</f>
        <v>44251</v>
      </c>
      <c r="B2726" s="6" t="str">
        <f ca="1">IFERROR(__xludf.DUMMYFUNCTION("""COMPUTED_VALUE"""),"-33.46036-71.03673")</f>
        <v>-33.46036-71.03673</v>
      </c>
      <c r="C2726" s="6" t="str">
        <f ca="1">IFERROR(__xludf.DUMMYFUNCTION("""COMPUTED_VALUE"""),"UNO 860")</f>
        <v>UNO 860</v>
      </c>
      <c r="D2726" s="6" t="str">
        <f ca="1">IFERROR(__xludf.DUMMYFUNCTION("""COMPUTED_VALUE"""),"CURACAVI")</f>
        <v>CURACAVI</v>
      </c>
    </row>
    <row r="2727" spans="1:4">
      <c r="A2727" s="7">
        <f ca="1">IFERROR(__xludf.DUMMYFUNCTION("""COMPUTED_VALUE"""),44251)</f>
        <v>44251</v>
      </c>
      <c r="B2727" s="6" t="str">
        <f ca="1">IFERROR(__xludf.DUMMYFUNCTION("""COMPUTED_VALUE"""),"-33.46024-71.03678")</f>
        <v>-33.46024-71.03678</v>
      </c>
      <c r="C2727" s="6" t="str">
        <f ca="1">IFERROR(__xludf.DUMMYFUNCTION("""COMPUTED_VALUE"""),"UNO 870")</f>
        <v>UNO 870</v>
      </c>
      <c r="D2727" s="6" t="str">
        <f ca="1">IFERROR(__xludf.DUMMYFUNCTION("""COMPUTED_VALUE"""),"CURACAVI")</f>
        <v>CURACAVI</v>
      </c>
    </row>
    <row r="2728" spans="1:4">
      <c r="A2728" s="7">
        <f ca="1">IFERROR(__xludf.DUMMYFUNCTION("""COMPUTED_VALUE"""),44251)</f>
        <v>44251</v>
      </c>
      <c r="B2728" s="6" t="str">
        <f ca="1">IFERROR(__xludf.DUMMYFUNCTION("""COMPUTED_VALUE"""),"-33.39683-71.12633")</f>
        <v>-33.39683-71.12633</v>
      </c>
      <c r="C2728" s="6" t="str">
        <f ca="1">IFERROR(__xludf.DUMMYFUNCTION("""COMPUTED_VALUE"""),"ALBERTO FELLEMBERG 2075")</f>
        <v>ALBERTO FELLEMBERG 2075</v>
      </c>
      <c r="D2728" s="6" t="str">
        <f ca="1">IFERROR(__xludf.DUMMYFUNCTION("""COMPUTED_VALUE"""),"CURACAVI")</f>
        <v>CURACAVI</v>
      </c>
    </row>
    <row r="2729" spans="1:4">
      <c r="A2729" s="7">
        <f ca="1">IFERROR(__xludf.DUMMYFUNCTION("""COMPUTED_VALUE"""),44251)</f>
        <v>44251</v>
      </c>
      <c r="B2729" s="6" t="str">
        <f ca="1">IFERROR(__xludf.DUMMYFUNCTION("""COMPUTED_VALUE"""),"-33.074210,-70.718493")</f>
        <v>-33.074210,-70.718493</v>
      </c>
      <c r="C2729" s="6" t="str">
        <f ca="1">IFERROR(__xludf.DUMMYFUNCTION("""COMPUTED_VALUE"""),"EL  COLORADO 8 B")</f>
        <v>EL  COLORADO 8 B</v>
      </c>
      <c r="D2729" s="6" t="str">
        <f ca="1">IFERROR(__xludf.DUMMYFUNCTION("""COMPUTED_VALUE"""),"COLINA")</f>
        <v>COLINA</v>
      </c>
    </row>
    <row r="2730" spans="1:4">
      <c r="A2730" s="7">
        <f ca="1">IFERROR(__xludf.DUMMYFUNCTION("""COMPUTED_VALUE"""),44251)</f>
        <v>44251</v>
      </c>
      <c r="B2730" s="6" t="str">
        <f ca="1">IFERROR(__xludf.DUMMYFUNCTION("""COMPUTED_VALUE"""),"-33.044419,-70.685421")</f>
        <v>-33.044419,-70.685421</v>
      </c>
      <c r="C2730" s="6" t="str">
        <f ca="1">IFERROR(__xludf.DUMMYFUNCTION("""COMPUTED_VALUE"""),"ASENT LA VIRGEN C/2")</f>
        <v>ASENT LA VIRGEN C/2</v>
      </c>
      <c r="D2730" s="6" t="str">
        <f ca="1">IFERROR(__xludf.DUMMYFUNCTION("""COMPUTED_VALUE"""),"COLINA")</f>
        <v>COLINA</v>
      </c>
    </row>
    <row r="2731" spans="1:4">
      <c r="A2731" s="7">
        <f ca="1">IFERROR(__xludf.DUMMYFUNCTION("""COMPUTED_VALUE"""),44252)</f>
        <v>44252</v>
      </c>
      <c r="B2731" s="8" t="str">
        <f ca="1">IFERROR(__xludf.DUMMYFUNCTION("""COMPUTED_VALUE"""),"-33.569054,-71.202668")</f>
        <v>-33.569054,-71.202668</v>
      </c>
      <c r="C2731" s="6" t="str">
        <f ca="1">IFERROR(__xludf.DUMMYFUNCTION("""COMPUTED_VALUE"""),"SAN PABLO CASA 4")</f>
        <v>SAN PABLO CASA 4</v>
      </c>
      <c r="D2731" s="6" t="str">
        <f ca="1">IFERROR(__xludf.DUMMYFUNCTION("""COMPUTED_VALUE"""),"MELIPILLA")</f>
        <v>MELIPILLA</v>
      </c>
    </row>
    <row r="2732" spans="1:4">
      <c r="A2732" s="7">
        <f ca="1">IFERROR(__xludf.DUMMYFUNCTION("""COMPUTED_VALUE"""),44252)</f>
        <v>44252</v>
      </c>
      <c r="B2732" s="8" t="str">
        <f ca="1">IFERROR(__xludf.DUMMYFUNCTION("""COMPUTED_VALUE"""),"-33.567841,-71.220609 ")</f>
        <v xml:space="preserve">-33.567841,-71.220609 </v>
      </c>
      <c r="C2732" s="6" t="str">
        <f ca="1">IFERROR(__xludf.DUMMYFUNCTION("""COMPUTED_VALUE"""),"TRICAHUE SITIO N6 ")</f>
        <v xml:space="preserve">TRICAHUE SITIO N6 </v>
      </c>
      <c r="D2732" s="6" t="str">
        <f ca="1">IFERROR(__xludf.DUMMYFUNCTION("""COMPUTED_VALUE"""),"MELIPILLA")</f>
        <v>MELIPILLA</v>
      </c>
    </row>
    <row r="2733" spans="1:4">
      <c r="A2733" s="7">
        <f ca="1">IFERROR(__xludf.DUMMYFUNCTION("""COMPUTED_VALUE"""),44252)</f>
        <v>44252</v>
      </c>
      <c r="B2733" s="8" t="str">
        <f ca="1">IFERROR(__xludf.DUMMYFUNCTION("""COMPUTED_VALUE"""),"-33.824157,-71.275764")</f>
        <v>-33.824157,-71.275764</v>
      </c>
      <c r="C2733" s="6" t="str">
        <f ca="1">IFERROR(__xludf.DUMMYFUNCTION("""COMPUTED_VALUE"""),"SECTOR CINCO POPETA S/N ")</f>
        <v xml:space="preserve">SECTOR CINCO POPETA S/N </v>
      </c>
      <c r="D2733" s="6" t="str">
        <f ca="1">IFERROR(__xludf.DUMMYFUNCTION("""COMPUTED_VALUE"""),"MELIPILLA")</f>
        <v>MELIPILLA</v>
      </c>
    </row>
    <row r="2734" spans="1:4">
      <c r="A2734" s="7">
        <f ca="1">IFERROR(__xludf.DUMMYFUNCTION("""COMPUTED_VALUE"""),44252)</f>
        <v>44252</v>
      </c>
      <c r="B2734" s="6" t="str">
        <f ca="1">IFERROR(__xludf.DUMMYFUNCTION("""COMPUTED_VALUE"""),"-33.40889236249-71.13920840082")</f>
        <v>-33.40889236249-71.13920840082</v>
      </c>
      <c r="C2734" s="6" t="str">
        <f ca="1">IFERROR(__xludf.DUMMYFUNCTION("""COMPUTED_VALUE"""),"AV.CIRCUVALACION 1097")</f>
        <v>AV.CIRCUVALACION 1097</v>
      </c>
      <c r="D2734" s="6" t="str">
        <f ca="1">IFERROR(__xludf.DUMMYFUNCTION("""COMPUTED_VALUE"""),"CURACAVI")</f>
        <v>CURACAVI</v>
      </c>
    </row>
    <row r="2735" spans="1:4">
      <c r="A2735" s="7">
        <f ca="1">IFERROR(__xludf.DUMMYFUNCTION("""COMPUTED_VALUE"""),44252)</f>
        <v>44252</v>
      </c>
      <c r="B2735" s="6" t="str">
        <f ca="1">IFERROR(__xludf.DUMMYFUNCTION("""COMPUTED_VALUE"""),"-33.451480823402-71.02659804931564")</f>
        <v>-33.451480823402-71.02659804931564</v>
      </c>
      <c r="C2735" s="6" t="str">
        <f ca="1">IFERROR(__xludf.DUMMYFUNCTION("""COMPUTED_VALUE"""),"UNION CHILENA P-28 L")</f>
        <v>UNION CHILENA P-28 L</v>
      </c>
      <c r="D2735" s="6" t="str">
        <f ca="1">IFERROR(__xludf.DUMMYFUNCTION("""COMPUTED_VALUE"""),"CURACAVI")</f>
        <v>CURACAVI</v>
      </c>
    </row>
    <row r="2736" spans="1:4">
      <c r="A2736" s="7">
        <f ca="1">IFERROR(__xludf.DUMMYFUNCTION("""COMPUTED_VALUE"""),44252)</f>
        <v>44252</v>
      </c>
      <c r="B2736" s="6" t="str">
        <f ca="1">IFERROR(__xludf.DUMMYFUNCTION("""COMPUTED_VALUE"""),"-33.452718849-71.02824223581")</f>
        <v>-33.452718849-71.02824223581</v>
      </c>
      <c r="C2736" s="6" t="str">
        <f ca="1">IFERROR(__xludf.DUMMYFUNCTION("""COMPUTED_VALUE"""),"UNION CHILENA S-28 A-2")</f>
        <v>UNION CHILENA S-28 A-2</v>
      </c>
      <c r="D2736" s="6" t="str">
        <f ca="1">IFERROR(__xludf.DUMMYFUNCTION("""COMPUTED_VALUE"""),"CURACAVI")</f>
        <v>CURACAVI</v>
      </c>
    </row>
    <row r="2737" spans="1:4">
      <c r="A2737" s="7">
        <f ca="1">IFERROR(__xludf.DUMMYFUNCTION("""COMPUTED_VALUE"""),44252)</f>
        <v>44252</v>
      </c>
      <c r="B2737" s="6" t="str">
        <f ca="1">IFERROR(__xludf.DUMMYFUNCTION("""COMPUTED_VALUE"""),"-33.394114-71.130917")</f>
        <v>-33.394114-71.130917</v>
      </c>
      <c r="C2737" s="6" t="str">
        <f ca="1">IFERROR(__xludf.DUMMYFUNCTION("""COMPUTED_VALUE"""),"PA UNO 825 CALLE 1")</f>
        <v>PA UNO 825 CALLE 1</v>
      </c>
      <c r="D2737" s="6" t="str">
        <f ca="1">IFERROR(__xludf.DUMMYFUNCTION("""COMPUTED_VALUE"""),"CURACAVI")</f>
        <v>CURACAVI</v>
      </c>
    </row>
    <row r="2738" spans="1:4">
      <c r="A2738" s="7">
        <f ca="1">IFERROR(__xludf.DUMMYFUNCTION("""COMPUTED_VALUE"""),44252)</f>
        <v>44252</v>
      </c>
      <c r="B2738" s="6" t="str">
        <f ca="1">IFERROR(__xludf.DUMMYFUNCTION("""COMPUTED_VALUE"""),"-33.394394-71.131147")</f>
        <v>-33.394394-71.131147</v>
      </c>
      <c r="C2738" s="6" t="str">
        <f ca="1">IFERROR(__xludf.DUMMYFUNCTION("""COMPUTED_VALUE"""),"PA UNO 817 CALLE 1")</f>
        <v>PA UNO 817 CALLE 1</v>
      </c>
      <c r="D2738" s="6" t="str">
        <f ca="1">IFERROR(__xludf.DUMMYFUNCTION("""COMPUTED_VALUE"""),"CURACAVI")</f>
        <v>CURACAVI</v>
      </c>
    </row>
    <row r="2739" spans="1:4">
      <c r="A2739" s="7">
        <f ca="1">IFERROR(__xludf.DUMMYFUNCTION("""COMPUTED_VALUE"""),44252)</f>
        <v>44252</v>
      </c>
      <c r="B2739" s="6" t="str">
        <f ca="1">IFERROR(__xludf.DUMMYFUNCTION("""COMPUTED_VALUE"""),"-33.397975-71.123953")</f>
        <v>-33.397975-71.123953</v>
      </c>
      <c r="C2739" s="6" t="str">
        <f ca="1">IFERROR(__xludf.DUMMYFUNCTION("""COMPUTED_VALUE"""),"LAS ARAUCARIAS 335")</f>
        <v>LAS ARAUCARIAS 335</v>
      </c>
      <c r="D2739" s="6" t="str">
        <f ca="1">IFERROR(__xludf.DUMMYFUNCTION("""COMPUTED_VALUE"""),"CURACAVI")</f>
        <v>CURACAVI</v>
      </c>
    </row>
    <row r="2740" spans="1:4">
      <c r="A2740" s="7">
        <f ca="1">IFERROR(__xludf.DUMMYFUNCTION("""COMPUTED_VALUE"""),44252)</f>
        <v>44252</v>
      </c>
      <c r="B2740" s="6" t="str">
        <f ca="1">IFERROR(__xludf.DUMMYFUNCTION("""COMPUTED_VALUE"""),"-33.408301-71.068246")</f>
        <v>-33.408301-71.068246</v>
      </c>
      <c r="C2740" s="6" t="str">
        <f ca="1">IFERROR(__xludf.DUMMYFUNCTION("""COMPUTED_VALUE"""),"MIRAFLORES SITIO 13")</f>
        <v>MIRAFLORES SITIO 13</v>
      </c>
      <c r="D2740" s="6" t="str">
        <f ca="1">IFERROR(__xludf.DUMMYFUNCTION("""COMPUTED_VALUE"""),"CURACAVI")</f>
        <v>CURACAVI</v>
      </c>
    </row>
    <row r="2741" spans="1:4">
      <c r="A2741" s="7">
        <f ca="1">IFERROR(__xludf.DUMMYFUNCTION("""COMPUTED_VALUE"""),44252)</f>
        <v>44252</v>
      </c>
      <c r="B2741" s="6" t="str">
        <f ca="1">IFERROR(__xludf.DUMMYFUNCTION("""COMPUTED_VALUE"""),"-33.407719-71.137916")</f>
        <v>-33.407719-71.137916</v>
      </c>
      <c r="C2741" s="6" t="str">
        <f ca="1">IFERROR(__xludf.DUMMYFUNCTION("""COMPUTED_VALUE"""),"PARROCO LUIS TODA 267")</f>
        <v>PARROCO LUIS TODA 267</v>
      </c>
      <c r="D2741" s="6" t="str">
        <f ca="1">IFERROR(__xludf.DUMMYFUNCTION("""COMPUTED_VALUE"""),"CURACAVI")</f>
        <v>CURACAVI</v>
      </c>
    </row>
    <row r="2742" spans="1:4">
      <c r="A2742" s="7">
        <f ca="1">IFERROR(__xludf.DUMMYFUNCTION("""COMPUTED_VALUE"""),44252)</f>
        <v>44252</v>
      </c>
      <c r="B2742" s="6" t="str">
        <f ca="1">IFERROR(__xludf.DUMMYFUNCTION("""COMPUTED_VALUE"""),"-33.50049-71.00501")</f>
        <v>-33.50049-71.00501</v>
      </c>
      <c r="C2742" s="6" t="str">
        <f ca="1">IFERROR(__xludf.DUMMYFUNCTION("""COMPUTED_VALUE"""),"LA PATAGUILLA S/N")</f>
        <v>LA PATAGUILLA S/N</v>
      </c>
      <c r="D2742" s="6" t="str">
        <f ca="1">IFERROR(__xludf.DUMMYFUNCTION("""COMPUTED_VALUE"""),"CURACAVI")</f>
        <v>CURACAVI</v>
      </c>
    </row>
    <row r="2743" spans="1:4">
      <c r="A2743" s="7">
        <f ca="1">IFERROR(__xludf.DUMMYFUNCTION("""COMPUTED_VALUE"""),44252)</f>
        <v>44252</v>
      </c>
      <c r="B2743" s="6" t="str">
        <f ca="1">IFERROR(__xludf.DUMMYFUNCTION("""COMPUTED_VALUE"""),"-33.50053-71.00531")</f>
        <v>-33.50053-71.00531</v>
      </c>
      <c r="C2743" s="6" t="str">
        <f ca="1">IFERROR(__xludf.DUMMYFUNCTION("""COMPUTED_VALUE"""),"LA PATAGUILLA S/N")</f>
        <v>LA PATAGUILLA S/N</v>
      </c>
      <c r="D2743" s="6" t="str">
        <f ca="1">IFERROR(__xludf.DUMMYFUNCTION("""COMPUTED_VALUE"""),"CURACAVI")</f>
        <v>CURACAVI</v>
      </c>
    </row>
    <row r="2744" spans="1:4">
      <c r="A2744" s="7">
        <f ca="1">IFERROR(__xludf.DUMMYFUNCTION("""COMPUTED_VALUE"""),44252)</f>
        <v>44252</v>
      </c>
      <c r="B2744" s="6" t="str">
        <f ca="1">IFERROR(__xludf.DUMMYFUNCTION("""COMPUTED_VALUE"""),"-33.694383,-71.223381")</f>
        <v>-33.694383,-71.223381</v>
      </c>
      <c r="C2744" s="6" t="str">
        <f ca="1">IFERROR(__xludf.DUMMYFUNCTION("""COMPUTED_VALUE"""),"SECTOR POBLACION ROMANINI 1140")</f>
        <v>SECTOR POBLACION ROMANINI 1140</v>
      </c>
      <c r="D2744" s="6" t="str">
        <f ca="1">IFERROR(__xludf.DUMMYFUNCTION("""COMPUTED_VALUE"""),"MELIPILLA")</f>
        <v>MELIPILLA</v>
      </c>
    </row>
    <row r="2745" spans="1:4">
      <c r="A2745" s="7">
        <f ca="1">IFERROR(__xludf.DUMMYFUNCTION("""COMPUTED_VALUE"""),44252)</f>
        <v>44252</v>
      </c>
      <c r="B2745" s="6" t="str">
        <f ca="1">IFERROR(__xludf.DUMMYFUNCTION("""COMPUTED_VALUE"""),"-33.666612,-71.107364")</f>
        <v>-33.666612,-71.107364</v>
      </c>
      <c r="C2745" s="6" t="str">
        <f ca="1">IFERROR(__xludf.DUMMYFUNCTION("""COMPUTED_VALUE"""),"CHIRIGUE LAS ROSAS 6")</f>
        <v>CHIRIGUE LAS ROSAS 6</v>
      </c>
      <c r="D2745" s="6" t="str">
        <f ca="1">IFERROR(__xludf.DUMMYFUNCTION("""COMPUTED_VALUE"""),"MELIPILLA")</f>
        <v>MELIPILLA</v>
      </c>
    </row>
    <row r="2746" spans="1:4">
      <c r="A2746" s="7">
        <f ca="1">IFERROR(__xludf.DUMMYFUNCTION("""COMPUTED_VALUE"""),44253)</f>
        <v>44253</v>
      </c>
      <c r="B2746" s="8" t="str">
        <f ca="1">IFERROR(__xludf.DUMMYFUNCTION("""COMPUTED_VALUE"""),"-33.573028,-71.183278")</f>
        <v>-33.573028,-71.183278</v>
      </c>
      <c r="C2746" s="6" t="str">
        <f ca="1">IFERROR(__xludf.DUMMYFUNCTION("""COMPUTED_VALUE"""),"CALLEJON STA LUCIA  S/N ")</f>
        <v xml:space="preserve">CALLEJON STA LUCIA  S/N </v>
      </c>
      <c r="D2746" s="6" t="str">
        <f ca="1">IFERROR(__xludf.DUMMYFUNCTION("""COMPUTED_VALUE"""),"MELIPILLA")</f>
        <v>MELIPILLA</v>
      </c>
    </row>
    <row r="2747" spans="1:4">
      <c r="A2747" s="7">
        <f ca="1">IFERROR(__xludf.DUMMYFUNCTION("""COMPUTED_VALUE"""),44253)</f>
        <v>44253</v>
      </c>
      <c r="B2747" s="8" t="str">
        <f ca="1">IFERROR(__xludf.DUMMYFUNCTION("""COMPUTED_VALUE"""),"-33.683869,-71.194914")</f>
        <v>-33.683869,-71.194914</v>
      </c>
      <c r="C2747" s="6" t="str">
        <f ca="1">IFERROR(__xludf.DUMMYFUNCTION("""COMPUTED_VALUE"""),"FEDERICO CHOPIN 861 ")</f>
        <v xml:space="preserve">FEDERICO CHOPIN 861 </v>
      </c>
      <c r="D2747" s="6" t="str">
        <f ca="1">IFERROR(__xludf.DUMMYFUNCTION("""COMPUTED_VALUE"""),"MELIPILLA")</f>
        <v>MELIPILLA</v>
      </c>
    </row>
    <row r="2748" spans="1:4">
      <c r="A2748" s="7">
        <f ca="1">IFERROR(__xludf.DUMMYFUNCTION("""COMPUTED_VALUE"""),44253)</f>
        <v>44253</v>
      </c>
      <c r="B2748" s="8" t="str">
        <f ca="1">IFERROR(__xludf.DUMMYFUNCTION("""COMPUTED_VALUE"""),"-33.572554,-71.210641")</f>
        <v>-33.572554,-71.210641</v>
      </c>
      <c r="C2748" s="6" t="str">
        <f ca="1">IFERROR(__xludf.DUMMYFUNCTION("""COMPUTED_VALUE"""),"PJE VILLA EL SOL 235")</f>
        <v>PJE VILLA EL SOL 235</v>
      </c>
      <c r="D2748" s="6" t="str">
        <f ca="1">IFERROR(__xludf.DUMMYFUNCTION("""COMPUTED_VALUE"""),"MELIPILLA")</f>
        <v>MELIPILLA</v>
      </c>
    </row>
    <row r="2749" spans="1:4">
      <c r="A2749" s="7">
        <f ca="1">IFERROR(__xludf.DUMMYFUNCTION("""COMPUTED_VALUE"""),44253)</f>
        <v>44253</v>
      </c>
      <c r="B2749" s="6" t="str">
        <f ca="1">IFERROR(__xludf.DUMMYFUNCTION("""COMPUTED_VALUE"""),"-33.482688-71.014687")</f>
        <v>-33.482688-71.014687</v>
      </c>
      <c r="C2749" s="6" t="str">
        <f ca="1">IFERROR(__xludf.DUMMYFUNCTION("""COMPUTED_VALUE"""),"CUESTA BARRIGA 36")</f>
        <v>CUESTA BARRIGA 36</v>
      </c>
      <c r="D2749" s="6" t="str">
        <f ca="1">IFERROR(__xludf.DUMMYFUNCTION("""COMPUTED_VALUE"""),"CURACAVI")</f>
        <v>CURACAVI</v>
      </c>
    </row>
    <row r="2750" spans="1:4">
      <c r="A2750" s="7">
        <f ca="1">IFERROR(__xludf.DUMMYFUNCTION("""COMPUTED_VALUE"""),44253)</f>
        <v>44253</v>
      </c>
      <c r="B2750" s="6" t="str">
        <f ca="1">IFERROR(__xludf.DUMMYFUNCTION("""COMPUTED_VALUE"""),"-33.397297-71.130545")</f>
        <v>-33.397297-71.130545</v>
      </c>
      <c r="C2750" s="6" t="str">
        <f ca="1">IFERROR(__xludf.DUMMYFUNCTION("""COMPUTED_VALUE"""),"COVADONGA 585")</f>
        <v>COVADONGA 585</v>
      </c>
      <c r="D2750" s="6" t="str">
        <f ca="1">IFERROR(__xludf.DUMMYFUNCTION("""COMPUTED_VALUE"""),"CURACAVI")</f>
        <v>CURACAVI</v>
      </c>
    </row>
    <row r="2751" spans="1:4">
      <c r="A2751" s="7">
        <f ca="1">IFERROR(__xludf.DUMMYFUNCTION("""COMPUTED_VALUE"""),44253)</f>
        <v>44253</v>
      </c>
      <c r="B2751" s="6" t="str">
        <f ca="1">IFERROR(__xludf.DUMMYFUNCTION("""COMPUTED_VALUE"""),"-33.49296-71.02507")</f>
        <v>-33.49296-71.02507</v>
      </c>
      <c r="C2751" s="6" t="str">
        <f ca="1">IFERROR(__xludf.DUMMYFUNCTION("""COMPUTED_VALUE"""),"EL AJIAL S/N CV51")</f>
        <v>EL AJIAL S/N CV51</v>
      </c>
      <c r="D2751" s="6" t="str">
        <f ca="1">IFERROR(__xludf.DUMMYFUNCTION("""COMPUTED_VALUE"""),"CURACAVI")</f>
        <v>CURACAVI</v>
      </c>
    </row>
    <row r="2752" spans="1:4">
      <c r="A2752" s="7">
        <f ca="1">IFERROR(__xludf.DUMMYFUNCTION("""COMPUTED_VALUE"""),44253)</f>
        <v>44253</v>
      </c>
      <c r="B2752" s="6" t="str">
        <f ca="1">IFERROR(__xludf.DUMMYFUNCTION("""COMPUTED_VALUE"""),"-33.49296-71.02508")</f>
        <v>-33.49296-71.02508</v>
      </c>
      <c r="C2752" s="6" t="str">
        <f ca="1">IFERROR(__xludf.DUMMYFUNCTION("""COMPUTED_VALUE"""),"EL AJIAL S/N P 15")</f>
        <v>EL AJIAL S/N P 15</v>
      </c>
      <c r="D2752" s="6" t="str">
        <f ca="1">IFERROR(__xludf.DUMMYFUNCTION("""COMPUTED_VALUE"""),"CURACAVI")</f>
        <v>CURACAVI</v>
      </c>
    </row>
    <row r="2753" spans="1:4">
      <c r="A2753" s="7">
        <f ca="1">IFERROR(__xludf.DUMMYFUNCTION("""COMPUTED_VALUE"""),44253)</f>
        <v>44253</v>
      </c>
      <c r="B2753" s="6" t="str">
        <f ca="1">IFERROR(__xludf.DUMMYFUNCTION("""COMPUTED_VALUE"""),"-33.407498-71.138020")</f>
        <v>-33.407498-71.138020</v>
      </c>
      <c r="C2753" s="6" t="str">
        <f ca="1">IFERROR(__xludf.DUMMYFUNCTION("""COMPUTED_VALUE"""),"PARROCO LUIS TODA 259")</f>
        <v>PARROCO LUIS TODA 259</v>
      </c>
      <c r="D2753" s="6" t="str">
        <f ca="1">IFERROR(__xludf.DUMMYFUNCTION("""COMPUTED_VALUE"""),"CURACAVI")</f>
        <v>CURACAVI</v>
      </c>
    </row>
    <row r="2754" spans="1:4">
      <c r="A2754" s="7">
        <f ca="1">IFERROR(__xludf.DUMMYFUNCTION("""COMPUTED_VALUE"""),44253)</f>
        <v>44253</v>
      </c>
      <c r="B2754" s="6" t="str">
        <f ca="1">IFERROR(__xludf.DUMMYFUNCTION("""COMPUTED_VALUE"""),"-33.4061781,-71.1454989")</f>
        <v>-33.4061781,-71.1454989</v>
      </c>
      <c r="C2754" s="6" t="str">
        <f ca="1">IFERROR(__xludf.DUMMYFUNCTION("""COMPUTED_VALUE"""),"LA ACEQUIA 511 CV")</f>
        <v>LA ACEQUIA 511 CV</v>
      </c>
      <c r="D2754" s="6" t="str">
        <f ca="1">IFERROR(__xludf.DUMMYFUNCTION("""COMPUTED_VALUE"""),"CURACAVI")</f>
        <v>CURACAVI</v>
      </c>
    </row>
    <row r="2755" spans="1:4">
      <c r="A2755" s="7">
        <f ca="1">IFERROR(__xludf.DUMMYFUNCTION("""COMPUTED_VALUE"""),44253)</f>
        <v>44253</v>
      </c>
      <c r="B2755" s="6" t="str">
        <f ca="1">IFERROR(__xludf.DUMMYFUNCTION("""COMPUTED_VALUE"""),"-33.595929,-71.040021")</f>
        <v>-33.595929,-71.040021</v>
      </c>
      <c r="C2755" s="6" t="str">
        <f ca="1">IFERROR(__xludf.DUMMYFUNCTION("""COMPUTED_VALUE"""),"SANTA  TERESA  P 9")</f>
        <v>SANTA  TERESA  P 9</v>
      </c>
      <c r="D2755" s="6" t="str">
        <f ca="1">IFERROR(__xludf.DUMMYFUNCTION("""COMPUTED_VALUE"""),"MELIPILLA")</f>
        <v>MELIPILLA</v>
      </c>
    </row>
    <row r="2756" spans="1:4">
      <c r="A2756" s="7">
        <f ca="1">IFERROR(__xludf.DUMMYFUNCTION("""COMPUTED_VALUE"""),44253)</f>
        <v>44253</v>
      </c>
      <c r="B2756" s="6" t="str">
        <f ca="1">IFERROR(__xludf.DUMMYFUNCTION("""COMPUTED_VALUE"""),"-33.568967.-71.173150")</f>
        <v>-33.568967.-71.173150</v>
      </c>
      <c r="C2756" s="6" t="str">
        <f ca="1">IFERROR(__xludf.DUMMYFUNCTION("""COMPUTED_VALUE"""),"SAN RAMON  2")</f>
        <v>SAN RAMON  2</v>
      </c>
      <c r="D2756" s="6" t="str">
        <f ca="1">IFERROR(__xludf.DUMMYFUNCTION("""COMPUTED_VALUE"""),"MELIPILLA")</f>
        <v>MELIPILLA</v>
      </c>
    </row>
    <row r="2757" spans="1:4">
      <c r="A2757" s="7">
        <f ca="1">IFERROR(__xludf.DUMMYFUNCTION("""COMPUTED_VALUE"""),44253)</f>
        <v>44253</v>
      </c>
      <c r="B2757" s="6" t="str">
        <f ca="1">IFERROR(__xludf.DUMMYFUNCTION("""COMPUTED_VALUE"""),"-33.6823653.-71.1952321")</f>
        <v>-33.6823653.-71.1952321</v>
      </c>
      <c r="C2757" s="6" t="str">
        <f ca="1">IFERROR(__xludf.DUMMYFUNCTION("""COMPUTED_VALUE"""),"LUDWIG VAN BEETHOVEN 0859")</f>
        <v>LUDWIG VAN BEETHOVEN 0859</v>
      </c>
      <c r="D2757" s="6" t="str">
        <f ca="1">IFERROR(__xludf.DUMMYFUNCTION("""COMPUTED_VALUE"""),"MELIPILLA")</f>
        <v>MELIPILLA</v>
      </c>
    </row>
    <row r="2758" spans="1:4">
      <c r="A2758" s="7">
        <f ca="1">IFERROR(__xludf.DUMMYFUNCTION("""COMPUTED_VALUE"""),44254)</f>
        <v>44254</v>
      </c>
      <c r="B2758" s="6" t="str">
        <f ca="1">IFERROR(__xludf.DUMMYFUNCTION("""COMPUTED_VALUE"""),"-33.491910-71.027414")</f>
        <v>-33.491910-71.027414</v>
      </c>
      <c r="C2758" s="6" t="str">
        <f ca="1">IFERROR(__xludf.DUMMYFUNCTION("""COMPUTED_VALUE"""),"EL AJIAL SITIO 4")</f>
        <v>EL AJIAL SITIO 4</v>
      </c>
      <c r="D2758" s="6" t="str">
        <f ca="1">IFERROR(__xludf.DUMMYFUNCTION("""COMPUTED_VALUE"""),"CURACAVI")</f>
        <v>CURACAVI</v>
      </c>
    </row>
    <row r="2759" spans="1:4">
      <c r="A2759" s="7">
        <f ca="1">IFERROR(__xludf.DUMMYFUNCTION("""COMPUTED_VALUE"""),44254)</f>
        <v>44254</v>
      </c>
      <c r="B2759" s="6" t="str">
        <f ca="1">IFERROR(__xludf.DUMMYFUNCTION("""COMPUTED_VALUE"""),"-33.398154-71.123810")</f>
        <v>-33.398154-71.123810</v>
      </c>
      <c r="C2759" s="6" t="str">
        <f ca="1">IFERROR(__xludf.DUMMYFUNCTION("""COMPUTED_VALUE"""),"LAS ARAUCARIAS 335")</f>
        <v>LAS ARAUCARIAS 335</v>
      </c>
      <c r="D2759" s="6" t="str">
        <f ca="1">IFERROR(__xludf.DUMMYFUNCTION("""COMPUTED_VALUE"""),"CURACAVI")</f>
        <v>CURACAVI</v>
      </c>
    </row>
    <row r="2760" spans="1:4">
      <c r="A2760" s="7">
        <f ca="1">IFERROR(__xludf.DUMMYFUNCTION("""COMPUTED_VALUE"""),44254)</f>
        <v>44254</v>
      </c>
      <c r="B2760" s="6" t="str">
        <f ca="1">IFERROR(__xludf.DUMMYFUNCTION("""COMPUTED_VALUE"""),"-33.4069775,-71.0587938")</f>
        <v>-33.4069775,-71.0587938</v>
      </c>
      <c r="C2760" s="6" t="str">
        <f ca="1">IFERROR(__xludf.DUMMYFUNCTION("""COMPUTED_VALUE"""),"UNION MIRAFLORES P17 COND LOS BOSQUES")</f>
        <v>UNION MIRAFLORES P17 COND LOS BOSQUES</v>
      </c>
      <c r="D2760" s="6" t="str">
        <f ca="1">IFERROR(__xludf.DUMMYFUNCTION("""COMPUTED_VALUE"""),"CURACAVI")</f>
        <v>CURACAVI</v>
      </c>
    </row>
    <row r="2761" spans="1:4">
      <c r="A2761" s="7">
        <f ca="1">IFERROR(__xludf.DUMMYFUNCTION("""COMPUTED_VALUE"""),44256)</f>
        <v>44256</v>
      </c>
      <c r="B2761" s="8" t="str">
        <f ca="1">IFERROR(__xludf.DUMMYFUNCTION("""COMPUTED_VALUE"""),"-33.567423,-71.222055")</f>
        <v>-33.567423,-71.222055</v>
      </c>
      <c r="C2761" s="6" t="str">
        <f ca="1">IFERROR(__xludf.DUMMYFUNCTION("""COMPUTED_VALUE"""),"VILLA ESPERANZA S/N ")</f>
        <v xml:space="preserve">VILLA ESPERANZA S/N </v>
      </c>
      <c r="D2761" s="6" t="str">
        <f ca="1">IFERROR(__xludf.DUMMYFUNCTION("""COMPUTED_VALUE"""),"MELIPILLA")</f>
        <v>MELIPILLA</v>
      </c>
    </row>
    <row r="2762" spans="1:4">
      <c r="A2762" s="7">
        <f ca="1">IFERROR(__xludf.DUMMYFUNCTION("""COMPUTED_VALUE"""),44256)</f>
        <v>44256</v>
      </c>
      <c r="B2762" s="8" t="str">
        <f ca="1">IFERROR(__xludf.DUMMYFUNCTION("""COMPUTED_VALUE"""),"-33.675040,-71.174386")</f>
        <v>-33.675040,-71.174386</v>
      </c>
      <c r="C2762" s="6" t="str">
        <f ca="1">IFERROR(__xludf.DUMMYFUNCTION("""COMPUTED_VALUE"""),"POLONIA 2081")</f>
        <v>POLONIA 2081</v>
      </c>
      <c r="D2762" s="6" t="str">
        <f ca="1">IFERROR(__xludf.DUMMYFUNCTION("""COMPUTED_VALUE"""),"MELIPILLA")</f>
        <v>MELIPILLA</v>
      </c>
    </row>
    <row r="2763" spans="1:4">
      <c r="A2763" s="7">
        <f ca="1">IFERROR(__xludf.DUMMYFUNCTION("""COMPUTED_VALUE"""),44256)</f>
        <v>44256</v>
      </c>
      <c r="B2763" s="8" t="str">
        <f ca="1">IFERROR(__xludf.DUMMYFUNCTION("""COMPUTED_VALUE"""),"-33.682894,-71.196526")</f>
        <v>-33.682894,-71.196526</v>
      </c>
      <c r="C2763" s="6" t="str">
        <f ca="1">IFERROR(__xludf.DUMMYFUNCTION("""COMPUTED_VALUE"""),"TOROSA ALBINONI 205")</f>
        <v>TOROSA ALBINONI 205</v>
      </c>
      <c r="D2763" s="6" t="str">
        <f ca="1">IFERROR(__xludf.DUMMYFUNCTION("""COMPUTED_VALUE"""),"MELIPILLA")</f>
        <v>MELIPILLA</v>
      </c>
    </row>
    <row r="2764" spans="1:4">
      <c r="A2764" s="7">
        <f ca="1">IFERROR(__xludf.DUMMYFUNCTION("""COMPUTED_VALUE"""),44256)</f>
        <v>44256</v>
      </c>
      <c r="B2764" s="8" t="str">
        <f ca="1">IFERROR(__xludf.DUMMYFUNCTION("""COMPUTED_VALUE"""),"-33.682740,-71.197788")</f>
        <v>-33.682740,-71.197788</v>
      </c>
      <c r="C2764" s="6" t="str">
        <f ca="1">IFERROR(__xludf.DUMMYFUNCTION("""COMPUTED_VALUE"""),"LUDWING VAN BEETHOVEN 732 ")</f>
        <v xml:space="preserve">LUDWING VAN BEETHOVEN 732 </v>
      </c>
      <c r="D2764" s="6" t="str">
        <f ca="1">IFERROR(__xludf.DUMMYFUNCTION("""COMPUTED_VALUE"""),"MELIPILLA")</f>
        <v>MELIPILLA</v>
      </c>
    </row>
    <row r="2765" spans="1:4">
      <c r="A2765" s="7">
        <f ca="1">IFERROR(__xludf.DUMMYFUNCTION("""COMPUTED_VALUE"""),44256)</f>
        <v>44256</v>
      </c>
      <c r="B2765" s="8" t="str">
        <f ca="1">IFERROR(__xludf.DUMMYFUNCTION("""COMPUTED_VALUE"""),"-33.545111,-71.121967")</f>
        <v>-33.545111,-71.121967</v>
      </c>
      <c r="C2765" s="6" t="str">
        <f ca="1">IFERROR(__xludf.DUMMYFUNCTION("""COMPUTED_VALUE"""),"PANGUE 361")</f>
        <v>PANGUE 361</v>
      </c>
      <c r="D2765" s="6" t="str">
        <f ca="1">IFERROR(__xludf.DUMMYFUNCTION("""COMPUTED_VALUE"""),"MARIA PINTO")</f>
        <v>MARIA PINTO</v>
      </c>
    </row>
    <row r="2766" spans="1:4">
      <c r="A2766" s="7">
        <f ca="1">IFERROR(__xludf.DUMMYFUNCTION("""COMPUTED_VALUE"""),44256)</f>
        <v>44256</v>
      </c>
      <c r="B2766" s="6" t="str">
        <f ca="1">IFERROR(__xludf.DUMMYFUNCTION("""COMPUTED_VALUE"""),"-33.493447-71.024463")</f>
        <v>-33.493447-71.024463</v>
      </c>
      <c r="C2766" s="6" t="str">
        <f ca="1">IFERROR(__xludf.DUMMYFUNCTION("""COMPUTED_VALUE"""),"EL AJIAL SITIO 17")</f>
        <v>EL AJIAL SITIO 17</v>
      </c>
      <c r="D2766" s="6" t="str">
        <f ca="1">IFERROR(__xludf.DUMMYFUNCTION("""COMPUTED_VALUE"""),"CURACAVI")</f>
        <v>CURACAVI</v>
      </c>
    </row>
    <row r="2767" spans="1:4">
      <c r="A2767" s="7">
        <f ca="1">IFERROR(__xludf.DUMMYFUNCTION("""COMPUTED_VALUE"""),44256)</f>
        <v>44256</v>
      </c>
      <c r="B2767" s="6" t="str">
        <f ca="1">IFERROR(__xludf.DUMMYFUNCTION("""COMPUTED_VALUE"""),"-33.460966-71.045844")</f>
        <v>-33.460966-71.045844</v>
      </c>
      <c r="C2767" s="6" t="str">
        <f ca="1">IFERROR(__xludf.DUMMYFUNCTION("""COMPUTED_VALUE"""),"SAN JOAQUIN PC1 LT 1B")</f>
        <v>SAN JOAQUIN PC1 LT 1B</v>
      </c>
      <c r="D2767" s="6" t="str">
        <f ca="1">IFERROR(__xludf.DUMMYFUNCTION("""COMPUTED_VALUE"""),"CURACAVI")</f>
        <v>CURACAVI</v>
      </c>
    </row>
    <row r="2768" spans="1:4">
      <c r="A2768" s="7">
        <f ca="1">IFERROR(__xludf.DUMMYFUNCTION("""COMPUTED_VALUE"""),44256)</f>
        <v>44256</v>
      </c>
      <c r="B2768" s="6" t="str">
        <f ca="1">IFERROR(__xludf.DUMMYFUNCTION("""COMPUTED_VALUE"""),"-33.390622-71.122077")</f>
        <v>-33.390622-71.122077</v>
      </c>
      <c r="C2768" s="6" t="str">
        <f ca="1">IFERROR(__xludf.DUMMYFUNCTION("""COMPUTED_VALUE"""),"JOSE GREGORIO ARGOMEDO 1164")</f>
        <v>JOSE GREGORIO ARGOMEDO 1164</v>
      </c>
      <c r="D2768" s="6" t="str">
        <f ca="1">IFERROR(__xludf.DUMMYFUNCTION("""COMPUTED_VALUE"""),"CURACAVI")</f>
        <v>CURACAVI</v>
      </c>
    </row>
    <row r="2769" spans="1:4">
      <c r="A2769" s="7">
        <f ca="1">IFERROR(__xludf.DUMMYFUNCTION("""COMPUTED_VALUE"""),44256)</f>
        <v>44256</v>
      </c>
      <c r="B2769" s="6" t="str">
        <f ca="1">IFERROR(__xludf.DUMMYFUNCTION("""COMPUTED_VALUE"""),"-33.407565-71.139595")</f>
        <v>-33.407565-71.139595</v>
      </c>
      <c r="C2769" s="6" t="str">
        <f ca="1">IFERROR(__xludf.DUMMYFUNCTION("""COMPUTED_VALUE"""),"PASTOR FABIAN FARIAS 261")</f>
        <v>PASTOR FABIAN FARIAS 261</v>
      </c>
      <c r="D2769" s="6" t="str">
        <f ca="1">IFERROR(__xludf.DUMMYFUNCTION("""COMPUTED_VALUE"""),"CURACAVI")</f>
        <v>CURACAVI</v>
      </c>
    </row>
    <row r="2770" spans="1:4">
      <c r="A2770" s="7">
        <f ca="1">IFERROR(__xludf.DUMMYFUNCTION("""COMPUTED_VALUE"""),44256)</f>
        <v>44256</v>
      </c>
      <c r="B2770" s="6" t="str">
        <f ca="1">IFERROR(__xludf.DUMMYFUNCTION("""COMPUTED_VALUE"""),"-33.2347584-71.74294")</f>
        <v>-33.2347584-71.74294</v>
      </c>
      <c r="C2770" s="6" t="str">
        <f ca="1">IFERROR(__xludf.DUMMYFUNCTION("""COMPUTED_VALUE"""),"REGIDORA VANIA ORELLANA 1674")</f>
        <v>REGIDORA VANIA ORELLANA 1674</v>
      </c>
      <c r="D2770" s="6" t="str">
        <f ca="1">IFERROR(__xludf.DUMMYFUNCTION("""COMPUTED_VALUE"""),"CURACAVI")</f>
        <v>CURACAVI</v>
      </c>
    </row>
    <row r="2771" spans="1:4">
      <c r="A2771" s="7">
        <f ca="1">IFERROR(__xludf.DUMMYFUNCTION("""COMPUTED_VALUE"""),44256)</f>
        <v>44256</v>
      </c>
      <c r="B2771" s="6" t="str">
        <f ca="1">IFERROR(__xludf.DUMMYFUNCTION("""COMPUTED_VALUE"""),"-33.408648-71.138384")</f>
        <v>-33.408648-71.138384</v>
      </c>
      <c r="C2771" s="6" t="str">
        <f ca="1">IFERROR(__xludf.DUMMYFUNCTION("""COMPUTED_VALUE"""),"CIRCUNVALACION 1143")</f>
        <v>CIRCUNVALACION 1143</v>
      </c>
      <c r="D2771" s="6" t="str">
        <f ca="1">IFERROR(__xludf.DUMMYFUNCTION("""COMPUTED_VALUE"""),"CURACAVI")</f>
        <v>CURACAVI</v>
      </c>
    </row>
    <row r="2772" spans="1:4">
      <c r="A2772" s="7">
        <f ca="1">IFERROR(__xludf.DUMMYFUNCTION("""COMPUTED_VALUE"""),44256)</f>
        <v>44256</v>
      </c>
      <c r="B2772" s="6" t="str">
        <f ca="1">IFERROR(__xludf.DUMMYFUNCTION("""COMPUTED_VALUE"""),"-33.420183-71.146590")</f>
        <v>-33.420183-71.146590</v>
      </c>
      <c r="C2772" s="6" t="str">
        <f ca="1">IFERROR(__xludf.DUMMYFUNCTION("""COMPUTED_VALUE"""),"LO AGUILA S/N LT1")</f>
        <v>LO AGUILA S/N LT1</v>
      </c>
      <c r="D2772" s="6" t="str">
        <f ca="1">IFERROR(__xludf.DUMMYFUNCTION("""COMPUTED_VALUE"""),"CURACAVI")</f>
        <v>CURACAVI</v>
      </c>
    </row>
    <row r="2773" spans="1:4">
      <c r="A2773" s="7">
        <f ca="1">IFERROR(__xludf.DUMMYFUNCTION("""COMPUTED_VALUE"""),44256)</f>
        <v>44256</v>
      </c>
      <c r="B2773" s="6" t="str">
        <f ca="1">IFERROR(__xludf.DUMMYFUNCTION("""COMPUTED_VALUE"""),"-33.7940369,-71.2337037")</f>
        <v>-33.7940369,-71.2337037</v>
      </c>
      <c r="C2773" s="6" t="str">
        <f ca="1">IFERROR(__xludf.DUMMYFUNCTION("""COMPUTED_VALUE"""),"SECTOR  EL DIBUJO PARCELA 35 CULIPAN")</f>
        <v>SECTOR  EL DIBUJO PARCELA 35 CULIPAN</v>
      </c>
      <c r="D2773" s="6" t="str">
        <f ca="1">IFERROR(__xludf.DUMMYFUNCTION("""COMPUTED_VALUE"""),"MELIPILLA")</f>
        <v>MELIPILLA</v>
      </c>
    </row>
    <row r="2774" spans="1:4">
      <c r="A2774" s="7">
        <f ca="1">IFERROR(__xludf.DUMMYFUNCTION("""COMPUTED_VALUE"""),44257)</f>
        <v>44257</v>
      </c>
      <c r="B2774" s="8" t="str">
        <f ca="1">IFERROR(__xludf.DUMMYFUNCTION("""COMPUTED_VALUE"""),"-33.683801,-71.187061")</f>
        <v>-33.683801,-71.187061</v>
      </c>
      <c r="C2774" s="6" t="str">
        <f ca="1">IFERROR(__xludf.DUMMYFUNCTION("""COMPUTED_VALUE"""),"SOINCA 11")</f>
        <v>SOINCA 11</v>
      </c>
      <c r="D2774" s="6" t="str">
        <f ca="1">IFERROR(__xludf.DUMMYFUNCTION("""COMPUTED_VALUE"""),"MELIPILLA")</f>
        <v>MELIPILLA</v>
      </c>
    </row>
    <row r="2775" spans="1:4">
      <c r="A2775" s="7">
        <f ca="1">IFERROR(__xludf.DUMMYFUNCTION("""COMPUTED_VALUE"""),44257)</f>
        <v>44257</v>
      </c>
      <c r="B2775" s="8" t="str">
        <f ca="1">IFERROR(__xludf.DUMMYFUNCTION("""COMPUTED_VALUE"""),"-33.572749,-71.186342")</f>
        <v>-33.572749,-71.186342</v>
      </c>
      <c r="C2775" s="6" t="str">
        <f ca="1">IFERROR(__xludf.DUMMYFUNCTION("""COMPUTED_VALUE"""),"DOCE S/N POBLACION 12 DE OCTUBRE ")</f>
        <v xml:space="preserve">DOCE S/N POBLACION 12 DE OCTUBRE </v>
      </c>
      <c r="D2775" s="6" t="str">
        <f ca="1">IFERROR(__xludf.DUMMYFUNCTION("""COMPUTED_VALUE"""),"MELIPILLA")</f>
        <v>MELIPILLA</v>
      </c>
    </row>
    <row r="2776" spans="1:4">
      <c r="A2776" s="7">
        <f ca="1">IFERROR(__xludf.DUMMYFUNCTION("""COMPUTED_VALUE"""),44257)</f>
        <v>44257</v>
      </c>
      <c r="B2776" s="8" t="str">
        <f ca="1">IFERROR(__xludf.DUMMYFUNCTION("""COMPUTED_VALUE"""),"-33.567548,-71.221971")</f>
        <v>-33.567548,-71.221971</v>
      </c>
      <c r="C2776" s="6" t="str">
        <f ca="1">IFERROR(__xludf.DUMMYFUNCTION("""COMPUTED_VALUE"""),"VILLA ESPERANZA SITIO 60 ")</f>
        <v xml:space="preserve">VILLA ESPERANZA SITIO 60 </v>
      </c>
      <c r="D2776" s="6" t="str">
        <f ca="1">IFERROR(__xludf.DUMMYFUNCTION("""COMPUTED_VALUE"""),"MELIPILLA")</f>
        <v>MELIPILLA</v>
      </c>
    </row>
    <row r="2777" spans="1:4">
      <c r="A2777" s="7">
        <f ca="1">IFERROR(__xludf.DUMMYFUNCTION("""COMPUTED_VALUE"""),44257)</f>
        <v>44257</v>
      </c>
      <c r="B2777" s="8" t="str">
        <f ca="1">IFERROR(__xludf.DUMMYFUNCTION("""COMPUTED_VALUE"""),"-33.682304,-71.195479")</f>
        <v>-33.682304,-71.195479</v>
      </c>
      <c r="C2777" s="6" t="str">
        <f ca="1">IFERROR(__xludf.DUMMYFUNCTION("""COMPUTED_VALUE"""),"LUDWING VAN BEETHOVEN")</f>
        <v>LUDWING VAN BEETHOVEN</v>
      </c>
      <c r="D2777" s="6" t="str">
        <f ca="1">IFERROR(__xludf.DUMMYFUNCTION("""COMPUTED_VALUE"""),"MELIPILLA")</f>
        <v>MELIPILLA</v>
      </c>
    </row>
    <row r="2778" spans="1:4">
      <c r="A2778" s="7">
        <f ca="1">IFERROR(__xludf.DUMMYFUNCTION("""COMPUTED_VALUE"""),44257)</f>
        <v>44257</v>
      </c>
      <c r="B2778" s="8" t="str">
        <f ca="1">IFERROR(__xludf.DUMMYFUNCTION("""COMPUTED_VALUE"""),"-33.675451,-71.175069")</f>
        <v>-33.675451,-71.175069</v>
      </c>
      <c r="C2778" s="6" t="str">
        <f ca="1">IFERROR(__xludf.DUMMYFUNCTION("""COMPUTED_VALUE"""),"CALLE ESCOCIA 103 ")</f>
        <v xml:space="preserve">CALLE ESCOCIA 103 </v>
      </c>
      <c r="D2778" s="6" t="str">
        <f ca="1">IFERROR(__xludf.DUMMYFUNCTION("""COMPUTED_VALUE"""),"MELIPILLA")</f>
        <v>MELIPILLA</v>
      </c>
    </row>
    <row r="2779" spans="1:4">
      <c r="A2779" s="7">
        <f ca="1">IFERROR(__xludf.DUMMYFUNCTION("""COMPUTED_VALUE"""),44257)</f>
        <v>44257</v>
      </c>
      <c r="B2779" s="8" t="str">
        <f ca="1">IFERROR(__xludf.DUMMYFUNCTION("""COMPUTED_VALUE"""),"-33.591781,-71.158601")</f>
        <v>-33.591781,-71.158601</v>
      </c>
      <c r="C2779" s="6" t="str">
        <f ca="1">IFERROR(__xludf.DUMMYFUNCTION("""COMPUTED_VALUE"""),"SECTOR LA QUEBRADA")</f>
        <v>SECTOR LA QUEBRADA</v>
      </c>
      <c r="D2779" s="6" t="str">
        <f ca="1">IFERROR(__xludf.DUMMYFUNCTION("""COMPUTED_VALUE"""),"MELIPILLA")</f>
        <v>MELIPILLA</v>
      </c>
    </row>
    <row r="2780" spans="1:4">
      <c r="A2780" s="7">
        <f ca="1">IFERROR(__xludf.DUMMYFUNCTION("""COMPUTED_VALUE"""),44257)</f>
        <v>44257</v>
      </c>
      <c r="B2780" s="8" t="str">
        <f ca="1">IFERROR(__xludf.DUMMYFUNCTION("""COMPUTED_VALUE"""),"-33.675122,-71.176969")</f>
        <v>-33.675122,-71.176969</v>
      </c>
      <c r="C2780" s="6" t="str">
        <f ca="1">IFERROR(__xludf.DUMMYFUNCTION("""COMPUTED_VALUE"""),"IRLANDA 2024")</f>
        <v>IRLANDA 2024</v>
      </c>
      <c r="D2780" s="6" t="str">
        <f ca="1">IFERROR(__xludf.DUMMYFUNCTION("""COMPUTED_VALUE"""),"MELIPILLA")</f>
        <v>MELIPILLA</v>
      </c>
    </row>
    <row r="2781" spans="1:4">
      <c r="A2781" s="7">
        <f ca="1">IFERROR(__xludf.DUMMYFUNCTION("""COMPUTED_VALUE"""),44257)</f>
        <v>44257</v>
      </c>
      <c r="B2781" s="6" t="str">
        <f ca="1">IFERROR(__xludf.DUMMYFUNCTION("""COMPUTED_VALUE"""),"-33.390961-71.122180")</f>
        <v>-33.390961-71.122180</v>
      </c>
      <c r="C2781" s="6" t="str">
        <f ca="1">IFERROR(__xludf.DUMMYFUNCTION("""COMPUTED_VALUE"""),"JOSE GREGORIO ARGOMEDO 1123")</f>
        <v>JOSE GREGORIO ARGOMEDO 1123</v>
      </c>
      <c r="D2781" s="6" t="str">
        <f ca="1">IFERROR(__xludf.DUMMYFUNCTION("""COMPUTED_VALUE"""),"CURACAVI")</f>
        <v>CURACAVI</v>
      </c>
    </row>
    <row r="2782" spans="1:4">
      <c r="A2782" s="7">
        <f ca="1">IFERROR(__xludf.DUMMYFUNCTION("""COMPUTED_VALUE"""),44257)</f>
        <v>44257</v>
      </c>
      <c r="B2782" s="6" t="str">
        <f ca="1">IFERROR(__xludf.DUMMYFUNCTION("""COMPUTED_VALUE"""),"-33.390961-71.122180")</f>
        <v>-33.390961-71.122180</v>
      </c>
      <c r="C2782" s="6" t="str">
        <f ca="1">IFERROR(__xludf.DUMMYFUNCTION("""COMPUTED_VALUE"""),"JOSE GREGORIO ARGOMEDO 1123")</f>
        <v>JOSE GREGORIO ARGOMEDO 1123</v>
      </c>
      <c r="D2782" s="6" t="str">
        <f ca="1">IFERROR(__xludf.DUMMYFUNCTION("""COMPUTED_VALUE"""),"CURACAVI")</f>
        <v>CURACAVI</v>
      </c>
    </row>
    <row r="2783" spans="1:4">
      <c r="A2783" s="7">
        <f ca="1">IFERROR(__xludf.DUMMYFUNCTION("""COMPUTED_VALUE"""),44257)</f>
        <v>44257</v>
      </c>
      <c r="B2783" s="6" t="str">
        <f ca="1">IFERROR(__xludf.DUMMYFUNCTION("""COMPUTED_VALUE"""),"-33.391120-71.122221")</f>
        <v>-33.391120-71.122221</v>
      </c>
      <c r="C2783" s="6" t="str">
        <f ca="1">IFERROR(__xludf.DUMMYFUNCTION("""COMPUTED_VALUE"""),"JOSE GREGORIO ARGOMEDO 1161")</f>
        <v>JOSE GREGORIO ARGOMEDO 1161</v>
      </c>
      <c r="D2783" s="6" t="str">
        <f ca="1">IFERROR(__xludf.DUMMYFUNCTION("""COMPUTED_VALUE"""),"CURACAVI")</f>
        <v>CURACAVI</v>
      </c>
    </row>
    <row r="2784" spans="1:4">
      <c r="A2784" s="7">
        <f ca="1">IFERROR(__xludf.DUMMYFUNCTION("""COMPUTED_VALUE"""),44257)</f>
        <v>44257</v>
      </c>
      <c r="B2784" s="6" t="str">
        <f ca="1">IFERROR(__xludf.DUMMYFUNCTION("""COMPUTED_VALUE"""),"-33.2713-71.5830")</f>
        <v>-33.2713-71.5830</v>
      </c>
      <c r="C2784" s="6" t="str">
        <f ca="1">IFERROR(__xludf.DUMMYFUNCTION("""COMPUTED_VALUE"""),"MIRAFLORES P/1 A S/N")</f>
        <v>MIRAFLORES P/1 A S/N</v>
      </c>
      <c r="D2784" s="6" t="str">
        <f ca="1">IFERROR(__xludf.DUMMYFUNCTION("""COMPUTED_VALUE"""),"CURACAVI")</f>
        <v>CURACAVI</v>
      </c>
    </row>
    <row r="2785" spans="1:4">
      <c r="A2785" s="7">
        <f ca="1">IFERROR(__xludf.DUMMYFUNCTION("""COMPUTED_VALUE"""),44257)</f>
        <v>44257</v>
      </c>
      <c r="B2785" s="6" t="str">
        <f ca="1">IFERROR(__xludf.DUMMYFUNCTION("""COMPUTED_VALUE"""),"-33.250431-71.257572")</f>
        <v>-33.250431-71.257572</v>
      </c>
      <c r="C2785" s="6" t="str">
        <f ca="1">IFERROR(__xludf.DUMMYFUNCTION("""COMPUTED_VALUE"""),"RUTA 68 P/1A S/N")</f>
        <v>RUTA 68 P/1A S/N</v>
      </c>
      <c r="D2785" s="6" t="str">
        <f ca="1">IFERROR(__xludf.DUMMYFUNCTION("""COMPUTED_VALUE"""),"CURACAVI")</f>
        <v>CURACAVI</v>
      </c>
    </row>
    <row r="2786" spans="1:4">
      <c r="A2786" s="7">
        <f ca="1">IFERROR(__xludf.DUMMYFUNCTION("""COMPUTED_VALUE"""),44257)</f>
        <v>44257</v>
      </c>
      <c r="B2786" s="6" t="str">
        <f ca="1">IFERROR(__xludf.DUMMYFUNCTION("""COMPUTED_VALUE"""),"-33.619348-70.925367")</f>
        <v>-33.619348-70.925367</v>
      </c>
      <c r="C2786" s="6" t="str">
        <f ca="1">IFERROR(__xludf.DUMMYFUNCTION("""COMPUTED_VALUE"""),"CA MALLARAUCO PARCELA 11")</f>
        <v>CA MALLARAUCO PARCELA 11</v>
      </c>
      <c r="D2786" s="6" t="str">
        <f ca="1">IFERROR(__xludf.DUMMYFUNCTION("""COMPUTED_VALUE"""),"PEÑAFLOR")</f>
        <v>PEÑAFLOR</v>
      </c>
    </row>
    <row r="2787" spans="1:4">
      <c r="A2787" s="7">
        <f ca="1">IFERROR(__xludf.DUMMYFUNCTION("""COMPUTED_VALUE"""),44257)</f>
        <v>44257</v>
      </c>
      <c r="B2787" s="6" t="str">
        <f ca="1">IFERROR(__xludf.DUMMYFUNCTION("""COMPUTED_VALUE"""),"-33.601660-70.881769")</f>
        <v>-33.601660-70.881769</v>
      </c>
      <c r="C2787" s="6" t="str">
        <f ca="1">IFERROR(__xludf.DUMMYFUNCTION("""COMPUTED_VALUE"""),"CERRO LOS ACACIOS 481")</f>
        <v>CERRO LOS ACACIOS 481</v>
      </c>
      <c r="D2787" s="6" t="str">
        <f ca="1">IFERROR(__xludf.DUMMYFUNCTION("""COMPUTED_VALUE"""),"PEÑAFLOR")</f>
        <v>PEÑAFLOR</v>
      </c>
    </row>
    <row r="2788" spans="1:4">
      <c r="A2788" s="7">
        <f ca="1">IFERROR(__xludf.DUMMYFUNCTION("""COMPUTED_VALUE"""),44257)</f>
        <v>44257</v>
      </c>
      <c r="B2788" s="6" t="str">
        <f ca="1">IFERROR(__xludf.DUMMYFUNCTION("""COMPUTED_VALUE"""),"-33.44784-71.03144")</f>
        <v>-33.44784-71.03144</v>
      </c>
      <c r="C2788" s="6" t="str">
        <f ca="1">IFERROR(__xludf.DUMMYFUNCTION("""COMPUTED_VALUE"""),"EL MOLINO S/18 P-7")</f>
        <v>EL MOLINO S/18 P-7</v>
      </c>
      <c r="D2788" s="6" t="str">
        <f ca="1">IFERROR(__xludf.DUMMYFUNCTION("""COMPUTED_VALUE"""),"CURACAVI")</f>
        <v>CURACAVI</v>
      </c>
    </row>
    <row r="2789" spans="1:4">
      <c r="A2789" s="7">
        <f ca="1">IFERROR(__xludf.DUMMYFUNCTION("""COMPUTED_VALUE"""),44257)</f>
        <v>44257</v>
      </c>
      <c r="B2789" s="6" t="str">
        <f ca="1">IFERROR(__xludf.DUMMYFUNCTION("""COMPUTED_VALUE"""),"-33.489205-71.02895")</f>
        <v>-33.489205-71.02895</v>
      </c>
      <c r="C2789" s="6" t="str">
        <f ca="1">IFERROR(__xludf.DUMMYFUNCTION("""COMPUTED_VALUE"""),"EL AJIAL P57")</f>
        <v>EL AJIAL P57</v>
      </c>
      <c r="D2789" s="6" t="str">
        <f ca="1">IFERROR(__xludf.DUMMYFUNCTION("""COMPUTED_VALUE"""),"CURACAVI")</f>
        <v>CURACAVI</v>
      </c>
    </row>
    <row r="2790" spans="1:4">
      <c r="A2790" s="7">
        <f ca="1">IFERROR(__xludf.DUMMYFUNCTION("""COMPUTED_VALUE"""),44257)</f>
        <v>44257</v>
      </c>
      <c r="B2790" s="6" t="str">
        <f ca="1">IFERROR(__xludf.DUMMYFUNCTION("""COMPUTED_VALUE"""),"-33.49224-71.02627")</f>
        <v>-33.49224-71.02627</v>
      </c>
      <c r="C2790" s="6" t="str">
        <f ca="1">IFERROR(__xludf.DUMMYFUNCTION("""COMPUTED_VALUE"""),"EL AJIAL S/N P30")</f>
        <v>EL AJIAL S/N P30</v>
      </c>
      <c r="D2790" s="6" t="str">
        <f ca="1">IFERROR(__xludf.DUMMYFUNCTION("""COMPUTED_VALUE"""),"CURACAVI")</f>
        <v>CURACAVI</v>
      </c>
    </row>
    <row r="2791" spans="1:4">
      <c r="A2791" s="7">
        <f ca="1">IFERROR(__xludf.DUMMYFUNCTION("""COMPUTED_VALUE"""),44257)</f>
        <v>44257</v>
      </c>
      <c r="B2791" s="6" t="str">
        <f ca="1">IFERROR(__xludf.DUMMYFUNCTION("""COMPUTED_VALUE"""),"-33.49911-71.00405")</f>
        <v>-33.49911-71.00405</v>
      </c>
      <c r="C2791" s="6" t="str">
        <f ca="1">IFERROR(__xludf.DUMMYFUNCTION("""COMPUTED_VALUE"""),"SANTA INES 44")</f>
        <v>SANTA INES 44</v>
      </c>
      <c r="D2791" s="6" t="str">
        <f ca="1">IFERROR(__xludf.DUMMYFUNCTION("""COMPUTED_VALUE"""),"CURACAVI")</f>
        <v>CURACAVI</v>
      </c>
    </row>
    <row r="2792" spans="1:4">
      <c r="A2792" s="7">
        <f ca="1">IFERROR(__xludf.DUMMYFUNCTION("""COMPUTED_VALUE"""),44257)</f>
        <v>44257</v>
      </c>
      <c r="B2792" s="6" t="str">
        <f ca="1">IFERROR(__xludf.DUMMYFUNCTION("""COMPUTED_VALUE"""),"-33.398821-71.132383")</f>
        <v>-33.398821-71.132383</v>
      </c>
      <c r="C2792" s="6" t="str">
        <f ca="1">IFERROR(__xludf.DUMMYFUNCTION("""COMPUTED_VALUE"""),"FRANCISCO SAAVEDRA 1804")</f>
        <v>FRANCISCO SAAVEDRA 1804</v>
      </c>
      <c r="D2792" s="6" t="str">
        <f ca="1">IFERROR(__xludf.DUMMYFUNCTION("""COMPUTED_VALUE"""),"CURACAVI")</f>
        <v>CURACAVI</v>
      </c>
    </row>
    <row r="2793" spans="1:4">
      <c r="A2793" s="7">
        <f ca="1">IFERROR(__xludf.DUMMYFUNCTION("""COMPUTED_VALUE"""),44257)</f>
        <v>44257</v>
      </c>
      <c r="B2793" s="6" t="str">
        <f ca="1">IFERROR(__xludf.DUMMYFUNCTION("""COMPUTED_VALUE"""),"-33.398394-71.131993")</f>
        <v>-33.398394-71.131993</v>
      </c>
      <c r="C2793" s="6" t="str">
        <f ca="1">IFERROR(__xludf.DUMMYFUNCTION("""COMPUTED_VALUE"""),"FRANCISCO SAAVEDRA 1804")</f>
        <v>FRANCISCO SAAVEDRA 1804</v>
      </c>
      <c r="D2793" s="6" t="str">
        <f ca="1">IFERROR(__xludf.DUMMYFUNCTION("""COMPUTED_VALUE"""),"CURACAVI")</f>
        <v>CURACAVI</v>
      </c>
    </row>
    <row r="2794" spans="1:4">
      <c r="A2794" s="7">
        <f ca="1">IFERROR(__xludf.DUMMYFUNCTION("""COMPUTED_VALUE"""),44257)</f>
        <v>44257</v>
      </c>
      <c r="B2794" s="6" t="str">
        <f ca="1">IFERROR(__xludf.DUMMYFUNCTION("""COMPUTED_VALUE"""),"-33.393470-71.124488")</f>
        <v>-33.393470-71.124488</v>
      </c>
      <c r="C2794" s="6" t="str">
        <f ca="1">IFERROR(__xludf.DUMMYFUNCTION("""COMPUTED_VALUE"""),"CAMILO HENRIQUEZ 1044")</f>
        <v>CAMILO HENRIQUEZ 1044</v>
      </c>
      <c r="D2794" s="6" t="str">
        <f ca="1">IFERROR(__xludf.DUMMYFUNCTION("""COMPUTED_VALUE"""),"CURACAVI")</f>
        <v>CURACAVI</v>
      </c>
    </row>
    <row r="2795" spans="1:4">
      <c r="A2795" s="7">
        <f ca="1">IFERROR(__xludf.DUMMYFUNCTION("""COMPUTED_VALUE"""),44257)</f>
        <v>44257</v>
      </c>
      <c r="B2795" s="6" t="str">
        <f ca="1">IFERROR(__xludf.DUMMYFUNCTION("""COMPUTED_VALUE"""),"-33.680590,-71.197610")</f>
        <v>-33.680590,-71.197610</v>
      </c>
      <c r="C2795" s="6" t="str">
        <f ca="1">IFERROR(__xludf.DUMMYFUNCTION("""COMPUTED_VALUE"""),"PASAJE TRES 561")</f>
        <v>PASAJE TRES 561</v>
      </c>
      <c r="D2795" s="6" t="str">
        <f ca="1">IFERROR(__xludf.DUMMYFUNCTION("""COMPUTED_VALUE"""),"MELIPILLA")</f>
        <v>MELIPILLA</v>
      </c>
    </row>
    <row r="2796" spans="1:4">
      <c r="A2796" s="7">
        <f ca="1">IFERROR(__xludf.DUMMYFUNCTION("""COMPUTED_VALUE"""),44257)</f>
        <v>44257</v>
      </c>
      <c r="B2796" s="6" t="str">
        <f ca="1">IFERROR(__xludf.DUMMYFUNCTION("""COMPUTED_VALUE"""),"-33.680064,-71.193682")</f>
        <v>-33.680064,-71.193682</v>
      </c>
      <c r="C2796" s="6" t="str">
        <f ca="1">IFERROR(__xludf.DUMMYFUNCTION("""COMPUTED_VALUE"""),"ESMERALDA 50 ")</f>
        <v xml:space="preserve">ESMERALDA 50 </v>
      </c>
      <c r="D2796" s="6" t="str">
        <f ca="1">IFERROR(__xludf.DUMMYFUNCTION("""COMPUTED_VALUE"""),"MELIPILLA")</f>
        <v>MELIPILLA</v>
      </c>
    </row>
    <row r="2797" spans="1:4">
      <c r="A2797" s="7">
        <f ca="1">IFERROR(__xludf.DUMMYFUNCTION("""COMPUTED_VALUE"""),44257)</f>
        <v>44257</v>
      </c>
      <c r="B2797" s="6" t="str">
        <f ca="1">IFERROR(__xludf.DUMMYFUNCTION("""COMPUTED_VALUE"""),"-33.680064,-71.193682")</f>
        <v>-33.680064,-71.193682</v>
      </c>
      <c r="C2797" s="6" t="str">
        <f ca="1">IFERROR(__xludf.DUMMYFUNCTION("""COMPUTED_VALUE"""),"ESMERALDA 50 ")</f>
        <v xml:space="preserve">ESMERALDA 50 </v>
      </c>
      <c r="D2797" s="6" t="str">
        <f ca="1">IFERROR(__xludf.DUMMYFUNCTION("""COMPUTED_VALUE"""),"MELIPILLA")</f>
        <v>MELIPILLA</v>
      </c>
    </row>
    <row r="2798" spans="1:4">
      <c r="A2798" s="7">
        <f ca="1">IFERROR(__xludf.DUMMYFUNCTION("""COMPUTED_VALUE"""),44257)</f>
        <v>44257</v>
      </c>
      <c r="B2798" s="6" t="str">
        <f ca="1">IFERROR(__xludf.DUMMYFUNCTION("""COMPUTED_VALUE"""),"-33.683497,-71.231982")</f>
        <v>-33.683497,-71.231982</v>
      </c>
      <c r="C2798" s="6" t="str">
        <f ca="1">IFERROR(__xludf.DUMMYFUNCTION("""COMPUTED_VALUE"""),"PA. ROBERTO MORANDEZ 2026")</f>
        <v>PA. ROBERTO MORANDEZ 2026</v>
      </c>
      <c r="D2798" s="6" t="str">
        <f ca="1">IFERROR(__xludf.DUMMYFUNCTION("""COMPUTED_VALUE"""),"MELIPILLA")</f>
        <v>MELIPILLA</v>
      </c>
    </row>
    <row r="2799" spans="1:4">
      <c r="A2799" s="7">
        <f ca="1">IFERROR(__xludf.DUMMYFUNCTION("""COMPUTED_VALUE"""),44257)</f>
        <v>44257</v>
      </c>
      <c r="B2799" s="6" t="str">
        <f ca="1">IFERROR(__xludf.DUMMYFUNCTION("""COMPUTED_VALUE"""),"-33.685851,-71.191913")</f>
        <v>-33.685851,-71.191913</v>
      </c>
      <c r="C2799" s="6" t="str">
        <f ca="1">IFERROR(__xludf.DUMMYFUNCTION("""COMPUTED_VALUE"""),"CRISTIAN LETELIER AGUILAR 1035")</f>
        <v>CRISTIAN LETELIER AGUILAR 1035</v>
      </c>
      <c r="D2799" s="6" t="str">
        <f ca="1">IFERROR(__xludf.DUMMYFUNCTION("""COMPUTED_VALUE"""),"MELIPILLA")</f>
        <v>MELIPILLA</v>
      </c>
    </row>
    <row r="2800" spans="1:4">
      <c r="A2800" s="7">
        <f ca="1">IFERROR(__xludf.DUMMYFUNCTION("""COMPUTED_VALUE"""),44258)</f>
        <v>44258</v>
      </c>
      <c r="B2800" s="8" t="str">
        <f ca="1">IFERROR(__xludf.DUMMYFUNCTION("""COMPUTED_VALUE"""),"-33.569901,-71.104551")</f>
        <v>-33.569901,-71.104551</v>
      </c>
      <c r="C2800" s="6" t="str">
        <f ca="1">IFERROR(__xludf.DUMMYFUNCTION("""COMPUTED_VALUE"""),"PAHUILMO S/N LOTE 3-1")</f>
        <v>PAHUILMO S/N LOTE 3-1</v>
      </c>
      <c r="D2800" s="6" t="str">
        <f ca="1">IFERROR(__xludf.DUMMYFUNCTION("""COMPUTED_VALUE"""),"MELIPILLA")</f>
        <v>MELIPILLA</v>
      </c>
    </row>
    <row r="2801" spans="1:4">
      <c r="A2801" s="7">
        <f ca="1">IFERROR(__xludf.DUMMYFUNCTION("""COMPUTED_VALUE"""),44258)</f>
        <v>44258</v>
      </c>
      <c r="B2801" s="8" t="str">
        <f ca="1">IFERROR(__xludf.DUMMYFUNCTION("""COMPUTED_VALUE"""),"-33.651502,-70.922760")</f>
        <v>-33.651502,-70.922760</v>
      </c>
      <c r="C2801" s="6" t="str">
        <f ca="1">IFERROR(__xludf.DUMMYFUNCTION("""COMPUTED_VALUE"""),"TRANSVERSAL 57 SILVIA S")</f>
        <v>TRANSVERSAL 57 SILVIA S</v>
      </c>
      <c r="D2801" s="6" t="str">
        <f ca="1">IFERROR(__xludf.DUMMYFUNCTION("""COMPUTED_VALUE"""),"TALAGANTE")</f>
        <v>TALAGANTE</v>
      </c>
    </row>
    <row r="2802" spans="1:4">
      <c r="A2802" s="7">
        <f ca="1">IFERROR(__xludf.DUMMYFUNCTION("""COMPUTED_VALUE"""),44258)</f>
        <v>44258</v>
      </c>
      <c r="B2802" s="8" t="str">
        <f ca="1">IFERROR(__xludf.DUMMYFUNCTION("""COMPUTED_VALUE"""),"-33.568421,-71.220253")</f>
        <v>-33.568421,-71.220253</v>
      </c>
      <c r="C2802" s="6" t="str">
        <f ca="1">IFERROR(__xludf.DUMMYFUNCTION("""COMPUTED_VALUE"""),"VALPARAISO S/N ")</f>
        <v xml:space="preserve">VALPARAISO S/N </v>
      </c>
      <c r="D2802" s="6" t="str">
        <f ca="1">IFERROR(__xludf.DUMMYFUNCTION("""COMPUTED_VALUE"""),"MELIPILLA")</f>
        <v>MELIPILLA</v>
      </c>
    </row>
    <row r="2803" spans="1:4">
      <c r="A2803" s="7">
        <f ca="1">IFERROR(__xludf.DUMMYFUNCTION("""COMPUTED_VALUE"""),44258)</f>
        <v>44258</v>
      </c>
      <c r="B2803" s="8" t="str">
        <f ca="1">IFERROR(__xludf.DUMMYFUNCTION("""COMPUTED_VALUE"""),"-33.679819,-71.235418")</f>
        <v>-33.679819,-71.235418</v>
      </c>
      <c r="C2803" s="6" t="str">
        <f ca="1">IFERROR(__xludf.DUMMYFUNCTION("""COMPUTED_VALUE"""),"JOSE ARTURO PACHECO 348")</f>
        <v>JOSE ARTURO PACHECO 348</v>
      </c>
      <c r="D2803" s="6" t="str">
        <f ca="1">IFERROR(__xludf.DUMMYFUNCTION("""COMPUTED_VALUE"""),"MELIPILLA")</f>
        <v>MELIPILLA</v>
      </c>
    </row>
    <row r="2804" spans="1:4">
      <c r="A2804" s="7">
        <f ca="1">IFERROR(__xludf.DUMMYFUNCTION("""COMPUTED_VALUE"""),44258)</f>
        <v>44258</v>
      </c>
      <c r="B2804" s="8" t="str">
        <f ca="1">IFERROR(__xludf.DUMMYFUNCTION("""COMPUTED_VALUE"""),"-33.683046,-70.934847")</f>
        <v>-33.683046,-70.934847</v>
      </c>
      <c r="C2804" s="6" t="str">
        <f ca="1">IFERROR(__xludf.DUMMYFUNCTION("""COMPUTED_VALUE"""),"PJE INTERIOR 10 ")</f>
        <v xml:space="preserve">PJE INTERIOR 10 </v>
      </c>
      <c r="D2804" s="6" t="str">
        <f ca="1">IFERROR(__xludf.DUMMYFUNCTION("""COMPUTED_VALUE"""),"TALAGANTE")</f>
        <v>TALAGANTE</v>
      </c>
    </row>
    <row r="2805" spans="1:4">
      <c r="A2805" s="7">
        <f ca="1">IFERROR(__xludf.DUMMYFUNCTION("""COMPUTED_VALUE"""),44258)</f>
        <v>44258</v>
      </c>
      <c r="B2805" s="8" t="str">
        <f ca="1">IFERROR(__xludf.DUMMYFUNCTION("""COMPUTED_VALUE"""),"-33.683046,-70.934846")</f>
        <v>-33.683046,-70.934846</v>
      </c>
      <c r="C2805" s="6" t="str">
        <f ca="1">IFERROR(__xludf.DUMMYFUNCTION("""COMPUTED_VALUE"""),"PJE INTERIOR 10 ")</f>
        <v xml:space="preserve">PJE INTERIOR 10 </v>
      </c>
      <c r="D2805" s="6" t="str">
        <f ca="1">IFERROR(__xludf.DUMMYFUNCTION("""COMPUTED_VALUE"""),"TALAGANTE")</f>
        <v>TALAGANTE</v>
      </c>
    </row>
    <row r="2806" spans="1:4">
      <c r="A2806" s="7">
        <f ca="1">IFERROR(__xludf.DUMMYFUNCTION("""COMPUTED_VALUE"""),44258)</f>
        <v>44258</v>
      </c>
      <c r="B2806" s="8" t="str">
        <f ca="1">IFERROR(__xludf.DUMMYFUNCTION("""COMPUTED_VALUE"""),"-33.652984,-70.909606")</f>
        <v>-33.652984,-70.909606</v>
      </c>
      <c r="C2806" s="6" t="str">
        <f ca="1">IFERROR(__xludf.DUMMYFUNCTION("""COMPUTED_VALUE"""),"RIO PETROHUE 524")</f>
        <v>RIO PETROHUE 524</v>
      </c>
      <c r="D2806" s="6" t="str">
        <f ca="1">IFERROR(__xludf.DUMMYFUNCTION("""COMPUTED_VALUE"""),"TALAGANTE")</f>
        <v>TALAGANTE</v>
      </c>
    </row>
    <row r="2807" spans="1:4">
      <c r="A2807" s="7">
        <f ca="1">IFERROR(__xludf.DUMMYFUNCTION("""COMPUTED_VALUE"""),44258)</f>
        <v>44258</v>
      </c>
      <c r="B2807" s="8" t="str">
        <f ca="1">IFERROR(__xludf.DUMMYFUNCTION("""COMPUTED_VALUE"""),"-33.564575,-70.795571")</f>
        <v>-33.564575,-70.795571</v>
      </c>
      <c r="C2807" s="6" t="str">
        <f ca="1">IFERROR(__xludf.DUMMYFUNCTION("""COMPUTED_VALUE"""),"CENTRAL 35")</f>
        <v>CENTRAL 35</v>
      </c>
      <c r="D2807" s="6" t="str">
        <f ca="1">IFERROR(__xludf.DUMMYFUNCTION("""COMPUTED_VALUE"""),"PADRE HURTADO")</f>
        <v>PADRE HURTADO</v>
      </c>
    </row>
    <row r="2808" spans="1:4">
      <c r="A2808" s="7">
        <f ca="1">IFERROR(__xludf.DUMMYFUNCTION("""COMPUTED_VALUE"""),44258)</f>
        <v>44258</v>
      </c>
      <c r="B2808" s="8" t="str">
        <f ca="1">IFERROR(__xludf.DUMMYFUNCTION("""COMPUTED_VALUE"""),"-33.187651,-70.901164")</f>
        <v>-33.187651,-70.901164</v>
      </c>
      <c r="C2808" s="6" t="str">
        <f ca="1">IFERROR(__xludf.DUMMYFUNCTION("""COMPUTED_VALUE"""),"CAMINO SERVIDUMBRE")</f>
        <v>CAMINO SERVIDUMBRE</v>
      </c>
      <c r="D2808" s="6" t="str">
        <f ca="1">IFERROR(__xludf.DUMMYFUNCTION("""COMPUTED_VALUE"""),"LAMPA")</f>
        <v>LAMPA</v>
      </c>
    </row>
    <row r="2809" spans="1:4">
      <c r="A2809" s="7">
        <f ca="1">IFERROR(__xludf.DUMMYFUNCTION("""COMPUTED_VALUE"""),44258)</f>
        <v>44258</v>
      </c>
      <c r="B2809" s="6" t="str">
        <f ca="1">IFERROR(__xludf.DUMMYFUNCTION("""COMPUTED_VALUE"""),"-33.406355-71.134156")</f>
        <v>-33.406355-71.134156</v>
      </c>
      <c r="C2809" s="6" t="str">
        <f ca="1">IFERROR(__xludf.DUMMYFUNCTION("""COMPUTED_VALUE"""),"DIEGO PRADO 1508")</f>
        <v>DIEGO PRADO 1508</v>
      </c>
      <c r="D2809" s="6" t="str">
        <f ca="1">IFERROR(__xludf.DUMMYFUNCTION("""COMPUTED_VALUE"""),"CURACAVI")</f>
        <v>CURACAVI</v>
      </c>
    </row>
    <row r="2810" spans="1:4">
      <c r="A2810" s="7">
        <f ca="1">IFERROR(__xludf.DUMMYFUNCTION("""COMPUTED_VALUE"""),44258)</f>
        <v>44258</v>
      </c>
      <c r="B2810" s="6" t="str">
        <f ca="1">IFERROR(__xludf.DUMMYFUNCTION("""COMPUTED_VALUE"""),"-33.398352-71-123700")</f>
        <v>-33.398352-71-123700</v>
      </c>
      <c r="C2810" s="6" t="str">
        <f ca="1">IFERROR(__xludf.DUMMYFUNCTION("""COMPUTED_VALUE"""),"LAS ARAUCARIAS 304")</f>
        <v>LAS ARAUCARIAS 304</v>
      </c>
      <c r="D2810" s="6" t="str">
        <f ca="1">IFERROR(__xludf.DUMMYFUNCTION("""COMPUTED_VALUE"""),"CURACAVI")</f>
        <v>CURACAVI</v>
      </c>
    </row>
    <row r="2811" spans="1:4">
      <c r="A2811" s="7">
        <f ca="1">IFERROR(__xludf.DUMMYFUNCTION("""COMPUTED_VALUE"""),44258)</f>
        <v>44258</v>
      </c>
      <c r="B2811" s="6" t="str">
        <f ca="1">IFERROR(__xludf.DUMMYFUNCTION("""COMPUTED_VALUE"""),"-33.46843-71.06937")</f>
        <v>-33.46843-71.06937</v>
      </c>
      <c r="C2811" s="6" t="str">
        <f ca="1">IFERROR(__xludf.DUMMYFUNCTION("""COMPUTED_VALUE"""),"SANTA RITA S/23")</f>
        <v>SANTA RITA S/23</v>
      </c>
      <c r="D2811" s="6" t="str">
        <f ca="1">IFERROR(__xludf.DUMMYFUNCTION("""COMPUTED_VALUE"""),"CURACAVI")</f>
        <v>CURACAVI</v>
      </c>
    </row>
    <row r="2812" spans="1:4">
      <c r="A2812" s="7">
        <f ca="1">IFERROR(__xludf.DUMMYFUNCTION("""COMPUTED_VALUE"""),44258)</f>
        <v>44258</v>
      </c>
      <c r="B2812" s="6" t="str">
        <f ca="1">IFERROR(__xludf.DUMMYFUNCTION("""COMPUTED_VALUE"""),"-33.397821-71.126027")</f>
        <v>-33.397821-71.126027</v>
      </c>
      <c r="C2812" s="6" t="str">
        <f ca="1">IFERROR(__xludf.DUMMYFUNCTION("""COMPUTED_VALUE"""),"LUIS CRUCHAGA 529")</f>
        <v>LUIS CRUCHAGA 529</v>
      </c>
      <c r="D2812" s="6" t="str">
        <f ca="1">IFERROR(__xludf.DUMMYFUNCTION("""COMPUTED_VALUE"""),"CURACAVI")</f>
        <v>CURACAVI</v>
      </c>
    </row>
    <row r="2813" spans="1:4">
      <c r="A2813" s="7">
        <f ca="1">IFERROR(__xludf.DUMMYFUNCTION("""COMPUTED_VALUE"""),44258)</f>
        <v>44258</v>
      </c>
      <c r="B2813" s="6" t="str">
        <f ca="1">IFERROR(__xludf.DUMMYFUNCTION("""COMPUTED_VALUE"""),"-33.399504-71.131236")</f>
        <v>-33.399504-71.131236</v>
      </c>
      <c r="C2813" s="6" t="str">
        <f ca="1">IFERROR(__xludf.DUMMYFUNCTION("""COMPUTED_VALUE"""),"FRANCISCO SAAVEDRA 1804")</f>
        <v>FRANCISCO SAAVEDRA 1804</v>
      </c>
      <c r="D2813" s="6" t="str">
        <f ca="1">IFERROR(__xludf.DUMMYFUNCTION("""COMPUTED_VALUE"""),"CURACAVI")</f>
        <v>CURACAVI</v>
      </c>
    </row>
    <row r="2814" spans="1:4">
      <c r="A2814" s="7">
        <f ca="1">IFERROR(__xludf.DUMMYFUNCTION("""COMPUTED_VALUE"""),44258)</f>
        <v>44258</v>
      </c>
      <c r="B2814" s="6" t="str">
        <f ca="1">IFERROR(__xludf.DUMMYFUNCTION("""COMPUTED_VALUE"""),"-33.15115-70.4858121")</f>
        <v>-33.15115-70.4858121</v>
      </c>
      <c r="C2814" s="6" t="str">
        <f ca="1">IFERROR(__xludf.DUMMYFUNCTION("""COMPUTED_VALUE"""),"SANTA INES P-14 S-13")</f>
        <v>SANTA INES P-14 S-13</v>
      </c>
      <c r="D2814" s="6" t="str">
        <f ca="1">IFERROR(__xludf.DUMMYFUNCTION("""COMPUTED_VALUE"""),"LAMPA")</f>
        <v>LAMPA</v>
      </c>
    </row>
    <row r="2815" spans="1:4">
      <c r="A2815" s="7">
        <f ca="1">IFERROR(__xludf.DUMMYFUNCTION("""COMPUTED_VALUE"""),44258)</f>
        <v>44258</v>
      </c>
      <c r="B2815" s="6" t="str">
        <f ca="1">IFERROR(__xludf.DUMMYFUNCTION("""COMPUTED_VALUE"""),"-33.755719,-71.298568")</f>
        <v>-33.755719,-71.298568</v>
      </c>
      <c r="C2815" s="6" t="str">
        <f ca="1">IFERROR(__xludf.DUMMYFUNCTION("""COMPUTED_VALUE"""),"SECTOR  SAN RAFAEL  CODIGUA  S/N CASA 2")</f>
        <v>SECTOR  SAN RAFAEL  CODIGUA  S/N CASA 2</v>
      </c>
      <c r="D2815" s="6" t="str">
        <f ca="1">IFERROR(__xludf.DUMMYFUNCTION("""COMPUTED_VALUE"""),"MELIPILLA")</f>
        <v>MELIPILLA</v>
      </c>
    </row>
    <row r="2816" spans="1:4">
      <c r="A2816" s="7">
        <f ca="1">IFERROR(__xludf.DUMMYFUNCTION("""COMPUTED_VALUE"""),44258)</f>
        <v>44258</v>
      </c>
      <c r="B2816" s="6" t="str">
        <f ca="1">IFERROR(__xludf.DUMMYFUNCTION("""COMPUTED_VALUE"""),"-33.568573,-71.172962")</f>
        <v>-33.568573,-71.172962</v>
      </c>
      <c r="C2816" s="6" t="str">
        <f ca="1">IFERROR(__xludf.DUMMYFUNCTION("""COMPUTED_VALUE"""),"SAN RAMON ST 57")</f>
        <v>SAN RAMON ST 57</v>
      </c>
      <c r="D2816" s="6" t="str">
        <f ca="1">IFERROR(__xludf.DUMMYFUNCTION("""COMPUTED_VALUE"""),"MELIPILLA")</f>
        <v>MELIPILLA</v>
      </c>
    </row>
    <row r="2817" spans="1:4">
      <c r="A2817" s="7">
        <f ca="1">IFERROR(__xludf.DUMMYFUNCTION("""COMPUTED_VALUE"""),44258)</f>
        <v>44258</v>
      </c>
      <c r="B2817" s="6" t="str">
        <f ca="1">IFERROR(__xludf.DUMMYFUNCTION("""COMPUTED_VALUE"""),"-33.575697,-71.014752")</f>
        <v>-33.575697,-71.014752</v>
      </c>
      <c r="C2817" s="6" t="str">
        <f ca="1">IFERROR(__xludf.DUMMYFUNCTION("""COMPUTED_VALUE"""),"PARTRIA VIEJA SANTA TERESA S/N")</f>
        <v>PARTRIA VIEJA SANTA TERESA S/N</v>
      </c>
      <c r="D2817" s="6" t="str">
        <f ca="1">IFERROR(__xludf.DUMMYFUNCTION("""COMPUTED_VALUE"""),"MELIPILLA")</f>
        <v>MELIPILLA</v>
      </c>
    </row>
    <row r="2818" spans="1:4">
      <c r="A2818" s="7">
        <f ca="1">IFERROR(__xludf.DUMMYFUNCTION("""COMPUTED_VALUE"""),44258)</f>
        <v>44258</v>
      </c>
      <c r="B2818" s="6" t="str">
        <f ca="1">IFERROR(__xludf.DUMMYFUNCTION("""COMPUTED_VALUE"""),"-33.580904,-70.987701")</f>
        <v>-33.580904,-70.987701</v>
      </c>
      <c r="C2818" s="6" t="str">
        <f ca="1">IFERROR(__xludf.DUMMYFUNCTION("""COMPUTED_VALUE"""),"EL PIMIENTO 7561")</f>
        <v>EL PIMIENTO 7561</v>
      </c>
      <c r="D2818" s="6" t="str">
        <f ca="1">IFERROR(__xludf.DUMMYFUNCTION("""COMPUTED_VALUE"""),"MELIPILLA")</f>
        <v>MELIPILLA</v>
      </c>
    </row>
    <row r="2819" spans="1:4">
      <c r="A2819" s="7">
        <f ca="1">IFERROR(__xludf.DUMMYFUNCTION("""COMPUTED_VALUE"""),44259)</f>
        <v>44259</v>
      </c>
      <c r="B2819" s="8" t="str">
        <f ca="1">IFERROR(__xludf.DUMMYFUNCTION("""COMPUTED_VALUE"""),"-33.680322,-71.217720")</f>
        <v>-33.680322,-71.217720</v>
      </c>
      <c r="C2819" s="6" t="str">
        <f ca="1">IFERROR(__xludf.DUMMYFUNCTION("""COMPUTED_VALUE"""),"ARZA 888")</f>
        <v>ARZA 888</v>
      </c>
      <c r="D2819" s="6" t="str">
        <f ca="1">IFERROR(__xludf.DUMMYFUNCTION("""COMPUTED_VALUE"""),"MELIPILLA")</f>
        <v>MELIPILLA</v>
      </c>
    </row>
    <row r="2820" spans="1:4">
      <c r="A2820" s="7">
        <f ca="1">IFERROR(__xludf.DUMMYFUNCTION("""COMPUTED_VALUE"""),44259)</f>
        <v>44259</v>
      </c>
      <c r="B2820" s="8" t="str">
        <f ca="1">IFERROR(__xludf.DUMMYFUNCTION("""COMPUTED_VALUE"""),"-33.314183,-70.774098")</f>
        <v>-33.314183,-70.774098</v>
      </c>
      <c r="C2820" s="6" t="str">
        <f ca="1">IFERROR(__xludf.DUMMYFUNCTION("""COMPUTED_VALUE"""),"CAMINO INTERIOR 23 ")</f>
        <v xml:space="preserve">CAMINO INTERIOR 23 </v>
      </c>
      <c r="D2820" s="6" t="str">
        <f ca="1">IFERROR(__xludf.DUMMYFUNCTION("""COMPUTED_VALUE"""),"LAMPA")</f>
        <v>LAMPA</v>
      </c>
    </row>
    <row r="2821" spans="1:4">
      <c r="A2821" s="7">
        <f ca="1">IFERROR(__xludf.DUMMYFUNCTION("""COMPUTED_VALUE"""),44259)</f>
        <v>44259</v>
      </c>
      <c r="B2821" s="8" t="str">
        <f ca="1">IFERROR(__xludf.DUMMYFUNCTION("""COMPUTED_VALUE"""),"-33.272926,-70.689840")</f>
        <v>-33.272926,-70.689840</v>
      </c>
      <c r="C2821" s="6" t="str">
        <f ca="1">IFERROR(__xludf.DUMMYFUNCTION("""COMPUTED_VALUE"""),"SANTA LUISA 112 SITIO 03")</f>
        <v>SANTA LUISA 112 SITIO 03</v>
      </c>
      <c r="D2821" s="6" t="str">
        <f ca="1">IFERROR(__xludf.DUMMYFUNCTION("""COMPUTED_VALUE"""),"COLINA")</f>
        <v>COLINA</v>
      </c>
    </row>
    <row r="2822" spans="1:4">
      <c r="A2822" s="7">
        <f ca="1">IFERROR(__xludf.DUMMYFUNCTION("""COMPUTED_VALUE"""),44259)</f>
        <v>44259</v>
      </c>
      <c r="B2822" s="8" t="str">
        <f ca="1">IFERROR(__xludf.DUMMYFUNCTION("""COMPUTED_VALUE"""),"-33.272926,-70.689840")</f>
        <v>-33.272926,-70.689840</v>
      </c>
      <c r="C2822" s="6" t="str">
        <f ca="1">IFERROR(__xludf.DUMMYFUNCTION("""COMPUTED_VALUE"""),"SANTA LUISA 112 SITIO 03")</f>
        <v>SANTA LUISA 112 SITIO 03</v>
      </c>
      <c r="D2822" s="6" t="str">
        <f ca="1">IFERROR(__xludf.DUMMYFUNCTION("""COMPUTED_VALUE"""),"COLINA")</f>
        <v>COLINA</v>
      </c>
    </row>
    <row r="2823" spans="1:4">
      <c r="A2823" s="7">
        <f ca="1">IFERROR(__xludf.DUMMYFUNCTION("""COMPUTED_VALUE"""),44259)</f>
        <v>44259</v>
      </c>
      <c r="B2823" s="8" t="str">
        <f ca="1">IFERROR(__xludf.DUMMYFUNCTION("""COMPUTED_VALUE"""),"-33.571998,-71.202995")</f>
        <v>-33.571998,-71.202995</v>
      </c>
      <c r="C2823" s="6" t="str">
        <f ca="1">IFERROR(__xludf.DUMMYFUNCTION("""COMPUTED_VALUE"""),"ANSELMO ALARCON S/N ")</f>
        <v xml:space="preserve">ANSELMO ALARCON S/N </v>
      </c>
      <c r="D2823" s="6" t="str">
        <f ca="1">IFERROR(__xludf.DUMMYFUNCTION("""COMPUTED_VALUE"""),"MELIPILLA")</f>
        <v>MELIPILLA</v>
      </c>
    </row>
    <row r="2824" spans="1:4">
      <c r="A2824" s="7">
        <f ca="1">IFERROR(__xludf.DUMMYFUNCTION("""COMPUTED_VALUE"""),44259)</f>
        <v>44259</v>
      </c>
      <c r="B2824" s="6" t="str">
        <f ca="1">IFERROR(__xludf.DUMMYFUNCTION("""COMPUTED_VALUE"""),"-33.452737-71.028193")</f>
        <v>-33.452737-71.028193</v>
      </c>
      <c r="C2824" s="6" t="str">
        <f ca="1">IFERROR(__xludf.DUMMYFUNCTION("""COMPUTED_VALUE"""),"UNION CHILENA SITIO 28 LOTE A2")</f>
        <v>UNION CHILENA SITIO 28 LOTE A2</v>
      </c>
      <c r="D2824" s="6" t="str">
        <f ca="1">IFERROR(__xludf.DUMMYFUNCTION("""COMPUTED_VALUE"""),"CURACAVI")</f>
        <v>CURACAVI</v>
      </c>
    </row>
    <row r="2825" spans="1:4">
      <c r="A2825" s="7">
        <f ca="1">IFERROR(__xludf.DUMMYFUNCTION("""COMPUTED_VALUE"""),44259)</f>
        <v>44259</v>
      </c>
      <c r="B2825" s="6" t="str">
        <f ca="1">IFERROR(__xludf.DUMMYFUNCTION("""COMPUTED_VALUE"""),"-33.390982-71.122158")</f>
        <v>-33.390982-71.122158</v>
      </c>
      <c r="C2825" s="6" t="str">
        <f ca="1">IFERROR(__xludf.DUMMYFUNCTION("""COMPUTED_VALUE"""),"JOSE GREGORIO ARGOMEDO 1124")</f>
        <v>JOSE GREGORIO ARGOMEDO 1124</v>
      </c>
      <c r="D2825" s="6" t="str">
        <f ca="1">IFERROR(__xludf.DUMMYFUNCTION("""COMPUTED_VALUE"""),"CURACAVI")</f>
        <v>CURACAVI</v>
      </c>
    </row>
    <row r="2826" spans="1:4">
      <c r="A2826" s="7">
        <f ca="1">IFERROR(__xludf.DUMMYFUNCTION("""COMPUTED_VALUE"""),44259)</f>
        <v>44259</v>
      </c>
      <c r="B2826" s="6" t="str">
        <f ca="1">IFERROR(__xludf.DUMMYFUNCTION("""COMPUTED_VALUE"""),"-33.452739-71.028193")</f>
        <v>-33.452739-71.028193</v>
      </c>
      <c r="C2826" s="6" t="str">
        <f ca="1">IFERROR(__xludf.DUMMYFUNCTION("""COMPUTED_VALUE"""),"UNION CHILENA SITIO 28 LOTE A2")</f>
        <v>UNION CHILENA SITIO 28 LOTE A2</v>
      </c>
      <c r="D2826" s="6" t="str">
        <f ca="1">IFERROR(__xludf.DUMMYFUNCTION("""COMPUTED_VALUE"""),"CURACAVI")</f>
        <v>CURACAVI</v>
      </c>
    </row>
    <row r="2827" spans="1:4">
      <c r="A2827" s="7">
        <f ca="1">IFERROR(__xludf.DUMMYFUNCTION("""COMPUTED_VALUE"""),44259)</f>
        <v>44259</v>
      </c>
      <c r="B2827" s="6" t="str">
        <f ca="1">IFERROR(__xludf.DUMMYFUNCTION("""COMPUTED_VALUE"""),"-33.234767-71.754530")</f>
        <v>-33.234767-71.754530</v>
      </c>
      <c r="C2827" s="6" t="str">
        <f ca="1">IFERROR(__xludf.DUMMYFUNCTION("""COMPUTED_VALUE"""),"REGIDORA VANIA ORELLANA 1667")</f>
        <v>REGIDORA VANIA ORELLANA 1667</v>
      </c>
      <c r="D2827" s="6" t="str">
        <f ca="1">IFERROR(__xludf.DUMMYFUNCTION("""COMPUTED_VALUE"""),"CURACAVI")</f>
        <v>CURACAVI</v>
      </c>
    </row>
    <row r="2828" spans="1:4">
      <c r="A2828" s="7">
        <f ca="1">IFERROR(__xludf.DUMMYFUNCTION("""COMPUTED_VALUE"""),44259)</f>
        <v>44259</v>
      </c>
      <c r="B2828" s="6" t="str">
        <f ca="1">IFERROR(__xludf.DUMMYFUNCTION("""COMPUTED_VALUE"""),"-33.235053-71.248499")</f>
        <v>-33.235053-71.248499</v>
      </c>
      <c r="C2828" s="6" t="str">
        <f ca="1">IFERROR(__xludf.DUMMYFUNCTION("""COMPUTED_VALUE"""),"BOSQUES DE MIRAFLORES P-37")</f>
        <v>BOSQUES DE MIRAFLORES P-37</v>
      </c>
      <c r="D2828" s="6" t="str">
        <f ca="1">IFERROR(__xludf.DUMMYFUNCTION("""COMPUTED_VALUE"""),"CURACAVI")</f>
        <v>CURACAVI</v>
      </c>
    </row>
    <row r="2829" spans="1:4">
      <c r="A2829" s="7">
        <f ca="1">IFERROR(__xludf.DUMMYFUNCTION("""COMPUTED_VALUE"""),44259)</f>
        <v>44259</v>
      </c>
      <c r="B2829" s="6" t="str">
        <f ca="1">IFERROR(__xludf.DUMMYFUNCTION("""COMPUTED_VALUE"""),"-33.401479-71.124840")</f>
        <v>-33.401479-71.124840</v>
      </c>
      <c r="C2829" s="6" t="str">
        <f ca="1">IFERROR(__xludf.DUMMYFUNCTION("""COMPUTED_VALUE"""),"PUANGUE 81")</f>
        <v>PUANGUE 81</v>
      </c>
      <c r="D2829" s="6" t="str">
        <f ca="1">IFERROR(__xludf.DUMMYFUNCTION("""COMPUTED_VALUE"""),"CURACAVI")</f>
        <v>CURACAVI</v>
      </c>
    </row>
    <row r="2830" spans="1:4">
      <c r="A2830" s="7">
        <f ca="1">IFERROR(__xludf.DUMMYFUNCTION("""COMPUTED_VALUE"""),44259)</f>
        <v>44259</v>
      </c>
      <c r="B2830" s="6" t="str">
        <f ca="1">IFERROR(__xludf.DUMMYFUNCTION("""COMPUTED_VALUE"""),"-33.49682-70.99726")</f>
        <v>-33.49682-70.99726</v>
      </c>
      <c r="C2830" s="6" t="str">
        <f ca="1">IFERROR(__xludf.DUMMYFUNCTION("""COMPUTED_VALUE"""),"SANTA INES S/N 49")</f>
        <v>SANTA INES S/N 49</v>
      </c>
      <c r="D2830" s="6" t="str">
        <f ca="1">IFERROR(__xludf.DUMMYFUNCTION("""COMPUTED_VALUE"""),"CURACAVI")</f>
        <v>CURACAVI</v>
      </c>
    </row>
    <row r="2831" spans="1:4">
      <c r="A2831" s="7">
        <f ca="1">IFERROR(__xludf.DUMMYFUNCTION("""COMPUTED_VALUE"""),44259)</f>
        <v>44259</v>
      </c>
      <c r="B2831" s="6" t="str">
        <f ca="1">IFERROR(__xludf.DUMMYFUNCTION("""COMPUTED_VALUE"""),"-33.49253-71.02528")</f>
        <v>-33.49253-71.02528</v>
      </c>
      <c r="C2831" s="6" t="str">
        <f ca="1">IFERROR(__xludf.DUMMYFUNCTION("""COMPUTED_VALUE"""),"EL AJIAL S/N 30")</f>
        <v>EL AJIAL S/N 30</v>
      </c>
      <c r="D2831" s="6" t="str">
        <f ca="1">IFERROR(__xludf.DUMMYFUNCTION("""COMPUTED_VALUE"""),"CURACAVI")</f>
        <v>CURACAVI</v>
      </c>
    </row>
    <row r="2832" spans="1:4">
      <c r="A2832" s="7">
        <f ca="1">IFERROR(__xludf.DUMMYFUNCTION("""COMPUTED_VALUE"""),44259)</f>
        <v>44259</v>
      </c>
      <c r="B2832" s="6" t="str">
        <f ca="1">IFERROR(__xludf.DUMMYFUNCTION("""COMPUTED_VALUE"""),"-33.49685-70.99733")</f>
        <v>-33.49685-70.99733</v>
      </c>
      <c r="C2832" s="6" t="str">
        <f ca="1">IFERROR(__xludf.DUMMYFUNCTION("""COMPUTED_VALUE"""),"SANTA INES 49")</f>
        <v>SANTA INES 49</v>
      </c>
      <c r="D2832" s="6" t="str">
        <f ca="1">IFERROR(__xludf.DUMMYFUNCTION("""COMPUTED_VALUE"""),"CURACAVI")</f>
        <v>CURACAVI</v>
      </c>
    </row>
    <row r="2833" spans="1:4">
      <c r="A2833" s="7">
        <f ca="1">IFERROR(__xludf.DUMMYFUNCTION("""COMPUTED_VALUE"""),44259)</f>
        <v>44259</v>
      </c>
      <c r="B2833" s="6" t="str">
        <f ca="1">IFERROR(__xludf.DUMMYFUNCTION("""COMPUTED_VALUE"""),"-33.396463-71.127327")</f>
        <v>-33.396463-71.127327</v>
      </c>
      <c r="C2833" s="6" t="str">
        <f ca="1">IFERROR(__xludf.DUMMYFUNCTION("""COMPUTED_VALUE"""),"MANUEL LARRAIN 632")</f>
        <v>MANUEL LARRAIN 632</v>
      </c>
      <c r="D2833" s="6" t="str">
        <f ca="1">IFERROR(__xludf.DUMMYFUNCTION("""COMPUTED_VALUE"""),"CURACAVI")</f>
        <v>CURACAVI</v>
      </c>
    </row>
    <row r="2834" spans="1:4">
      <c r="A2834" s="7">
        <f ca="1">IFERROR(__xludf.DUMMYFUNCTION("""COMPUTED_VALUE"""),44259)</f>
        <v>44259</v>
      </c>
      <c r="B2834" s="6" t="str">
        <f ca="1">IFERROR(__xludf.DUMMYFUNCTION("""COMPUTED_VALUE"""),"-33.407208-71.137524")</f>
        <v>-33.407208-71.137524</v>
      </c>
      <c r="C2834" s="6" t="str">
        <f ca="1">IFERROR(__xludf.DUMMYFUNCTION("""COMPUTED_VALUE"""),"PJE PASTOR FABIAN FARIAS 221")</f>
        <v>PJE PASTOR FABIAN FARIAS 221</v>
      </c>
      <c r="D2834" s="6" t="str">
        <f ca="1">IFERROR(__xludf.DUMMYFUNCTION("""COMPUTED_VALUE"""),"CURACAVI")</f>
        <v>CURACAVI</v>
      </c>
    </row>
    <row r="2835" spans="1:4">
      <c r="A2835" s="7">
        <f ca="1">IFERROR(__xludf.DUMMYFUNCTION("""COMPUTED_VALUE"""),44259)</f>
        <v>44259</v>
      </c>
      <c r="B2835" s="6" t="str">
        <f ca="1">IFERROR(__xludf.DUMMYFUNCTION("""COMPUTED_VALUE"""),"-33.414408-71.141336")</f>
        <v>-33.414408-71.141336</v>
      </c>
      <c r="C2835" s="6" t="str">
        <f ca="1">IFERROR(__xludf.DUMMYFUNCTION("""COMPUTED_VALUE"""),"LO AGUILA PARCELA 3A")</f>
        <v>LO AGUILA PARCELA 3A</v>
      </c>
      <c r="D2835" s="6" t="str">
        <f ca="1">IFERROR(__xludf.DUMMYFUNCTION("""COMPUTED_VALUE"""),"CURACAVI")</f>
        <v>CURACAVI</v>
      </c>
    </row>
    <row r="2836" spans="1:4">
      <c r="A2836" s="7">
        <f ca="1">IFERROR(__xludf.DUMMYFUNCTION("""COMPUTED_VALUE"""),44259)</f>
        <v>44259</v>
      </c>
      <c r="B2836" s="6" t="str">
        <f ca="1">IFERROR(__xludf.DUMMYFUNCTION("""COMPUTED_VALUE"""),"-33.810503,-71.263747")</f>
        <v>-33.810503,-71.263747</v>
      </c>
      <c r="C2836" s="6" t="str">
        <f ca="1">IFERROR(__xludf.DUMMYFUNCTION("""COMPUTED_VALUE"""),"SECTOR  CULIPAN 8141-293")</f>
        <v>SECTOR  CULIPAN 8141-293</v>
      </c>
      <c r="D2836" s="6" t="str">
        <f ca="1">IFERROR(__xludf.DUMMYFUNCTION("""COMPUTED_VALUE"""),"MELIPILLA")</f>
        <v>MELIPILLA</v>
      </c>
    </row>
    <row r="2837" spans="1:4">
      <c r="A2837" s="7">
        <f ca="1">IFERROR(__xludf.DUMMYFUNCTION("""COMPUTED_VALUE"""),44259)</f>
        <v>44259</v>
      </c>
      <c r="B2837" s="6" t="str">
        <f ca="1">IFERROR(__xludf.DUMMYFUNCTION("""COMPUTED_VALUE"""),"-33.6865989,-71.2281496")</f>
        <v>-33.6865989,-71.2281496</v>
      </c>
      <c r="C2837" s="6" t="str">
        <f ca="1">IFERROR(__xludf.DUMMYFUNCTION("""COMPUTED_VALUE"""),"GABRIELA MISTRAL 1611 BLOCK D B-33")</f>
        <v>GABRIELA MISTRAL 1611 BLOCK D B-33</v>
      </c>
      <c r="D2837" s="6" t="str">
        <f ca="1">IFERROR(__xludf.DUMMYFUNCTION("""COMPUTED_VALUE"""),"MELIPILLA")</f>
        <v>MELIPILLA</v>
      </c>
    </row>
    <row r="2838" spans="1:4">
      <c r="A2838" s="7">
        <f ca="1">IFERROR(__xludf.DUMMYFUNCTION("""COMPUTED_VALUE"""),44259)</f>
        <v>44259</v>
      </c>
      <c r="B2838" s="6" t="str">
        <f ca="1">IFERROR(__xludf.DUMMYFUNCTION("""COMPUTED_VALUE"""),"-33.724498,-71.180904")</f>
        <v>-33.724498,-71.180904</v>
      </c>
      <c r="C2838" s="6" t="str">
        <f ca="1">IFERROR(__xludf.DUMMYFUNCTION("""COMPUTED_VALUE"""),"CARMEN  BAJO  S/N  LOTE 11 PARCELA N°10")</f>
        <v>CARMEN  BAJO  S/N  LOTE 11 PARCELA N°10</v>
      </c>
      <c r="D2838" s="6" t="str">
        <f ca="1">IFERROR(__xludf.DUMMYFUNCTION("""COMPUTED_VALUE"""),"MELIPILLA")</f>
        <v>MELIPILLA</v>
      </c>
    </row>
    <row r="2839" spans="1:4">
      <c r="A2839" s="7">
        <f ca="1">IFERROR(__xludf.DUMMYFUNCTION("""COMPUTED_VALUE"""),44259)</f>
        <v>44259</v>
      </c>
      <c r="B2839" s="6" t="str">
        <f ca="1">IFERROR(__xludf.DUMMYFUNCTION("""COMPUTED_VALUE"""),"-33.581817,-71.053561")</f>
        <v>-33.581817,-71.053561</v>
      </c>
      <c r="C2839" s="6" t="str">
        <f ca="1">IFERROR(__xludf.DUMMYFUNCTION("""COMPUTED_VALUE"""),"LA PRIMAVERA SANTA ELISA 1")</f>
        <v>LA PRIMAVERA SANTA ELISA 1</v>
      </c>
      <c r="D2839" s="6" t="str">
        <f ca="1">IFERROR(__xludf.DUMMYFUNCTION("""COMPUTED_VALUE"""),"MELIPILLA")</f>
        <v>MELIPILLA</v>
      </c>
    </row>
    <row r="2840" spans="1:4">
      <c r="A2840" s="7">
        <f ca="1">IFERROR(__xludf.DUMMYFUNCTION("""COMPUTED_VALUE"""),44260)</f>
        <v>44260</v>
      </c>
      <c r="B2840" s="8" t="str">
        <f ca="1">IFERROR(__xludf.DUMMYFUNCTION("""COMPUTED_VALUE"""),"-33.391089,-70.909194")</f>
        <v>-33.391089,-70.909194</v>
      </c>
      <c r="C2840" s="6" t="str">
        <f ca="1">IFERROR(__xludf.DUMMYFUNCTION("""COMPUTED_VALUE"""),"OJOS DEL SALADO 511")</f>
        <v>OJOS DEL SALADO 511</v>
      </c>
      <c r="D2840" s="6" t="str">
        <f ca="1">IFERROR(__xludf.DUMMYFUNCTION("""COMPUTED_VALUE"""),"TALAGANTE")</f>
        <v>TALAGANTE</v>
      </c>
    </row>
    <row r="2841" spans="1:4">
      <c r="A2841" s="7">
        <f ca="1">IFERROR(__xludf.DUMMYFUNCTION("""COMPUTED_VALUE"""),44260)</f>
        <v>44260</v>
      </c>
      <c r="B2841" s="8" t="str">
        <f ca="1">IFERROR(__xludf.DUMMYFUNCTION("""COMPUTED_VALUE"""),"-33.236412,-70.823798")</f>
        <v>-33.236412,-70.823798</v>
      </c>
      <c r="C2841" s="6" t="str">
        <f ca="1">IFERROR(__xludf.DUMMYFUNCTION("""COMPUTED_VALUE"""),"N.S DE MONSERRAT 13 ")</f>
        <v xml:space="preserve">N.S DE MONSERRAT 13 </v>
      </c>
      <c r="D2841" s="6" t="str">
        <f ca="1">IFERROR(__xludf.DUMMYFUNCTION("""COMPUTED_VALUE"""),"LAMPA")</f>
        <v>LAMPA</v>
      </c>
    </row>
    <row r="2842" spans="1:4">
      <c r="A2842" s="7">
        <f ca="1">IFERROR(__xludf.DUMMYFUNCTION("""COMPUTED_VALUE"""),44260)</f>
        <v>44260</v>
      </c>
      <c r="B2842" s="6" t="str">
        <f ca="1">IFERROR(__xludf.DUMMYFUNCTION("""COMPUTED_VALUE"""),"-33.46387-71.02726")</f>
        <v>-33.46387-71.02726</v>
      </c>
      <c r="C2842" s="6" t="str">
        <f ca="1">IFERROR(__xludf.DUMMYFUNCTION("""COMPUTED_VALUE"""),"CUESTA VIEJA P3 SIT 5")</f>
        <v>CUESTA VIEJA P3 SIT 5</v>
      </c>
      <c r="D2842" s="6" t="str">
        <f ca="1">IFERROR(__xludf.DUMMYFUNCTION("""COMPUTED_VALUE"""),"CURACAVI")</f>
        <v>CURACAVI</v>
      </c>
    </row>
    <row r="2843" spans="1:4">
      <c r="A2843" s="7">
        <f ca="1">IFERROR(__xludf.DUMMYFUNCTION("""COMPUTED_VALUE"""),44260)</f>
        <v>44260</v>
      </c>
      <c r="B2843" s="6" t="str">
        <f ca="1">IFERROR(__xludf.DUMMYFUNCTION("""COMPUTED_VALUE"""),"-33.407819-71.139978")</f>
        <v>-33.407819-71.139978</v>
      </c>
      <c r="C2843" s="6" t="str">
        <f ca="1">IFERROR(__xludf.DUMMYFUNCTION("""COMPUTED_VALUE"""),"VALLADARES 80")</f>
        <v>VALLADARES 80</v>
      </c>
      <c r="D2843" s="6" t="str">
        <f ca="1">IFERROR(__xludf.DUMMYFUNCTION("""COMPUTED_VALUE"""),"CURACAVI")</f>
        <v>CURACAVI</v>
      </c>
    </row>
    <row r="2844" spans="1:4">
      <c r="A2844" s="7">
        <f ca="1">IFERROR(__xludf.DUMMYFUNCTION("""COMPUTED_VALUE"""),44260)</f>
        <v>44260</v>
      </c>
      <c r="B2844" s="6" t="str">
        <f ca="1">IFERROR(__xludf.DUMMYFUNCTION("""COMPUTED_VALUE"""),"-33.588901,-70.983806")</f>
        <v>-33.588901,-70.983806</v>
      </c>
      <c r="C2844" s="6" t="str">
        <f ca="1">IFERROR(__xludf.DUMMYFUNCTION("""COMPUTED_VALUE"""),"LA PRIMAVERA SANTA ELISA 1")</f>
        <v>LA PRIMAVERA SANTA ELISA 1</v>
      </c>
      <c r="D2844" s="6" t="str">
        <f ca="1">IFERROR(__xludf.DUMMYFUNCTION("""COMPUTED_VALUE"""),"MELIPILLA")</f>
        <v>MELIPILLA</v>
      </c>
    </row>
    <row r="2845" spans="1:4">
      <c r="A2845" s="7">
        <f ca="1">IFERROR(__xludf.DUMMYFUNCTION("""COMPUTED_VALUE"""),44260)</f>
        <v>44260</v>
      </c>
      <c r="B2845" s="6" t="str">
        <f ca="1">IFERROR(__xludf.DUMMYFUNCTION("""COMPUTED_VALUE"""),"-33.604948,-71.105273")</f>
        <v>-33.604948,-71.105273</v>
      </c>
      <c r="C2845" s="6" t="str">
        <f ca="1">IFERROR(__xludf.DUMMYFUNCTION("""COMPUTED_VALUE"""),"HERMANOS CARRERA S/N CV 17 CAPILLA")</f>
        <v>HERMANOS CARRERA S/N CV 17 CAPILLA</v>
      </c>
      <c r="D2845" s="6" t="str">
        <f ca="1">IFERROR(__xludf.DUMMYFUNCTION("""COMPUTED_VALUE"""),"MELIPILLA")</f>
        <v>MELIPILLA</v>
      </c>
    </row>
    <row r="2846" spans="1:4">
      <c r="A2846" s="7">
        <f ca="1">IFERROR(__xludf.DUMMYFUNCTION("""COMPUTED_VALUE"""),44260)</f>
        <v>44260</v>
      </c>
      <c r="B2846" s="6" t="str">
        <f ca="1">IFERROR(__xludf.DUMMYFUNCTION("""COMPUTED_VALUE"""),"-33.603952,-71.109113")</f>
        <v>-33.603952,-71.109113</v>
      </c>
      <c r="C2846" s="6" t="str">
        <f ca="1">IFERROR(__xludf.DUMMYFUNCTION("""COMPUTED_VALUE"""),"LA CARERRA S/N ST AK")</f>
        <v>LA CARERRA S/N ST AK</v>
      </c>
      <c r="D2846" s="6" t="str">
        <f ca="1">IFERROR(__xludf.DUMMYFUNCTION("""COMPUTED_VALUE"""),"MELIPILLA")</f>
        <v>MELIPILLA</v>
      </c>
    </row>
    <row r="2847" spans="1:4">
      <c r="A2847" s="7">
        <f ca="1">IFERROR(__xludf.DUMMYFUNCTION("""COMPUTED_VALUE"""),44261)</f>
        <v>44261</v>
      </c>
      <c r="B2847" s="8" t="str">
        <f ca="1">IFERROR(__xludf.DUMMYFUNCTION("""COMPUTED_VALUE"""),"-33.5740498,-71.18414")</f>
        <v>-33.5740498,-71.18414</v>
      </c>
      <c r="C2847" s="6" t="str">
        <f ca="1">IFERROR(__xludf.DUMMYFUNCTION("""COMPUTED_VALUE"""),"PJE STA ERMITA 108 ")</f>
        <v xml:space="preserve">PJE STA ERMITA 108 </v>
      </c>
      <c r="D2847" s="6" t="str">
        <f ca="1">IFERROR(__xludf.DUMMYFUNCTION("""COMPUTED_VALUE"""),"MELIPILLA")</f>
        <v>MELIPILLA</v>
      </c>
    </row>
    <row r="2848" spans="1:4">
      <c r="A2848" s="7">
        <f ca="1">IFERROR(__xludf.DUMMYFUNCTION("""COMPUTED_VALUE"""),44261)</f>
        <v>44261</v>
      </c>
      <c r="B2848" s="8" t="str">
        <f ca="1">IFERROR(__xludf.DUMMYFUNCTION("""COMPUTED_VALUE"""),"-33.684880,-71.225356")</f>
        <v>-33.684880,-71.225356</v>
      </c>
      <c r="C2848" s="6" t="str">
        <f ca="1">IFERROR(__xludf.DUMMYFUNCTION("""COMPUTED_VALUE"""),"PJE CARACAS 455")</f>
        <v>PJE CARACAS 455</v>
      </c>
      <c r="D2848" s="6" t="str">
        <f ca="1">IFERROR(__xludf.DUMMYFUNCTION("""COMPUTED_VALUE"""),"MELIPILLA")</f>
        <v>MELIPILLA</v>
      </c>
    </row>
    <row r="2849" spans="1:4">
      <c r="A2849" s="7">
        <f ca="1">IFERROR(__xludf.DUMMYFUNCTION("""COMPUTED_VALUE"""),44261)</f>
        <v>44261</v>
      </c>
      <c r="B2849" s="8" t="str">
        <f ca="1">IFERROR(__xludf.DUMMYFUNCTION("""COMPUTED_VALUE"""),"-33.574886,-71.186307")</f>
        <v>-33.574886,-71.186307</v>
      </c>
      <c r="C2849" s="6" t="str">
        <f ca="1">IFERROR(__xludf.DUMMYFUNCTION("""COMPUTED_VALUE"""),"JUAN PABLO II 128")</f>
        <v>JUAN PABLO II 128</v>
      </c>
      <c r="D2849" s="6" t="str">
        <f ca="1">IFERROR(__xludf.DUMMYFUNCTION("""COMPUTED_VALUE"""),"MELIPILLA")</f>
        <v>MELIPILLA</v>
      </c>
    </row>
    <row r="2850" spans="1:4">
      <c r="A2850" s="7">
        <f ca="1">IFERROR(__xludf.DUMMYFUNCTION("""COMPUTED_VALUE"""),44261)</f>
        <v>44261</v>
      </c>
      <c r="B2850" s="6" t="str">
        <f ca="1">IFERROR(__xludf.DUMMYFUNCTION("""COMPUTED_VALUE"""),"-33.152184-70.4919041")</f>
        <v>-33.152184-70.4919041</v>
      </c>
      <c r="C2850" s="6" t="str">
        <f ca="1">IFERROR(__xludf.DUMMYFUNCTION("""COMPUTED_VALUE"""),"CAMINO INTERIOR ESFUERZO CAMPESINO S/6 C/1")</f>
        <v>CAMINO INTERIOR ESFUERZO CAMPESINO S/6 C/1</v>
      </c>
      <c r="D2850" s="6" t="str">
        <f ca="1">IFERROR(__xludf.DUMMYFUNCTION("""COMPUTED_VALUE"""),"LAMPA")</f>
        <v>LAMPA</v>
      </c>
    </row>
    <row r="2851" spans="1:4">
      <c r="A2851" s="7">
        <f ca="1">IFERROR(__xludf.DUMMYFUNCTION("""COMPUTED_VALUE"""),44261)</f>
        <v>44261</v>
      </c>
      <c r="B2851" s="6" t="str">
        <f ca="1">IFERROR(__xludf.DUMMYFUNCTION("""COMPUTED_VALUE"""),"-33.386102-71.115825")</f>
        <v>-33.386102-71.115825</v>
      </c>
      <c r="C2851" s="6" t="str">
        <f ca="1">IFERROR(__xludf.DUMMYFUNCTION("""COMPUTED_VALUE"""),"FCUYUNCAVI HJ 1 FUNDO CUYUNCAVI HJ1 ")</f>
        <v xml:space="preserve">FCUYUNCAVI HJ 1 FUNDO CUYUNCAVI HJ1 </v>
      </c>
      <c r="D2851" s="6" t="str">
        <f ca="1">IFERROR(__xludf.DUMMYFUNCTION("""COMPUTED_VALUE"""),"CURACAVI")</f>
        <v>CURACAVI</v>
      </c>
    </row>
    <row r="2852" spans="1:4">
      <c r="A2852" s="7">
        <f ca="1">IFERROR(__xludf.DUMMYFUNCTION("""COMPUTED_VALUE"""),44262)</f>
        <v>44262</v>
      </c>
      <c r="B2852" s="6" t="str">
        <f ca="1">IFERROR(__xludf.DUMMYFUNCTION("""COMPUTED_VALUE"""),"-33.494101-71.007988")</f>
        <v>-33.494101-71.007988</v>
      </c>
      <c r="C2852" s="6" t="str">
        <f ca="1">IFERROR(__xludf.DUMMYFUNCTION("""COMPUTED_VALUE"""),"EL AJIAL S/N SITIO 4")</f>
        <v>EL AJIAL S/N SITIO 4</v>
      </c>
      <c r="D2852" s="6" t="str">
        <f ca="1">IFERROR(__xludf.DUMMYFUNCTION("""COMPUTED_VALUE"""),"CURACAVI")</f>
        <v>CURACAVI</v>
      </c>
    </row>
    <row r="2853" spans="1:4">
      <c r="A2853" s="7">
        <f ca="1">IFERROR(__xludf.DUMMYFUNCTION("""COMPUTED_VALUE"""),44262)</f>
        <v>44262</v>
      </c>
      <c r="B2853" s="6" t="str">
        <f ca="1">IFERROR(__xludf.DUMMYFUNCTION("""COMPUTED_VALUE"""),"-33.492758-71.71026898")</f>
        <v>-33.492758-71.71026898</v>
      </c>
      <c r="C2853" s="6" t="str">
        <f ca="1">IFERROR(__xludf.DUMMYFUNCTION("""COMPUTED_VALUE"""),"EL AJIAL SITIO 4 LOTE 7")</f>
        <v>EL AJIAL SITIO 4 LOTE 7</v>
      </c>
      <c r="D2853" s="6" t="str">
        <f ca="1">IFERROR(__xludf.DUMMYFUNCTION("""COMPUTED_VALUE"""),"CURACAVI")</f>
        <v>CURACAVI</v>
      </c>
    </row>
    <row r="2854" spans="1:4">
      <c r="A2854" s="7">
        <f ca="1">IFERROR(__xludf.DUMMYFUNCTION("""COMPUTED_VALUE"""),44263)</f>
        <v>44263</v>
      </c>
      <c r="B2854" s="8" t="str">
        <f ca="1">IFERROR(__xludf.DUMMYFUNCTION("""COMPUTED_VALUE"""),"-33.5756915.-71.0164947 ")</f>
        <v xml:space="preserve">-33.5756915.-71.0164947 </v>
      </c>
      <c r="C2854" s="6" t="str">
        <f ca="1">IFERROR(__xludf.DUMMYFUNCTION("""COMPUTED_VALUE"""),"SANTA TERESA PARCELA 4 ")</f>
        <v xml:space="preserve">SANTA TERESA PARCELA 4 </v>
      </c>
      <c r="D2854" s="6" t="str">
        <f ca="1">IFERROR(__xludf.DUMMYFUNCTION("""COMPUTED_VALUE"""),"MELIPILLA")</f>
        <v>MELIPILLA</v>
      </c>
    </row>
    <row r="2855" spans="1:4">
      <c r="A2855" s="7">
        <f ca="1">IFERROR(__xludf.DUMMYFUNCTION("""COMPUTED_VALUE"""),44263)</f>
        <v>44263</v>
      </c>
      <c r="B2855" s="8" t="str">
        <f ca="1">IFERROR(__xludf.DUMMYFUNCTION("""COMPUTED_VALUE"""),"-33.824157,-71.275764")</f>
        <v>-33.824157,-71.275764</v>
      </c>
      <c r="C2855" s="6" t="str">
        <f ca="1">IFERROR(__xludf.DUMMYFUNCTION("""COMPUTED_VALUE"""),"SECTOR CINCO POPETA S/N ")</f>
        <v xml:space="preserve">SECTOR CINCO POPETA S/N </v>
      </c>
      <c r="D2855" s="6" t="str">
        <f ca="1">IFERROR(__xludf.DUMMYFUNCTION("""COMPUTED_VALUE"""),"MELIPILLA")</f>
        <v>MELIPILLA</v>
      </c>
    </row>
    <row r="2856" spans="1:4">
      <c r="A2856" s="7">
        <f ca="1">IFERROR(__xludf.DUMMYFUNCTION("""COMPUTED_VALUE"""),44263)</f>
        <v>44263</v>
      </c>
      <c r="B2856" s="8" t="str">
        <f ca="1">IFERROR(__xludf.DUMMYFUNCTION("""COMPUTED_VALUE"""),"-33.632519,-71.227128")</f>
        <v>-33.632519,-71.227128</v>
      </c>
      <c r="C2856" s="6" t="str">
        <f ca="1">IFERROR(__xludf.DUMMYFUNCTION("""COMPUTED_VALUE"""),"SECTOR CHIMBITO 100")</f>
        <v>SECTOR CHIMBITO 100</v>
      </c>
      <c r="D2856" s="6" t="str">
        <f ca="1">IFERROR(__xludf.DUMMYFUNCTION("""COMPUTED_VALUE"""),"MELIPILLA")</f>
        <v>MELIPILLA</v>
      </c>
    </row>
    <row r="2857" spans="1:4">
      <c r="A2857" s="7">
        <f ca="1">IFERROR(__xludf.DUMMYFUNCTION("""COMPUTED_VALUE"""),44263)</f>
        <v>44263</v>
      </c>
      <c r="B2857" s="8" t="str">
        <f ca="1">IFERROR(__xludf.DUMMYFUNCTION("""COMPUTED_VALUE"""),"-33.652577,-71.146997")</f>
        <v>-33.652577,-71.146997</v>
      </c>
      <c r="C2857" s="6" t="str">
        <f ca="1">IFERROR(__xludf.DUMMYFUNCTION("""COMPUTED_VALUE"""),"CAUPOLICAN 149 ")</f>
        <v xml:space="preserve">CAUPOLICAN 149 </v>
      </c>
      <c r="D2857" s="6" t="str">
        <f ca="1">IFERROR(__xludf.DUMMYFUNCTION("""COMPUTED_VALUE"""),"MELIPILLA")</f>
        <v>MELIPILLA</v>
      </c>
    </row>
    <row r="2858" spans="1:4">
      <c r="A2858" s="7">
        <f ca="1">IFERROR(__xludf.DUMMYFUNCTION("""COMPUTED_VALUE"""),44263)</f>
        <v>44263</v>
      </c>
      <c r="B2858" s="8" t="str">
        <f ca="1">IFERROR(__xludf.DUMMYFUNCTION("""COMPUTED_VALUE"""),"-33.574700,-71.185220")</f>
        <v>-33.574700,-71.185220</v>
      </c>
      <c r="C2858" s="6" t="str">
        <f ca="1">IFERROR(__xludf.DUMMYFUNCTION("""COMPUTED_VALUE"""),"CINCO DE OCTUBRE 84 LOTE 5 ")</f>
        <v xml:space="preserve">CINCO DE OCTUBRE 84 LOTE 5 </v>
      </c>
      <c r="D2858" s="6" t="str">
        <f ca="1">IFERROR(__xludf.DUMMYFUNCTION("""COMPUTED_VALUE"""),"MELIPILLA")</f>
        <v>MELIPILLA</v>
      </c>
    </row>
    <row r="2859" spans="1:4">
      <c r="A2859" s="7">
        <f ca="1">IFERROR(__xludf.DUMMYFUNCTION("""COMPUTED_VALUE"""),44263)</f>
        <v>44263</v>
      </c>
      <c r="B2859" s="6" t="str">
        <f ca="1">IFERROR(__xludf.DUMMYFUNCTION("""COMPUTED_VALUE"""),"-33.390542-71.122051")</f>
        <v>-33.390542-71.122051</v>
      </c>
      <c r="C2859" s="6" t="str">
        <f ca="1">IFERROR(__xludf.DUMMYFUNCTION("""COMPUTED_VALUE"""),"INDEPENDENCIA 2185")</f>
        <v>INDEPENDENCIA 2185</v>
      </c>
      <c r="D2859" s="6" t="str">
        <f ca="1">IFERROR(__xludf.DUMMYFUNCTION("""COMPUTED_VALUE"""),"CURACAVI")</f>
        <v>CURACAVI</v>
      </c>
    </row>
    <row r="2860" spans="1:4">
      <c r="A2860" s="7">
        <f ca="1">IFERROR(__xludf.DUMMYFUNCTION("""COMPUTED_VALUE"""),44263)</f>
        <v>44263</v>
      </c>
      <c r="B2860" s="6" t="str">
        <f ca="1">IFERROR(__xludf.DUMMYFUNCTION("""COMPUTED_VALUE"""),"-33.459442-71.029081")</f>
        <v>-33.459442-71.029081</v>
      </c>
      <c r="C2860" s="6" t="str">
        <f ca="1">IFERROR(__xludf.DUMMYFUNCTION("""COMPUTED_VALUE"""),"CERRILLOS S/N F-1 L18")</f>
        <v>CERRILLOS S/N F-1 L18</v>
      </c>
      <c r="D2860" s="6" t="str">
        <f ca="1">IFERROR(__xludf.DUMMYFUNCTION("""COMPUTED_VALUE"""),"CURACAVI")</f>
        <v>CURACAVI</v>
      </c>
    </row>
    <row r="2861" spans="1:4">
      <c r="A2861" s="7">
        <f ca="1">IFERROR(__xludf.DUMMYFUNCTION("""COMPUTED_VALUE"""),44263)</f>
        <v>44263</v>
      </c>
      <c r="B2861" s="6" t="str">
        <f ca="1">IFERROR(__xludf.DUMMYFUNCTION("""COMPUTED_VALUE"""),"-33.576438.-70.992974")</f>
        <v>-33.576438.-70.992974</v>
      </c>
      <c r="C2861" s="6" t="str">
        <f ca="1">IFERROR(__xludf.DUMMYFUNCTION("""COMPUTED_VALUE"""),"SANTA ELISA S/N CV 1 MALLARAUCO")</f>
        <v>SANTA ELISA S/N CV 1 MALLARAUCO</v>
      </c>
      <c r="D2861" s="6" t="str">
        <f ca="1">IFERROR(__xludf.DUMMYFUNCTION("""COMPUTED_VALUE"""),"MELIPILLA")</f>
        <v>MELIPILLA</v>
      </c>
    </row>
    <row r="2862" spans="1:4">
      <c r="A2862" s="7">
        <f ca="1">IFERROR(__xludf.DUMMYFUNCTION("""COMPUTED_VALUE"""),44263)</f>
        <v>44263</v>
      </c>
      <c r="B2862" s="6" t="str">
        <f ca="1">IFERROR(__xludf.DUMMYFUNCTION("""COMPUTED_VALUE"""),"-33.607706,-71.104848")</f>
        <v>-33.607706,-71.104848</v>
      </c>
      <c r="C2862" s="6" t="str">
        <f ca="1">IFERROR(__xludf.DUMMYFUNCTION("""COMPUTED_VALUE"""),"HERMANOS  CARRERA S/N CV68")</f>
        <v>HERMANOS  CARRERA S/N CV68</v>
      </c>
      <c r="D2862" s="6" t="str">
        <f ca="1">IFERROR(__xludf.DUMMYFUNCTION("""COMPUTED_VALUE"""),"MELIPILLA")</f>
        <v>MELIPILLA</v>
      </c>
    </row>
    <row r="2863" spans="1:4">
      <c r="A2863" s="7">
        <f ca="1">IFERROR(__xludf.DUMMYFUNCTION("""COMPUTED_VALUE"""),44264)</f>
        <v>44264</v>
      </c>
      <c r="B2863" s="8" t="str">
        <f ca="1">IFERROR(__xludf.DUMMYFUNCTION("""COMPUTED_VALUE"""),"-33.572367,-71.8023367")</f>
        <v>-33.572367,-71.8023367</v>
      </c>
      <c r="C2863" s="6" t="str">
        <f ca="1">IFERROR(__xludf.DUMMYFUNCTION("""COMPUTED_VALUE"""),"LOS DURAZNOS 1064 ")</f>
        <v xml:space="preserve">LOS DURAZNOS 1064 </v>
      </c>
      <c r="D2863" s="6" t="str">
        <f ca="1">IFERROR(__xludf.DUMMYFUNCTION("""COMPUTED_VALUE"""),"PADRE HURTADO")</f>
        <v>PADRE HURTADO</v>
      </c>
    </row>
    <row r="2864" spans="1:4">
      <c r="A2864" s="7">
        <f ca="1">IFERROR(__xludf.DUMMYFUNCTION("""COMPUTED_VALUE"""),44264)</f>
        <v>44264</v>
      </c>
      <c r="B2864" s="8" t="str">
        <f ca="1">IFERROR(__xludf.DUMMYFUNCTION("""COMPUTED_VALUE"""),"-33.824234,-71.276301")</f>
        <v>-33.824234,-71.276301</v>
      </c>
      <c r="C2864" s="6" t="str">
        <f ca="1">IFERROR(__xludf.DUMMYFUNCTION("""COMPUTED_VALUE"""),"SECTOR CINCO POPETA S/N")</f>
        <v>SECTOR CINCO POPETA S/N</v>
      </c>
      <c r="D2864" s="6" t="str">
        <f ca="1">IFERROR(__xludf.DUMMYFUNCTION("""COMPUTED_VALUE"""),"MELIPILLA")</f>
        <v>MELIPILLA</v>
      </c>
    </row>
    <row r="2865" spans="1:4">
      <c r="A2865" s="7">
        <f ca="1">IFERROR(__xludf.DUMMYFUNCTION("""COMPUTED_VALUE"""),44264)</f>
        <v>44264</v>
      </c>
      <c r="B2865" s="8" t="str">
        <f ca="1">IFERROR(__xludf.DUMMYFUNCTION("""COMPUTED_VALUE"""),"-33.579415,-71.026023")</f>
        <v>-33.579415,-71.026023</v>
      </c>
      <c r="C2865" s="6" t="str">
        <f ca="1">IFERROR(__xludf.DUMMYFUNCTION("""COMPUTED_VALUE"""),"SANTA TERESA S/N")</f>
        <v>SANTA TERESA S/N</v>
      </c>
      <c r="D2865" s="6" t="str">
        <f ca="1">IFERROR(__xludf.DUMMYFUNCTION("""COMPUTED_VALUE"""),"MELIPILLA")</f>
        <v>MELIPILLA</v>
      </c>
    </row>
    <row r="2866" spans="1:4">
      <c r="A2866" s="7">
        <f ca="1">IFERROR(__xludf.DUMMYFUNCTION("""COMPUTED_VALUE"""),44264)</f>
        <v>44264</v>
      </c>
      <c r="B2866" s="8" t="str">
        <f ca="1">IFERROR(__xludf.DUMMYFUNCTION("""COMPUTED_VALUE"""),"-33.575566,-71.186110")</f>
        <v>-33.575566,-71.186110</v>
      </c>
      <c r="C2866" s="6" t="str">
        <f ca="1">IFERROR(__xludf.DUMMYFUNCTION("""COMPUTED_VALUE"""),"VILLA EL EDEN ")</f>
        <v xml:space="preserve">VILLA EL EDEN </v>
      </c>
      <c r="D2866" s="6" t="str">
        <f ca="1">IFERROR(__xludf.DUMMYFUNCTION("""COMPUTED_VALUE"""),"MELIPILLA")</f>
        <v>MELIPILLA</v>
      </c>
    </row>
    <row r="2867" spans="1:4">
      <c r="A2867" s="7">
        <f ca="1">IFERROR(__xludf.DUMMYFUNCTION("""COMPUTED_VALUE"""),44264)</f>
        <v>44264</v>
      </c>
      <c r="B2867" s="6" t="str">
        <f ca="1">IFERROR(__xludf.DUMMYFUNCTION("""COMPUTED_VALUE"""),"-33.4597506-71.0291295")</f>
        <v>-33.4597506-71.0291295</v>
      </c>
      <c r="C2867" s="6" t="str">
        <f ca="1">IFERROR(__xludf.DUMMYFUNCTION("""COMPUTED_VALUE"""),"CERRILLOS S/N F-1 L18")</f>
        <v>CERRILLOS S/N F-1 L18</v>
      </c>
      <c r="D2867" s="6" t="str">
        <f ca="1">IFERROR(__xludf.DUMMYFUNCTION("""COMPUTED_VALUE"""),"CURACAVI")</f>
        <v>CURACAVI</v>
      </c>
    </row>
    <row r="2868" spans="1:4">
      <c r="A2868" s="7">
        <f ca="1">IFERROR(__xludf.DUMMYFUNCTION("""COMPUTED_VALUE"""),44264)</f>
        <v>44264</v>
      </c>
      <c r="B2868" s="6" t="str">
        <f ca="1">IFERROR(__xludf.DUMMYFUNCTION("""COMPUTED_VALUE"""),"-33.491575-71.027667")</f>
        <v>-33.491575-71.027667</v>
      </c>
      <c r="C2868" s="6" t="str">
        <f ca="1">IFERROR(__xludf.DUMMYFUNCTION("""COMPUTED_VALUE"""),"EL AJIAL SITIO 4 LOTE 3")</f>
        <v>EL AJIAL SITIO 4 LOTE 3</v>
      </c>
      <c r="D2868" s="6" t="str">
        <f ca="1">IFERROR(__xludf.DUMMYFUNCTION("""COMPUTED_VALUE"""),"CURACAVI")</f>
        <v>CURACAVI</v>
      </c>
    </row>
    <row r="2869" spans="1:4">
      <c r="A2869" s="7">
        <f ca="1">IFERROR(__xludf.DUMMYFUNCTION("""COMPUTED_VALUE"""),44264)</f>
        <v>44264</v>
      </c>
      <c r="B2869" s="6" t="str">
        <f ca="1">IFERROR(__xludf.DUMMYFUNCTION("""COMPUTED_VALUE"""),"-33.492757-71.026897")</f>
        <v>-33.492757-71.026897</v>
      </c>
      <c r="C2869" s="6" t="str">
        <f ca="1">IFERROR(__xludf.DUMMYFUNCTION("""COMPUTED_VALUE"""),"EL AJIAL S/N CV55")</f>
        <v>EL AJIAL S/N CV55</v>
      </c>
      <c r="D2869" s="6" t="str">
        <f ca="1">IFERROR(__xludf.DUMMYFUNCTION("""COMPUTED_VALUE"""),"CURACAVI")</f>
        <v>CURACAVI</v>
      </c>
    </row>
    <row r="2870" spans="1:4">
      <c r="A2870" s="7">
        <f ca="1">IFERROR(__xludf.DUMMYFUNCTION("""COMPUTED_VALUE"""),44264)</f>
        <v>44264</v>
      </c>
      <c r="B2870" s="6" t="str">
        <f ca="1">IFERROR(__xludf.DUMMYFUNCTION("""COMPUTED_VALUE"""),"-33.459753-71.0291309")</f>
        <v>-33.459753-71.0291309</v>
      </c>
      <c r="C2870" s="6" t="str">
        <f ca="1">IFERROR(__xludf.DUMMYFUNCTION("""COMPUTED_VALUE"""),"BATALLA DE SAN JUAN F-18 2")</f>
        <v>BATALLA DE SAN JUAN F-18 2</v>
      </c>
      <c r="D2870" s="6" t="str">
        <f ca="1">IFERROR(__xludf.DUMMYFUNCTION("""COMPUTED_VALUE"""),"CURACAVI")</f>
        <v>CURACAVI</v>
      </c>
    </row>
    <row r="2871" spans="1:4">
      <c r="A2871" s="7">
        <f ca="1">IFERROR(__xludf.DUMMYFUNCTION("""COMPUTED_VALUE"""),44264)</f>
        <v>44264</v>
      </c>
      <c r="B2871" s="6" t="str">
        <f ca="1">IFERROR(__xludf.DUMMYFUNCTION("""COMPUTED_VALUE"""),"-33.234675-71.025100")</f>
        <v>-33.234675-71.025100</v>
      </c>
      <c r="C2871" s="6" t="str">
        <f ca="1">IFERROR(__xludf.DUMMYFUNCTION("""COMPUTED_VALUE"""),"MIRAFLORES S/N PARCELA 16")</f>
        <v>MIRAFLORES S/N PARCELA 16</v>
      </c>
      <c r="D2871" s="6" t="str">
        <f ca="1">IFERROR(__xludf.DUMMYFUNCTION("""COMPUTED_VALUE"""),"CURACAVI")</f>
        <v>CURACAVI</v>
      </c>
    </row>
    <row r="2872" spans="1:4">
      <c r="A2872" s="7">
        <f ca="1">IFERROR(__xludf.DUMMYFUNCTION("""COMPUTED_VALUE"""),44264)</f>
        <v>44264</v>
      </c>
      <c r="B2872" s="6" t="str">
        <f ca="1">IFERROR(__xludf.DUMMYFUNCTION("""COMPUTED_VALUE"""),"-33.24195-71.42000")</f>
        <v>-33.24195-71.42000</v>
      </c>
      <c r="C2872" s="6" t="str">
        <f ca="1">IFERROR(__xludf.DUMMYFUNCTION("""COMPUTED_VALUE"""),"BOSQUES DE MIRAFLORES PARC 190")</f>
        <v>BOSQUES DE MIRAFLORES PARC 190</v>
      </c>
      <c r="D2872" s="6" t="str">
        <f ca="1">IFERROR(__xludf.DUMMYFUNCTION("""COMPUTED_VALUE"""),"CURACAVI")</f>
        <v>CURACAVI</v>
      </c>
    </row>
    <row r="2873" spans="1:4">
      <c r="A2873" s="7">
        <f ca="1">IFERROR(__xludf.DUMMYFUNCTION("""COMPUTED_VALUE"""),44264)</f>
        <v>44264</v>
      </c>
      <c r="B2873" s="6" t="str">
        <f ca="1">IFERROR(__xludf.DUMMYFUNCTION("""COMPUTED_VALUE"""),"-33.234685-71.025100")</f>
        <v>-33.234685-71.025100</v>
      </c>
      <c r="C2873" s="6" t="str">
        <f ca="1">IFERROR(__xludf.DUMMYFUNCTION("""COMPUTED_VALUE"""),"MIRAFLORES S/N PARCELA 16")</f>
        <v>MIRAFLORES S/N PARCELA 16</v>
      </c>
      <c r="D2873" s="6" t="str">
        <f ca="1">IFERROR(__xludf.DUMMYFUNCTION("""COMPUTED_VALUE"""),"CURACAVI")</f>
        <v>CURACAVI</v>
      </c>
    </row>
    <row r="2874" spans="1:4">
      <c r="A2874" s="7">
        <f ca="1">IFERROR(__xludf.DUMMYFUNCTION("""COMPUTED_VALUE"""),44264)</f>
        <v>44264</v>
      </c>
      <c r="B2874" s="6" t="str">
        <f ca="1">IFERROR(__xludf.DUMMYFUNCTION("""COMPUTED_VALUE"""),"-33.46391-71.0278")</f>
        <v>-33.46391-71.0278</v>
      </c>
      <c r="C2874" s="6" t="str">
        <f ca="1">IFERROR(__xludf.DUMMYFUNCTION("""COMPUTED_VALUE"""),"CUESTA VIEJA P3 SIT 5")</f>
        <v>CUESTA VIEJA P3 SIT 5</v>
      </c>
      <c r="D2874" s="6" t="str">
        <f ca="1">IFERROR(__xludf.DUMMYFUNCTION("""COMPUTED_VALUE"""),"CURACAVI")</f>
        <v>CURACAVI</v>
      </c>
    </row>
    <row r="2875" spans="1:4">
      <c r="A2875" s="7">
        <f ca="1">IFERROR(__xludf.DUMMYFUNCTION("""COMPUTED_VALUE"""),44264)</f>
        <v>44264</v>
      </c>
      <c r="B2875" s="6" t="str">
        <f ca="1">IFERROR(__xludf.DUMMYFUNCTION("""COMPUTED_VALUE"""),"-33.48951-70.99744")</f>
        <v>-33.48951-70.99744</v>
      </c>
      <c r="C2875" s="6" t="str">
        <f ca="1">IFERROR(__xludf.DUMMYFUNCTION("""COMPUTED_VALUE"""),"LA PATAGUILLA LOTE 3")</f>
        <v>LA PATAGUILLA LOTE 3</v>
      </c>
      <c r="D2875" s="6" t="str">
        <f ca="1">IFERROR(__xludf.DUMMYFUNCTION("""COMPUTED_VALUE"""),"CURACAVI")</f>
        <v>CURACAVI</v>
      </c>
    </row>
    <row r="2876" spans="1:4">
      <c r="A2876" s="7">
        <f ca="1">IFERROR(__xludf.DUMMYFUNCTION("""COMPUTED_VALUE"""),44264)</f>
        <v>44264</v>
      </c>
      <c r="B2876" s="6" t="str">
        <f ca="1">IFERROR(__xludf.DUMMYFUNCTION("""COMPUTED_VALUE"""),"-33.46828-71.06952")</f>
        <v>-33.46828-71.06952</v>
      </c>
      <c r="C2876" s="6" t="str">
        <f ca="1">IFERROR(__xludf.DUMMYFUNCTION("""COMPUTED_VALUE"""),"LO ALVARADO S/N LOTE 7")</f>
        <v>LO ALVARADO S/N LOTE 7</v>
      </c>
      <c r="D2876" s="6" t="str">
        <f ca="1">IFERROR(__xludf.DUMMYFUNCTION("""COMPUTED_VALUE"""),"CURACAVI")</f>
        <v>CURACAVI</v>
      </c>
    </row>
    <row r="2877" spans="1:4">
      <c r="A2877" s="7">
        <f ca="1">IFERROR(__xludf.DUMMYFUNCTION("""COMPUTED_VALUE"""),44264)</f>
        <v>44264</v>
      </c>
      <c r="B2877" s="6" t="str">
        <f ca="1">IFERROR(__xludf.DUMMYFUNCTION("""COMPUTED_VALUE"""),"-33.394426-71.130096")</f>
        <v>-33.394426-71.130096</v>
      </c>
      <c r="C2877" s="6" t="str">
        <f ca="1">IFERROR(__xludf.DUMMYFUNCTION("""COMPUTED_VALUE"""),"AV. GRESMAN RIESGO 819")</f>
        <v>AV. GRESMAN RIESGO 819</v>
      </c>
      <c r="D2877" s="6" t="str">
        <f ca="1">IFERROR(__xludf.DUMMYFUNCTION("""COMPUTED_VALUE"""),"CURACAVI")</f>
        <v>CURACAVI</v>
      </c>
    </row>
    <row r="2878" spans="1:4">
      <c r="A2878" s="7">
        <f ca="1">IFERROR(__xludf.DUMMYFUNCTION("""COMPUTED_VALUE"""),44264)</f>
        <v>44264</v>
      </c>
      <c r="B2878" s="6" t="str">
        <f ca="1">IFERROR(__xludf.DUMMYFUNCTION("""COMPUTED_VALUE"""),"-33.590990,-71.050418")</f>
        <v>-33.590990,-71.050418</v>
      </c>
      <c r="C2878" s="6" t="str">
        <f ca="1">IFERROR(__xludf.DUMMYFUNCTION("""COMPUTED_VALUE"""),"SANTA  VICTORIA  S/N ST 19")</f>
        <v>SANTA  VICTORIA  S/N ST 19</v>
      </c>
      <c r="D2878" s="6" t="str">
        <f ca="1">IFERROR(__xludf.DUMMYFUNCTION("""COMPUTED_VALUE"""),"MELIPILLA")</f>
        <v>MELIPILLA</v>
      </c>
    </row>
    <row r="2879" spans="1:4">
      <c r="A2879" s="7">
        <f ca="1">IFERROR(__xludf.DUMMYFUNCTION("""COMPUTED_VALUE"""),44264)</f>
        <v>44264</v>
      </c>
      <c r="B2879" s="6" t="str">
        <f ca="1">IFERROR(__xludf.DUMMYFUNCTION("""COMPUTED_VALUE"""),"-33.595666,-71.039247")</f>
        <v>-33.595666,-71.039247</v>
      </c>
      <c r="C2879" s="6" t="str">
        <f ca="1">IFERROR(__xludf.DUMMYFUNCTION("""COMPUTED_VALUE"""),"SANTA TERESA DE MALLARAUCO S/N PARCELA 9")</f>
        <v>SANTA TERESA DE MALLARAUCO S/N PARCELA 9</v>
      </c>
      <c r="D2879" s="6" t="str">
        <f ca="1">IFERROR(__xludf.DUMMYFUNCTION("""COMPUTED_VALUE"""),"MELIPILLA")</f>
        <v>MELIPILLA</v>
      </c>
    </row>
    <row r="2880" spans="1:4">
      <c r="A2880" s="7">
        <f ca="1">IFERROR(__xludf.DUMMYFUNCTION("""COMPUTED_VALUE"""),44265)</f>
        <v>44265</v>
      </c>
      <c r="B2880" s="8" t="str">
        <f ca="1">IFERROR(__xludf.DUMMYFUNCTION("""COMPUTED_VALUE"""),"-33.571928,-71.207487")</f>
        <v>-33.571928,-71.207487</v>
      </c>
      <c r="C2880" s="6" t="str">
        <f ca="1">IFERROR(__xludf.DUMMYFUNCTION("""COMPUTED_VALUE"""),"ANGOL 230")</f>
        <v>ANGOL 230</v>
      </c>
      <c r="D2880" s="6" t="str">
        <f ca="1">IFERROR(__xludf.DUMMYFUNCTION("""COMPUTED_VALUE"""),"MELIPILLA")</f>
        <v>MELIPILLA</v>
      </c>
    </row>
    <row r="2881" spans="1:4">
      <c r="A2881" s="7">
        <f ca="1">IFERROR(__xludf.DUMMYFUNCTION("""COMPUTED_VALUE"""),44265)</f>
        <v>44265</v>
      </c>
      <c r="B2881" s="8" t="str">
        <f ca="1">IFERROR(__xludf.DUMMYFUNCTION("""COMPUTED_VALUE"""),"-33.826243,-71.272289")</f>
        <v>-33.826243,-71.272289</v>
      </c>
      <c r="C2881" s="6" t="str">
        <f ca="1">IFERROR(__xludf.DUMMYFUNCTION("""COMPUTED_VALUE"""),"SAN JUAN DE POPETA S/N")</f>
        <v>SAN JUAN DE POPETA S/N</v>
      </c>
      <c r="D2881" s="6" t="str">
        <f ca="1">IFERROR(__xludf.DUMMYFUNCTION("""COMPUTED_VALUE"""),"MELIPILLA")</f>
        <v>MELIPILLA</v>
      </c>
    </row>
    <row r="2882" spans="1:4">
      <c r="A2882" s="7">
        <f ca="1">IFERROR(__xludf.DUMMYFUNCTION("""COMPUTED_VALUE"""),44265)</f>
        <v>44265</v>
      </c>
      <c r="B2882" s="8" t="str">
        <f ca="1">IFERROR(__xludf.DUMMYFUNCTION("""COMPUTED_VALUE"""),"-33.675271,-71.177160")</f>
        <v>-33.675271,-71.177160</v>
      </c>
      <c r="C2882" s="6" t="str">
        <f ca="1">IFERROR(__xludf.DUMMYFUNCTION("""COMPUTED_VALUE"""),"IRLANDA 2016")</f>
        <v>IRLANDA 2016</v>
      </c>
      <c r="D2882" s="6" t="str">
        <f ca="1">IFERROR(__xludf.DUMMYFUNCTION("""COMPUTED_VALUE"""),"MELIPILLA")</f>
        <v>MELIPILLA</v>
      </c>
    </row>
    <row r="2883" spans="1:4">
      <c r="A2883" s="7">
        <f ca="1">IFERROR(__xludf.DUMMYFUNCTION("""COMPUTED_VALUE"""),44265)</f>
        <v>44265</v>
      </c>
      <c r="B2883" s="6" t="str">
        <f ca="1">IFERROR(__xludf.DUMMYFUNCTION("""COMPUTED_VALUE"""),"33.460847-71.029066")</f>
        <v>33.460847-71.029066</v>
      </c>
      <c r="C2883" s="6" t="str">
        <f ca="1">IFERROR(__xludf.DUMMYFUNCTION("""COMPUTED_VALUE"""),"BATALLA SAN JUAN 18 G A2")</f>
        <v>BATALLA SAN JUAN 18 G A2</v>
      </c>
      <c r="D2883" s="6" t="str">
        <f ca="1">IFERROR(__xludf.DUMMYFUNCTION("""COMPUTED_VALUE"""),"CURACAVI")</f>
        <v>CURACAVI</v>
      </c>
    </row>
    <row r="2884" spans="1:4">
      <c r="A2884" s="7">
        <f ca="1">IFERROR(__xludf.DUMMYFUNCTION("""COMPUTED_VALUE"""),44265)</f>
        <v>44265</v>
      </c>
      <c r="B2884" s="6" t="str">
        <f ca="1">IFERROR(__xludf.DUMMYFUNCTION("""COMPUTED_VALUE"""),"-33.459717-71.029094")</f>
        <v>-33.459717-71.029094</v>
      </c>
      <c r="C2884" s="6" t="str">
        <f ca="1">IFERROR(__xludf.DUMMYFUNCTION("""COMPUTED_VALUE"""),"CERRILLOS SITIO 18 ")</f>
        <v xml:space="preserve">CERRILLOS SITIO 18 </v>
      </c>
      <c r="D2884" s="6" t="str">
        <f ca="1">IFERROR(__xludf.DUMMYFUNCTION("""COMPUTED_VALUE"""),"CURACAVI")</f>
        <v>CURACAVI</v>
      </c>
    </row>
    <row r="2885" spans="1:4">
      <c r="A2885" s="7">
        <f ca="1">IFERROR(__xludf.DUMMYFUNCTION("""COMPUTED_VALUE"""),44265)</f>
        <v>44265</v>
      </c>
      <c r="B2885" s="6" t="str">
        <f ca="1">IFERROR(__xludf.DUMMYFUNCTION("""COMPUTED_VALUE"""),"-33.459717-71.029094")</f>
        <v>-33.459717-71.029094</v>
      </c>
      <c r="C2885" s="6" t="str">
        <f ca="1">IFERROR(__xludf.DUMMYFUNCTION("""COMPUTED_VALUE"""),"CERRILLOS SITIO 18 ")</f>
        <v xml:space="preserve">CERRILLOS SITIO 18 </v>
      </c>
      <c r="D2885" s="6" t="str">
        <f ca="1">IFERROR(__xludf.DUMMYFUNCTION("""COMPUTED_VALUE"""),"CURACAVI")</f>
        <v>CURACAVI</v>
      </c>
    </row>
    <row r="2886" spans="1:4">
      <c r="A2886" s="7">
        <f ca="1">IFERROR(__xludf.DUMMYFUNCTION("""COMPUTED_VALUE"""),44265)</f>
        <v>44265</v>
      </c>
      <c r="B2886" s="6" t="str">
        <f ca="1">IFERROR(__xludf.DUMMYFUNCTION("""COMPUTED_VALUE"""),"-33.407704-71.137535")</f>
        <v>-33.407704-71.137535</v>
      </c>
      <c r="C2886" s="6" t="str">
        <f ca="1">IFERROR(__xludf.DUMMYFUNCTION("""COMPUTED_VALUE"""),"PASAJE FABIAN FARIAS 276")</f>
        <v>PASAJE FABIAN FARIAS 276</v>
      </c>
      <c r="D2886" s="6" t="str">
        <f ca="1">IFERROR(__xludf.DUMMYFUNCTION("""COMPUTED_VALUE"""),"CURACAVI")</f>
        <v>CURACAVI</v>
      </c>
    </row>
    <row r="2887" spans="1:4">
      <c r="A2887" s="7">
        <f ca="1">IFERROR(__xludf.DUMMYFUNCTION("""COMPUTED_VALUE"""),44265)</f>
        <v>44265</v>
      </c>
      <c r="B2887" s="6" t="str">
        <f ca="1">IFERROR(__xludf.DUMMYFUNCTION("""COMPUTED_VALUE"""),"-33.407428-71.133337")</f>
        <v>-33.407428-71.133337</v>
      </c>
      <c r="C2887" s="6" t="str">
        <f ca="1">IFERROR(__xludf.DUMMYFUNCTION("""COMPUTED_VALUE"""),"VILLA SIDECO S/N")</f>
        <v>VILLA SIDECO S/N</v>
      </c>
      <c r="D2887" s="6" t="str">
        <f ca="1">IFERROR(__xludf.DUMMYFUNCTION("""COMPUTED_VALUE"""),"CURACAVI")</f>
        <v>CURACAVI</v>
      </c>
    </row>
    <row r="2888" spans="1:4">
      <c r="A2888" s="7">
        <f ca="1">IFERROR(__xludf.DUMMYFUNCTION("""COMPUTED_VALUE"""),44265)</f>
        <v>44265</v>
      </c>
      <c r="B2888" s="6" t="str">
        <f ca="1">IFERROR(__xludf.DUMMYFUNCTION("""COMPUTED_VALUE"""),"-33.49239-71.02693")</f>
        <v>-33.49239-71.02693</v>
      </c>
      <c r="C2888" s="6" t="str">
        <f ca="1">IFERROR(__xludf.DUMMYFUNCTION("""COMPUTED_VALUE"""),"EL AJIAL S/N ")</f>
        <v xml:space="preserve">EL AJIAL S/N </v>
      </c>
      <c r="D2888" s="6" t="str">
        <f ca="1">IFERROR(__xludf.DUMMYFUNCTION("""COMPUTED_VALUE"""),"CURACAVI")</f>
        <v>CURACAVI</v>
      </c>
    </row>
    <row r="2889" spans="1:4">
      <c r="A2889" s="7">
        <f ca="1">IFERROR(__xludf.DUMMYFUNCTION("""COMPUTED_VALUE"""),44265)</f>
        <v>44265</v>
      </c>
      <c r="B2889" s="6" t="str">
        <f ca="1">IFERROR(__xludf.DUMMYFUNCTION("""COMPUTED_VALUE"""),"-33.49153-71.02798")</f>
        <v>-33.49153-71.02798</v>
      </c>
      <c r="C2889" s="6" t="str">
        <f ca="1">IFERROR(__xludf.DUMMYFUNCTION("""COMPUTED_VALUE"""),"EL AJIAL S/4 LOTE 7")</f>
        <v>EL AJIAL S/4 LOTE 7</v>
      </c>
      <c r="D2889" s="6" t="str">
        <f ca="1">IFERROR(__xludf.DUMMYFUNCTION("""COMPUTED_VALUE"""),"CURACAVI")</f>
        <v>CURACAVI</v>
      </c>
    </row>
    <row r="2890" spans="1:4">
      <c r="A2890" s="7">
        <f ca="1">IFERROR(__xludf.DUMMYFUNCTION("""COMPUTED_VALUE"""),44265)</f>
        <v>44265</v>
      </c>
      <c r="B2890" s="6" t="str">
        <f ca="1">IFERROR(__xludf.DUMMYFUNCTION("""COMPUTED_VALUE"""),"-33.49101-71.03264")</f>
        <v>-33.49101-71.03264</v>
      </c>
      <c r="C2890" s="6" t="str">
        <f ca="1">IFERROR(__xludf.DUMMYFUNCTION("""COMPUTED_VALUE"""),"EL AJIAL LOTE 8 SITIO 1")</f>
        <v>EL AJIAL LOTE 8 SITIO 1</v>
      </c>
      <c r="D2890" s="6" t="str">
        <f ca="1">IFERROR(__xludf.DUMMYFUNCTION("""COMPUTED_VALUE"""),"CURACAVI")</f>
        <v>CURACAVI</v>
      </c>
    </row>
    <row r="2891" spans="1:4">
      <c r="A2891" s="7">
        <f ca="1">IFERROR(__xludf.DUMMYFUNCTION("""COMPUTED_VALUE"""),44265)</f>
        <v>44265</v>
      </c>
      <c r="B2891" s="6" t="str">
        <f ca="1">IFERROR(__xludf.DUMMYFUNCTION("""COMPUTED_VALUE"""),"-33.584837,-71.083414")</f>
        <v>-33.584837,-71.083414</v>
      </c>
      <c r="C2891" s="6" t="str">
        <f ca="1">IFERROR(__xludf.DUMMYFUNCTION("""COMPUTED_VALUE"""),"CALLE CARLOS GEYSER 32")</f>
        <v>CALLE CARLOS GEYSER 32</v>
      </c>
      <c r="D2891" s="6" t="str">
        <f ca="1">IFERROR(__xludf.DUMMYFUNCTION("""COMPUTED_VALUE"""),"MELIPILLA")</f>
        <v>MELIPILLA</v>
      </c>
    </row>
    <row r="2892" spans="1:4">
      <c r="A2892" s="7">
        <f ca="1">IFERROR(__xludf.DUMMYFUNCTION("""COMPUTED_VALUE"""),44265)</f>
        <v>44265</v>
      </c>
      <c r="B2892" s="6" t="str">
        <f ca="1">IFERROR(__xludf.DUMMYFUNCTION("""COMPUTED_VALUE"""),"-33.583015,-71.081994")</f>
        <v>-33.583015,-71.081994</v>
      </c>
      <c r="C2892" s="6" t="str">
        <f ca="1">IFERROR(__xludf.DUMMYFUNCTION("""COMPUTED_VALUE"""),"SANTA CLARA S/N  CV 14")</f>
        <v>SANTA CLARA S/N  CV 14</v>
      </c>
      <c r="D2892" s="6" t="str">
        <f ca="1">IFERROR(__xludf.DUMMYFUNCTION("""COMPUTED_VALUE"""),"MELIPILLA")</f>
        <v>MELIPILLA</v>
      </c>
    </row>
    <row r="2893" spans="1:4">
      <c r="A2893" s="7">
        <f ca="1">IFERROR(__xludf.DUMMYFUNCTION("""COMPUTED_VALUE"""),44266)</f>
        <v>44266</v>
      </c>
      <c r="B2893" s="8" t="str">
        <f ca="1">IFERROR(__xludf.DUMMYFUNCTION("""COMPUTED_VALUE"""),"33.572943,-71.980120")</f>
        <v>33.572943,-71.980120</v>
      </c>
      <c r="C2893" s="6" t="str">
        <f ca="1">IFERROR(__xludf.DUMMYFUNCTION("""COMPUTED_VALUE"""),"EL CARMEN 479")</f>
        <v>EL CARMEN 479</v>
      </c>
      <c r="D2893" s="6" t="str">
        <f ca="1">IFERROR(__xludf.DUMMYFUNCTION("""COMPUTED_VALUE"""),"MELIPILLA")</f>
        <v>MELIPILLA</v>
      </c>
    </row>
    <row r="2894" spans="1:4">
      <c r="A2894" s="7">
        <f ca="1">IFERROR(__xludf.DUMMYFUNCTION("""COMPUTED_VALUE"""),44266)</f>
        <v>44266</v>
      </c>
      <c r="B2894" s="8" t="str">
        <f ca="1">IFERROR(__xludf.DUMMYFUNCTION("""COMPUTED_VALUE"""),"33.646295,-71.151901")</f>
        <v>33.646295,-71.151901</v>
      </c>
      <c r="C2894" s="6" t="str">
        <f ca="1">IFERROR(__xludf.DUMMYFUNCTION("""COMPUTED_VALUE"""),"EL PIMIENTO SITIO 21")</f>
        <v>EL PIMIENTO SITIO 21</v>
      </c>
      <c r="D2894" s="6" t="str">
        <f ca="1">IFERROR(__xludf.DUMMYFUNCTION("""COMPUTED_VALUE"""),"MELIPILLA")</f>
        <v>MELIPILLA</v>
      </c>
    </row>
    <row r="2895" spans="1:4">
      <c r="A2895" s="7">
        <f ca="1">IFERROR(__xludf.DUMMYFUNCTION("""COMPUTED_VALUE"""),44266)</f>
        <v>44266</v>
      </c>
      <c r="B2895" s="8" t="str">
        <f ca="1">IFERROR(__xludf.DUMMYFUNCTION("""COMPUTED_VALUE"""),"-33.676872-71.205776")</f>
        <v>-33.676872-71.205776</v>
      </c>
      <c r="C2895" s="6" t="str">
        <f ca="1">IFERROR(__xludf.DUMMYFUNCTION("""COMPUTED_VALUE"""),"JOSE ARGOMEDO 462")</f>
        <v>JOSE ARGOMEDO 462</v>
      </c>
      <c r="D2895" s="6" t="str">
        <f ca="1">IFERROR(__xludf.DUMMYFUNCTION("""COMPUTED_VALUE"""),"MELIPILLA")</f>
        <v>MELIPILLA</v>
      </c>
    </row>
    <row r="2896" spans="1:4">
      <c r="A2896" s="7">
        <f ca="1">IFERROR(__xludf.DUMMYFUNCTION("""COMPUTED_VALUE"""),44266)</f>
        <v>44266</v>
      </c>
      <c r="B2896" s="8" t="str">
        <f ca="1">IFERROR(__xludf.DUMMYFUNCTION("""COMPUTED_VALUE"""),"-33.5841358-70.9872526")</f>
        <v>-33.5841358-70.9872526</v>
      </c>
      <c r="C2896" s="6" t="str">
        <f ca="1">IFERROR(__xludf.DUMMYFUNCTION("""COMPUTED_VALUE"""),"STA ELISA MALLARAUCO")</f>
        <v>STA ELISA MALLARAUCO</v>
      </c>
      <c r="D2896" s="6" t="str">
        <f ca="1">IFERROR(__xludf.DUMMYFUNCTION("""COMPUTED_VALUE"""),"MELIPILLA")</f>
        <v>MELIPILLA</v>
      </c>
    </row>
    <row r="2897" spans="1:4">
      <c r="A2897" s="7">
        <f ca="1">IFERROR(__xludf.DUMMYFUNCTION("""COMPUTED_VALUE"""),44266)</f>
        <v>44266</v>
      </c>
      <c r="B2897" s="8" t="str">
        <f ca="1">IFERROR(__xludf.DUMMYFUNCTION("""COMPUTED_VALUE"""),"-33.826585-71.272463")</f>
        <v>-33.826585-71.272463</v>
      </c>
      <c r="C2897" s="6" t="str">
        <f ca="1">IFERROR(__xludf.DUMMYFUNCTION("""COMPUTED_VALUE"""),"SECTOR CINCO POPETA 245")</f>
        <v>SECTOR CINCO POPETA 245</v>
      </c>
      <c r="D2897" s="6" t="str">
        <f ca="1">IFERROR(__xludf.DUMMYFUNCTION("""COMPUTED_VALUE"""),"MELIPILLA")</f>
        <v>MELIPILLA</v>
      </c>
    </row>
    <row r="2898" spans="1:4">
      <c r="A2898" s="7">
        <f ca="1">IFERROR(__xludf.DUMMYFUNCTION("""COMPUTED_VALUE"""),44266)</f>
        <v>44266</v>
      </c>
      <c r="B2898" s="8" t="str">
        <f ca="1">IFERROR(__xludf.DUMMYFUNCTION("""COMPUTED_VALUE"""),"-33.654153-71.148274")</f>
        <v>-33.654153-71.148274</v>
      </c>
      <c r="C2898" s="6" t="str">
        <f ca="1">IFERROR(__xludf.DUMMYFUNCTION("""COMPUTED_VALUE"""),"RAFAEL MORANDE 110")</f>
        <v>RAFAEL MORANDE 110</v>
      </c>
      <c r="D2898" s="6" t="str">
        <f ca="1">IFERROR(__xludf.DUMMYFUNCTION("""COMPUTED_VALUE"""),"MELIPILLA")</f>
        <v>MELIPILLA</v>
      </c>
    </row>
    <row r="2899" spans="1:4">
      <c r="A2899" s="7">
        <f ca="1">IFERROR(__xludf.DUMMYFUNCTION("""COMPUTED_VALUE"""),44266)</f>
        <v>44266</v>
      </c>
      <c r="B2899" s="8" t="str">
        <f ca="1">IFERROR(__xludf.DUMMYFUNCTION("""COMPUTED_VALUE"""),"-33.571649-71.209218")</f>
        <v>-33.571649-71.209218</v>
      </c>
      <c r="C2899" s="6" t="str">
        <f ca="1">IFERROR(__xludf.DUMMYFUNCTION("""COMPUTED_VALUE"""),"BAQUEDANO 280  BOLLENAR")</f>
        <v>BAQUEDANO 280  BOLLENAR</v>
      </c>
      <c r="D2899" s="6" t="str">
        <f ca="1">IFERROR(__xludf.DUMMYFUNCTION("""COMPUTED_VALUE"""),"MELIPILLA")</f>
        <v>MELIPILLA</v>
      </c>
    </row>
    <row r="2900" spans="1:4">
      <c r="A2900" s="7">
        <f ca="1">IFERROR(__xludf.DUMMYFUNCTION("""COMPUTED_VALUE"""),44266)</f>
        <v>44266</v>
      </c>
      <c r="B2900" s="8" t="str">
        <f ca="1">IFERROR(__xludf.DUMMYFUNCTION("""COMPUTED_VALUE"""),"-33.6062099-71.1040517")</f>
        <v>-33.6062099-71.1040517</v>
      </c>
      <c r="C2900" s="6" t="str">
        <f ca="1">IFERROR(__xludf.DUMMYFUNCTION("""COMPUTED_VALUE"""),"SECTOR MALLACAUCO S/N ")</f>
        <v xml:space="preserve">SECTOR MALLACAUCO S/N </v>
      </c>
      <c r="D2900" s="6" t="str">
        <f ca="1">IFERROR(__xludf.DUMMYFUNCTION("""COMPUTED_VALUE"""),"MELIPILLA")</f>
        <v>MELIPILLA</v>
      </c>
    </row>
    <row r="2901" spans="1:4">
      <c r="A2901" s="7">
        <f ca="1">IFERROR(__xludf.DUMMYFUNCTION("""COMPUTED_VALUE"""),44266)</f>
        <v>44266</v>
      </c>
      <c r="B2901" s="6" t="str">
        <f ca="1">IFERROR(__xludf.DUMMYFUNCTION("""COMPUTED_VALUE"""),"-33.452739-71.028254")</f>
        <v>-33.452739-71.028254</v>
      </c>
      <c r="C2901" s="6" t="str">
        <f ca="1">IFERROR(__xludf.DUMMYFUNCTION("""COMPUTED_VALUE"""),"UNION CHILENA SITIO 28")</f>
        <v>UNION CHILENA SITIO 28</v>
      </c>
      <c r="D2901" s="6" t="str">
        <f ca="1">IFERROR(__xludf.DUMMYFUNCTION("""COMPUTED_VALUE"""),"CURACAVI")</f>
        <v>CURACAVI</v>
      </c>
    </row>
    <row r="2902" spans="1:4">
      <c r="A2902" s="7">
        <f ca="1">IFERROR(__xludf.DUMMYFUNCTION("""COMPUTED_VALUE"""),44266)</f>
        <v>44266</v>
      </c>
      <c r="B2902" s="6" t="str">
        <f ca="1">IFERROR(__xludf.DUMMYFUNCTION("""COMPUTED_VALUE"""),"-33.418008-71.132212")</f>
        <v>-33.418008-71.132212</v>
      </c>
      <c r="C2902" s="6" t="str">
        <f ca="1">IFERROR(__xludf.DUMMYFUNCTION("""COMPUTED_VALUE"""),"EL POLLINO PARCELA 5")</f>
        <v>EL POLLINO PARCELA 5</v>
      </c>
      <c r="D2902" s="6" t="str">
        <f ca="1">IFERROR(__xludf.DUMMYFUNCTION("""COMPUTED_VALUE"""),"CURACAVI")</f>
        <v>CURACAVI</v>
      </c>
    </row>
    <row r="2903" spans="1:4">
      <c r="A2903" s="7">
        <f ca="1">IFERROR(__xludf.DUMMYFUNCTION("""COMPUTED_VALUE"""),44266)</f>
        <v>44266</v>
      </c>
      <c r="B2903" s="6" t="str">
        <f ca="1">IFERROR(__xludf.DUMMYFUNCTION("""COMPUTED_VALUE"""),"-33.391311-71.122301")</f>
        <v>-33.391311-71.122301</v>
      </c>
      <c r="C2903" s="6" t="str">
        <f ca="1">IFERROR(__xludf.DUMMYFUNCTION("""COMPUTED_VALUE"""),"LOS PATRIOTAS 2154")</f>
        <v>LOS PATRIOTAS 2154</v>
      </c>
      <c r="D2903" s="6" t="str">
        <f ca="1">IFERROR(__xludf.DUMMYFUNCTION("""COMPUTED_VALUE"""),"CURACAVI")</f>
        <v>CURACAVI</v>
      </c>
    </row>
    <row r="2904" spans="1:4">
      <c r="A2904" s="7">
        <f ca="1">IFERROR(__xludf.DUMMYFUNCTION("""COMPUTED_VALUE"""),44266)</f>
        <v>44266</v>
      </c>
      <c r="B2904" s="6" t="str">
        <f ca="1">IFERROR(__xludf.DUMMYFUNCTION("""COMPUTED_VALUE"""),"-33.289376-70.711356")</f>
        <v>-33.289376-70.711356</v>
      </c>
      <c r="C2904" s="6" t="str">
        <f ca="1">IFERROR(__xludf.DUMMYFUNCTION("""COMPUTED_VALUE"""),"LOS LIRIOS 80")</f>
        <v>LOS LIRIOS 80</v>
      </c>
      <c r="D2904" s="6" t="str">
        <f ca="1">IFERROR(__xludf.DUMMYFUNCTION("""COMPUTED_VALUE"""),"COLINA")</f>
        <v>COLINA</v>
      </c>
    </row>
    <row r="2905" spans="1:4">
      <c r="A2905" s="7">
        <f ca="1">IFERROR(__xludf.DUMMYFUNCTION("""COMPUTED_VALUE"""),44266)</f>
        <v>44266</v>
      </c>
      <c r="B2905" s="6" t="str">
        <f ca="1">IFERROR(__xludf.DUMMYFUNCTION("""COMPUTED_VALUE"""),"-33.297032-70.869889")</f>
        <v>-33.297032-70.869889</v>
      </c>
      <c r="C2905" s="6" t="str">
        <f ca="1">IFERROR(__xludf.DUMMYFUNCTION("""COMPUTED_VALUE"""),"LAS PETUNIAS PONIENTES 2626")</f>
        <v>LAS PETUNIAS PONIENTES 2626</v>
      </c>
      <c r="D2905" s="6" t="str">
        <f ca="1">IFERROR(__xludf.DUMMYFUNCTION("""COMPUTED_VALUE"""),"LAMPA")</f>
        <v>LAMPA</v>
      </c>
    </row>
    <row r="2906" spans="1:4">
      <c r="A2906" s="7">
        <f ca="1">IFERROR(__xludf.DUMMYFUNCTION("""COMPUTED_VALUE"""),44266)</f>
        <v>44266</v>
      </c>
      <c r="B2906" s="6" t="str">
        <f ca="1">IFERROR(__xludf.DUMMYFUNCTION("""COMPUTED_VALUE"""),"-33.289376-70.711356")</f>
        <v>-33.289376-70.711356</v>
      </c>
      <c r="C2906" s="6" t="str">
        <f ca="1">IFERROR(__xludf.DUMMYFUNCTION("""COMPUTED_VALUE"""),"LOS LIRIOS 80")</f>
        <v>LOS LIRIOS 80</v>
      </c>
      <c r="D2906" s="6" t="str">
        <f ca="1">IFERROR(__xludf.DUMMYFUNCTION("""COMPUTED_VALUE"""),"COLINA")</f>
        <v>COLINA</v>
      </c>
    </row>
    <row r="2907" spans="1:4">
      <c r="A2907" s="7">
        <f ca="1">IFERROR(__xludf.DUMMYFUNCTION("""COMPUTED_VALUE"""),44266)</f>
        <v>44266</v>
      </c>
      <c r="B2907" s="6" t="str">
        <f ca="1">IFERROR(__xludf.DUMMYFUNCTION("""COMPUTED_VALUE"""),"-33.407161-71.147877")</f>
        <v>-33.407161-71.147877</v>
      </c>
      <c r="C2907" s="6" t="str">
        <f ca="1">IFERROR(__xludf.DUMMYFUNCTION("""COMPUTED_VALUE"""),"PASAJE LAS VERTIENTES 149")</f>
        <v>PASAJE LAS VERTIENTES 149</v>
      </c>
      <c r="D2907" s="6" t="str">
        <f ca="1">IFERROR(__xludf.DUMMYFUNCTION("""COMPUTED_VALUE"""),"CURACAVI")</f>
        <v>CURACAVI</v>
      </c>
    </row>
    <row r="2908" spans="1:4">
      <c r="A2908" s="7">
        <f ca="1">IFERROR(__xludf.DUMMYFUNCTION("""COMPUTED_VALUE"""),44266)</f>
        <v>44266</v>
      </c>
      <c r="B2908" s="6" t="str">
        <f ca="1">IFERROR(__xludf.DUMMYFUNCTION("""COMPUTED_VALUE"""),"-33.377588-71.097273")</f>
        <v>-33.377588-71.097273</v>
      </c>
      <c r="C2908" s="6" t="str">
        <f ca="1">IFERROR(__xludf.DUMMYFUNCTION("""COMPUTED_VALUE"""),"CURACAVI PARCELA 328")</f>
        <v>CURACAVI PARCELA 328</v>
      </c>
      <c r="D2908" s="6" t="str">
        <f ca="1">IFERROR(__xludf.DUMMYFUNCTION("""COMPUTED_VALUE"""),"CURACAVI")</f>
        <v>CURACAVI</v>
      </c>
    </row>
    <row r="2909" spans="1:4">
      <c r="A2909" s="7">
        <f ca="1">IFERROR(__xludf.DUMMYFUNCTION("""COMPUTED_VALUE"""),44266)</f>
        <v>44266</v>
      </c>
      <c r="B2909" s="6" t="str">
        <f ca="1">IFERROR(__xludf.DUMMYFUNCTION("""COMPUTED_VALUE"""),"-33.49645-71.02984")</f>
        <v>-33.49645-71.02984</v>
      </c>
      <c r="C2909" s="6" t="str">
        <f ca="1">IFERROR(__xludf.DUMMYFUNCTION("""COMPUTED_VALUE"""),"EL AJIAL S/N ")</f>
        <v xml:space="preserve">EL AJIAL S/N </v>
      </c>
      <c r="D2909" s="6" t="str">
        <f ca="1">IFERROR(__xludf.DUMMYFUNCTION("""COMPUTED_VALUE"""),"CURACAVI")</f>
        <v>CURACAVI</v>
      </c>
    </row>
    <row r="2910" spans="1:4">
      <c r="A2910" s="7">
        <f ca="1">IFERROR(__xludf.DUMMYFUNCTION("""COMPUTED_VALUE"""),44266)</f>
        <v>44266</v>
      </c>
      <c r="B2910" s="6" t="str">
        <f ca="1">IFERROR(__xludf.DUMMYFUNCTION("""COMPUTED_VALUE"""),"-33.49102-71.00473")</f>
        <v>-33.49102-71.00473</v>
      </c>
      <c r="C2910" s="6" t="str">
        <f ca="1">IFERROR(__xludf.DUMMYFUNCTION("""COMPUTED_VALUE"""),"SANTA INES SITIO 37")</f>
        <v>SANTA INES SITIO 37</v>
      </c>
      <c r="D2910" s="6" t="str">
        <f ca="1">IFERROR(__xludf.DUMMYFUNCTION("""COMPUTED_VALUE"""),"CURACAVI")</f>
        <v>CURACAVI</v>
      </c>
    </row>
    <row r="2911" spans="1:4">
      <c r="A2911" s="7">
        <f ca="1">IFERROR(__xludf.DUMMYFUNCTION("""COMPUTED_VALUE"""),44266)</f>
        <v>44266</v>
      </c>
      <c r="B2911" s="6" t="str">
        <f ca="1">IFERROR(__xludf.DUMMYFUNCTION("""COMPUTED_VALUE"""),"-33.414760-71.141586")</f>
        <v>-33.414760-71.141586</v>
      </c>
      <c r="C2911" s="6" t="str">
        <f ca="1">IFERROR(__xludf.DUMMYFUNCTION("""COMPUTED_VALUE"""),"LO AGUILA PC A1C FUNDO LO AGUILA")</f>
        <v>LO AGUILA PC A1C FUNDO LO AGUILA</v>
      </c>
      <c r="D2911" s="6" t="str">
        <f ca="1">IFERROR(__xludf.DUMMYFUNCTION("""COMPUTED_VALUE"""),"CURACAVI")</f>
        <v>CURACAVI</v>
      </c>
    </row>
    <row r="2912" spans="1:4">
      <c r="A2912" s="7">
        <f ca="1">IFERROR(__xludf.DUMMYFUNCTION("""COMPUTED_VALUE"""),44266)</f>
        <v>44266</v>
      </c>
      <c r="B2912" s="6" t="str">
        <f ca="1">IFERROR(__xludf.DUMMYFUNCTION("""COMPUTED_VALUE"""),"-33.681810,-71.190594")</f>
        <v>-33.681810,-71.190594</v>
      </c>
      <c r="C2912" s="6" t="str">
        <f ca="1">IFERROR(__xludf.DUMMYFUNCTION("""COMPUTED_VALUE"""),"VICUÑA MACKENNA 892 ")</f>
        <v xml:space="preserve">VICUÑA MACKENNA 892 </v>
      </c>
      <c r="D2912" s="6" t="str">
        <f ca="1">IFERROR(__xludf.DUMMYFUNCTION("""COMPUTED_VALUE"""),"MELIPILLA")</f>
        <v>MELIPILLA</v>
      </c>
    </row>
    <row r="2913" spans="1:4">
      <c r="A2913" s="7">
        <f ca="1">IFERROR(__xludf.DUMMYFUNCTION("""COMPUTED_VALUE"""),44266)</f>
        <v>44266</v>
      </c>
      <c r="B2913" s="6" t="str">
        <f ca="1">IFERROR(__xludf.DUMMYFUNCTION("""COMPUTED_VALUE"""),"-33.584556,-70.987033")</f>
        <v>-33.584556,-70.987033</v>
      </c>
      <c r="C2913" s="6" t="str">
        <f ca="1">IFERROR(__xludf.DUMMYFUNCTION("""COMPUTED_VALUE"""),"SANTA  ELISA S/N P 01")</f>
        <v>SANTA  ELISA S/N P 01</v>
      </c>
      <c r="D2913" s="6" t="str">
        <f ca="1">IFERROR(__xludf.DUMMYFUNCTION("""COMPUTED_VALUE"""),"MELIPILLA")</f>
        <v>MELIPILLA</v>
      </c>
    </row>
    <row r="2914" spans="1:4">
      <c r="A2914" s="7">
        <f ca="1">IFERROR(__xludf.DUMMYFUNCTION("""COMPUTED_VALUE"""),44267)</f>
        <v>44267</v>
      </c>
      <c r="B2914" s="6" t="str">
        <f ca="1">IFERROR(__xludf.DUMMYFUNCTION("""COMPUTED_VALUE"""),"-33.393286-71.122692")</f>
        <v>-33.393286-71.122692</v>
      </c>
      <c r="C2914" s="6" t="str">
        <f ca="1">IFERROR(__xludf.DUMMYFUNCTION("""COMPUTED_VALUE"""),"SANTIAGO BUERAS 2180")</f>
        <v>SANTIAGO BUERAS 2180</v>
      </c>
      <c r="D2914" s="6" t="str">
        <f ca="1">IFERROR(__xludf.DUMMYFUNCTION("""COMPUTED_VALUE"""),"CURACAVI")</f>
        <v>CURACAVI</v>
      </c>
    </row>
    <row r="2915" spans="1:4">
      <c r="A2915" s="7">
        <f ca="1">IFERROR(__xludf.DUMMYFUNCTION("""COMPUTED_VALUE"""),44267)</f>
        <v>44267</v>
      </c>
      <c r="B2915" s="6" t="str">
        <f ca="1">IFERROR(__xludf.DUMMYFUNCTION("""COMPUTED_VALUE"""),"-33.460387-71.036548")</f>
        <v>-33.460387-71.036548</v>
      </c>
      <c r="C2915" s="6" t="str">
        <f ca="1">IFERROR(__xludf.DUMMYFUNCTION("""COMPUTED_VALUE"""),"SANTA TERESA 840")</f>
        <v>SANTA TERESA 840</v>
      </c>
      <c r="D2915" s="6" t="str">
        <f ca="1">IFERROR(__xludf.DUMMYFUNCTION("""COMPUTED_VALUE"""),"CURACAVI")</f>
        <v>CURACAVI</v>
      </c>
    </row>
    <row r="2916" spans="1:4">
      <c r="A2916" s="7">
        <f ca="1">IFERROR(__xludf.DUMMYFUNCTION("""COMPUTED_VALUE"""),44267)</f>
        <v>44267</v>
      </c>
      <c r="B2916" s="6" t="str">
        <f ca="1">IFERROR(__xludf.DUMMYFUNCTION("""COMPUTED_VALUE"""),"-33.398612-71.131828")</f>
        <v>-33.398612-71.131828</v>
      </c>
      <c r="C2916" s="6" t="str">
        <f ca="1">IFERROR(__xludf.DUMMYFUNCTION("""COMPUTED_VALUE"""),"FRANCISCO SAAVEDRA 1804")</f>
        <v>FRANCISCO SAAVEDRA 1804</v>
      </c>
      <c r="D2916" s="6" t="str">
        <f ca="1">IFERROR(__xludf.DUMMYFUNCTION("""COMPUTED_VALUE"""),"CURACAVI")</f>
        <v>CURACAVI</v>
      </c>
    </row>
    <row r="2917" spans="1:4">
      <c r="A2917" s="7">
        <f ca="1">IFERROR(__xludf.DUMMYFUNCTION("""COMPUTED_VALUE"""),44267)</f>
        <v>44267</v>
      </c>
      <c r="B2917" s="6" t="str">
        <f ca="1">IFERROR(__xludf.DUMMYFUNCTION("""COMPUTED_VALUE"""),"-33.39198-71.12575")</f>
        <v>-33.39198-71.12575</v>
      </c>
      <c r="C2917" s="6" t="str">
        <f ca="1">IFERROR(__xludf.DUMMYFUNCTION("""COMPUTED_VALUE"""),"CARRETERA PINTO 1192")</f>
        <v>CARRETERA PINTO 1192</v>
      </c>
      <c r="D2917" s="6" t="str">
        <f ca="1">IFERROR(__xludf.DUMMYFUNCTION("""COMPUTED_VALUE"""),"CURACAVI")</f>
        <v>CURACAVI</v>
      </c>
    </row>
    <row r="2918" spans="1:4">
      <c r="A2918" s="7">
        <f ca="1">IFERROR(__xludf.DUMMYFUNCTION("""COMPUTED_VALUE"""),44267)</f>
        <v>44267</v>
      </c>
      <c r="B2918" s="6" t="str">
        <f ca="1">IFERROR(__xludf.DUMMYFUNCTION("""COMPUTED_VALUE"""),"-33.45889-71.62791")</f>
        <v>-33.45889-71.62791</v>
      </c>
      <c r="C2918" s="6" t="str">
        <f ca="1">IFERROR(__xludf.DUMMYFUNCTION("""COMPUTED_VALUE"""),"CUESTA VIEJA S/N P 28")</f>
        <v>CUESTA VIEJA S/N P 28</v>
      </c>
      <c r="D2918" s="6" t="str">
        <f ca="1">IFERROR(__xludf.DUMMYFUNCTION("""COMPUTED_VALUE"""),"CURACAVI")</f>
        <v>CURACAVI</v>
      </c>
    </row>
    <row r="2919" spans="1:4">
      <c r="A2919" s="7">
        <f ca="1">IFERROR(__xludf.DUMMYFUNCTION("""COMPUTED_VALUE"""),44267)</f>
        <v>44267</v>
      </c>
      <c r="B2919" s="6" t="str">
        <f ca="1">IFERROR(__xludf.DUMMYFUNCTION("""COMPUTED_VALUE"""),"-33.272021-70.693543")</f>
        <v>-33.272021-70.693543</v>
      </c>
      <c r="C2919" s="6" t="str">
        <f ca="1">IFERROR(__xludf.DUMMYFUNCTION("""COMPUTED_VALUE"""),"SANTA LUISA PARCELA 8")</f>
        <v>SANTA LUISA PARCELA 8</v>
      </c>
      <c r="D2919" s="6" t="str">
        <f ca="1">IFERROR(__xludf.DUMMYFUNCTION("""COMPUTED_VALUE"""),"COLINA")</f>
        <v>COLINA</v>
      </c>
    </row>
    <row r="2920" spans="1:4">
      <c r="A2920" s="7">
        <f ca="1">IFERROR(__xludf.DUMMYFUNCTION("""COMPUTED_VALUE"""),44267)</f>
        <v>44267</v>
      </c>
      <c r="B2920" s="6" t="str">
        <f ca="1">IFERROR(__xludf.DUMMYFUNCTION("""COMPUTED_VALUE"""),"-33.272021-70.693543")</f>
        <v>-33.272021-70.693543</v>
      </c>
      <c r="C2920" s="6" t="str">
        <f ca="1">IFERROR(__xludf.DUMMYFUNCTION("""COMPUTED_VALUE"""),"SANTA LUISA PARCELA 8")</f>
        <v>SANTA LUISA PARCELA 8</v>
      </c>
      <c r="D2920" s="6" t="str">
        <f ca="1">IFERROR(__xludf.DUMMYFUNCTION("""COMPUTED_VALUE"""),"COLINA")</f>
        <v>COLINA</v>
      </c>
    </row>
    <row r="2921" spans="1:4">
      <c r="A2921" s="7">
        <f ca="1">IFERROR(__xludf.DUMMYFUNCTION("""COMPUTED_VALUE"""),44267)</f>
        <v>44267</v>
      </c>
      <c r="B2921" s="6" t="str">
        <f ca="1">IFERROR(__xludf.DUMMYFUNCTION("""COMPUTED_VALUE"""),"-33.646917,-71.152417")</f>
        <v>-33.646917,-71.152417</v>
      </c>
      <c r="C2921" s="6" t="str">
        <f ca="1">IFERROR(__xludf.DUMMYFUNCTION("""COMPUTED_VALUE"""),"GENERAL  BAQUEDANO 448")</f>
        <v>GENERAL  BAQUEDANO 448</v>
      </c>
      <c r="D2921" s="6" t="str">
        <f ca="1">IFERROR(__xludf.DUMMYFUNCTION("""COMPUTED_VALUE"""),"MELIPILLA")</f>
        <v>MELIPILLA</v>
      </c>
    </row>
    <row r="2922" spans="1:4">
      <c r="A2922" s="7">
        <f ca="1">IFERROR(__xludf.DUMMYFUNCTION("""COMPUTED_VALUE"""),44267)</f>
        <v>44267</v>
      </c>
      <c r="B2922" s="6" t="str">
        <f ca="1">IFERROR(__xludf.DUMMYFUNCTION("""COMPUTED_VALUE"""),"-33.647389,-71.151805")</f>
        <v>-33.647389,-71.151805</v>
      </c>
      <c r="C2922" s="6" t="str">
        <f ca="1">IFERROR(__xludf.DUMMYFUNCTION("""COMPUTED_VALUE"""),"GENERAL  BAQUEDANO 420")</f>
        <v>GENERAL  BAQUEDANO 420</v>
      </c>
      <c r="D2922" s="6" t="str">
        <f ca="1">IFERROR(__xludf.DUMMYFUNCTION("""COMPUTED_VALUE"""),"MELIPILLA")</f>
        <v>MELIPILLA</v>
      </c>
    </row>
    <row r="2923" spans="1:4">
      <c r="A2923" s="7">
        <f ca="1">IFERROR(__xludf.DUMMYFUNCTION("""COMPUTED_VALUE"""),44267)</f>
        <v>44267</v>
      </c>
      <c r="B2923" s="6" t="str">
        <f ca="1">IFERROR(__xludf.DUMMYFUNCTION("""COMPUTED_VALUE"""),"-33.647283,-71.148729")</f>
        <v>-33.647283,-71.148729</v>
      </c>
      <c r="C2923" s="6" t="str">
        <f ca="1">IFERROR(__xludf.DUMMYFUNCTION("""COMPUTED_VALUE"""),"GENERAL BAQUEDANO 207")</f>
        <v>GENERAL BAQUEDANO 207</v>
      </c>
      <c r="D2923" s="6" t="str">
        <f ca="1">IFERROR(__xludf.DUMMYFUNCTION("""COMPUTED_VALUE"""),"MELIPILLA")</f>
        <v>MELIPILLA</v>
      </c>
    </row>
    <row r="2924" spans="1:4">
      <c r="A2924" s="7">
        <f ca="1">IFERROR(__xludf.DUMMYFUNCTION("""COMPUTED_VALUE"""),44268)</f>
        <v>44268</v>
      </c>
      <c r="B2924" s="6" t="str">
        <f ca="1">IFERROR(__xludf.DUMMYFUNCTION("""COMPUTED_VALUE"""),"-33.390997-71.126700")</f>
        <v>-33.390997-71.126700</v>
      </c>
      <c r="C2924" s="6" t="str">
        <f ca="1">IFERROR(__xludf.DUMMYFUNCTION("""COMPUTED_VALUE"""),"ENRIQUE VELIZ 1132")</f>
        <v>ENRIQUE VELIZ 1132</v>
      </c>
      <c r="D2924" s="6" t="str">
        <f ca="1">IFERROR(__xludf.DUMMYFUNCTION("""COMPUTED_VALUE"""),"CURACAVI")</f>
        <v>CURACAVI</v>
      </c>
    </row>
    <row r="2925" spans="1:4">
      <c r="A2925" s="7">
        <f ca="1">IFERROR(__xludf.DUMMYFUNCTION("""COMPUTED_VALUE"""),44268)</f>
        <v>44268</v>
      </c>
      <c r="B2925" s="6" t="str">
        <f ca="1">IFERROR(__xludf.DUMMYFUNCTION("""COMPUTED_VALUE"""),"-33.29181-70.87165")</f>
        <v>-33.29181-70.87165</v>
      </c>
      <c r="C2925" s="6" t="str">
        <f ca="1">IFERROR(__xludf.DUMMYFUNCTION("""COMPUTED_VALUE"""),"LA FRONTERA 2072")</f>
        <v>LA FRONTERA 2072</v>
      </c>
      <c r="D2925" s="6" t="str">
        <f ca="1">IFERROR(__xludf.DUMMYFUNCTION("""COMPUTED_VALUE"""),"LAMPA")</f>
        <v>LAMPA</v>
      </c>
    </row>
    <row r="2926" spans="1:4">
      <c r="A2926" s="7">
        <f ca="1">IFERROR(__xludf.DUMMYFUNCTION("""COMPUTED_VALUE"""),44268)</f>
        <v>44268</v>
      </c>
      <c r="B2926" s="6" t="str">
        <f ca="1">IFERROR(__xludf.DUMMYFUNCTION("""COMPUTED_VALUE"""),"-33.29153-70.87169")</f>
        <v>-33.29153-70.87169</v>
      </c>
      <c r="C2926" s="6" t="str">
        <f ca="1">IFERROR(__xludf.DUMMYFUNCTION("""COMPUTED_VALUE"""),"LA FRONTERA 2054")</f>
        <v>LA FRONTERA 2054</v>
      </c>
      <c r="D2926" s="6" t="str">
        <f ca="1">IFERROR(__xludf.DUMMYFUNCTION("""COMPUTED_VALUE"""),"LAMPA")</f>
        <v>LAMPA</v>
      </c>
    </row>
    <row r="2927" spans="1:4">
      <c r="A2927" s="7">
        <f ca="1">IFERROR(__xludf.DUMMYFUNCTION("""COMPUTED_VALUE"""),44268)</f>
        <v>44268</v>
      </c>
      <c r="B2927" s="6" t="str">
        <f ca="1">IFERROR(__xludf.DUMMYFUNCTION("""COMPUTED_VALUE"""),"-33.29168-70.87172")</f>
        <v>-33.29168-70.87172</v>
      </c>
      <c r="C2927" s="6" t="str">
        <f ca="1">IFERROR(__xludf.DUMMYFUNCTION("""COMPUTED_VALUE"""),"LA FRONTERA 2066")</f>
        <v>LA FRONTERA 2066</v>
      </c>
      <c r="D2927" s="6" t="str">
        <f ca="1">IFERROR(__xludf.DUMMYFUNCTION("""COMPUTED_VALUE"""),"LAMPA")</f>
        <v>LAMPA</v>
      </c>
    </row>
    <row r="2928" spans="1:4">
      <c r="A2928" s="7">
        <f ca="1">IFERROR(__xludf.DUMMYFUNCTION("""COMPUTED_VALUE"""),44268)</f>
        <v>44268</v>
      </c>
      <c r="B2928" s="6" t="str">
        <f ca="1">IFERROR(__xludf.DUMMYFUNCTION("""COMPUTED_VALUE"""),"-33.16535-70.4515")</f>
        <v>-33.16535-70.4515</v>
      </c>
      <c r="C2928" s="6" t="str">
        <f ca="1">IFERROR(__xludf.DUMMYFUNCTION("""COMPUTED_VALUE"""),"ESPERANZA 184")</f>
        <v>ESPERANZA 184</v>
      </c>
      <c r="D2928" s="6" t="str">
        <f ca="1">IFERROR(__xludf.DUMMYFUNCTION("""COMPUTED_VALUE"""),"LAMPA")</f>
        <v>LAMPA</v>
      </c>
    </row>
    <row r="2929" spans="1:4">
      <c r="A2929" s="7">
        <f ca="1">IFERROR(__xludf.DUMMYFUNCTION("""COMPUTED_VALUE"""),44268)</f>
        <v>44268</v>
      </c>
      <c r="B2929" s="6" t="str">
        <f ca="1">IFERROR(__xludf.DUMMYFUNCTION("""COMPUTED_VALUE"""),"-33.16535-70.4515")</f>
        <v>-33.16535-70.4515</v>
      </c>
      <c r="C2929" s="6" t="str">
        <f ca="1">IFERROR(__xludf.DUMMYFUNCTION("""COMPUTED_VALUE"""),"ESPERANZA 184")</f>
        <v>ESPERANZA 184</v>
      </c>
      <c r="D2929" s="6" t="str">
        <f ca="1">IFERROR(__xludf.DUMMYFUNCTION("""COMPUTED_VALUE"""),"LAMPA")</f>
        <v>LAMPA</v>
      </c>
    </row>
    <row r="2930" spans="1:4">
      <c r="A2930" s="7">
        <f ca="1">IFERROR(__xludf.DUMMYFUNCTION("""COMPUTED_VALUE"""),44268)</f>
        <v>44268</v>
      </c>
      <c r="B2930" s="6" t="str">
        <f ca="1">IFERROR(__xludf.DUMMYFUNCTION("""COMPUTED_VALUE"""),"-33.1433302-70.4622652")</f>
        <v>-33.1433302-70.4622652</v>
      </c>
      <c r="C2930" s="6" t="str">
        <f ca="1">IFERROR(__xludf.DUMMYFUNCTION("""COMPUTED_VALUE"""),"CAMINO INTERIOR S/N PARCELA 2 SITIO 5")</f>
        <v>CAMINO INTERIOR S/N PARCELA 2 SITIO 5</v>
      </c>
      <c r="D2930" s="6" t="str">
        <f ca="1">IFERROR(__xludf.DUMMYFUNCTION("""COMPUTED_VALUE"""),"LAMPA")</f>
        <v>LAMPA</v>
      </c>
    </row>
    <row r="2931" spans="1:4">
      <c r="A2931" s="7">
        <f ca="1">IFERROR(__xludf.DUMMYFUNCTION("""COMPUTED_VALUE"""),44268)</f>
        <v>44268</v>
      </c>
      <c r="B2931" s="6" t="str">
        <f ca="1">IFERROR(__xludf.DUMMYFUNCTION("""COMPUTED_VALUE"""),"-33.406471-71.136205")</f>
        <v>-33.406471-71.136205</v>
      </c>
      <c r="C2931" s="6" t="str">
        <f ca="1">IFERROR(__xludf.DUMMYFUNCTION("""COMPUTED_VALUE"""),"DIEGO DE PRADO 1323")</f>
        <v>DIEGO DE PRADO 1323</v>
      </c>
      <c r="D2931" s="6" t="str">
        <f ca="1">IFERROR(__xludf.DUMMYFUNCTION("""COMPUTED_VALUE"""),"CURACAVI")</f>
        <v>CURACAVI</v>
      </c>
    </row>
    <row r="2932" spans="1:4">
      <c r="A2932" s="7">
        <f ca="1">IFERROR(__xludf.DUMMYFUNCTION("""COMPUTED_VALUE"""),44270)</f>
        <v>44270</v>
      </c>
      <c r="B2932" s="8" t="str">
        <f ca="1">IFERROR(__xludf.DUMMYFUNCTION("""COMPUTED_VALUE"""),"-33.575870-71.016510")</f>
        <v>-33.575870-71.016510</v>
      </c>
      <c r="C2932" s="6" t="str">
        <f ca="1">IFERROR(__xludf.DUMMYFUNCTION("""COMPUTED_VALUE"""),"STA TERESA CJ PATRIA VIEJA ")</f>
        <v xml:space="preserve">STA TERESA CJ PATRIA VIEJA </v>
      </c>
      <c r="D2932" s="6" t="str">
        <f ca="1">IFERROR(__xludf.DUMMYFUNCTION("""COMPUTED_VALUE"""),"MELIPILLA")</f>
        <v>MELIPILLA</v>
      </c>
    </row>
    <row r="2933" spans="1:4">
      <c r="A2933" s="7">
        <f ca="1">IFERROR(__xludf.DUMMYFUNCTION("""COMPUTED_VALUE"""),44270)</f>
        <v>44270</v>
      </c>
      <c r="B2933" s="8" t="str">
        <f ca="1">IFERROR(__xludf.DUMMYFUNCTION("""COMPUTED_VALUE"""),"-33.571349-71.207672")</f>
        <v>-33.571349-71.207672</v>
      </c>
      <c r="C2933" s="6" t="str">
        <f ca="1">IFERROR(__xludf.DUMMYFUNCTION("""COMPUTED_VALUE"""),"ANGOL 180")</f>
        <v>ANGOL 180</v>
      </c>
      <c r="D2933" s="6" t="str">
        <f ca="1">IFERROR(__xludf.DUMMYFUNCTION("""COMPUTED_VALUE"""),"MELIPILLA")</f>
        <v>MELIPILLA</v>
      </c>
    </row>
    <row r="2934" spans="1:4">
      <c r="A2934" s="7">
        <f ca="1">IFERROR(__xludf.DUMMYFUNCTION("""COMPUTED_VALUE"""),44270)</f>
        <v>44270</v>
      </c>
      <c r="B2934" s="8" t="str">
        <f ca="1">IFERROR(__xludf.DUMMYFUNCTION("""COMPUTED_VALUE"""),"-33.5931528-71.9796881")</f>
        <v>-33.5931528-71.9796881</v>
      </c>
      <c r="C2934" s="6" t="str">
        <f ca="1">IFERROR(__xludf.DUMMYFUNCTION("""COMPUTED_VALUE"""),"POB. LA PRIMAVERA STA ELISA")</f>
        <v>POB. LA PRIMAVERA STA ELISA</v>
      </c>
      <c r="D2934" s="6" t="str">
        <f ca="1">IFERROR(__xludf.DUMMYFUNCTION("""COMPUTED_VALUE"""),"MELIPILLA")</f>
        <v>MELIPILLA</v>
      </c>
    </row>
    <row r="2935" spans="1:4">
      <c r="A2935" s="7">
        <f ca="1">IFERROR(__xludf.DUMMYFUNCTION("""COMPUTED_VALUE"""),44270)</f>
        <v>44270</v>
      </c>
      <c r="B2935" s="8" t="str">
        <f ca="1">IFERROR(__xludf.DUMMYFUNCTION("""COMPUTED_VALUE"""),"-33.679341-71.192418")</f>
        <v>-33.679341-71.192418</v>
      </c>
      <c r="C2935" s="6" t="str">
        <f ca="1">IFERROR(__xludf.DUMMYFUNCTION("""COMPUTED_VALUE"""),"CANCHA RAYADA 58")</f>
        <v>CANCHA RAYADA 58</v>
      </c>
      <c r="D2935" s="6" t="str">
        <f ca="1">IFERROR(__xludf.DUMMYFUNCTION("""COMPUTED_VALUE"""),"MELIPILLA")</f>
        <v>MELIPILLA</v>
      </c>
    </row>
    <row r="2936" spans="1:4">
      <c r="A2936" s="7">
        <f ca="1">IFERROR(__xludf.DUMMYFUNCTION("""COMPUTED_VALUE"""),44270)</f>
        <v>44270</v>
      </c>
      <c r="B2936" s="8" t="str">
        <f ca="1">IFERROR(__xludf.DUMMYFUNCTION("""COMPUTED_VALUE"""),"-33.679341-71.192418")</f>
        <v>-33.679341-71.192418</v>
      </c>
      <c r="C2936" s="6" t="str">
        <f ca="1">IFERROR(__xludf.DUMMYFUNCTION("""COMPUTED_VALUE"""),"CANCHA RAYADA 58")</f>
        <v>CANCHA RAYADA 58</v>
      </c>
      <c r="D2936" s="6" t="str">
        <f ca="1">IFERROR(__xludf.DUMMYFUNCTION("""COMPUTED_VALUE"""),"MELIPILLA")</f>
        <v>MELIPILLA</v>
      </c>
    </row>
    <row r="2937" spans="1:4">
      <c r="A2937" s="7">
        <f ca="1">IFERROR(__xludf.DUMMYFUNCTION("""COMPUTED_VALUE"""),44270)</f>
        <v>44270</v>
      </c>
      <c r="B2937" s="8" t="str">
        <f ca="1">IFERROR(__xludf.DUMMYFUNCTION("""COMPUTED_VALUE"""),"-33.512283-71.207647")</f>
        <v>-33.512283-71.207647</v>
      </c>
      <c r="C2937" s="6" t="str">
        <f ca="1">IFERROR(__xludf.DUMMYFUNCTION("""COMPUTED_VALUE"""),"SECTOR EL AMIGO S/N")</f>
        <v>SECTOR EL AMIGO S/N</v>
      </c>
      <c r="D2937" s="6" t="str">
        <f ca="1">IFERROR(__xludf.DUMMYFUNCTION("""COMPUTED_VALUE"""),"MELIPILLA")</f>
        <v>MELIPILLA</v>
      </c>
    </row>
    <row r="2938" spans="1:4">
      <c r="A2938" s="7">
        <f ca="1">IFERROR(__xludf.DUMMYFUNCTION("""COMPUTED_VALUE"""),44270)</f>
        <v>44270</v>
      </c>
      <c r="B2938" s="8" t="str">
        <f ca="1">IFERROR(__xludf.DUMMYFUNCTION("""COMPUTED_VALUE"""),"-33.5712553-71.0982766")</f>
        <v>-33.5712553-71.0982766</v>
      </c>
      <c r="C2938" s="6" t="str">
        <f ca="1">IFERROR(__xludf.DUMMYFUNCTION("""COMPUTED_VALUE"""),"CAMINO MALLARAUCO PARC 2")</f>
        <v>CAMINO MALLARAUCO PARC 2</v>
      </c>
      <c r="D2938" s="6" t="str">
        <f ca="1">IFERROR(__xludf.DUMMYFUNCTION("""COMPUTED_VALUE"""),"MELIPILLA")</f>
        <v>MELIPILLA</v>
      </c>
    </row>
    <row r="2939" spans="1:4">
      <c r="A2939" s="7">
        <f ca="1">IFERROR(__xludf.DUMMYFUNCTION("""COMPUTED_VALUE"""),44270)</f>
        <v>44270</v>
      </c>
      <c r="B2939" s="6" t="str">
        <f ca="1">IFERROR(__xludf.DUMMYFUNCTION("""COMPUTED_VALUE"""),"-33.407653-71.137600")</f>
        <v>-33.407653-71.137600</v>
      </c>
      <c r="C2939" s="6" t="str">
        <f ca="1">IFERROR(__xludf.DUMMYFUNCTION("""COMPUTED_VALUE"""),"PJE PASTOR FABIAN FARIAS 282")</f>
        <v>PJE PASTOR FABIAN FARIAS 282</v>
      </c>
      <c r="D2939" s="6" t="str">
        <f ca="1">IFERROR(__xludf.DUMMYFUNCTION("""COMPUTED_VALUE"""),"CURACAVI")</f>
        <v>CURACAVI</v>
      </c>
    </row>
    <row r="2940" spans="1:4">
      <c r="A2940" s="7">
        <f ca="1">IFERROR(__xludf.DUMMYFUNCTION("""COMPUTED_VALUE"""),44270)</f>
        <v>44270</v>
      </c>
      <c r="B2940" s="6" t="str">
        <f ca="1">IFERROR(__xludf.DUMMYFUNCTION("""COMPUTED_VALUE"""),"-33.4074594-71.147828")</f>
        <v>-33.4074594-71.147828</v>
      </c>
      <c r="C2940" s="6" t="str">
        <f ca="1">IFERROR(__xludf.DUMMYFUNCTION("""COMPUTED_VALUE"""),"PJE MANANTIALES 375")</f>
        <v>PJE MANANTIALES 375</v>
      </c>
      <c r="D2940" s="6" t="str">
        <f ca="1">IFERROR(__xludf.DUMMYFUNCTION("""COMPUTED_VALUE"""),"CURACAVI")</f>
        <v>CURACAVI</v>
      </c>
    </row>
    <row r="2941" spans="1:4">
      <c r="A2941" s="7">
        <f ca="1">IFERROR(__xludf.DUMMYFUNCTION("""COMPUTED_VALUE"""),44270)</f>
        <v>44270</v>
      </c>
      <c r="B2941" s="6" t="str">
        <f ca="1">IFERROR(__xludf.DUMMYFUNCTION("""COMPUTED_VALUE"""),"-33.423364-71.044026")</f>
        <v>-33.423364-71.044026</v>
      </c>
      <c r="C2941" s="6" t="str">
        <f ca="1">IFERROR(__xludf.DUMMYFUNCTION("""COMPUTED_VALUE"""),"UNION CHILENA 18 SITIO CAMINO EL MOLINO LOTE E")</f>
        <v>UNION CHILENA 18 SITIO CAMINO EL MOLINO LOTE E</v>
      </c>
      <c r="D2941" s="6" t="str">
        <f ca="1">IFERROR(__xludf.DUMMYFUNCTION("""COMPUTED_VALUE"""),"CURACAVI")</f>
        <v>CURACAVI</v>
      </c>
    </row>
    <row r="2942" spans="1:4">
      <c r="A2942" s="7">
        <f ca="1">IFERROR(__xludf.DUMMYFUNCTION("""COMPUTED_VALUE"""),44270)</f>
        <v>44270</v>
      </c>
      <c r="B2942" s="6" t="str">
        <f ca="1">IFERROR(__xludf.DUMMYFUNCTION("""COMPUTED_VALUE"""),"-33.073430,-70.717790")</f>
        <v>-33.073430,-70.717790</v>
      </c>
      <c r="C2942" s="6" t="str">
        <f ca="1">IFERROR(__xludf.DUMMYFUNCTION("""COMPUTED_VALUE"""),"EL COLORADO 8 B")</f>
        <v>EL COLORADO 8 B</v>
      </c>
      <c r="D2942" s="6" t="str">
        <f ca="1">IFERROR(__xludf.DUMMYFUNCTION("""COMPUTED_VALUE"""),"COLINA")</f>
        <v>COLINA</v>
      </c>
    </row>
    <row r="2943" spans="1:4">
      <c r="A2943" s="7">
        <f ca="1">IFERROR(__xludf.DUMMYFUNCTION("""COMPUTED_VALUE"""),44271)</f>
        <v>44271</v>
      </c>
      <c r="B2943" s="8" t="str">
        <f ca="1">IFERROR(__xludf.DUMMYFUNCTION("""COMPUTED_VALUE"""),"-33.573306-71.186160")</f>
        <v>-33.573306-71.186160</v>
      </c>
      <c r="C2943" s="6" t="str">
        <f ca="1">IFERROR(__xludf.DUMMYFUNCTION("""COMPUTED_VALUE"""),"LAS ROSAS 62")</f>
        <v>LAS ROSAS 62</v>
      </c>
      <c r="D2943" s="6" t="str">
        <f ca="1">IFERROR(__xludf.DUMMYFUNCTION("""COMPUTED_VALUE"""),"MELIPILLA")</f>
        <v>MELIPILLA</v>
      </c>
    </row>
    <row r="2944" spans="1:4">
      <c r="A2944" s="7">
        <f ca="1">IFERROR(__xludf.DUMMYFUNCTION("""COMPUTED_VALUE"""),44271)</f>
        <v>44271</v>
      </c>
      <c r="B2944" s="8" t="str">
        <f ca="1">IFERROR(__xludf.DUMMYFUNCTION("""COMPUTED_VALUE"""),"-33.6107745,-71.1111365")</f>
        <v>-33.6107745,-71.1111365</v>
      </c>
      <c r="C2944" s="6" t="str">
        <f ca="1">IFERROR(__xludf.DUMMYFUNCTION("""COMPUTED_VALUE"""),"HERMANOS CARRERAS S/N 3 CALLEJON")</f>
        <v>HERMANOS CARRERAS S/N 3 CALLEJON</v>
      </c>
      <c r="D2944" s="6" t="str">
        <f ca="1">IFERROR(__xludf.DUMMYFUNCTION("""COMPUTED_VALUE"""),"MELIPILLA")</f>
        <v>MELIPILLA</v>
      </c>
    </row>
    <row r="2945" spans="1:4">
      <c r="A2945" s="7">
        <f ca="1">IFERROR(__xludf.DUMMYFUNCTION("""COMPUTED_VALUE"""),44271)</f>
        <v>44271</v>
      </c>
      <c r="B2945" s="8" t="str">
        <f ca="1">IFERROR(__xludf.DUMMYFUNCTION("""COMPUTED_VALUE"""),"-33.666543,-71.240767")</f>
        <v>-33.666543,-71.240767</v>
      </c>
      <c r="C2945" s="6" t="str">
        <f ca="1">IFERROR(__xludf.DUMMYFUNCTION("""COMPUTED_VALUE"""),"LOS JAZMINES LOTE 3")</f>
        <v>LOS JAZMINES LOTE 3</v>
      </c>
      <c r="D2945" s="6" t="str">
        <f ca="1">IFERROR(__xludf.DUMMYFUNCTION("""COMPUTED_VALUE"""),"MELIPILLA")</f>
        <v>MELIPILLA</v>
      </c>
    </row>
    <row r="2946" spans="1:4">
      <c r="A2946" s="7">
        <f ca="1">IFERROR(__xludf.DUMMYFUNCTION("""COMPUTED_VALUE"""),44271)</f>
        <v>44271</v>
      </c>
      <c r="B2946" s="8" t="str">
        <f ca="1">IFERROR(__xludf.DUMMYFUNCTION("""COMPUTED_VALUE"""),"-33.666543,-71.240767")</f>
        <v>-33.666543,-71.240767</v>
      </c>
      <c r="C2946" s="6" t="str">
        <f ca="1">IFERROR(__xludf.DUMMYFUNCTION("""COMPUTED_VALUE"""),"LOS JAZMINES LOTE 3")</f>
        <v>LOS JAZMINES LOTE 3</v>
      </c>
      <c r="D2946" s="6" t="str">
        <f ca="1">IFERROR(__xludf.DUMMYFUNCTION("""COMPUTED_VALUE"""),"MELIPILLA")</f>
        <v>MELIPILLA</v>
      </c>
    </row>
    <row r="2947" spans="1:4">
      <c r="A2947" s="7">
        <f ca="1">IFERROR(__xludf.DUMMYFUNCTION("""COMPUTED_VALUE"""),44271)</f>
        <v>44271</v>
      </c>
      <c r="B2947" s="8" t="str">
        <f ca="1">IFERROR(__xludf.DUMMYFUNCTION("""COMPUTED_VALUE"""),"-33.663642,-71.839160")</f>
        <v>-33.663642,-71.839160</v>
      </c>
      <c r="C2947" s="6" t="str">
        <f ca="1">IFERROR(__xludf.DUMMYFUNCTION("""COMPUTED_VALUE"""),"CAMINO LONQUEN 6200")</f>
        <v>CAMINO LONQUEN 6200</v>
      </c>
      <c r="D2947" s="6" t="str">
        <f ca="1">IFERROR(__xludf.DUMMYFUNCTION("""COMPUTED_VALUE"""),"TALAGANTE")</f>
        <v>TALAGANTE</v>
      </c>
    </row>
    <row r="2948" spans="1:4">
      <c r="A2948" s="7">
        <f ca="1">IFERROR(__xludf.DUMMYFUNCTION("""COMPUTED_VALUE"""),44271)</f>
        <v>44271</v>
      </c>
      <c r="B2948" s="8" t="str">
        <f ca="1">IFERROR(__xludf.DUMMYFUNCTION("""COMPUTED_VALUE"""),"-33.663642,-71.839160")</f>
        <v>-33.663642,-71.839160</v>
      </c>
      <c r="C2948" s="6" t="str">
        <f ca="1">IFERROR(__xludf.DUMMYFUNCTION("""COMPUTED_VALUE"""),"CAMINO LONQUEN 6200")</f>
        <v>CAMINO LONQUEN 6200</v>
      </c>
      <c r="D2948" s="6" t="str">
        <f ca="1">IFERROR(__xludf.DUMMYFUNCTION("""COMPUTED_VALUE"""),"TALAGANTE")</f>
        <v>TALAGANTE</v>
      </c>
    </row>
    <row r="2949" spans="1:4">
      <c r="A2949" s="7">
        <f ca="1">IFERROR(__xludf.DUMMYFUNCTION("""COMPUTED_VALUE"""),44271)</f>
        <v>44271</v>
      </c>
      <c r="B2949" s="6" t="str">
        <f ca="1">IFERROR(__xludf.DUMMYFUNCTION("""COMPUTED_VALUE"""),"-33.447602-71.038058")</f>
        <v>-33.447602-71.038058</v>
      </c>
      <c r="C2949" s="6" t="str">
        <f ca="1">IFERROR(__xludf.DUMMYFUNCTION("""COMPUTED_VALUE"""),"EL MOLINO S/N PARCELA 18")</f>
        <v>EL MOLINO S/N PARCELA 18</v>
      </c>
      <c r="D2949" s="6" t="str">
        <f ca="1">IFERROR(__xludf.DUMMYFUNCTION("""COMPUTED_VALUE"""),"CURACAVI")</f>
        <v>CURACAVI</v>
      </c>
    </row>
    <row r="2950" spans="1:4">
      <c r="A2950" s="7">
        <f ca="1">IFERROR(__xludf.DUMMYFUNCTION("""COMPUTED_VALUE"""),44271)</f>
        <v>44271</v>
      </c>
      <c r="B2950" s="6" t="str">
        <f ca="1">IFERROR(__xludf.DUMMYFUNCTION("""COMPUTED_VALUE"""),"-33.392499-71.127431")</f>
        <v>-33.392499-71.127431</v>
      </c>
      <c r="C2950" s="6" t="str">
        <f ca="1">IFERROR(__xludf.DUMMYFUNCTION("""COMPUTED_VALUE"""),"5 NORTE 2027")</f>
        <v>5 NORTE 2027</v>
      </c>
      <c r="D2950" s="6" t="str">
        <f ca="1">IFERROR(__xludf.DUMMYFUNCTION("""COMPUTED_VALUE"""),"CURACAVI")</f>
        <v>CURACAVI</v>
      </c>
    </row>
    <row r="2951" spans="1:4">
      <c r="A2951" s="7">
        <f ca="1">IFERROR(__xludf.DUMMYFUNCTION("""COMPUTED_VALUE"""),44271)</f>
        <v>44271</v>
      </c>
      <c r="B2951" s="6" t="str">
        <f ca="1">IFERROR(__xludf.DUMMYFUNCTION("""COMPUTED_VALUE"""),"-33.407495-71.137630")</f>
        <v>-33.407495-71.137630</v>
      </c>
      <c r="C2951" s="6" t="str">
        <f ca="1">IFERROR(__xludf.DUMMYFUNCTION("""COMPUTED_VALUE"""),"PJE PASTOR FABIAN FARIAS 260")</f>
        <v>PJE PASTOR FABIAN FARIAS 260</v>
      </c>
      <c r="D2951" s="6" t="str">
        <f ca="1">IFERROR(__xludf.DUMMYFUNCTION("""COMPUTED_VALUE"""),"CURACAVI")</f>
        <v>CURACAVI</v>
      </c>
    </row>
    <row r="2952" spans="1:4">
      <c r="A2952" s="7">
        <f ca="1">IFERROR(__xludf.DUMMYFUNCTION("""COMPUTED_VALUE"""),44271)</f>
        <v>44271</v>
      </c>
      <c r="B2952" s="6" t="str">
        <f ca="1">IFERROR(__xludf.DUMMYFUNCTION("""COMPUTED_VALUE"""),"-33.50439-70.99416")</f>
        <v>-33.50439-70.99416</v>
      </c>
      <c r="C2952" s="6" t="str">
        <f ca="1">IFERROR(__xludf.DUMMYFUNCTION("""COMPUTED_VALUE"""),"PATAGUILLA S/N")</f>
        <v>PATAGUILLA S/N</v>
      </c>
      <c r="D2952" s="6" t="str">
        <f ca="1">IFERROR(__xludf.DUMMYFUNCTION("""COMPUTED_VALUE"""),"CURACAVI")</f>
        <v>CURACAVI</v>
      </c>
    </row>
    <row r="2953" spans="1:4">
      <c r="A2953" s="7">
        <f ca="1">IFERROR(__xludf.DUMMYFUNCTION("""COMPUTED_VALUE"""),44271)</f>
        <v>44271</v>
      </c>
      <c r="B2953" s="6" t="str">
        <f ca="1">IFERROR(__xludf.DUMMYFUNCTION("""COMPUTED_VALUE"""),"-33.50457-70.99379")</f>
        <v>-33.50457-70.99379</v>
      </c>
      <c r="C2953" s="6" t="str">
        <f ca="1">IFERROR(__xludf.DUMMYFUNCTION("""COMPUTED_VALUE"""),"PATAGUILLA S/N")</f>
        <v>PATAGUILLA S/N</v>
      </c>
      <c r="D2953" s="6" t="str">
        <f ca="1">IFERROR(__xludf.DUMMYFUNCTION("""COMPUTED_VALUE"""),"CURACAVI")</f>
        <v>CURACAVI</v>
      </c>
    </row>
    <row r="2954" spans="1:4">
      <c r="A2954" s="7">
        <f ca="1">IFERROR(__xludf.DUMMYFUNCTION("""COMPUTED_VALUE"""),44271)</f>
        <v>44271</v>
      </c>
      <c r="B2954" s="6" t="str">
        <f ca="1">IFERROR(__xludf.DUMMYFUNCTION("""COMPUTED_VALUE"""),"-33.50457-70.99321")</f>
        <v>-33.50457-70.99321</v>
      </c>
      <c r="C2954" s="6" t="str">
        <f ca="1">IFERROR(__xludf.DUMMYFUNCTION("""COMPUTED_VALUE"""),"PATAGUILLA S/N LOTE 3")</f>
        <v>PATAGUILLA S/N LOTE 3</v>
      </c>
      <c r="D2954" s="6" t="str">
        <f ca="1">IFERROR(__xludf.DUMMYFUNCTION("""COMPUTED_VALUE"""),"CURACAVI")</f>
        <v>CURACAVI</v>
      </c>
    </row>
    <row r="2955" spans="1:4">
      <c r="A2955" s="7">
        <f ca="1">IFERROR(__xludf.DUMMYFUNCTION("""COMPUTED_VALUE"""),44271)</f>
        <v>44271</v>
      </c>
      <c r="B2955" s="6" t="str">
        <f ca="1">IFERROR(__xludf.DUMMYFUNCTION("""COMPUTED_VALUE"""),"-33.514666-71.1219588")</f>
        <v>-33.514666-71.1219588</v>
      </c>
      <c r="C2955" s="6" t="str">
        <f ca="1">IFERROR(__xludf.DUMMYFUNCTION("""COMPUTED_VALUE"""),"PUANGUE 301")</f>
        <v>PUANGUE 301</v>
      </c>
      <c r="D2955" s="6" t="str">
        <f ca="1">IFERROR(__xludf.DUMMYFUNCTION("""COMPUTED_VALUE"""),"MARIA PINTO")</f>
        <v>MARIA PINTO</v>
      </c>
    </row>
    <row r="2956" spans="1:4">
      <c r="A2956" s="7">
        <f ca="1">IFERROR(__xludf.DUMMYFUNCTION("""COMPUTED_VALUE"""),44271)</f>
        <v>44271</v>
      </c>
      <c r="B2956" s="6" t="str">
        <f ca="1">IFERROR(__xludf.DUMMYFUNCTION("""COMPUTED_VALUE"""),"-33.4408551-71.0191327")</f>
        <v>-33.4408551-71.0191327</v>
      </c>
      <c r="C2956" s="6" t="str">
        <f ca="1">IFERROR(__xludf.DUMMYFUNCTION("""COMPUTED_VALUE"""),"SANTA ELVIRA 3129")</f>
        <v>SANTA ELVIRA 3129</v>
      </c>
      <c r="D2956" s="6" t="str">
        <f ca="1">IFERROR(__xludf.DUMMYFUNCTION("""COMPUTED_VALUE"""),"CURACAVI")</f>
        <v>CURACAVI</v>
      </c>
    </row>
    <row r="2957" spans="1:4">
      <c r="A2957" s="7">
        <f ca="1">IFERROR(__xludf.DUMMYFUNCTION("""COMPUTED_VALUE"""),44271)</f>
        <v>44271</v>
      </c>
      <c r="B2957" s="6" t="str">
        <f ca="1">IFERROR(__xludf.DUMMYFUNCTION("""COMPUTED_VALUE"""),"-33.584696,-71.083432")</f>
        <v>-33.584696,-71.083432</v>
      </c>
      <c r="C2957" s="6" t="str">
        <f ca="1">IFERROR(__xludf.DUMMYFUNCTION("""COMPUTED_VALUE"""),"CALLE CARLOS GEYSER 32 ")</f>
        <v xml:space="preserve">CALLE CARLOS GEYSER 32 </v>
      </c>
      <c r="D2957" s="6" t="str">
        <f ca="1">IFERROR(__xludf.DUMMYFUNCTION("""COMPUTED_VALUE"""),"MELIPILLA")</f>
        <v>MELIPILLA</v>
      </c>
    </row>
    <row r="2958" spans="1:4">
      <c r="A2958" s="7">
        <f ca="1">IFERROR(__xludf.DUMMYFUNCTION("""COMPUTED_VALUE"""),44271)</f>
        <v>44271</v>
      </c>
      <c r="B2958" s="6" t="str">
        <f ca="1">IFERROR(__xludf.DUMMYFUNCTION("""COMPUTED_VALUE"""),"-33.685229,-71.211857")</f>
        <v>-33.685229,-71.211857</v>
      </c>
      <c r="C2958" s="6" t="str">
        <f ca="1">IFERROR(__xludf.DUMMYFUNCTION("""COMPUTED_VALUE"""),"UGALDE  345")</f>
        <v>UGALDE  345</v>
      </c>
      <c r="D2958" s="6" t="str">
        <f ca="1">IFERROR(__xludf.DUMMYFUNCTION("""COMPUTED_VALUE"""),"MELIPILLA")</f>
        <v>MELIPILLA</v>
      </c>
    </row>
    <row r="2959" spans="1:4">
      <c r="A2959" s="7">
        <f ca="1">IFERROR(__xludf.DUMMYFUNCTION("""COMPUTED_VALUE"""),44272)</f>
        <v>44272</v>
      </c>
      <c r="B2959" s="8" t="str">
        <f ca="1">IFERROR(__xludf.DUMMYFUNCTION("""COMPUTED_VALUE"""),"-33.572896,-70.98036")</f>
        <v>-33.572896,-70.98036</v>
      </c>
      <c r="C2959" s="6" t="str">
        <f ca="1">IFERROR(__xludf.DUMMYFUNCTION("""COMPUTED_VALUE"""),"EL PIMIENTO SITIO 17")</f>
        <v>EL PIMIENTO SITIO 17</v>
      </c>
      <c r="D2959" s="6" t="str">
        <f ca="1">IFERROR(__xludf.DUMMYFUNCTION("""COMPUTED_VALUE"""),"MELIPILLA")</f>
        <v>MELIPILLA</v>
      </c>
    </row>
    <row r="2960" spans="1:4">
      <c r="A2960" s="7">
        <f ca="1">IFERROR(__xludf.DUMMYFUNCTION("""COMPUTED_VALUE"""),44272)</f>
        <v>44272</v>
      </c>
      <c r="B2960" s="6" t="str">
        <f ca="1">IFERROR(__xludf.DUMMYFUNCTION("""COMPUTED_VALUE"""),"-33.648046,-71.150636")</f>
        <v>-33.648046,-71.150636</v>
      </c>
      <c r="C2960" s="6" t="str">
        <f ca="1">IFERROR(__xludf.DUMMYFUNCTION("""COMPUTED_VALUE"""),"SAN ANTONIO S/N CV17")</f>
        <v>SAN ANTONIO S/N CV17</v>
      </c>
      <c r="D2960" s="6" t="str">
        <f ca="1">IFERROR(__xludf.DUMMYFUNCTION("""COMPUTED_VALUE"""),"MELIPILLA")</f>
        <v>MELIPILLA</v>
      </c>
    </row>
    <row r="2961" spans="1:4">
      <c r="A2961" s="7">
        <f ca="1">IFERROR(__xludf.DUMMYFUNCTION("""COMPUTED_VALUE"""),44272)</f>
        <v>44272</v>
      </c>
      <c r="B2961" s="6" t="str">
        <f ca="1">IFERROR(__xludf.DUMMYFUNCTION("""COMPUTED_VALUE"""),"-33.585129,-71.083387")</f>
        <v>-33.585129,-71.083387</v>
      </c>
      <c r="C2961" s="6" t="str">
        <f ca="1">IFERROR(__xludf.DUMMYFUNCTION("""COMPUTED_VALUE"""),"RAFAEL MORANDE 275")</f>
        <v>RAFAEL MORANDE 275</v>
      </c>
      <c r="D2961" s="6" t="str">
        <f ca="1">IFERROR(__xludf.DUMMYFUNCTION("""COMPUTED_VALUE"""),"MELIPILLA")</f>
        <v>MELIPILLA</v>
      </c>
    </row>
    <row r="2962" spans="1:4">
      <c r="A2962" s="7">
        <f ca="1">IFERROR(__xludf.DUMMYFUNCTION("""COMPUTED_VALUE"""),44272)</f>
        <v>44272</v>
      </c>
      <c r="B2962" s="6" t="str">
        <f ca="1">IFERROR(__xludf.DUMMYFUNCTION("""COMPUTED_VALUE"""),"-33.585129,-71.083387")</f>
        <v>-33.585129,-71.083387</v>
      </c>
      <c r="C2962" s="6" t="str">
        <f ca="1">IFERROR(__xludf.DUMMYFUNCTION("""COMPUTED_VALUE"""),"SECTOR SANTA  CLARA DE MALLARAUCO S/N")</f>
        <v>SECTOR SANTA  CLARA DE MALLARAUCO S/N</v>
      </c>
      <c r="D2962" s="6" t="str">
        <f ca="1">IFERROR(__xludf.DUMMYFUNCTION("""COMPUTED_VALUE"""),"MELIPILLA")</f>
        <v>MELIPILLA</v>
      </c>
    </row>
    <row r="2963" spans="1:4">
      <c r="A2963" s="7">
        <f ca="1">IFERROR(__xludf.DUMMYFUNCTION("""COMPUTED_VALUE"""),44273)</f>
        <v>44273</v>
      </c>
      <c r="B2963" s="8" t="str">
        <f ca="1">IFERROR(__xludf.DUMMYFUNCTION("""COMPUTED_VALUE"""),"-33.683758,-70.954121")</f>
        <v>-33.683758,-70.954121</v>
      </c>
      <c r="C2963" s="6" t="str">
        <f ca="1">IFERROR(__xludf.DUMMYFUNCTION("""COMPUTED_VALUE"""),"MANUEL BAQUETAS 113 ")</f>
        <v xml:space="preserve">MANUEL BAQUETAS 113 </v>
      </c>
      <c r="D2963" s="6" t="str">
        <f ca="1">IFERROR(__xludf.DUMMYFUNCTION("""COMPUTED_VALUE"""),"TALAGANTE")</f>
        <v>TALAGANTE</v>
      </c>
    </row>
    <row r="2964" spans="1:4">
      <c r="A2964" s="7">
        <f ca="1">IFERROR(__xludf.DUMMYFUNCTION("""COMPUTED_VALUE"""),44273)</f>
        <v>44273</v>
      </c>
      <c r="B2964" s="8" t="str">
        <f ca="1">IFERROR(__xludf.DUMMYFUNCTION("""COMPUTED_VALUE"""),"-33.571127,-71.198095")</f>
        <v>-33.571127,-71.198095</v>
      </c>
      <c r="C2964" s="6" t="str">
        <f ca="1">IFERROR(__xludf.DUMMYFUNCTION("""COMPUTED_VALUE"""),"HERMANOS CARRERA MALLARAUCO")</f>
        <v>HERMANOS CARRERA MALLARAUCO</v>
      </c>
      <c r="D2964" s="6" t="str">
        <f ca="1">IFERROR(__xludf.DUMMYFUNCTION("""COMPUTED_VALUE"""),"MELIPILLA")</f>
        <v>MELIPILLA</v>
      </c>
    </row>
    <row r="2965" spans="1:4">
      <c r="A2965" s="7">
        <f ca="1">IFERROR(__xludf.DUMMYFUNCTION("""COMPUTED_VALUE"""),44273)</f>
        <v>44273</v>
      </c>
      <c r="B2965" s="8" t="str">
        <f ca="1">IFERROR(__xludf.DUMMYFUNCTION("""COMPUTED_VALUE"""),"-33.571127,-71.0980195")</f>
        <v>-33.571127,-71.0980195</v>
      </c>
      <c r="C2965" s="6" t="str">
        <f ca="1">IFERROR(__xludf.DUMMYFUNCTION("""COMPUTED_VALUE"""),"PARCELA SAN BERNARDO MALLEARAUCO")</f>
        <v>PARCELA SAN BERNARDO MALLEARAUCO</v>
      </c>
      <c r="D2965" s="6" t="str">
        <f ca="1">IFERROR(__xludf.DUMMYFUNCTION("""COMPUTED_VALUE"""),"MELIPILLA")</f>
        <v>MELIPILLA</v>
      </c>
    </row>
    <row r="2966" spans="1:4">
      <c r="A2966" s="7">
        <f ca="1">IFERROR(__xludf.DUMMYFUNCTION("""COMPUTED_VALUE"""),44274)</f>
        <v>44274</v>
      </c>
      <c r="B2966" s="8" t="str">
        <f ca="1">IFERROR(__xludf.DUMMYFUNCTION("""COMPUTED_VALUE"""),"-33.572289,-70.9803572")</f>
        <v>-33.572289,-70.9803572</v>
      </c>
      <c r="C2966" s="6" t="str">
        <f ca="1">IFERROR(__xludf.DUMMYFUNCTION("""COMPUTED_VALUE"""),"EL PIMIENTO DE MALLARAUCO SITIO 21 ")</f>
        <v xml:space="preserve">EL PIMIENTO DE MALLARAUCO SITIO 21 </v>
      </c>
      <c r="D2966" s="6" t="str">
        <f ca="1">IFERROR(__xludf.DUMMYFUNCTION("""COMPUTED_VALUE"""),"MELIPILLA")</f>
        <v>MELIPILLA</v>
      </c>
    </row>
    <row r="2967" spans="1:4">
      <c r="A2967" s="7">
        <f ca="1">IFERROR(__xludf.DUMMYFUNCTION("""COMPUTED_VALUE"""),44274)</f>
        <v>44274</v>
      </c>
      <c r="B2967" s="8" t="str">
        <f ca="1">IFERROR(__xludf.DUMMYFUNCTION("""COMPUTED_VALUE"""),"-33.573407,-70.186132")</f>
        <v>-33.573407,-70.186132</v>
      </c>
      <c r="C2967" s="6" t="str">
        <f ca="1">IFERROR(__xludf.DUMMYFUNCTION("""COMPUTED_VALUE"""),"CINCO DE OTUBRE BALLENAR ")</f>
        <v xml:space="preserve">CINCO DE OTUBRE BALLENAR </v>
      </c>
      <c r="D2967" s="6" t="str">
        <f ca="1">IFERROR(__xludf.DUMMYFUNCTION("""COMPUTED_VALUE"""),"MELIPILLA")</f>
        <v>MELIPILLA</v>
      </c>
    </row>
    <row r="2968" spans="1:4">
      <c r="A2968" s="7">
        <f ca="1">IFERROR(__xludf.DUMMYFUNCTION("""COMPUTED_VALUE"""),44274)</f>
        <v>44274</v>
      </c>
      <c r="B2968" s="8" t="str">
        <f ca="1">IFERROR(__xludf.DUMMYFUNCTION("""COMPUTED_VALUE"""),"-33.784529,-71.275588")</f>
        <v>-33.784529,-71.275588</v>
      </c>
      <c r="C2968" s="6" t="str">
        <f ca="1">IFERROR(__xludf.DUMMYFUNCTION("""COMPUTED_VALUE"""),"LOS MAITENES LOTE 26")</f>
        <v>LOS MAITENES LOTE 26</v>
      </c>
      <c r="D2968" s="6" t="str">
        <f ca="1">IFERROR(__xludf.DUMMYFUNCTION("""COMPUTED_VALUE"""),"MELIPILLA")</f>
        <v>MELIPILLA</v>
      </c>
    </row>
    <row r="2969" spans="1:4">
      <c r="A2969" s="7">
        <f ca="1">IFERROR(__xludf.DUMMYFUNCTION("""COMPUTED_VALUE"""),44275)</f>
        <v>44275</v>
      </c>
      <c r="B2969" s="8" t="str">
        <f ca="1">IFERROR(__xludf.DUMMYFUNCTION("""COMPUTED_VALUE"""),"-33.663812,-70.840263")</f>
        <v>-33.663812,-70.840263</v>
      </c>
      <c r="C2969" s="6" t="str">
        <f ca="1">IFERROR(__xludf.DUMMYFUNCTION("""COMPUTED_VALUE"""),"CAMINO LONQUEN 6100")</f>
        <v>CAMINO LONQUEN 6100</v>
      </c>
      <c r="D2969" s="6" t="str">
        <f ca="1">IFERROR(__xludf.DUMMYFUNCTION("""COMPUTED_VALUE"""),"TALAGANTE")</f>
        <v>TALAGANTE</v>
      </c>
    </row>
    <row r="2970" spans="1:4">
      <c r="A2970" s="7">
        <f ca="1">IFERROR(__xludf.DUMMYFUNCTION("""COMPUTED_VALUE"""),44275)</f>
        <v>44275</v>
      </c>
      <c r="B2970" s="8" t="str">
        <f ca="1">IFERROR(__xludf.DUMMYFUNCTION("""COMPUTED_VALUE"""),"-33.577480,-71.083078")</f>
        <v>-33.577480,-71.083078</v>
      </c>
      <c r="C2970" s="6" t="str">
        <f ca="1">IFERROR(__xludf.DUMMYFUNCTION("""COMPUTED_VALUE"""),"FUNDO SAN BDO LOTE 67 ")</f>
        <v xml:space="preserve">FUNDO SAN BDO LOTE 67 </v>
      </c>
      <c r="D2970" s="6" t="str">
        <f ca="1">IFERROR(__xludf.DUMMYFUNCTION("""COMPUTED_VALUE"""),"MELIPILLA")</f>
        <v>MELIPILLA</v>
      </c>
    </row>
    <row r="2971" spans="1:4">
      <c r="A2971" s="7">
        <f ca="1">IFERROR(__xludf.DUMMYFUNCTION("""COMPUTED_VALUE"""),44277)</f>
        <v>44277</v>
      </c>
      <c r="B2971" s="8" t="str">
        <f ca="1">IFERROR(__xludf.DUMMYFUNCTION("""COMPUTED_VALUE"""),"-33.654665,-70,925699")</f>
        <v>-33.654665,-70,925699</v>
      </c>
      <c r="C2971" s="6" t="str">
        <f ca="1">IFERROR(__xludf.DUMMYFUNCTION("""COMPUTED_VALUE"""),"MANUEL RODRIGUEZ 251")</f>
        <v>MANUEL RODRIGUEZ 251</v>
      </c>
      <c r="D2971" s="6" t="str">
        <f ca="1">IFERROR(__xludf.DUMMYFUNCTION("""COMPUTED_VALUE"""),"TALAGANTE")</f>
        <v>TALAGANTE</v>
      </c>
    </row>
    <row r="2972" spans="1:4">
      <c r="A2972" s="7">
        <f ca="1">IFERROR(__xludf.DUMMYFUNCTION("""COMPUTED_VALUE"""),44277)</f>
        <v>44277</v>
      </c>
      <c r="B2972" s="8" t="str">
        <f ca="1">IFERROR(__xludf.DUMMYFUNCTION("""COMPUTED_VALUE"""),"-33.826336,-71.272863")</f>
        <v>-33.826336,-71.272863</v>
      </c>
      <c r="C2972" s="6" t="str">
        <f ca="1">IFERROR(__xludf.DUMMYFUNCTION("""COMPUTED_VALUE"""),"SECTOR 5 POPET  245")</f>
        <v>SECTOR 5 POPET  245</v>
      </c>
      <c r="D2972" s="6" t="str">
        <f ca="1">IFERROR(__xludf.DUMMYFUNCTION("""COMPUTED_VALUE"""),"MELIPILLA")</f>
        <v>MELIPILLA</v>
      </c>
    </row>
    <row r="2973" spans="1:4">
      <c r="A2973" s="7">
        <f ca="1">IFERROR(__xludf.DUMMYFUNCTION("""COMPUTED_VALUE"""),44277)</f>
        <v>44277</v>
      </c>
      <c r="B2973" s="6" t="str">
        <f ca="1">IFERROR(__xludf.DUMMYFUNCTION("""COMPUTED_VALUE"""),"-33.399700-71.119967")</f>
        <v>-33.399700-71.119967</v>
      </c>
      <c r="C2973" s="6" t="str">
        <f ca="1">IFERROR(__xludf.DUMMYFUNCTION("""COMPUTED_VALUE"""),"PJE DOS 2223")</f>
        <v>PJE DOS 2223</v>
      </c>
      <c r="D2973" s="6" t="str">
        <f ca="1">IFERROR(__xludf.DUMMYFUNCTION("""COMPUTED_VALUE"""),"CURACAVI")</f>
        <v>CURACAVI</v>
      </c>
    </row>
    <row r="2974" spans="1:4">
      <c r="A2974" s="7">
        <f ca="1">IFERROR(__xludf.DUMMYFUNCTION("""COMPUTED_VALUE"""),44278)</f>
        <v>44278</v>
      </c>
      <c r="B2974" s="8" t="str">
        <f ca="1">IFERROR(__xludf.DUMMYFUNCTION("""COMPUTED_VALUE"""),"-33.460853,-71,272171")</f>
        <v>-33.460853,-71,272171</v>
      </c>
      <c r="C2974" s="6" t="str">
        <f ca="1">IFERROR(__xludf.DUMMYFUNCTION("""COMPUTED_VALUE"""),"SECTOR EUROPA ORIENTE S/N SAN MANUEL")</f>
        <v>SECTOR EUROPA ORIENTE S/N SAN MANUEL</v>
      </c>
      <c r="D2974" s="6" t="str">
        <f ca="1">IFERROR(__xludf.DUMMYFUNCTION("""COMPUTED_VALUE"""),"MELIPILLA")</f>
        <v>MELIPILLA</v>
      </c>
    </row>
    <row r="2975" spans="1:4">
      <c r="A2975" s="7">
        <f ca="1">IFERROR(__xludf.DUMMYFUNCTION("""COMPUTED_VALUE"""),44278)</f>
        <v>44278</v>
      </c>
      <c r="B2975" s="8" t="str">
        <f ca="1">IFERROR(__xludf.DUMMYFUNCTION("""COMPUTED_VALUE"""),"-33.678467,-71.192747")</f>
        <v>-33.678467,-71.192747</v>
      </c>
      <c r="C2975" s="6" t="str">
        <f ca="1">IFERROR(__xludf.DUMMYFUNCTION("""COMPUTED_VALUE"""),"PJE EL ROBLE 140 ")</f>
        <v xml:space="preserve">PJE EL ROBLE 140 </v>
      </c>
      <c r="D2975" s="6" t="str">
        <f ca="1">IFERROR(__xludf.DUMMYFUNCTION("""COMPUTED_VALUE"""),"MELIPILLA")</f>
        <v>MELIPILLA</v>
      </c>
    </row>
    <row r="2976" spans="1:4">
      <c r="A2976" s="7">
        <f ca="1">IFERROR(__xludf.DUMMYFUNCTION("""COMPUTED_VALUE"""),44278)</f>
        <v>44278</v>
      </c>
      <c r="B2976" s="6" t="str">
        <f ca="1">IFERROR(__xludf.DUMMYFUNCTION("""COMPUTED_VALUE"""),"-33.416323-71.001064")</f>
        <v>-33.416323-71.001064</v>
      </c>
      <c r="C2976" s="6" t="str">
        <f ca="1">IFERROR(__xludf.DUMMYFUNCTION("""COMPUTED_VALUE"""),"LA AURORA S/N")</f>
        <v>LA AURORA S/N</v>
      </c>
      <c r="D2976" s="6" t="str">
        <f ca="1">IFERROR(__xludf.DUMMYFUNCTION("""COMPUTED_VALUE"""),"CURACAVI")</f>
        <v>CURACAVI</v>
      </c>
    </row>
    <row r="2977" spans="1:4">
      <c r="A2977" s="7">
        <f ca="1">IFERROR(__xludf.DUMMYFUNCTION("""COMPUTED_VALUE"""),44278)</f>
        <v>44278</v>
      </c>
      <c r="B2977" s="6" t="str">
        <f ca="1">IFERROR(__xludf.DUMMYFUNCTION("""COMPUTED_VALUE"""),"-33.075745,-70.776587")</f>
        <v>-33.075745,-70.776587</v>
      </c>
      <c r="C2977" s="6" t="str">
        <f ca="1">IFERROR(__xludf.DUMMYFUNCTION("""COMPUTED_VALUE"""),"EDUARDO CAMPO ST/22 ")</f>
        <v xml:space="preserve">EDUARDO CAMPO ST/22 </v>
      </c>
      <c r="D2977" s="6" t="str">
        <f ca="1">IFERROR(__xludf.DUMMYFUNCTION("""COMPUTED_VALUE"""),"COLINA")</f>
        <v>COLINA</v>
      </c>
    </row>
    <row r="2978" spans="1:4">
      <c r="A2978" s="7">
        <f ca="1">IFERROR(__xludf.DUMMYFUNCTION("""COMPUTED_VALUE"""),44278)</f>
        <v>44278</v>
      </c>
      <c r="B2978" s="6" t="str">
        <f ca="1">IFERROR(__xludf.DUMMYFUNCTION("""COMPUTED_VALUE"""),"-33.077059,-70.770572")</f>
        <v>-33.077059,-70.770572</v>
      </c>
      <c r="C2978" s="6" t="str">
        <f ca="1">IFERROR(__xludf.DUMMYFUNCTION("""COMPUTED_VALUE"""),"LA ESCUELA ST/ 10")</f>
        <v>LA ESCUELA ST/ 10</v>
      </c>
      <c r="D2978" s="6" t="str">
        <f ca="1">IFERROR(__xludf.DUMMYFUNCTION("""COMPUTED_VALUE"""),"COLINA")</f>
        <v>COLINA</v>
      </c>
    </row>
    <row r="2979" spans="1:4">
      <c r="A2979" s="7">
        <f ca="1">IFERROR(__xludf.DUMMYFUNCTION("""COMPUTED_VALUE"""),44279)</f>
        <v>44279</v>
      </c>
      <c r="B2979" s="8" t="str">
        <f ca="1">IFERROR(__xludf.DUMMYFUNCTION("""COMPUTED_VALUE"""),"-33.514532,-71.115814")</f>
        <v>-33.514532,-71.115814</v>
      </c>
      <c r="C2979" s="6" t="str">
        <f ca="1">IFERROR(__xludf.DUMMYFUNCTION("""COMPUTED_VALUE"""),"ONCE DE SEPTIEMBRE 918")</f>
        <v>ONCE DE SEPTIEMBRE 918</v>
      </c>
      <c r="D2979" s="6" t="str">
        <f ca="1">IFERROR(__xludf.DUMMYFUNCTION("""COMPUTED_VALUE"""),"MELIPILLA")</f>
        <v>MELIPILLA</v>
      </c>
    </row>
    <row r="2980" spans="1:4">
      <c r="A2980" s="7">
        <f ca="1">IFERROR(__xludf.DUMMYFUNCTION("""COMPUTED_VALUE"""),44279)</f>
        <v>44279</v>
      </c>
      <c r="B2980" s="8" t="str">
        <f ca="1">IFERROR(__xludf.DUMMYFUNCTION("""COMPUTED_VALUE"""),"-33.662962,-70.840302")</f>
        <v>-33.662962,-70.840302</v>
      </c>
      <c r="C2980" s="6" t="str">
        <f ca="1">IFERROR(__xludf.DUMMYFUNCTION("""COMPUTED_VALUE"""),"CAMINO LONQUEN 6200 ")</f>
        <v xml:space="preserve">CAMINO LONQUEN 6200 </v>
      </c>
      <c r="D2980" s="6" t="str">
        <f ca="1">IFERROR(__xludf.DUMMYFUNCTION("""COMPUTED_VALUE"""),"TALAGANTE")</f>
        <v>TALAGANTE</v>
      </c>
    </row>
    <row r="2981" spans="1:4">
      <c r="A2981" s="7">
        <f ca="1">IFERROR(__xludf.DUMMYFUNCTION("""COMPUTED_VALUE"""),44279)</f>
        <v>44279</v>
      </c>
      <c r="B2981" s="8" t="str">
        <f ca="1">IFERROR(__xludf.DUMMYFUNCTION("""COMPUTED_VALUE"""),"-33.662962,-70.840302")</f>
        <v>-33.662962,-70.840302</v>
      </c>
      <c r="C2981" s="6" t="str">
        <f ca="1">IFERROR(__xludf.DUMMYFUNCTION("""COMPUTED_VALUE"""),"CAMINO LONQUEN 6200 ")</f>
        <v xml:space="preserve">CAMINO LONQUEN 6200 </v>
      </c>
      <c r="D2981" s="6" t="str">
        <f ca="1">IFERROR(__xludf.DUMMYFUNCTION("""COMPUTED_VALUE"""),"TALAGANTE")</f>
        <v>TALAGANTE</v>
      </c>
    </row>
    <row r="2982" spans="1:4">
      <c r="A2982" s="7">
        <f ca="1">IFERROR(__xludf.DUMMYFUNCTION("""COMPUTED_VALUE"""),44279)</f>
        <v>44279</v>
      </c>
      <c r="B2982" s="8" t="str">
        <f ca="1">IFERROR(__xludf.DUMMYFUNCTION("""COMPUTED_VALUE"""),"-33.579782,-71.029790")</f>
        <v>-33.579782,-71.029790</v>
      </c>
      <c r="C2982" s="6" t="str">
        <f ca="1">IFERROR(__xludf.DUMMYFUNCTION("""COMPUTED_VALUE"""),"EL MAITEN S/N")</f>
        <v>EL MAITEN S/N</v>
      </c>
      <c r="D2982" s="6" t="str">
        <f ca="1">IFERROR(__xludf.DUMMYFUNCTION("""COMPUTED_VALUE"""),"MELIPILLA")</f>
        <v>MELIPILLA</v>
      </c>
    </row>
    <row r="2983" spans="1:4">
      <c r="A2983" s="7">
        <f ca="1">IFERROR(__xludf.DUMMYFUNCTION("""COMPUTED_VALUE"""),44279)</f>
        <v>44279</v>
      </c>
      <c r="B2983" s="8" t="str">
        <f ca="1">IFERROR(__xludf.DUMMYFUNCTION("""COMPUTED_VALUE"""),"-33.571651-71.206862")</f>
        <v>-33.571651-71.206862</v>
      </c>
      <c r="C2983" s="6" t="str">
        <f ca="1">IFERROR(__xludf.DUMMYFUNCTION("""COMPUTED_VALUE"""),"PJE ANGOL 180 BOLLENAR")</f>
        <v>PJE ANGOL 180 BOLLENAR</v>
      </c>
      <c r="D2983" s="6" t="str">
        <f ca="1">IFERROR(__xludf.DUMMYFUNCTION("""COMPUTED_VALUE"""),"MELIPILLA")</f>
        <v>MELIPILLA</v>
      </c>
    </row>
    <row r="2984" spans="1:4">
      <c r="A2984" s="7">
        <f ca="1">IFERROR(__xludf.DUMMYFUNCTION("""COMPUTED_VALUE"""),44279)</f>
        <v>44279</v>
      </c>
      <c r="B2984" s="6" t="str">
        <f ca="1">IFERROR(__xludf.DUMMYFUNCTION("""COMPUTED_VALUE"""),"-33.201829-70.668495")</f>
        <v>-33.201829-70.668495</v>
      </c>
      <c r="C2984" s="6" t="str">
        <f ca="1">IFERROR(__xludf.DUMMYFUNCTION("""COMPUTED_VALUE"""),"VISTA HERMOSA 426")</f>
        <v>VISTA HERMOSA 426</v>
      </c>
      <c r="D2984" s="6" t="str">
        <f ca="1">IFERROR(__xludf.DUMMYFUNCTION("""COMPUTED_VALUE"""),"COLINA")</f>
        <v>COLINA</v>
      </c>
    </row>
    <row r="2985" spans="1:4">
      <c r="A2985" s="7">
        <f ca="1">IFERROR(__xludf.DUMMYFUNCTION("""COMPUTED_VALUE"""),44279)</f>
        <v>44279</v>
      </c>
      <c r="B2985" s="6" t="str">
        <f ca="1">IFERROR(__xludf.DUMMYFUNCTION("""COMPUTED_VALUE"""),"-33.283756-70.711678")</f>
        <v>-33.283756-70.711678</v>
      </c>
      <c r="C2985" s="6" t="str">
        <f ca="1">IFERROR(__xludf.DUMMYFUNCTION("""COMPUTED_VALUE"""),"ALGARROBAL S/N LOTE 36 MANZANA U")</f>
        <v>ALGARROBAL S/N LOTE 36 MANZANA U</v>
      </c>
      <c r="D2985" s="6" t="str">
        <f ca="1">IFERROR(__xludf.DUMMYFUNCTION("""COMPUTED_VALUE"""),"COLINA")</f>
        <v>COLINA</v>
      </c>
    </row>
    <row r="2986" spans="1:4">
      <c r="A2986" s="7">
        <f ca="1">IFERROR(__xludf.DUMMYFUNCTION("""COMPUTED_VALUE"""),44279)</f>
        <v>44279</v>
      </c>
      <c r="B2986" s="6" t="str">
        <f ca="1">IFERROR(__xludf.DUMMYFUNCTION("""COMPUTED_VALUE"""),"-33.408550-70.131858")</f>
        <v>-33.408550-70.131858</v>
      </c>
      <c r="C2986" s="6" t="str">
        <f ca="1">IFERROR(__xludf.DUMMYFUNCTION("""COMPUTED_VALUE"""),"AV. CIRCUNVALACION 1673")</f>
        <v>AV. CIRCUNVALACION 1673</v>
      </c>
      <c r="D2986" s="6" t="str">
        <f ca="1">IFERROR(__xludf.DUMMYFUNCTION("""COMPUTED_VALUE"""),"CURACAVI")</f>
        <v>CURACAVI</v>
      </c>
    </row>
    <row r="2987" spans="1:4">
      <c r="A2987" s="7">
        <f ca="1">IFERROR(__xludf.DUMMYFUNCTION("""COMPUTED_VALUE"""),44279)</f>
        <v>44279</v>
      </c>
      <c r="B2987" s="6" t="str">
        <f ca="1">IFERROR(__xludf.DUMMYFUNCTION("""COMPUTED_VALUE"""),"-33.407684-71.135580")</f>
        <v>-33.407684-71.135580</v>
      </c>
      <c r="C2987" s="6" t="str">
        <f ca="1">IFERROR(__xludf.DUMMYFUNCTION("""COMPUTED_VALUE"""),"FRANCISCO JOFRE 1332")</f>
        <v>FRANCISCO JOFRE 1332</v>
      </c>
      <c r="D2987" s="6" t="str">
        <f ca="1">IFERROR(__xludf.DUMMYFUNCTION("""COMPUTED_VALUE"""),"CURACAVI")</f>
        <v>CURACAVI</v>
      </c>
    </row>
    <row r="2988" spans="1:4">
      <c r="A2988" s="7">
        <f ca="1">IFERROR(__xludf.DUMMYFUNCTION("""COMPUTED_VALUE"""),44279)</f>
        <v>44279</v>
      </c>
      <c r="B2988" s="6" t="str">
        <f ca="1">IFERROR(__xludf.DUMMYFUNCTION("""COMPUTED_VALUE"""),"-33.023675,-70.685482")</f>
        <v>-33.023675,-70.685482</v>
      </c>
      <c r="C2988" s="6" t="str">
        <f ca="1">IFERROR(__xludf.DUMMYFUNCTION("""COMPUTED_VALUE"""),"TAHUALTACA SIT 9 L 2")</f>
        <v>TAHUALTACA SIT 9 L 2</v>
      </c>
      <c r="D2988" s="6" t="str">
        <f ca="1">IFERROR(__xludf.DUMMYFUNCTION("""COMPUTED_VALUE"""),"COLINA")</f>
        <v>COLINA</v>
      </c>
    </row>
    <row r="2989" spans="1:4">
      <c r="A2989" s="7">
        <f ca="1">IFERROR(__xludf.DUMMYFUNCTION("""COMPUTED_VALUE"""),44279)</f>
        <v>44279</v>
      </c>
      <c r="B2989" s="6" t="str">
        <f ca="1">IFERROR(__xludf.DUMMYFUNCTION("""COMPUTED_VALUE"""),"-33.076052,-70.771681")</f>
        <v>-33.076052,-70.771681</v>
      </c>
      <c r="C2989" s="6" t="str">
        <f ca="1">IFERROR(__xludf.DUMMYFUNCTION("""COMPUTED_VALUE"""),"EDUARDO CAMPO ST/26")</f>
        <v>EDUARDO CAMPO ST/26</v>
      </c>
      <c r="D2989" s="6" t="str">
        <f ca="1">IFERROR(__xludf.DUMMYFUNCTION("""COMPUTED_VALUE"""),"COLINA")</f>
        <v>COLINA</v>
      </c>
    </row>
    <row r="2990" spans="1:4">
      <c r="A2990" s="7">
        <f ca="1">IFERROR(__xludf.DUMMYFUNCTION("""COMPUTED_VALUE"""),44280)</f>
        <v>44280</v>
      </c>
      <c r="B2990" s="8" t="str">
        <f ca="1">IFERROR(__xludf.DUMMYFUNCTION("""COMPUTED_VALUE"""),"-33.568254,-71.220564")</f>
        <v>-33.568254,-71.220564</v>
      </c>
      <c r="C2990" s="6" t="str">
        <f ca="1">IFERROR(__xludf.DUMMYFUNCTION("""COMPUTED_VALUE"""),"COMITE ESPERANZA DE BOLLENAR ")</f>
        <v xml:space="preserve">COMITE ESPERANZA DE BOLLENAR </v>
      </c>
      <c r="D2990" s="6" t="str">
        <f ca="1">IFERROR(__xludf.DUMMYFUNCTION("""COMPUTED_VALUE"""),"MELIPILLA")</f>
        <v>MELIPILLA</v>
      </c>
    </row>
    <row r="2991" spans="1:4">
      <c r="A2991" s="7">
        <f ca="1">IFERROR(__xludf.DUMMYFUNCTION("""COMPUTED_VALUE"""),44280)</f>
        <v>44280</v>
      </c>
      <c r="B2991" s="8" t="str">
        <f ca="1">IFERROR(__xludf.DUMMYFUNCTION("""COMPUTED_VALUE"""),"-33.571428,-71.206814")</f>
        <v>-33.571428,-71.206814</v>
      </c>
      <c r="C2991" s="6" t="str">
        <f ca="1">IFERROR(__xludf.DUMMYFUNCTION("""COMPUTED_VALUE"""),"ANGOL 180 ")</f>
        <v xml:space="preserve">ANGOL 180 </v>
      </c>
      <c r="D2991" s="6" t="str">
        <f ca="1">IFERROR(__xludf.DUMMYFUNCTION("""COMPUTED_VALUE"""),"MELIPILLA")</f>
        <v>MELIPILLA</v>
      </c>
    </row>
    <row r="2992" spans="1:4">
      <c r="A2992" s="7">
        <f ca="1">IFERROR(__xludf.DUMMYFUNCTION("""COMPUTED_VALUE"""),44280)</f>
        <v>44280</v>
      </c>
      <c r="B2992" s="6" t="str">
        <f ca="1">IFERROR(__xludf.DUMMYFUNCTION("""COMPUTED_VALUE"""),"-33.411211-71.143923")</f>
        <v>-33.411211-71.143923</v>
      </c>
      <c r="C2992" s="6" t="str">
        <f ca="1">IFERROR(__xludf.DUMMYFUNCTION("""COMPUTED_VALUE"""),"LO AGUILA LOTE 9")</f>
        <v>LO AGUILA LOTE 9</v>
      </c>
      <c r="D2992" s="6" t="str">
        <f ca="1">IFERROR(__xludf.DUMMYFUNCTION("""COMPUTED_VALUE"""),"CURACAVI")</f>
        <v>CURACAVI</v>
      </c>
    </row>
    <row r="2993" spans="1:4">
      <c r="A2993" s="7">
        <f ca="1">IFERROR(__xludf.DUMMYFUNCTION("""COMPUTED_VALUE"""),44280)</f>
        <v>44280</v>
      </c>
      <c r="B2993" s="6" t="str">
        <f ca="1">IFERROR(__xludf.DUMMYFUNCTION("""COMPUTED_VALUE"""),"-33.411366-71.150421")</f>
        <v>-33.411366-71.150421</v>
      </c>
      <c r="C2993" s="6" t="str">
        <f ca="1">IFERROR(__xludf.DUMMYFUNCTION("""COMPUTED_VALUE"""),"AV. AMBROSIO OHIGGINS 146")</f>
        <v>AV. AMBROSIO OHIGGINS 146</v>
      </c>
      <c r="D2993" s="6" t="str">
        <f ca="1">IFERROR(__xludf.DUMMYFUNCTION("""COMPUTED_VALUE"""),"CURACAVI")</f>
        <v>CURACAVI</v>
      </c>
    </row>
    <row r="2994" spans="1:4">
      <c r="A2994" s="7">
        <f ca="1">IFERROR(__xludf.DUMMYFUNCTION("""COMPUTED_VALUE"""),44280)</f>
        <v>44280</v>
      </c>
      <c r="B2994" s="6" t="str">
        <f ca="1">IFERROR(__xludf.DUMMYFUNCTION("""COMPUTED_VALUE"""),"-33.407179-71.127177")</f>
        <v>-33.407179-71.127177</v>
      </c>
      <c r="C2994" s="6" t="str">
        <f ca="1">IFERROR(__xludf.DUMMYFUNCTION("""COMPUTED_VALUE"""),"PJE EL ROSAL 467")</f>
        <v>PJE EL ROSAL 467</v>
      </c>
      <c r="D2994" s="6" t="str">
        <f ca="1">IFERROR(__xludf.DUMMYFUNCTION("""COMPUTED_VALUE"""),"CURACAVI")</f>
        <v>CURACAVI</v>
      </c>
    </row>
    <row r="2995" spans="1:4">
      <c r="A2995" s="7">
        <f ca="1">IFERROR(__xludf.DUMMYFUNCTION("""COMPUTED_VALUE"""),44280)</f>
        <v>44280</v>
      </c>
      <c r="B2995" s="6" t="str">
        <f ca="1">IFERROR(__xludf.DUMMYFUNCTION("""COMPUTED_VALUE"""),"-33.420031-71008542")</f>
        <v>-33.420031-71008542</v>
      </c>
      <c r="C2995" s="6" t="str">
        <f ca="1">IFERROR(__xludf.DUMMYFUNCTION("""COMPUTED_VALUE"""),"CO LA AURORA S/N")</f>
        <v>CO LA AURORA S/N</v>
      </c>
      <c r="D2995" s="6" t="str">
        <f ca="1">IFERROR(__xludf.DUMMYFUNCTION("""COMPUTED_VALUE"""),"CURACAVI")</f>
        <v>CURACAVI</v>
      </c>
    </row>
    <row r="2996" spans="1:4">
      <c r="A2996" s="7">
        <f ca="1">IFERROR(__xludf.DUMMYFUNCTION("""COMPUTED_VALUE"""),44280)</f>
        <v>44280</v>
      </c>
      <c r="B2996" s="6" t="str">
        <f ca="1">IFERROR(__xludf.DUMMYFUNCTION("""COMPUTED_VALUE"""),"-33.030476,-70.692556")</f>
        <v>-33.030476,-70.692556</v>
      </c>
      <c r="C2996" s="6" t="str">
        <f ca="1">IFERROR(__xludf.DUMMYFUNCTION("""COMPUTED_VALUE"""),"LOTEO CAMPUSANO HIDALGO M/D S/8")</f>
        <v>LOTEO CAMPUSANO HIDALGO M/D S/8</v>
      </c>
      <c r="D2996" s="6" t="str">
        <f ca="1">IFERROR(__xludf.DUMMYFUNCTION("""COMPUTED_VALUE"""),"COLINA")</f>
        <v>COLINA</v>
      </c>
    </row>
    <row r="2997" spans="1:4">
      <c r="A2997" s="7">
        <f ca="1">IFERROR(__xludf.DUMMYFUNCTION("""COMPUTED_VALUE"""),44281)</f>
        <v>44281</v>
      </c>
      <c r="B2997" s="8" t="str">
        <f ca="1">IFERROR(__xludf.DUMMYFUNCTION("""COMPUTED_VALUE"""),"-33.567371,-71.157629")</f>
        <v>-33.567371,-71.157629</v>
      </c>
      <c r="C2997" s="6" t="str">
        <f ca="1">IFERROR(__xludf.DUMMYFUNCTION("""COMPUTED_VALUE"""),"SECTOR SANTA ELENA DE MALLARAUCO 190")</f>
        <v>SECTOR SANTA ELENA DE MALLARAUCO 190</v>
      </c>
      <c r="D2997" s="6" t="str">
        <f ca="1">IFERROR(__xludf.DUMMYFUNCTION("""COMPUTED_VALUE"""),"MELIPILLA")</f>
        <v>MELIPILLA</v>
      </c>
    </row>
    <row r="2998" spans="1:4">
      <c r="A2998" s="7">
        <f ca="1">IFERROR(__xludf.DUMMYFUNCTION("""COMPUTED_VALUE"""),44281)</f>
        <v>44281</v>
      </c>
      <c r="B2998" s="8" t="str">
        <f ca="1">IFERROR(__xludf.DUMMYFUNCTION("""COMPUTED_VALUE"""),"-33.570936,-71.206404")</f>
        <v>-33.570936,-71.206404</v>
      </c>
      <c r="C2998" s="6" t="str">
        <f ca="1">IFERROR(__xludf.DUMMYFUNCTION("""COMPUTED_VALUE"""),"ANGOL 74")</f>
        <v>ANGOL 74</v>
      </c>
      <c r="D2998" s="6" t="str">
        <f ca="1">IFERROR(__xludf.DUMMYFUNCTION("""COMPUTED_VALUE"""),"MELIPILLA")</f>
        <v>MELIPILLA</v>
      </c>
    </row>
    <row r="2999" spans="1:4">
      <c r="A2999" s="7">
        <f ca="1">IFERROR(__xludf.DUMMYFUNCTION("""COMPUTED_VALUE"""),44281)</f>
        <v>44281</v>
      </c>
      <c r="B2999" s="8" t="str">
        <f ca="1">IFERROR(__xludf.DUMMYFUNCTION("""COMPUTED_VALUE"""),"-33.571981,-71.207032")</f>
        <v>-33.571981,-71.207032</v>
      </c>
      <c r="C2999" s="6" t="str">
        <f ca="1">IFERROR(__xludf.DUMMYFUNCTION("""COMPUTED_VALUE"""),"ANGOL 230 BOLLENAR")</f>
        <v>ANGOL 230 BOLLENAR</v>
      </c>
      <c r="D2999" s="6" t="str">
        <f ca="1">IFERROR(__xludf.DUMMYFUNCTION("""COMPUTED_VALUE"""),"MELIPILLA")</f>
        <v>MELIPILLA</v>
      </c>
    </row>
    <row r="3000" spans="1:4">
      <c r="A3000" s="7">
        <f ca="1">IFERROR(__xludf.DUMMYFUNCTION("""COMPUTED_VALUE"""),44281)</f>
        <v>44281</v>
      </c>
      <c r="B3000" s="6" t="str">
        <f ca="1">IFERROR(__xludf.DUMMYFUNCTION("""COMPUTED_VALUE"""),"-33.407410-71.130413")</f>
        <v>-33.407410-71.130413</v>
      </c>
      <c r="C3000" s="6" t="str">
        <f ca="1">IFERROR(__xludf.DUMMYFUNCTION("""COMPUTED_VALUE"""),"CALLE LAS ROSAS 24")</f>
        <v>CALLE LAS ROSAS 24</v>
      </c>
      <c r="D3000" s="6" t="str">
        <f ca="1">IFERROR(__xludf.DUMMYFUNCTION("""COMPUTED_VALUE"""),"CURACAVI")</f>
        <v>CURACAVI</v>
      </c>
    </row>
    <row r="3001" spans="1:4">
      <c r="A3001" s="7">
        <f ca="1">IFERROR(__xludf.DUMMYFUNCTION("""COMPUTED_VALUE"""),44281)</f>
        <v>44281</v>
      </c>
      <c r="B3001" s="6" t="str">
        <f ca="1">IFERROR(__xludf.DUMMYFUNCTION("""COMPUTED_VALUE"""),"-33.410185-71.066806")</f>
        <v>-33.410185-71.066806</v>
      </c>
      <c r="C3001" s="6" t="str">
        <f ca="1">IFERROR(__xludf.DUMMYFUNCTION("""COMPUTED_VALUE"""),"UNION MIRAFLORES LOTE 5")</f>
        <v>UNION MIRAFLORES LOTE 5</v>
      </c>
      <c r="D3001" s="6" t="str">
        <f ca="1">IFERROR(__xludf.DUMMYFUNCTION("""COMPUTED_VALUE"""),"CURACAVI")</f>
        <v>CURACAVI</v>
      </c>
    </row>
    <row r="3002" spans="1:4">
      <c r="A3002" s="7">
        <f ca="1">IFERROR(__xludf.DUMMYFUNCTION("""COMPUTED_VALUE"""),44281)</f>
        <v>44281</v>
      </c>
      <c r="B3002" s="6" t="str">
        <f ca="1">IFERROR(__xludf.DUMMYFUNCTION("""COMPUTED_VALUE"""),"-33.402310-71.131781")</f>
        <v>-33.402310-71.131781</v>
      </c>
      <c r="C3002" s="6" t="str">
        <f ca="1">IFERROR(__xludf.DUMMYFUNCTION("""COMPUTED_VALUE"""),"WILLIAMS REBOLLEDO 1796")</f>
        <v>WILLIAMS REBOLLEDO 1796</v>
      </c>
      <c r="D3002" s="6" t="str">
        <f ca="1">IFERROR(__xludf.DUMMYFUNCTION("""COMPUTED_VALUE"""),"CURACAVI")</f>
        <v>CURACAVI</v>
      </c>
    </row>
    <row r="3003" spans="1:4">
      <c r="A3003" s="7">
        <f ca="1">IFERROR(__xludf.DUMMYFUNCTION("""COMPUTED_VALUE"""),44281)</f>
        <v>44281</v>
      </c>
      <c r="B3003" s="6" t="str">
        <f ca="1">IFERROR(__xludf.DUMMYFUNCTION("""COMPUTED_VALUE"""),"-33.391096-71.126628")</f>
        <v>-33.391096-71.126628</v>
      </c>
      <c r="C3003" s="6" t="str">
        <f ca="1">IFERROR(__xludf.DUMMYFUNCTION("""COMPUTED_VALUE"""),"LOS PATRIOTAS 1989")</f>
        <v>LOS PATRIOTAS 1989</v>
      </c>
      <c r="D3003" s="6" t="str">
        <f ca="1">IFERROR(__xludf.DUMMYFUNCTION("""COMPUTED_VALUE"""),"CURACAVI")</f>
        <v>CURACAVI</v>
      </c>
    </row>
    <row r="3004" spans="1:4">
      <c r="A3004" s="7">
        <f ca="1">IFERROR(__xludf.DUMMYFUNCTION("""COMPUTED_VALUE"""),44281)</f>
        <v>44281</v>
      </c>
      <c r="B3004" s="6" t="str">
        <f ca="1">IFERROR(__xludf.DUMMYFUNCTION("""COMPUTED_VALUE"""),"-33.400174-70.990383")</f>
        <v>-33.400174-70.990383</v>
      </c>
      <c r="C3004" s="6" t="str">
        <f ca="1">IFERROR(__xludf.DUMMYFUNCTION("""COMPUTED_VALUE"""),"LA AURORA S/N")</f>
        <v>LA AURORA S/N</v>
      </c>
      <c r="D3004" s="6" t="str">
        <f ca="1">IFERROR(__xludf.DUMMYFUNCTION("""COMPUTED_VALUE"""),"CURACAVI")</f>
        <v>CURACAVI</v>
      </c>
    </row>
    <row r="3005" spans="1:4">
      <c r="A3005" s="7">
        <f ca="1">IFERROR(__xludf.DUMMYFUNCTION("""COMPUTED_VALUE"""),44281)</f>
        <v>44281</v>
      </c>
      <c r="B3005" s="6" t="str">
        <f ca="1">IFERROR(__xludf.DUMMYFUNCTION("""COMPUTED_VALUE"""),"-33.071966,-70.718262")</f>
        <v>-33.071966,-70.718262</v>
      </c>
      <c r="C3005" s="6" t="str">
        <f ca="1">IFERROR(__xludf.DUMMYFUNCTION("""COMPUTED_VALUE"""),"EL COLORADO 8 B ")</f>
        <v xml:space="preserve">EL COLORADO 8 B </v>
      </c>
      <c r="D3005" s="6" t="str">
        <f ca="1">IFERROR(__xludf.DUMMYFUNCTION("""COMPUTED_VALUE"""),"COLINA")</f>
        <v>COLINA</v>
      </c>
    </row>
    <row r="3006" spans="1:4">
      <c r="A3006" s="7">
        <f ca="1">IFERROR(__xludf.DUMMYFUNCTION("""COMPUTED_VALUE"""),44281)</f>
        <v>44281</v>
      </c>
      <c r="B3006" s="6" t="str">
        <f ca="1">IFERROR(__xludf.DUMMYFUNCTION("""COMPUTED_VALUE"""),"-33.044054,-706844")</f>
        <v>-33.044054,-706844</v>
      </c>
      <c r="C3006" s="6" t="str">
        <f ca="1">IFERROR(__xludf.DUMMYFUNCTION("""COMPUTED_VALUE"""),"ASENT LA VIRGEN CASA 1 ")</f>
        <v xml:space="preserve">ASENT LA VIRGEN CASA 1 </v>
      </c>
      <c r="D3006" s="6" t="str">
        <f ca="1">IFERROR(__xludf.DUMMYFUNCTION("""COMPUTED_VALUE"""),"COLINA")</f>
        <v>COLINA</v>
      </c>
    </row>
    <row r="3007" spans="1:4">
      <c r="A3007" s="7">
        <f ca="1">IFERROR(__xludf.DUMMYFUNCTION("""COMPUTED_VALUE"""),44282)</f>
        <v>44282</v>
      </c>
      <c r="B3007" s="8" t="str">
        <f ca="1">IFERROR(__xludf.DUMMYFUNCTION("""COMPUTED_VALUE"""),"-33.572263,-71.211379")</f>
        <v>-33.572263,-71.211379</v>
      </c>
      <c r="C3007" s="6" t="str">
        <f ca="1">IFERROR(__xludf.DUMMYFUNCTION("""COMPUTED_VALUE"""),"RANCAGUA 99")</f>
        <v>RANCAGUA 99</v>
      </c>
      <c r="D3007" s="6" t="str">
        <f ca="1">IFERROR(__xludf.DUMMYFUNCTION("""COMPUTED_VALUE"""),"MELIPILLA")</f>
        <v>MELIPILLA</v>
      </c>
    </row>
    <row r="3008" spans="1:4">
      <c r="A3008" s="7">
        <f ca="1">IFERROR(__xludf.DUMMYFUNCTION("""COMPUTED_VALUE"""),44282)</f>
        <v>44282</v>
      </c>
      <c r="B3008" s="8" t="str">
        <f ca="1">IFERROR(__xludf.DUMMYFUNCTION("""COMPUTED_VALUE"""),"-33.629838,-71.225768")</f>
        <v>-33.629838,-71.225768</v>
      </c>
      <c r="C3008" s="6" t="str">
        <f ca="1">IFERROR(__xludf.DUMMYFUNCTION("""COMPUTED_VALUE"""),"SECTOR CHIMBITO S/N ")</f>
        <v xml:space="preserve">SECTOR CHIMBITO S/N </v>
      </c>
      <c r="D3008" s="6" t="str">
        <f ca="1">IFERROR(__xludf.DUMMYFUNCTION("""COMPUTED_VALUE"""),"MELIPILLA")</f>
        <v>MELIPILLA</v>
      </c>
    </row>
    <row r="3009" spans="1:4">
      <c r="A3009" s="7">
        <f ca="1">IFERROR(__xludf.DUMMYFUNCTION("""COMPUTED_VALUE"""),44282)</f>
        <v>44282</v>
      </c>
      <c r="B3009" s="8" t="str">
        <f ca="1">IFERROR(__xludf.DUMMYFUNCTION("""COMPUTED_VALUE"""),"-33.514561,-71.122047")</f>
        <v>-33.514561,-71.122047</v>
      </c>
      <c r="C3009" s="6" t="str">
        <f ca="1">IFERROR(__xludf.DUMMYFUNCTION("""COMPUTED_VALUE"""),"PAUNQUE 316")</f>
        <v>PAUNQUE 316</v>
      </c>
      <c r="D3009" s="6" t="str">
        <f ca="1">IFERROR(__xludf.DUMMYFUNCTION("""COMPUTED_VALUE"""),"MARIA PINTO")</f>
        <v>MARIA PINTO</v>
      </c>
    </row>
    <row r="3010" spans="1:4">
      <c r="A3010" s="7">
        <f ca="1">IFERROR(__xludf.DUMMYFUNCTION("""COMPUTED_VALUE"""),44282)</f>
        <v>44282</v>
      </c>
      <c r="B3010" s="6" t="str">
        <f ca="1">IFERROR(__xludf.DUMMYFUNCTION("""COMPUTED_VALUE"""),"-33.131285-70.800523")</f>
        <v>-33.131285-70.800523</v>
      </c>
      <c r="C3010" s="6" t="str">
        <f ca="1">IFERROR(__xludf.DUMMYFUNCTION("""COMPUTED_VALUE"""),"4 ORIENTE 110")</f>
        <v>4 ORIENTE 110</v>
      </c>
      <c r="D3010" s="6" t="str">
        <f ca="1">IFERROR(__xludf.DUMMYFUNCTION("""COMPUTED_VALUE"""),"TIL TIL")</f>
        <v>TIL TIL</v>
      </c>
    </row>
    <row r="3011" spans="1:4">
      <c r="A3011" s="7">
        <f ca="1">IFERROR(__xludf.DUMMYFUNCTION("""COMPUTED_VALUE"""),44284)</f>
        <v>44284</v>
      </c>
      <c r="B3011" s="8" t="str">
        <f ca="1">IFERROR(__xludf.DUMMYFUNCTION("""COMPUTED_VALUE"""),"-33.677615,-71.234349")</f>
        <v>-33.677615,-71.234349</v>
      </c>
      <c r="C3011" s="6" t="str">
        <f ca="1">IFERROR(__xludf.DUMMYFUNCTION("""COMPUTED_VALUE"""),"PINTOR JOSE PEROTTI 125")</f>
        <v>PINTOR JOSE PEROTTI 125</v>
      </c>
      <c r="D3011" s="6" t="str">
        <f ca="1">IFERROR(__xludf.DUMMYFUNCTION("""COMPUTED_VALUE"""),"MELIPILLA")</f>
        <v>MELIPILLA</v>
      </c>
    </row>
    <row r="3012" spans="1:4">
      <c r="A3012" s="7">
        <f ca="1">IFERROR(__xludf.DUMMYFUNCTION("""COMPUTED_VALUE"""),44284)</f>
        <v>44284</v>
      </c>
      <c r="B3012" s="8" t="str">
        <f ca="1">IFERROR(__xludf.DUMMYFUNCTION("""COMPUTED_VALUE"""),"-33.580477,-71.045109")</f>
        <v>-33.580477,-71.045109</v>
      </c>
      <c r="C3012" s="6" t="str">
        <f ca="1">IFERROR(__xludf.DUMMYFUNCTION("""COMPUTED_VALUE"""),"STA TERESA MALLARAUCO PARCELA 1")</f>
        <v>STA TERESA MALLARAUCO PARCELA 1</v>
      </c>
      <c r="D3012" s="6" t="str">
        <f ca="1">IFERROR(__xludf.DUMMYFUNCTION("""COMPUTED_VALUE"""),"MELIPILLA")</f>
        <v>MELIPILLA</v>
      </c>
    </row>
    <row r="3013" spans="1:4">
      <c r="A3013" s="7">
        <f ca="1">IFERROR(__xludf.DUMMYFUNCTION("""COMPUTED_VALUE"""),44284)</f>
        <v>44284</v>
      </c>
      <c r="B3013" s="8" t="str">
        <f ca="1">IFERROR(__xludf.DUMMYFUNCTION("""COMPUTED_VALUE"""),"-33.576131,-71.176352")</f>
        <v>-33.576131,-71.176352</v>
      </c>
      <c r="C3013" s="6" t="str">
        <f ca="1">IFERROR(__xludf.DUMMYFUNCTION("""COMPUTED_VALUE"""),"SANTA LUCIA S/N BOLLENAR ")</f>
        <v xml:space="preserve">SANTA LUCIA S/N BOLLENAR </v>
      </c>
      <c r="D3013" s="6" t="str">
        <f ca="1">IFERROR(__xludf.DUMMYFUNCTION("""COMPUTED_VALUE"""),"MELIPILLA")</f>
        <v>MELIPILLA</v>
      </c>
    </row>
    <row r="3014" spans="1:4">
      <c r="A3014" s="7">
        <f ca="1">IFERROR(__xludf.DUMMYFUNCTION("""COMPUTED_VALUE"""),44284)</f>
        <v>44284</v>
      </c>
      <c r="B3014" s="8" t="str">
        <f ca="1">IFERROR(__xludf.DUMMYFUNCTION("""COMPUTED_VALUE"""),"-33.571758,-71.210726")</f>
        <v>-33.571758,-71.210726</v>
      </c>
      <c r="C3014" s="6" t="str">
        <f ca="1">IFERROR(__xludf.DUMMYFUNCTION("""COMPUTED_VALUE"""),"SECTOR MIRAMAR BOLLENAR")</f>
        <v>SECTOR MIRAMAR BOLLENAR</v>
      </c>
      <c r="D3014" s="6" t="str">
        <f ca="1">IFERROR(__xludf.DUMMYFUNCTION("""COMPUTED_VALUE"""),"MELIPILLA")</f>
        <v>MELIPILLA</v>
      </c>
    </row>
    <row r="3015" spans="1:4">
      <c r="A3015" s="7">
        <f ca="1">IFERROR(__xludf.DUMMYFUNCTION("""COMPUTED_VALUE"""),44284)</f>
        <v>44284</v>
      </c>
      <c r="B3015" s="8" t="str">
        <f ca="1">IFERROR(__xludf.DUMMYFUNCTION("""COMPUTED_VALUE"""),"-33.788075,-71.292579")</f>
        <v>-33.788075,-71.292579</v>
      </c>
      <c r="C3015" s="6" t="str">
        <f ca="1">IFERROR(__xludf.DUMMYFUNCTION("""COMPUTED_VALUE"""),"STA CECILIA 190 ")</f>
        <v xml:space="preserve">STA CECILIA 190 </v>
      </c>
      <c r="D3015" s="6" t="str">
        <f ca="1">IFERROR(__xludf.DUMMYFUNCTION("""COMPUTED_VALUE"""),"MELIPILLA")</f>
        <v>MELIPILLA</v>
      </c>
    </row>
    <row r="3016" spans="1:4">
      <c r="A3016" s="7">
        <f ca="1">IFERROR(__xludf.DUMMYFUNCTION("""COMPUTED_VALUE"""),44284)</f>
        <v>44284</v>
      </c>
      <c r="B3016" s="8" t="str">
        <f ca="1">IFERROR(__xludf.DUMMYFUNCTION("""COMPUTED_VALUE"""),"-33.744644,-71.192145")</f>
        <v>-33.744644,-71.192145</v>
      </c>
      <c r="C3016" s="6" t="str">
        <f ca="1">IFERROR(__xludf.DUMMYFUNCTION("""COMPUTED_VALUE"""),"CALLE BULNES 151 LOTE 4 ")</f>
        <v xml:space="preserve">CALLE BULNES 151 LOTE 4 </v>
      </c>
      <c r="D3016" s="6" t="str">
        <f ca="1">IFERROR(__xludf.DUMMYFUNCTION("""COMPUTED_VALUE"""),"MELIPILLA")</f>
        <v>MELIPILLA</v>
      </c>
    </row>
    <row r="3017" spans="1:4">
      <c r="A3017" s="7">
        <f ca="1">IFERROR(__xludf.DUMMYFUNCTION("""COMPUTED_VALUE"""),44284)</f>
        <v>44284</v>
      </c>
      <c r="B3017" s="8" t="str">
        <f ca="1">IFERROR(__xludf.DUMMYFUNCTION("""COMPUTED_VALUE"""),"-33.770357,-71.273218")</f>
        <v>-33.770357,-71.273218</v>
      </c>
      <c r="C3017" s="6" t="str">
        <f ca="1">IFERROR(__xludf.DUMMYFUNCTION("""COMPUTED_VALUE"""),"EUROPA ORIENTE SAN MANUEL ")</f>
        <v xml:space="preserve">EUROPA ORIENTE SAN MANUEL </v>
      </c>
      <c r="D3017" s="6" t="str">
        <f ca="1">IFERROR(__xludf.DUMMYFUNCTION("""COMPUTED_VALUE"""),"MELIPILLA")</f>
        <v>MELIPILLA</v>
      </c>
    </row>
    <row r="3018" spans="1:4">
      <c r="A3018" s="7">
        <f ca="1">IFERROR(__xludf.DUMMYFUNCTION("""COMPUTED_VALUE"""),44284)</f>
        <v>44284</v>
      </c>
      <c r="B3018" s="8" t="str">
        <f ca="1">IFERROR(__xludf.DUMMYFUNCTION("""COMPUTED_VALUE"""),"-33.781263,-71.321698")</f>
        <v>-33.781263,-71.321698</v>
      </c>
      <c r="C3018" s="6" t="str">
        <f ca="1">IFERROR(__xludf.DUMMYFUNCTION("""COMPUTED_VALUE"""),"LAS LOMAS DE SAN ANTONIO ")</f>
        <v xml:space="preserve">LAS LOMAS DE SAN ANTONIO </v>
      </c>
      <c r="D3018" s="6" t="str">
        <f ca="1">IFERROR(__xludf.DUMMYFUNCTION("""COMPUTED_VALUE"""),"MELIPILLA")</f>
        <v>MELIPILLA</v>
      </c>
    </row>
    <row r="3019" spans="1:4">
      <c r="A3019" s="7">
        <f ca="1">IFERROR(__xludf.DUMMYFUNCTION("""COMPUTED_VALUE"""),44284)</f>
        <v>44284</v>
      </c>
      <c r="B3019" s="6" t="str">
        <f ca="1">IFERROR(__xludf.DUMMYFUNCTION("""COMPUTED_VALUE"""),"-33.130901-70.800715")</f>
        <v>-33.130901-70.800715</v>
      </c>
      <c r="C3019" s="6" t="str">
        <f ca="1">IFERROR(__xludf.DUMMYFUNCTION("""COMPUTED_VALUE"""),"4 ORIENTE 100")</f>
        <v>4 ORIENTE 100</v>
      </c>
      <c r="D3019" s="6" t="str">
        <f ca="1">IFERROR(__xludf.DUMMYFUNCTION("""COMPUTED_VALUE"""),"TIL TIL")</f>
        <v>TIL TIL</v>
      </c>
    </row>
    <row r="3020" spans="1:4">
      <c r="A3020" s="7">
        <f ca="1">IFERROR(__xludf.DUMMYFUNCTION("""COMPUTED_VALUE"""),44284)</f>
        <v>44284</v>
      </c>
      <c r="B3020" s="6" t="str">
        <f ca="1">IFERROR(__xludf.DUMMYFUNCTION("""COMPUTED_VALUE"""),"-33.131285-70.800523")</f>
        <v>-33.131285-70.800523</v>
      </c>
      <c r="C3020" s="6" t="str">
        <f ca="1">IFERROR(__xludf.DUMMYFUNCTION("""COMPUTED_VALUE"""),"4 ORIENTE 110")</f>
        <v>4 ORIENTE 110</v>
      </c>
      <c r="D3020" s="6" t="str">
        <f ca="1">IFERROR(__xludf.DUMMYFUNCTION("""COMPUTED_VALUE"""),"TIL TIL")</f>
        <v>TIL TIL</v>
      </c>
    </row>
    <row r="3021" spans="1:4">
      <c r="A3021" s="7">
        <f ca="1">IFERROR(__xludf.DUMMYFUNCTION("""COMPUTED_VALUE"""),44284)</f>
        <v>44284</v>
      </c>
      <c r="B3021" s="6" t="str">
        <f ca="1">IFERROR(__xludf.DUMMYFUNCTION("""COMPUTED_VALUE"""),"-33.396024-71.125760")</f>
        <v>-33.396024-71.125760</v>
      </c>
      <c r="C3021" s="6" t="str">
        <f ca="1">IFERROR(__xludf.DUMMYFUNCTION("""COMPUTED_VALUE"""),"LUIS CRUCHAGA 675")</f>
        <v>LUIS CRUCHAGA 675</v>
      </c>
      <c r="D3021" s="6" t="str">
        <f ca="1">IFERROR(__xludf.DUMMYFUNCTION("""COMPUTED_VALUE"""),"CURACAVI")</f>
        <v>CURACAVI</v>
      </c>
    </row>
    <row r="3022" spans="1:4">
      <c r="A3022" s="7">
        <f ca="1">IFERROR(__xludf.DUMMYFUNCTION("""COMPUTED_VALUE"""),44284)</f>
        <v>44284</v>
      </c>
      <c r="B3022" s="6" t="str">
        <f ca="1">IFERROR(__xludf.DUMMYFUNCTION("""COMPUTED_VALUE"""),"-33.396024-71.125760")</f>
        <v>-33.396024-71.125760</v>
      </c>
      <c r="C3022" s="6" t="str">
        <f ca="1">IFERROR(__xludf.DUMMYFUNCTION("""COMPUTED_VALUE"""),"LUIS CRUCHAGA 675")</f>
        <v>LUIS CRUCHAGA 675</v>
      </c>
      <c r="D3022" s="6" t="str">
        <f ca="1">IFERROR(__xludf.DUMMYFUNCTION("""COMPUTED_VALUE"""),"CURACAVI")</f>
        <v>CURACAVI</v>
      </c>
    </row>
    <row r="3023" spans="1:4">
      <c r="A3023" s="7">
        <f ca="1">IFERROR(__xludf.DUMMYFUNCTION("""COMPUTED_VALUE"""),44284)</f>
        <v>44284</v>
      </c>
      <c r="B3023" s="6" t="str">
        <f ca="1">IFERROR(__xludf.DUMMYFUNCTION("""COMPUTED_VALUE"""),"-33.391367-71.126185")</f>
        <v>-33.391367-71.126185</v>
      </c>
      <c r="C3023" s="6" t="str">
        <f ca="1">IFERROR(__xludf.DUMMYFUNCTION("""COMPUTED_VALUE"""),"JAVIERA CARRERA 2004")</f>
        <v>JAVIERA CARRERA 2004</v>
      </c>
      <c r="D3023" s="6" t="str">
        <f ca="1">IFERROR(__xludf.DUMMYFUNCTION("""COMPUTED_VALUE"""),"CURACAVI")</f>
        <v>CURACAVI</v>
      </c>
    </row>
    <row r="3024" spans="1:4">
      <c r="A3024" s="7">
        <f ca="1">IFERROR(__xludf.DUMMYFUNCTION("""COMPUTED_VALUE"""),44284)</f>
        <v>44284</v>
      </c>
      <c r="B3024" s="6" t="str">
        <f ca="1">IFERROR(__xludf.DUMMYFUNCTION("""COMPUTED_VALUE"""),"-33.286479,-70.709973")</f>
        <v>-33.286479,-70.709973</v>
      </c>
      <c r="C3024" s="6" t="str">
        <f ca="1">IFERROR(__xludf.DUMMYFUNCTION("""COMPUTED_VALUE"""),"CALLE COND EL ALGARROBAL PARC U 53 ")</f>
        <v xml:space="preserve">CALLE COND EL ALGARROBAL PARC U 53 </v>
      </c>
      <c r="D3024" s="6" t="str">
        <f ca="1">IFERROR(__xludf.DUMMYFUNCTION("""COMPUTED_VALUE"""),"COLINA")</f>
        <v>COLINA</v>
      </c>
    </row>
    <row r="3025" spans="1:4">
      <c r="A3025" s="7">
        <f ca="1">IFERROR(__xludf.DUMMYFUNCTION("""COMPUTED_VALUE"""),44284)</f>
        <v>44284</v>
      </c>
      <c r="B3025" s="6" t="str">
        <f ca="1">IFERROR(__xludf.DUMMYFUNCTION("""COMPUTED_VALUE"""),"-33.286479,-70.709973")</f>
        <v>-33.286479,-70.709973</v>
      </c>
      <c r="C3025" s="6" t="str">
        <f ca="1">IFERROR(__xludf.DUMMYFUNCTION("""COMPUTED_VALUE"""),"CALLE COND EL ALGARROBAL PARC U 53 ")</f>
        <v xml:space="preserve">CALLE COND EL ALGARROBAL PARC U 53 </v>
      </c>
      <c r="D3025" s="6" t="str">
        <f ca="1">IFERROR(__xludf.DUMMYFUNCTION("""COMPUTED_VALUE"""),"COLINA")</f>
        <v>COLINA</v>
      </c>
    </row>
    <row r="3026" spans="1:4">
      <c r="A3026" s="7">
        <f ca="1">IFERROR(__xludf.DUMMYFUNCTION("""COMPUTED_VALUE"""),44285)</f>
        <v>44285</v>
      </c>
      <c r="B3026" s="8" t="str">
        <f ca="1">IFERROR(__xludf.DUMMYFUNCTION("""COMPUTED_VALUE"""),"-33.511676,-71.243882")</f>
        <v>-33.511676,-71.243882</v>
      </c>
      <c r="C3026" s="6" t="str">
        <f ca="1">IFERROR(__xludf.DUMMYFUNCTION("""COMPUTED_VALUE"""),"LOS QUILLAYES SITIO E")</f>
        <v>LOS QUILLAYES SITIO E</v>
      </c>
      <c r="D3026" s="6" t="str">
        <f ca="1">IFERROR(__xludf.DUMMYFUNCTION("""COMPUTED_VALUE"""),"MELIPILLA")</f>
        <v>MELIPILLA</v>
      </c>
    </row>
    <row r="3027" spans="1:4">
      <c r="A3027" s="7">
        <f ca="1">IFERROR(__xludf.DUMMYFUNCTION("""COMPUTED_VALUE"""),44285)</f>
        <v>44285</v>
      </c>
      <c r="B3027" s="8" t="str">
        <f ca="1">IFERROR(__xludf.DUMMYFUNCTION("""COMPUTED_VALUE"""),"-33,5673535,-71.158317")</f>
        <v>-33,5673535,-71.158317</v>
      </c>
      <c r="C3027" s="6" t="str">
        <f ca="1">IFERROR(__xludf.DUMMYFUNCTION("""COMPUTED_VALUE"""),"SAN RAMON MALLARAUCO")</f>
        <v>SAN RAMON MALLARAUCO</v>
      </c>
      <c r="D3027" s="6" t="str">
        <f ca="1">IFERROR(__xludf.DUMMYFUNCTION("""COMPUTED_VALUE"""),"MELIPILLA")</f>
        <v>MELIPILLA</v>
      </c>
    </row>
    <row r="3028" spans="1:4">
      <c r="A3028" s="7">
        <f ca="1">IFERROR(__xludf.DUMMYFUNCTION("""COMPUTED_VALUE"""),44285)</f>
        <v>44285</v>
      </c>
      <c r="B3028" s="8" t="str">
        <f ca="1">IFERROR(__xludf.DUMMYFUNCTION("""COMPUTED_VALUE"""),"-33.67796,-71.3247932")</f>
        <v>-33.67796,-71.3247932</v>
      </c>
      <c r="C3028" s="6" t="str">
        <f ca="1">IFERROR(__xludf.DUMMYFUNCTION("""COMPUTED_VALUE"""),"PINTOR JOSE PEROTTI 178")</f>
        <v>PINTOR JOSE PEROTTI 178</v>
      </c>
      <c r="D3028" s="6" t="str">
        <f ca="1">IFERROR(__xludf.DUMMYFUNCTION("""COMPUTED_VALUE"""),"MELIPILLA")</f>
        <v>MELIPILLA</v>
      </c>
    </row>
    <row r="3029" spans="1:4">
      <c r="A3029" s="7">
        <f ca="1">IFERROR(__xludf.DUMMYFUNCTION("""COMPUTED_VALUE"""),44285)</f>
        <v>44285</v>
      </c>
      <c r="B3029" s="8" t="str">
        <f ca="1">IFERROR(__xludf.DUMMYFUNCTION("""COMPUTED_VALUE"""),"-33.572002,-71.211261")</f>
        <v>-33.572002,-71.211261</v>
      </c>
      <c r="C3029" s="6" t="str">
        <f ca="1">IFERROR(__xludf.DUMMYFUNCTION("""COMPUTED_VALUE"""),"CALLE RANCAGUA BOLLENAR ")</f>
        <v xml:space="preserve">CALLE RANCAGUA BOLLENAR </v>
      </c>
      <c r="D3029" s="6" t="str">
        <f ca="1">IFERROR(__xludf.DUMMYFUNCTION("""COMPUTED_VALUE"""),"MELIPILLA")</f>
        <v>MELIPILLA</v>
      </c>
    </row>
    <row r="3030" spans="1:4">
      <c r="A3030" s="7">
        <f ca="1">IFERROR(__xludf.DUMMYFUNCTION("""COMPUTED_VALUE"""),44285)</f>
        <v>44285</v>
      </c>
      <c r="B3030" s="8" t="str">
        <f ca="1">IFERROR(__xludf.DUMMYFUNCTION("""COMPUTED_VALUE"""),"-33.768003,-71.268001")</f>
        <v>-33.768003,-71.268001</v>
      </c>
      <c r="C3030" s="6" t="str">
        <f ca="1">IFERROR(__xludf.DUMMYFUNCTION("""COMPUTED_VALUE"""),"EUROPA PONIENTE S/N")</f>
        <v>EUROPA PONIENTE S/N</v>
      </c>
      <c r="D3030" s="6" t="str">
        <f ca="1">IFERROR(__xludf.DUMMYFUNCTION("""COMPUTED_VALUE"""),"MELIPILLA")</f>
        <v>MELIPILLA</v>
      </c>
    </row>
    <row r="3031" spans="1:4">
      <c r="A3031" s="7">
        <f ca="1">IFERROR(__xludf.DUMMYFUNCTION("""COMPUTED_VALUE"""),44285)</f>
        <v>44285</v>
      </c>
      <c r="B3031" s="8" t="str">
        <f ca="1">IFERROR(__xludf.DUMMYFUNCTION("""COMPUTED_VALUE"""),"-33.744677,-71.192285")</f>
        <v>-33.744677,-71.192285</v>
      </c>
      <c r="C3031" s="6" t="str">
        <f ca="1">IFERROR(__xludf.DUMMYFUNCTION("""COMPUTED_VALUE"""),"BULNES PARCELA 13")</f>
        <v>BULNES PARCELA 13</v>
      </c>
      <c r="D3031" s="6" t="str">
        <f ca="1">IFERROR(__xludf.DUMMYFUNCTION("""COMPUTED_VALUE"""),"MELIPILLA")</f>
        <v>MELIPILLA</v>
      </c>
    </row>
    <row r="3032" spans="1:4">
      <c r="A3032" s="7">
        <f ca="1">IFERROR(__xludf.DUMMYFUNCTION("""COMPUTED_VALUE"""),44285)</f>
        <v>44285</v>
      </c>
      <c r="B3032" s="8" t="str">
        <f ca="1">IFERROR(__xludf.DUMMYFUNCTION("""COMPUTED_VALUE"""),"-33.687374,-71.210444")</f>
        <v>-33.687374,-71.210444</v>
      </c>
      <c r="C3032" s="6" t="str">
        <f ca="1">IFERROR(__xludf.DUMMYFUNCTION("""COMPUTED_VALUE"""),"VALDES 262")</f>
        <v>VALDES 262</v>
      </c>
      <c r="D3032" s="6" t="str">
        <f ca="1">IFERROR(__xludf.DUMMYFUNCTION("""COMPUTED_VALUE"""),"MELIPILLA")</f>
        <v>MELIPILLA</v>
      </c>
    </row>
    <row r="3033" spans="1:4">
      <c r="A3033" s="7">
        <f ca="1">IFERROR(__xludf.DUMMYFUNCTION("""COMPUTED_VALUE"""),44285)</f>
        <v>44285</v>
      </c>
      <c r="B3033" s="8" t="str">
        <f ca="1">IFERROR(__xludf.DUMMYFUNCTION("""COMPUTED_VALUE"""),"-33.87617,-71.987111")</f>
        <v>-33.87617,-71.987111</v>
      </c>
      <c r="C3033" s="6" t="str">
        <f ca="1">IFERROR(__xludf.DUMMYFUNCTION("""COMPUTED_VALUE"""),"GRANADA 64 ")</f>
        <v xml:space="preserve">GRANADA 64 </v>
      </c>
      <c r="D3033" s="6" t="str">
        <f ca="1">IFERROR(__xludf.DUMMYFUNCTION("""COMPUTED_VALUE"""),"MELIPILLA")</f>
        <v>MELIPILLA</v>
      </c>
    </row>
    <row r="3034" spans="1:4">
      <c r="A3034" s="7">
        <f ca="1">IFERROR(__xludf.DUMMYFUNCTION("""COMPUTED_VALUE"""),44285)</f>
        <v>44285</v>
      </c>
      <c r="B3034" s="8" t="str">
        <f ca="1">IFERROR(__xludf.DUMMYFUNCTION("""COMPUTED_VALUE"""),"-33.678228,-71.187037")</f>
        <v>-33.678228,-71.187037</v>
      </c>
      <c r="C3034" s="6" t="str">
        <f ca="1">IFERROR(__xludf.DUMMYFUNCTION("""COMPUTED_VALUE"""),"CHININHUE 013 LA RINCONADA ")</f>
        <v xml:space="preserve">CHININHUE 013 LA RINCONADA </v>
      </c>
      <c r="D3034" s="6" t="str">
        <f ca="1">IFERROR(__xludf.DUMMYFUNCTION("""COMPUTED_VALUE"""),"MELIPILLA")</f>
        <v>MELIPILLA</v>
      </c>
    </row>
    <row r="3035" spans="1:4">
      <c r="A3035" s="7">
        <f ca="1">IFERROR(__xludf.DUMMYFUNCTION("""COMPUTED_VALUE"""),44285)</f>
        <v>44285</v>
      </c>
      <c r="B3035" s="8" t="str">
        <f ca="1">IFERROR(__xludf.DUMMYFUNCTION("""COMPUTED_VALUE"""),"-33.684659,-71.198255")</f>
        <v>-33.684659,-71.198255</v>
      </c>
      <c r="C3035" s="6" t="str">
        <f ca="1">IFERROR(__xludf.DUMMYFUNCTION("""COMPUTED_VALUE"""),"AGUSTIN MARIN 0666")</f>
        <v>AGUSTIN MARIN 0666</v>
      </c>
      <c r="D3035" s="6" t="str">
        <f ca="1">IFERROR(__xludf.DUMMYFUNCTION("""COMPUTED_VALUE"""),"MELIPILLA")</f>
        <v>MELIPILLA</v>
      </c>
    </row>
    <row r="3036" spans="1:4">
      <c r="A3036" s="7">
        <f ca="1">IFERROR(__xludf.DUMMYFUNCTION("""COMPUTED_VALUE"""),44285)</f>
        <v>44285</v>
      </c>
      <c r="B3036" s="6" t="str">
        <f ca="1">IFERROR(__xludf.DUMMYFUNCTION("""COMPUTED_VALUE"""),"-33.453848-71.025185")</f>
        <v>-33.453848-71.025185</v>
      </c>
      <c r="C3036" s="6" t="str">
        <f ca="1">IFERROR(__xludf.DUMMYFUNCTION("""COMPUTED_VALUE"""),"UNION CHILENA 537")</f>
        <v>UNION CHILENA 537</v>
      </c>
      <c r="D3036" s="6" t="str">
        <f ca="1">IFERROR(__xludf.DUMMYFUNCTION("""COMPUTED_VALUE"""),"CURACAVI")</f>
        <v>CURACAVI</v>
      </c>
    </row>
    <row r="3037" spans="1:4">
      <c r="A3037" s="7">
        <f ca="1">IFERROR(__xludf.DUMMYFUNCTION("""COMPUTED_VALUE"""),44285)</f>
        <v>44285</v>
      </c>
      <c r="B3037" s="6" t="str">
        <f ca="1">IFERROR(__xludf.DUMMYFUNCTION("""COMPUTED_VALUE"""),"-33.454236-71.024852")</f>
        <v>-33.454236-71.024852</v>
      </c>
      <c r="C3037" s="6" t="str">
        <f ca="1">IFERROR(__xludf.DUMMYFUNCTION("""COMPUTED_VALUE"""),"UNION CHILENA 537")</f>
        <v>UNION CHILENA 537</v>
      </c>
      <c r="D3037" s="6" t="str">
        <f ca="1">IFERROR(__xludf.DUMMYFUNCTION("""COMPUTED_VALUE"""),"CURACAVI")</f>
        <v>CURACAVI</v>
      </c>
    </row>
    <row r="3038" spans="1:4">
      <c r="A3038" s="7">
        <f ca="1">IFERROR(__xludf.DUMMYFUNCTION("""COMPUTED_VALUE"""),44285)</f>
        <v>44285</v>
      </c>
      <c r="B3038" s="6" t="str">
        <f ca="1">IFERROR(__xludf.DUMMYFUNCTION("""COMPUTED_VALUE"""),"-33.407891-71.132519")</f>
        <v>-33.407891-71.132519</v>
      </c>
      <c r="C3038" s="6" t="str">
        <f ca="1">IFERROR(__xludf.DUMMYFUNCTION("""COMPUTED_VALUE"""),"PJE UNO 1617")</f>
        <v>PJE UNO 1617</v>
      </c>
      <c r="D3038" s="6" t="str">
        <f ca="1">IFERROR(__xludf.DUMMYFUNCTION("""COMPUTED_VALUE"""),"CURACAVI")</f>
        <v>CURACAVI</v>
      </c>
    </row>
    <row r="3039" spans="1:4">
      <c r="A3039" s="7">
        <f ca="1">IFERROR(__xludf.DUMMYFUNCTION("""COMPUTED_VALUE"""),44285)</f>
        <v>44285</v>
      </c>
      <c r="B3039" s="6" t="str">
        <f ca="1">IFERROR(__xludf.DUMMYFUNCTION("""COMPUTED_VALUE"""),"-33.391169-71.126545")</f>
        <v>-33.391169-71.126545</v>
      </c>
      <c r="C3039" s="6" t="str">
        <f ca="1">IFERROR(__xludf.DUMMYFUNCTION("""COMPUTED_VALUE"""),"LOS PATRIOTAS 1991")</f>
        <v>LOS PATRIOTAS 1991</v>
      </c>
      <c r="D3039" s="6" t="str">
        <f ca="1">IFERROR(__xludf.DUMMYFUNCTION("""COMPUTED_VALUE"""),"CURACAVI")</f>
        <v>CURACAVI</v>
      </c>
    </row>
    <row r="3040" spans="1:4">
      <c r="A3040" s="7">
        <f ca="1">IFERROR(__xludf.DUMMYFUNCTION("""COMPUTED_VALUE"""),44285)</f>
        <v>44285</v>
      </c>
      <c r="B3040" s="6" t="str">
        <f ca="1">IFERROR(__xludf.DUMMYFUNCTION("""COMPUTED_VALUE"""),"-33.520885-71.121297")</f>
        <v>-33.520885-71.121297</v>
      </c>
      <c r="C3040" s="6" t="str">
        <f ca="1">IFERROR(__xludf.DUMMYFUNCTION("""COMPUTED_VALUE"""),"VICTOR BRAUN 220")</f>
        <v>VICTOR BRAUN 220</v>
      </c>
      <c r="D3040" s="6" t="str">
        <f ca="1">IFERROR(__xludf.DUMMYFUNCTION("""COMPUTED_VALUE"""),"MARIA PINTO")</f>
        <v>MARIA PINTO</v>
      </c>
    </row>
    <row r="3041" spans="1:4">
      <c r="A3041" s="7">
        <f ca="1">IFERROR(__xludf.DUMMYFUNCTION("""COMPUTED_VALUE"""),44285)</f>
        <v>44285</v>
      </c>
      <c r="B3041" s="6" t="str">
        <f ca="1">IFERROR(__xludf.DUMMYFUNCTION("""COMPUTED_VALUE"""),"-33.27951-70.88398")</f>
        <v>-33.27951-70.88398</v>
      </c>
      <c r="C3041" s="6" t="str">
        <f ca="1">IFERROR(__xludf.DUMMYFUNCTION("""COMPUTED_VALUE"""),"ROBLES BLANCO 274")</f>
        <v>ROBLES BLANCO 274</v>
      </c>
      <c r="D3041" s="6" t="str">
        <f ca="1">IFERROR(__xludf.DUMMYFUNCTION("""COMPUTED_VALUE"""),"LAMPA")</f>
        <v>LAMPA</v>
      </c>
    </row>
    <row r="3042" spans="1:4">
      <c r="A3042" s="7">
        <f ca="1">IFERROR(__xludf.DUMMYFUNCTION("""COMPUTED_VALUE"""),44285)</f>
        <v>44285</v>
      </c>
      <c r="B3042" s="6" t="str">
        <f ca="1">IFERROR(__xludf.DUMMYFUNCTION("""COMPUTED_VALUE"""),"-33.24388-70.77472")</f>
        <v>-33.24388-70.77472</v>
      </c>
      <c r="C3042" s="6" t="str">
        <f ca="1">IFERROR(__xludf.DUMMYFUNCTION("""COMPUTED_VALUE"""),"VECINAL P/2 LOC A 2")</f>
        <v>VECINAL P/2 LOC A 2</v>
      </c>
      <c r="D3042" s="6" t="str">
        <f ca="1">IFERROR(__xludf.DUMMYFUNCTION("""COMPUTED_VALUE"""),"LAMPA")</f>
        <v>LAMPA</v>
      </c>
    </row>
    <row r="3043" spans="1:4">
      <c r="A3043" s="7">
        <f ca="1">IFERROR(__xludf.DUMMYFUNCTION("""COMPUTED_VALUE"""),44285)</f>
        <v>44285</v>
      </c>
      <c r="B3043" s="6" t="str">
        <f ca="1">IFERROR(__xludf.DUMMYFUNCTION("""COMPUTED_VALUE"""),"-33.040765,-70.691717")</f>
        <v>-33.040765,-70.691717</v>
      </c>
      <c r="C3043" s="6" t="str">
        <f ca="1">IFERROR(__xludf.DUMMYFUNCTION("""COMPUTED_VALUE"""),"PJE CAMINO INTERIOR S/N LOTE 23 1A EL OLIVA ST 22")</f>
        <v>PJE CAMINO INTERIOR S/N LOTE 23 1A EL OLIVA ST 22</v>
      </c>
      <c r="D3043" s="6" t="str">
        <f ca="1">IFERROR(__xludf.DUMMYFUNCTION("""COMPUTED_VALUE"""),"COLINA")</f>
        <v>COLINA</v>
      </c>
    </row>
    <row r="3044" spans="1:4">
      <c r="A3044" s="7">
        <f ca="1">IFERROR(__xludf.DUMMYFUNCTION("""COMPUTED_VALUE"""),44285)</f>
        <v>44285</v>
      </c>
      <c r="B3044" s="6" t="str">
        <f ca="1">IFERROR(__xludf.DUMMYFUNCTION("""COMPUTED_VALUE"""),"-33.024446,-70.685749")</f>
        <v>-33.024446,-70.685749</v>
      </c>
      <c r="C3044" s="6" t="str">
        <f ca="1">IFERROR(__xludf.DUMMYFUNCTION("""COMPUTED_VALUE"""),"TAHUALTACA SIT 9 L 2A")</f>
        <v>TAHUALTACA SIT 9 L 2A</v>
      </c>
      <c r="D3044" s="6" t="str">
        <f ca="1">IFERROR(__xludf.DUMMYFUNCTION("""COMPUTED_VALUE"""),"COLINA")</f>
        <v>COLINA</v>
      </c>
    </row>
    <row r="3045" spans="1:4">
      <c r="A3045" s="7">
        <f ca="1">IFERROR(__xludf.DUMMYFUNCTION("""COMPUTED_VALUE"""),44286)</f>
        <v>44286</v>
      </c>
      <c r="B3045" s="8" t="str">
        <f ca="1">IFERROR(__xludf.DUMMYFUNCTION("""COMPUTED_VALUE"""),"-33.567903,-71.221226")</f>
        <v>-33.567903,-71.221226</v>
      </c>
      <c r="C3045" s="6" t="str">
        <f ca="1">IFERROR(__xludf.DUMMYFUNCTION("""COMPUTED_VALUE"""),"LAS PERDICES S/N BOLLENAR")</f>
        <v>LAS PERDICES S/N BOLLENAR</v>
      </c>
      <c r="D3045" s="6" t="str">
        <f ca="1">IFERROR(__xludf.DUMMYFUNCTION("""COMPUTED_VALUE"""),"MELIPILLA")</f>
        <v>MELIPILLA</v>
      </c>
    </row>
    <row r="3046" spans="1:4">
      <c r="A3046" s="7">
        <f ca="1">IFERROR(__xludf.DUMMYFUNCTION("""COMPUTED_VALUE"""),44286)</f>
        <v>44286</v>
      </c>
      <c r="B3046" s="8" t="str">
        <f ca="1">IFERROR(__xludf.DUMMYFUNCTION("""COMPUTED_VALUE"""),"-33.5716056,-71.211477")</f>
        <v>-33.5716056,-71.211477</v>
      </c>
      <c r="C3046" s="6" t="str">
        <f ca="1">IFERROR(__xludf.DUMMYFUNCTION("""COMPUTED_VALUE"""),"RANCAGUA 37 BOLLENAR")</f>
        <v>RANCAGUA 37 BOLLENAR</v>
      </c>
      <c r="D3046" s="6" t="str">
        <f ca="1">IFERROR(__xludf.DUMMYFUNCTION("""COMPUTED_VALUE"""),"MELIPILLA")</f>
        <v>MELIPILLA</v>
      </c>
    </row>
    <row r="3047" spans="1:4">
      <c r="A3047" s="7">
        <f ca="1">IFERROR(__xludf.DUMMYFUNCTION("""COMPUTED_VALUE"""),44286)</f>
        <v>44286</v>
      </c>
      <c r="B3047" s="8" t="str">
        <f ca="1">IFERROR(__xludf.DUMMYFUNCTION("""COMPUTED_VALUE"""),"-33.576100,-71.185888")</f>
        <v>-33.576100,-71.185888</v>
      </c>
      <c r="C3047" s="6" t="str">
        <f ca="1">IFERROR(__xludf.DUMMYFUNCTION("""COMPUTED_VALUE"""),"JUAN PABLO II 161 ")</f>
        <v xml:space="preserve">JUAN PABLO II 161 </v>
      </c>
      <c r="D3047" s="6" t="str">
        <f ca="1">IFERROR(__xludf.DUMMYFUNCTION("""COMPUTED_VALUE"""),"MELIPILLA")</f>
        <v>MELIPILLA</v>
      </c>
    </row>
    <row r="3048" spans="1:4">
      <c r="A3048" s="7">
        <f ca="1">IFERROR(__xludf.DUMMYFUNCTION("""COMPUTED_VALUE"""),44286)</f>
        <v>44286</v>
      </c>
      <c r="B3048" s="8" t="str">
        <f ca="1">IFERROR(__xludf.DUMMYFUNCTION("""COMPUTED_VALUE"""),"-33.5795896,-71.026582")</f>
        <v>-33.5795896,-71.026582</v>
      </c>
      <c r="C3048" s="6" t="str">
        <f ca="1">IFERROR(__xludf.DUMMYFUNCTION("""COMPUTED_VALUE"""),"SECTOR MALLARAUCO S/N")</f>
        <v>SECTOR MALLARAUCO S/N</v>
      </c>
      <c r="D3048" s="6" t="str">
        <f ca="1">IFERROR(__xludf.DUMMYFUNCTION("""COMPUTED_VALUE"""),"MELIPILLA")</f>
        <v>MELIPILLA</v>
      </c>
    </row>
    <row r="3049" spans="1:4">
      <c r="A3049" s="7">
        <f ca="1">IFERROR(__xludf.DUMMYFUNCTION("""COMPUTED_VALUE"""),44286)</f>
        <v>44286</v>
      </c>
      <c r="B3049" s="8" t="str">
        <f ca="1">IFERROR(__xludf.DUMMYFUNCTION("""COMPUTED_VALUE"""),"-33.629838,-71.225803")</f>
        <v>-33.629838,-71.225803</v>
      </c>
      <c r="C3049" s="6" t="str">
        <f ca="1">IFERROR(__xludf.DUMMYFUNCTION("""COMPUTED_VALUE"""),"SECTOR CHIMBITO S/N ")</f>
        <v xml:space="preserve">SECTOR CHIMBITO S/N </v>
      </c>
      <c r="D3049" s="6" t="str">
        <f ca="1">IFERROR(__xludf.DUMMYFUNCTION("""COMPUTED_VALUE"""),"MELIPILLA")</f>
        <v>MELIPILLA</v>
      </c>
    </row>
    <row r="3050" spans="1:4">
      <c r="A3050" s="7">
        <f ca="1">IFERROR(__xludf.DUMMYFUNCTION("""COMPUTED_VALUE"""),44286)</f>
        <v>44286</v>
      </c>
      <c r="B3050" s="8" t="str">
        <f ca="1">IFERROR(__xludf.DUMMYFUNCTION("""COMPUTED_VALUE"""),"-33.551353,-71.223139")</f>
        <v>-33.551353,-71.223139</v>
      </c>
      <c r="C3050" s="6" t="str">
        <f ca="1">IFERROR(__xludf.DUMMYFUNCTION("""COMPUTED_VALUE"""),"CHOROMBO 13 SITIO B")</f>
        <v>CHOROMBO 13 SITIO B</v>
      </c>
      <c r="D3050" s="6" t="str">
        <f ca="1">IFERROR(__xludf.DUMMYFUNCTION("""COMPUTED_VALUE"""),"MARIA PINTO")</f>
        <v>MARIA PINTO</v>
      </c>
    </row>
    <row r="3051" spans="1:4">
      <c r="A3051" s="7">
        <f ca="1">IFERROR(__xludf.DUMMYFUNCTION("""COMPUTED_VALUE"""),44286)</f>
        <v>44286</v>
      </c>
      <c r="B3051" s="8" t="str">
        <f ca="1">IFERROR(__xludf.DUMMYFUNCTION("""COMPUTED_VALUE"""),"-33.570626,-71.206478")</f>
        <v>-33.570626,-71.206478</v>
      </c>
      <c r="C3051" s="6" t="str">
        <f ca="1">IFERROR(__xludf.DUMMYFUNCTION("""COMPUTED_VALUE"""),"ANGOL 74 ")</f>
        <v xml:space="preserve">ANGOL 74 </v>
      </c>
      <c r="D3051" s="6" t="str">
        <f ca="1">IFERROR(__xludf.DUMMYFUNCTION("""COMPUTED_VALUE"""),"MELIPILLA")</f>
        <v>MELIPILLA</v>
      </c>
    </row>
    <row r="3052" spans="1:4">
      <c r="A3052" s="7">
        <f ca="1">IFERROR(__xludf.DUMMYFUNCTION("""COMPUTED_VALUE"""),44286)</f>
        <v>44286</v>
      </c>
      <c r="B3052" s="8" t="str">
        <f ca="1">IFERROR(__xludf.DUMMYFUNCTION("""COMPUTED_VALUE"""),"-33.570304,-71.103079")</f>
        <v>-33.570304,-71.103079</v>
      </c>
      <c r="C3052" s="6" t="str">
        <f ca="1">IFERROR(__xludf.DUMMYFUNCTION("""COMPUTED_VALUE"""),"PAHUILMO 7 MALLARAUCO")</f>
        <v>PAHUILMO 7 MALLARAUCO</v>
      </c>
      <c r="D3052" s="6" t="str">
        <f ca="1">IFERROR(__xludf.DUMMYFUNCTION("""COMPUTED_VALUE"""),"MELIPILLA")</f>
        <v>MELIPILLA</v>
      </c>
    </row>
    <row r="3053" spans="1:4">
      <c r="A3053" s="7">
        <f ca="1">IFERROR(__xludf.DUMMYFUNCTION("""COMPUTED_VALUE"""),44286)</f>
        <v>44286</v>
      </c>
      <c r="B3053" s="6" t="str">
        <f ca="1">IFERROR(__xludf.DUMMYFUNCTION("""COMPUTED_VALUE"""),"-33.460462-71.027773")</f>
        <v>-33.460462-71.027773</v>
      </c>
      <c r="C3053" s="6" t="str">
        <f ca="1">IFERROR(__xludf.DUMMYFUNCTION("""COMPUTED_VALUE"""),"BATALLA DE SAN JUAN SITIO 17 D")</f>
        <v>BATALLA DE SAN JUAN SITIO 17 D</v>
      </c>
      <c r="D3053" s="6" t="str">
        <f ca="1">IFERROR(__xludf.DUMMYFUNCTION("""COMPUTED_VALUE"""),"CURACAVI")</f>
        <v>CURACAVI</v>
      </c>
    </row>
    <row r="3054" spans="1:4">
      <c r="A3054" s="7">
        <f ca="1">IFERROR(__xludf.DUMMYFUNCTION("""COMPUTED_VALUE"""),44286)</f>
        <v>44286</v>
      </c>
      <c r="B3054" s="6" t="str">
        <f ca="1">IFERROR(__xludf.DUMMYFUNCTION("""COMPUTED_VALUE"""),"-33.433297-71.030759")</f>
        <v>-33.433297-71.030759</v>
      </c>
      <c r="C3054" s="6" t="str">
        <f ca="1">IFERROR(__xludf.DUMMYFUNCTION("""COMPUTED_VALUE"""),"LOS PANGUILES S/N")</f>
        <v>LOS PANGUILES S/N</v>
      </c>
      <c r="D3054" s="6" t="str">
        <f ca="1">IFERROR(__xludf.DUMMYFUNCTION("""COMPUTED_VALUE"""),"CURACAVI")</f>
        <v>CURACAVI</v>
      </c>
    </row>
    <row r="3055" spans="1:4">
      <c r="A3055" s="7">
        <f ca="1">IFERROR(__xludf.DUMMYFUNCTION("""COMPUTED_VALUE"""),44286)</f>
        <v>44286</v>
      </c>
      <c r="B3055" s="6" t="str">
        <f ca="1">IFERROR(__xludf.DUMMYFUNCTION("""COMPUTED_VALUE"""),"-33.282518-70.713562")</f>
        <v>-33.282518-70.713562</v>
      </c>
      <c r="C3055" s="6" t="str">
        <f ca="1">IFERROR(__xludf.DUMMYFUNCTION("""COMPUTED_VALUE"""),"ALGARROBAL 2 LOTE 28 M/V")</f>
        <v>ALGARROBAL 2 LOTE 28 M/V</v>
      </c>
      <c r="D3055" s="6" t="str">
        <f ca="1">IFERROR(__xludf.DUMMYFUNCTION("""COMPUTED_VALUE"""),"COLINA")</f>
        <v>COLINA</v>
      </c>
    </row>
    <row r="3056" spans="1:4">
      <c r="A3056" s="7">
        <f ca="1">IFERROR(__xludf.DUMMYFUNCTION("""COMPUTED_VALUE"""),44286)</f>
        <v>44286</v>
      </c>
      <c r="B3056" s="6" t="str">
        <f ca="1">IFERROR(__xludf.DUMMYFUNCTION("""COMPUTED_VALUE"""),"-33.282518-70.713562")</f>
        <v>-33.282518-70.713562</v>
      </c>
      <c r="C3056" s="6" t="str">
        <f ca="1">IFERROR(__xludf.DUMMYFUNCTION("""COMPUTED_VALUE"""),"ALGARROBAL 2 LOTE 28 M/V")</f>
        <v>ALGARROBAL 2 LOTE 28 M/V</v>
      </c>
      <c r="D3056" s="6" t="str">
        <f ca="1">IFERROR(__xludf.DUMMYFUNCTION("""COMPUTED_VALUE"""),"COLINA")</f>
        <v>COLINA</v>
      </c>
    </row>
    <row r="3057" spans="1:4">
      <c r="A3057" s="7">
        <f ca="1">IFERROR(__xludf.DUMMYFUNCTION("""COMPUTED_VALUE"""),44286)</f>
        <v>44286</v>
      </c>
      <c r="B3057" s="6" t="str">
        <f ca="1">IFERROR(__xludf.DUMMYFUNCTION("""COMPUTED_VALUE"""),"-33.49161-71.07893")</f>
        <v>-33.49161-71.07893</v>
      </c>
      <c r="C3057" s="6" t="str">
        <f ca="1">IFERROR(__xludf.DUMMYFUNCTION("""COMPUTED_VALUE"""),"LO OVALLE S/N CV6")</f>
        <v>LO OVALLE S/N CV6</v>
      </c>
      <c r="D3057" s="6" t="str">
        <f ca="1">IFERROR(__xludf.DUMMYFUNCTION("""COMPUTED_VALUE"""),"MARIA PINTO")</f>
        <v>MARIA PINTO</v>
      </c>
    </row>
    <row r="3058" spans="1:4">
      <c r="A3058" s="7">
        <f ca="1">IFERROR(__xludf.DUMMYFUNCTION("""COMPUTED_VALUE"""),44286)</f>
        <v>44286</v>
      </c>
      <c r="B3058" s="6" t="str">
        <f ca="1">IFERROR(__xludf.DUMMYFUNCTION("""COMPUTED_VALUE"""),"-33.49622-70.99639")</f>
        <v>-33.49622-70.99639</v>
      </c>
      <c r="C3058" s="6" t="str">
        <f ca="1">IFERROR(__xludf.DUMMYFUNCTION("""COMPUTED_VALUE"""),"PATAGUILLA UNO S/N")</f>
        <v>PATAGUILLA UNO S/N</v>
      </c>
      <c r="D3058" s="6" t="str">
        <f ca="1">IFERROR(__xludf.DUMMYFUNCTION("""COMPUTED_VALUE"""),"CURACAVI")</f>
        <v>CURACAVI</v>
      </c>
    </row>
    <row r="3059" spans="1:4">
      <c r="A3059" s="7">
        <f ca="1">IFERROR(__xludf.DUMMYFUNCTION("""COMPUTED_VALUE"""),44286)</f>
        <v>44286</v>
      </c>
      <c r="B3059" s="6" t="str">
        <f ca="1">IFERROR(__xludf.DUMMYFUNCTION("""COMPUTED_VALUE"""),"-33.46261-71.67904")</f>
        <v>-33.46261-71.67904</v>
      </c>
      <c r="C3059" s="6" t="str">
        <f ca="1">IFERROR(__xludf.DUMMYFUNCTION("""COMPUTED_VALUE"""),"GABRIELA MISTRAL 1762")</f>
        <v>GABRIELA MISTRAL 1762</v>
      </c>
      <c r="D3059" s="6" t="str">
        <f ca="1">IFERROR(__xludf.DUMMYFUNCTION("""COMPUTED_VALUE"""),"MARIA PINTO")</f>
        <v>MARIA PINTO</v>
      </c>
    </row>
    <row r="3060" spans="1:4">
      <c r="A3060" s="7">
        <f ca="1">IFERROR(__xludf.DUMMYFUNCTION("""COMPUTED_VALUE"""),44286)</f>
        <v>44286</v>
      </c>
      <c r="B3060" s="6" t="str">
        <f ca="1">IFERROR(__xludf.DUMMYFUNCTION("""COMPUTED_VALUE"""),"-33.394653-71.129046")</f>
        <v>-33.394653-71.129046</v>
      </c>
      <c r="C3060" s="6" t="str">
        <f ca="1">IFERROR(__xludf.DUMMYFUNCTION("""COMPUTED_VALUE"""),"TRES NORTE 1820")</f>
        <v>TRES NORTE 1820</v>
      </c>
      <c r="D3060" s="6" t="str">
        <f ca="1">IFERROR(__xludf.DUMMYFUNCTION("""COMPUTED_VALUE"""),"CURACAVI")</f>
        <v>CURACAVI</v>
      </c>
    </row>
    <row r="3061" spans="1:4">
      <c r="A3061" s="7">
        <f ca="1">IFERROR(__xludf.DUMMYFUNCTION("""COMPUTED_VALUE"""),44286)</f>
        <v>44286</v>
      </c>
      <c r="B3061" s="6" t="str">
        <f ca="1">IFERROR(__xludf.DUMMYFUNCTION("""COMPUTED_VALUE"""),"-33.406914-71.127440")</f>
        <v>-33.406914-71.127440</v>
      </c>
      <c r="C3061" s="6" t="str">
        <f ca="1">IFERROR(__xludf.DUMMYFUNCTION("""COMPUTED_VALUE"""),"PJE EL AVELLANO 1826")</f>
        <v>PJE EL AVELLANO 1826</v>
      </c>
      <c r="D3061" s="6" t="str">
        <f ca="1">IFERROR(__xludf.DUMMYFUNCTION("""COMPUTED_VALUE"""),"CURACAVI")</f>
        <v>CURACAVI</v>
      </c>
    </row>
    <row r="3062" spans="1:4">
      <c r="A3062" s="7">
        <f ca="1">IFERROR(__xludf.DUMMYFUNCTION("""COMPUTED_VALUE"""),44286)</f>
        <v>44286</v>
      </c>
      <c r="B3062" s="6" t="str">
        <f ca="1">IFERROR(__xludf.DUMMYFUNCTION("""COMPUTED_VALUE"""),"-33.165285-70.451657")</f>
        <v>-33.165285-70.451657</v>
      </c>
      <c r="C3062" s="6" t="str">
        <f ca="1">IFERROR(__xludf.DUMMYFUNCTION("""COMPUTED_VALUE"""),"ESPERANZA 184 CASA 3")</f>
        <v>ESPERANZA 184 CASA 3</v>
      </c>
      <c r="D3062" s="6" t="str">
        <f ca="1">IFERROR(__xludf.DUMMYFUNCTION("""COMPUTED_VALUE"""),"LAMPA")</f>
        <v>LAMPA</v>
      </c>
    </row>
    <row r="3063" spans="1:4">
      <c r="A3063" s="7">
        <f ca="1">IFERROR(__xludf.DUMMYFUNCTION("""COMPUTED_VALUE"""),44286)</f>
        <v>44286</v>
      </c>
      <c r="B3063" s="6" t="str">
        <f ca="1">IFERROR(__xludf.DUMMYFUNCTION("""COMPUTED_VALUE"""),"-33.152410-70.485807")</f>
        <v>-33.152410-70.485807</v>
      </c>
      <c r="C3063" s="6" t="str">
        <f ca="1">IFERROR(__xludf.DUMMYFUNCTION("""COMPUTED_VALUE"""),"CAMINO INTERIOR P-37")</f>
        <v>CAMINO INTERIOR P-37</v>
      </c>
      <c r="D3063" s="6" t="str">
        <f ca="1">IFERROR(__xludf.DUMMYFUNCTION("""COMPUTED_VALUE"""),"LAMPA")</f>
        <v>LAMPA</v>
      </c>
    </row>
    <row r="3064" spans="1:4">
      <c r="A3064" s="7">
        <f ca="1">IFERROR(__xludf.DUMMYFUNCTION("""COMPUTED_VALUE"""),44286)</f>
        <v>44286</v>
      </c>
      <c r="B3064" s="6" t="str">
        <f ca="1">IFERROR(__xludf.DUMMYFUNCTION("""COMPUTED_VALUE"""),"-33.02447,-70.685987")</f>
        <v>-33.02447,-70.685987</v>
      </c>
      <c r="C3064" s="6" t="str">
        <f ca="1">IFERROR(__xludf.DUMMYFUNCTION("""COMPUTED_VALUE"""),"TAHUALTACA S -9 L 2A TAHUALTACA")</f>
        <v>TAHUALTACA S -9 L 2A TAHUALTACA</v>
      </c>
      <c r="D3064" s="6" t="str">
        <f ca="1">IFERROR(__xludf.DUMMYFUNCTION("""COMPUTED_VALUE"""),"COLINA")</f>
        <v>COLINA</v>
      </c>
    </row>
    <row r="3065" spans="1:4">
      <c r="A3065" s="7">
        <f ca="1">IFERROR(__xludf.DUMMYFUNCTION("""COMPUTED_VALUE"""),44286)</f>
        <v>44286</v>
      </c>
      <c r="B3065" s="6" t="str">
        <f ca="1">IFERROR(__xludf.DUMMYFUNCTION("""COMPUTED_VALUE"""),"-33.025509,-70.684547")</f>
        <v>-33.025509,-70.684547</v>
      </c>
      <c r="C3065" s="6" t="str">
        <f ca="1">IFERROR(__xludf.DUMMYFUNCTION("""COMPUTED_VALUE"""),"TAHUALTACA S -9 L 2A TAHUALTACA")</f>
        <v>TAHUALTACA S -9 L 2A TAHUALTACA</v>
      </c>
      <c r="D3065" s="6" t="str">
        <f ca="1">IFERROR(__xludf.DUMMYFUNCTION("""COMPUTED_VALUE"""),"COLINA")</f>
        <v>COLINA</v>
      </c>
    </row>
    <row r="3066" spans="1:4">
      <c r="A3066" s="7">
        <f ca="1">IFERROR(__xludf.DUMMYFUNCTION("""COMPUTED_VALUE"""),44287)</f>
        <v>44287</v>
      </c>
      <c r="B3066" s="8" t="str">
        <f ca="1">IFERROR(__xludf.DUMMYFUNCTION("""COMPUTED_VALUE"""),"-33.684539,-71.225702")</f>
        <v>-33.684539,-71.225702</v>
      </c>
      <c r="C3066" s="6" t="str">
        <f ca="1">IFERROR(__xludf.DUMMYFUNCTION("""COMPUTED_VALUE"""),"BOGOTA 1328 ")</f>
        <v xml:space="preserve">BOGOTA 1328 </v>
      </c>
      <c r="D3066" s="6" t="str">
        <f ca="1">IFERROR(__xludf.DUMMYFUNCTION("""COMPUTED_VALUE"""),"MELIPILLA")</f>
        <v>MELIPILLA</v>
      </c>
    </row>
    <row r="3067" spans="1:4">
      <c r="A3067" s="7">
        <f ca="1">IFERROR(__xludf.DUMMYFUNCTION("""COMPUTED_VALUE"""),44287)</f>
        <v>44287</v>
      </c>
      <c r="B3067" s="8" t="str">
        <f ca="1">IFERROR(__xludf.DUMMYFUNCTION("""COMPUTED_VALUE"""),"-33.831193,-71.273871")</f>
        <v>-33.831193,-71.273871</v>
      </c>
      <c r="C3067" s="6" t="str">
        <f ca="1">IFERROR(__xludf.DUMMYFUNCTION("""COMPUTED_VALUE"""),"SECTOR POPETA 11591 ")</f>
        <v xml:space="preserve">SECTOR POPETA 11591 </v>
      </c>
      <c r="D3067" s="6" t="str">
        <f ca="1">IFERROR(__xludf.DUMMYFUNCTION("""COMPUTED_VALUE"""),"MELIPILLA")</f>
        <v>MELIPILLA</v>
      </c>
    </row>
    <row r="3068" spans="1:4">
      <c r="A3068" s="7">
        <f ca="1">IFERROR(__xludf.DUMMYFUNCTION("""COMPUTED_VALUE"""),44287)</f>
        <v>44287</v>
      </c>
      <c r="B3068" s="8" t="str">
        <f ca="1">IFERROR(__xludf.DUMMYFUNCTION("""COMPUTED_VALUE"""),"-33.633161,-71.227848")</f>
        <v>-33.633161,-71.227848</v>
      </c>
      <c r="C3068" s="6" t="str">
        <f ca="1">IFERROR(__xludf.DUMMYFUNCTION("""COMPUTED_VALUE"""),"SECTOR RUMAY PARCELA 8 ")</f>
        <v xml:space="preserve">SECTOR RUMAY PARCELA 8 </v>
      </c>
      <c r="D3068" s="6" t="str">
        <f ca="1">IFERROR(__xludf.DUMMYFUNCTION("""COMPUTED_VALUE"""),"MELIPILLA")</f>
        <v>MELIPILLA</v>
      </c>
    </row>
    <row r="3069" spans="1:4">
      <c r="A3069" s="7">
        <f ca="1">IFERROR(__xludf.DUMMYFUNCTION("""COMPUTED_VALUE"""),44287)</f>
        <v>44287</v>
      </c>
      <c r="B3069" s="6" t="str">
        <f ca="1">IFERROR(__xludf.DUMMYFUNCTION("""COMPUTED_VALUE"""),"-33.446599-71-028427")</f>
        <v>-33.446599-71-028427</v>
      </c>
      <c r="C3069" s="6" t="str">
        <f ca="1">IFERROR(__xludf.DUMMYFUNCTION("""COMPUTED_VALUE"""),"UNION CHILENA SITIO 14 B")</f>
        <v>UNION CHILENA SITIO 14 B</v>
      </c>
      <c r="D3069" s="6" t="str">
        <f ca="1">IFERROR(__xludf.DUMMYFUNCTION("""COMPUTED_VALUE"""),"CURACAVI")</f>
        <v>CURACAVI</v>
      </c>
    </row>
    <row r="3070" spans="1:4">
      <c r="A3070" s="7">
        <f ca="1">IFERROR(__xludf.DUMMYFUNCTION("""COMPUTED_VALUE"""),44287)</f>
        <v>44287</v>
      </c>
      <c r="B3070" s="6" t="str">
        <f ca="1">IFERROR(__xludf.DUMMYFUNCTION("""COMPUTED_VALUE"""),"-33.458928-71.028092")</f>
        <v>-33.458928-71.028092</v>
      </c>
      <c r="C3070" s="6" t="str">
        <f ca="1">IFERROR(__xludf.DUMMYFUNCTION("""COMPUTED_VALUE"""),"BATALLA SAN JUAN SITIO 15 B")</f>
        <v>BATALLA SAN JUAN SITIO 15 B</v>
      </c>
      <c r="D3070" s="6" t="str">
        <f ca="1">IFERROR(__xludf.DUMMYFUNCTION("""COMPUTED_VALUE"""),"CURACAVI")</f>
        <v>CURACAVI</v>
      </c>
    </row>
    <row r="3071" spans="1:4">
      <c r="A3071" s="7">
        <f ca="1">IFERROR(__xludf.DUMMYFUNCTION("""COMPUTED_VALUE"""),44287)</f>
        <v>44287</v>
      </c>
      <c r="B3071" s="6" t="str">
        <f ca="1">IFERROR(__xludf.DUMMYFUNCTION("""COMPUTED_VALUE"""),"-33.460135-71.035171")</f>
        <v>-33.460135-71.035171</v>
      </c>
      <c r="C3071" s="6" t="str">
        <f ca="1">IFERROR(__xludf.DUMMYFUNCTION("""COMPUTED_VALUE"""),"PJE CINCO 700")</f>
        <v>PJE CINCO 700</v>
      </c>
      <c r="D3071" s="6" t="str">
        <f ca="1">IFERROR(__xludf.DUMMYFUNCTION("""COMPUTED_VALUE"""),"CURACAVI")</f>
        <v>CURACAVI</v>
      </c>
    </row>
    <row r="3072" spans="1:4">
      <c r="A3072" s="7">
        <f ca="1">IFERROR(__xludf.DUMMYFUNCTION("""COMPUTED_VALUE"""),44287)</f>
        <v>44287</v>
      </c>
      <c r="B3072" s="6" t="str">
        <f ca="1">IFERROR(__xludf.DUMMYFUNCTION("""COMPUTED_VALUE"""),"-33.46392-71.02762")</f>
        <v>-33.46392-71.02762</v>
      </c>
      <c r="C3072" s="6" t="str">
        <f ca="1">IFERROR(__xludf.DUMMYFUNCTION("""COMPUTED_VALUE"""),"CUESTA VIEJA P/3 S/5")</f>
        <v>CUESTA VIEJA P/3 S/5</v>
      </c>
      <c r="D3072" s="6" t="str">
        <f ca="1">IFERROR(__xludf.DUMMYFUNCTION("""COMPUTED_VALUE"""),"CURACAVI")</f>
        <v>CURACAVI</v>
      </c>
    </row>
    <row r="3073" spans="1:4">
      <c r="A3073" s="7">
        <f ca="1">IFERROR(__xludf.DUMMYFUNCTION("""COMPUTED_VALUE"""),44287)</f>
        <v>44287</v>
      </c>
      <c r="B3073" s="6" t="str">
        <f ca="1">IFERROR(__xludf.DUMMYFUNCTION("""COMPUTED_VALUE"""),"-33.46394-71.02751")</f>
        <v>-33.46394-71.02751</v>
      </c>
      <c r="C3073" s="6" t="str">
        <f ca="1">IFERROR(__xludf.DUMMYFUNCTION("""COMPUTED_VALUE"""),"CUESTA VIEJA S/5")</f>
        <v>CUESTA VIEJA S/5</v>
      </c>
      <c r="D3073" s="6" t="str">
        <f ca="1">IFERROR(__xludf.DUMMYFUNCTION("""COMPUTED_VALUE"""),"CURACAVI")</f>
        <v>CURACAVI</v>
      </c>
    </row>
    <row r="3074" spans="1:4">
      <c r="A3074" s="7">
        <f ca="1">IFERROR(__xludf.DUMMYFUNCTION("""COMPUTED_VALUE"""),44287)</f>
        <v>44287</v>
      </c>
      <c r="B3074" s="6" t="str">
        <f ca="1">IFERROR(__xludf.DUMMYFUNCTION("""COMPUTED_VALUE"""),"-33.391386-71.129366")</f>
        <v>-33.391386-71.129366</v>
      </c>
      <c r="C3074" s="6" t="str">
        <f ca="1">IFERROR(__xludf.DUMMYFUNCTION("""COMPUTED_VALUE"""),"GERMAN RIESCO 1059")</f>
        <v>GERMAN RIESCO 1059</v>
      </c>
      <c r="D3074" s="6" t="str">
        <f ca="1">IFERROR(__xludf.DUMMYFUNCTION("""COMPUTED_VALUE"""),"CURACAVI")</f>
        <v>CURACAVI</v>
      </c>
    </row>
    <row r="3075" spans="1:4">
      <c r="A3075" s="7">
        <f ca="1">IFERROR(__xludf.DUMMYFUNCTION("""COMPUTED_VALUE"""),44287)</f>
        <v>44287</v>
      </c>
      <c r="B3075" s="6" t="str">
        <f ca="1">IFERROR(__xludf.DUMMYFUNCTION("""COMPUTED_VALUE"""),"33.407737-71.135188")</f>
        <v>33.407737-71.135188</v>
      </c>
      <c r="C3075" s="6" t="str">
        <f ca="1">IFERROR(__xludf.DUMMYFUNCTION("""COMPUTED_VALUE"""),"SAN LUCAS 410")</f>
        <v>SAN LUCAS 410</v>
      </c>
      <c r="D3075" s="6" t="str">
        <f ca="1">IFERROR(__xludf.DUMMYFUNCTION("""COMPUTED_VALUE"""),"CURACAVI")</f>
        <v>CURACAVI</v>
      </c>
    </row>
    <row r="3076" spans="1:4">
      <c r="A3076" s="7">
        <f ca="1">IFERROR(__xludf.DUMMYFUNCTION("""COMPUTED_VALUE"""),44287)</f>
        <v>44287</v>
      </c>
      <c r="B3076" s="6" t="str">
        <f ca="1">IFERROR(__xludf.DUMMYFUNCTION("""COMPUTED_VALUE"""),"-33.15115-70.4858121")</f>
        <v>-33.15115-70.4858121</v>
      </c>
      <c r="C3076" s="6" t="str">
        <f ca="1">IFERROR(__xludf.DUMMYFUNCTION("""COMPUTED_VALUE"""),"SANTA INES P-14 S-13")</f>
        <v>SANTA INES P-14 S-13</v>
      </c>
      <c r="D3076" s="6" t="str">
        <f ca="1">IFERROR(__xludf.DUMMYFUNCTION("""COMPUTED_VALUE"""),"LAMPA")</f>
        <v>LAMPA</v>
      </c>
    </row>
    <row r="3077" spans="1:4">
      <c r="A3077" s="7">
        <f ca="1">IFERROR(__xludf.DUMMYFUNCTION("""COMPUTED_VALUE"""),44287)</f>
        <v>44287</v>
      </c>
      <c r="B3077" s="6" t="str">
        <f ca="1">IFERROR(__xludf.DUMMYFUNCTION("""COMPUTED_VALUE"""),"-33.184749,-70.654938")</f>
        <v>-33.184749,-70.654938</v>
      </c>
      <c r="C3077" s="6" t="str">
        <f ca="1">IFERROR(__xludf.DUMMYFUNCTION("""COMPUTED_VALUE"""),"PASAJE UNO 2765")</f>
        <v>PASAJE UNO 2765</v>
      </c>
      <c r="D3077" s="6" t="str">
        <f ca="1">IFERROR(__xludf.DUMMYFUNCTION("""COMPUTED_VALUE"""),"COLINA")</f>
        <v>COLINA</v>
      </c>
    </row>
    <row r="3078" spans="1:4">
      <c r="A3078" s="7">
        <f ca="1">IFERROR(__xludf.DUMMYFUNCTION("""COMPUTED_VALUE"""),44287)</f>
        <v>44287</v>
      </c>
      <c r="B3078" s="6" t="str">
        <f ca="1">IFERROR(__xludf.DUMMYFUNCTION("""COMPUTED_VALUE"""),"-33.070216,-70.717521")</f>
        <v>-33.070216,-70.717521</v>
      </c>
      <c r="C3078" s="6" t="str">
        <f ca="1">IFERROR(__xludf.DUMMYFUNCTION("""COMPUTED_VALUE"""),"LA COPA 12 H 1")</f>
        <v>LA COPA 12 H 1</v>
      </c>
      <c r="D3078" s="6" t="str">
        <f ca="1">IFERROR(__xludf.DUMMYFUNCTION("""COMPUTED_VALUE"""),"COLINA")</f>
        <v>COLINA</v>
      </c>
    </row>
    <row r="3079" spans="1:4">
      <c r="A3079" s="7">
        <f ca="1">IFERROR(__xludf.DUMMYFUNCTION("""COMPUTED_VALUE"""),44288)</f>
        <v>44288</v>
      </c>
      <c r="B3079" s="6" t="str">
        <f ca="1">IFERROR(__xludf.DUMMYFUNCTION("""COMPUTED_VALUE"""),"-33.394751-71.130005")</f>
        <v>-33.394751-71.130005</v>
      </c>
      <c r="C3079" s="6" t="str">
        <f ca="1">IFERROR(__xludf.DUMMYFUNCTION("""COMPUTED_VALUE"""),"CALLE TRES NORTE 1778")</f>
        <v>CALLE TRES NORTE 1778</v>
      </c>
      <c r="D3079" s="6" t="str">
        <f ca="1">IFERROR(__xludf.DUMMYFUNCTION("""COMPUTED_VALUE"""),"CURACAVI")</f>
        <v>CURACAVI</v>
      </c>
    </row>
    <row r="3080" spans="1:4">
      <c r="A3080" s="7">
        <f ca="1">IFERROR(__xludf.DUMMYFUNCTION("""COMPUTED_VALUE"""),44288)</f>
        <v>44288</v>
      </c>
      <c r="B3080" s="6" t="str">
        <f ca="1">IFERROR(__xludf.DUMMYFUNCTION("""COMPUTED_VALUE"""),"-33.421343-71.148642")</f>
        <v>-33.421343-71.148642</v>
      </c>
      <c r="C3080" s="6" t="str">
        <f ca="1">IFERROR(__xludf.DUMMYFUNCTION("""COMPUTED_VALUE"""),"LO AGUILA SUR HIJUELA 10 LOTE 8")</f>
        <v>LO AGUILA SUR HIJUELA 10 LOTE 8</v>
      </c>
      <c r="D3080" s="6" t="str">
        <f ca="1">IFERROR(__xludf.DUMMYFUNCTION("""COMPUTED_VALUE"""),"CURACAVI")</f>
        <v>CURACAVI</v>
      </c>
    </row>
    <row r="3081" spans="1:4">
      <c r="A3081" s="7">
        <f ca="1">IFERROR(__xludf.DUMMYFUNCTION("""COMPUTED_VALUE"""),44288)</f>
        <v>44288</v>
      </c>
      <c r="B3081" s="6" t="str">
        <f ca="1">IFERROR(__xludf.DUMMYFUNCTION("""COMPUTED_VALUE"""),"-33.408509-71.135444")</f>
        <v>-33.408509-71.135444</v>
      </c>
      <c r="C3081" s="6" t="str">
        <f ca="1">IFERROR(__xludf.DUMMYFUNCTION("""COMPUTED_VALUE"""),"SAN LUCAS 491")</f>
        <v>SAN LUCAS 491</v>
      </c>
      <c r="D3081" s="6" t="str">
        <f ca="1">IFERROR(__xludf.DUMMYFUNCTION("""COMPUTED_VALUE"""),"CURACAVI")</f>
        <v>CURACAVI</v>
      </c>
    </row>
    <row r="3082" spans="1:4">
      <c r="A3082" s="7">
        <f ca="1">IFERROR(__xludf.DUMMYFUNCTION("""COMPUTED_VALUE"""),44288)</f>
        <v>44288</v>
      </c>
      <c r="B3082" s="6" t="str">
        <f ca="1">IFERROR(__xludf.DUMMYFUNCTION("""COMPUTED_VALUE"""),"-33.410679-71.158287")</f>
        <v>-33.410679-71.158287</v>
      </c>
      <c r="C3082" s="6" t="str">
        <f ca="1">IFERROR(__xludf.DUMMYFUNCTION("""COMPUTED_VALUE"""),"LO AGUILA LOTE 7")</f>
        <v>LO AGUILA LOTE 7</v>
      </c>
      <c r="D3082" s="6" t="str">
        <f ca="1">IFERROR(__xludf.DUMMYFUNCTION("""COMPUTED_VALUE"""),"CURACAVI")</f>
        <v>CURACAVI</v>
      </c>
    </row>
    <row r="3083" spans="1:4">
      <c r="A3083" s="7">
        <f ca="1">IFERROR(__xludf.DUMMYFUNCTION("""COMPUTED_VALUE"""),44291)</f>
        <v>44291</v>
      </c>
      <c r="B3083" s="8" t="str">
        <f ca="1">IFERROR(__xludf.DUMMYFUNCTION("""COMPUTED_VALUE"""),"-33.822796,-71.276082")</f>
        <v>-33.822796,-71.276082</v>
      </c>
      <c r="C3083" s="6" t="str">
        <f ca="1">IFERROR(__xludf.DUMMYFUNCTION("""COMPUTED_VALUE"""),"SECTOR CINCO POPETA S/N ")</f>
        <v xml:space="preserve">SECTOR CINCO POPETA S/N </v>
      </c>
      <c r="D3083" s="6" t="str">
        <f ca="1">IFERROR(__xludf.DUMMYFUNCTION("""COMPUTED_VALUE"""),"MELIPILLA")</f>
        <v>MELIPILLA</v>
      </c>
    </row>
    <row r="3084" spans="1:4">
      <c r="A3084" s="7">
        <f ca="1">IFERROR(__xludf.DUMMYFUNCTION("""COMPUTED_VALUE"""),44291)</f>
        <v>44291</v>
      </c>
      <c r="B3084" s="8" t="str">
        <f ca="1">IFERROR(__xludf.DUMMYFUNCTION("""COMPUTED_VALUE"""),"-33.573628,-71.149219")</f>
        <v>-33.573628,-71.149219</v>
      </c>
      <c r="C3084" s="6" t="str">
        <f ca="1">IFERROR(__xludf.DUMMYFUNCTION("""COMPUTED_VALUE"""),"SANTA TERESA DE MALLARAUCO")</f>
        <v>SANTA TERESA DE MALLARAUCO</v>
      </c>
      <c r="D3084" s="6" t="str">
        <f ca="1">IFERROR(__xludf.DUMMYFUNCTION("""COMPUTED_VALUE"""),"MELIPILLA")</f>
        <v>MELIPILLA</v>
      </c>
    </row>
    <row r="3085" spans="1:4">
      <c r="A3085" s="7">
        <f ca="1">IFERROR(__xludf.DUMMYFUNCTION("""COMPUTED_VALUE"""),44291)</f>
        <v>44291</v>
      </c>
      <c r="B3085" s="8" t="str">
        <f ca="1">IFERROR(__xludf.DUMMYFUNCTION("""COMPUTED_VALUE"""),"-33.678952,-71.190501")</f>
        <v>-33.678952,-71.190501</v>
      </c>
      <c r="C3085" s="6" t="str">
        <f ca="1">IFERROR(__xludf.DUMMYFUNCTION("""COMPUTED_VALUE"""),"CASTILLA 20")</f>
        <v>CASTILLA 20</v>
      </c>
      <c r="D3085" s="6" t="str">
        <f ca="1">IFERROR(__xludf.DUMMYFUNCTION("""COMPUTED_VALUE"""),"MELIPILLA")</f>
        <v>MELIPILLA</v>
      </c>
    </row>
    <row r="3086" spans="1:4">
      <c r="A3086" s="7">
        <f ca="1">IFERROR(__xludf.DUMMYFUNCTION("""COMPUTED_VALUE"""),44291)</f>
        <v>44291</v>
      </c>
      <c r="B3086" s="8" t="str">
        <f ca="1">IFERROR(__xludf.DUMMYFUNCTION("""COMPUTED_VALUE"""),"-33.572332,-71.091574")</f>
        <v>-33.572332,-71.091574</v>
      </c>
      <c r="C3086" s="6" t="str">
        <f ca="1">IFERROR(__xludf.DUMMYFUNCTION("""COMPUTED_VALUE"""),"MALLARAUCO C 19")</f>
        <v>MALLARAUCO C 19</v>
      </c>
      <c r="D3086" s="6" t="str">
        <f ca="1">IFERROR(__xludf.DUMMYFUNCTION("""COMPUTED_VALUE"""),"MELIPILLA")</f>
        <v>MELIPILLA</v>
      </c>
    </row>
    <row r="3087" spans="1:4">
      <c r="A3087" s="7">
        <f ca="1">IFERROR(__xludf.DUMMYFUNCTION("""COMPUTED_VALUE"""),44291)</f>
        <v>44291</v>
      </c>
      <c r="B3087" s="6" t="str">
        <f ca="1">IFERROR(__xludf.DUMMYFUNCTION("""COMPUTED_VALUE"""),"-33.459980-71.035511")</f>
        <v>-33.459980-71.035511</v>
      </c>
      <c r="C3087" s="6" t="str">
        <f ca="1">IFERROR(__xludf.DUMMYFUNCTION("""COMPUTED_VALUE"""),"PJE SEIS 771")</f>
        <v>PJE SEIS 771</v>
      </c>
      <c r="D3087" s="6" t="str">
        <f ca="1">IFERROR(__xludf.DUMMYFUNCTION("""COMPUTED_VALUE"""),"CURACAVI")</f>
        <v>CURACAVI</v>
      </c>
    </row>
    <row r="3088" spans="1:4">
      <c r="A3088" s="7">
        <f ca="1">IFERROR(__xludf.DUMMYFUNCTION("""COMPUTED_VALUE"""),44291)</f>
        <v>44291</v>
      </c>
      <c r="B3088" s="6" t="str">
        <f ca="1">IFERROR(__xludf.DUMMYFUNCTION("""COMPUTED_VALUE"""),"-33.460491-71.036502")</f>
        <v>-33.460491-71.036502</v>
      </c>
      <c r="C3088" s="6" t="str">
        <f ca="1">IFERROR(__xludf.DUMMYFUNCTION("""COMPUTED_VALUE"""),"PJE UNO 830")</f>
        <v>PJE UNO 830</v>
      </c>
      <c r="D3088" s="6" t="str">
        <f ca="1">IFERROR(__xludf.DUMMYFUNCTION("""COMPUTED_VALUE"""),"CURACAVI")</f>
        <v>CURACAVI</v>
      </c>
    </row>
    <row r="3089" spans="1:4">
      <c r="A3089" s="7">
        <f ca="1">IFERROR(__xludf.DUMMYFUNCTION("""COMPUTED_VALUE"""),44291)</f>
        <v>44291</v>
      </c>
      <c r="B3089" s="6" t="str">
        <f ca="1">IFERROR(__xludf.DUMMYFUNCTION("""COMPUTED_VALUE"""),"-33.407702-71.137883")</f>
        <v>-33.407702-71.137883</v>
      </c>
      <c r="C3089" s="6" t="str">
        <f ca="1">IFERROR(__xludf.DUMMYFUNCTION("""COMPUTED_VALUE"""),"PARROCO LUIS TOOA 273")</f>
        <v>PARROCO LUIS TOOA 273</v>
      </c>
      <c r="D3089" s="6" t="str">
        <f ca="1">IFERROR(__xludf.DUMMYFUNCTION("""COMPUTED_VALUE"""),"CURACAVI")</f>
        <v>CURACAVI</v>
      </c>
    </row>
    <row r="3090" spans="1:4">
      <c r="A3090" s="7">
        <f ca="1">IFERROR(__xludf.DUMMYFUNCTION("""COMPUTED_VALUE"""),44291)</f>
        <v>44291</v>
      </c>
      <c r="B3090" s="6" t="str">
        <f ca="1">IFERROR(__xludf.DUMMYFUNCTION("""COMPUTED_VALUE"""),"-33.407811-71.134963")</f>
        <v>-33.407811-71.134963</v>
      </c>
      <c r="C3090" s="6" t="str">
        <f ca="1">IFERROR(__xludf.DUMMYFUNCTION("""COMPUTED_VALUE"""),"FRANCISCO JOFRE 1339")</f>
        <v>FRANCISCO JOFRE 1339</v>
      </c>
      <c r="D3090" s="6" t="str">
        <f ca="1">IFERROR(__xludf.DUMMYFUNCTION("""COMPUTED_VALUE"""),"CURACAVI")</f>
        <v>CURACAVI</v>
      </c>
    </row>
    <row r="3091" spans="1:4">
      <c r="A3091" s="7">
        <f ca="1">IFERROR(__xludf.DUMMYFUNCTION("""COMPUTED_VALUE"""),44291)</f>
        <v>44291</v>
      </c>
      <c r="B3091" s="6" t="str">
        <f ca="1">IFERROR(__xludf.DUMMYFUNCTION("""COMPUTED_VALUE"""),"-33.391489-71.132942")</f>
        <v>-33.391489-71.132942</v>
      </c>
      <c r="C3091" s="6" t="str">
        <f ca="1">IFERROR(__xludf.DUMMYFUNCTION("""COMPUTED_VALUE"""),"AV. AMBROSIO OHIGGINS 1519")</f>
        <v>AV. AMBROSIO OHIGGINS 1519</v>
      </c>
      <c r="D3091" s="6" t="str">
        <f ca="1">IFERROR(__xludf.DUMMYFUNCTION("""COMPUTED_VALUE"""),"CURACAVI")</f>
        <v>CURACAVI</v>
      </c>
    </row>
    <row r="3092" spans="1:4">
      <c r="A3092" s="7">
        <f ca="1">IFERROR(__xludf.DUMMYFUNCTION("""COMPUTED_VALUE"""),44291)</f>
        <v>44291</v>
      </c>
      <c r="B3092" s="6" t="str">
        <f ca="1">IFERROR(__xludf.DUMMYFUNCTION("""COMPUTED_VALUE"""),"-33.516254-71.119641")</f>
        <v>-33.516254-71.119641</v>
      </c>
      <c r="C3092" s="6" t="str">
        <f ca="1">IFERROR(__xludf.DUMMYFUNCTION("""COMPUTED_VALUE"""),"PJE LOS MAITENES 319")</f>
        <v>PJE LOS MAITENES 319</v>
      </c>
      <c r="D3092" s="6" t="str">
        <f ca="1">IFERROR(__xludf.DUMMYFUNCTION("""COMPUTED_VALUE"""),"MARIA PINTO")</f>
        <v>MARIA PINTO</v>
      </c>
    </row>
    <row r="3093" spans="1:4">
      <c r="A3093" s="7">
        <f ca="1">IFERROR(__xludf.DUMMYFUNCTION("""COMPUTED_VALUE"""),44292)</f>
        <v>44292</v>
      </c>
      <c r="B3093" s="8" t="str">
        <f ca="1">IFERROR(__xludf.DUMMYFUNCTION("""COMPUTED_VALUE"""),"-33.681149.-71.232547")</f>
        <v>-33.681149.-71.232547</v>
      </c>
      <c r="C3093" s="6" t="str">
        <f ca="1">IFERROR(__xludf.DUMMYFUNCTION("""COMPUTED_VALUE"""),"HORMAZABAL 320")</f>
        <v>HORMAZABAL 320</v>
      </c>
      <c r="D3093" s="6" t="str">
        <f ca="1">IFERROR(__xludf.DUMMYFUNCTION("""COMPUTED_VALUE"""),"MELIPILLA")</f>
        <v>MELIPILLA</v>
      </c>
    </row>
    <row r="3094" spans="1:4">
      <c r="A3094" s="7">
        <f ca="1">IFERROR(__xludf.DUMMYFUNCTION("""COMPUTED_VALUE"""),44292)</f>
        <v>44292</v>
      </c>
      <c r="B3094" s="8" t="str">
        <f ca="1">IFERROR(__xludf.DUMMYFUNCTION("""COMPUTED_VALUE"""),"-33.827136,-71.272554")</f>
        <v>-33.827136,-71.272554</v>
      </c>
      <c r="C3094" s="6" t="str">
        <f ca="1">IFERROR(__xludf.DUMMYFUNCTION("""COMPUTED_VALUE"""),"SECTOR CINCO POPETA S/N")</f>
        <v>SECTOR CINCO POPETA S/N</v>
      </c>
      <c r="D3094" s="6" t="str">
        <f ca="1">IFERROR(__xludf.DUMMYFUNCTION("""COMPUTED_VALUE"""),"MELIPILLA")</f>
        <v>MELIPILLA</v>
      </c>
    </row>
    <row r="3095" spans="1:4">
      <c r="A3095" s="7">
        <f ca="1">IFERROR(__xludf.DUMMYFUNCTION("""COMPUTED_VALUE"""),44292)</f>
        <v>44292</v>
      </c>
      <c r="B3095" s="8" t="str">
        <f ca="1">IFERROR(__xludf.DUMMYFUNCTION("""COMPUTED_VALUE"""),"-33.514872,-71.122382")</f>
        <v>-33.514872,-71.122382</v>
      </c>
      <c r="C3095" s="6" t="str">
        <f ca="1">IFERROR(__xludf.DUMMYFUNCTION("""COMPUTED_VALUE"""),"ADRIANA MARIR 216")</f>
        <v>ADRIANA MARIR 216</v>
      </c>
      <c r="D3095" s="6" t="str">
        <f ca="1">IFERROR(__xludf.DUMMYFUNCTION("""COMPUTED_VALUE"""),"MARIA PINTO")</f>
        <v>MARIA PINTO</v>
      </c>
    </row>
    <row r="3096" spans="1:4">
      <c r="A3096" s="7">
        <f ca="1">IFERROR(__xludf.DUMMYFUNCTION("""COMPUTED_VALUE"""),44292)</f>
        <v>44292</v>
      </c>
      <c r="B3096" s="8" t="str">
        <f ca="1">IFERROR(__xludf.DUMMYFUNCTION("""COMPUTED_VALUE"""),"-33.512020,-71.076436")</f>
        <v>-33.512020,-71.076436</v>
      </c>
      <c r="C3096" s="6" t="str">
        <f ca="1">IFERROR(__xludf.DUMMYFUNCTION("""COMPUTED_VALUE"""),"EL PARRON LOTE D2")</f>
        <v>EL PARRON LOTE D2</v>
      </c>
      <c r="D3096" s="6" t="str">
        <f ca="1">IFERROR(__xludf.DUMMYFUNCTION("""COMPUTED_VALUE"""),"MARIA PINTO")</f>
        <v>MARIA PINTO</v>
      </c>
    </row>
    <row r="3097" spans="1:4">
      <c r="A3097" s="7">
        <f ca="1">IFERROR(__xludf.DUMMYFUNCTION("""COMPUTED_VALUE"""),44292)</f>
        <v>44292</v>
      </c>
      <c r="B3097" s="8" t="str">
        <f ca="1">IFERROR(__xludf.DUMMYFUNCTION("""COMPUTED_VALUE"""),"-33.519417,-71.122128")</f>
        <v>-33.519417,-71.122128</v>
      </c>
      <c r="C3097" s="6" t="str">
        <f ca="1">IFERROR(__xludf.DUMMYFUNCTION("""COMPUTED_VALUE"""),"LUIS GONZALO DIAZ S/N")</f>
        <v>LUIS GONZALO DIAZ S/N</v>
      </c>
      <c r="D3097" s="6" t="str">
        <f ca="1">IFERROR(__xludf.DUMMYFUNCTION("""COMPUTED_VALUE"""),"MARIA PINTO")</f>
        <v>MARIA PINTO</v>
      </c>
    </row>
    <row r="3098" spans="1:4">
      <c r="A3098" s="7">
        <f ca="1">IFERROR(__xludf.DUMMYFUNCTION("""COMPUTED_VALUE"""),44292)</f>
        <v>44292</v>
      </c>
      <c r="B3098" s="8" t="str">
        <f ca="1">IFERROR(__xludf.DUMMYFUNCTION("""COMPUTED_VALUE"""),"-33.673635,-71.992765")</f>
        <v>-33.673635,-71.992765</v>
      </c>
      <c r="C3098" s="6" t="str">
        <f ca="1">IFERROR(__xludf.DUMMYFUNCTION("""COMPUTED_VALUE"""),"DOMINGO STA MARIA 420")</f>
        <v>DOMINGO STA MARIA 420</v>
      </c>
      <c r="D3098" s="6" t="str">
        <f ca="1">IFERROR(__xludf.DUMMYFUNCTION("""COMPUTED_VALUE"""),"EL MONTE")</f>
        <v>EL MONTE</v>
      </c>
    </row>
    <row r="3099" spans="1:4">
      <c r="A3099" s="7">
        <f ca="1">IFERROR(__xludf.DUMMYFUNCTION("""COMPUTED_VALUE"""),44292)</f>
        <v>44292</v>
      </c>
      <c r="B3099" s="6" t="str">
        <f ca="1">IFERROR(__xludf.DUMMYFUNCTION("""COMPUTED_VALUE"""),"-33.447862-71.032563")</f>
        <v>-33.447862-71.032563</v>
      </c>
      <c r="C3099" s="6" t="str">
        <f ca="1">IFERROR(__xludf.DUMMYFUNCTION("""COMPUTED_VALUE"""),"CALLEJON EL MOLINO SITIO 19 LOTE 3")</f>
        <v>CALLEJON EL MOLINO SITIO 19 LOTE 3</v>
      </c>
      <c r="D3099" s="6" t="str">
        <f ca="1">IFERROR(__xludf.DUMMYFUNCTION("""COMPUTED_VALUE"""),"CURACAVI")</f>
        <v>CURACAVI</v>
      </c>
    </row>
    <row r="3100" spans="1:4">
      <c r="A3100" s="7">
        <f ca="1">IFERROR(__xludf.DUMMYFUNCTION("""COMPUTED_VALUE"""),44292)</f>
        <v>44292</v>
      </c>
      <c r="B3100" s="6" t="str">
        <f ca="1">IFERROR(__xludf.DUMMYFUNCTION("""COMPUTED_VALUE"""),"-33.392292-71.129670")</f>
        <v>-33.392292-71.129670</v>
      </c>
      <c r="C3100" s="6" t="str">
        <f ca="1">IFERROR(__xludf.DUMMYFUNCTION("""COMPUTED_VALUE"""),"AV. GERMAN RIESCO 1001")</f>
        <v>AV. GERMAN RIESCO 1001</v>
      </c>
      <c r="D3100" s="6" t="str">
        <f ca="1">IFERROR(__xludf.DUMMYFUNCTION("""COMPUTED_VALUE"""),"CURACAVI")</f>
        <v>CURACAVI</v>
      </c>
    </row>
    <row r="3101" spans="1:4">
      <c r="A3101" s="7">
        <f ca="1">IFERROR(__xludf.DUMMYFUNCTION("""COMPUTED_VALUE"""),44292)</f>
        <v>44292</v>
      </c>
      <c r="B3101" s="6" t="str">
        <f ca="1">IFERROR(__xludf.DUMMYFUNCTION("""COMPUTED_VALUE"""),"-33.396602-71.127344")</f>
        <v>-33.396602-71.127344</v>
      </c>
      <c r="C3101" s="6" t="str">
        <f ca="1">IFERROR(__xludf.DUMMYFUNCTION("""COMPUTED_VALUE"""),"MANUEL LARRAIN 615")</f>
        <v>MANUEL LARRAIN 615</v>
      </c>
      <c r="D3101" s="6" t="str">
        <f ca="1">IFERROR(__xludf.DUMMYFUNCTION("""COMPUTED_VALUE"""),"CURACAVI")</f>
        <v>CURACAVI</v>
      </c>
    </row>
    <row r="3102" spans="1:4">
      <c r="A3102" s="7">
        <f ca="1">IFERROR(__xludf.DUMMYFUNCTION("""COMPUTED_VALUE"""),44292)</f>
        <v>44292</v>
      </c>
      <c r="B3102" s="6" t="str">
        <f ca="1">IFERROR(__xludf.DUMMYFUNCTION("""COMPUTED_VALUE"""),"-33.390367-71.127201")</f>
        <v>-33.390367-71.127201</v>
      </c>
      <c r="C3102" s="6" t="str">
        <f ca="1">IFERROR(__xludf.DUMMYFUNCTION("""COMPUTED_VALUE"""),"INDEPENDENCIA 1946")</f>
        <v>INDEPENDENCIA 1946</v>
      </c>
      <c r="D3102" s="6" t="str">
        <f ca="1">IFERROR(__xludf.DUMMYFUNCTION("""COMPUTED_VALUE"""),"CURACAVI")</f>
        <v>CURACAVI</v>
      </c>
    </row>
    <row r="3103" spans="1:4">
      <c r="A3103" s="7">
        <f ca="1">IFERROR(__xludf.DUMMYFUNCTION("""COMPUTED_VALUE"""),44292)</f>
        <v>44292</v>
      </c>
      <c r="B3103" s="6" t="str">
        <f ca="1">IFERROR(__xludf.DUMMYFUNCTION("""COMPUTED_VALUE"""),"-33.391071-71.122845")</f>
        <v>-33.391071-71.122845</v>
      </c>
      <c r="C3103" s="6" t="str">
        <f ca="1">IFERROR(__xludf.DUMMYFUNCTION("""COMPUTED_VALUE"""),"LOS PATRIOTAS 2134")</f>
        <v>LOS PATRIOTAS 2134</v>
      </c>
      <c r="D3103" s="6" t="str">
        <f ca="1">IFERROR(__xludf.DUMMYFUNCTION("""COMPUTED_VALUE"""),"CURACAVI")</f>
        <v>CURACAVI</v>
      </c>
    </row>
    <row r="3104" spans="1:4">
      <c r="A3104" s="7">
        <f ca="1">IFERROR(__xludf.DUMMYFUNCTION("""COMPUTED_VALUE"""),44292)</f>
        <v>44292</v>
      </c>
      <c r="B3104" s="6" t="str">
        <f ca="1">IFERROR(__xludf.DUMMYFUNCTION("""COMPUTED_VALUE"""),"-33.406701-71.127278")</f>
        <v>-33.406701-71.127278</v>
      </c>
      <c r="C3104" s="6" t="str">
        <f ca="1">IFERROR(__xludf.DUMMYFUNCTION("""COMPUTED_VALUE"""),"EL ROSAL 440")</f>
        <v>EL ROSAL 440</v>
      </c>
      <c r="D3104" s="6" t="str">
        <f ca="1">IFERROR(__xludf.DUMMYFUNCTION("""COMPUTED_VALUE"""),"CURACAVI")</f>
        <v>CURACAVI</v>
      </c>
    </row>
    <row r="3105" spans="1:4">
      <c r="A3105" s="7">
        <f ca="1">IFERROR(__xludf.DUMMYFUNCTION("""COMPUTED_VALUE"""),44292)</f>
        <v>44292</v>
      </c>
      <c r="B3105" s="6" t="str">
        <f ca="1">IFERROR(__xludf.DUMMYFUNCTION("""COMPUTED_VALUE"""),"-33.406841-71.127244")</f>
        <v>-33.406841-71.127244</v>
      </c>
      <c r="C3105" s="6" t="str">
        <f ca="1">IFERROR(__xludf.DUMMYFUNCTION("""COMPUTED_VALUE"""),"EL ROSAL 448")</f>
        <v>EL ROSAL 448</v>
      </c>
      <c r="D3105" s="6" t="str">
        <f ca="1">IFERROR(__xludf.DUMMYFUNCTION("""COMPUTED_VALUE"""),"CURACAVI")</f>
        <v>CURACAVI</v>
      </c>
    </row>
    <row r="3106" spans="1:4">
      <c r="A3106" s="7">
        <f ca="1">IFERROR(__xludf.DUMMYFUNCTION("""COMPUTED_VALUE"""),44292)</f>
        <v>44292</v>
      </c>
      <c r="B3106" s="6" t="str">
        <f ca="1">IFERROR(__xludf.DUMMYFUNCTION("""COMPUTED_VALUE"""),"-33.599928-70.868693")</f>
        <v>-33.599928-70.868693</v>
      </c>
      <c r="C3106" s="6" t="str">
        <f ca="1">IFERROR(__xludf.DUMMYFUNCTION("""COMPUTED_VALUE"""),"AV. MIRAFLORES 1702")</f>
        <v>AV. MIRAFLORES 1702</v>
      </c>
      <c r="D3106" s="6" t="str">
        <f ca="1">IFERROR(__xludf.DUMMYFUNCTION("""COMPUTED_VALUE"""),"PEÑAFLOR")</f>
        <v>PEÑAFLOR</v>
      </c>
    </row>
    <row r="3107" spans="1:4">
      <c r="A3107" s="7">
        <f ca="1">IFERROR(__xludf.DUMMYFUNCTION("""COMPUTED_VALUE"""),44292)</f>
        <v>44292</v>
      </c>
      <c r="B3107" s="6" t="str">
        <f ca="1">IFERROR(__xludf.DUMMYFUNCTION("""COMPUTED_VALUE"""),"-33.45484-71.02904")</f>
        <v>-33.45484-71.02904</v>
      </c>
      <c r="C3107" s="6" t="str">
        <f ca="1">IFERROR(__xludf.DUMMYFUNCTION("""COMPUTED_VALUE"""),"BATALLA SAN JUAN SITIO 23")</f>
        <v>BATALLA SAN JUAN SITIO 23</v>
      </c>
      <c r="D3107" s="6" t="str">
        <f ca="1">IFERROR(__xludf.DUMMYFUNCTION("""COMPUTED_VALUE"""),"CURACAVI")</f>
        <v>CURACAVI</v>
      </c>
    </row>
    <row r="3108" spans="1:4">
      <c r="A3108" s="7">
        <f ca="1">IFERROR(__xludf.DUMMYFUNCTION("""COMPUTED_VALUE"""),44292)</f>
        <v>44292</v>
      </c>
      <c r="B3108" s="6" t="str">
        <f ca="1">IFERROR(__xludf.DUMMYFUNCTION("""COMPUTED_VALUE"""),"-33.39947-71.12151")</f>
        <v>-33.39947-71.12151</v>
      </c>
      <c r="C3108" s="6" t="str">
        <f ca="1">IFERROR(__xludf.DUMMYFUNCTION("""COMPUTED_VALUE"""),"ROBERTO ROSALES 236")</f>
        <v>ROBERTO ROSALES 236</v>
      </c>
      <c r="D3108" s="6" t="str">
        <f ca="1">IFERROR(__xludf.DUMMYFUNCTION("""COMPUTED_VALUE"""),"CURACAVI")</f>
        <v>CURACAVI</v>
      </c>
    </row>
    <row r="3109" spans="1:4">
      <c r="A3109" s="7">
        <f ca="1">IFERROR(__xludf.DUMMYFUNCTION("""COMPUTED_VALUE"""),44292)</f>
        <v>44292</v>
      </c>
      <c r="B3109" s="8" t="str">
        <f ca="1">IFERROR(__xludf.DUMMYFUNCTION("""COMPUTED_VALUE"""),"-33.791424,-71.433693")</f>
        <v>-33.791424,-71.433693</v>
      </c>
      <c r="C3109" s="6" t="str">
        <f ca="1">IFERROR(__xludf.DUMMYFUNCTION("""COMPUTED_VALUE"""),"QUINCANGUA ALTO S/N")</f>
        <v>QUINCANGUA ALTO S/N</v>
      </c>
      <c r="D3109" s="6" t="str">
        <f ca="1">IFERROR(__xludf.DUMMYFUNCTION("""COMPUTED_VALUE"""),"MELIPILLA")</f>
        <v>MELIPILLA</v>
      </c>
    </row>
    <row r="3110" spans="1:4">
      <c r="A3110" s="7">
        <f ca="1">IFERROR(__xludf.DUMMYFUNCTION("""COMPUTED_VALUE"""),44292)</f>
        <v>44292</v>
      </c>
      <c r="B3110" s="8" t="str">
        <f ca="1">IFERROR(__xludf.DUMMYFUNCTION("""COMPUTED_VALUE"""),"-33.684364,-71.227690")</f>
        <v>-33.684364,-71.227690</v>
      </c>
      <c r="C3110" s="6" t="str">
        <f ca="1">IFERROR(__xludf.DUMMYFUNCTION("""COMPUTED_VALUE"""),"VICHUREN 1695")</f>
        <v>VICHUREN 1695</v>
      </c>
      <c r="D3110" s="6" t="str">
        <f ca="1">IFERROR(__xludf.DUMMYFUNCTION("""COMPUTED_VALUE"""),"MELIPILLA")</f>
        <v>MELIPILLA</v>
      </c>
    </row>
    <row r="3111" spans="1:4">
      <c r="A3111" s="7">
        <f ca="1">IFERROR(__xludf.DUMMYFUNCTION("""COMPUTED_VALUE"""),44293)</f>
        <v>44293</v>
      </c>
      <c r="B3111" s="8" t="str">
        <f ca="1">IFERROR(__xludf.DUMMYFUNCTION("""COMPUTED_VALUE"""),"-33.701372,-71.221337")</f>
        <v>-33.701372,-71.221337</v>
      </c>
      <c r="C3111" s="6" t="str">
        <f ca="1">IFERROR(__xludf.DUMMYFUNCTION("""COMPUTED_VALUE"""),"PORVENIR 1715 D")</f>
        <v>PORVENIR 1715 D</v>
      </c>
      <c r="D3111" s="6" t="str">
        <f ca="1">IFERROR(__xludf.DUMMYFUNCTION("""COMPUTED_VALUE"""),"MELIPILLA")</f>
        <v>MELIPILLA</v>
      </c>
    </row>
    <row r="3112" spans="1:4">
      <c r="A3112" s="7">
        <f ca="1">IFERROR(__xludf.DUMMYFUNCTION("""COMPUTED_VALUE"""),44293)</f>
        <v>44293</v>
      </c>
      <c r="B3112" s="8" t="str">
        <f ca="1">IFERROR(__xludf.DUMMYFUNCTION("""COMPUTED_VALUE"""),"-33.684582,-71.225632")</f>
        <v>-33.684582,-71.225632</v>
      </c>
      <c r="C3112" s="6" t="str">
        <f ca="1">IFERROR(__xludf.DUMMYFUNCTION("""COMPUTED_VALUE"""),"BOGOTA 1312")</f>
        <v>BOGOTA 1312</v>
      </c>
      <c r="D3112" s="6" t="str">
        <f ca="1">IFERROR(__xludf.DUMMYFUNCTION("""COMPUTED_VALUE"""),"MELIPILLA")</f>
        <v>MELIPILLA</v>
      </c>
    </row>
    <row r="3113" spans="1:4">
      <c r="A3113" s="7">
        <f ca="1">IFERROR(__xludf.DUMMYFUNCTION("""COMPUTED_VALUE"""),44293)</f>
        <v>44293</v>
      </c>
      <c r="B3113" s="8" t="str">
        <f ca="1">IFERROR(__xludf.DUMMYFUNCTION("""COMPUTED_VALUE"""),"-33.679035,-71.190631")</f>
        <v>-33.679035,-71.190631</v>
      </c>
      <c r="C3113" s="6" t="str">
        <f ca="1">IFERROR(__xludf.DUMMYFUNCTION("""COMPUTED_VALUE"""),"GRANADA 64 ")</f>
        <v xml:space="preserve">GRANADA 64 </v>
      </c>
      <c r="D3113" s="6" t="str">
        <f ca="1">IFERROR(__xludf.DUMMYFUNCTION("""COMPUTED_VALUE"""),"MELIPILLA")</f>
        <v>MELIPILLA</v>
      </c>
    </row>
    <row r="3114" spans="1:4">
      <c r="A3114" s="7">
        <f ca="1">IFERROR(__xludf.DUMMYFUNCTION("""COMPUTED_VALUE"""),44293)</f>
        <v>44293</v>
      </c>
      <c r="B3114" s="8" t="str">
        <f ca="1">IFERROR(__xludf.DUMMYFUNCTION("""COMPUTED_VALUE"""),"-33.662476,-70.666276")</f>
        <v>-33.662476,-70.666276</v>
      </c>
      <c r="C3114" s="6" t="str">
        <f ca="1">IFERROR(__xludf.DUMMYFUNCTION("""COMPUTED_VALUE"""),"LOS ARENEROS 33")</f>
        <v>LOS ARENEROS 33</v>
      </c>
      <c r="D3114" s="6" t="str">
        <f ca="1">IFERROR(__xludf.DUMMYFUNCTION("""COMPUTED_VALUE"""),"BUIN")</f>
        <v>BUIN</v>
      </c>
    </row>
    <row r="3115" spans="1:4">
      <c r="A3115" s="7">
        <f ca="1">IFERROR(__xludf.DUMMYFUNCTION("""COMPUTED_VALUE"""),44293)</f>
        <v>44293</v>
      </c>
      <c r="B3115" s="8" t="str">
        <f ca="1">IFERROR(__xludf.DUMMYFUNCTION("""COMPUTED_VALUE"""),"-33.745468,-71.196698")</f>
        <v>-33.745468,-71.196698</v>
      </c>
      <c r="C3115" s="6" t="str">
        <f ca="1">IFERROR(__xludf.DUMMYFUNCTION("""COMPUTED_VALUE"""),"ERRAZURIZ 170")</f>
        <v>ERRAZURIZ 170</v>
      </c>
      <c r="D3115" s="6" t="str">
        <f ca="1">IFERROR(__xludf.DUMMYFUNCTION("""COMPUTED_VALUE"""),"MELIPILLA")</f>
        <v>MELIPILLA</v>
      </c>
    </row>
    <row r="3116" spans="1:4">
      <c r="A3116" s="7">
        <f ca="1">IFERROR(__xludf.DUMMYFUNCTION("""COMPUTED_VALUE"""),44293)</f>
        <v>44293</v>
      </c>
      <c r="B3116" s="8" t="str">
        <f ca="1">IFERROR(__xludf.DUMMYFUNCTION("""COMPUTED_VALUE"""),"-33.540389,-71.200291")</f>
        <v>-33.540389,-71.200291</v>
      </c>
      <c r="C3116" s="6" t="str">
        <f ca="1">IFERROR(__xludf.DUMMYFUNCTION("""COMPUTED_VALUE"""),"PARCELA 18 EL GUINDO")</f>
        <v>PARCELA 18 EL GUINDO</v>
      </c>
      <c r="D3116" s="6" t="str">
        <f ca="1">IFERROR(__xludf.DUMMYFUNCTION("""COMPUTED_VALUE"""),"MARIA PINTO")</f>
        <v>MARIA PINTO</v>
      </c>
    </row>
    <row r="3117" spans="1:4">
      <c r="A3117" s="7">
        <f ca="1">IFERROR(__xludf.DUMMYFUNCTION("""COMPUTED_VALUE"""),44293)</f>
        <v>44293</v>
      </c>
      <c r="B3117" s="8" t="str">
        <f ca="1">IFERROR(__xludf.DUMMYFUNCTION("""COMPUTED_VALUE"""),"-33.687683,-71.226688")</f>
        <v>-33.687683,-71.226688</v>
      </c>
      <c r="C3117" s="6" t="str">
        <f ca="1">IFERROR(__xludf.DUMMYFUNCTION("""COMPUTED_VALUE"""),"KATTY QUIROGA 721")</f>
        <v>KATTY QUIROGA 721</v>
      </c>
      <c r="D3117" s="6" t="str">
        <f ca="1">IFERROR(__xludf.DUMMYFUNCTION("""COMPUTED_VALUE"""),"MELIPILLA")</f>
        <v>MELIPILLA</v>
      </c>
    </row>
    <row r="3118" spans="1:4">
      <c r="A3118" s="7">
        <f ca="1">IFERROR(__xludf.DUMMYFUNCTION("""COMPUTED_VALUE"""),44293)</f>
        <v>44293</v>
      </c>
      <c r="B3118" s="6" t="str">
        <f ca="1">IFERROR(__xludf.DUMMYFUNCTION("""COMPUTED_VALUE"""),"-33.391333-71.122321")</f>
        <v>-33.391333-71.122321</v>
      </c>
      <c r="C3118" s="6" t="str">
        <f ca="1">IFERROR(__xludf.DUMMYFUNCTION("""COMPUTED_VALUE"""),"LOS PATRIOTAS 2160")</f>
        <v>LOS PATRIOTAS 2160</v>
      </c>
      <c r="D3118" s="6" t="str">
        <f ca="1">IFERROR(__xludf.DUMMYFUNCTION("""COMPUTED_VALUE"""),"CURACAVI")</f>
        <v>CURACAVI</v>
      </c>
    </row>
    <row r="3119" spans="1:4">
      <c r="A3119" s="7">
        <f ca="1">IFERROR(__xludf.DUMMYFUNCTION("""COMPUTED_VALUE"""),44293)</f>
        <v>44293</v>
      </c>
      <c r="B3119" s="6" t="str">
        <f ca="1">IFERROR(__xludf.DUMMYFUNCTION("""COMPUTED_VALUE"""),"-33.459718-71.029721")</f>
        <v>-33.459718-71.029721</v>
      </c>
      <c r="C3119" s="6" t="str">
        <f ca="1">IFERROR(__xludf.DUMMYFUNCTION("""COMPUTED_VALUE"""),"CERRILLOS S/18 1B")</f>
        <v>CERRILLOS S/18 1B</v>
      </c>
      <c r="D3119" s="6" t="str">
        <f ca="1">IFERROR(__xludf.DUMMYFUNCTION("""COMPUTED_VALUE"""),"CURACAVI")</f>
        <v>CURACAVI</v>
      </c>
    </row>
    <row r="3120" spans="1:4">
      <c r="A3120" s="7">
        <f ca="1">IFERROR(__xludf.DUMMYFUNCTION("""COMPUTED_VALUE"""),44293)</f>
        <v>44293</v>
      </c>
      <c r="B3120" s="6" t="str">
        <f ca="1">IFERROR(__xludf.DUMMYFUNCTION("""COMPUTED_VALUE"""),"-33.414751-71.114553")</f>
        <v>-33.414751-71.114553</v>
      </c>
      <c r="C3120" s="6" t="str">
        <f ca="1">IFERROR(__xludf.DUMMYFUNCTION("""COMPUTED_VALUE"""),"LAS ROSAS LOTE 3")</f>
        <v>LAS ROSAS LOTE 3</v>
      </c>
      <c r="D3120" s="6" t="str">
        <f ca="1">IFERROR(__xludf.DUMMYFUNCTION("""COMPUTED_VALUE"""),"CURACAVI")</f>
        <v>CURACAVI</v>
      </c>
    </row>
    <row r="3121" spans="1:4">
      <c r="A3121" s="7">
        <f ca="1">IFERROR(__xludf.DUMMYFUNCTION("""COMPUTED_VALUE"""),44293)</f>
        <v>44293</v>
      </c>
      <c r="B3121" s="6" t="str">
        <f ca="1">IFERROR(__xludf.DUMMYFUNCTION("""COMPUTED_VALUE"""),"-33.46261-71.602755")</f>
        <v>-33.46261-71.602755</v>
      </c>
      <c r="C3121" s="6" t="str">
        <f ca="1">IFERROR(__xludf.DUMMYFUNCTION("""COMPUTED_VALUE"""),"CUESTA VIEJA SITIO 3")</f>
        <v>CUESTA VIEJA SITIO 3</v>
      </c>
      <c r="D3121" s="6" t="str">
        <f ca="1">IFERROR(__xludf.DUMMYFUNCTION("""COMPUTED_VALUE"""),"CURACAVI")</f>
        <v>CURACAVI</v>
      </c>
    </row>
    <row r="3122" spans="1:4">
      <c r="A3122" s="7">
        <f ca="1">IFERROR(__xludf.DUMMYFUNCTION("""COMPUTED_VALUE"""),44293)</f>
        <v>44293</v>
      </c>
      <c r="B3122" s="6" t="str">
        <f ca="1">IFERROR(__xludf.DUMMYFUNCTION("""COMPUTED_VALUE"""),"-33.49102-71.03273")</f>
        <v>-33.49102-71.03273</v>
      </c>
      <c r="C3122" s="6" t="str">
        <f ca="1">IFERROR(__xludf.DUMMYFUNCTION("""COMPUTED_VALUE"""),"EL AJIAL 1 LOTE 8")</f>
        <v>EL AJIAL 1 LOTE 8</v>
      </c>
      <c r="D3122" s="6" t="str">
        <f ca="1">IFERROR(__xludf.DUMMYFUNCTION("""COMPUTED_VALUE"""),"CURACAVI")</f>
        <v>CURACAVI</v>
      </c>
    </row>
    <row r="3123" spans="1:4">
      <c r="A3123" s="7">
        <f ca="1">IFERROR(__xludf.DUMMYFUNCTION("""COMPUTED_VALUE"""),44293)</f>
        <v>44293</v>
      </c>
      <c r="B3123" s="6" t="str">
        <f ca="1">IFERROR(__xludf.DUMMYFUNCTION("""COMPUTED_VALUE"""),"-33.418581-71.047157")</f>
        <v>-33.418581-71.047157</v>
      </c>
      <c r="C3123" s="6" t="str">
        <f ca="1">IFERROR(__xludf.DUMMYFUNCTION("""COMPUTED_VALUE"""),"LOLENCO S/N")</f>
        <v>LOLENCO S/N</v>
      </c>
      <c r="D3123" s="6" t="str">
        <f ca="1">IFERROR(__xludf.DUMMYFUNCTION("""COMPUTED_VALUE"""),"CURACAVI")</f>
        <v>CURACAVI</v>
      </c>
    </row>
    <row r="3124" spans="1:4">
      <c r="A3124" s="7">
        <f ca="1">IFERROR(__xludf.DUMMYFUNCTION("""COMPUTED_VALUE"""),44293)</f>
        <v>44293</v>
      </c>
      <c r="B3124" s="6" t="str">
        <f ca="1">IFERROR(__xludf.DUMMYFUNCTION("""COMPUTED_VALUE"""),"-33.400661-70.991450")</f>
        <v>-33.400661-70.991450</v>
      </c>
      <c r="C3124" s="6" t="str">
        <f ca="1">IFERROR(__xludf.DUMMYFUNCTION("""COMPUTED_VALUE"""),"LA AURORA S/N")</f>
        <v>LA AURORA S/N</v>
      </c>
      <c r="D3124" s="6" t="str">
        <f ca="1">IFERROR(__xludf.DUMMYFUNCTION("""COMPUTED_VALUE"""),"CURACAVI")</f>
        <v>CURACAVI</v>
      </c>
    </row>
    <row r="3125" spans="1:4">
      <c r="A3125" s="7">
        <f ca="1">IFERROR(__xludf.DUMMYFUNCTION("""COMPUTED_VALUE"""),44293)</f>
        <v>44293</v>
      </c>
      <c r="B3125" s="6" t="str">
        <f ca="1">IFERROR(__xludf.DUMMYFUNCTION("""COMPUTED_VALUE"""),"-33.581940,-71.053619")</f>
        <v>-33.581940,-71.053619</v>
      </c>
      <c r="C3125" s="6" t="str">
        <f ca="1">IFERROR(__xludf.DUMMYFUNCTION("""COMPUTED_VALUE"""),"SANTA  VICTORIA DE MALLARAUCO S/N")</f>
        <v>SANTA  VICTORIA DE MALLARAUCO S/N</v>
      </c>
      <c r="D3125" s="6" t="str">
        <f ca="1">IFERROR(__xludf.DUMMYFUNCTION("""COMPUTED_VALUE"""),"MELIPILLA")</f>
        <v>MELIPILLA</v>
      </c>
    </row>
    <row r="3126" spans="1:4">
      <c r="A3126" s="7">
        <f ca="1">IFERROR(__xludf.DUMMYFUNCTION("""COMPUTED_VALUE"""),44293)</f>
        <v>44293</v>
      </c>
      <c r="B3126" s="6" t="str">
        <f ca="1">IFERROR(__xludf.DUMMYFUNCTION("""COMPUTED_VALUE"""),"-33.591995,-71.053632")</f>
        <v>-33.591995,-71.053632</v>
      </c>
      <c r="C3126" s="6" t="str">
        <f ca="1">IFERROR(__xludf.DUMMYFUNCTION("""COMPUTED_VALUE"""),"SANTA VICTORIA DE  MALLARAUCO 4 KM -15")</f>
        <v>SANTA VICTORIA DE  MALLARAUCO 4 KM -15</v>
      </c>
      <c r="D3126" s="6" t="str">
        <f ca="1">IFERROR(__xludf.DUMMYFUNCTION("""COMPUTED_VALUE"""),"MELIPILLA")</f>
        <v>MELIPILLA</v>
      </c>
    </row>
    <row r="3127" spans="1:4">
      <c r="A3127" s="7">
        <f ca="1">IFERROR(__xludf.DUMMYFUNCTION("""COMPUTED_VALUE"""),44293)</f>
        <v>44293</v>
      </c>
      <c r="B3127" s="6" t="str">
        <f ca="1">IFERROR(__xludf.DUMMYFUNCTION("""COMPUTED_VALUE"""),"-33.581819,-71.054358")</f>
        <v>-33.581819,-71.054358</v>
      </c>
      <c r="C3127" s="6" t="str">
        <f ca="1">IFERROR(__xludf.DUMMYFUNCTION("""COMPUTED_VALUE"""),"SANTA  VICTORIA  S/N ")</f>
        <v xml:space="preserve">SANTA  VICTORIA  S/N </v>
      </c>
      <c r="D3127" s="6" t="str">
        <f ca="1">IFERROR(__xludf.DUMMYFUNCTION("""COMPUTED_VALUE"""),"MELIPILLA")</f>
        <v>MELIPILLA</v>
      </c>
    </row>
    <row r="3128" spans="1:4">
      <c r="A3128" s="7">
        <f ca="1">IFERROR(__xludf.DUMMYFUNCTION("""COMPUTED_VALUE"""),44293)</f>
        <v>44293</v>
      </c>
      <c r="B3128" s="8" t="str">
        <f ca="1">IFERROR(__xludf.DUMMYFUNCTION("""COMPUTED_VALUE"""),"-33.76325,-71.295991")</f>
        <v>-33.76325,-71.295991</v>
      </c>
      <c r="C3128" s="6" t="str">
        <f ca="1">IFERROR(__xludf.DUMMYFUNCTION("""COMPUTED_VALUE"""),"PARCELA 10 SAN RAFAEL")</f>
        <v>PARCELA 10 SAN RAFAEL</v>
      </c>
      <c r="D3128" s="6" t="str">
        <f ca="1">IFERROR(__xludf.DUMMYFUNCTION("""COMPUTED_VALUE"""),"MELIPILLA")</f>
        <v>MELIPILLA</v>
      </c>
    </row>
    <row r="3129" spans="1:4">
      <c r="A3129" s="7">
        <f ca="1">IFERROR(__xludf.DUMMYFUNCTION("""COMPUTED_VALUE"""),44293)</f>
        <v>44293</v>
      </c>
      <c r="B3129" s="8" t="str">
        <f ca="1">IFERROR(__xludf.DUMMYFUNCTION("""COMPUTED_VALUE"""),"-33.688427,-71.209159")</f>
        <v>-33.688427,-71.209159</v>
      </c>
      <c r="C3129" s="6" t="str">
        <f ca="1">IFERROR(__xludf.DUMMYFUNCTION("""COMPUTED_VALUE"""),"LAS MARGARITAS PASAJE 2 CASA 155")</f>
        <v>LAS MARGARITAS PASAJE 2 CASA 155</v>
      </c>
      <c r="D3129" s="6" t="str">
        <f ca="1">IFERROR(__xludf.DUMMYFUNCTION("""COMPUTED_VALUE"""),"MELIPILLA")</f>
        <v>MELIPILLA</v>
      </c>
    </row>
    <row r="3130" spans="1:4">
      <c r="A3130" s="7">
        <f ca="1">IFERROR(__xludf.DUMMYFUNCTION("""COMPUTED_VALUE"""),44294)</f>
        <v>44294</v>
      </c>
      <c r="B3130" s="8" t="str">
        <f ca="1">IFERROR(__xludf.DUMMYFUNCTION("""COMPUTED_VALUE"""),"-33.572373,-71.211469")</f>
        <v>-33.572373,-71.211469</v>
      </c>
      <c r="C3130" s="6" t="str">
        <f ca="1">IFERROR(__xludf.DUMMYFUNCTION("""COMPUTED_VALUE"""),"RANCAGUA 99 BOLLENAR")</f>
        <v>RANCAGUA 99 BOLLENAR</v>
      </c>
      <c r="D3130" s="6" t="str">
        <f ca="1">IFERROR(__xludf.DUMMYFUNCTION("""COMPUTED_VALUE"""),"MELIPILLA")</f>
        <v>MELIPILLA</v>
      </c>
    </row>
    <row r="3131" spans="1:4">
      <c r="A3131" s="7">
        <f ca="1">IFERROR(__xludf.DUMMYFUNCTION("""COMPUTED_VALUE"""),44294)</f>
        <v>44294</v>
      </c>
      <c r="B3131" s="8" t="str">
        <f ca="1">IFERROR(__xludf.DUMMYFUNCTION("""COMPUTED_VALUE"""),"-33.514530,-71.122446")</f>
        <v>-33.514530,-71.122446</v>
      </c>
      <c r="C3131" s="6" t="str">
        <f ca="1">IFERROR(__xludf.DUMMYFUNCTION("""COMPUTED_VALUE"""),"ADRIANE MADRID 230 ")</f>
        <v xml:space="preserve">ADRIANE MADRID 230 </v>
      </c>
      <c r="D3131" s="6" t="str">
        <f ca="1">IFERROR(__xludf.DUMMYFUNCTION("""COMPUTED_VALUE"""),"MARIA PINTO")</f>
        <v>MARIA PINTO</v>
      </c>
    </row>
    <row r="3132" spans="1:4">
      <c r="A3132" s="7">
        <f ca="1">IFERROR(__xludf.DUMMYFUNCTION("""COMPUTED_VALUE"""),44294)</f>
        <v>44294</v>
      </c>
      <c r="B3132" s="8" t="str">
        <f ca="1">IFERROR(__xludf.DUMMYFUNCTION("""COMPUTED_VALUE"""),"-33,5692861,-71.2050007")</f>
        <v>-33,5692861,-71.2050007</v>
      </c>
      <c r="C3132" s="6" t="str">
        <f ca="1">IFERROR(__xludf.DUMMYFUNCTION("""COMPUTED_VALUE"""),"PASAJE 4 BOLLENAR")</f>
        <v>PASAJE 4 BOLLENAR</v>
      </c>
      <c r="D3132" s="6" t="str">
        <f ca="1">IFERROR(__xludf.DUMMYFUNCTION("""COMPUTED_VALUE"""),"MELIPILLA")</f>
        <v>MELIPILLA</v>
      </c>
    </row>
    <row r="3133" spans="1:4">
      <c r="A3133" s="7">
        <f ca="1">IFERROR(__xludf.DUMMYFUNCTION("""COMPUTED_VALUE"""),44294)</f>
        <v>44294</v>
      </c>
      <c r="B3133" s="8" t="str">
        <f ca="1">IFERROR(__xludf.DUMMYFUNCTION("""COMPUTED_VALUE"""),"-33.674423,-70.992556")</f>
        <v>-33.674423,-70.992556</v>
      </c>
      <c r="C3133" s="6" t="str">
        <f ca="1">IFERROR(__xludf.DUMMYFUNCTION("""COMPUTED_VALUE"""),"DOMINGO STA MARIA 420")</f>
        <v>DOMINGO STA MARIA 420</v>
      </c>
      <c r="D3133" s="6" t="str">
        <f ca="1">IFERROR(__xludf.DUMMYFUNCTION("""COMPUTED_VALUE"""),"EL MONTE")</f>
        <v>EL MONTE</v>
      </c>
    </row>
    <row r="3134" spans="1:4">
      <c r="A3134" s="7">
        <f ca="1">IFERROR(__xludf.DUMMYFUNCTION("""COMPUTED_VALUE"""),44294)</f>
        <v>44294</v>
      </c>
      <c r="B3134" s="8" t="str">
        <f ca="1">IFERROR(__xludf.DUMMYFUNCTION("""COMPUTED_VALUE"""),"-33.662376,-70.666244")</f>
        <v>-33.662376,-70.666244</v>
      </c>
      <c r="C3134" s="6" t="str">
        <f ca="1">IFERROR(__xludf.DUMMYFUNCTION("""COMPUTED_VALUE"""),"LOS ARENEROS 34")</f>
        <v>LOS ARENEROS 34</v>
      </c>
      <c r="D3134" s="6" t="str">
        <f ca="1">IFERROR(__xludf.DUMMYFUNCTION("""COMPUTED_VALUE"""),"BUIN")</f>
        <v>BUIN</v>
      </c>
    </row>
    <row r="3135" spans="1:4">
      <c r="A3135" s="7">
        <f ca="1">IFERROR(__xludf.DUMMYFUNCTION("""COMPUTED_VALUE"""),44294)</f>
        <v>44294</v>
      </c>
      <c r="B3135" s="8" t="str">
        <f ca="1">IFERROR(__xludf.DUMMYFUNCTION("""COMPUTED_VALUE"""),"-33.662240,-70.666185")</f>
        <v>-33.662240,-70.666185</v>
      </c>
      <c r="C3135" s="6" t="str">
        <f ca="1">IFERROR(__xludf.DUMMYFUNCTION("""COMPUTED_VALUE"""),"LOS ARENEROS 32 ")</f>
        <v xml:space="preserve">LOS ARENEROS 32 </v>
      </c>
      <c r="D3135" s="6" t="str">
        <f ca="1">IFERROR(__xludf.DUMMYFUNCTION("""COMPUTED_VALUE"""),"BUIN")</f>
        <v>BUIN</v>
      </c>
    </row>
    <row r="3136" spans="1:4">
      <c r="A3136" s="7">
        <f ca="1">IFERROR(__xludf.DUMMYFUNCTION("""COMPUTED_VALUE"""),44294)</f>
        <v>44294</v>
      </c>
      <c r="B3136" s="8" t="str">
        <f ca="1">IFERROR(__xludf.DUMMYFUNCTION("""COMPUTED_VALUE"""),"-33.747436,-71.197745")</f>
        <v>-33.747436,-71.197745</v>
      </c>
      <c r="C3136" s="6" t="str">
        <f ca="1">IFERROR(__xludf.DUMMYFUNCTION("""COMPUTED_VALUE"""),"ERRAZURIZ S/N ")</f>
        <v xml:space="preserve">ERRAZURIZ S/N </v>
      </c>
      <c r="D3136" s="6" t="str">
        <f ca="1">IFERROR(__xludf.DUMMYFUNCTION("""COMPUTED_VALUE"""),"MELIPILLA")</f>
        <v>MELIPILLA</v>
      </c>
    </row>
    <row r="3137" spans="1:4">
      <c r="A3137" s="7">
        <f ca="1">IFERROR(__xludf.DUMMYFUNCTION("""COMPUTED_VALUE"""),44294)</f>
        <v>44294</v>
      </c>
      <c r="B3137" s="8" t="str">
        <f ca="1">IFERROR(__xludf.DUMMYFUNCTION("""COMPUTED_VALUE"""),"-33.684456,-71.229235")</f>
        <v>-33.684456,-71.229235</v>
      </c>
      <c r="C3137" s="6" t="str">
        <f ca="1">IFERROR(__xludf.DUMMYFUNCTION("""COMPUTED_VALUE"""),"LAGO PEÑUELA 423")</f>
        <v>LAGO PEÑUELA 423</v>
      </c>
      <c r="D3137" s="6" t="str">
        <f ca="1">IFERROR(__xludf.DUMMYFUNCTION("""COMPUTED_VALUE"""),"MELIPILLA")</f>
        <v>MELIPILLA</v>
      </c>
    </row>
    <row r="3138" spans="1:4">
      <c r="A3138" s="7">
        <f ca="1">IFERROR(__xludf.DUMMYFUNCTION("""COMPUTED_VALUE"""),44294)</f>
        <v>44294</v>
      </c>
      <c r="B3138" s="6" t="str">
        <f ca="1">IFERROR(__xludf.DUMMYFUNCTION("""COMPUTED_VALUE"""),"-33.406384-71.148431")</f>
        <v>-33.406384-71.148431</v>
      </c>
      <c r="C3138" s="6" t="str">
        <f ca="1">IFERROR(__xludf.DUMMYFUNCTION("""COMPUTED_VALUE"""),"AV. AMBROSIO OHIGGINS 915")</f>
        <v>AV. AMBROSIO OHIGGINS 915</v>
      </c>
      <c r="D3138" s="6" t="str">
        <f ca="1">IFERROR(__xludf.DUMMYFUNCTION("""COMPUTED_VALUE"""),"CURACAVI")</f>
        <v>CURACAVI</v>
      </c>
    </row>
    <row r="3139" spans="1:4">
      <c r="A3139" s="7">
        <f ca="1">IFERROR(__xludf.DUMMYFUNCTION("""COMPUTED_VALUE"""),44294)</f>
        <v>44294</v>
      </c>
      <c r="B3139" s="6" t="str">
        <f ca="1">IFERROR(__xludf.DUMMYFUNCTION("""COMPUTED_VALUE"""),"-33.406997-71.127335")</f>
        <v>-33.406997-71.127335</v>
      </c>
      <c r="C3139" s="6" t="str">
        <f ca="1">IFERROR(__xludf.DUMMYFUNCTION("""COMPUTED_VALUE"""),"PJE. EL ROSAL 454")</f>
        <v>PJE. EL ROSAL 454</v>
      </c>
      <c r="D3139" s="6" t="str">
        <f ca="1">IFERROR(__xludf.DUMMYFUNCTION("""COMPUTED_VALUE"""),"CURACAVI")</f>
        <v>CURACAVI</v>
      </c>
    </row>
    <row r="3140" spans="1:4">
      <c r="A3140" s="7">
        <f ca="1">IFERROR(__xludf.DUMMYFUNCTION("""COMPUTED_VALUE"""),44294)</f>
        <v>44294</v>
      </c>
      <c r="B3140" s="6" t="str">
        <f ca="1">IFERROR(__xludf.DUMMYFUNCTION("""COMPUTED_VALUE"""),"-33.406878-71.127154")</f>
        <v>-33.406878-71.127154</v>
      </c>
      <c r="C3140" s="6" t="str">
        <f ca="1">IFERROR(__xludf.DUMMYFUNCTION("""COMPUTED_VALUE"""),"EL ROSAL 449")</f>
        <v>EL ROSAL 449</v>
      </c>
      <c r="D3140" s="6" t="str">
        <f ca="1">IFERROR(__xludf.DUMMYFUNCTION("""COMPUTED_VALUE"""),"CURACAVI")</f>
        <v>CURACAVI</v>
      </c>
    </row>
    <row r="3141" spans="1:4">
      <c r="A3141" s="7">
        <f ca="1">IFERROR(__xludf.DUMMYFUNCTION("""COMPUTED_VALUE"""),44294)</f>
        <v>44294</v>
      </c>
      <c r="B3141" s="6" t="str">
        <f ca="1">IFERROR(__xludf.DUMMYFUNCTION("""COMPUTED_VALUE"""),"-33.598489-70.846784")</f>
        <v>-33.598489-70.846784</v>
      </c>
      <c r="C3141" s="6" t="str">
        <f ca="1">IFERROR(__xludf.DUMMYFUNCTION("""COMPUTED_VALUE"""),"BALMACEDA 0612")</f>
        <v>BALMACEDA 0612</v>
      </c>
      <c r="D3141" s="6" t="str">
        <f ca="1">IFERROR(__xludf.DUMMYFUNCTION("""COMPUTED_VALUE"""),"CURACAVI")</f>
        <v>CURACAVI</v>
      </c>
    </row>
    <row r="3142" spans="1:4">
      <c r="A3142" s="7">
        <f ca="1">IFERROR(__xludf.DUMMYFUNCTION("""COMPUTED_VALUE"""),44294)</f>
        <v>44294</v>
      </c>
      <c r="B3142" s="6" t="str">
        <f ca="1">IFERROR(__xludf.DUMMYFUNCTION("""COMPUTED_VALUE"""),"-33.598489-70.846785")</f>
        <v>-33.598489-70.846785</v>
      </c>
      <c r="C3142" s="6" t="str">
        <f ca="1">IFERROR(__xludf.DUMMYFUNCTION("""COMPUTED_VALUE"""),"BALMACEDA 0753")</f>
        <v>BALMACEDA 0753</v>
      </c>
      <c r="D3142" s="6" t="str">
        <f ca="1">IFERROR(__xludf.DUMMYFUNCTION("""COMPUTED_VALUE"""),"PEÑAFLOR")</f>
        <v>PEÑAFLOR</v>
      </c>
    </row>
    <row r="3143" spans="1:4">
      <c r="A3143" s="7">
        <f ca="1">IFERROR(__xludf.DUMMYFUNCTION("""COMPUTED_VALUE"""),44294)</f>
        <v>44294</v>
      </c>
      <c r="B3143" s="6" t="str">
        <f ca="1">IFERROR(__xludf.DUMMYFUNCTION("""COMPUTED_VALUE"""),"-33.673230-70.986139")</f>
        <v>-33.673230-70.986139</v>
      </c>
      <c r="C3143" s="6" t="str">
        <f ca="1">IFERROR(__xludf.DUMMYFUNCTION("""COMPUTED_VALUE"""),"GOMEZ RAMIREZ 448")</f>
        <v>GOMEZ RAMIREZ 448</v>
      </c>
      <c r="D3143" s="6" t="str">
        <f ca="1">IFERROR(__xludf.DUMMYFUNCTION("""COMPUTED_VALUE"""),"EL MONTE")</f>
        <v>EL MONTE</v>
      </c>
    </row>
    <row r="3144" spans="1:4">
      <c r="A3144" s="7">
        <f ca="1">IFERROR(__xludf.DUMMYFUNCTION("""COMPUTED_VALUE"""),44294)</f>
        <v>44294</v>
      </c>
      <c r="B3144" s="6" t="str">
        <f ca="1">IFERROR(__xludf.DUMMYFUNCTION("""COMPUTED_VALUE"""),"-33.674737-70.977014")</f>
        <v>-33.674737-70.977014</v>
      </c>
      <c r="C3144" s="6" t="str">
        <f ca="1">IFERROR(__xludf.DUMMYFUNCTION("""COMPUTED_VALUE"""),"ALMIRANTE LATORRE 315")</f>
        <v>ALMIRANTE LATORRE 315</v>
      </c>
      <c r="D3144" s="6" t="str">
        <f ca="1">IFERROR(__xludf.DUMMYFUNCTION("""COMPUTED_VALUE"""),"EL MONTE")</f>
        <v>EL MONTE</v>
      </c>
    </row>
    <row r="3145" spans="1:4">
      <c r="A3145" s="7">
        <f ca="1">IFERROR(__xludf.DUMMYFUNCTION("""COMPUTED_VALUE"""),44294)</f>
        <v>44294</v>
      </c>
      <c r="B3145" s="6" t="str">
        <f ca="1">IFERROR(__xludf.DUMMYFUNCTION("""COMPUTED_VALUE"""),"-33.653247-70.997617")</f>
        <v>-33.653247-70.997617</v>
      </c>
      <c r="C3145" s="6" t="str">
        <f ca="1">IFERROR(__xludf.DUMMYFUNCTION("""COMPUTED_VALUE"""),"AV. LOS LIBERTADORES 791 CASA 21")</f>
        <v>AV. LOS LIBERTADORES 791 CASA 21</v>
      </c>
      <c r="D3145" s="6" t="str">
        <f ca="1">IFERROR(__xludf.DUMMYFUNCTION("""COMPUTED_VALUE"""),"EL MONTE")</f>
        <v>EL MONTE</v>
      </c>
    </row>
    <row r="3146" spans="1:4">
      <c r="A3146" s="7">
        <f ca="1">IFERROR(__xludf.DUMMYFUNCTION("""COMPUTED_VALUE"""),44294)</f>
        <v>44294</v>
      </c>
      <c r="B3146" s="6" t="str">
        <f ca="1">IFERROR(__xludf.DUMMYFUNCTION("""COMPUTED_VALUE"""),"-33.50768-71.07271")</f>
        <v>-33.50768-71.07271</v>
      </c>
      <c r="C3146" s="6" t="str">
        <f ca="1">IFERROR(__xludf.DUMMYFUNCTION("""COMPUTED_VALUE"""),"EL PARRON S/N")</f>
        <v>EL PARRON S/N</v>
      </c>
      <c r="D3146" s="6" t="str">
        <f ca="1">IFERROR(__xludf.DUMMYFUNCTION("""COMPUTED_VALUE"""),"MARIA PINTO")</f>
        <v>MARIA PINTO</v>
      </c>
    </row>
    <row r="3147" spans="1:4">
      <c r="A3147" s="7">
        <f ca="1">IFERROR(__xludf.DUMMYFUNCTION("""COMPUTED_VALUE"""),44294)</f>
        <v>44294</v>
      </c>
      <c r="B3147" s="6" t="str">
        <f ca="1">IFERROR(__xludf.DUMMYFUNCTION("""COMPUTED_VALUE"""),"-33.394291-71.139858")</f>
        <v>-33.394291-71.139858</v>
      </c>
      <c r="C3147" s="6" t="str">
        <f ca="1">IFERROR(__xludf.DUMMYFUNCTION("""COMPUTED_VALUE"""),"GERMAN RIESCO 819")</f>
        <v>GERMAN RIESCO 819</v>
      </c>
      <c r="D3147" s="6" t="str">
        <f ca="1">IFERROR(__xludf.DUMMYFUNCTION("""COMPUTED_VALUE"""),"CURACAVI")</f>
        <v>CURACAVI</v>
      </c>
    </row>
    <row r="3148" spans="1:4">
      <c r="A3148" s="7">
        <f ca="1">IFERROR(__xludf.DUMMYFUNCTION("""COMPUTED_VALUE"""),44294)</f>
        <v>44294</v>
      </c>
      <c r="B3148" s="6" t="str">
        <f ca="1">IFERROR(__xludf.DUMMYFUNCTION("""COMPUTED_VALUE"""),"-33.368199-71.136414")</f>
        <v>-33.368199-71.136414</v>
      </c>
      <c r="C3148" s="6" t="str">
        <f ca="1">IFERROR(__xludf.DUMMYFUNCTION("""COMPUTED_VALUE"""),"CAMINO ALHUE P-11")</f>
        <v>CAMINO ALHUE P-11</v>
      </c>
      <c r="D3148" s="6" t="str">
        <f ca="1">IFERROR(__xludf.DUMMYFUNCTION("""COMPUTED_VALUE"""),"CURACAVI")</f>
        <v>CURACAVI</v>
      </c>
    </row>
    <row r="3149" spans="1:4">
      <c r="A3149" s="7">
        <f ca="1">IFERROR(__xludf.DUMMYFUNCTION("""COMPUTED_VALUE"""),44294)</f>
        <v>44294</v>
      </c>
      <c r="B3149" s="6" t="str">
        <f ca="1">IFERROR(__xludf.DUMMYFUNCTION("""COMPUTED_VALUE"""),"-33.406782-71.137194")</f>
        <v>-33.406782-71.137194</v>
      </c>
      <c r="C3149" s="6" t="str">
        <f ca="1">IFERROR(__xludf.DUMMYFUNCTION("""COMPUTED_VALUE"""),"DIEGO DE PRADO 1223")</f>
        <v>DIEGO DE PRADO 1223</v>
      </c>
      <c r="D3149" s="6" t="str">
        <f ca="1">IFERROR(__xludf.DUMMYFUNCTION("""COMPUTED_VALUE"""),"CURACAVI")</f>
        <v>CURACAVI</v>
      </c>
    </row>
    <row r="3150" spans="1:4">
      <c r="A3150" s="7">
        <f ca="1">IFERROR(__xludf.DUMMYFUNCTION("""COMPUTED_VALUE"""),44294)</f>
        <v>44294</v>
      </c>
      <c r="B3150" s="6" t="str">
        <f ca="1">IFERROR(__xludf.DUMMYFUNCTION("""COMPUTED_VALUE"""),"-33.51653-71.12151")</f>
        <v>-33.51653-71.12151</v>
      </c>
      <c r="C3150" s="6" t="str">
        <f ca="1">IFERROR(__xludf.DUMMYFUNCTION("""COMPUTED_VALUE"""),"ONCE DE SEPTIEMBRE 304")</f>
        <v>ONCE DE SEPTIEMBRE 304</v>
      </c>
      <c r="D3150" s="6" t="str">
        <f ca="1">IFERROR(__xludf.DUMMYFUNCTION("""COMPUTED_VALUE"""),"MARIA PINTO")</f>
        <v>MARIA PINTO</v>
      </c>
    </row>
    <row r="3151" spans="1:4">
      <c r="A3151" s="7">
        <f ca="1">IFERROR(__xludf.DUMMYFUNCTION("""COMPUTED_VALUE"""),44294)</f>
        <v>44294</v>
      </c>
      <c r="B3151" s="6" t="str">
        <f ca="1">IFERROR(__xludf.DUMMYFUNCTION("""COMPUTED_VALUE"""),"-33.619059-70.889994")</f>
        <v>-33.619059-70.889994</v>
      </c>
      <c r="C3151" s="6" t="str">
        <f ca="1">IFERROR(__xludf.DUMMYFUNCTION("""COMPUTED_VALUE"""),"PEDRO CORREA 606")</f>
        <v>PEDRO CORREA 606</v>
      </c>
      <c r="D3151" s="6" t="str">
        <f ca="1">IFERROR(__xludf.DUMMYFUNCTION("""COMPUTED_VALUE"""),"PEÑAFLOR")</f>
        <v>PEÑAFLOR</v>
      </c>
    </row>
    <row r="3152" spans="1:4">
      <c r="A3152" s="7">
        <f ca="1">IFERROR(__xludf.DUMMYFUNCTION("""COMPUTED_VALUE"""),44294)</f>
        <v>44294</v>
      </c>
      <c r="B3152" s="6" t="str">
        <f ca="1">IFERROR(__xludf.DUMMYFUNCTION("""COMPUTED_VALUE"""),"-33.582416,-71.052228")</f>
        <v>-33.582416,-71.052228</v>
      </c>
      <c r="C3152" s="6" t="str">
        <f ca="1">IFERROR(__xludf.DUMMYFUNCTION("""COMPUTED_VALUE"""),"SECTOR  MALLARAUCO S/N")</f>
        <v>SECTOR  MALLARAUCO S/N</v>
      </c>
      <c r="D3152" s="6" t="str">
        <f ca="1">IFERROR(__xludf.DUMMYFUNCTION("""COMPUTED_VALUE"""),"MELIPILLA")</f>
        <v>MELIPILLA</v>
      </c>
    </row>
    <row r="3153" spans="1:4">
      <c r="A3153" s="7">
        <f ca="1">IFERROR(__xludf.DUMMYFUNCTION("""COMPUTED_VALUE"""),44294)</f>
        <v>44294</v>
      </c>
      <c r="B3153" s="6" t="str">
        <f ca="1">IFERROR(__xludf.DUMMYFUNCTION("""COMPUTED_VALUE"""),"-33.586064,-71.052148")</f>
        <v>-33.586064,-71.052148</v>
      </c>
      <c r="C3153" s="6" t="str">
        <f ca="1">IFERROR(__xludf.DUMMYFUNCTION("""COMPUTED_VALUE"""),"SECTOR MALLARAUCO S/N CV42")</f>
        <v>SECTOR MALLARAUCO S/N CV42</v>
      </c>
      <c r="D3153" s="6" t="str">
        <f ca="1">IFERROR(__xludf.DUMMYFUNCTION("""COMPUTED_VALUE"""),"MELIPILLA")</f>
        <v>MELIPILLA</v>
      </c>
    </row>
    <row r="3154" spans="1:4">
      <c r="A3154" s="7">
        <f ca="1">IFERROR(__xludf.DUMMYFUNCTION("""COMPUTED_VALUE"""),44294)</f>
        <v>44294</v>
      </c>
      <c r="B3154" s="8" t="str">
        <f ca="1">IFERROR(__xludf.DUMMYFUNCTION("""COMPUTED_VALUE"""),"-33.809169,-71.294259")</f>
        <v>-33.809169,-71.294259</v>
      </c>
      <c r="C3154" s="6" t="str">
        <f ca="1">IFERROR(__xludf.DUMMYFUNCTION("""COMPUTED_VALUE"""),"POPETA PARCELA 203")</f>
        <v>POPETA PARCELA 203</v>
      </c>
      <c r="D3154" s="6" t="str">
        <f ca="1">IFERROR(__xludf.DUMMYFUNCTION("""COMPUTED_VALUE"""),"MELIPILLA")</f>
        <v>MELIPILLA</v>
      </c>
    </row>
    <row r="3155" spans="1:4">
      <c r="A3155" s="7">
        <f ca="1">IFERROR(__xludf.DUMMYFUNCTION("""COMPUTED_VALUE"""),44294)</f>
        <v>44294</v>
      </c>
      <c r="B3155" s="8" t="str">
        <f ca="1">IFERROR(__xludf.DUMMYFUNCTION("""COMPUTED_VALUE"""),"-33.688136,-71.212633")</f>
        <v>-33.688136,-71.212633</v>
      </c>
      <c r="C3155" s="6" t="str">
        <f ca="1">IFERROR(__xludf.DUMMYFUNCTION("""COMPUTED_VALUE"""),"BARROS EX 653-669")</f>
        <v>BARROS EX 653-669</v>
      </c>
      <c r="D3155" s="6" t="str">
        <f ca="1">IFERROR(__xludf.DUMMYFUNCTION("""COMPUTED_VALUE"""),"MELIPILLA")</f>
        <v>MELIPILLA</v>
      </c>
    </row>
    <row r="3156" spans="1:4">
      <c r="A3156" s="7">
        <f ca="1">IFERROR(__xludf.DUMMYFUNCTION("""COMPUTED_VALUE"""),44295)</f>
        <v>44295</v>
      </c>
      <c r="B3156" s="8" t="str">
        <f ca="1">IFERROR(__xludf.DUMMYFUNCTION("""COMPUTED_VALUE"""),"-33.310498,-70.852192")</f>
        <v>-33.310498,-70.852192</v>
      </c>
      <c r="C3156" s="6" t="str">
        <f ca="1">IFERROR(__xludf.DUMMYFUNCTION("""COMPUTED_VALUE"""),"CAMINO INTERIOR PARC 99")</f>
        <v>CAMINO INTERIOR PARC 99</v>
      </c>
      <c r="D3156" s="6" t="str">
        <f ca="1">IFERROR(__xludf.DUMMYFUNCTION("""COMPUTED_VALUE"""),"LAMPA")</f>
        <v>LAMPA</v>
      </c>
    </row>
    <row r="3157" spans="1:4">
      <c r="A3157" s="7">
        <f ca="1">IFERROR(__xludf.DUMMYFUNCTION("""COMPUTED_VALUE"""),44295)</f>
        <v>44295</v>
      </c>
      <c r="B3157" s="8" t="str">
        <f ca="1">IFERROR(__xludf.DUMMYFUNCTION("""COMPUTED_VALUE"""),"-33.545127,-71.224082")</f>
        <v>-33.545127,-71.224082</v>
      </c>
      <c r="C3157" s="6" t="str">
        <f ca="1">IFERROR(__xludf.DUMMYFUNCTION("""COMPUTED_VALUE"""),"CHOROMBO BAJO 1")</f>
        <v>CHOROMBO BAJO 1</v>
      </c>
      <c r="D3157" s="6" t="str">
        <f ca="1">IFERROR(__xludf.DUMMYFUNCTION("""COMPUTED_VALUE"""),"MARIA PINTO")</f>
        <v>MARIA PINTO</v>
      </c>
    </row>
    <row r="3158" spans="1:4">
      <c r="A3158" s="7">
        <f ca="1">IFERROR(__xludf.DUMMYFUNCTION("""COMPUTED_VALUE"""),44295)</f>
        <v>44295</v>
      </c>
      <c r="B3158" s="6" t="str">
        <f ca="1">IFERROR(__xludf.DUMMYFUNCTION("""COMPUTED_VALUE"""),"-33.407485-71.147636")</f>
        <v>-33.407485-71.147636</v>
      </c>
      <c r="C3158" s="6" t="str">
        <f ca="1">IFERROR(__xludf.DUMMYFUNCTION("""COMPUTED_VALUE"""),"ISABEL RIQUELME 571")</f>
        <v>ISABEL RIQUELME 571</v>
      </c>
      <c r="D3158" s="6" t="str">
        <f ca="1">IFERROR(__xludf.DUMMYFUNCTION("""COMPUTED_VALUE"""),"CURACAVI")</f>
        <v>CURACAVI</v>
      </c>
    </row>
    <row r="3159" spans="1:4">
      <c r="A3159" s="7">
        <f ca="1">IFERROR(__xludf.DUMMYFUNCTION("""COMPUTED_VALUE"""),44295)</f>
        <v>44295</v>
      </c>
      <c r="B3159" s="6" t="str">
        <f ca="1">IFERROR(__xludf.DUMMYFUNCTION("""COMPUTED_VALUE"""),"-33.407077-71.126522")</f>
        <v>-33.407077-71.126522</v>
      </c>
      <c r="C3159" s="6" t="str">
        <f ca="1">IFERROR(__xludf.DUMMYFUNCTION("""COMPUTED_VALUE"""),"AV. DEL CURACO 454")</f>
        <v>AV. DEL CURACO 454</v>
      </c>
      <c r="D3159" s="6" t="str">
        <f ca="1">IFERROR(__xludf.DUMMYFUNCTION("""COMPUTED_VALUE"""),"CURACAVI")</f>
        <v>CURACAVI</v>
      </c>
    </row>
    <row r="3160" spans="1:4">
      <c r="A3160" s="7">
        <f ca="1">IFERROR(__xludf.DUMMYFUNCTION("""COMPUTED_VALUE"""),44295)</f>
        <v>44295</v>
      </c>
      <c r="B3160" s="6" t="str">
        <f ca="1">IFERROR(__xludf.DUMMYFUNCTION("""COMPUTED_VALUE"""),"-33.74801-71.19242")</f>
        <v>-33.74801-71.19242</v>
      </c>
      <c r="C3160" s="6" t="str">
        <f ca="1">IFERROR(__xludf.DUMMYFUNCTION("""COMPUTED_VALUE"""),"LECAROS 237")</f>
        <v>LECAROS 237</v>
      </c>
      <c r="D3160" s="6" t="str">
        <f ca="1">IFERROR(__xludf.DUMMYFUNCTION("""COMPUTED_VALUE"""),"MELIPILLA")</f>
        <v>MELIPILLA</v>
      </c>
    </row>
    <row r="3161" spans="1:4">
      <c r="A3161" s="7">
        <f ca="1">IFERROR(__xludf.DUMMYFUNCTION("""COMPUTED_VALUE"""),44295)</f>
        <v>44295</v>
      </c>
      <c r="B3161" s="6" t="str">
        <f ca="1">IFERROR(__xludf.DUMMYFUNCTION("""COMPUTED_VALUE"""),"-33.74801-71.19242")</f>
        <v>-33.74801-71.19242</v>
      </c>
      <c r="C3161" s="6" t="str">
        <f ca="1">IFERROR(__xludf.DUMMYFUNCTION("""COMPUTED_VALUE"""),"LECAROS 237")</f>
        <v>LECAROS 237</v>
      </c>
      <c r="D3161" s="6" t="str">
        <f ca="1">IFERROR(__xludf.DUMMYFUNCTION("""COMPUTED_VALUE"""),"MELIPILLA")</f>
        <v>MELIPILLA</v>
      </c>
    </row>
    <row r="3162" spans="1:4">
      <c r="A3162" s="7">
        <f ca="1">IFERROR(__xludf.DUMMYFUNCTION("""COMPUTED_VALUE"""),44295)</f>
        <v>44295</v>
      </c>
      <c r="B3162" s="6" t="str">
        <f ca="1">IFERROR(__xludf.DUMMYFUNCTION("""COMPUTED_VALUE"""),"-33.690919-71.038660")</f>
        <v>-33.690919-71.038660</v>
      </c>
      <c r="C3162" s="6" t="str">
        <f ca="1">IFERROR(__xludf.DUMMYFUNCTION("""COMPUTED_VALUE"""),"EL PAIQUITO 240 CASA B")</f>
        <v>EL PAIQUITO 240 CASA B</v>
      </c>
      <c r="D3162" s="6" t="str">
        <f ca="1">IFERROR(__xludf.DUMMYFUNCTION("""COMPUTED_VALUE"""),"EL MONTE")</f>
        <v>EL MONTE</v>
      </c>
    </row>
    <row r="3163" spans="1:4">
      <c r="A3163" s="7">
        <f ca="1">IFERROR(__xludf.DUMMYFUNCTION("""COMPUTED_VALUE"""),44295)</f>
        <v>44295</v>
      </c>
      <c r="B3163" s="6" t="str">
        <f ca="1">IFERROR(__xludf.DUMMYFUNCTION("""COMPUTED_VALUE"""),"-33.392097-71.129627")</f>
        <v>-33.392097-71.129627</v>
      </c>
      <c r="C3163" s="6" t="str">
        <f ca="1">IFERROR(__xludf.DUMMYFUNCTION("""COMPUTED_VALUE"""),"GERMAN RIESCO 1039")</f>
        <v>GERMAN RIESCO 1039</v>
      </c>
      <c r="D3163" s="6" t="str">
        <f ca="1">IFERROR(__xludf.DUMMYFUNCTION("""COMPUTED_VALUE"""),"CURACAVI")</f>
        <v>CURACAVI</v>
      </c>
    </row>
    <row r="3164" spans="1:4">
      <c r="A3164" s="7">
        <f ca="1">IFERROR(__xludf.DUMMYFUNCTION("""COMPUTED_VALUE"""),44295)</f>
        <v>44295</v>
      </c>
      <c r="B3164" s="6" t="str">
        <f ca="1">IFERROR(__xludf.DUMMYFUNCTION("""COMPUTED_VALUE"""),"-33.413426-71.117016")</f>
        <v>-33.413426-71.117016</v>
      </c>
      <c r="C3164" s="6" t="str">
        <f ca="1">IFERROR(__xludf.DUMMYFUNCTION("""COMPUTED_VALUE"""),"LAS ROSAS LOTE 2")</f>
        <v>LAS ROSAS LOTE 2</v>
      </c>
      <c r="D3164" s="6" t="str">
        <f ca="1">IFERROR(__xludf.DUMMYFUNCTION("""COMPUTED_VALUE"""),"CURACAVI")</f>
        <v>CURACAVI</v>
      </c>
    </row>
    <row r="3165" spans="1:4">
      <c r="A3165" s="7">
        <f ca="1">IFERROR(__xludf.DUMMYFUNCTION("""COMPUTED_VALUE"""),44295)</f>
        <v>44295</v>
      </c>
      <c r="B3165" s="6" t="str">
        <f ca="1">IFERROR(__xludf.DUMMYFUNCTION("""COMPUTED_VALUE"""),"-33.607471,-71.104655")</f>
        <v>-33.607471,-71.104655</v>
      </c>
      <c r="C3165" s="6" t="str">
        <f ca="1">IFERROR(__xludf.DUMMYFUNCTION("""COMPUTED_VALUE"""),"SECTOR HERMANOS CARRERA SITIO 1 ")</f>
        <v xml:space="preserve">SECTOR HERMANOS CARRERA SITIO 1 </v>
      </c>
      <c r="D3165" s="6" t="str">
        <f ca="1">IFERROR(__xludf.DUMMYFUNCTION("""COMPUTED_VALUE"""),"MELIPILLA")</f>
        <v>MELIPILLA</v>
      </c>
    </row>
    <row r="3166" spans="1:4">
      <c r="A3166" s="7">
        <f ca="1">IFERROR(__xludf.DUMMYFUNCTION("""COMPUTED_VALUE"""),44295)</f>
        <v>44295</v>
      </c>
      <c r="B3166" s="6" t="str">
        <f ca="1">IFERROR(__xludf.DUMMYFUNCTION("""COMPUTED_VALUE"""),"-33.607755,-71.104829")</f>
        <v>-33.607755,-71.104829</v>
      </c>
      <c r="C3166" s="6" t="str">
        <f ca="1">IFERROR(__xludf.DUMMYFUNCTION("""COMPUTED_VALUE"""),"HERMANOS CARRERA S/N CV67")</f>
        <v>HERMANOS CARRERA S/N CV67</v>
      </c>
      <c r="D3166" s="6" t="str">
        <f ca="1">IFERROR(__xludf.DUMMYFUNCTION("""COMPUTED_VALUE"""),"MELIPILLA")</f>
        <v>MELIPILLA</v>
      </c>
    </row>
    <row r="3167" spans="1:4">
      <c r="A3167" s="7">
        <f ca="1">IFERROR(__xludf.DUMMYFUNCTION("""COMPUTED_VALUE"""),44295)</f>
        <v>44295</v>
      </c>
      <c r="B3167" s="6" t="str">
        <f ca="1">IFERROR(__xludf.DUMMYFUNCTION("""COMPUTED_VALUE"""),"-33.576018,-71.014459")</f>
        <v>-33.576018,-71.014459</v>
      </c>
      <c r="C3167" s="6" t="str">
        <f ca="1">IFERROR(__xludf.DUMMYFUNCTION("""COMPUTED_VALUE"""),"SECTOR MALLARAUCO S/N CV65 LOTE 1")</f>
        <v>SECTOR MALLARAUCO S/N CV65 LOTE 1</v>
      </c>
      <c r="D3167" s="6" t="str">
        <f ca="1">IFERROR(__xludf.DUMMYFUNCTION("""COMPUTED_VALUE"""),"MELIPILLA")</f>
        <v>MELIPILLA</v>
      </c>
    </row>
    <row r="3168" spans="1:4">
      <c r="A3168" s="7">
        <f ca="1">IFERROR(__xludf.DUMMYFUNCTION("""COMPUTED_VALUE"""),44295)</f>
        <v>44295</v>
      </c>
      <c r="B3168" s="8" t="str">
        <f ca="1">IFERROR(__xludf.DUMMYFUNCTION("""COMPUTED_VALUE"""),"-33.682359,-71.221777")</f>
        <v>-33.682359,-71.221777</v>
      </c>
      <c r="C3168" s="6" t="str">
        <f ca="1">IFERROR(__xludf.DUMMYFUNCTION("""COMPUTED_VALUE"""),"ARZA 1027")</f>
        <v>ARZA 1027</v>
      </c>
      <c r="D3168" s="6" t="str">
        <f ca="1">IFERROR(__xludf.DUMMYFUNCTION("""COMPUTED_VALUE"""),"MELIPILLA")</f>
        <v>MELIPILLA</v>
      </c>
    </row>
    <row r="3169" spans="1:4">
      <c r="A3169" s="7">
        <f ca="1">IFERROR(__xludf.DUMMYFUNCTION("""COMPUTED_VALUE"""),44295)</f>
        <v>44295</v>
      </c>
      <c r="B3169" s="8" t="str">
        <f ca="1">IFERROR(__xludf.DUMMYFUNCTION("""COMPUTED_VALUE"""),"-33.682359,-71.221777")</f>
        <v>-33.682359,-71.221777</v>
      </c>
      <c r="C3169" s="6" t="str">
        <f ca="1">IFERROR(__xludf.DUMMYFUNCTION("""COMPUTED_VALUE"""),"ARZA 1027")</f>
        <v>ARZA 1027</v>
      </c>
      <c r="D3169" s="6" t="str">
        <f ca="1">IFERROR(__xludf.DUMMYFUNCTION("""COMPUTED_VALUE"""),"MELIPILLA")</f>
        <v>MELIPILLA</v>
      </c>
    </row>
    <row r="3170" spans="1:4">
      <c r="A3170" s="7">
        <f ca="1">IFERROR(__xludf.DUMMYFUNCTION("""COMPUTED_VALUE"""),44296)</f>
        <v>44296</v>
      </c>
      <c r="B3170" s="8" t="str">
        <f ca="1">IFERROR(__xludf.DUMMYFUNCTION("""COMPUTED_VALUE"""),"-33.588224,-71.212962")</f>
        <v>-33.588224,-71.212962</v>
      </c>
      <c r="C3170" s="6" t="str">
        <f ca="1">IFERROR(__xludf.DUMMYFUNCTION("""COMPUTED_VALUE"""),"CAMINO VALPARAISO 527")</f>
        <v>CAMINO VALPARAISO 527</v>
      </c>
      <c r="D3170" s="6" t="str">
        <f ca="1">IFERROR(__xludf.DUMMYFUNCTION("""COMPUTED_VALUE"""),"MELIPILLA")</f>
        <v>MELIPILLA</v>
      </c>
    </row>
    <row r="3171" spans="1:4">
      <c r="A3171" s="7">
        <f ca="1">IFERROR(__xludf.DUMMYFUNCTION("""COMPUTED_VALUE"""),44296)</f>
        <v>44296</v>
      </c>
      <c r="B3171" s="6" t="str">
        <f ca="1">IFERROR(__xludf.DUMMYFUNCTION("""COMPUTED_VALUE"""),"-33.430870-71.143147")</f>
        <v>-33.430870-71.143147</v>
      </c>
      <c r="C3171" s="6" t="str">
        <f ca="1">IFERROR(__xludf.DUMMYFUNCTION("""COMPUTED_VALUE"""),"LO AGUILA S/N")</f>
        <v>LO AGUILA S/N</v>
      </c>
      <c r="D3171" s="6" t="str">
        <f ca="1">IFERROR(__xludf.DUMMYFUNCTION("""COMPUTED_VALUE"""),"CURACAVI")</f>
        <v>CURACAVI</v>
      </c>
    </row>
    <row r="3172" spans="1:4">
      <c r="A3172" s="7">
        <f ca="1">IFERROR(__xludf.DUMMYFUNCTION("""COMPUTED_VALUE"""),44296)</f>
        <v>44296</v>
      </c>
      <c r="B3172" s="6" t="str">
        <f ca="1">IFERROR(__xludf.DUMMYFUNCTION("""COMPUTED_VALUE"""),"-33.392545-71.123753")</f>
        <v>-33.392545-71.123753</v>
      </c>
      <c r="C3172" s="6" t="str">
        <f ca="1">IFERROR(__xludf.DUMMYFUNCTION("""COMPUTED_VALUE"""),"MANUEL DE SALAS 2119")</f>
        <v>MANUEL DE SALAS 2119</v>
      </c>
      <c r="D3172" s="6" t="str">
        <f ca="1">IFERROR(__xludf.DUMMYFUNCTION("""COMPUTED_VALUE"""),"CURACAVI")</f>
        <v>CURACAVI</v>
      </c>
    </row>
    <row r="3173" spans="1:4">
      <c r="A3173" s="7">
        <f ca="1">IFERROR(__xludf.DUMMYFUNCTION("""COMPUTED_VALUE"""),44296)</f>
        <v>44296</v>
      </c>
      <c r="B3173" s="6" t="str">
        <f ca="1">IFERROR(__xludf.DUMMYFUNCTION("""COMPUTED_VALUE"""),"-33.430870-71.143147")</f>
        <v>-33.430870-71.143147</v>
      </c>
      <c r="C3173" s="6" t="str">
        <f ca="1">IFERROR(__xludf.DUMMYFUNCTION("""COMPUTED_VALUE"""),"CO LO AGUILA S/N")</f>
        <v>CO LO AGUILA S/N</v>
      </c>
      <c r="D3173" s="6" t="str">
        <f ca="1">IFERROR(__xludf.DUMMYFUNCTION("""COMPUTED_VALUE"""),"CURACAVI")</f>
        <v>CURACAVI</v>
      </c>
    </row>
    <row r="3174" spans="1:4">
      <c r="A3174" s="7">
        <f ca="1">IFERROR(__xludf.DUMMYFUNCTION("""COMPUTED_VALUE"""),44296)</f>
        <v>44296</v>
      </c>
      <c r="B3174" s="6" t="str">
        <f ca="1">IFERROR(__xludf.DUMMYFUNCTION("""COMPUTED_VALUE"""),"-33.408202-713141830")</f>
        <v>-33.408202-713141830</v>
      </c>
      <c r="C3174" s="6" t="str">
        <f ca="1">IFERROR(__xludf.DUMMYFUNCTION("""COMPUTED_VALUE"""),"LO AGUILA 155")</f>
        <v>LO AGUILA 155</v>
      </c>
      <c r="D3174" s="6" t="str">
        <f ca="1">IFERROR(__xludf.DUMMYFUNCTION("""COMPUTED_VALUE"""),"CURACAVI")</f>
        <v>CURACAVI</v>
      </c>
    </row>
    <row r="3175" spans="1:4">
      <c r="A3175" s="7">
        <f ca="1">IFERROR(__xludf.DUMMYFUNCTION("""COMPUTED_VALUE"""),44296)</f>
        <v>44296</v>
      </c>
      <c r="B3175" s="6" t="str">
        <f ca="1">IFERROR(__xludf.DUMMYFUNCTION("""COMPUTED_VALUE"""),"-33.607616,-71.105020")</f>
        <v>-33.607616,-71.105020</v>
      </c>
      <c r="C3175" s="6" t="str">
        <f ca="1">IFERROR(__xludf.DUMMYFUNCTION("""COMPUTED_VALUE"""),"HERMANOS CARRERA S/N CV63 ")</f>
        <v xml:space="preserve">HERMANOS CARRERA S/N CV63 </v>
      </c>
      <c r="D3175" s="6" t="str">
        <f ca="1">IFERROR(__xludf.DUMMYFUNCTION("""COMPUTED_VALUE"""),"MELIPILLA")</f>
        <v>MELIPILLA</v>
      </c>
    </row>
    <row r="3176" spans="1:4">
      <c r="A3176" s="7">
        <f ca="1">IFERROR(__xludf.DUMMYFUNCTION("""COMPUTED_VALUE"""),44296)</f>
        <v>44296</v>
      </c>
      <c r="B3176" s="6" t="str">
        <f ca="1">IFERROR(__xludf.DUMMYFUNCTION("""COMPUTED_VALUE"""),"-33.607987,-71.105008")</f>
        <v>-33.607987,-71.105008</v>
      </c>
      <c r="C3176" s="6" t="str">
        <f ca="1">IFERROR(__xludf.DUMMYFUNCTION("""COMPUTED_VALUE"""),"HERMANOS CARRERA SITIO 1 I")</f>
        <v>HERMANOS CARRERA SITIO 1 I</v>
      </c>
      <c r="D3176" s="6" t="str">
        <f ca="1">IFERROR(__xludf.DUMMYFUNCTION("""COMPUTED_VALUE"""),"MELIPILLA")</f>
        <v>MELIPILLA</v>
      </c>
    </row>
    <row r="3177" spans="1:4">
      <c r="A3177" s="7">
        <f ca="1">IFERROR(__xludf.DUMMYFUNCTION("""COMPUTED_VALUE"""),44296)</f>
        <v>44296</v>
      </c>
      <c r="B3177" s="6" t="str">
        <f ca="1">IFERROR(__xludf.DUMMYFUNCTION("""COMPUTED_VALUE"""),"-33.607541,-71.105258")</f>
        <v>-33.607541,-71.105258</v>
      </c>
      <c r="C3177" s="6" t="str">
        <f ca="1">IFERROR(__xludf.DUMMYFUNCTION("""COMPUTED_VALUE"""),"HERMANOS CARRERA S/N CV 66 ")</f>
        <v xml:space="preserve">HERMANOS CARRERA S/N CV 66 </v>
      </c>
      <c r="D3177" s="6" t="str">
        <f ca="1">IFERROR(__xludf.DUMMYFUNCTION("""COMPUTED_VALUE"""),"MELIPILLA")</f>
        <v>MELIPILLA</v>
      </c>
    </row>
    <row r="3178" spans="1:4">
      <c r="A3178" s="7">
        <f ca="1">IFERROR(__xludf.DUMMYFUNCTION("""COMPUTED_VALUE"""),44298)</f>
        <v>44298</v>
      </c>
      <c r="B3178" s="8" t="str">
        <f ca="1">IFERROR(__xludf.DUMMYFUNCTION("""COMPUTED_VALUE"""),"-33.656085,-70.917965")</f>
        <v>-33.656085,-70.917965</v>
      </c>
      <c r="C3178" s="6" t="str">
        <f ca="1">IFERROR(__xludf.DUMMYFUNCTION("""COMPUTED_VALUE"""),"VOLCANO ACONCAGUA 38 ")</f>
        <v xml:space="preserve">VOLCANO ACONCAGUA 38 </v>
      </c>
      <c r="D3178" s="6" t="str">
        <f ca="1">IFERROR(__xludf.DUMMYFUNCTION("""COMPUTED_VALUE"""),"TALAGANTE")</f>
        <v>TALAGANTE</v>
      </c>
    </row>
    <row r="3179" spans="1:4">
      <c r="A3179" s="7">
        <f ca="1">IFERROR(__xludf.DUMMYFUNCTION("""COMPUTED_VALUE"""),44298)</f>
        <v>44298</v>
      </c>
      <c r="B3179" s="8" t="str">
        <f ca="1">IFERROR(__xludf.DUMMYFUNCTION("""COMPUTED_VALUE"""),"-33.6933499,-71.2246532")</f>
        <v>-33.6933499,-71.2246532</v>
      </c>
      <c r="C3179" s="6" t="str">
        <f ca="1">IFERROR(__xludf.DUMMYFUNCTION("""COMPUTED_VALUE"""),"HERNAN ARISTIA 1169")</f>
        <v>HERNAN ARISTIA 1169</v>
      </c>
      <c r="D3179" s="6" t="str">
        <f ca="1">IFERROR(__xludf.DUMMYFUNCTION("""COMPUTED_VALUE"""),"MELIPILLA")</f>
        <v>MELIPILLA</v>
      </c>
    </row>
    <row r="3180" spans="1:4">
      <c r="A3180" s="7">
        <f ca="1">IFERROR(__xludf.DUMMYFUNCTION("""COMPUTED_VALUE"""),44298)</f>
        <v>44298</v>
      </c>
      <c r="B3180" s="8" t="str">
        <f ca="1">IFERROR(__xludf.DUMMYFUNCTION("""COMPUTED_VALUE"""),"-33.727378,-70.746674")</f>
        <v>-33.727378,-70.746674</v>
      </c>
      <c r="C3180" s="6" t="str">
        <f ca="1">IFERROR(__xludf.DUMMYFUNCTION("""COMPUTED_VALUE"""),"IVAN SAEZ CARCAMOS 0673")</f>
        <v>IVAN SAEZ CARCAMOS 0673</v>
      </c>
      <c r="D3180" s="6" t="str">
        <f ca="1">IFERROR(__xludf.DUMMYFUNCTION("""COMPUTED_VALUE"""),"BUIN")</f>
        <v>BUIN</v>
      </c>
    </row>
    <row r="3181" spans="1:4">
      <c r="A3181" s="7">
        <f ca="1">IFERROR(__xludf.DUMMYFUNCTION("""COMPUTED_VALUE"""),44298)</f>
        <v>44298</v>
      </c>
      <c r="B3181" s="8" t="str">
        <f ca="1">IFERROR(__xludf.DUMMYFUNCTION("""COMPUTED_VALUE"""),"-33.598041,-71.068997")</f>
        <v>-33.598041,-71.068997</v>
      </c>
      <c r="C3181" s="6" t="str">
        <f ca="1">IFERROR(__xludf.DUMMYFUNCTION("""COMPUTED_VALUE"""),"PARC 5 EL CORTIJO")</f>
        <v>PARC 5 EL CORTIJO</v>
      </c>
      <c r="D3181" s="6" t="str">
        <f ca="1">IFERROR(__xludf.DUMMYFUNCTION("""COMPUTED_VALUE"""),"MELIPILLA")</f>
        <v>MELIPILLA</v>
      </c>
    </row>
    <row r="3182" spans="1:4">
      <c r="A3182" s="7">
        <f ca="1">IFERROR(__xludf.DUMMYFUNCTION("""COMPUTED_VALUE"""),44298)</f>
        <v>44298</v>
      </c>
      <c r="B3182" s="8" t="str">
        <f ca="1">IFERROR(__xludf.DUMMYFUNCTION("""COMPUTED_VALUE"""),"-33.6798923,-71.190677")</f>
        <v>-33.6798923,-71.190677</v>
      </c>
      <c r="C3182" s="6" t="str">
        <f ca="1">IFERROR(__xludf.DUMMYFUNCTION("""COMPUTED_VALUE"""),"VICUÑA MACKENNA 0891")</f>
        <v>VICUÑA MACKENNA 0891</v>
      </c>
      <c r="D3182" s="6" t="str">
        <f ca="1">IFERROR(__xludf.DUMMYFUNCTION("""COMPUTED_VALUE"""),"MELIPILLA")</f>
        <v>MELIPILLA</v>
      </c>
    </row>
    <row r="3183" spans="1:4">
      <c r="A3183" s="7">
        <f ca="1">IFERROR(__xludf.DUMMYFUNCTION("""COMPUTED_VALUE"""),44298)</f>
        <v>44298</v>
      </c>
      <c r="B3183" s="8" t="str">
        <f ca="1">IFERROR(__xludf.DUMMYFUNCTION("""COMPUTED_VALUE"""),"-33.841728,-71.276868")</f>
        <v>-33.841728,-71.276868</v>
      </c>
      <c r="C3183" s="6" t="str">
        <f ca="1">IFERROR(__xludf.DUMMYFUNCTION("""COMPUTED_VALUE"""),"SECTOR POPETA S/N")</f>
        <v>SECTOR POPETA S/N</v>
      </c>
      <c r="D3183" s="6" t="str">
        <f ca="1">IFERROR(__xludf.DUMMYFUNCTION("""COMPUTED_VALUE"""),"MELIPILLA")</f>
        <v>MELIPILLA</v>
      </c>
    </row>
    <row r="3184" spans="1:4">
      <c r="A3184" s="7">
        <f ca="1">IFERROR(__xludf.DUMMYFUNCTION("""COMPUTED_VALUE"""),44298)</f>
        <v>44298</v>
      </c>
      <c r="B3184" s="8" t="str">
        <f ca="1">IFERROR(__xludf.DUMMYFUNCTION("""COMPUTED_VALUE"""),"-33.714337,-70.245726")</f>
        <v>-33.714337,-70.245726</v>
      </c>
      <c r="C3184" s="6" t="str">
        <f ca="1">IFERROR(__xludf.DUMMYFUNCTION("""COMPUTED_VALUE"""),"PRIMERA PIEDRA 038 ")</f>
        <v xml:space="preserve">PRIMERA PIEDRA 038 </v>
      </c>
      <c r="D3184" s="6" t="str">
        <f ca="1">IFERROR(__xludf.DUMMYFUNCTION("""COMPUTED_VALUE"""),"BUIN")</f>
        <v>BUIN</v>
      </c>
    </row>
    <row r="3185" spans="1:4">
      <c r="A3185" s="7">
        <f ca="1">IFERROR(__xludf.DUMMYFUNCTION("""COMPUTED_VALUE"""),44298)</f>
        <v>44298</v>
      </c>
      <c r="B3185" s="6" t="str">
        <f ca="1">IFERROR(__xludf.DUMMYFUNCTION("""COMPUTED_VALUE"""),"-33.405736-71.144213")</f>
        <v>-33.405736-71.144213</v>
      </c>
      <c r="C3185" s="6" t="str">
        <f ca="1">IFERROR(__xludf.DUMMYFUNCTION("""COMPUTED_VALUE"""),"ANTEQUILES 720")</f>
        <v>ANTEQUILES 720</v>
      </c>
      <c r="D3185" s="6" t="str">
        <f ca="1">IFERROR(__xludf.DUMMYFUNCTION("""COMPUTED_VALUE"""),"CURACAVI")</f>
        <v>CURACAVI</v>
      </c>
    </row>
    <row r="3186" spans="1:4">
      <c r="A3186" s="7">
        <f ca="1">IFERROR(__xludf.DUMMYFUNCTION("""COMPUTED_VALUE"""),44298)</f>
        <v>44298</v>
      </c>
      <c r="B3186" s="6" t="str">
        <f ca="1">IFERROR(__xludf.DUMMYFUNCTION("""COMPUTED_VALUE"""),"-33.411456-71.148200")</f>
        <v>-33.411456-71.148200</v>
      </c>
      <c r="C3186" s="6" t="str">
        <f ca="1">IFERROR(__xludf.DUMMYFUNCTION("""COMPUTED_VALUE"""),"AMBROSIO OHIGGINS S/N")</f>
        <v>AMBROSIO OHIGGINS S/N</v>
      </c>
      <c r="D3186" s="6" t="str">
        <f ca="1">IFERROR(__xludf.DUMMYFUNCTION("""COMPUTED_VALUE"""),"CURACAVI")</f>
        <v>CURACAVI</v>
      </c>
    </row>
    <row r="3187" spans="1:4">
      <c r="A3187" s="7">
        <f ca="1">IFERROR(__xludf.DUMMYFUNCTION("""COMPUTED_VALUE"""),44298)</f>
        <v>44298</v>
      </c>
      <c r="B3187" s="6" t="str">
        <f ca="1">IFERROR(__xludf.DUMMYFUNCTION("""COMPUTED_VALUE"""),"-33.394279-71.120494")</f>
        <v>-33.394279-71.120494</v>
      </c>
      <c r="C3187" s="6" t="str">
        <f ca="1">IFERROR(__xludf.DUMMYFUNCTION("""COMPUTED_VALUE"""),"PJE TRES 2208")</f>
        <v>PJE TRES 2208</v>
      </c>
      <c r="D3187" s="6" t="str">
        <f ca="1">IFERROR(__xludf.DUMMYFUNCTION("""COMPUTED_VALUE"""),"CURACAVI")</f>
        <v>CURACAVI</v>
      </c>
    </row>
    <row r="3188" spans="1:4">
      <c r="A3188" s="7">
        <f ca="1">IFERROR(__xludf.DUMMYFUNCTION("""COMPUTED_VALUE"""),44298)</f>
        <v>44298</v>
      </c>
      <c r="B3188" s="6" t="str">
        <f ca="1">IFERROR(__xludf.DUMMYFUNCTION("""COMPUTED_VALUE"""),"-33.404826-71.127346")</f>
        <v>-33.404826-71.127346</v>
      </c>
      <c r="C3188" s="6" t="str">
        <f ca="1">IFERROR(__xludf.DUMMYFUNCTION("""COMPUTED_VALUE"""),"MIRAFLORES 71")</f>
        <v>MIRAFLORES 71</v>
      </c>
      <c r="D3188" s="6" t="str">
        <f ca="1">IFERROR(__xludf.DUMMYFUNCTION("""COMPUTED_VALUE"""),"CURACAVI")</f>
        <v>CURACAVI</v>
      </c>
    </row>
    <row r="3189" spans="1:4">
      <c r="A3189" s="7">
        <f ca="1">IFERROR(__xludf.DUMMYFUNCTION("""COMPUTED_VALUE"""),44298)</f>
        <v>44298</v>
      </c>
      <c r="B3189" s="6" t="str">
        <f ca="1">IFERROR(__xludf.DUMMYFUNCTION("""COMPUTED_VALUE"""),"-33.406293-71.129643")</f>
        <v>-33.406293-71.129643</v>
      </c>
      <c r="C3189" s="6" t="str">
        <f ca="1">IFERROR(__xludf.DUMMYFUNCTION("""COMPUTED_VALUE"""),"PJE LA VIRGEN 1833")</f>
        <v>PJE LA VIRGEN 1833</v>
      </c>
      <c r="D3189" s="6" t="str">
        <f ca="1">IFERROR(__xludf.DUMMYFUNCTION("""COMPUTED_VALUE"""),"CURACAVI")</f>
        <v>CURACAVI</v>
      </c>
    </row>
    <row r="3190" spans="1:4">
      <c r="A3190" s="7">
        <f ca="1">IFERROR(__xludf.DUMMYFUNCTION("""COMPUTED_VALUE"""),44298)</f>
        <v>44298</v>
      </c>
      <c r="B3190" s="6" t="str">
        <f ca="1">IFERROR(__xludf.DUMMYFUNCTION("""COMPUTED_VALUE"""),"-33.4058724-71.1297827")</f>
        <v>-33.4058724-71.1297827</v>
      </c>
      <c r="C3190" s="6" t="str">
        <f ca="1">IFERROR(__xludf.DUMMYFUNCTION("""COMPUTED_VALUE"""),"EL ARCANGEL 1893")</f>
        <v>EL ARCANGEL 1893</v>
      </c>
      <c r="D3190" s="6" t="str">
        <f ca="1">IFERROR(__xludf.DUMMYFUNCTION("""COMPUTED_VALUE"""),"CURACAVI")</f>
        <v>CURACAVI</v>
      </c>
    </row>
    <row r="3191" spans="1:4">
      <c r="A3191" s="7">
        <f ca="1">IFERROR(__xludf.DUMMYFUNCTION("""COMPUTED_VALUE"""),44298)</f>
        <v>44298</v>
      </c>
      <c r="B3191" s="6" t="str">
        <f ca="1">IFERROR(__xludf.DUMMYFUNCTION("""COMPUTED_VALUE"""),"-33.33892-708165")</f>
        <v>-33.33892-708165</v>
      </c>
      <c r="C3191" s="6" t="str">
        <f ca="1">IFERROR(__xludf.DUMMYFUNCTION("""COMPUTED_VALUE"""),"IRENE FREI 150")</f>
        <v>IRENE FREI 150</v>
      </c>
      <c r="D3191" s="6" t="str">
        <f ca="1">IFERROR(__xludf.DUMMYFUNCTION("""COMPUTED_VALUE"""),"LAMPA")</f>
        <v>LAMPA</v>
      </c>
    </row>
    <row r="3192" spans="1:4">
      <c r="A3192" s="7">
        <f ca="1">IFERROR(__xludf.DUMMYFUNCTION("""COMPUTED_VALUE"""),44298)</f>
        <v>44298</v>
      </c>
      <c r="B3192" s="6" t="str">
        <f ca="1">IFERROR(__xludf.DUMMYFUNCTION("""COMPUTED_VALUE"""),"-33.27961-7088413")</f>
        <v>-33.27961-7088413</v>
      </c>
      <c r="C3192" s="6" t="str">
        <f ca="1">IFERROR(__xludf.DUMMYFUNCTION("""COMPUTED_VALUE"""),"ROBLES BLANCO 296")</f>
        <v>ROBLES BLANCO 296</v>
      </c>
      <c r="D3192" s="6" t="str">
        <f ca="1">IFERROR(__xludf.DUMMYFUNCTION("""COMPUTED_VALUE"""),"LAMPA")</f>
        <v>LAMPA</v>
      </c>
    </row>
    <row r="3193" spans="1:4">
      <c r="A3193" s="7">
        <f ca="1">IFERROR(__xludf.DUMMYFUNCTION("""COMPUTED_VALUE"""),44298)</f>
        <v>44298</v>
      </c>
      <c r="B3193" s="6" t="str">
        <f ca="1">IFERROR(__xludf.DUMMYFUNCTION("""COMPUTED_VALUE"""),"-33.33804-70.81663")</f>
        <v>-33.33804-70.81663</v>
      </c>
      <c r="C3193" s="6" t="str">
        <f ca="1">IFERROR(__xludf.DUMMYFUNCTION("""COMPUTED_VALUE"""),"IRENE FREI 150")</f>
        <v>IRENE FREI 150</v>
      </c>
      <c r="D3193" s="6" t="str">
        <f ca="1">IFERROR(__xludf.DUMMYFUNCTION("""COMPUTED_VALUE"""),"LAMPA")</f>
        <v>LAMPA</v>
      </c>
    </row>
    <row r="3194" spans="1:4">
      <c r="A3194" s="7">
        <f ca="1">IFERROR(__xludf.DUMMYFUNCTION("""COMPUTED_VALUE"""),44298)</f>
        <v>44298</v>
      </c>
      <c r="B3194" s="6" t="str">
        <f ca="1">IFERROR(__xludf.DUMMYFUNCTION("""COMPUTED_VALUE"""),"-33.568477,-71.121869")</f>
        <v>-33.568477,-71.121869</v>
      </c>
      <c r="C3194" s="6" t="str">
        <f ca="1">IFERROR(__xludf.DUMMYFUNCTION("""COMPUTED_VALUE"""),"PAHUILMO PC 13")</f>
        <v>PAHUILMO PC 13</v>
      </c>
      <c r="D3194" s="6" t="str">
        <f ca="1">IFERROR(__xludf.DUMMYFUNCTION("""COMPUTED_VALUE"""),"MELIPILLA")</f>
        <v>MELIPILLA</v>
      </c>
    </row>
    <row r="3195" spans="1:4">
      <c r="A3195" s="7">
        <f ca="1">IFERROR(__xludf.DUMMYFUNCTION("""COMPUTED_VALUE"""),44298)</f>
        <v>44298</v>
      </c>
      <c r="B3195" s="6" t="str">
        <f ca="1">IFERROR(__xludf.DUMMYFUNCTION("""COMPUTED_VALUE"""),"-33.568271,-71.121935")</f>
        <v>-33.568271,-71.121935</v>
      </c>
      <c r="C3195" s="6" t="str">
        <f ca="1">IFERROR(__xludf.DUMMYFUNCTION("""COMPUTED_VALUE"""),"PAHUILMO PC 13")</f>
        <v>PAHUILMO PC 13</v>
      </c>
      <c r="D3195" s="6" t="str">
        <f ca="1">IFERROR(__xludf.DUMMYFUNCTION("""COMPUTED_VALUE"""),"MELIPILLA")</f>
        <v>MELIPILLA</v>
      </c>
    </row>
    <row r="3196" spans="1:4">
      <c r="A3196" s="7">
        <f ca="1">IFERROR(__xludf.DUMMYFUNCTION("""COMPUTED_VALUE"""),44298)</f>
        <v>44298</v>
      </c>
      <c r="B3196" s="8" t="str">
        <f ca="1">IFERROR(__xludf.DUMMYFUNCTION("""COMPUTED_VALUE"""),"-33.756733,-71.298006")</f>
        <v>-33.756733,-71.298006</v>
      </c>
      <c r="C3196" s="6" t="str">
        <f ca="1">IFERROR(__xludf.DUMMYFUNCTION("""COMPUTED_VALUE"""),"SAN RAFAEL DE CODIGUA")</f>
        <v>SAN RAFAEL DE CODIGUA</v>
      </c>
      <c r="D3196" s="6" t="str">
        <f ca="1">IFERROR(__xludf.DUMMYFUNCTION("""COMPUTED_VALUE"""),"MELIPILLA")</f>
        <v>MELIPILLA</v>
      </c>
    </row>
    <row r="3197" spans="1:4">
      <c r="A3197" s="7">
        <f ca="1">IFERROR(__xludf.DUMMYFUNCTION("""COMPUTED_VALUE"""),44298)</f>
        <v>44298</v>
      </c>
      <c r="B3197" s="8" t="str">
        <f ca="1">IFERROR(__xludf.DUMMYFUNCTION("""COMPUTED_VALUE"""),"-33.781618,-71.290343")</f>
        <v>-33.781618,-71.290343</v>
      </c>
      <c r="C3197" s="6" t="str">
        <f ca="1">IFERROR(__xludf.DUMMYFUNCTION("""COMPUTED_VALUE"""),"EL SAUCE 47")</f>
        <v>EL SAUCE 47</v>
      </c>
      <c r="D3197" s="6" t="str">
        <f ca="1">IFERROR(__xludf.DUMMYFUNCTION("""COMPUTED_VALUE"""),"MELIPILLA")</f>
        <v>MELIPILLA</v>
      </c>
    </row>
    <row r="3198" spans="1:4">
      <c r="A3198" s="7">
        <f ca="1">IFERROR(__xludf.DUMMYFUNCTION("""COMPUTED_VALUE"""),44299)</f>
        <v>44299</v>
      </c>
      <c r="B3198" s="8" t="str">
        <f ca="1">IFERROR(__xludf.DUMMYFUNCTION("""COMPUTED_VALUE"""),"-33.666801,.-71.107328")</f>
        <v>-33.666801,.-71.107328</v>
      </c>
      <c r="C3198" s="6" t="str">
        <f ca="1">IFERROR(__xludf.DUMMYFUNCTION("""COMPUTED_VALUE"""),"SECTOR CHINIHUE LAS ROSAS")</f>
        <v>SECTOR CHINIHUE LAS ROSAS</v>
      </c>
      <c r="D3198" s="6" t="str">
        <f ca="1">IFERROR(__xludf.DUMMYFUNCTION("""COMPUTED_VALUE"""),"MELIPILLA")</f>
        <v>MELIPILLA</v>
      </c>
    </row>
    <row r="3199" spans="1:4">
      <c r="A3199" s="7">
        <f ca="1">IFERROR(__xludf.DUMMYFUNCTION("""COMPUTED_VALUE"""),44299)</f>
        <v>44299</v>
      </c>
      <c r="B3199" s="8" t="str">
        <f ca="1">IFERROR(__xludf.DUMMYFUNCTION("""COMPUTED_VALUE"""),"-33.693243,-71.224655")</f>
        <v>-33.693243,-71.224655</v>
      </c>
      <c r="C3199" s="6" t="str">
        <f ca="1">IFERROR(__xludf.DUMMYFUNCTION("""COMPUTED_VALUE"""),"HERNAN ARISTIA 1179")</f>
        <v>HERNAN ARISTIA 1179</v>
      </c>
      <c r="D3199" s="6" t="str">
        <f ca="1">IFERROR(__xludf.DUMMYFUNCTION("""COMPUTED_VALUE"""),"MELIPILLA")</f>
        <v>MELIPILLA</v>
      </c>
    </row>
    <row r="3200" spans="1:4">
      <c r="A3200" s="7">
        <f ca="1">IFERROR(__xludf.DUMMYFUNCTION("""COMPUTED_VALUE"""),44299)</f>
        <v>44299</v>
      </c>
      <c r="B3200" s="8" t="str">
        <f ca="1">IFERROR(__xludf.DUMMYFUNCTION("""COMPUTED_VALUE"""),"-33.825653,-71.272323")</f>
        <v>-33.825653,-71.272323</v>
      </c>
      <c r="C3200" s="6" t="str">
        <f ca="1">IFERROR(__xludf.DUMMYFUNCTION("""COMPUTED_VALUE"""),"CULIPRAM 245")</f>
        <v>CULIPRAM 245</v>
      </c>
      <c r="D3200" s="6" t="str">
        <f ca="1">IFERROR(__xludf.DUMMYFUNCTION("""COMPUTED_VALUE"""),"MELIPILLA")</f>
        <v>MELIPILLA</v>
      </c>
    </row>
    <row r="3201" spans="1:4">
      <c r="A3201" s="7">
        <f ca="1">IFERROR(__xludf.DUMMYFUNCTION("""COMPUTED_VALUE"""),44299)</f>
        <v>44299</v>
      </c>
      <c r="B3201" s="8" t="str">
        <f ca="1">IFERROR(__xludf.DUMMYFUNCTION("""COMPUTED_VALUE"""),"-33.572798,-71.088432")</f>
        <v>-33.572798,-71.088432</v>
      </c>
      <c r="C3201" s="6" t="str">
        <f ca="1">IFERROR(__xludf.DUMMYFUNCTION("""COMPUTED_VALUE"""),"SAN BERNARDO MALLARAUCO")</f>
        <v>SAN BERNARDO MALLARAUCO</v>
      </c>
      <c r="D3201" s="6" t="str">
        <f ca="1">IFERROR(__xludf.DUMMYFUNCTION("""COMPUTED_VALUE"""),"MELIPILLA")</f>
        <v>MELIPILLA</v>
      </c>
    </row>
    <row r="3202" spans="1:4">
      <c r="A3202" s="7">
        <f ca="1">IFERROR(__xludf.DUMMYFUNCTION("""COMPUTED_VALUE"""),44299)</f>
        <v>44299</v>
      </c>
      <c r="B3202" s="8" t="str">
        <f ca="1">IFERROR(__xludf.DUMMYFUNCTION("""COMPUTED_VALUE"""),"-33.312063,-70.8449119")</f>
        <v>-33.312063,-70.8449119</v>
      </c>
      <c r="C3202" s="6" t="str">
        <f ca="1">IFERROR(__xludf.DUMMYFUNCTION("""COMPUTED_VALUE"""),"CAMINO INTERIOR")</f>
        <v>CAMINO INTERIOR</v>
      </c>
      <c r="D3202" s="6" t="str">
        <f ca="1">IFERROR(__xludf.DUMMYFUNCTION("""COMPUTED_VALUE"""),"LAMPA")</f>
        <v>LAMPA</v>
      </c>
    </row>
    <row r="3203" spans="1:4">
      <c r="A3203" s="7">
        <f ca="1">IFERROR(__xludf.DUMMYFUNCTION("""COMPUTED_VALUE"""),44299)</f>
        <v>44299</v>
      </c>
      <c r="B3203" s="6" t="str">
        <f ca="1">IFERROR(__xludf.DUMMYFUNCTION("""COMPUTED_VALUE"""),"-33.277882-71.883307")</f>
        <v>-33.277882-71.883307</v>
      </c>
      <c r="C3203" s="6" t="str">
        <f ca="1">IFERROR(__xludf.DUMMYFUNCTION("""COMPUTED_VALUE"""),"LAS ARAUCARIAS 207")</f>
        <v>LAS ARAUCARIAS 207</v>
      </c>
      <c r="D3203" s="6" t="str">
        <f ca="1">IFERROR(__xludf.DUMMYFUNCTION("""COMPUTED_VALUE"""),"LAMPA")</f>
        <v>LAMPA</v>
      </c>
    </row>
    <row r="3204" spans="1:4">
      <c r="A3204" s="7">
        <f ca="1">IFERROR(__xludf.DUMMYFUNCTION("""COMPUTED_VALUE"""),44299)</f>
        <v>44299</v>
      </c>
      <c r="B3204" s="6" t="str">
        <f ca="1">IFERROR(__xludf.DUMMYFUNCTION("""COMPUTED_VALUE"""),"-33.407263-71.127538")</f>
        <v>-33.407263-71.127538</v>
      </c>
      <c r="C3204" s="6" t="str">
        <f ca="1">IFERROR(__xludf.DUMMYFUNCTION("""COMPUTED_VALUE"""),"FRANCISCO JOFRE 1821")</f>
        <v>FRANCISCO JOFRE 1821</v>
      </c>
      <c r="D3204" s="6" t="str">
        <f ca="1">IFERROR(__xludf.DUMMYFUNCTION("""COMPUTED_VALUE"""),"CURACAVI")</f>
        <v>CURACAVI</v>
      </c>
    </row>
    <row r="3205" spans="1:4">
      <c r="A3205" s="7">
        <f ca="1">IFERROR(__xludf.DUMMYFUNCTION("""COMPUTED_VALUE"""),44299)</f>
        <v>44299</v>
      </c>
      <c r="B3205" s="6" t="str">
        <f ca="1">IFERROR(__xludf.DUMMYFUNCTION("""COMPUTED_VALUE"""),"-33.405770-71.129653")</f>
        <v>-33.405770-71.129653</v>
      </c>
      <c r="C3205" s="6" t="str">
        <f ca="1">IFERROR(__xludf.DUMMYFUNCTION("""COMPUTED_VALUE"""),"EL ARCANGEL 1898")</f>
        <v>EL ARCANGEL 1898</v>
      </c>
      <c r="D3205" s="6" t="str">
        <f ca="1">IFERROR(__xludf.DUMMYFUNCTION("""COMPUTED_VALUE"""),"CURACAVI")</f>
        <v>CURACAVI</v>
      </c>
    </row>
    <row r="3206" spans="1:4">
      <c r="A3206" s="7">
        <f ca="1">IFERROR(__xludf.DUMMYFUNCTION("""COMPUTED_VALUE"""),44299)</f>
        <v>44299</v>
      </c>
      <c r="B3206" s="6" t="str">
        <f ca="1">IFERROR(__xludf.DUMMYFUNCTION("""COMPUTED_VALUE"""),"-33.611631-70.880750")</f>
        <v>-33.611631-70.880750</v>
      </c>
      <c r="C3206" s="6" t="str">
        <f ca="1">IFERROR(__xludf.DUMMYFUNCTION("""COMPUTED_VALUE"""),"LAGO RANCO 2008")</f>
        <v>LAGO RANCO 2008</v>
      </c>
      <c r="D3206" s="6" t="str">
        <f ca="1">IFERROR(__xludf.DUMMYFUNCTION("""COMPUTED_VALUE"""),"PEÑAFLOR")</f>
        <v>PEÑAFLOR</v>
      </c>
    </row>
    <row r="3207" spans="1:4">
      <c r="A3207" s="7">
        <f ca="1">IFERROR(__xludf.DUMMYFUNCTION("""COMPUTED_VALUE"""),44299)</f>
        <v>44299</v>
      </c>
      <c r="B3207" s="6" t="str">
        <f ca="1">IFERROR(__xludf.DUMMYFUNCTION("""COMPUTED_VALUE"""),"-33.607120-70.868817")</f>
        <v>-33.607120-70.868817</v>
      </c>
      <c r="C3207" s="6" t="str">
        <f ca="1">IFERROR(__xludf.DUMMYFUNCTION("""COMPUTED_VALUE"""),"EL GRECO 1193")</f>
        <v>EL GRECO 1193</v>
      </c>
      <c r="D3207" s="6" t="str">
        <f ca="1">IFERROR(__xludf.DUMMYFUNCTION("""COMPUTED_VALUE"""),"PEÑAFLOR")</f>
        <v>PEÑAFLOR</v>
      </c>
    </row>
    <row r="3208" spans="1:4">
      <c r="A3208" s="7">
        <f ca="1">IFERROR(__xludf.DUMMYFUNCTION("""COMPUTED_VALUE"""),44299)</f>
        <v>44299</v>
      </c>
      <c r="B3208" s="6" t="str">
        <f ca="1">IFERROR(__xludf.DUMMYFUNCTION("""COMPUTED_VALUE"""),"-33.406584-71.126689")</f>
        <v>-33.406584-71.126689</v>
      </c>
      <c r="C3208" s="6" t="str">
        <f ca="1">IFERROR(__xludf.DUMMYFUNCTION("""COMPUTED_VALUE"""),"AV DEL CURACO 426")</f>
        <v>AV DEL CURACO 426</v>
      </c>
      <c r="D3208" s="6" t="str">
        <f ca="1">IFERROR(__xludf.DUMMYFUNCTION("""COMPUTED_VALUE"""),"CURACAVI")</f>
        <v>CURACAVI</v>
      </c>
    </row>
    <row r="3209" spans="1:4">
      <c r="A3209" s="7">
        <f ca="1">IFERROR(__xludf.DUMMYFUNCTION("""COMPUTED_VALUE"""),44299)</f>
        <v>44299</v>
      </c>
      <c r="B3209" s="6" t="str">
        <f ca="1">IFERROR(__xludf.DUMMYFUNCTION("""COMPUTED_VALUE"""),"-33.459769-71.029913")</f>
        <v>-33.459769-71.029913</v>
      </c>
      <c r="C3209" s="6" t="str">
        <f ca="1">IFERROR(__xludf.DUMMYFUNCTION("""COMPUTED_VALUE"""),"BATALLA DE SAN JUAN LOTE 18")</f>
        <v>BATALLA DE SAN JUAN LOTE 18</v>
      </c>
      <c r="D3209" s="6" t="str">
        <f ca="1">IFERROR(__xludf.DUMMYFUNCTION("""COMPUTED_VALUE"""),"CURACAVI")</f>
        <v>CURACAVI</v>
      </c>
    </row>
    <row r="3210" spans="1:4">
      <c r="A3210" s="7">
        <f ca="1">IFERROR(__xludf.DUMMYFUNCTION("""COMPUTED_VALUE"""),44299)</f>
        <v>44299</v>
      </c>
      <c r="B3210" s="6" t="str">
        <f ca="1">IFERROR(__xludf.DUMMYFUNCTION("""COMPUTED_VALUE"""),"-33.459671-71.029760")</f>
        <v>-33.459671-71.029760</v>
      </c>
      <c r="C3210" s="6" t="str">
        <f ca="1">IFERROR(__xludf.DUMMYFUNCTION("""COMPUTED_VALUE"""),"CERRILLOS SITIO 18 ")</f>
        <v xml:space="preserve">CERRILLOS SITIO 18 </v>
      </c>
      <c r="D3210" s="6" t="str">
        <f ca="1">IFERROR(__xludf.DUMMYFUNCTION("""COMPUTED_VALUE"""),"CURACAVI")</f>
        <v>CURACAVI</v>
      </c>
    </row>
    <row r="3211" spans="1:4">
      <c r="A3211" s="7">
        <f ca="1">IFERROR(__xludf.DUMMYFUNCTION("""COMPUTED_VALUE"""),44299)</f>
        <v>44299</v>
      </c>
      <c r="B3211" s="6" t="str">
        <f ca="1">IFERROR(__xludf.DUMMYFUNCTION("""COMPUTED_VALUE"""),"-33.45993-71.03466")</f>
        <v>-33.45993-71.03466</v>
      </c>
      <c r="C3211" s="6" t="str">
        <f ca="1">IFERROR(__xludf.DUMMYFUNCTION("""COMPUTED_VALUE"""),"PAULA SILVA")</f>
        <v>PAULA SILVA</v>
      </c>
      <c r="D3211" s="6" t="str">
        <f ca="1">IFERROR(__xludf.DUMMYFUNCTION("""COMPUTED_VALUE"""),"CURACAVI")</f>
        <v>CURACAVI</v>
      </c>
    </row>
    <row r="3212" spans="1:4">
      <c r="A3212" s="7">
        <f ca="1">IFERROR(__xludf.DUMMYFUNCTION("""COMPUTED_VALUE"""),44299)</f>
        <v>44299</v>
      </c>
      <c r="B3212" s="6" t="str">
        <f ca="1">IFERROR(__xludf.DUMMYFUNCTION("""COMPUTED_VALUE"""),"-33.582464,-71.054191")</f>
        <v>-33.582464,-71.054191</v>
      </c>
      <c r="C3212" s="6" t="str">
        <f ca="1">IFERROR(__xludf.DUMMYFUNCTION("""COMPUTED_VALUE"""),"SANTA  VICTORIA DE MALLARAUCO S/N")</f>
        <v>SANTA  VICTORIA DE MALLARAUCO S/N</v>
      </c>
      <c r="D3212" s="6" t="str">
        <f ca="1">IFERROR(__xludf.DUMMYFUNCTION("""COMPUTED_VALUE"""),"MELIPILLA")</f>
        <v>MELIPILLA</v>
      </c>
    </row>
    <row r="3213" spans="1:4">
      <c r="A3213" s="7">
        <f ca="1">IFERROR(__xludf.DUMMYFUNCTION("""COMPUTED_VALUE"""),44299)</f>
        <v>44299</v>
      </c>
      <c r="B3213" s="8" t="str">
        <f ca="1">IFERROR(__xludf.DUMMYFUNCTION("""COMPUTED_VALUE"""),"-33.685119,-71.234598")</f>
        <v>-33.685119,-71.234598</v>
      </c>
      <c r="C3213" s="6" t="str">
        <f ca="1">IFERROR(__xludf.DUMMYFUNCTION("""COMPUTED_VALUE"""),"LAZARO CARREÑO OSORIO")</f>
        <v>LAZARO CARREÑO OSORIO</v>
      </c>
      <c r="D3213" s="6" t="str">
        <f ca="1">IFERROR(__xludf.DUMMYFUNCTION("""COMPUTED_VALUE"""),"MELIPILLA")</f>
        <v>MELIPILLA</v>
      </c>
    </row>
    <row r="3214" spans="1:4">
      <c r="A3214" s="7">
        <f ca="1">IFERROR(__xludf.DUMMYFUNCTION("""COMPUTED_VALUE"""),44299)</f>
        <v>44299</v>
      </c>
      <c r="B3214" s="8" t="str">
        <f ca="1">IFERROR(__xludf.DUMMYFUNCTION("""COMPUTED_VALUE"""),"-33.660245,-71.275214")</f>
        <v>-33.660245,-71.275214</v>
      </c>
      <c r="C3214" s="6" t="str">
        <f ca="1">IFERROR(__xludf.DUMMYFUNCTION("""COMPUTED_VALUE"""),"VILLA MARIA LARRAIN")</f>
        <v>VILLA MARIA LARRAIN</v>
      </c>
      <c r="D3214" s="6" t="str">
        <f ca="1">IFERROR(__xludf.DUMMYFUNCTION("""COMPUTED_VALUE"""),"MELIPILLA")</f>
        <v>MELIPILLA</v>
      </c>
    </row>
    <row r="3215" spans="1:4">
      <c r="A3215" s="7">
        <f ca="1">IFERROR(__xludf.DUMMYFUNCTION("""COMPUTED_VALUE"""),44300)</f>
        <v>44300</v>
      </c>
      <c r="B3215" s="8" t="str">
        <f ca="1">IFERROR(__xludf.DUMMYFUNCTION("""COMPUTED_VALUE"""),"-33,392444,-71,1229509")</f>
        <v>-33,392444,-71,1229509</v>
      </c>
      <c r="C3215" s="6" t="str">
        <f ca="1">IFERROR(__xludf.DUMMYFUNCTION("""COMPUTED_VALUE"""),"MANUEL GANDARILLAS 2127")</f>
        <v>MANUEL GANDARILLAS 2127</v>
      </c>
      <c r="D3215" s="6" t="str">
        <f ca="1">IFERROR(__xludf.DUMMYFUNCTION("""COMPUTED_VALUE"""),"CURACAVI")</f>
        <v>CURACAVI</v>
      </c>
    </row>
    <row r="3216" spans="1:4">
      <c r="A3216" s="7">
        <f ca="1">IFERROR(__xludf.DUMMYFUNCTION("""COMPUTED_VALUE"""),44300)</f>
        <v>44300</v>
      </c>
      <c r="B3216" s="8" t="str">
        <f ca="1">IFERROR(__xludf.DUMMYFUNCTION("""COMPUTED_VALUE"""),"-33.329445,-71.122847")</f>
        <v>-33.329445,-71.122847</v>
      </c>
      <c r="C3216" s="6" t="str">
        <f ca="1">IFERROR(__xludf.DUMMYFUNCTION("""COMPUTED_VALUE"""),"MANUEL GANDARILLAS 2122")</f>
        <v>MANUEL GANDARILLAS 2122</v>
      </c>
      <c r="D3216" s="6" t="str">
        <f ca="1">IFERROR(__xludf.DUMMYFUNCTION("""COMPUTED_VALUE"""),"CURACAVI")</f>
        <v>CURACAVI</v>
      </c>
    </row>
    <row r="3217" spans="1:4">
      <c r="A3217" s="7">
        <f ca="1">IFERROR(__xludf.DUMMYFUNCTION("""COMPUTED_VALUE"""),44300)</f>
        <v>44300</v>
      </c>
      <c r="B3217" s="8" t="str">
        <f ca="1">IFERROR(__xludf.DUMMYFUNCTION("""COMPUTED_VALUE"""),"-33.597522,-71.069433")</f>
        <v>-33.597522,-71.069433</v>
      </c>
      <c r="C3217" s="6" t="str">
        <f ca="1">IFERROR(__xludf.DUMMYFUNCTION("""COMPUTED_VALUE"""),"SECTOR EL COTIJO S/N ")</f>
        <v xml:space="preserve">SECTOR EL COTIJO S/N </v>
      </c>
      <c r="D3217" s="6" t="str">
        <f ca="1">IFERROR(__xludf.DUMMYFUNCTION("""COMPUTED_VALUE"""),"MELIPILLA")</f>
        <v>MELIPILLA</v>
      </c>
    </row>
    <row r="3218" spans="1:4">
      <c r="A3218" s="7">
        <f ca="1">IFERROR(__xludf.DUMMYFUNCTION("""COMPUTED_VALUE"""),44300)</f>
        <v>44300</v>
      </c>
      <c r="B3218" s="6" t="str">
        <f ca="1">IFERROR(__xludf.DUMMYFUNCTION("""COMPUTED_VALUE"""),"-33.393331-71.122575")</f>
        <v>-33.393331-71.122575</v>
      </c>
      <c r="C3218" s="6" t="str">
        <f ca="1">IFERROR(__xludf.DUMMYFUNCTION("""COMPUTED_VALUE"""),"SANTIAGO BUERAS 2182")</f>
        <v>SANTIAGO BUERAS 2182</v>
      </c>
      <c r="D3218" s="6" t="str">
        <f ca="1">IFERROR(__xludf.DUMMYFUNCTION("""COMPUTED_VALUE"""),"CURACAVI")</f>
        <v>CURACAVI</v>
      </c>
    </row>
    <row r="3219" spans="1:4">
      <c r="A3219" s="7">
        <f ca="1">IFERROR(__xludf.DUMMYFUNCTION("""COMPUTED_VALUE"""),44300)</f>
        <v>44300</v>
      </c>
      <c r="B3219" s="6" t="str">
        <f ca="1">IFERROR(__xludf.DUMMYFUNCTION("""COMPUTED_VALUE"""),"-33.406644-71.127309")</f>
        <v>-33.406644-71.127309</v>
      </c>
      <c r="C3219" s="6" t="str">
        <f ca="1">IFERROR(__xludf.DUMMYFUNCTION("""COMPUTED_VALUE"""),"EL ROSAL 434")</f>
        <v>EL ROSAL 434</v>
      </c>
      <c r="D3219" s="6" t="str">
        <f ca="1">IFERROR(__xludf.DUMMYFUNCTION("""COMPUTED_VALUE"""),"CURACAVI")</f>
        <v>CURACAVI</v>
      </c>
    </row>
    <row r="3220" spans="1:4">
      <c r="A3220" s="7">
        <f ca="1">IFERROR(__xludf.DUMMYFUNCTION("""COMPUTED_VALUE"""),44300)</f>
        <v>44300</v>
      </c>
      <c r="B3220" s="6" t="str">
        <f ca="1">IFERROR(__xludf.DUMMYFUNCTION("""COMPUTED_VALUE"""),"-33.598353-70.847345")</f>
        <v>-33.598353-70.847345</v>
      </c>
      <c r="C3220" s="6" t="str">
        <f ca="1">IFERROR(__xludf.DUMMYFUNCTION("""COMPUTED_VALUE"""),"BALMACEDA 0612")</f>
        <v>BALMACEDA 0612</v>
      </c>
      <c r="D3220" s="6" t="str">
        <f ca="1">IFERROR(__xludf.DUMMYFUNCTION("""COMPUTED_VALUE"""),"PEÑAFLOR")</f>
        <v>PEÑAFLOR</v>
      </c>
    </row>
    <row r="3221" spans="1:4">
      <c r="A3221" s="7">
        <f ca="1">IFERROR(__xludf.DUMMYFUNCTION("""COMPUTED_VALUE"""),44300)</f>
        <v>44300</v>
      </c>
      <c r="B3221" s="6" t="str">
        <f ca="1">IFERROR(__xludf.DUMMYFUNCTION("""COMPUTED_VALUE"""),"-33.299432-70.879499")</f>
        <v>-33.299432-70.879499</v>
      </c>
      <c r="C3221" s="6" t="str">
        <f ca="1">IFERROR(__xludf.DUMMYFUNCTION("""COMPUTED_VALUE"""),"CAMINO LAS FLORES 1008")</f>
        <v>CAMINO LAS FLORES 1008</v>
      </c>
      <c r="D3221" s="6" t="str">
        <f ca="1">IFERROR(__xludf.DUMMYFUNCTION("""COMPUTED_VALUE"""),"LAMPA")</f>
        <v>LAMPA</v>
      </c>
    </row>
    <row r="3222" spans="1:4">
      <c r="A3222" s="7">
        <f ca="1">IFERROR(__xludf.DUMMYFUNCTION("""COMPUTED_VALUE"""),44300)</f>
        <v>44300</v>
      </c>
      <c r="B3222" s="6" t="str">
        <f ca="1">IFERROR(__xludf.DUMMYFUNCTION("""COMPUTED_VALUE"""),"-33.289789-70.870184")</f>
        <v>-33.289789-70.870184</v>
      </c>
      <c r="C3222" s="6" t="str">
        <f ca="1">IFERROR(__xludf.DUMMYFUNCTION("""COMPUTED_VALUE"""),"LOMA EL CORDERO 81")</f>
        <v>LOMA EL CORDERO 81</v>
      </c>
      <c r="D3222" s="6" t="str">
        <f ca="1">IFERROR(__xludf.DUMMYFUNCTION("""COMPUTED_VALUE"""),"LAMPA")</f>
        <v>LAMPA</v>
      </c>
    </row>
    <row r="3223" spans="1:4">
      <c r="A3223" s="7">
        <f ca="1">IFERROR(__xludf.DUMMYFUNCTION("""COMPUTED_VALUE"""),44300)</f>
        <v>44300</v>
      </c>
      <c r="B3223" s="6" t="str">
        <f ca="1">IFERROR(__xludf.DUMMYFUNCTION("""COMPUTED_VALUE"""),"-33.394441-71.129020")</f>
        <v>-33.394441-71.129020</v>
      </c>
      <c r="C3223" s="6" t="str">
        <f ca="1">IFERROR(__xludf.DUMMYFUNCTION("""COMPUTED_VALUE"""),"NORTE 1218")</f>
        <v>NORTE 1218</v>
      </c>
      <c r="D3223" s="6" t="str">
        <f ca="1">IFERROR(__xludf.DUMMYFUNCTION("""COMPUTED_VALUE"""),"CURACAVI")</f>
        <v>CURACAVI</v>
      </c>
    </row>
    <row r="3224" spans="1:4">
      <c r="A3224" s="7">
        <f ca="1">IFERROR(__xludf.DUMMYFUNCTION("""COMPUTED_VALUE"""),44300)</f>
        <v>44300</v>
      </c>
      <c r="B3224" s="6" t="str">
        <f ca="1">IFERROR(__xludf.DUMMYFUNCTION("""COMPUTED_VALUE"""),"-33.468032-71.066162")</f>
        <v>-33.468032-71.066162</v>
      </c>
      <c r="C3224" s="6" t="str">
        <f ca="1">IFERROR(__xludf.DUMMYFUNCTION("""COMPUTED_VALUE"""),"SECTOR LO ALVARADO S/N")</f>
        <v>SECTOR LO ALVARADO S/N</v>
      </c>
      <c r="D3224" s="6" t="str">
        <f ca="1">IFERROR(__xludf.DUMMYFUNCTION("""COMPUTED_VALUE"""),"CURACAVI")</f>
        <v>CURACAVI</v>
      </c>
    </row>
    <row r="3225" spans="1:4">
      <c r="A3225" s="7">
        <f ca="1">IFERROR(__xludf.DUMMYFUNCTION("""COMPUTED_VALUE"""),44300)</f>
        <v>44300</v>
      </c>
      <c r="B3225" s="6" t="str">
        <f ca="1">IFERROR(__xludf.DUMMYFUNCTION("""COMPUTED_VALUE"""),"-33.410361-71148661")</f>
        <v>-33.410361-71148661</v>
      </c>
      <c r="C3225" s="6" t="str">
        <f ca="1">IFERROR(__xludf.DUMMYFUNCTION("""COMPUTED_VALUE"""),"AV.OHIGGINS 252")</f>
        <v>AV.OHIGGINS 252</v>
      </c>
      <c r="D3225" s="6" t="str">
        <f ca="1">IFERROR(__xludf.DUMMYFUNCTION("""COMPUTED_VALUE"""),"CURACAVI")</f>
        <v>CURACAVI</v>
      </c>
    </row>
    <row r="3226" spans="1:4">
      <c r="A3226" s="7">
        <f ca="1">IFERROR(__xludf.DUMMYFUNCTION("""COMPUTED_VALUE"""),44300)</f>
        <v>44300</v>
      </c>
      <c r="B3226" s="6" t="str">
        <f ca="1">IFERROR(__xludf.DUMMYFUNCTION("""COMPUTED_VALUE"""),"-33.407224-71.127934")</f>
        <v>-33.407224-71.127934</v>
      </c>
      <c r="C3226" s="6" t="str">
        <f ca="1">IFERROR(__xludf.DUMMYFUNCTION("""COMPUTED_VALUE"""),"FRANCISCO JOFRE 1827")</f>
        <v>FRANCISCO JOFRE 1827</v>
      </c>
      <c r="D3226" s="6" t="str">
        <f ca="1">IFERROR(__xludf.DUMMYFUNCTION("""COMPUTED_VALUE"""),"CURACAVI")</f>
        <v>CURACAVI</v>
      </c>
    </row>
    <row r="3227" spans="1:4">
      <c r="A3227" s="7">
        <f ca="1">IFERROR(__xludf.DUMMYFUNCTION("""COMPUTED_VALUE"""),44300)</f>
        <v>44300</v>
      </c>
      <c r="B3227" s="6" t="str">
        <f ca="1">IFERROR(__xludf.DUMMYFUNCTION("""COMPUTED_VALUE"""),"-33.407204-71.127574")</f>
        <v>-33.407204-71.127574</v>
      </c>
      <c r="C3227" s="6" t="str">
        <f ca="1">IFERROR(__xludf.DUMMYFUNCTION("""COMPUTED_VALUE"""),"FRANCISCO JOFRE 1819")</f>
        <v>FRANCISCO JOFRE 1819</v>
      </c>
      <c r="D3227" s="6" t="str">
        <f ca="1">IFERROR(__xludf.DUMMYFUNCTION("""COMPUTED_VALUE"""),"CURACAVI")</f>
        <v>CURACAVI</v>
      </c>
    </row>
    <row r="3228" spans="1:4">
      <c r="A3228" s="7">
        <f ca="1">IFERROR(__xludf.DUMMYFUNCTION("""COMPUTED_VALUE"""),44300)</f>
        <v>44300</v>
      </c>
      <c r="B3228" s="6" t="str">
        <f ca="1">IFERROR(__xludf.DUMMYFUNCTION("""COMPUTED_VALUE"""),"-33.409034-71.144232")</f>
        <v>-33.409034-71.144232</v>
      </c>
      <c r="C3228" s="6" t="str">
        <f ca="1">IFERROR(__xludf.DUMMYFUNCTION("""COMPUTED_VALUE"""),"AV. AMBROSIO OHIGGINS 676")</f>
        <v>AV. AMBROSIO OHIGGINS 676</v>
      </c>
      <c r="D3228" s="6" t="str">
        <f ca="1">IFERROR(__xludf.DUMMYFUNCTION("""COMPUTED_VALUE"""),"CURACAVI")</f>
        <v>CURACAVI</v>
      </c>
    </row>
    <row r="3229" spans="1:4">
      <c r="A3229" s="7">
        <f ca="1">IFERROR(__xludf.DUMMYFUNCTION("""COMPUTED_VALUE"""),44300)</f>
        <v>44300</v>
      </c>
      <c r="B3229" s="6" t="str">
        <f ca="1">IFERROR(__xludf.DUMMYFUNCTION("""COMPUTED_VALUE"""),"-33.409087-71.145096")</f>
        <v>-33.409087-71.145096</v>
      </c>
      <c r="C3229" s="6" t="str">
        <f ca="1">IFERROR(__xludf.DUMMYFUNCTION("""COMPUTED_VALUE"""),"AV. AMBROSIO OHIGGINS 580")</f>
        <v>AV. AMBROSIO OHIGGINS 580</v>
      </c>
      <c r="D3229" s="6" t="str">
        <f ca="1">IFERROR(__xludf.DUMMYFUNCTION("""COMPUTED_VALUE"""),"CURACAVI")</f>
        <v>CURACAVI</v>
      </c>
    </row>
    <row r="3230" spans="1:4">
      <c r="A3230" s="7">
        <f ca="1">IFERROR(__xludf.DUMMYFUNCTION("""COMPUTED_VALUE"""),44300)</f>
        <v>44300</v>
      </c>
      <c r="B3230" s="6" t="str">
        <f ca="1">IFERROR(__xludf.DUMMYFUNCTION("""COMPUTED_VALUE"""),"-33.586738,-71.125291")</f>
        <v>-33.586738,-71.125291</v>
      </c>
      <c r="C3230" s="6" t="str">
        <f ca="1">IFERROR(__xludf.DUMMYFUNCTION("""COMPUTED_VALUE"""),"EL OLIVO  MALLARAUCO PARCELA 5")</f>
        <v>EL OLIVO  MALLARAUCO PARCELA 5</v>
      </c>
      <c r="D3230" s="6" t="str">
        <f ca="1">IFERROR(__xludf.DUMMYFUNCTION("""COMPUTED_VALUE"""),"MELIPILLA")</f>
        <v>MELIPILLA</v>
      </c>
    </row>
    <row r="3231" spans="1:4">
      <c r="A3231" s="7">
        <f ca="1">IFERROR(__xludf.DUMMYFUNCTION("""COMPUTED_VALUE"""),44300)</f>
        <v>44300</v>
      </c>
      <c r="B3231" s="6" t="str">
        <f ca="1">IFERROR(__xludf.DUMMYFUNCTION("""COMPUTED_VALUE"""),"-33.635886,-71.233439")</f>
        <v>-33.635886,-71.233439</v>
      </c>
      <c r="C3231" s="6" t="str">
        <f ca="1">IFERROR(__xludf.DUMMYFUNCTION("""COMPUTED_VALUE"""),"SECTOR RUMAY S/N PARCELA 7 ")</f>
        <v xml:space="preserve">SECTOR RUMAY S/N PARCELA 7 </v>
      </c>
      <c r="D3231" s="6" t="str">
        <f ca="1">IFERROR(__xludf.DUMMYFUNCTION("""COMPUTED_VALUE"""),"MELIPILLA")</f>
        <v>MELIPILLA</v>
      </c>
    </row>
    <row r="3232" spans="1:4">
      <c r="A3232" s="7">
        <f ca="1">IFERROR(__xludf.DUMMYFUNCTION("""COMPUTED_VALUE"""),44300)</f>
        <v>44300</v>
      </c>
      <c r="B3232" s="8" t="str">
        <f ca="1">IFERROR(__xludf.DUMMYFUNCTION("""COMPUTED_VALUE"""),"-33.668357,-71.236069")</f>
        <v>-33.668357,-71.236069</v>
      </c>
      <c r="C3232" s="6" t="str">
        <f ca="1">IFERROR(__xludf.DUMMYFUNCTION("""COMPUTED_VALUE"""),"LOTEO DOÑA JOSEFINA 89")</f>
        <v>LOTEO DOÑA JOSEFINA 89</v>
      </c>
      <c r="D3232" s="6" t="str">
        <f ca="1">IFERROR(__xludf.DUMMYFUNCTION("""COMPUTED_VALUE"""),"MELIPILLA")</f>
        <v>MELIPILLA</v>
      </c>
    </row>
    <row r="3233" spans="1:4">
      <c r="A3233" s="7">
        <f ca="1">IFERROR(__xludf.DUMMYFUNCTION("""COMPUTED_VALUE"""),44300)</f>
        <v>44300</v>
      </c>
      <c r="B3233" s="8" t="str">
        <f ca="1">IFERROR(__xludf.DUMMYFUNCTION("""COMPUTED_VALUE"""),"-33.668357,-71.236069")</f>
        <v>-33.668357,-71.236069</v>
      </c>
      <c r="C3233" s="6" t="str">
        <f ca="1">IFERROR(__xludf.DUMMYFUNCTION("""COMPUTED_VALUE"""),"LOTEO DOÑA JOSEFINA 89")</f>
        <v>LOTEO DOÑA JOSEFINA 89</v>
      </c>
      <c r="D3233" s="6" t="str">
        <f ca="1">IFERROR(__xludf.DUMMYFUNCTION("""COMPUTED_VALUE"""),"MELIPILLA")</f>
        <v>MELIPILLA</v>
      </c>
    </row>
    <row r="3234" spans="1:4">
      <c r="A3234" s="7">
        <f ca="1">IFERROR(__xludf.DUMMYFUNCTION("""COMPUTED_VALUE"""),44301)</f>
        <v>44301</v>
      </c>
      <c r="B3234" s="8" t="str">
        <f ca="1">IFERROR(__xludf.DUMMYFUNCTION("""COMPUTED_VALUE"""),"-33.392807,-71.125672")</f>
        <v>-33.392807,-71.125672</v>
      </c>
      <c r="C3234" s="6" t="str">
        <f ca="1">IFERROR(__xludf.DUMMYFUNCTION("""COMPUTED_VALUE"""),"JOSE FRANCISCO 2175")</f>
        <v>JOSE FRANCISCO 2175</v>
      </c>
      <c r="D3234" s="6" t="str">
        <f ca="1">IFERROR(__xludf.DUMMYFUNCTION("""COMPUTED_VALUE"""),"CURACAVI")</f>
        <v>CURACAVI</v>
      </c>
    </row>
    <row r="3235" spans="1:4">
      <c r="A3235" s="7">
        <f ca="1">IFERROR(__xludf.DUMMYFUNCTION("""COMPUTED_VALUE"""),44301)</f>
        <v>44301</v>
      </c>
      <c r="B3235" s="8" t="str">
        <f ca="1">IFERROR(__xludf.DUMMYFUNCTION("""COMPUTED_VALUE"""),"-33,4080472,-71,166144")</f>
        <v>-33,4080472,-71,166144</v>
      </c>
      <c r="C3235" s="6" t="str">
        <f ca="1">IFERROR(__xludf.DUMMYFUNCTION("""COMPUTED_VALUE"""),"EL NARANJO PARC 60 S/N")</f>
        <v>EL NARANJO PARC 60 S/N</v>
      </c>
      <c r="D3235" s="6" t="str">
        <f ca="1">IFERROR(__xludf.DUMMYFUNCTION("""COMPUTED_VALUE"""),"CURACAVI")</f>
        <v>CURACAVI</v>
      </c>
    </row>
    <row r="3236" spans="1:4">
      <c r="A3236" s="7">
        <f ca="1">IFERROR(__xludf.DUMMYFUNCTION("""COMPUTED_VALUE"""),44301)</f>
        <v>44301</v>
      </c>
      <c r="B3236" s="8" t="str">
        <f ca="1">IFERROR(__xludf.DUMMYFUNCTION("""COMPUTED_VALUE"""),"-33.542510-71.222694")</f>
        <v>-33.542510-71.222694</v>
      </c>
      <c r="C3236" s="6" t="str">
        <f ca="1">IFERROR(__xludf.DUMMYFUNCTION("""COMPUTED_VALUE"""),"CHOROMBO BAJO PC 25")</f>
        <v>CHOROMBO BAJO PC 25</v>
      </c>
      <c r="D3236" s="6" t="str">
        <f ca="1">IFERROR(__xludf.DUMMYFUNCTION("""COMPUTED_VALUE"""),"MARIA PINTO")</f>
        <v>MARIA PINTO</v>
      </c>
    </row>
    <row r="3237" spans="1:4">
      <c r="A3237" s="7">
        <f ca="1">IFERROR(__xludf.DUMMYFUNCTION("""COMPUTED_VALUE"""),44301)</f>
        <v>44301</v>
      </c>
      <c r="B3237" s="8" t="str">
        <f ca="1">IFERROR(__xludf.DUMMYFUNCTION("""COMPUTED_VALUE"""),"-33.684647,-71.199460")</f>
        <v>-33.684647,-71.199460</v>
      </c>
      <c r="C3237" s="6" t="str">
        <f ca="1">IFERROR(__xludf.DUMMYFUNCTION("""COMPUTED_VALUE"""),"PJS LAUTARO ALVIAL 617")</f>
        <v>PJS LAUTARO ALVIAL 617</v>
      </c>
      <c r="D3237" s="6" t="str">
        <f ca="1">IFERROR(__xludf.DUMMYFUNCTION("""COMPUTED_VALUE"""),"MELIPILLA")</f>
        <v>MELIPILLA</v>
      </c>
    </row>
    <row r="3238" spans="1:4">
      <c r="A3238" s="7">
        <f ca="1">IFERROR(__xludf.DUMMYFUNCTION("""COMPUTED_VALUE"""),44301)</f>
        <v>44301</v>
      </c>
      <c r="B3238" s="8" t="str">
        <f ca="1">IFERROR(__xludf.DUMMYFUNCTION("""COMPUTED_VALUE"""),"-33.539125,-70.947436")</f>
        <v>-33.539125,-70.947436</v>
      </c>
      <c r="C3238" s="6" t="str">
        <f ca="1">IFERROR(__xludf.DUMMYFUNCTION("""COMPUTED_VALUE"""),"STA VICTORIA 6507")</f>
        <v>STA VICTORIA 6507</v>
      </c>
      <c r="D3238" s="6" t="str">
        <f ca="1">IFERROR(__xludf.DUMMYFUNCTION("""COMPUTED_VALUE"""),"MELIPILLA")</f>
        <v>MELIPILLA</v>
      </c>
    </row>
    <row r="3239" spans="1:4">
      <c r="A3239" s="7">
        <f ca="1">IFERROR(__xludf.DUMMYFUNCTION("""COMPUTED_VALUE"""),44301)</f>
        <v>44301</v>
      </c>
      <c r="B3239" s="8" t="str">
        <f ca="1">IFERROR(__xludf.DUMMYFUNCTION("""COMPUTED_VALUE"""),"-33.410359.-71.146892")</f>
        <v>-33.410359.-71.146892</v>
      </c>
      <c r="C3239" s="6" t="str">
        <f ca="1">IFERROR(__xludf.DUMMYFUNCTION("""COMPUTED_VALUE"""),"AV AMBROSIO 418 CURACAVI ")</f>
        <v xml:space="preserve">AV AMBROSIO 418 CURACAVI </v>
      </c>
      <c r="D3239" s="6" t="str">
        <f ca="1">IFERROR(__xludf.DUMMYFUNCTION("""COMPUTED_VALUE"""),"CURACAVI")</f>
        <v>CURACAVI</v>
      </c>
    </row>
    <row r="3240" spans="1:4">
      <c r="A3240" s="7">
        <f ca="1">IFERROR(__xludf.DUMMYFUNCTION("""COMPUTED_VALUE"""),44301)</f>
        <v>44301</v>
      </c>
      <c r="B3240" s="8" t="str">
        <f ca="1">IFERROR(__xludf.DUMMYFUNCTION("""COMPUTED_VALUE"""),"-33.504913,-70.64238")</f>
        <v>-33.504913,-70.64238</v>
      </c>
      <c r="C3240" s="6" t="str">
        <f ca="1">IFERROR(__xludf.DUMMYFUNCTION("""COMPUTED_VALUE"""),"CAMINO INTERIOR LOTE 9 LAMPA ")</f>
        <v xml:space="preserve">CAMINO INTERIOR LOTE 9 LAMPA </v>
      </c>
      <c r="D3240" s="6" t="str">
        <f ca="1">IFERROR(__xludf.DUMMYFUNCTION("""COMPUTED_VALUE"""),"LAMPA")</f>
        <v>LAMPA</v>
      </c>
    </row>
    <row r="3241" spans="1:4">
      <c r="A3241" s="7">
        <f ca="1">IFERROR(__xludf.DUMMYFUNCTION("""COMPUTED_VALUE"""),44301)</f>
        <v>44301</v>
      </c>
      <c r="B3241" s="6" t="str">
        <f ca="1">IFERROR(__xludf.DUMMYFUNCTION("""COMPUTED_VALUE"""),"-33.516122-71.118021")</f>
        <v>-33.516122-71.118021</v>
      </c>
      <c r="C3241" s="6" t="str">
        <f ca="1">IFERROR(__xludf.DUMMYFUNCTION("""COMPUTED_VALUE"""),"MARIA PINTO S/N")</f>
        <v>MARIA PINTO S/N</v>
      </c>
      <c r="D3241" s="6" t="str">
        <f ca="1">IFERROR(__xludf.DUMMYFUNCTION("""COMPUTED_VALUE"""),"CURACAVI")</f>
        <v>CURACAVI</v>
      </c>
    </row>
    <row r="3242" spans="1:4">
      <c r="A3242" s="7">
        <f ca="1">IFERROR(__xludf.DUMMYFUNCTION("""COMPUTED_VALUE"""),44301)</f>
        <v>44301</v>
      </c>
      <c r="B3242" s="6" t="str">
        <f ca="1">IFERROR(__xludf.DUMMYFUNCTION("""COMPUTED_VALUE"""),"-33.408127-71.132876")</f>
        <v>-33.408127-71.132876</v>
      </c>
      <c r="C3242" s="6" t="str">
        <f ca="1">IFERROR(__xludf.DUMMYFUNCTION("""COMPUTED_VALUE"""),"VILLA SIDECO S/N")</f>
        <v>VILLA SIDECO S/N</v>
      </c>
      <c r="D3242" s="6" t="str">
        <f ca="1">IFERROR(__xludf.DUMMYFUNCTION("""COMPUTED_VALUE"""),"CURACAVI")</f>
        <v>CURACAVI</v>
      </c>
    </row>
    <row r="3243" spans="1:4">
      <c r="A3243" s="7">
        <f ca="1">IFERROR(__xludf.DUMMYFUNCTION("""COMPUTED_VALUE"""),44301)</f>
        <v>44301</v>
      </c>
      <c r="B3243" s="6" t="str">
        <f ca="1">IFERROR(__xludf.DUMMYFUNCTION("""COMPUTED_VALUE"""),"-33.395729-71.128774")</f>
        <v>-33.395729-71.128774</v>
      </c>
      <c r="C3243" s="6" t="str">
        <f ca="1">IFERROR(__xludf.DUMMYFUNCTION("""COMPUTED_VALUE"""),"TRES NORTE 1801")</f>
        <v>TRES NORTE 1801</v>
      </c>
      <c r="D3243" s="6" t="str">
        <f ca="1">IFERROR(__xludf.DUMMYFUNCTION("""COMPUTED_VALUE"""),"CURACAVI")</f>
        <v>CURACAVI</v>
      </c>
    </row>
    <row r="3244" spans="1:4">
      <c r="A3244" s="7">
        <f ca="1">IFERROR(__xludf.DUMMYFUNCTION("""COMPUTED_VALUE"""),44301)</f>
        <v>44301</v>
      </c>
      <c r="B3244" s="6" t="str">
        <f ca="1">IFERROR(__xludf.DUMMYFUNCTION("""COMPUTED_VALUE"""),"-33.394447-71.129027")</f>
        <v>-33.394447-71.129027</v>
      </c>
      <c r="C3244" s="6" t="str">
        <f ca="1">IFERROR(__xludf.DUMMYFUNCTION("""COMPUTED_VALUE"""),"PRESBISTERO MORAGA 705")</f>
        <v>PRESBISTERO MORAGA 705</v>
      </c>
      <c r="D3244" s="6" t="str">
        <f ca="1">IFERROR(__xludf.DUMMYFUNCTION("""COMPUTED_VALUE"""),"CURACAVI")</f>
        <v>CURACAVI</v>
      </c>
    </row>
    <row r="3245" spans="1:4">
      <c r="A3245" s="7">
        <f ca="1">IFERROR(__xludf.DUMMYFUNCTION("""COMPUTED_VALUE"""),44301)</f>
        <v>44301</v>
      </c>
      <c r="B3245" s="6" t="str">
        <f ca="1">IFERROR(__xludf.DUMMYFUNCTION("""COMPUTED_VALUE"""),"-33.386930-71.110304")</f>
        <v>-33.386930-71.110304</v>
      </c>
      <c r="C3245" s="6" t="str">
        <f ca="1">IFERROR(__xludf.DUMMYFUNCTION("""COMPUTED_VALUE"""),"LOS PARRONALES PARCELA 27")</f>
        <v>LOS PARRONALES PARCELA 27</v>
      </c>
      <c r="D3245" s="6" t="str">
        <f ca="1">IFERROR(__xludf.DUMMYFUNCTION("""COMPUTED_VALUE"""),"CURACAVI")</f>
        <v>CURACAVI</v>
      </c>
    </row>
    <row r="3246" spans="1:4">
      <c r="A3246" s="7">
        <f ca="1">IFERROR(__xludf.DUMMYFUNCTION("""COMPUTED_VALUE"""),44301)</f>
        <v>44301</v>
      </c>
      <c r="B3246" s="6" t="str">
        <f ca="1">IFERROR(__xludf.DUMMYFUNCTION("""COMPUTED_VALUE"""),"-33.386930-71.110304")</f>
        <v>-33.386930-71.110304</v>
      </c>
      <c r="C3246" s="6" t="str">
        <f ca="1">IFERROR(__xludf.DUMMYFUNCTION("""COMPUTED_VALUE"""),"LOS PARRONALES PARCELA 27")</f>
        <v>LOS PARRONALES PARCELA 27</v>
      </c>
      <c r="D3246" s="6" t="str">
        <f ca="1">IFERROR(__xludf.DUMMYFUNCTION("""COMPUTED_VALUE"""),"CURACAVI")</f>
        <v>CURACAVI</v>
      </c>
    </row>
    <row r="3247" spans="1:4">
      <c r="A3247" s="7">
        <f ca="1">IFERROR(__xludf.DUMMYFUNCTION("""COMPUTED_VALUE"""),44301)</f>
        <v>44301</v>
      </c>
      <c r="B3247" s="6" t="str">
        <f ca="1">IFERROR(__xludf.DUMMYFUNCTION("""COMPUTED_VALUE"""),"-33.407445-71.130684")</f>
        <v>-33.407445-71.130684</v>
      </c>
      <c r="C3247" s="6" t="str">
        <f ca="1">IFERROR(__xludf.DUMMYFUNCTION("""COMPUTED_VALUE"""),"FRANCISCO JOFRE 1780")</f>
        <v>FRANCISCO JOFRE 1780</v>
      </c>
      <c r="D3247" s="6" t="str">
        <f ca="1">IFERROR(__xludf.DUMMYFUNCTION("""COMPUTED_VALUE"""),"CURACAVI")</f>
        <v>CURACAVI</v>
      </c>
    </row>
    <row r="3248" spans="1:4">
      <c r="A3248" s="7">
        <f ca="1">IFERROR(__xludf.DUMMYFUNCTION("""COMPUTED_VALUE"""),44301)</f>
        <v>44301</v>
      </c>
      <c r="B3248" s="6" t="str">
        <f ca="1">IFERROR(__xludf.DUMMYFUNCTION("""COMPUTED_VALUE"""),"-33.39626154-71.13069969")</f>
        <v>-33.39626154-71.13069969</v>
      </c>
      <c r="C3248" s="6" t="str">
        <f ca="1">IFERROR(__xludf.DUMMYFUNCTION("""COMPUTED_VALUE"""),"EDUC. ANA NAVARRETE 648")</f>
        <v>EDUC. ANA NAVARRETE 648</v>
      </c>
      <c r="D3248" s="6" t="str">
        <f ca="1">IFERROR(__xludf.DUMMYFUNCTION("""COMPUTED_VALUE"""),"CURACAVI")</f>
        <v>CURACAVI</v>
      </c>
    </row>
    <row r="3249" spans="1:4">
      <c r="A3249" s="7">
        <f ca="1">IFERROR(__xludf.DUMMYFUNCTION("""COMPUTED_VALUE"""),44301)</f>
        <v>44301</v>
      </c>
      <c r="B3249" s="6" t="str">
        <f ca="1">IFERROR(__xludf.DUMMYFUNCTION("""COMPUTED_VALUE"""),"-33.40808810253-71.133315308287")</f>
        <v>-33.40808810253-71.133315308287</v>
      </c>
      <c r="C3249" s="6" t="str">
        <f ca="1">IFERROR(__xludf.DUMMYFUNCTION("""COMPUTED_VALUE"""),"PASAJE CINCO SUR 1581")</f>
        <v>PASAJE CINCO SUR 1581</v>
      </c>
      <c r="D3249" s="6" t="str">
        <f ca="1">IFERROR(__xludf.DUMMYFUNCTION("""COMPUTED_VALUE"""),"CURACAVI")</f>
        <v>CURACAVI</v>
      </c>
    </row>
    <row r="3250" spans="1:4">
      <c r="A3250" s="7">
        <f ca="1">IFERROR(__xludf.DUMMYFUNCTION("""COMPUTED_VALUE"""),44301)</f>
        <v>44301</v>
      </c>
      <c r="B3250" s="6" t="str">
        <f ca="1">IFERROR(__xludf.DUMMYFUNCTION("""COMPUTED_VALUE"""),"-33.408300-71.135921")</f>
        <v>-33.408300-71.135921</v>
      </c>
      <c r="C3250" s="6" t="str">
        <f ca="1">IFERROR(__xludf.DUMMYFUNCTION("""COMPUTED_VALUE"""),"LIDIA SILVA 455")</f>
        <v>LIDIA SILVA 455</v>
      </c>
      <c r="D3250" s="6" t="str">
        <f ca="1">IFERROR(__xludf.DUMMYFUNCTION("""COMPUTED_VALUE"""),"CURACAVI")</f>
        <v>CURACAVI</v>
      </c>
    </row>
    <row r="3251" spans="1:4">
      <c r="A3251" s="7">
        <f ca="1">IFERROR(__xludf.DUMMYFUNCTION("""COMPUTED_VALUE"""),44301)</f>
        <v>44301</v>
      </c>
      <c r="B3251" s="6" t="str">
        <f ca="1">IFERROR(__xludf.DUMMYFUNCTION("""COMPUTED_VALUE"""),"-33.407265-71.130578")</f>
        <v>-33.407265-71.130578</v>
      </c>
      <c r="C3251" s="6" t="str">
        <f ca="1">IFERROR(__xludf.DUMMYFUNCTION("""COMPUTED_VALUE"""),"FRANCISCO JOFRE 1770")</f>
        <v>FRANCISCO JOFRE 1770</v>
      </c>
      <c r="D3251" s="6" t="str">
        <f ca="1">IFERROR(__xludf.DUMMYFUNCTION("""COMPUTED_VALUE"""),"CURACAVI")</f>
        <v>CURACAVI</v>
      </c>
    </row>
    <row r="3252" spans="1:4">
      <c r="A3252" s="7">
        <f ca="1">IFERROR(__xludf.DUMMYFUNCTION("""COMPUTED_VALUE"""),44301)</f>
        <v>44301</v>
      </c>
      <c r="B3252" s="6" t="str">
        <f ca="1">IFERROR(__xludf.DUMMYFUNCTION("""COMPUTED_VALUE"""),"-33.407291-71.130847")</f>
        <v>-33.407291-71.130847</v>
      </c>
      <c r="C3252" s="6" t="str">
        <f ca="1">IFERROR(__xludf.DUMMYFUNCTION("""COMPUTED_VALUE"""),"FRANCISCO JOFRE 1767")</f>
        <v>FRANCISCO JOFRE 1767</v>
      </c>
      <c r="D3252" s="6" t="str">
        <f ca="1">IFERROR(__xludf.DUMMYFUNCTION("""COMPUTED_VALUE"""),"CURACAVI")</f>
        <v>CURACAVI</v>
      </c>
    </row>
    <row r="3253" spans="1:4">
      <c r="A3253" s="7">
        <f ca="1">IFERROR(__xludf.DUMMYFUNCTION("""COMPUTED_VALUE"""),44301)</f>
        <v>44301</v>
      </c>
      <c r="B3253" s="6" t="str">
        <f ca="1">IFERROR(__xludf.DUMMYFUNCTION("""COMPUTED_VALUE"""),"-33.51616-71.12127")</f>
        <v>-33.51616-71.12127</v>
      </c>
      <c r="C3253" s="6" t="str">
        <f ca="1">IFERROR(__xludf.DUMMYFUNCTION("""COMPUTED_VALUE"""),"CO PRINCIPAL S/N")</f>
        <v>CO PRINCIPAL S/N</v>
      </c>
      <c r="D3253" s="6" t="str">
        <f ca="1">IFERROR(__xludf.DUMMYFUNCTION("""COMPUTED_VALUE"""),"MARIA PINTO")</f>
        <v>MARIA PINTO</v>
      </c>
    </row>
    <row r="3254" spans="1:4">
      <c r="A3254" s="7">
        <f ca="1">IFERROR(__xludf.DUMMYFUNCTION("""COMPUTED_VALUE"""),44301)</f>
        <v>44301</v>
      </c>
      <c r="B3254" s="6" t="str">
        <f ca="1">IFERROR(__xludf.DUMMYFUNCTION("""COMPUTED_VALUE"""),"-33.51913-71.12093")</f>
        <v>-33.51913-71.12093</v>
      </c>
      <c r="C3254" s="6" t="str">
        <f ca="1">IFERROR(__xludf.DUMMYFUNCTION("""COMPUTED_VALUE"""),"SECTOR CARMEN DELGADO S/N")</f>
        <v>SECTOR CARMEN DELGADO S/N</v>
      </c>
      <c r="D3254" s="6" t="str">
        <f ca="1">IFERROR(__xludf.DUMMYFUNCTION("""COMPUTED_VALUE"""),"MARIA PINTO")</f>
        <v>MARIA PINTO</v>
      </c>
    </row>
    <row r="3255" spans="1:4">
      <c r="A3255" s="7">
        <f ca="1">IFERROR(__xludf.DUMMYFUNCTION("""COMPUTED_VALUE"""),44301)</f>
        <v>44301</v>
      </c>
      <c r="B3255" s="6" t="str">
        <f ca="1">IFERROR(__xludf.DUMMYFUNCTION("""COMPUTED_VALUE"""),"-33.701204,-71.219673")</f>
        <v>-33.701204,-71.219673</v>
      </c>
      <c r="C3255" s="6" t="str">
        <f ca="1">IFERROR(__xludf.DUMMYFUNCTION("""COMPUTED_VALUE"""),"MEDIALUNA 779/ ANDRES BELLO 779")</f>
        <v>MEDIALUNA 779/ ANDRES BELLO 779</v>
      </c>
      <c r="D3255" s="6" t="str">
        <f ca="1">IFERROR(__xludf.DUMMYFUNCTION("""COMPUTED_VALUE"""),"MELIPILLA")</f>
        <v>MELIPILLA</v>
      </c>
    </row>
    <row r="3256" spans="1:4">
      <c r="A3256" s="7">
        <f ca="1">IFERROR(__xludf.DUMMYFUNCTION("""COMPUTED_VALUE"""),44301)</f>
        <v>44301</v>
      </c>
      <c r="B3256" s="6" t="str">
        <f ca="1">IFERROR(__xludf.DUMMYFUNCTION("""COMPUTED_VALUE"""),"-33.652358,-71.147967")</f>
        <v>-33.652358,-71.147967</v>
      </c>
      <c r="C3256" s="6" t="str">
        <f ca="1">IFERROR(__xludf.DUMMYFUNCTION("""COMPUTED_VALUE"""),"RAFAEL MORANDE  220")</f>
        <v>RAFAEL MORANDE  220</v>
      </c>
      <c r="D3256" s="6" t="str">
        <f ca="1">IFERROR(__xludf.DUMMYFUNCTION("""COMPUTED_VALUE"""),"MELIPILLA")</f>
        <v>MELIPILLA</v>
      </c>
    </row>
    <row r="3257" spans="1:4">
      <c r="A3257" s="7">
        <f ca="1">IFERROR(__xludf.DUMMYFUNCTION("""COMPUTED_VALUE"""),44301)</f>
        <v>44301</v>
      </c>
      <c r="B3257" s="6" t="str">
        <f ca="1">IFERROR(__xludf.DUMMYFUNCTION("""COMPUTED_VALUE"""),"-33.646684,-71.150466")</f>
        <v>-33.646684,-71.150466</v>
      </c>
      <c r="C3257" s="6" t="str">
        <f ca="1">IFERROR(__xludf.DUMMYFUNCTION("""COMPUTED_VALUE"""),"SAN ANTONIO  690")</f>
        <v>SAN ANTONIO  690</v>
      </c>
      <c r="D3257" s="6" t="str">
        <f ca="1">IFERROR(__xludf.DUMMYFUNCTION("""COMPUTED_VALUE"""),"MELIPILLA")</f>
        <v>MELIPILLA</v>
      </c>
    </row>
    <row r="3258" spans="1:4">
      <c r="A3258" s="7">
        <f ca="1">IFERROR(__xludf.DUMMYFUNCTION("""COMPUTED_VALUE"""),44301)</f>
        <v>44301</v>
      </c>
      <c r="B3258" s="8" t="str">
        <f ca="1">IFERROR(__xludf.DUMMYFUNCTION("""COMPUTED_VALUE"""),"-33.692763,-71.214125")</f>
        <v>-33.692763,-71.214125</v>
      </c>
      <c r="C3258" s="6" t="str">
        <f ca="1">IFERROR(__xludf.DUMMYFUNCTION("""COMPUTED_VALUE"""),"RIQUELME 450")</f>
        <v>RIQUELME 450</v>
      </c>
      <c r="D3258" s="6" t="str">
        <f ca="1">IFERROR(__xludf.DUMMYFUNCTION("""COMPUTED_VALUE"""),"MELIPILLA")</f>
        <v>MELIPILLA</v>
      </c>
    </row>
    <row r="3259" spans="1:4">
      <c r="A3259" s="7">
        <f ca="1">IFERROR(__xludf.DUMMYFUNCTION("""COMPUTED_VALUE"""),44301)</f>
        <v>44301</v>
      </c>
      <c r="B3259" s="8" t="str">
        <f ca="1">IFERROR(__xludf.DUMMYFUNCTION("""COMPUTED_VALUE"""),"-33.692763,-71.214125")</f>
        <v>-33.692763,-71.214125</v>
      </c>
      <c r="C3259" s="6" t="str">
        <f ca="1">IFERROR(__xludf.DUMMYFUNCTION("""COMPUTED_VALUE"""),"RIQUELME 450")</f>
        <v>RIQUELME 450</v>
      </c>
      <c r="D3259" s="6" t="str">
        <f ca="1">IFERROR(__xludf.DUMMYFUNCTION("""COMPUTED_VALUE"""),"MELIPILLA")</f>
        <v>MELIPILLA</v>
      </c>
    </row>
    <row r="3260" spans="1:4">
      <c r="A3260" s="7">
        <f ca="1">IFERROR(__xludf.DUMMYFUNCTION("""COMPUTED_VALUE"""),44301)</f>
        <v>44301</v>
      </c>
      <c r="B3260" s="8" t="str">
        <f ca="1">IFERROR(__xludf.DUMMYFUNCTION("""COMPUTED_VALUE"""),"-33.605440,-70.783770")</f>
        <v>-33.605440,-70.783770</v>
      </c>
      <c r="C3260" s="6" t="str">
        <f ca="1">IFERROR(__xludf.DUMMYFUNCTION("""COMPUTED_VALUE"""),"LONQUEN NORTE PARCELA 37")</f>
        <v>LONQUEN NORTE PARCELA 37</v>
      </c>
      <c r="D3260" s="6" t="str">
        <f ca="1">IFERROR(__xludf.DUMMYFUNCTION("""COMPUTED_VALUE"""),"MELIPILLA")</f>
        <v>MELIPILLA</v>
      </c>
    </row>
    <row r="3261" spans="1:4">
      <c r="A3261" s="7">
        <f ca="1">IFERROR(__xludf.DUMMYFUNCTION("""COMPUTED_VALUE"""),44302)</f>
        <v>44302</v>
      </c>
      <c r="B3261" s="8" t="str">
        <f ca="1">IFERROR(__xludf.DUMMYFUNCTION("""COMPUTED_VALUE"""),"-33.3988544,-71,125809")</f>
        <v>-33.3988544,-71,125809</v>
      </c>
      <c r="C3261" s="6" t="str">
        <f ca="1">IFERROR(__xludf.DUMMYFUNCTION("""COMPUTED_VALUE"""),"LUIS CRUCHAPA 441")</f>
        <v>LUIS CRUCHAPA 441</v>
      </c>
      <c r="D3261" s="6" t="str">
        <f ca="1">IFERROR(__xludf.DUMMYFUNCTION("""COMPUTED_VALUE"""),"CURACAVI")</f>
        <v>CURACAVI</v>
      </c>
    </row>
    <row r="3262" spans="1:4">
      <c r="A3262" s="7">
        <f ca="1">IFERROR(__xludf.DUMMYFUNCTION("""COMPUTED_VALUE"""),44302)</f>
        <v>44302</v>
      </c>
      <c r="B3262" s="8" t="str">
        <f ca="1">IFERROR(__xludf.DUMMYFUNCTION("""COMPUTED_VALUE"""),"-33.582790,-70.819224")</f>
        <v>-33.582790,-70.819224</v>
      </c>
      <c r="C3262" s="6" t="str">
        <f ca="1">IFERROR(__xludf.DUMMYFUNCTION("""COMPUTED_VALUE"""),"SAN IGNACIO MANZANA 6351")</f>
        <v>SAN IGNACIO MANZANA 6351</v>
      </c>
      <c r="D3262" s="6" t="str">
        <f ca="1">IFERROR(__xludf.DUMMYFUNCTION("""COMPUTED_VALUE"""),"PADRE HURTADO")</f>
        <v>PADRE HURTADO</v>
      </c>
    </row>
    <row r="3263" spans="1:4">
      <c r="A3263" s="7">
        <f ca="1">IFERROR(__xludf.DUMMYFUNCTION("""COMPUTED_VALUE"""),44302)</f>
        <v>44302</v>
      </c>
      <c r="B3263" s="8" t="str">
        <f ca="1">IFERROR(__xludf.DUMMYFUNCTION("""COMPUTED_VALUE"""),"-33.572313,-71.206034")</f>
        <v>-33.572313,-71.206034</v>
      </c>
      <c r="C3263" s="6" t="str">
        <f ca="1">IFERROR(__xludf.DUMMYFUNCTION("""COMPUTED_VALUE"""),"ANSELMO ALARCON S/N ")</f>
        <v xml:space="preserve">ANSELMO ALARCON S/N </v>
      </c>
      <c r="D3263" s="6" t="str">
        <f ca="1">IFERROR(__xludf.DUMMYFUNCTION("""COMPUTED_VALUE"""),"MELIPILLA")</f>
        <v>MELIPILLA</v>
      </c>
    </row>
    <row r="3264" spans="1:4">
      <c r="A3264" s="7">
        <f ca="1">IFERROR(__xludf.DUMMYFUNCTION("""COMPUTED_VALUE"""),44302)</f>
        <v>44302</v>
      </c>
      <c r="B3264" s="8" t="str">
        <f ca="1">IFERROR(__xludf.DUMMYFUNCTION("""COMPUTED_VALUE"""),"-33.3983122,-71.1259966")</f>
        <v>-33.3983122,-71.1259966</v>
      </c>
      <c r="C3264" s="6" t="str">
        <f ca="1">IFERROR(__xludf.DUMMYFUNCTION("""COMPUTED_VALUE"""),"JORGE MONTT 2094")</f>
        <v>JORGE MONTT 2094</v>
      </c>
      <c r="D3264" s="6" t="str">
        <f ca="1">IFERROR(__xludf.DUMMYFUNCTION("""COMPUTED_VALUE"""),"CURACAVI")</f>
        <v>CURACAVI</v>
      </c>
    </row>
    <row r="3265" spans="1:4">
      <c r="A3265" s="7">
        <f ca="1">IFERROR(__xludf.DUMMYFUNCTION("""COMPUTED_VALUE"""),44302)</f>
        <v>44302</v>
      </c>
      <c r="B3265" s="8" t="str">
        <f ca="1">IFERROR(__xludf.DUMMYFUNCTION("""COMPUTED_VALUE"""),"-33.678245,-71.238668")</f>
        <v>-33.678245,-71.238668</v>
      </c>
      <c r="C3265" s="6" t="str">
        <f ca="1">IFERROR(__xludf.DUMMYFUNCTION("""COMPUTED_VALUE"""),"PJE 18  NUMERO 376")</f>
        <v>PJE 18  NUMERO 376</v>
      </c>
      <c r="D3265" s="6" t="str">
        <f ca="1">IFERROR(__xludf.DUMMYFUNCTION("""COMPUTED_VALUE"""),"MELIPILLA")</f>
        <v>MELIPILLA</v>
      </c>
    </row>
    <row r="3266" spans="1:4">
      <c r="A3266" s="7">
        <f ca="1">IFERROR(__xludf.DUMMYFUNCTION("""COMPUTED_VALUE"""),44302)</f>
        <v>44302</v>
      </c>
      <c r="B3266" s="8" t="str">
        <f ca="1">IFERROR(__xludf.DUMMYFUNCTION("""COMPUTED_VALUE"""),"-33.520951,-71.121824")</f>
        <v>-33.520951,-71.121824</v>
      </c>
      <c r="C3266" s="6" t="str">
        <f ca="1">IFERROR(__xludf.DUMMYFUNCTION("""COMPUTED_VALUE"""),"VICTOR BRAUN 160 VILLA FUTURO")</f>
        <v>VICTOR BRAUN 160 VILLA FUTURO</v>
      </c>
      <c r="D3266" s="6" t="str">
        <f ca="1">IFERROR(__xludf.DUMMYFUNCTION("""COMPUTED_VALUE"""),"MARIA PINTO")</f>
        <v>MARIA PINTO</v>
      </c>
    </row>
    <row r="3267" spans="1:4">
      <c r="A3267" s="7">
        <f ca="1">IFERROR(__xludf.DUMMYFUNCTION("""COMPUTED_VALUE"""),44302)</f>
        <v>44302</v>
      </c>
      <c r="B3267" s="8" t="str">
        <f ca="1">IFERROR(__xludf.DUMMYFUNCTION("""COMPUTED_VALUE"""),"-33.650786,-70.999159")</f>
        <v>-33.650786,-70.999159</v>
      </c>
      <c r="C3267" s="6" t="str">
        <f ca="1">IFERROR(__xludf.DUMMYFUNCTION("""COMPUTED_VALUE"""),"LOS OLMOS S/N PARCELA 9 ")</f>
        <v xml:space="preserve">LOS OLMOS S/N PARCELA 9 </v>
      </c>
      <c r="D3267" s="6" t="str">
        <f ca="1">IFERROR(__xludf.DUMMYFUNCTION("""COMPUTED_VALUE"""),"EL MONTE")</f>
        <v>EL MONTE</v>
      </c>
    </row>
    <row r="3268" spans="1:4">
      <c r="A3268" s="7">
        <f ca="1">IFERROR(__xludf.DUMMYFUNCTION("""COMPUTED_VALUE"""),44302)</f>
        <v>44302</v>
      </c>
      <c r="B3268" s="8" t="str">
        <f ca="1">IFERROR(__xludf.DUMMYFUNCTION("""COMPUTED_VALUE"""),"-33.650780,-70.999159")</f>
        <v>-33.650780,-70.999159</v>
      </c>
      <c r="C3268" s="6" t="str">
        <f ca="1">IFERROR(__xludf.DUMMYFUNCTION("""COMPUTED_VALUE"""),"LOS OLMOS S/N PARCELA 9 ")</f>
        <v xml:space="preserve">LOS OLMOS S/N PARCELA 9 </v>
      </c>
      <c r="D3268" s="6" t="str">
        <f ca="1">IFERROR(__xludf.DUMMYFUNCTION("""COMPUTED_VALUE"""),"EL MONTE")</f>
        <v>EL MONTE</v>
      </c>
    </row>
    <row r="3269" spans="1:4">
      <c r="A3269" s="7">
        <f ca="1">IFERROR(__xludf.DUMMYFUNCTION("""COMPUTED_VALUE"""),44302)</f>
        <v>44302</v>
      </c>
      <c r="B3269" s="6" t="str">
        <f ca="1">IFERROR(__xludf.DUMMYFUNCTION("""COMPUTED_VALUE"""),"-33.414874-71.116227")</f>
        <v>-33.414874-71.116227</v>
      </c>
      <c r="C3269" s="6" t="str">
        <f ca="1">IFERROR(__xludf.DUMMYFUNCTION("""COMPUTED_VALUE"""),"LAS ROSAS LOTE 3")</f>
        <v>LAS ROSAS LOTE 3</v>
      </c>
      <c r="D3269" s="6" t="str">
        <f ca="1">IFERROR(__xludf.DUMMYFUNCTION("""COMPUTED_VALUE"""),"CURACAVI")</f>
        <v>CURACAVI</v>
      </c>
    </row>
    <row r="3270" spans="1:4">
      <c r="A3270" s="7">
        <f ca="1">IFERROR(__xludf.DUMMYFUNCTION("""COMPUTED_VALUE"""),44302)</f>
        <v>44302</v>
      </c>
      <c r="B3270" s="6" t="str">
        <f ca="1">IFERROR(__xludf.DUMMYFUNCTION("""COMPUTED_VALUE"""),"-33.405098-71.128026")</f>
        <v>-33.405098-71.128026</v>
      </c>
      <c r="C3270" s="6" t="str">
        <f ca="1">IFERROR(__xludf.DUMMYFUNCTION("""COMPUTED_VALUE"""),"CAREN 63")</f>
        <v>CAREN 63</v>
      </c>
      <c r="D3270" s="6" t="str">
        <f ca="1">IFERROR(__xludf.DUMMYFUNCTION("""COMPUTED_VALUE"""),"CURACAVI")</f>
        <v>CURACAVI</v>
      </c>
    </row>
    <row r="3271" spans="1:4">
      <c r="A3271" s="7">
        <f ca="1">IFERROR(__xludf.DUMMYFUNCTION("""COMPUTED_VALUE"""),44302)</f>
        <v>44302</v>
      </c>
      <c r="B3271" s="6" t="str">
        <f ca="1">IFERROR(__xludf.DUMMYFUNCTION("""COMPUTED_VALUE"""),"-33.286677-70.883173")</f>
        <v>-33.286677-70.883173</v>
      </c>
      <c r="C3271" s="6" t="str">
        <f ca="1">IFERROR(__xludf.DUMMYFUNCTION("""COMPUTED_VALUE"""),"LOS ALERCES 0649")</f>
        <v>LOS ALERCES 0649</v>
      </c>
      <c r="D3271" s="6" t="str">
        <f ca="1">IFERROR(__xludf.DUMMYFUNCTION("""COMPUTED_VALUE"""),"LAMPA")</f>
        <v>LAMPA</v>
      </c>
    </row>
    <row r="3272" spans="1:4">
      <c r="A3272" s="7">
        <f ca="1">IFERROR(__xludf.DUMMYFUNCTION("""COMPUTED_VALUE"""),44302)</f>
        <v>44302</v>
      </c>
      <c r="B3272" s="6" t="str">
        <f ca="1">IFERROR(__xludf.DUMMYFUNCTION("""COMPUTED_VALUE"""),"-33.413907-71.139801")</f>
        <v>-33.413907-71.139801</v>
      </c>
      <c r="C3272" s="6" t="str">
        <f ca="1">IFERROR(__xludf.DUMMYFUNCTION("""COMPUTED_VALUE"""),"LO AGUILA LOTE 10 A")</f>
        <v>LO AGUILA LOTE 10 A</v>
      </c>
      <c r="D3272" s="6" t="str">
        <f ca="1">IFERROR(__xludf.DUMMYFUNCTION("""COMPUTED_VALUE"""),"CURACAVI")</f>
        <v>CURACAVI</v>
      </c>
    </row>
    <row r="3273" spans="1:4">
      <c r="A3273" s="7">
        <f ca="1">IFERROR(__xludf.DUMMYFUNCTION("""COMPUTED_VALUE"""),44302)</f>
        <v>44302</v>
      </c>
      <c r="B3273" s="6" t="str">
        <f ca="1">IFERROR(__xludf.DUMMYFUNCTION("""COMPUTED_VALUE"""),"-33.394627-71.123855")</f>
        <v>-33.394627-71.123855</v>
      </c>
      <c r="C3273" s="6" t="str">
        <f ca="1">IFERROR(__xludf.DUMMYFUNCTION("""COMPUTED_VALUE"""),"RAMON FREIRE 1038")</f>
        <v>RAMON FREIRE 1038</v>
      </c>
      <c r="D3273" s="6" t="str">
        <f ca="1">IFERROR(__xludf.DUMMYFUNCTION("""COMPUTED_VALUE"""),"CURACAVI")</f>
        <v>CURACAVI</v>
      </c>
    </row>
    <row r="3274" spans="1:4">
      <c r="A3274" s="7">
        <f ca="1">IFERROR(__xludf.DUMMYFUNCTION("""COMPUTED_VALUE"""),44302)</f>
        <v>44302</v>
      </c>
      <c r="B3274" s="6" t="str">
        <f ca="1">IFERROR(__xludf.DUMMYFUNCTION("""COMPUTED_VALUE"""),"-33.406672-71.134272")</f>
        <v>-33.406672-71.134272</v>
      </c>
      <c r="C3274" s="6" t="str">
        <f ca="1">IFERROR(__xludf.DUMMYFUNCTION("""COMPUTED_VALUE"""),"DIEGO DE PRADO 1470")</f>
        <v>DIEGO DE PRADO 1470</v>
      </c>
      <c r="D3274" s="6" t="str">
        <f ca="1">IFERROR(__xludf.DUMMYFUNCTION("""COMPUTED_VALUE"""),"CURACAVI")</f>
        <v>CURACAVI</v>
      </c>
    </row>
    <row r="3275" spans="1:4">
      <c r="A3275" s="7">
        <f ca="1">IFERROR(__xludf.DUMMYFUNCTION("""COMPUTED_VALUE"""),44302)</f>
        <v>44302</v>
      </c>
      <c r="B3275" s="6" t="str">
        <f ca="1">IFERROR(__xludf.DUMMYFUNCTION("""COMPUTED_VALUE"""),"-33.418375-71.001336")</f>
        <v>-33.418375-71.001336</v>
      </c>
      <c r="C3275" s="6" t="str">
        <f ca="1">IFERROR(__xludf.DUMMYFUNCTION("""COMPUTED_VALUE"""),"CO LA AURORA S/N")</f>
        <v>CO LA AURORA S/N</v>
      </c>
      <c r="D3275" s="6" t="str">
        <f ca="1">IFERROR(__xludf.DUMMYFUNCTION("""COMPUTED_VALUE"""),"CURACAVI")</f>
        <v>CURACAVI</v>
      </c>
    </row>
    <row r="3276" spans="1:4">
      <c r="A3276" s="7">
        <f ca="1">IFERROR(__xludf.DUMMYFUNCTION("""COMPUTED_VALUE"""),44302)</f>
        <v>44302</v>
      </c>
      <c r="B3276" s="6" t="str">
        <f ca="1">IFERROR(__xludf.DUMMYFUNCTION("""COMPUTED_VALUE"""),"-33.384796-71.112513")</f>
        <v>-33.384796-71.112513</v>
      </c>
      <c r="C3276" s="6" t="str">
        <f ca="1">IFERROR(__xludf.DUMMYFUNCTION("""COMPUTED_VALUE"""),"CUYUNCAVI PARC 24 ")</f>
        <v xml:space="preserve">CUYUNCAVI PARC 24 </v>
      </c>
      <c r="D3276" s="6" t="str">
        <f ca="1">IFERROR(__xludf.DUMMYFUNCTION("""COMPUTED_VALUE"""),"CURACAVI")</f>
        <v>CURACAVI</v>
      </c>
    </row>
    <row r="3277" spans="1:4">
      <c r="A3277" s="7">
        <f ca="1">IFERROR(__xludf.DUMMYFUNCTION("""COMPUTED_VALUE"""),44302)</f>
        <v>44302</v>
      </c>
      <c r="B3277" s="6" t="str">
        <f ca="1">IFERROR(__xludf.DUMMYFUNCTION("""COMPUTED_VALUE"""),"-33.46266-71.07929")</f>
        <v>-33.46266-71.07929</v>
      </c>
      <c r="C3277" s="6" t="str">
        <f ca="1">IFERROR(__xludf.DUMMYFUNCTION("""COMPUTED_VALUE"""),"GABRIELA MISTRAL 1798")</f>
        <v>GABRIELA MISTRAL 1798</v>
      </c>
      <c r="D3277" s="6" t="str">
        <f ca="1">IFERROR(__xludf.DUMMYFUNCTION("""COMPUTED_VALUE"""),"MARIA PINTO")</f>
        <v>MARIA PINTO</v>
      </c>
    </row>
    <row r="3278" spans="1:4">
      <c r="A3278" s="7">
        <f ca="1">IFERROR(__xludf.DUMMYFUNCTION("""COMPUTED_VALUE"""),44302)</f>
        <v>44302</v>
      </c>
      <c r="B3278" s="6" t="str">
        <f ca="1">IFERROR(__xludf.DUMMYFUNCTION("""COMPUTED_VALUE"""),"-33.46271-71.07881")</f>
        <v>-33.46271-71.07881</v>
      </c>
      <c r="C3278" s="6" t="str">
        <f ca="1">IFERROR(__xludf.DUMMYFUNCTION("""COMPUTED_VALUE"""),"MISTRAL 1762")</f>
        <v>MISTRAL 1762</v>
      </c>
      <c r="D3278" s="6" t="str">
        <f ca="1">IFERROR(__xludf.DUMMYFUNCTION("""COMPUTED_VALUE"""),"MARIA PINTO")</f>
        <v>MARIA PINTO</v>
      </c>
    </row>
    <row r="3279" spans="1:4">
      <c r="A3279" s="7">
        <f ca="1">IFERROR(__xludf.DUMMYFUNCTION("""COMPUTED_VALUE"""),44302)</f>
        <v>44302</v>
      </c>
      <c r="B3279" s="6" t="str">
        <f ca="1">IFERROR(__xludf.DUMMYFUNCTION("""COMPUTED_VALUE"""),"-33.39328-71.12034")</f>
        <v>-33.39328-71.12034</v>
      </c>
      <c r="C3279" s="6" t="str">
        <f ca="1">IFERROR(__xludf.DUMMYFUNCTION("""COMPUTED_VALUE"""),"VISTA ESPERANZA 1164")</f>
        <v>VISTA ESPERANZA 1164</v>
      </c>
      <c r="D3279" s="6" t="str">
        <f ca="1">IFERROR(__xludf.DUMMYFUNCTION("""COMPUTED_VALUE"""),"CURACAVI")</f>
        <v>CURACAVI</v>
      </c>
    </row>
    <row r="3280" spans="1:4">
      <c r="A3280" s="7">
        <f ca="1">IFERROR(__xludf.DUMMYFUNCTION("""COMPUTED_VALUE"""),44302)</f>
        <v>44302</v>
      </c>
      <c r="B3280" s="6" t="str">
        <f ca="1">IFERROR(__xludf.DUMMYFUNCTION("""COMPUTED_VALUE"""),"-33.395824-71.128190")</f>
        <v>-33.395824-71.128190</v>
      </c>
      <c r="C3280" s="6" t="str">
        <f ca="1">IFERROR(__xludf.DUMMYFUNCTION("""COMPUTED_VALUE"""),"DOS NORTE 1919")</f>
        <v>DOS NORTE 1919</v>
      </c>
      <c r="D3280" s="6" t="str">
        <f ca="1">IFERROR(__xludf.DUMMYFUNCTION("""COMPUTED_VALUE"""),"CURACAVI")</f>
        <v>CURACAVI</v>
      </c>
    </row>
    <row r="3281" spans="1:4">
      <c r="A3281" s="7">
        <f ca="1">IFERROR(__xludf.DUMMYFUNCTION("""COMPUTED_VALUE"""),44302)</f>
        <v>44302</v>
      </c>
      <c r="B3281" s="6" t="str">
        <f ca="1">IFERROR(__xludf.DUMMYFUNCTION("""COMPUTED_VALUE"""),"-33.646589,-71.151026")</f>
        <v>-33.646589,-71.151026</v>
      </c>
      <c r="C3281" s="6" t="str">
        <f ca="1">IFERROR(__xludf.DUMMYFUNCTION("""COMPUTED_VALUE"""),"SAN ANTONIO S/N CV3/SAN ANTONIO 649")</f>
        <v>SAN ANTONIO S/N CV3/SAN ANTONIO 649</v>
      </c>
      <c r="D3281" s="6" t="str">
        <f ca="1">IFERROR(__xludf.DUMMYFUNCTION("""COMPUTED_VALUE"""),"MELIPILLA")</f>
        <v>MELIPILLA</v>
      </c>
    </row>
    <row r="3282" spans="1:4">
      <c r="A3282" s="7">
        <f ca="1">IFERROR(__xludf.DUMMYFUNCTION("""COMPUTED_VALUE"""),44302)</f>
        <v>44302</v>
      </c>
      <c r="B3282" s="6" t="str">
        <f ca="1">IFERROR(__xludf.DUMMYFUNCTION("""COMPUTED_VALUE"""),"-33.654789,-71.152696")</f>
        <v>-33.654789,-71.152696</v>
      </c>
      <c r="C3282" s="6" t="str">
        <f ca="1">IFERROR(__xludf.DUMMYFUNCTION("""COMPUTED_VALUE"""),"CALLE LA CRUZ  447 A POMAIRE")</f>
        <v>CALLE LA CRUZ  447 A POMAIRE</v>
      </c>
      <c r="D3282" s="6" t="str">
        <f ca="1">IFERROR(__xludf.DUMMYFUNCTION("""COMPUTED_VALUE"""),"MELIPILLA")</f>
        <v>MELIPILLA</v>
      </c>
    </row>
    <row r="3283" spans="1:4">
      <c r="A3283" s="7">
        <f ca="1">IFERROR(__xludf.DUMMYFUNCTION("""COMPUTED_VALUE"""),44302)</f>
        <v>44302</v>
      </c>
      <c r="B3283" s="6" t="str">
        <f ca="1">IFERROR(__xludf.DUMMYFUNCTION("""COMPUTED_VALUE"""),"-33.653319,-71.149382")</f>
        <v>-33.653319,-71.149382</v>
      </c>
      <c r="C3283" s="6" t="str">
        <f ca="1">IFERROR(__xludf.DUMMYFUNCTION("""COMPUTED_VALUE"""),"ROBERTO BRAVO 212 POMAIRE")</f>
        <v>ROBERTO BRAVO 212 POMAIRE</v>
      </c>
      <c r="D3283" s="6" t="str">
        <f ca="1">IFERROR(__xludf.DUMMYFUNCTION("""COMPUTED_VALUE"""),"MELIPILLA")</f>
        <v>MELIPILLA</v>
      </c>
    </row>
    <row r="3284" spans="1:4">
      <c r="A3284" s="7">
        <f ca="1">IFERROR(__xludf.DUMMYFUNCTION("""COMPUTED_VALUE"""),44302)</f>
        <v>44302</v>
      </c>
      <c r="B3284" s="8" t="str">
        <f ca="1">IFERROR(__xludf.DUMMYFUNCTION("""COMPUTED_VALUE"""),"-33.671140,-71.212747")</f>
        <v>-33.671140,-71.212747</v>
      </c>
      <c r="C3284" s="6" t="str">
        <f ca="1">IFERROR(__xludf.DUMMYFUNCTION("""COMPUTED_VALUE"""),"PARCELA 16 LOTE 5")</f>
        <v>PARCELA 16 LOTE 5</v>
      </c>
      <c r="D3284" s="6" t="str">
        <f ca="1">IFERROR(__xludf.DUMMYFUNCTION("""COMPUTED_VALUE"""),"MELIPILLA")</f>
        <v>MELIPILLA</v>
      </c>
    </row>
    <row r="3285" spans="1:4">
      <c r="A3285" s="7">
        <f ca="1">IFERROR(__xludf.DUMMYFUNCTION("""COMPUTED_VALUE"""),44302)</f>
        <v>44302</v>
      </c>
      <c r="B3285" s="8" t="str">
        <f ca="1">IFERROR(__xludf.DUMMYFUNCTION("""COMPUTED_VALUE"""),"-33.671140,-71.212747")</f>
        <v>-33.671140,-71.212747</v>
      </c>
      <c r="C3285" s="6" t="str">
        <f ca="1">IFERROR(__xludf.DUMMYFUNCTION("""COMPUTED_VALUE"""),"PARCELA 16 LOTE 5")</f>
        <v>PARCELA 16 LOTE 5</v>
      </c>
      <c r="D3285" s="6" t="str">
        <f ca="1">IFERROR(__xludf.DUMMYFUNCTION("""COMPUTED_VALUE"""),"MELIPILLA")</f>
        <v>MELIPILLA</v>
      </c>
    </row>
    <row r="3286" spans="1:4">
      <c r="A3286" s="7">
        <f ca="1">IFERROR(__xludf.DUMMYFUNCTION("""COMPUTED_VALUE"""),44303)</f>
        <v>44303</v>
      </c>
      <c r="B3286" s="8" t="str">
        <f ca="1">IFERROR(__xludf.DUMMYFUNCTION("""COMPUTED_VALUE"""),"-33.542902,-71.223101")</f>
        <v>-33.542902,-71.223101</v>
      </c>
      <c r="C3286" s="6" t="str">
        <f ca="1">IFERROR(__xludf.DUMMYFUNCTION("""COMPUTED_VALUE"""),"CHOROMBO BAJO PC 125")</f>
        <v>CHOROMBO BAJO PC 125</v>
      </c>
      <c r="D3286" s="6" t="str">
        <f ca="1">IFERROR(__xludf.DUMMYFUNCTION("""COMPUTED_VALUE"""),"MARIA PINTO")</f>
        <v>MARIA PINTO</v>
      </c>
    </row>
    <row r="3287" spans="1:4">
      <c r="A3287" s="7">
        <f ca="1">IFERROR(__xludf.DUMMYFUNCTION("""COMPUTED_VALUE"""),44303)</f>
        <v>44303</v>
      </c>
      <c r="B3287" s="6" t="str">
        <f ca="1">IFERROR(__xludf.DUMMYFUNCTION("""COMPUTED_VALUE"""),"-33.385708-70.967926")</f>
        <v>-33.385708-70.967926</v>
      </c>
      <c r="C3287" s="6" t="str">
        <f ca="1">IFERROR(__xludf.DUMMYFUNCTION("""COMPUTED_VALUE"""),"CO LA AURORA S/N")</f>
        <v>CO LA AURORA S/N</v>
      </c>
      <c r="D3287" s="6" t="str">
        <f ca="1">IFERROR(__xludf.DUMMYFUNCTION("""COMPUTED_VALUE"""),"CURACAVI")</f>
        <v>CURACAVI</v>
      </c>
    </row>
    <row r="3288" spans="1:4">
      <c r="A3288" s="7">
        <f ca="1">IFERROR(__xludf.DUMMYFUNCTION("""COMPUTED_VALUE"""),44303)</f>
        <v>44303</v>
      </c>
      <c r="B3288" s="6" t="str">
        <f ca="1">IFERROR(__xludf.DUMMYFUNCTION("""COMPUTED_VALUE"""),"-33.502294-71.000050")</f>
        <v>-33.502294-71.000050</v>
      </c>
      <c r="C3288" s="6" t="str">
        <f ca="1">IFERROR(__xludf.DUMMYFUNCTION("""COMPUTED_VALUE"""),"LA PATAGUILLA 43")</f>
        <v>LA PATAGUILLA 43</v>
      </c>
      <c r="D3288" s="6" t="str">
        <f ca="1">IFERROR(__xludf.DUMMYFUNCTION("""COMPUTED_VALUE"""),"CURACAVI")</f>
        <v>CURACAVI</v>
      </c>
    </row>
    <row r="3289" spans="1:4">
      <c r="A3289" s="7">
        <f ca="1">IFERROR(__xludf.DUMMYFUNCTION("""COMPUTED_VALUE"""),44303)</f>
        <v>44303</v>
      </c>
      <c r="B3289" s="6" t="str">
        <f ca="1">IFERROR(__xludf.DUMMYFUNCTION("""COMPUTED_VALUE"""),"-33.398847-71.130011")</f>
        <v>-33.398847-71.130011</v>
      </c>
      <c r="C3289" s="6" t="str">
        <f ca="1">IFERROR(__xludf.DUMMYFUNCTION("""COMPUTED_VALUE"""),"GERMAN RIESCO 499")</f>
        <v>GERMAN RIESCO 499</v>
      </c>
      <c r="D3289" s="6" t="str">
        <f ca="1">IFERROR(__xludf.DUMMYFUNCTION("""COMPUTED_VALUE"""),"CURACAVI")</f>
        <v>CURACAVI</v>
      </c>
    </row>
    <row r="3290" spans="1:4">
      <c r="A3290" s="7">
        <f ca="1">IFERROR(__xludf.DUMMYFUNCTION("""COMPUTED_VALUE"""),44304)</f>
        <v>44304</v>
      </c>
      <c r="B3290" s="6" t="str">
        <f ca="1">IFERROR(__xludf.DUMMYFUNCTION("""COMPUTED_VALUE"""),"-33.385708-70.967926")</f>
        <v>-33.385708-70.967926</v>
      </c>
      <c r="C3290" s="6" t="str">
        <f ca="1">IFERROR(__xludf.DUMMYFUNCTION("""COMPUTED_VALUE"""),"LA AURORA S/N")</f>
        <v>LA AURORA S/N</v>
      </c>
      <c r="D3290" s="6" t="str">
        <f ca="1">IFERROR(__xludf.DUMMYFUNCTION("""COMPUTED_VALUE"""),"CURACAVI")</f>
        <v>CURACAVI</v>
      </c>
    </row>
    <row r="3291" spans="1:4">
      <c r="A3291" s="7">
        <f ca="1">IFERROR(__xludf.DUMMYFUNCTION("""COMPUTED_VALUE"""),44305)</f>
        <v>44305</v>
      </c>
      <c r="B3291" s="8" t="str">
        <f ca="1">IFERROR(__xludf.DUMMYFUNCTION("""COMPUTED_VALUE"""),"-33.573485,-71.186406 ")</f>
        <v xml:space="preserve">-33.573485,-71.186406 </v>
      </c>
      <c r="C3291" s="6" t="str">
        <f ca="1">IFERROR(__xludf.DUMMYFUNCTION("""COMPUTED_VALUE"""),"CINCO DE OCTUBRE MELIPILLA")</f>
        <v>CINCO DE OCTUBRE MELIPILLA</v>
      </c>
      <c r="D3291" s="6" t="str">
        <f ca="1">IFERROR(__xludf.DUMMYFUNCTION("""COMPUTED_VALUE"""),"MELIPILLA")</f>
        <v>MELIPILLA</v>
      </c>
    </row>
    <row r="3292" spans="1:4">
      <c r="A3292" s="7">
        <f ca="1">IFERROR(__xludf.DUMMYFUNCTION("""COMPUTED_VALUE"""),44305)</f>
        <v>44305</v>
      </c>
      <c r="B3292" s="8" t="str">
        <f ca="1">IFERROR(__xludf.DUMMYFUNCTION("""COMPUTED_VALUE"""),"-33.691778,-71.223248")</f>
        <v>-33.691778,-71.223248</v>
      </c>
      <c r="C3292" s="6" t="str">
        <f ca="1">IFERROR(__xludf.DUMMYFUNCTION("""COMPUTED_VALUE"""),"PASAJE UNO 1023")</f>
        <v>PASAJE UNO 1023</v>
      </c>
      <c r="D3292" s="6" t="str">
        <f ca="1">IFERROR(__xludf.DUMMYFUNCTION("""COMPUTED_VALUE"""),"MELIPILLA")</f>
        <v>MELIPILLA</v>
      </c>
    </row>
    <row r="3293" spans="1:4">
      <c r="A3293" s="7">
        <f ca="1">IFERROR(__xludf.DUMMYFUNCTION("""COMPUTED_VALUE"""),44305)</f>
        <v>44305</v>
      </c>
      <c r="B3293" s="6" t="str">
        <f ca="1">IFERROR(__xludf.DUMMYFUNCTION("""COMPUTED_VALUE"""),"-33.387359-71.105403")</f>
        <v>-33.387359-71.105403</v>
      </c>
      <c r="C3293" s="6" t="str">
        <f ca="1">IFERROR(__xludf.DUMMYFUNCTION("""COMPUTED_VALUE"""),"CUYUNCAVI PARCELA 46")</f>
        <v>CUYUNCAVI PARCELA 46</v>
      </c>
      <c r="D3293" s="6" t="str">
        <f ca="1">IFERROR(__xludf.DUMMYFUNCTION("""COMPUTED_VALUE"""),"CURACAVI")</f>
        <v>CURACAVI</v>
      </c>
    </row>
    <row r="3294" spans="1:4">
      <c r="A3294" s="7">
        <f ca="1">IFERROR(__xludf.DUMMYFUNCTION("""COMPUTED_VALUE"""),44305)</f>
        <v>44305</v>
      </c>
      <c r="B3294" s="6" t="str">
        <f ca="1">IFERROR(__xludf.DUMMYFUNCTION("""COMPUTED_VALUE"""),"-33.387847-71.116275")</f>
        <v>-33.387847-71.116275</v>
      </c>
      <c r="C3294" s="6" t="str">
        <f ca="1">IFERROR(__xludf.DUMMYFUNCTION("""COMPUTED_VALUE"""),"LOS PARRONALES PARCELA 27")</f>
        <v>LOS PARRONALES PARCELA 27</v>
      </c>
      <c r="D3294" s="6" t="str">
        <f ca="1">IFERROR(__xludf.DUMMYFUNCTION("""COMPUTED_VALUE"""),"CURACAVI")</f>
        <v>CURACAVI</v>
      </c>
    </row>
    <row r="3295" spans="1:4">
      <c r="A3295" s="7">
        <f ca="1">IFERROR(__xludf.DUMMYFUNCTION("""COMPUTED_VALUE"""),44305)</f>
        <v>44305</v>
      </c>
      <c r="B3295" s="6" t="str">
        <f ca="1">IFERROR(__xludf.DUMMYFUNCTION("""COMPUTED_VALUE"""),"-33.275415-70.834517")</f>
        <v>-33.275415-70.834517</v>
      </c>
      <c r="C3295" s="6" t="str">
        <f ca="1">IFERROR(__xludf.DUMMYFUNCTION("""COMPUTED_VALUE"""),"CAMINO SANTA INES PARCELA 2")</f>
        <v>CAMINO SANTA INES PARCELA 2</v>
      </c>
      <c r="D3295" s="6" t="str">
        <f ca="1">IFERROR(__xludf.DUMMYFUNCTION("""COMPUTED_VALUE"""),"LAMPA")</f>
        <v>LAMPA</v>
      </c>
    </row>
    <row r="3296" spans="1:4">
      <c r="A3296" s="7">
        <f ca="1">IFERROR(__xludf.DUMMYFUNCTION("""COMPUTED_VALUE"""),44305)</f>
        <v>44305</v>
      </c>
      <c r="B3296" s="6" t="str">
        <f ca="1">IFERROR(__xludf.DUMMYFUNCTION("""COMPUTED_VALUE"""),"-33.39648-71.1317")</f>
        <v>-33.39648-71.1317</v>
      </c>
      <c r="C3296" s="6" t="str">
        <f ca="1">IFERROR(__xludf.DUMMYFUNCTION("""COMPUTED_VALUE"""),"REGIDORA VANIA ORELLANA 1659")</f>
        <v>REGIDORA VANIA ORELLANA 1659</v>
      </c>
      <c r="D3296" s="6" t="str">
        <f ca="1">IFERROR(__xludf.DUMMYFUNCTION("""COMPUTED_VALUE"""),"CURACAVI")</f>
        <v>CURACAVI</v>
      </c>
    </row>
    <row r="3297" spans="1:4">
      <c r="A3297" s="7">
        <f ca="1">IFERROR(__xludf.DUMMYFUNCTION("""COMPUTED_VALUE"""),44305)</f>
        <v>44305</v>
      </c>
      <c r="B3297" s="6" t="str">
        <f ca="1">IFERROR(__xludf.DUMMYFUNCTION("""COMPUTED_VALUE"""),"-33.436457,-71.032332")</f>
        <v>-33.436457,-71.032332</v>
      </c>
      <c r="C3297" s="6" t="str">
        <f ca="1">IFERROR(__xludf.DUMMYFUNCTION("""COMPUTED_VALUE"""),"UNION SAN JOSE LT13 A9")</f>
        <v>UNION SAN JOSE LT13 A9</v>
      </c>
      <c r="D3297" s="6" t="str">
        <f ca="1">IFERROR(__xludf.DUMMYFUNCTION("""COMPUTED_VALUE"""),"CURACAVI")</f>
        <v>CURACAVI</v>
      </c>
    </row>
    <row r="3298" spans="1:4">
      <c r="A3298" s="7">
        <f ca="1">IFERROR(__xludf.DUMMYFUNCTION("""COMPUTED_VALUE"""),44305)</f>
        <v>44305</v>
      </c>
      <c r="B3298" s="8" t="str">
        <f ca="1">IFERROR(__xludf.DUMMYFUNCTION("""COMPUTED_VALUE"""),"-33.695759,-71.226086")</f>
        <v>-33.695759,-71.226086</v>
      </c>
      <c r="C3298" s="6" t="str">
        <f ca="1">IFERROR(__xludf.DUMMYFUNCTION("""COMPUTED_VALUE"""),"PASAJE LAS TORRES SUR 1318")</f>
        <v>PASAJE LAS TORRES SUR 1318</v>
      </c>
      <c r="D3298" s="6" t="str">
        <f ca="1">IFERROR(__xludf.DUMMYFUNCTION("""COMPUTED_VALUE"""),"MELIPILLA")</f>
        <v>MELIPILLA</v>
      </c>
    </row>
    <row r="3299" spans="1:4">
      <c r="A3299" s="7">
        <f ca="1">IFERROR(__xludf.DUMMYFUNCTION("""COMPUTED_VALUE"""),44305)</f>
        <v>44305</v>
      </c>
      <c r="B3299" s="8" t="str">
        <f ca="1">IFERROR(__xludf.DUMMYFUNCTION("""COMPUTED_VALUE"""),"-33.490484,-71.172487")</f>
        <v>-33.490484,-71.172487</v>
      </c>
      <c r="C3299" s="6" t="str">
        <f ca="1">IFERROR(__xludf.DUMMYFUNCTION("""COMPUTED_VALUE"""),"LAS MERCEDES SITIO 26")</f>
        <v>LAS MERCEDES SITIO 26</v>
      </c>
      <c r="D3299" s="6" t="str">
        <f ca="1">IFERROR(__xludf.DUMMYFUNCTION("""COMPUTED_VALUE"""),"MELIPILLA")</f>
        <v>MELIPILLA</v>
      </c>
    </row>
    <row r="3300" spans="1:4">
      <c r="A3300" s="7">
        <f ca="1">IFERROR(__xludf.DUMMYFUNCTION("""COMPUTED_VALUE"""),44306)</f>
        <v>44306</v>
      </c>
      <c r="B3300" s="8" t="str">
        <f ca="1">IFERROR(__xludf.DUMMYFUNCTION("""COMPUTED_VALUE"""),"-33.677438,-71.184696")</f>
        <v>-33.677438,-71.184696</v>
      </c>
      <c r="C3300" s="6" t="str">
        <f ca="1">IFERROR(__xludf.DUMMYFUNCTION("""COMPUTED_VALUE"""),"VICUÑA MACKENNA 1492 ")</f>
        <v xml:space="preserve">VICUÑA MACKENNA 1492 </v>
      </c>
      <c r="D3300" s="6" t="str">
        <f ca="1">IFERROR(__xludf.DUMMYFUNCTION("""COMPUTED_VALUE"""),"MELIPILLA")</f>
        <v>MELIPILLA</v>
      </c>
    </row>
    <row r="3301" spans="1:4">
      <c r="A3301" s="7">
        <f ca="1">IFERROR(__xludf.DUMMYFUNCTION("""COMPUTED_VALUE"""),44306)</f>
        <v>44306</v>
      </c>
      <c r="B3301" s="8" t="str">
        <f ca="1">IFERROR(__xludf.DUMMYFUNCTION("""COMPUTED_VALUE"""),"-33.691877,-71.222704")</f>
        <v>-33.691877,-71.222704</v>
      </c>
      <c r="C3301" s="6" t="str">
        <f ca="1">IFERROR(__xludf.DUMMYFUNCTION("""COMPUTED_VALUE"""),"REAL AUDIENCIA 948")</f>
        <v>REAL AUDIENCIA 948</v>
      </c>
      <c r="D3301" s="6" t="str">
        <f ca="1">IFERROR(__xludf.DUMMYFUNCTION("""COMPUTED_VALUE"""),"MELIPILLA")</f>
        <v>MELIPILLA</v>
      </c>
    </row>
    <row r="3302" spans="1:4">
      <c r="A3302" s="7">
        <f ca="1">IFERROR(__xludf.DUMMYFUNCTION("""COMPUTED_VALUE"""),44306)</f>
        <v>44306</v>
      </c>
      <c r="B3302" s="8" t="str">
        <f ca="1">IFERROR(__xludf.DUMMYFUNCTION("""COMPUTED_VALUE"""),"-33.411341,-71.153224")</f>
        <v>-33.411341,-71.153224</v>
      </c>
      <c r="C3302" s="6" t="str">
        <f ca="1">IFERROR(__xludf.DUMMYFUNCTION("""COMPUTED_VALUE"""),"AGUA POTABLE 100")</f>
        <v>AGUA POTABLE 100</v>
      </c>
      <c r="D3302" s="6" t="str">
        <f ca="1">IFERROR(__xludf.DUMMYFUNCTION("""COMPUTED_VALUE"""),"CURACAVI")</f>
        <v>CURACAVI</v>
      </c>
    </row>
    <row r="3303" spans="1:4">
      <c r="A3303" s="7">
        <f ca="1">IFERROR(__xludf.DUMMYFUNCTION("""COMPUTED_VALUE"""),44306)</f>
        <v>44306</v>
      </c>
      <c r="B3303" s="8" t="str">
        <f ca="1">IFERROR(__xludf.DUMMYFUNCTION("""COMPUTED_VALUE"""),"-33.662264,-70.927181")</f>
        <v>-33.662264,-70.927181</v>
      </c>
      <c r="C3303" s="6" t="str">
        <f ca="1">IFERROR(__xludf.DUMMYFUNCTION("""COMPUTED_VALUE"""),"ENRIQUE ALCALDE 920")</f>
        <v>ENRIQUE ALCALDE 920</v>
      </c>
      <c r="D3303" s="6" t="str">
        <f ca="1">IFERROR(__xludf.DUMMYFUNCTION("""COMPUTED_VALUE"""),"TALAGANTE")</f>
        <v>TALAGANTE</v>
      </c>
    </row>
    <row r="3304" spans="1:4">
      <c r="A3304" s="7">
        <f ca="1">IFERROR(__xludf.DUMMYFUNCTION("""COMPUTED_VALUE"""),44306)</f>
        <v>44306</v>
      </c>
      <c r="B3304" s="8" t="str">
        <f ca="1">IFERROR(__xludf.DUMMYFUNCTION("""COMPUTED_VALUE"""),"-33.3960113,-71.125670")</f>
        <v>-33.3960113,-71.125670</v>
      </c>
      <c r="C3304" s="6" t="str">
        <f ca="1">IFERROR(__xludf.DUMMYFUNCTION("""COMPUTED_VALUE"""),"LUIS CRUCHAGA 659")</f>
        <v>LUIS CRUCHAGA 659</v>
      </c>
      <c r="D3304" s="6" t="str">
        <f ca="1">IFERROR(__xludf.DUMMYFUNCTION("""COMPUTED_VALUE"""),"CURACAVI")</f>
        <v>CURACAVI</v>
      </c>
    </row>
    <row r="3305" spans="1:4">
      <c r="A3305" s="7">
        <f ca="1">IFERROR(__xludf.DUMMYFUNCTION("""COMPUTED_VALUE"""),44306)</f>
        <v>44306</v>
      </c>
      <c r="B3305" s="8" t="str">
        <f ca="1">IFERROR(__xludf.DUMMYFUNCTION("""COMPUTED_VALUE"""),"-33.567500,-71.162255")</f>
        <v>-33.567500,-71.162255</v>
      </c>
      <c r="C3305" s="6" t="str">
        <f ca="1">IFERROR(__xludf.DUMMYFUNCTION("""COMPUTED_VALUE"""),"SAN RAMON PARCELA 34 ")</f>
        <v xml:space="preserve">SAN RAMON PARCELA 34 </v>
      </c>
      <c r="D3305" s="6" t="str">
        <f ca="1">IFERROR(__xludf.DUMMYFUNCTION("""COMPUTED_VALUE"""),"MELIPILLA")</f>
        <v>MELIPILLA</v>
      </c>
    </row>
    <row r="3306" spans="1:4">
      <c r="A3306" s="7">
        <f ca="1">IFERROR(__xludf.DUMMYFUNCTION("""COMPUTED_VALUE"""),44306)</f>
        <v>44306</v>
      </c>
      <c r="B3306" s="6" t="str">
        <f ca="1">IFERROR(__xludf.DUMMYFUNCTION("""COMPUTED_VALUE"""),"-33.421035-71.135692")</f>
        <v>-33.421035-71.135692</v>
      </c>
      <c r="C3306" s="6" t="str">
        <f ca="1">IFERROR(__xludf.DUMMYFUNCTION("""COMPUTED_VALUE"""),"LO AGUILAS 101")</f>
        <v>LO AGUILAS 101</v>
      </c>
      <c r="D3306" s="6" t="str">
        <f ca="1">IFERROR(__xludf.DUMMYFUNCTION("""COMPUTED_VALUE"""),"CURACAVI")</f>
        <v>CURACAVI</v>
      </c>
    </row>
    <row r="3307" spans="1:4">
      <c r="A3307" s="7">
        <f ca="1">IFERROR(__xludf.DUMMYFUNCTION("""COMPUTED_VALUE"""),44306)</f>
        <v>44306</v>
      </c>
      <c r="B3307" s="6" t="str">
        <f ca="1">IFERROR(__xludf.DUMMYFUNCTION("""COMPUTED_VALUE"""),"-33.410723-71.144837")</f>
        <v>-33.410723-71.144837</v>
      </c>
      <c r="C3307" s="6" t="str">
        <f ca="1">IFERROR(__xludf.DUMMYFUNCTION("""COMPUTED_VALUE"""),"LAS LILAS 551")</f>
        <v>LAS LILAS 551</v>
      </c>
      <c r="D3307" s="6" t="str">
        <f ca="1">IFERROR(__xludf.DUMMYFUNCTION("""COMPUTED_VALUE"""),"CURACAVI")</f>
        <v>CURACAVI</v>
      </c>
    </row>
    <row r="3308" spans="1:4">
      <c r="A3308" s="7">
        <f ca="1">IFERROR(__xludf.DUMMYFUNCTION("""COMPUTED_VALUE"""),44306)</f>
        <v>44306</v>
      </c>
      <c r="B3308" s="6" t="str">
        <f ca="1">IFERROR(__xludf.DUMMYFUNCTION("""COMPUTED_VALUE"""),"-33.398046-71.167753")</f>
        <v>-33.398046-71.167753</v>
      </c>
      <c r="C3308" s="6" t="str">
        <f ca="1">IFERROR(__xludf.DUMMYFUNCTION("""COMPUTED_VALUE"""),"CONDOMINIO MIRADOR DEL VALLE PARCELA 2")</f>
        <v>CONDOMINIO MIRADOR DEL VALLE PARCELA 2</v>
      </c>
      <c r="D3308" s="6" t="str">
        <f ca="1">IFERROR(__xludf.DUMMYFUNCTION("""COMPUTED_VALUE"""),"CURACAVI")</f>
        <v>CURACAVI</v>
      </c>
    </row>
    <row r="3309" spans="1:4">
      <c r="A3309" s="7">
        <f ca="1">IFERROR(__xludf.DUMMYFUNCTION("""COMPUTED_VALUE"""),44306)</f>
        <v>44306</v>
      </c>
      <c r="B3309" s="6" t="str">
        <f ca="1">IFERROR(__xludf.DUMMYFUNCTION("""COMPUTED_VALUE"""),"-33.397900-71.167727")</f>
        <v>-33.397900-71.167727</v>
      </c>
      <c r="C3309" s="6" t="str">
        <f ca="1">IFERROR(__xludf.DUMMYFUNCTION("""COMPUTED_VALUE"""),"CONDOMINIO MIRADOR DEL VALLE PARCELA 2")</f>
        <v>CONDOMINIO MIRADOR DEL VALLE PARCELA 2</v>
      </c>
      <c r="D3309" s="6" t="str">
        <f ca="1">IFERROR(__xludf.DUMMYFUNCTION("""COMPUTED_VALUE"""),"CURACAVI")</f>
        <v>CURACAVI</v>
      </c>
    </row>
    <row r="3310" spans="1:4">
      <c r="A3310" s="7">
        <f ca="1">IFERROR(__xludf.DUMMYFUNCTION("""COMPUTED_VALUE"""),44306)</f>
        <v>44306</v>
      </c>
      <c r="B3310" s="6" t="str">
        <f ca="1">IFERROR(__xludf.DUMMYFUNCTION("""COMPUTED_VALUE"""),"-33.464902-71.101808")</f>
        <v>-33.464902-71.101808</v>
      </c>
      <c r="C3310" s="6" t="str">
        <f ca="1">IFERROR(__xludf.DUMMYFUNCTION("""COMPUTED_VALUE"""),"LOS RULOS S/N")</f>
        <v>LOS RULOS S/N</v>
      </c>
      <c r="D3310" s="6" t="str">
        <f ca="1">IFERROR(__xludf.DUMMYFUNCTION("""COMPUTED_VALUE"""),"MARIA PINTO")</f>
        <v>MARIA PINTO</v>
      </c>
    </row>
    <row r="3311" spans="1:4">
      <c r="A3311" s="7">
        <f ca="1">IFERROR(__xludf.DUMMYFUNCTION("""COMPUTED_VALUE"""),44306)</f>
        <v>44306</v>
      </c>
      <c r="B3311" s="6" t="str">
        <f ca="1">IFERROR(__xludf.DUMMYFUNCTION("""COMPUTED_VALUE"""),"-33.3933-71.12054")</f>
        <v>-33.3933-71.12054</v>
      </c>
      <c r="C3311" s="6" t="str">
        <f ca="1">IFERROR(__xludf.DUMMYFUNCTION("""COMPUTED_VALUE"""),"VISTA ESPERANZA 1173")</f>
        <v>VISTA ESPERANZA 1173</v>
      </c>
      <c r="D3311" s="6" t="str">
        <f ca="1">IFERROR(__xludf.DUMMYFUNCTION("""COMPUTED_VALUE"""),"CURACAVI")</f>
        <v>CURACAVI</v>
      </c>
    </row>
    <row r="3312" spans="1:4">
      <c r="A3312" s="7">
        <f ca="1">IFERROR(__xludf.DUMMYFUNCTION("""COMPUTED_VALUE"""),44306)</f>
        <v>44306</v>
      </c>
      <c r="B3312" s="6" t="str">
        <f ca="1">IFERROR(__xludf.DUMMYFUNCTION("""COMPUTED_VALUE"""),"-33.39274-71.12337")</f>
        <v>-33.39274-71.12337</v>
      </c>
      <c r="C3312" s="6" t="str">
        <f ca="1">IFERROR(__xludf.DUMMYFUNCTION("""COMPUTED_VALUE"""),"MANUEL DE SALAS 2141")</f>
        <v>MANUEL DE SALAS 2141</v>
      </c>
      <c r="D3312" s="6" t="str">
        <f ca="1">IFERROR(__xludf.DUMMYFUNCTION("""COMPUTED_VALUE"""),"CURACAVI")</f>
        <v>CURACAVI</v>
      </c>
    </row>
    <row r="3313" spans="1:4">
      <c r="A3313" s="7">
        <f ca="1">IFERROR(__xludf.DUMMYFUNCTION("""COMPUTED_VALUE"""),44306)</f>
        <v>44306</v>
      </c>
      <c r="B3313" s="6" t="str">
        <f ca="1">IFERROR(__xludf.DUMMYFUNCTION("""COMPUTED_VALUE"""),"-33.585397,-71.083803")</f>
        <v>-33.585397,-71.083803</v>
      </c>
      <c r="C3313" s="6" t="str">
        <f ca="1">IFERROR(__xludf.DUMMYFUNCTION("""COMPUTED_VALUE"""),"CALLE CARLOS GEYSER S/N -CV1 SANTA CLARA ")</f>
        <v xml:space="preserve">CALLE CARLOS GEYSER S/N -CV1 SANTA CLARA </v>
      </c>
      <c r="D3313" s="6" t="str">
        <f ca="1">IFERROR(__xludf.DUMMYFUNCTION("""COMPUTED_VALUE"""),"MELIPILLA")</f>
        <v>MELIPILLA</v>
      </c>
    </row>
    <row r="3314" spans="1:4">
      <c r="A3314" s="7">
        <f ca="1">IFERROR(__xludf.DUMMYFUNCTION("""COMPUTED_VALUE"""),44306)</f>
        <v>44306</v>
      </c>
      <c r="B3314" s="6" t="str">
        <f ca="1">IFERROR(__xludf.DUMMYFUNCTION("""COMPUTED_VALUE"""),"-33.584913,-71.052430")</f>
        <v>-33.584913,-71.052430</v>
      </c>
      <c r="C3314" s="6" t="str">
        <f ca="1">IFERROR(__xludf.DUMMYFUNCTION("""COMPUTED_VALUE"""),"SANTA VICTORIA DE MALLARAUCO S/N -CV11")</f>
        <v>SANTA VICTORIA DE MALLARAUCO S/N -CV11</v>
      </c>
      <c r="D3314" s="6" t="str">
        <f ca="1">IFERROR(__xludf.DUMMYFUNCTION("""COMPUTED_VALUE"""),"MELIPILLA")</f>
        <v>MELIPILLA</v>
      </c>
    </row>
    <row r="3315" spans="1:4">
      <c r="A3315" s="7">
        <f ca="1">IFERROR(__xludf.DUMMYFUNCTION("""COMPUTED_VALUE"""),44306)</f>
        <v>44306</v>
      </c>
      <c r="B3315" s="8" t="str">
        <f ca="1">IFERROR(__xludf.DUMMYFUNCTION("""COMPUTED_VALUE"""),"-33.500643,-71.241843")</f>
        <v>-33.500643,-71.241843</v>
      </c>
      <c r="C3315" s="6" t="str">
        <f ca="1">IFERROR(__xludf.DUMMYFUNCTION("""COMPUTED_VALUE"""),"IBACACHE BAJO #16")</f>
        <v>IBACACHE BAJO #16</v>
      </c>
      <c r="D3315" s="6" t="str">
        <f ca="1">IFERROR(__xludf.DUMMYFUNCTION("""COMPUTED_VALUE"""),"MELIPILLA")</f>
        <v>MELIPILLA</v>
      </c>
    </row>
    <row r="3316" spans="1:4">
      <c r="A3316" s="7">
        <f ca="1">IFERROR(__xludf.DUMMYFUNCTION("""COMPUTED_VALUE"""),44306)</f>
        <v>44306</v>
      </c>
      <c r="B3316" s="8" t="str">
        <f ca="1">IFERROR(__xludf.DUMMYFUNCTION("""COMPUTED_VALUE"""),"-33.657470,-71.277414")</f>
        <v>-33.657470,-71.277414</v>
      </c>
      <c r="C3316" s="6" t="str">
        <f ca="1">IFERROR(__xludf.DUMMYFUNCTION("""COMPUTED_VALUE"""),"SANTA ROSA DE ESMERALDA")</f>
        <v>SANTA ROSA DE ESMERALDA</v>
      </c>
      <c r="D3316" s="6" t="str">
        <f ca="1">IFERROR(__xludf.DUMMYFUNCTION("""COMPUTED_VALUE"""),"MELIPILLA")</f>
        <v>MELIPILLA</v>
      </c>
    </row>
    <row r="3317" spans="1:4">
      <c r="A3317" s="7">
        <f ca="1">IFERROR(__xludf.DUMMYFUNCTION("""COMPUTED_VALUE"""),44307)</f>
        <v>44307</v>
      </c>
      <c r="B3317" s="8" t="str">
        <f ca="1">IFERROR(__xludf.DUMMYFUNCTION("""COMPUTED_VALUE"""),"-33.632618,-71.214299")</f>
        <v>-33.632618,-71.214299</v>
      </c>
      <c r="C3317" s="6" t="str">
        <f ca="1">IFERROR(__xludf.DUMMYFUNCTION("""COMPUTED_VALUE"""),"RUMARY OTTO S/N")</f>
        <v>RUMARY OTTO S/N</v>
      </c>
      <c r="D3317" s="6" t="str">
        <f ca="1">IFERROR(__xludf.DUMMYFUNCTION("""COMPUTED_VALUE"""),"MELIPILLA")</f>
        <v>MELIPILLA</v>
      </c>
    </row>
    <row r="3318" spans="1:4">
      <c r="A3318" s="7">
        <f ca="1">IFERROR(__xludf.DUMMYFUNCTION("""COMPUTED_VALUE"""),44307)</f>
        <v>44307</v>
      </c>
      <c r="B3318" s="8" t="str">
        <f ca="1">IFERROR(__xludf.DUMMYFUNCTION("""COMPUTED_VALUE"""),"-33.570317,-71.197271")</f>
        <v>-33.570317,-71.197271</v>
      </c>
      <c r="C3318" s="6" t="str">
        <f ca="1">IFERROR(__xludf.DUMMYFUNCTION("""COMPUTED_VALUE"""),"BOLLENAR S/N ")</f>
        <v xml:space="preserve">BOLLENAR S/N </v>
      </c>
      <c r="D3318" s="6" t="str">
        <f ca="1">IFERROR(__xludf.DUMMYFUNCTION("""COMPUTED_VALUE"""),"MELIPILLA")</f>
        <v>MELIPILLA</v>
      </c>
    </row>
    <row r="3319" spans="1:4">
      <c r="A3319" s="7">
        <f ca="1">IFERROR(__xludf.DUMMYFUNCTION("""COMPUTED_VALUE"""),44307)</f>
        <v>44307</v>
      </c>
      <c r="B3319" s="8" t="str">
        <f ca="1">IFERROR(__xludf.DUMMYFUNCTION("""COMPUTED_VALUE"""),"-33.5742848,-71.199941")</f>
        <v>-33.5742848,-71.199941</v>
      </c>
      <c r="C3319" s="6" t="str">
        <f ca="1">IFERROR(__xludf.DUMMYFUNCTION("""COMPUTED_VALUE"""),"VALPARAISO S/N PARADERO 7 ")</f>
        <v xml:space="preserve">VALPARAISO S/N PARADERO 7 </v>
      </c>
      <c r="D3319" s="6" t="str">
        <f ca="1">IFERROR(__xludf.DUMMYFUNCTION("""COMPUTED_VALUE"""),"MELIPILLA")</f>
        <v>MELIPILLA</v>
      </c>
    </row>
    <row r="3320" spans="1:4">
      <c r="A3320" s="7">
        <f ca="1">IFERROR(__xludf.DUMMYFUNCTION("""COMPUTED_VALUE"""),44307)</f>
        <v>44307</v>
      </c>
      <c r="B3320" s="8" t="str">
        <f ca="1">IFERROR(__xludf.DUMMYFUNCTION("""COMPUTED_VALUE"""),"-33.774924,-71.262813")</f>
        <v>-33.774924,-71.262813</v>
      </c>
      <c r="C3320" s="6" t="str">
        <f ca="1">IFERROR(__xludf.DUMMYFUNCTION("""COMPUTED_VALUE"""),"SAN MANUEL 7824")</f>
        <v>SAN MANUEL 7824</v>
      </c>
      <c r="D3320" s="6" t="str">
        <f ca="1">IFERROR(__xludf.DUMMYFUNCTION("""COMPUTED_VALUE"""),"MELIPILLA")</f>
        <v>MELIPILLA</v>
      </c>
    </row>
    <row r="3321" spans="1:4">
      <c r="A3321" s="7">
        <f ca="1">IFERROR(__xludf.DUMMYFUNCTION("""COMPUTED_VALUE"""),44307)</f>
        <v>44307</v>
      </c>
      <c r="B3321" s="6" t="str">
        <f ca="1">IFERROR(__xludf.DUMMYFUNCTION("""COMPUTED_VALUE"""),"-33.411479-71.148086")</f>
        <v>-33.411479-71.148086</v>
      </c>
      <c r="C3321" s="6" t="str">
        <f ca="1">IFERROR(__xludf.DUMMYFUNCTION("""COMPUTED_VALUE"""),"AMBROSIO OHIGGINS S/N")</f>
        <v>AMBROSIO OHIGGINS S/N</v>
      </c>
      <c r="D3321" s="6" t="str">
        <f ca="1">IFERROR(__xludf.DUMMYFUNCTION("""COMPUTED_VALUE"""),"CURACAVI")</f>
        <v>CURACAVI</v>
      </c>
    </row>
    <row r="3322" spans="1:4">
      <c r="A3322" s="7">
        <f ca="1">IFERROR(__xludf.DUMMYFUNCTION("""COMPUTED_VALUE"""),44307)</f>
        <v>44307</v>
      </c>
      <c r="B3322" s="6" t="str">
        <f ca="1">IFERROR(__xludf.DUMMYFUNCTION("""COMPUTED_VALUE"""),"-33.407898-71.148623")</f>
        <v>-33.407898-71.148623</v>
      </c>
      <c r="C3322" s="6" t="str">
        <f ca="1">IFERROR(__xludf.DUMMYFUNCTION("""COMPUTED_VALUE"""),"LA CHICHA 133")</f>
        <v>LA CHICHA 133</v>
      </c>
      <c r="D3322" s="6" t="str">
        <f ca="1">IFERROR(__xludf.DUMMYFUNCTION("""COMPUTED_VALUE"""),"CURACAVI")</f>
        <v>CURACAVI</v>
      </c>
    </row>
    <row r="3323" spans="1:4">
      <c r="A3323" s="7">
        <f ca="1">IFERROR(__xludf.DUMMYFUNCTION("""COMPUTED_VALUE"""),44307)</f>
        <v>44307</v>
      </c>
      <c r="B3323" s="6" t="str">
        <f ca="1">IFERROR(__xludf.DUMMYFUNCTION("""COMPUTED_VALUE"""),"-33.703089-70.959501")</f>
        <v>-33.703089-70.959501</v>
      </c>
      <c r="C3323" s="6" t="str">
        <f ca="1">IFERROR(__xludf.DUMMYFUNCTION("""COMPUTED_VALUE"""),"SANTA ADRIANA S/N")</f>
        <v>SANTA ADRIANA S/N</v>
      </c>
      <c r="D3323" s="6" t="str">
        <f ca="1">IFERROR(__xludf.DUMMYFUNCTION("""COMPUTED_VALUE"""),"EL MONTE")</f>
        <v>EL MONTE</v>
      </c>
    </row>
    <row r="3324" spans="1:4">
      <c r="A3324" s="7">
        <f ca="1">IFERROR(__xludf.DUMMYFUNCTION("""COMPUTED_VALUE"""),44307)</f>
        <v>44307</v>
      </c>
      <c r="B3324" s="6" t="str">
        <f ca="1">IFERROR(__xludf.DUMMYFUNCTION("""COMPUTED_VALUE"""),"-33.703089-70.959501")</f>
        <v>-33.703089-70.959501</v>
      </c>
      <c r="C3324" s="6" t="str">
        <f ca="1">IFERROR(__xludf.DUMMYFUNCTION("""COMPUTED_VALUE"""),"SANTA ADRIANA S/N")</f>
        <v>SANTA ADRIANA S/N</v>
      </c>
      <c r="D3324" s="6" t="str">
        <f ca="1">IFERROR(__xludf.DUMMYFUNCTION("""COMPUTED_VALUE"""),"EL MONTE")</f>
        <v>EL MONTE</v>
      </c>
    </row>
    <row r="3325" spans="1:4">
      <c r="A3325" s="7">
        <f ca="1">IFERROR(__xludf.DUMMYFUNCTION("""COMPUTED_VALUE"""),44307)</f>
        <v>44307</v>
      </c>
      <c r="B3325" s="6" t="str">
        <f ca="1">IFERROR(__xludf.DUMMYFUNCTION("""COMPUTED_VALUE"""),"-33.593913-70.813954")</f>
        <v>-33.593913-70.813954</v>
      </c>
      <c r="C3325" s="6" t="str">
        <f ca="1">IFERROR(__xludf.DUMMYFUNCTION("""COMPUTED_VALUE"""),"T DE CHILE LOTE B")</f>
        <v>T DE CHILE LOTE B</v>
      </c>
      <c r="D3325" s="6" t="str">
        <f ca="1">IFERROR(__xludf.DUMMYFUNCTION("""COMPUTED_VALUE"""),"PADRE HURTADO")</f>
        <v>PADRE HURTADO</v>
      </c>
    </row>
    <row r="3326" spans="1:4">
      <c r="A3326" s="7">
        <f ca="1">IFERROR(__xludf.DUMMYFUNCTION("""COMPUTED_VALUE"""),44307)</f>
        <v>44307</v>
      </c>
      <c r="B3326" s="6" t="str">
        <f ca="1">IFERROR(__xludf.DUMMYFUNCTION("""COMPUTED_VALUE"""),"-33.595827-70.876921")</f>
        <v>-33.595827-70.876921</v>
      </c>
      <c r="C3326" s="6" t="str">
        <f ca="1">IFERROR(__xludf.DUMMYFUNCTION("""COMPUTED_VALUE"""),"LOS PAJARITOS 2420")</f>
        <v>LOS PAJARITOS 2420</v>
      </c>
      <c r="D3326" s="6" t="str">
        <f ca="1">IFERROR(__xludf.DUMMYFUNCTION("""COMPUTED_VALUE"""),"PEÑAFLOR")</f>
        <v>PEÑAFLOR</v>
      </c>
    </row>
    <row r="3327" spans="1:4">
      <c r="A3327" s="7">
        <f ca="1">IFERROR(__xludf.DUMMYFUNCTION("""COMPUTED_VALUE"""),44307)</f>
        <v>44307</v>
      </c>
      <c r="B3327" s="6" t="str">
        <f ca="1">IFERROR(__xludf.DUMMYFUNCTION("""COMPUTED_VALUE"""),"-33.595827-70.876921")</f>
        <v>-33.595827-70.876921</v>
      </c>
      <c r="C3327" s="6" t="str">
        <f ca="1">IFERROR(__xludf.DUMMYFUNCTION("""COMPUTED_VALUE"""),"LOS PAJARITOS 2420")</f>
        <v>LOS PAJARITOS 2420</v>
      </c>
      <c r="D3327" s="6" t="str">
        <f ca="1">IFERROR(__xludf.DUMMYFUNCTION("""COMPUTED_VALUE"""),"PEÑAFLOR")</f>
        <v>PEÑAFLOR</v>
      </c>
    </row>
    <row r="3328" spans="1:4">
      <c r="A3328" s="7">
        <f ca="1">IFERROR(__xludf.DUMMYFUNCTION("""COMPUTED_VALUE"""),44307)</f>
        <v>44307</v>
      </c>
      <c r="B3328" s="6" t="str">
        <f ca="1">IFERROR(__xludf.DUMMYFUNCTION("""COMPUTED_VALUE"""),"-33.415691-71.005943")</f>
        <v>-33.415691-71.005943</v>
      </c>
      <c r="C3328" s="6" t="str">
        <f ca="1">IFERROR(__xludf.DUMMYFUNCTION("""COMPUTED_VALUE"""),"LA AURORA S/N")</f>
        <v>LA AURORA S/N</v>
      </c>
      <c r="D3328" s="6" t="str">
        <f ca="1">IFERROR(__xludf.DUMMYFUNCTION("""COMPUTED_VALUE"""),"CURACAVI")</f>
        <v>CURACAVI</v>
      </c>
    </row>
    <row r="3329" spans="1:4">
      <c r="A3329" s="7">
        <f ca="1">IFERROR(__xludf.DUMMYFUNCTION("""COMPUTED_VALUE"""),44307)</f>
        <v>44307</v>
      </c>
      <c r="B3329" s="6" t="str">
        <f ca="1">IFERROR(__xludf.DUMMYFUNCTION("""COMPUTED_VALUE"""),"-33.415691-71.005943")</f>
        <v>-33.415691-71.005943</v>
      </c>
      <c r="C3329" s="6" t="str">
        <f ca="1">IFERROR(__xludf.DUMMYFUNCTION("""COMPUTED_VALUE"""),"LA AURORA S/N")</f>
        <v>LA AURORA S/N</v>
      </c>
      <c r="D3329" s="6" t="str">
        <f ca="1">IFERROR(__xludf.DUMMYFUNCTION("""COMPUTED_VALUE"""),"CURACAVI")</f>
        <v>CURACAVI</v>
      </c>
    </row>
    <row r="3330" spans="1:4">
      <c r="A3330" s="7">
        <f ca="1">IFERROR(__xludf.DUMMYFUNCTION("""COMPUTED_VALUE"""),44307)</f>
        <v>44307</v>
      </c>
      <c r="B3330" s="6" t="str">
        <f ca="1">IFERROR(__xludf.DUMMYFUNCTION("""COMPUTED_VALUE"""),"-33.505152-71.997744")</f>
        <v>-33.505152-71.997744</v>
      </c>
      <c r="C3330" s="6" t="str">
        <f ca="1">IFERROR(__xludf.DUMMYFUNCTION("""COMPUTED_VALUE"""),"SANTA INES SITIO 36")</f>
        <v>SANTA INES SITIO 36</v>
      </c>
      <c r="D3330" s="6" t="str">
        <f ca="1">IFERROR(__xludf.DUMMYFUNCTION("""COMPUTED_VALUE"""),"CURACAVI")</f>
        <v>CURACAVI</v>
      </c>
    </row>
    <row r="3331" spans="1:4">
      <c r="A3331" s="7">
        <f ca="1">IFERROR(__xludf.DUMMYFUNCTION("""COMPUTED_VALUE"""),44307)</f>
        <v>44307</v>
      </c>
      <c r="B3331" s="6" t="str">
        <f ca="1">IFERROR(__xludf.DUMMYFUNCTION("""COMPUTED_VALUE"""),"-33.409569-71.146171")</f>
        <v>-33.409569-71.146171</v>
      </c>
      <c r="C3331" s="6" t="str">
        <f ca="1">IFERROR(__xludf.DUMMYFUNCTION("""COMPUTED_VALUE"""),"LO AGUILA 256 C")</f>
        <v>LO AGUILA 256 C</v>
      </c>
      <c r="D3331" s="6" t="str">
        <f ca="1">IFERROR(__xludf.DUMMYFUNCTION("""COMPUTED_VALUE"""),"CURACAVI")</f>
        <v>CURACAVI</v>
      </c>
    </row>
    <row r="3332" spans="1:4">
      <c r="A3332" s="7">
        <f ca="1">IFERROR(__xludf.DUMMYFUNCTION("""COMPUTED_VALUE"""),44307)</f>
        <v>44307</v>
      </c>
      <c r="B3332" s="6" t="str">
        <f ca="1">IFERROR(__xludf.DUMMYFUNCTION("""COMPUTED_VALUE"""),"-33.584740,-71.083675")</f>
        <v>-33.584740,-71.083675</v>
      </c>
      <c r="C3332" s="6" t="str">
        <f ca="1">IFERROR(__xludf.DUMMYFUNCTION("""COMPUTED_VALUE"""),"CALLE CARLOS GEYSER 44 SANAT CLARA ")</f>
        <v xml:space="preserve">CALLE CARLOS GEYSER 44 SANAT CLARA </v>
      </c>
      <c r="D3332" s="6" t="str">
        <f ca="1">IFERROR(__xludf.DUMMYFUNCTION("""COMPUTED_VALUE"""),"MELIPILLA")</f>
        <v>MELIPILLA</v>
      </c>
    </row>
    <row r="3333" spans="1:4">
      <c r="A3333" s="7">
        <f ca="1">IFERROR(__xludf.DUMMYFUNCTION("""COMPUTED_VALUE"""),44307)</f>
        <v>44307</v>
      </c>
      <c r="B3333" s="6" t="str">
        <f ca="1">IFERROR(__xludf.DUMMYFUNCTION("""COMPUTED_VALUE"""),"-33.585037,-71.054578")</f>
        <v>-33.585037,-71.054578</v>
      </c>
      <c r="C3333" s="6" t="str">
        <f ca="1">IFERROR(__xludf.DUMMYFUNCTION("""COMPUTED_VALUE"""),"SANTA  VICTORIA  DE MALLARAUCO 19 VILLA SOL NACIENTE ")</f>
        <v xml:space="preserve">SANTA  VICTORIA  DE MALLARAUCO 19 VILLA SOL NACIENTE </v>
      </c>
      <c r="D3333" s="6" t="str">
        <f ca="1">IFERROR(__xludf.DUMMYFUNCTION("""COMPUTED_VALUE"""),"MELIPILLA")</f>
        <v>MELIPILLA</v>
      </c>
    </row>
    <row r="3334" spans="1:4">
      <c r="A3334" s="7">
        <f ca="1">IFERROR(__xludf.DUMMYFUNCTION("""COMPUTED_VALUE"""),44307)</f>
        <v>44307</v>
      </c>
      <c r="B3334" s="8" t="str">
        <f ca="1">IFERROR(__xludf.DUMMYFUNCTION("""COMPUTED_VALUE"""),"-33.790074,-71.278880")</f>
        <v>-33.790074,-71.278880</v>
      </c>
      <c r="C3334" s="6" t="str">
        <f ca="1">IFERROR(__xludf.DUMMYFUNCTION("""COMPUTED_VALUE"""),"CAMINO A RAPEL KM 12")</f>
        <v>CAMINO A RAPEL KM 12</v>
      </c>
      <c r="D3334" s="6" t="str">
        <f ca="1">IFERROR(__xludf.DUMMYFUNCTION("""COMPUTED_VALUE"""),"MELIPILLA")</f>
        <v>MELIPILLA</v>
      </c>
    </row>
    <row r="3335" spans="1:4">
      <c r="A3335" s="7">
        <f ca="1">IFERROR(__xludf.DUMMYFUNCTION("""COMPUTED_VALUE"""),44307)</f>
        <v>44307</v>
      </c>
      <c r="B3335" s="8" t="str">
        <f ca="1">IFERROR(__xludf.DUMMYFUNCTION("""COMPUTED_VALUE"""),"-33.790141,-71.279014")</f>
        <v>-33.790141,-71.279014</v>
      </c>
      <c r="C3335" s="6" t="str">
        <f ca="1">IFERROR(__xludf.DUMMYFUNCTION("""COMPUTED_VALUE"""),"MANDINGA KM 12")</f>
        <v>MANDINGA KM 12</v>
      </c>
      <c r="D3335" s="6" t="str">
        <f ca="1">IFERROR(__xludf.DUMMYFUNCTION("""COMPUTED_VALUE"""),"MELIPILLA")</f>
        <v>MELIPILLA</v>
      </c>
    </row>
    <row r="3336" spans="1:4">
      <c r="A3336" s="7">
        <f ca="1">IFERROR(__xludf.DUMMYFUNCTION("""COMPUTED_VALUE"""),44308)</f>
        <v>44308</v>
      </c>
      <c r="B3336" s="8" t="str">
        <f ca="1">IFERROR(__xludf.DUMMYFUNCTION("""COMPUTED_VALUE"""),"-33.5145115-71.121788")</f>
        <v>-33.5145115-71.121788</v>
      </c>
      <c r="C3336" s="6" t="str">
        <f ca="1">IFERROR(__xludf.DUMMYFUNCTION("""COMPUTED_VALUE"""),"PUANQUE 311C")</f>
        <v>PUANQUE 311C</v>
      </c>
      <c r="D3336" s="6" t="str">
        <f ca="1">IFERROR(__xludf.DUMMYFUNCTION("""COMPUTED_VALUE"""),"MARIA PINTO")</f>
        <v>MARIA PINTO</v>
      </c>
    </row>
    <row r="3337" spans="1:4">
      <c r="A3337" s="7">
        <f ca="1">IFERROR(__xludf.DUMMYFUNCTION("""COMPUTED_VALUE"""),44308)</f>
        <v>44308</v>
      </c>
      <c r="B3337" s="8" t="str">
        <f ca="1">IFERROR(__xludf.DUMMYFUNCTION("""COMPUTED_VALUE"""),"-33.455608,-71.095754")</f>
        <v>-33.455608,-71.095754</v>
      </c>
      <c r="C3337" s="6" t="str">
        <f ca="1">IFERROR(__xludf.DUMMYFUNCTION("""COMPUTED_VALUE"""),"EL QUILLAYE 368 ")</f>
        <v xml:space="preserve">EL QUILLAYE 368 </v>
      </c>
      <c r="D3337" s="6" t="str">
        <f ca="1">IFERROR(__xludf.DUMMYFUNCTION("""COMPUTED_VALUE"""),"MARIA PINTO")</f>
        <v>MARIA PINTO</v>
      </c>
    </row>
    <row r="3338" spans="1:4">
      <c r="A3338" s="7">
        <f ca="1">IFERROR(__xludf.DUMMYFUNCTION("""COMPUTED_VALUE"""),44308)</f>
        <v>44308</v>
      </c>
      <c r="B3338" s="8" t="str">
        <f ca="1">IFERROR(__xludf.DUMMYFUNCTION("""COMPUTED_VALUE"""),"-33.663520,-70.923305")</f>
        <v>-33.663520,-70.923305</v>
      </c>
      <c r="C3338" s="6" t="str">
        <f ca="1">IFERROR(__xludf.DUMMYFUNCTION("""COMPUTED_VALUE"""),"ALEJANDRO ESPINOZA 964")</f>
        <v>ALEJANDRO ESPINOZA 964</v>
      </c>
      <c r="D3338" s="6" t="str">
        <f ca="1">IFERROR(__xludf.DUMMYFUNCTION("""COMPUTED_VALUE"""),"TALAGANTE")</f>
        <v>TALAGANTE</v>
      </c>
    </row>
    <row r="3339" spans="1:4">
      <c r="A3339" s="7">
        <f ca="1">IFERROR(__xludf.DUMMYFUNCTION("""COMPUTED_VALUE"""),44308)</f>
        <v>44308</v>
      </c>
      <c r="B3339" s="8" t="str">
        <f ca="1">IFERROR(__xludf.DUMMYFUNCTION("""COMPUTED_VALUE"""),"-33.663520,-70.923305")</f>
        <v>-33.663520,-70.923305</v>
      </c>
      <c r="C3339" s="6" t="str">
        <f ca="1">IFERROR(__xludf.DUMMYFUNCTION("""COMPUTED_VALUE"""),"ALEJANDRO ESPINOZA 964")</f>
        <v>ALEJANDRO ESPINOZA 964</v>
      </c>
      <c r="D3339" s="6" t="str">
        <f ca="1">IFERROR(__xludf.DUMMYFUNCTION("""COMPUTED_VALUE"""),"TALAGANTE")</f>
        <v>TALAGANTE</v>
      </c>
    </row>
    <row r="3340" spans="1:4">
      <c r="A3340" s="7">
        <f ca="1">IFERROR(__xludf.DUMMYFUNCTION("""COMPUTED_VALUE"""),44308)</f>
        <v>44308</v>
      </c>
      <c r="B3340" s="6" t="str">
        <f ca="1">IFERROR(__xludf.DUMMYFUNCTION("""COMPUTED_VALUE"""),"-33.433380-71.030336")</f>
        <v>-33.433380-71.030336</v>
      </c>
      <c r="C3340" s="6" t="str">
        <f ca="1">IFERROR(__xludf.DUMMYFUNCTION("""COMPUTED_VALUE"""),"LOS PANGUILES S 9")</f>
        <v>LOS PANGUILES S 9</v>
      </c>
      <c r="D3340" s="6" t="str">
        <f ca="1">IFERROR(__xludf.DUMMYFUNCTION("""COMPUTED_VALUE"""),"CURACAVI")</f>
        <v>CURACAVI</v>
      </c>
    </row>
    <row r="3341" spans="1:4">
      <c r="A3341" s="7">
        <f ca="1">IFERROR(__xludf.DUMMYFUNCTION("""COMPUTED_VALUE"""),44308)</f>
        <v>44308</v>
      </c>
      <c r="B3341" s="6" t="str">
        <f ca="1">IFERROR(__xludf.DUMMYFUNCTION("""COMPUTED_VALUE"""),"-33.410565-71.128829")</f>
        <v>-33.410565-71.128829</v>
      </c>
      <c r="C3341" s="6" t="str">
        <f ca="1">IFERROR(__xludf.DUMMYFUNCTION("""COMPUTED_VALUE"""),"LO AGUILA S/N")</f>
        <v>LO AGUILA S/N</v>
      </c>
      <c r="D3341" s="6" t="str">
        <f ca="1">IFERROR(__xludf.DUMMYFUNCTION("""COMPUTED_VALUE"""),"CURACAVI")</f>
        <v>CURACAVI</v>
      </c>
    </row>
    <row r="3342" spans="1:4">
      <c r="A3342" s="7">
        <f ca="1">IFERROR(__xludf.DUMMYFUNCTION("""COMPUTED_VALUE"""),44308)</f>
        <v>44308</v>
      </c>
      <c r="B3342" s="6" t="str">
        <f ca="1">IFERROR(__xludf.DUMMYFUNCTION("""COMPUTED_VALUE"""),"-33.406323-71.130009")</f>
        <v>-33.406323-71.130009</v>
      </c>
      <c r="C3342" s="6" t="str">
        <f ca="1">IFERROR(__xludf.DUMMYFUNCTION("""COMPUTED_VALUE"""),"LAS ROSAS 401")</f>
        <v>LAS ROSAS 401</v>
      </c>
      <c r="D3342" s="6" t="str">
        <f ca="1">IFERROR(__xludf.DUMMYFUNCTION("""COMPUTED_VALUE"""),"CURACAVI")</f>
        <v>CURACAVI</v>
      </c>
    </row>
    <row r="3343" spans="1:4">
      <c r="A3343" s="7">
        <f ca="1">IFERROR(__xludf.DUMMYFUNCTION("""COMPUTED_VALUE"""),44308)</f>
        <v>44308</v>
      </c>
      <c r="B3343" s="6" t="str">
        <f ca="1">IFERROR(__xludf.DUMMYFUNCTION("""COMPUTED_VALUE"""),"-33.411339-71.150640")</f>
        <v>-33.411339-71.150640</v>
      </c>
      <c r="C3343" s="6" t="str">
        <f ca="1">IFERROR(__xludf.DUMMYFUNCTION("""COMPUTED_VALUE"""),"AMBROSIO OHIGGINS 189")</f>
        <v>AMBROSIO OHIGGINS 189</v>
      </c>
      <c r="D3343" s="6" t="str">
        <f ca="1">IFERROR(__xludf.DUMMYFUNCTION("""COMPUTED_VALUE"""),"CURACAVI")</f>
        <v>CURACAVI</v>
      </c>
    </row>
    <row r="3344" spans="1:4">
      <c r="A3344" s="7">
        <f ca="1">IFERROR(__xludf.DUMMYFUNCTION("""COMPUTED_VALUE"""),44308)</f>
        <v>44308</v>
      </c>
      <c r="B3344" s="6" t="str">
        <f ca="1">IFERROR(__xludf.DUMMYFUNCTION("""COMPUTED_VALUE"""),"-33.409560-71.144609")</f>
        <v>-33.409560-71.144609</v>
      </c>
      <c r="C3344" s="6" t="str">
        <f ca="1">IFERROR(__xludf.DUMMYFUNCTION("""COMPUTED_VALUE"""),"LAS ACACIAS 678")</f>
        <v>LAS ACACIAS 678</v>
      </c>
      <c r="D3344" s="6" t="str">
        <f ca="1">IFERROR(__xludf.DUMMYFUNCTION("""COMPUTED_VALUE"""),"CURACAVI")</f>
        <v>CURACAVI</v>
      </c>
    </row>
    <row r="3345" spans="1:4">
      <c r="A3345" s="7">
        <f ca="1">IFERROR(__xludf.DUMMYFUNCTION("""COMPUTED_VALUE"""),44308)</f>
        <v>44308</v>
      </c>
      <c r="B3345" s="6" t="str">
        <f ca="1">IFERROR(__xludf.DUMMYFUNCTION("""COMPUTED_VALUE"""),"-33.398001-71.131569")</f>
        <v>-33.398001-71.131569</v>
      </c>
      <c r="C3345" s="6" t="str">
        <f ca="1">IFERROR(__xludf.DUMMYFUNCTION("""COMPUTED_VALUE"""),"MILAGROS 507")</f>
        <v>MILAGROS 507</v>
      </c>
      <c r="D3345" s="6" t="str">
        <f ca="1">IFERROR(__xludf.DUMMYFUNCTION("""COMPUTED_VALUE"""),"CURACAVI")</f>
        <v>CURACAVI</v>
      </c>
    </row>
    <row r="3346" spans="1:4">
      <c r="A3346" s="7">
        <f ca="1">IFERROR(__xludf.DUMMYFUNCTION("""COMPUTED_VALUE"""),44308)</f>
        <v>44308</v>
      </c>
      <c r="B3346" s="6" t="str">
        <f ca="1">IFERROR(__xludf.DUMMYFUNCTION("""COMPUTED_VALUE"""),"-33.675617-70.996257")</f>
        <v>-33.675617-70.996257</v>
      </c>
      <c r="C3346" s="6" t="str">
        <f ca="1">IFERROR(__xludf.DUMMYFUNCTION("""COMPUTED_VALUE"""),"PJE LAUTARO 805")</f>
        <v>PJE LAUTARO 805</v>
      </c>
      <c r="D3346" s="6" t="str">
        <f ca="1">IFERROR(__xludf.DUMMYFUNCTION("""COMPUTED_VALUE"""),"EL MONTE")</f>
        <v>EL MONTE</v>
      </c>
    </row>
    <row r="3347" spans="1:4">
      <c r="A3347" s="7">
        <f ca="1">IFERROR(__xludf.DUMMYFUNCTION("""COMPUTED_VALUE"""),44308)</f>
        <v>44308</v>
      </c>
      <c r="B3347" s="6" t="str">
        <f ca="1">IFERROR(__xludf.DUMMYFUNCTION("""COMPUTED_VALUE"""),"-33.361389-71.153346")</f>
        <v>-33.361389-71.153346</v>
      </c>
      <c r="C3347" s="6" t="str">
        <f ca="1">IFERROR(__xludf.DUMMYFUNCTION("""COMPUTED_VALUE"""),"CONDOMINIO HACIENDA S/N")</f>
        <v>CONDOMINIO HACIENDA S/N</v>
      </c>
      <c r="D3347" s="6" t="str">
        <f ca="1">IFERROR(__xludf.DUMMYFUNCTION("""COMPUTED_VALUE"""),"CURACAVI")</f>
        <v>CURACAVI</v>
      </c>
    </row>
    <row r="3348" spans="1:4">
      <c r="A3348" s="7">
        <f ca="1">IFERROR(__xludf.DUMMYFUNCTION("""COMPUTED_VALUE"""),44308)</f>
        <v>44308</v>
      </c>
      <c r="B3348" s="6" t="str">
        <f ca="1">IFERROR(__xludf.DUMMYFUNCTION("""COMPUTED_VALUE"""),"-33.597419-70.877868")</f>
        <v>-33.597419-70.877868</v>
      </c>
      <c r="C3348" s="6" t="str">
        <f ca="1">IFERROR(__xludf.DUMMYFUNCTION("""COMPUTED_VALUE"""),"PATRICIO LARRAIN 2155")</f>
        <v>PATRICIO LARRAIN 2155</v>
      </c>
      <c r="D3348" s="6" t="str">
        <f ca="1">IFERROR(__xludf.DUMMYFUNCTION("""COMPUTED_VALUE"""),"PEÑAFLOR")</f>
        <v>PEÑAFLOR</v>
      </c>
    </row>
    <row r="3349" spans="1:4">
      <c r="A3349" s="7">
        <f ca="1">IFERROR(__xludf.DUMMYFUNCTION("""COMPUTED_VALUE"""),44308)</f>
        <v>44308</v>
      </c>
      <c r="B3349" s="6" t="str">
        <f ca="1">IFERROR(__xludf.DUMMYFUNCTION("""COMPUTED_VALUE"""),"-33.594516-70.849608")</f>
        <v>-33.594516-70.849608</v>
      </c>
      <c r="C3349" s="6" t="str">
        <f ca="1">IFERROR(__xludf.DUMMYFUNCTION("""COMPUTED_VALUE"""),"PAJARITOS PARCELA 6A")</f>
        <v>PAJARITOS PARCELA 6A</v>
      </c>
      <c r="D3349" s="6" t="str">
        <f ca="1">IFERROR(__xludf.DUMMYFUNCTION("""COMPUTED_VALUE"""),"PEÑAFLOR")</f>
        <v>PEÑAFLOR</v>
      </c>
    </row>
    <row r="3350" spans="1:4">
      <c r="A3350" s="7">
        <f ca="1">IFERROR(__xludf.DUMMYFUNCTION("""COMPUTED_VALUE"""),44308)</f>
        <v>44308</v>
      </c>
      <c r="B3350" s="6" t="str">
        <f ca="1">IFERROR(__xludf.DUMMYFUNCTION("""COMPUTED_VALUE"""),"-33.407894-71.133708")</f>
        <v>-33.407894-71.133708</v>
      </c>
      <c r="C3350" s="6" t="str">
        <f ca="1">IFERROR(__xludf.DUMMYFUNCTION("""COMPUTED_VALUE"""),"TENIENTE BERNARDO ESCOBAR 422")</f>
        <v>TENIENTE BERNARDO ESCOBAR 422</v>
      </c>
      <c r="D3350" s="6" t="str">
        <f ca="1">IFERROR(__xludf.DUMMYFUNCTION("""COMPUTED_VALUE"""),"CURACAVI")</f>
        <v>CURACAVI</v>
      </c>
    </row>
    <row r="3351" spans="1:4">
      <c r="A3351" s="7">
        <f ca="1">IFERROR(__xludf.DUMMYFUNCTION("""COMPUTED_VALUE"""),44308)</f>
        <v>44308</v>
      </c>
      <c r="B3351" s="6" t="str">
        <f ca="1">IFERROR(__xludf.DUMMYFUNCTION("""COMPUTED_VALUE"""),"-33.406965-71.136259")</f>
        <v>-33.406965-71.136259</v>
      </c>
      <c r="C3351" s="6" t="str">
        <f ca="1">IFERROR(__xludf.DUMMYFUNCTION("""COMPUTED_VALUE"""),"LIDIA SILVA MC VEY 240")</f>
        <v>LIDIA SILVA MC VEY 240</v>
      </c>
      <c r="D3351" s="6" t="str">
        <f ca="1">IFERROR(__xludf.DUMMYFUNCTION("""COMPUTED_VALUE"""),"CURACAVI")</f>
        <v>CURACAVI</v>
      </c>
    </row>
    <row r="3352" spans="1:4">
      <c r="A3352" s="7">
        <f ca="1">IFERROR(__xludf.DUMMYFUNCTION("""COMPUTED_VALUE"""),44308)</f>
        <v>44308</v>
      </c>
      <c r="B3352" s="6" t="str">
        <f ca="1">IFERROR(__xludf.DUMMYFUNCTION("""COMPUTED_VALUE"""),"-33.396768-71.131408")</f>
        <v>-33.396768-71.131408</v>
      </c>
      <c r="C3352" s="6" t="str">
        <f ca="1">IFERROR(__xludf.DUMMYFUNCTION("""COMPUTED_VALUE"""),"EDUCADORA ALICIA MORGADO 1683")</f>
        <v>EDUCADORA ALICIA MORGADO 1683</v>
      </c>
      <c r="D3352" s="6" t="str">
        <f ca="1">IFERROR(__xludf.DUMMYFUNCTION("""COMPUTED_VALUE"""),"CURACAVI")</f>
        <v>CURACAVI</v>
      </c>
    </row>
    <row r="3353" spans="1:4">
      <c r="A3353" s="7">
        <f ca="1">IFERROR(__xludf.DUMMYFUNCTION("""COMPUTED_VALUE"""),44308)</f>
        <v>44308</v>
      </c>
      <c r="B3353" s="6" t="str">
        <f ca="1">IFERROR(__xludf.DUMMYFUNCTION("""COMPUTED_VALUE"""),"-33.67777-71.18793")</f>
        <v>-33.67777-71.18793</v>
      </c>
      <c r="C3353" s="6" t="str">
        <f ca="1">IFERROR(__xludf.DUMMYFUNCTION("""COMPUTED_VALUE"""),"RINCONADA 1060")</f>
        <v>RINCONADA 1060</v>
      </c>
      <c r="D3353" s="6" t="str">
        <f ca="1">IFERROR(__xludf.DUMMYFUNCTION("""COMPUTED_VALUE"""),"MELIPILLA")</f>
        <v>MELIPILLA</v>
      </c>
    </row>
    <row r="3354" spans="1:4">
      <c r="A3354" s="7">
        <f ca="1">IFERROR(__xludf.DUMMYFUNCTION("""COMPUTED_VALUE"""),44308)</f>
        <v>44308</v>
      </c>
      <c r="B3354" s="6" t="str">
        <f ca="1">IFERROR(__xludf.DUMMYFUNCTION("""COMPUTED_VALUE"""),"-33.50584-71.25229")</f>
        <v>-33.50584-71.25229</v>
      </c>
      <c r="C3354" s="6" t="str">
        <f ca="1">IFERROR(__xludf.DUMMYFUNCTION("""COMPUTED_VALUE"""),"CHOROMBO ALTO S/N")</f>
        <v>CHOROMBO ALTO S/N</v>
      </c>
      <c r="D3354" s="6" t="str">
        <f ca="1">IFERROR(__xludf.DUMMYFUNCTION("""COMPUTED_VALUE"""),"MARIA PINTO")</f>
        <v>MARIA PINTO</v>
      </c>
    </row>
    <row r="3355" spans="1:4">
      <c r="A3355" s="7">
        <f ca="1">IFERROR(__xludf.DUMMYFUNCTION("""COMPUTED_VALUE"""),44308)</f>
        <v>44308</v>
      </c>
      <c r="B3355" s="6" t="str">
        <f ca="1">IFERROR(__xludf.DUMMYFUNCTION("""COMPUTED_VALUE"""),"-33.586116,-71.052153")</f>
        <v>-33.586116,-71.052153</v>
      </c>
      <c r="C3355" s="6" t="str">
        <f ca="1">IFERROR(__xludf.DUMMYFUNCTION("""COMPUTED_VALUE"""),"SANTA VICTORIA S/N-CV60")</f>
        <v>SANTA VICTORIA S/N-CV60</v>
      </c>
      <c r="D3355" s="6" t="str">
        <f ca="1">IFERROR(__xludf.DUMMYFUNCTION("""COMPUTED_VALUE"""),"MELIPILLA")</f>
        <v>MELIPILLA</v>
      </c>
    </row>
    <row r="3356" spans="1:4">
      <c r="A3356" s="7">
        <f ca="1">IFERROR(__xludf.DUMMYFUNCTION("""COMPUTED_VALUE"""),44308)</f>
        <v>44308</v>
      </c>
      <c r="B3356" s="6" t="str">
        <f ca="1">IFERROR(__xludf.DUMMYFUNCTION("""COMPUTED_VALUE"""),"-33.579919,-71.044694")</f>
        <v>-33.579919,-71.044694</v>
      </c>
      <c r="C3356" s="6" t="str">
        <f ca="1">IFERROR(__xludf.DUMMYFUNCTION("""COMPUTED_VALUE"""),"SANTA TERESA  DE MALLARAUCO LOS  COPIHUES  P2J")</f>
        <v>SANTA TERESA  DE MALLARAUCO LOS  COPIHUES  P2J</v>
      </c>
      <c r="D3356" s="6" t="str">
        <f ca="1">IFERROR(__xludf.DUMMYFUNCTION("""COMPUTED_VALUE"""),"MELIPILLA")</f>
        <v>MELIPILLA</v>
      </c>
    </row>
    <row r="3357" spans="1:4">
      <c r="A3357" s="7">
        <f ca="1">IFERROR(__xludf.DUMMYFUNCTION("""COMPUTED_VALUE"""),44308)</f>
        <v>44308</v>
      </c>
      <c r="B3357" s="8" t="str">
        <f ca="1">IFERROR(__xludf.DUMMYFUNCTION("""COMPUTED_VALUE"""),"-33.769746,-71.266816")</f>
        <v>-33.769746,-71.266816</v>
      </c>
      <c r="C3357" s="6" t="str">
        <f ca="1">IFERROR(__xludf.DUMMYFUNCTION("""COMPUTED_VALUE"""),"PC11 SAN MANUEL")</f>
        <v>PC11 SAN MANUEL</v>
      </c>
      <c r="D3357" s="6" t="str">
        <f ca="1">IFERROR(__xludf.DUMMYFUNCTION("""COMPUTED_VALUE"""),"MELIPILLA")</f>
        <v>MELIPILLA</v>
      </c>
    </row>
    <row r="3358" spans="1:4">
      <c r="A3358" s="7">
        <f ca="1">IFERROR(__xludf.DUMMYFUNCTION("""COMPUTED_VALUE"""),44308)</f>
        <v>44308</v>
      </c>
      <c r="B3358" s="8" t="str">
        <f ca="1">IFERROR(__xludf.DUMMYFUNCTION("""COMPUTED_VALUE"""),"-33.717454,-71.181865")</f>
        <v>-33.717454,-71.181865</v>
      </c>
      <c r="C3358" s="6" t="str">
        <f ca="1">IFERROR(__xludf.DUMMYFUNCTION("""COMPUTED_VALUE"""),"LA VEGA SITIO B #4")</f>
        <v>LA VEGA SITIO B #4</v>
      </c>
      <c r="D3358" s="6" t="str">
        <f ca="1">IFERROR(__xludf.DUMMYFUNCTION("""COMPUTED_VALUE"""),"MELIPILLA")</f>
        <v>MELIPILLA</v>
      </c>
    </row>
    <row r="3359" spans="1:4">
      <c r="A3359" s="7">
        <f ca="1">IFERROR(__xludf.DUMMYFUNCTION("""COMPUTED_VALUE"""),44308)</f>
        <v>44308</v>
      </c>
      <c r="B3359" s="8" t="str">
        <f ca="1">IFERROR(__xludf.DUMMYFUNCTION("""COMPUTED_VALUE"""),"-33.242598,-70.701173")</f>
        <v>-33.242598,-70.701173</v>
      </c>
      <c r="C3359" s="6" t="str">
        <f ca="1">IFERROR(__xludf.DUMMYFUNCTION("""COMPUTED_VALUE"""),"SAN JOSE 13B")</f>
        <v>SAN JOSE 13B</v>
      </c>
      <c r="D3359" s="6" t="str">
        <f ca="1">IFERROR(__xludf.DUMMYFUNCTION("""COMPUTED_VALUE"""),"COLINA")</f>
        <v>COLINA</v>
      </c>
    </row>
    <row r="3360" spans="1:4">
      <c r="A3360" s="7">
        <f ca="1">IFERROR(__xludf.DUMMYFUNCTION("""COMPUTED_VALUE"""),44308)</f>
        <v>44308</v>
      </c>
      <c r="B3360" s="8" t="str">
        <f ca="1">IFERROR(__xludf.DUMMYFUNCTION("""COMPUTED_VALUE"""),"-33.234075,-70.714645")</f>
        <v>-33.234075,-70.714645</v>
      </c>
      <c r="C3360" s="6" t="str">
        <f ca="1">IFERROR(__xludf.DUMMYFUNCTION("""COMPUTED_VALUE"""),"SANTA ESTER 9")</f>
        <v>SANTA ESTER 9</v>
      </c>
      <c r="D3360" s="6" t="str">
        <f ca="1">IFERROR(__xludf.DUMMYFUNCTION("""COMPUTED_VALUE"""),"COLINA")</f>
        <v>COLINA</v>
      </c>
    </row>
    <row r="3361" spans="1:4">
      <c r="A3361" s="7">
        <f ca="1">IFERROR(__xludf.DUMMYFUNCTION("""COMPUTED_VALUE"""),44308)</f>
        <v>44308</v>
      </c>
      <c r="B3361" s="8" t="str">
        <f ca="1">IFERROR(__xludf.DUMMYFUNCTION("""COMPUTED_VALUE"""),"-33.234075,-70.714645")</f>
        <v>-33.234075,-70.714645</v>
      </c>
      <c r="C3361" s="6" t="str">
        <f ca="1">IFERROR(__xludf.DUMMYFUNCTION("""COMPUTED_VALUE"""),"SANTA ESTER 9")</f>
        <v>SANTA ESTER 9</v>
      </c>
      <c r="D3361" s="6" t="str">
        <f ca="1">IFERROR(__xludf.DUMMYFUNCTION("""COMPUTED_VALUE"""),"COLINA")</f>
        <v>COLINA</v>
      </c>
    </row>
    <row r="3362" spans="1:4">
      <c r="A3362" s="7">
        <f ca="1">IFERROR(__xludf.DUMMYFUNCTION("""COMPUTED_VALUE"""),44309)</f>
        <v>44309</v>
      </c>
      <c r="B3362" s="8" t="str">
        <f ca="1">IFERROR(__xludf.DUMMYFUNCTION("""COMPUTED_VALUE"""),"-33.681377,-71.207394")</f>
        <v>-33.681377,-71.207394</v>
      </c>
      <c r="C3362" s="6" t="str">
        <f ca="1">IFERROR(__xludf.DUMMYFUNCTION("""COMPUTED_VALUE"""),"PASAJE PRAT 52 ")</f>
        <v xml:space="preserve">PASAJE PRAT 52 </v>
      </c>
      <c r="D3362" s="6" t="str">
        <f ca="1">IFERROR(__xludf.DUMMYFUNCTION("""COMPUTED_VALUE"""),"MELIPILLA")</f>
        <v>MELIPILLA</v>
      </c>
    </row>
    <row r="3363" spans="1:4">
      <c r="A3363" s="7">
        <f ca="1">IFERROR(__xludf.DUMMYFUNCTION("""COMPUTED_VALUE"""),44309)</f>
        <v>44309</v>
      </c>
      <c r="B3363" s="8" t="str">
        <f ca="1">IFERROR(__xludf.DUMMYFUNCTION("""COMPUTED_VALUE"""),"33.774123,-71.340586")</f>
        <v>33.774123,-71.340586</v>
      </c>
      <c r="C3363" s="6" t="str">
        <f ca="1">IFERROR(__xludf.DUMMYFUNCTION("""COMPUTED_VALUE"""),"FUNDO STA BERNARDITA ")</f>
        <v xml:space="preserve">FUNDO STA BERNARDITA </v>
      </c>
      <c r="D3363" s="6" t="str">
        <f ca="1">IFERROR(__xludf.DUMMYFUNCTION("""COMPUTED_VALUE"""),"MELIPILLA")</f>
        <v>MELIPILLA</v>
      </c>
    </row>
    <row r="3364" spans="1:4">
      <c r="A3364" s="7">
        <f ca="1">IFERROR(__xludf.DUMMYFUNCTION("""COMPUTED_VALUE"""),44309)</f>
        <v>44309</v>
      </c>
      <c r="B3364" s="8" t="str">
        <f ca="1">IFERROR(__xludf.DUMMYFUNCTION("""COMPUTED_VALUE"""),"-33.396791,-71.122221")</f>
        <v>-33.396791,-71.122221</v>
      </c>
      <c r="C3364" s="6" t="str">
        <f ca="1">IFERROR(__xludf.DUMMYFUNCTION("""COMPUTED_VALUE"""),"LOS ALERCES 429")</f>
        <v>LOS ALERCES 429</v>
      </c>
      <c r="D3364" s="6" t="str">
        <f ca="1">IFERROR(__xludf.DUMMYFUNCTION("""COMPUTED_VALUE"""),"CURACAVI")</f>
        <v>CURACAVI</v>
      </c>
    </row>
    <row r="3365" spans="1:4">
      <c r="A3365" s="7">
        <f ca="1">IFERROR(__xludf.DUMMYFUNCTION("""COMPUTED_VALUE"""),44309)</f>
        <v>44309</v>
      </c>
      <c r="B3365" s="8" t="str">
        <f ca="1">IFERROR(__xludf.DUMMYFUNCTION("""COMPUTED_VALUE"""),"-33.390554,-71.126230")</f>
        <v>-33.390554,-71.126230</v>
      </c>
      <c r="C3365" s="6" t="str">
        <f ca="1">IFERROR(__xludf.DUMMYFUNCTION("""COMPUTED_VALUE"""),"POYOLA 1985")</f>
        <v>POYOLA 1985</v>
      </c>
      <c r="D3365" s="6" t="str">
        <f ca="1">IFERROR(__xludf.DUMMYFUNCTION("""COMPUTED_VALUE"""),"CURACAVI")</f>
        <v>CURACAVI</v>
      </c>
    </row>
    <row r="3366" spans="1:4">
      <c r="A3366" s="7">
        <f ca="1">IFERROR(__xludf.DUMMYFUNCTION("""COMPUTED_VALUE"""),44309)</f>
        <v>44309</v>
      </c>
      <c r="B3366" s="8" t="str">
        <f ca="1">IFERROR(__xludf.DUMMYFUNCTION("""COMPUTED_VALUE"""),"-33.500759,-71.2361147")</f>
        <v>-33.500759,-71.2361147</v>
      </c>
      <c r="C3366" s="6" t="str">
        <f ca="1">IFERROR(__xludf.DUMMYFUNCTION("""COMPUTED_VALUE"""),"SECT PUENTE AMESTICA S/N")</f>
        <v>SECT PUENTE AMESTICA S/N</v>
      </c>
      <c r="D3366" s="6" t="str">
        <f ca="1">IFERROR(__xludf.DUMMYFUNCTION("""COMPUTED_VALUE"""),"MARIA PINTO")</f>
        <v>MARIA PINTO</v>
      </c>
    </row>
    <row r="3367" spans="1:4">
      <c r="A3367" s="7">
        <f ca="1">IFERROR(__xludf.DUMMYFUNCTION("""COMPUTED_VALUE"""),44309)</f>
        <v>44309</v>
      </c>
      <c r="B3367" s="8" t="str">
        <f ca="1">IFERROR(__xludf.DUMMYFUNCTION("""COMPUTED_VALUE"""),"-33.519393,-71.121418")</f>
        <v>-33.519393,-71.121418</v>
      </c>
      <c r="C3367" s="6" t="str">
        <f ca="1">IFERROR(__xludf.DUMMYFUNCTION("""COMPUTED_VALUE"""),"APOLO X 247")</f>
        <v>APOLO X 247</v>
      </c>
      <c r="D3367" s="6" t="str">
        <f ca="1">IFERROR(__xludf.DUMMYFUNCTION("""COMPUTED_VALUE"""),"MARIA PINTO")</f>
        <v>MARIA PINTO</v>
      </c>
    </row>
    <row r="3368" spans="1:4">
      <c r="A3368" s="7">
        <f ca="1">IFERROR(__xludf.DUMMYFUNCTION("""COMPUTED_VALUE"""),44309)</f>
        <v>44309</v>
      </c>
      <c r="B3368" s="8" t="str">
        <f ca="1">IFERROR(__xludf.DUMMYFUNCTION("""COMPUTED_VALUE"""),"-33.5040912,-71.2582653")</f>
        <v>-33.5040912,-71.2582653</v>
      </c>
      <c r="C3368" s="6" t="str">
        <f ca="1">IFERROR(__xludf.DUMMYFUNCTION("""COMPUTED_VALUE"""),"CHOROMBO ALTO SITIO B")</f>
        <v>CHOROMBO ALTO SITIO B</v>
      </c>
      <c r="D3368" s="6" t="str">
        <f ca="1">IFERROR(__xludf.DUMMYFUNCTION("""COMPUTED_VALUE"""),"MARIA PINTO")</f>
        <v>MARIA PINTO</v>
      </c>
    </row>
    <row r="3369" spans="1:4">
      <c r="A3369" s="7">
        <f ca="1">IFERROR(__xludf.DUMMYFUNCTION("""COMPUTED_VALUE"""),44309)</f>
        <v>44309</v>
      </c>
      <c r="B3369" s="8" t="str">
        <f ca="1">IFERROR(__xludf.DUMMYFUNCTION("""COMPUTED_VALUE"""),"-33.399561,-71.129687")</f>
        <v>-33.399561,-71.129687</v>
      </c>
      <c r="C3369" s="6" t="str">
        <f ca="1">IFERROR(__xludf.DUMMYFUNCTION("""COMPUTED_VALUE"""),"FRANCISCO SAAVEDRA 1973")</f>
        <v>FRANCISCO SAAVEDRA 1973</v>
      </c>
      <c r="D3369" s="6" t="str">
        <f ca="1">IFERROR(__xludf.DUMMYFUNCTION("""COMPUTED_VALUE"""),"CURACAVI")</f>
        <v>CURACAVI</v>
      </c>
    </row>
    <row r="3370" spans="1:4">
      <c r="A3370" s="7">
        <f ca="1">IFERROR(__xludf.DUMMYFUNCTION("""COMPUTED_VALUE"""),44309)</f>
        <v>44309</v>
      </c>
      <c r="B3370" s="8" t="str">
        <f ca="1">IFERROR(__xludf.DUMMYFUNCTION("""COMPUTED_VALUE"""),"-33.572092,-71.211309")</f>
        <v>-33.572092,-71.211309</v>
      </c>
      <c r="C3370" s="6" t="str">
        <f ca="1">IFERROR(__xludf.DUMMYFUNCTION("""COMPUTED_VALUE"""),"FERNANDA ARAUJO")</f>
        <v>FERNANDA ARAUJO</v>
      </c>
      <c r="D3370" s="6" t="str">
        <f ca="1">IFERROR(__xludf.DUMMYFUNCTION("""COMPUTED_VALUE"""),"MELIPILLA")</f>
        <v>MELIPILLA</v>
      </c>
    </row>
    <row r="3371" spans="1:4">
      <c r="A3371" s="7">
        <f ca="1">IFERROR(__xludf.DUMMYFUNCTION("""COMPUTED_VALUE"""),44309)</f>
        <v>44309</v>
      </c>
      <c r="B3371" s="8" t="str">
        <f ca="1">IFERROR(__xludf.DUMMYFUNCTION("""COMPUTED_VALUE"""),"-33.581271,-71.350220")</f>
        <v>-33.581271,-71.350220</v>
      </c>
      <c r="C3371" s="6" t="str">
        <f ca="1">IFERROR(__xludf.DUMMYFUNCTION("""COMPUTED_VALUE"""),"PARCELA 13 LOTE 7")</f>
        <v>PARCELA 13 LOTE 7</v>
      </c>
      <c r="D3371" s="6" t="str">
        <f ca="1">IFERROR(__xludf.DUMMYFUNCTION("""COMPUTED_VALUE"""),"MELIPILLA")</f>
        <v>MELIPILLA</v>
      </c>
    </row>
    <row r="3372" spans="1:4">
      <c r="A3372" s="7">
        <f ca="1">IFERROR(__xludf.DUMMYFUNCTION("""COMPUTED_VALUE"""),44309)</f>
        <v>44309</v>
      </c>
      <c r="B3372" s="8" t="str">
        <f ca="1">IFERROR(__xludf.DUMMYFUNCTION("""COMPUTED_VALUE"""),"-33567643,-71.161859")</f>
        <v>-33567643,-71.161859</v>
      </c>
      <c r="C3372" s="6" t="str">
        <f ca="1">IFERROR(__xludf.DUMMYFUNCTION("""COMPUTED_VALUE"""),"SAN RAMON PARCELA 34 ")</f>
        <v xml:space="preserve">SAN RAMON PARCELA 34 </v>
      </c>
      <c r="D3372" s="6" t="str">
        <f ca="1">IFERROR(__xludf.DUMMYFUNCTION("""COMPUTED_VALUE"""),"MELIPILLA")</f>
        <v>MELIPILLA</v>
      </c>
    </row>
    <row r="3373" spans="1:4">
      <c r="A3373" s="7">
        <f ca="1">IFERROR(__xludf.DUMMYFUNCTION("""COMPUTED_VALUE"""),44309)</f>
        <v>44309</v>
      </c>
      <c r="B3373" s="8" t="str">
        <f ca="1">IFERROR(__xludf.DUMMYFUNCTION("""COMPUTED_VALUE"""),"-33.567643,-71.161859")</f>
        <v>-33.567643,-71.161859</v>
      </c>
      <c r="C3373" s="6" t="str">
        <f ca="1">IFERROR(__xludf.DUMMYFUNCTION("""COMPUTED_VALUE"""),"SAN RAMON PARCELA 34 ")</f>
        <v xml:space="preserve">SAN RAMON PARCELA 34 </v>
      </c>
      <c r="D3373" s="6" t="str">
        <f ca="1">IFERROR(__xludf.DUMMYFUNCTION("""COMPUTED_VALUE"""),"MELIPILLA")</f>
        <v>MELIPILLA</v>
      </c>
    </row>
    <row r="3374" spans="1:4">
      <c r="A3374" s="7">
        <f ca="1">IFERROR(__xludf.DUMMYFUNCTION("""COMPUTED_VALUE"""),44309)</f>
        <v>44309</v>
      </c>
      <c r="B3374" s="6" t="str">
        <f ca="1">IFERROR(__xludf.DUMMYFUNCTION("""COMPUTED_VALUE"""),"-33.408016-71.133569")</f>
        <v>-33.408016-71.133569</v>
      </c>
      <c r="C3374" s="6" t="str">
        <f ca="1">IFERROR(__xludf.DUMMYFUNCTION("""COMPUTED_VALUE"""),"CINCO SUR 1544")</f>
        <v>CINCO SUR 1544</v>
      </c>
      <c r="D3374" s="6" t="str">
        <f ca="1">IFERROR(__xludf.DUMMYFUNCTION("""COMPUTED_VALUE"""),"CURACAVI")</f>
        <v>CURACAVI</v>
      </c>
    </row>
    <row r="3375" spans="1:4">
      <c r="A3375" s="7">
        <f ca="1">IFERROR(__xludf.DUMMYFUNCTION("""COMPUTED_VALUE"""),44309)</f>
        <v>44309</v>
      </c>
      <c r="B3375" s="6" t="str">
        <f ca="1">IFERROR(__xludf.DUMMYFUNCTION("""COMPUTED_VALUE"""),"-33.408023-71.133249")</f>
        <v>-33.408023-71.133249</v>
      </c>
      <c r="C3375" s="6" t="str">
        <f ca="1">IFERROR(__xludf.DUMMYFUNCTION("""COMPUTED_VALUE"""),"CINCO SUR 1589")</f>
        <v>CINCO SUR 1589</v>
      </c>
      <c r="D3375" s="6" t="str">
        <f ca="1">IFERROR(__xludf.DUMMYFUNCTION("""COMPUTED_VALUE"""),"CURACAVI")</f>
        <v>CURACAVI</v>
      </c>
    </row>
    <row r="3376" spans="1:4">
      <c r="A3376" s="7">
        <f ca="1">IFERROR(__xludf.DUMMYFUNCTION("""COMPUTED_VALUE"""),44309)</f>
        <v>44309</v>
      </c>
      <c r="B3376" s="6" t="str">
        <f ca="1">IFERROR(__xludf.DUMMYFUNCTION("""COMPUTED_VALUE"""),"-33.281423-70.883280")</f>
        <v>-33.281423-70.883280</v>
      </c>
      <c r="C3376" s="6" t="str">
        <f ca="1">IFERROR(__xludf.DUMMYFUNCTION("""COMPUTED_VALUE"""),"LAS ARAUCARIAS 490")</f>
        <v>LAS ARAUCARIAS 490</v>
      </c>
      <c r="D3376" s="6" t="str">
        <f ca="1">IFERROR(__xludf.DUMMYFUNCTION("""COMPUTED_VALUE"""),"LAMPA")</f>
        <v>LAMPA</v>
      </c>
    </row>
    <row r="3377" spans="1:4">
      <c r="A3377" s="7">
        <f ca="1">IFERROR(__xludf.DUMMYFUNCTION("""COMPUTED_VALUE"""),44309)</f>
        <v>44309</v>
      </c>
      <c r="B3377" s="6" t="str">
        <f ca="1">IFERROR(__xludf.DUMMYFUNCTION("""COMPUTED_VALUE"""),"-33.281490-70.883468")</f>
        <v>-33.281490-70.883468</v>
      </c>
      <c r="C3377" s="6" t="str">
        <f ca="1">IFERROR(__xludf.DUMMYFUNCTION("""COMPUTED_VALUE"""),"LOS COPIHUES 487")</f>
        <v>LOS COPIHUES 487</v>
      </c>
      <c r="D3377" s="6" t="str">
        <f ca="1">IFERROR(__xludf.DUMMYFUNCTION("""COMPUTED_VALUE"""),"LAMPA")</f>
        <v>LAMPA</v>
      </c>
    </row>
    <row r="3378" spans="1:4">
      <c r="A3378" s="7">
        <f ca="1">IFERROR(__xludf.DUMMYFUNCTION("""COMPUTED_VALUE"""),44309)</f>
        <v>44309</v>
      </c>
      <c r="B3378" s="6" t="str">
        <f ca="1">IFERROR(__xludf.DUMMYFUNCTION("""COMPUTED_VALUE"""),"-33.33256-70.85452")</f>
        <v>-33.33256-70.85452</v>
      </c>
      <c r="C3378" s="6" t="str">
        <f ca="1">IFERROR(__xludf.DUMMYFUNCTION("""COMPUTED_VALUE"""),"LIPANGUE PARCELA 14")</f>
        <v>LIPANGUE PARCELA 14</v>
      </c>
      <c r="D3378" s="6" t="str">
        <f ca="1">IFERROR(__xludf.DUMMYFUNCTION("""COMPUTED_VALUE"""),"LAMPA")</f>
        <v>LAMPA</v>
      </c>
    </row>
    <row r="3379" spans="1:4">
      <c r="A3379" s="7">
        <f ca="1">IFERROR(__xludf.DUMMYFUNCTION("""COMPUTED_VALUE"""),44309)</f>
        <v>44309</v>
      </c>
      <c r="B3379" s="6" t="str">
        <f ca="1">IFERROR(__xludf.DUMMYFUNCTION("""COMPUTED_VALUE"""),"-33.399659-71.129608")</f>
        <v>-33.399659-71.129608</v>
      </c>
      <c r="C3379" s="6" t="str">
        <f ca="1">IFERROR(__xludf.DUMMYFUNCTION("""COMPUTED_VALUE"""),"AV GERMAN RIESCO 394")</f>
        <v>AV GERMAN RIESCO 394</v>
      </c>
      <c r="D3379" s="6" t="str">
        <f ca="1">IFERROR(__xludf.DUMMYFUNCTION("""COMPUTED_VALUE"""),"CURACAVI")</f>
        <v>CURACAVI</v>
      </c>
    </row>
    <row r="3380" spans="1:4">
      <c r="A3380" s="7">
        <f ca="1">IFERROR(__xludf.DUMMYFUNCTION("""COMPUTED_VALUE"""),44309)</f>
        <v>44309</v>
      </c>
      <c r="B3380" s="6" t="str">
        <f ca="1">IFERROR(__xludf.DUMMYFUNCTION("""COMPUTED_VALUE"""),"-33.406200-71.129778")</f>
        <v>-33.406200-71.129778</v>
      </c>
      <c r="C3380" s="6" t="str">
        <f ca="1">IFERROR(__xludf.DUMMYFUNCTION("""COMPUTED_VALUE"""),"PJE LA VIRGEN 1851")</f>
        <v>PJE LA VIRGEN 1851</v>
      </c>
      <c r="D3380" s="6" t="str">
        <f ca="1">IFERROR(__xludf.DUMMYFUNCTION("""COMPUTED_VALUE"""),"CURACAVI")</f>
        <v>CURACAVI</v>
      </c>
    </row>
    <row r="3381" spans="1:4">
      <c r="A3381" s="7">
        <f ca="1">IFERROR(__xludf.DUMMYFUNCTION("""COMPUTED_VALUE"""),44309)</f>
        <v>44309</v>
      </c>
      <c r="B3381" s="6" t="str">
        <f ca="1">IFERROR(__xludf.DUMMYFUNCTION("""COMPUTED_VALUE"""),"-33.416054-71.144188")</f>
        <v>-33.416054-71.144188</v>
      </c>
      <c r="C3381" s="6" t="str">
        <f ca="1">IFERROR(__xludf.DUMMYFUNCTION("""COMPUTED_VALUE"""),"LO AGUILA S/N")</f>
        <v>LO AGUILA S/N</v>
      </c>
      <c r="D3381" s="6" t="str">
        <f ca="1">IFERROR(__xludf.DUMMYFUNCTION("""COMPUTED_VALUE"""),"CURACAVI")</f>
        <v>CURACAVI</v>
      </c>
    </row>
    <row r="3382" spans="1:4">
      <c r="A3382" s="7">
        <f ca="1">IFERROR(__xludf.DUMMYFUNCTION("""COMPUTED_VALUE"""),44309)</f>
        <v>44309</v>
      </c>
      <c r="B3382" s="6" t="str">
        <f ca="1">IFERROR(__xludf.DUMMYFUNCTION("""COMPUTED_VALUE"""),"-33.416054-71.144188")</f>
        <v>-33.416054-71.144188</v>
      </c>
      <c r="C3382" s="6" t="str">
        <f ca="1">IFERROR(__xludf.DUMMYFUNCTION("""COMPUTED_VALUE"""),"LO AGUILA S/N")</f>
        <v>LO AGUILA S/N</v>
      </c>
      <c r="D3382" s="6" t="str">
        <f ca="1">IFERROR(__xludf.DUMMYFUNCTION("""COMPUTED_VALUE"""),"CURACAVI")</f>
        <v>CURACAVI</v>
      </c>
    </row>
    <row r="3383" spans="1:4">
      <c r="A3383" s="7">
        <f ca="1">IFERROR(__xludf.DUMMYFUNCTION("""COMPUTED_VALUE"""),44309)</f>
        <v>44309</v>
      </c>
      <c r="B3383" s="6" t="str">
        <f ca="1">IFERROR(__xludf.DUMMYFUNCTION("""COMPUTED_VALUE"""),"-33.584629,-71.052837")</f>
        <v>-33.584629,-71.052837</v>
      </c>
      <c r="C3383" s="6" t="str">
        <f ca="1">IFERROR(__xludf.DUMMYFUNCTION("""COMPUTED_VALUE"""),"SANTA VICTORIA DE MALLARAUCO S/N -CV16 LOTE 2")</f>
        <v>SANTA VICTORIA DE MALLARAUCO S/N -CV16 LOTE 2</v>
      </c>
      <c r="D3383" s="6" t="str">
        <f ca="1">IFERROR(__xludf.DUMMYFUNCTION("""COMPUTED_VALUE"""),"MELIPILLA")</f>
        <v>MELIPILLA</v>
      </c>
    </row>
    <row r="3384" spans="1:4">
      <c r="A3384" s="7">
        <f ca="1">IFERROR(__xludf.DUMMYFUNCTION("""COMPUTED_VALUE"""),44309)</f>
        <v>44309</v>
      </c>
      <c r="B3384" s="6" t="str">
        <f ca="1">IFERROR(__xludf.DUMMYFUNCTION("""COMPUTED_VALUE"""),"-33.586413,-71.052140")</f>
        <v>-33.586413,-71.052140</v>
      </c>
      <c r="C3384" s="6" t="str">
        <f ca="1">IFERROR(__xludf.DUMMYFUNCTION("""COMPUTED_VALUE"""),"SANTA VICTORIA S/N-CV40 MALLARAUCO")</f>
        <v>SANTA VICTORIA S/N-CV40 MALLARAUCO</v>
      </c>
      <c r="D3384" s="6" t="str">
        <f ca="1">IFERROR(__xludf.DUMMYFUNCTION("""COMPUTED_VALUE"""),"MELIPILLA")</f>
        <v>MELIPILLA</v>
      </c>
    </row>
    <row r="3385" spans="1:4">
      <c r="A3385" s="7">
        <f ca="1">IFERROR(__xludf.DUMMYFUNCTION("""COMPUTED_VALUE"""),44309)</f>
        <v>44309</v>
      </c>
      <c r="B3385" s="6" t="str">
        <f ca="1">IFERROR(__xludf.DUMMYFUNCTION("""COMPUTED_VALUE"""),"-33.585004,-71.084256")</f>
        <v>-33.585004,-71.084256</v>
      </c>
      <c r="C3385" s="6" t="str">
        <f ca="1">IFERROR(__xludf.DUMMYFUNCTION("""COMPUTED_VALUE"""),"PSJ DOS  SANTA TERESA")</f>
        <v>PSJ DOS  SANTA TERESA</v>
      </c>
      <c r="D3385" s="6" t="str">
        <f ca="1">IFERROR(__xludf.DUMMYFUNCTION("""COMPUTED_VALUE"""),"MELIPILLA")</f>
        <v>MELIPILLA</v>
      </c>
    </row>
    <row r="3386" spans="1:4">
      <c r="A3386" s="7">
        <f ca="1">IFERROR(__xludf.DUMMYFUNCTION("""COMPUTED_VALUE"""),44309)</f>
        <v>44309</v>
      </c>
      <c r="B3386" s="8" t="str">
        <f ca="1">IFERROR(__xludf.DUMMYFUNCTION("""COMPUTED_VALUE"""),"-33.681435,-71.219199")</f>
        <v>-33.681435,-71.219199</v>
      </c>
      <c r="C3386" s="6" t="str">
        <f ca="1">IFERROR(__xludf.DUMMYFUNCTION("""COMPUTED_VALUE"""),"HURTADO 120")</f>
        <v>HURTADO 120</v>
      </c>
      <c r="D3386" s="6" t="str">
        <f ca="1">IFERROR(__xludf.DUMMYFUNCTION("""COMPUTED_VALUE"""),"MELIPILLA")</f>
        <v>MELIPILLA</v>
      </c>
    </row>
    <row r="3387" spans="1:4">
      <c r="A3387" s="7">
        <f ca="1">IFERROR(__xludf.DUMMYFUNCTION("""COMPUTED_VALUE"""),44309)</f>
        <v>44309</v>
      </c>
      <c r="B3387" s="8" t="str">
        <f ca="1">IFERROR(__xludf.DUMMYFUNCTION("""COMPUTED_VALUE"""),"-33.681952,-71.223843")</f>
        <v>-33.681952,-71.223843</v>
      </c>
      <c r="C3387" s="6" t="str">
        <f ca="1">IFERROR(__xludf.DUMMYFUNCTION("""COMPUTED_VALUE"""),"ARZA 1156")</f>
        <v>ARZA 1156</v>
      </c>
      <c r="D3387" s="6" t="str">
        <f ca="1">IFERROR(__xludf.DUMMYFUNCTION("""COMPUTED_VALUE"""),"MELIPILLA")</f>
        <v>MELIPILLA</v>
      </c>
    </row>
    <row r="3388" spans="1:4">
      <c r="A3388" s="7">
        <f ca="1">IFERROR(__xludf.DUMMYFUNCTION("""COMPUTED_VALUE"""),44309)</f>
        <v>44309</v>
      </c>
      <c r="B3388" s="8" t="str">
        <f ca="1">IFERROR(__xludf.DUMMYFUNCTION("""COMPUTED_VALUE"""),"-33.812531,-70.850915")</f>
        <v>-33.812531,-70.850915</v>
      </c>
      <c r="C3388" s="6" t="str">
        <f ca="1">IFERROR(__xludf.DUMMYFUNCTION("""COMPUTED_VALUE"""),"LOS PATAGUAS SITIO 44B")</f>
        <v>LOS PATAGUAS SITIO 44B</v>
      </c>
      <c r="D3388" s="6" t="str">
        <f ca="1">IFERROR(__xludf.DUMMYFUNCTION("""COMPUTED_VALUE"""),"BUIN")</f>
        <v>BUIN</v>
      </c>
    </row>
    <row r="3389" spans="1:4">
      <c r="A3389" s="7">
        <f ca="1">IFERROR(__xludf.DUMMYFUNCTION("""COMPUTED_VALUE"""),44310)</f>
        <v>44310</v>
      </c>
      <c r="B3389" s="6" t="str">
        <f ca="1">IFERROR(__xludf.DUMMYFUNCTION("""COMPUTED_VALUE"""),"-33.409336-71.064071")</f>
        <v>-33.409336-71.064071</v>
      </c>
      <c r="C3389" s="6" t="str">
        <f ca="1">IFERROR(__xludf.DUMMYFUNCTION("""COMPUTED_VALUE"""),"MIRAFLORES SITIO 8")</f>
        <v>MIRAFLORES SITIO 8</v>
      </c>
      <c r="D3389" s="6" t="str">
        <f ca="1">IFERROR(__xludf.DUMMYFUNCTION("""COMPUTED_VALUE"""),"CURACAVI")</f>
        <v>CURACAVI</v>
      </c>
    </row>
    <row r="3390" spans="1:4">
      <c r="A3390" s="7">
        <f ca="1">IFERROR(__xludf.DUMMYFUNCTION("""COMPUTED_VALUE"""),44310)</f>
        <v>44310</v>
      </c>
      <c r="B3390" s="6" t="str">
        <f ca="1">IFERROR(__xludf.DUMMYFUNCTION("""COMPUTED_VALUE"""),"-33.408573-71.063644")</f>
        <v>-33.408573-71.063644</v>
      </c>
      <c r="C3390" s="6" t="str">
        <f ca="1">IFERROR(__xludf.DUMMYFUNCTION("""COMPUTED_VALUE"""),"MIRAFLORES SITIO 8")</f>
        <v>MIRAFLORES SITIO 8</v>
      </c>
      <c r="D3390" s="6" t="str">
        <f ca="1">IFERROR(__xludf.DUMMYFUNCTION("""COMPUTED_VALUE"""),"CURACAVI")</f>
        <v>CURACAVI</v>
      </c>
    </row>
    <row r="3391" spans="1:4">
      <c r="A3391" s="7">
        <f ca="1">IFERROR(__xludf.DUMMYFUNCTION("""COMPUTED_VALUE"""),44312)</f>
        <v>44312</v>
      </c>
      <c r="B3391" s="8" t="str">
        <f ca="1">IFERROR(__xludf.DUMMYFUNCTION("""COMPUTED_VALUE"""),"-33.57264,-71.185607")</f>
        <v>-33.57264,-71.185607</v>
      </c>
      <c r="C3391" s="6" t="str">
        <f ca="1">IFERROR(__xludf.DUMMYFUNCTION("""COMPUTED_VALUE"""),"BOLLENAR S/N ")</f>
        <v xml:space="preserve">BOLLENAR S/N </v>
      </c>
      <c r="D3391" s="6" t="str">
        <f ca="1">IFERROR(__xludf.DUMMYFUNCTION("""COMPUTED_VALUE"""),"MELIPILLA")</f>
        <v>MELIPILLA</v>
      </c>
    </row>
    <row r="3392" spans="1:4">
      <c r="A3392" s="7">
        <f ca="1">IFERROR(__xludf.DUMMYFUNCTION("""COMPUTED_VALUE"""),44312)</f>
        <v>44312</v>
      </c>
      <c r="B3392" s="8" t="str">
        <f ca="1">IFERROR(__xludf.DUMMYFUNCTION("""COMPUTED_VALUE"""),"-33.573282,-71.184947")</f>
        <v>-33.573282,-71.184947</v>
      </c>
      <c r="C3392" s="6" t="str">
        <f ca="1">IFERROR(__xludf.DUMMYFUNCTION("""COMPUTED_VALUE"""),"BOLLENAR S/N ")</f>
        <v xml:space="preserve">BOLLENAR S/N </v>
      </c>
      <c r="D3392" s="6" t="str">
        <f ca="1">IFERROR(__xludf.DUMMYFUNCTION("""COMPUTED_VALUE"""),"MELIPILLA")</f>
        <v>MELIPILLA</v>
      </c>
    </row>
    <row r="3393" spans="1:4">
      <c r="A3393" s="7">
        <f ca="1">IFERROR(__xludf.DUMMYFUNCTION("""COMPUTED_VALUE"""),44312)</f>
        <v>44312</v>
      </c>
      <c r="B3393" s="8" t="str">
        <f ca="1">IFERROR(__xludf.DUMMYFUNCTION("""COMPUTED_VALUE"""),"-33.390325,-71.159723")</f>
        <v>-33.390325,-71.159723</v>
      </c>
      <c r="C3393" s="6" t="str">
        <f ca="1">IFERROR(__xludf.DUMMYFUNCTION("""COMPUTED_VALUE"""),"JULIO SILVA LOTE 21B")</f>
        <v>JULIO SILVA LOTE 21B</v>
      </c>
      <c r="D3393" s="6" t="str">
        <f ca="1">IFERROR(__xludf.DUMMYFUNCTION("""COMPUTED_VALUE"""),"CURACAVI")</f>
        <v>CURACAVI</v>
      </c>
    </row>
    <row r="3394" spans="1:4">
      <c r="A3394" s="7">
        <f ca="1">IFERROR(__xludf.DUMMYFUNCTION("""COMPUTED_VALUE"""),44312)</f>
        <v>44312</v>
      </c>
      <c r="B3394" s="8" t="str">
        <f ca="1">IFERROR(__xludf.DUMMYFUNCTION("""COMPUTED_VALUE"""),"-33.519479,-71.121876")</f>
        <v>-33.519479,-71.121876</v>
      </c>
      <c r="C3394" s="6" t="str">
        <f ca="1">IFERROR(__xludf.DUMMYFUNCTION("""COMPUTED_VALUE"""),"APOLO XII S/N")</f>
        <v>APOLO XII S/N</v>
      </c>
      <c r="D3394" s="6" t="str">
        <f ca="1">IFERROR(__xludf.DUMMYFUNCTION("""COMPUTED_VALUE"""),"MARIA PINTO")</f>
        <v>MARIA PINTO</v>
      </c>
    </row>
    <row r="3395" spans="1:4">
      <c r="A3395" s="7">
        <f ca="1">IFERROR(__xludf.DUMMYFUNCTION("""COMPUTED_VALUE"""),44312)</f>
        <v>44312</v>
      </c>
      <c r="B3395" s="8" t="str">
        <f ca="1">IFERROR(__xludf.DUMMYFUNCTION("""COMPUTED_VALUE"""),"-33.476048,-71.127858")</f>
        <v>-33.476048,-71.127858</v>
      </c>
      <c r="C3395" s="6" t="str">
        <f ca="1">IFERROR(__xludf.DUMMYFUNCTION("""COMPUTED_VALUE"""),"EL REDIL LOTE 12")</f>
        <v>EL REDIL LOTE 12</v>
      </c>
      <c r="D3395" s="6" t="str">
        <f ca="1">IFERROR(__xludf.DUMMYFUNCTION("""COMPUTED_VALUE"""),"MARIA PINTO")</f>
        <v>MARIA PINTO</v>
      </c>
    </row>
    <row r="3396" spans="1:4">
      <c r="A3396" s="7">
        <f ca="1">IFERROR(__xludf.DUMMYFUNCTION("""COMPUTED_VALUE"""),44312)</f>
        <v>44312</v>
      </c>
      <c r="B3396" s="6" t="str">
        <f ca="1">IFERROR(__xludf.DUMMYFUNCTION("""COMPUTED_VALUE"""),"-33.408096-71.147146")</f>
        <v>-33.408096-71.147146</v>
      </c>
      <c r="C3396" s="6" t="str">
        <f ca="1">IFERROR(__xludf.DUMMYFUNCTION("""COMPUTED_VALUE"""),"DE SALAZAR 391")</f>
        <v>DE SALAZAR 391</v>
      </c>
      <c r="D3396" s="6" t="str">
        <f ca="1">IFERROR(__xludf.DUMMYFUNCTION("""COMPUTED_VALUE"""),"CURACAVI")</f>
        <v>CURACAVI</v>
      </c>
    </row>
    <row r="3397" spans="1:4">
      <c r="A3397" s="7">
        <f ca="1">IFERROR(__xludf.DUMMYFUNCTION("""COMPUTED_VALUE"""),44312)</f>
        <v>44312</v>
      </c>
      <c r="B3397" s="6" t="str">
        <f ca="1">IFERROR(__xludf.DUMMYFUNCTION("""COMPUTED_VALUE"""),"-33.405552-71.128768")</f>
        <v>-33.405552-71.128768</v>
      </c>
      <c r="C3397" s="6" t="str">
        <f ca="1">IFERROR(__xludf.DUMMYFUNCTION("""COMPUTED_VALUE"""),"PJE CAMPO LINDO 1799")</f>
        <v>PJE CAMPO LINDO 1799</v>
      </c>
      <c r="D3397" s="6" t="str">
        <f ca="1">IFERROR(__xludf.DUMMYFUNCTION("""COMPUTED_VALUE"""),"CURACAVI")</f>
        <v>CURACAVI</v>
      </c>
    </row>
    <row r="3398" spans="1:4">
      <c r="A3398" s="7">
        <f ca="1">IFERROR(__xludf.DUMMYFUNCTION("""COMPUTED_VALUE"""),44312)</f>
        <v>44312</v>
      </c>
      <c r="B3398" s="6" t="str">
        <f ca="1">IFERROR(__xludf.DUMMYFUNCTION("""COMPUTED_VALUE"""),"-33.416520-71.156137")</f>
        <v>-33.416520-71.156137</v>
      </c>
      <c r="C3398" s="6" t="str">
        <f ca="1">IFERROR(__xludf.DUMMYFUNCTION("""COMPUTED_VALUE"""),"JOSE RAMON ARMAZAN 521 B")</f>
        <v>JOSE RAMON ARMAZAN 521 B</v>
      </c>
      <c r="D3398" s="6" t="str">
        <f ca="1">IFERROR(__xludf.DUMMYFUNCTION("""COMPUTED_VALUE"""),"CURACAVI")</f>
        <v>CURACAVI</v>
      </c>
    </row>
    <row r="3399" spans="1:4">
      <c r="A3399" s="7">
        <f ca="1">IFERROR(__xludf.DUMMYFUNCTION("""COMPUTED_VALUE"""),44312)</f>
        <v>44312</v>
      </c>
      <c r="B3399" s="6" t="str">
        <f ca="1">IFERROR(__xludf.DUMMYFUNCTION("""COMPUTED_VALUE"""),"-33.405685-71.129694")</f>
        <v>-33.405685-71.129694</v>
      </c>
      <c r="C3399" s="6" t="str">
        <f ca="1">IFERROR(__xludf.DUMMYFUNCTION("""COMPUTED_VALUE"""),"EL ARCANGEL 1898")</f>
        <v>EL ARCANGEL 1898</v>
      </c>
      <c r="D3399" s="6" t="str">
        <f ca="1">IFERROR(__xludf.DUMMYFUNCTION("""COMPUTED_VALUE"""),"CURACAVI")</f>
        <v>CURACAVI</v>
      </c>
    </row>
    <row r="3400" spans="1:4">
      <c r="A3400" s="7">
        <f ca="1">IFERROR(__xludf.DUMMYFUNCTION("""COMPUTED_VALUE"""),44312)</f>
        <v>44312</v>
      </c>
      <c r="B3400" s="6" t="str">
        <f ca="1">IFERROR(__xludf.DUMMYFUNCTION("""COMPUTED_VALUE"""),"-33.213345-70.678638")</f>
        <v>-33.213345-70.678638</v>
      </c>
      <c r="C3400" s="6" t="str">
        <f ca="1">IFERROR(__xludf.DUMMYFUNCTION("""COMPUTED_VALUE"""),"LOS ROBLES 01073")</f>
        <v>LOS ROBLES 01073</v>
      </c>
      <c r="D3400" s="6" t="str">
        <f ca="1">IFERROR(__xludf.DUMMYFUNCTION("""COMPUTED_VALUE"""),"COLINA")</f>
        <v>COLINA</v>
      </c>
    </row>
    <row r="3401" spans="1:4">
      <c r="A3401" s="7">
        <f ca="1">IFERROR(__xludf.DUMMYFUNCTION("""COMPUTED_VALUE"""),44312)</f>
        <v>44312</v>
      </c>
      <c r="B3401" s="6" t="str">
        <f ca="1">IFERROR(__xludf.DUMMYFUNCTION("""COMPUTED_VALUE"""),"-33.415849-71.143689")</f>
        <v>-33.415849-71.143689</v>
      </c>
      <c r="C3401" s="6" t="str">
        <f ca="1">IFERROR(__xludf.DUMMYFUNCTION("""COMPUTED_VALUE"""),"LO AGUILA S/N")</f>
        <v>LO AGUILA S/N</v>
      </c>
      <c r="D3401" s="6" t="str">
        <f ca="1">IFERROR(__xludf.DUMMYFUNCTION("""COMPUTED_VALUE"""),"CURACAVI")</f>
        <v>CURACAVI</v>
      </c>
    </row>
    <row r="3402" spans="1:4">
      <c r="A3402" s="7">
        <f ca="1">IFERROR(__xludf.DUMMYFUNCTION("""COMPUTED_VALUE"""),44312)</f>
        <v>44312</v>
      </c>
      <c r="B3402" s="6" t="str">
        <f ca="1">IFERROR(__xludf.DUMMYFUNCTION("""COMPUTED_VALUE"""),"-33.415849-71.143689")</f>
        <v>-33.415849-71.143689</v>
      </c>
      <c r="C3402" s="6" t="str">
        <f ca="1">IFERROR(__xludf.DUMMYFUNCTION("""COMPUTED_VALUE"""),"LO AGUILA S/N")</f>
        <v>LO AGUILA S/N</v>
      </c>
      <c r="D3402" s="6" t="str">
        <f ca="1">IFERROR(__xludf.DUMMYFUNCTION("""COMPUTED_VALUE"""),"CURACAVI")</f>
        <v>CURACAVI</v>
      </c>
    </row>
    <row r="3403" spans="1:4">
      <c r="A3403" s="7">
        <f ca="1">IFERROR(__xludf.DUMMYFUNCTION("""COMPUTED_VALUE"""),44312)</f>
        <v>44312</v>
      </c>
      <c r="B3403" s="6" t="str">
        <f ca="1">IFERROR(__xludf.DUMMYFUNCTION("""COMPUTED_VALUE"""),"-33.683504-71.197227")</f>
        <v>-33.683504-71.197227</v>
      </c>
      <c r="C3403" s="6" t="str">
        <f ca="1">IFERROR(__xludf.DUMMYFUNCTION("""COMPUTED_VALUE"""),"ANTONIO VIVALDI 224")</f>
        <v>ANTONIO VIVALDI 224</v>
      </c>
      <c r="D3403" s="6" t="str">
        <f ca="1">IFERROR(__xludf.DUMMYFUNCTION("""COMPUTED_VALUE"""),"MELIPILLA")</f>
        <v>MELIPILLA</v>
      </c>
    </row>
    <row r="3404" spans="1:4">
      <c r="A3404" s="7">
        <f ca="1">IFERROR(__xludf.DUMMYFUNCTION("""COMPUTED_VALUE"""),44312)</f>
        <v>44312</v>
      </c>
      <c r="B3404" s="6" t="str">
        <f ca="1">IFERROR(__xludf.DUMMYFUNCTION("""COMPUTED_VALUE"""),"-33.450819-71.028999")</f>
        <v>-33.450819-71.028999</v>
      </c>
      <c r="C3404" s="6" t="str">
        <f ca="1">IFERROR(__xludf.DUMMYFUNCTION("""COMPUTED_VALUE"""),"FUNDO EL MOLINO CUESTA BARRIGA S/N")</f>
        <v>FUNDO EL MOLINO CUESTA BARRIGA S/N</v>
      </c>
      <c r="D3404" s="6" t="str">
        <f ca="1">IFERROR(__xludf.DUMMYFUNCTION("""COMPUTED_VALUE"""),"CURACAVI")</f>
        <v>CURACAVI</v>
      </c>
    </row>
    <row r="3405" spans="1:4">
      <c r="A3405" s="7">
        <f ca="1">IFERROR(__xludf.DUMMYFUNCTION("""COMPUTED_VALUE"""),44312)</f>
        <v>44312</v>
      </c>
      <c r="B3405" s="6" t="str">
        <f ca="1">IFERROR(__xludf.DUMMYFUNCTION("""COMPUTED_VALUE"""),"-33.409399-71.143153")</f>
        <v>-33.409399-71.143153</v>
      </c>
      <c r="C3405" s="6" t="str">
        <f ca="1">IFERROR(__xludf.DUMMYFUNCTION("""COMPUTED_VALUE"""),"FRANCISCO ANTONIO ENCINA 752")</f>
        <v>FRANCISCO ANTONIO ENCINA 752</v>
      </c>
      <c r="D3405" s="6" t="str">
        <f ca="1">IFERROR(__xludf.DUMMYFUNCTION("""COMPUTED_VALUE"""),"CURACAVI")</f>
        <v>CURACAVI</v>
      </c>
    </row>
    <row r="3406" spans="1:4">
      <c r="A3406" s="7">
        <f ca="1">IFERROR(__xludf.DUMMYFUNCTION("""COMPUTED_VALUE"""),44312)</f>
        <v>44312</v>
      </c>
      <c r="B3406" s="6" t="str">
        <f ca="1">IFERROR(__xludf.DUMMYFUNCTION("""COMPUTED_VALUE"""),"-33.409427-71.143180")</f>
        <v>-33.409427-71.143180</v>
      </c>
      <c r="C3406" s="6" t="str">
        <f ca="1">IFERROR(__xludf.DUMMYFUNCTION("""COMPUTED_VALUE"""),"FRANCISCO ANTONIO ENCINA 744")</f>
        <v>FRANCISCO ANTONIO ENCINA 744</v>
      </c>
      <c r="D3406" s="6" t="str">
        <f ca="1">IFERROR(__xludf.DUMMYFUNCTION("""COMPUTED_VALUE"""),"CURACAVI")</f>
        <v>CURACAVI</v>
      </c>
    </row>
    <row r="3407" spans="1:4">
      <c r="A3407" s="7">
        <f ca="1">IFERROR(__xludf.DUMMYFUNCTION("""COMPUTED_VALUE"""),44312)</f>
        <v>44312</v>
      </c>
      <c r="B3407" s="6" t="str">
        <f ca="1">IFERROR(__xludf.DUMMYFUNCTION("""COMPUTED_VALUE"""),"-33.585130,-71083575")</f>
        <v>-33.585130,-71083575</v>
      </c>
      <c r="C3407" s="6" t="str">
        <f ca="1">IFERROR(__xludf.DUMMYFUNCTION("""COMPUTED_VALUE"""),"CARLOS GEYSER 44 SANTA CLARA ")</f>
        <v xml:space="preserve">CARLOS GEYSER 44 SANTA CLARA </v>
      </c>
      <c r="D3407" s="6" t="str">
        <f ca="1">IFERROR(__xludf.DUMMYFUNCTION("""COMPUTED_VALUE"""),"MELIPILLA")</f>
        <v>MELIPILLA</v>
      </c>
    </row>
    <row r="3408" spans="1:4">
      <c r="A3408" s="7">
        <f ca="1">IFERROR(__xludf.DUMMYFUNCTION("""COMPUTED_VALUE"""),44312)</f>
        <v>44312</v>
      </c>
      <c r="B3408" s="6" t="str">
        <f ca="1">IFERROR(__xludf.DUMMYFUNCTION("""COMPUTED_VALUE"""),"-33.585196,-71.083372")</f>
        <v>-33.585196,-71.083372</v>
      </c>
      <c r="C3408" s="6" t="str">
        <f ca="1">IFERROR(__xludf.DUMMYFUNCTION("""COMPUTED_VALUE"""),"CALLE CARLOS GEYSER 44 SANTA CLARA ")</f>
        <v xml:space="preserve">CALLE CARLOS GEYSER 44 SANTA CLARA </v>
      </c>
      <c r="D3408" s="6" t="str">
        <f ca="1">IFERROR(__xludf.DUMMYFUNCTION("""COMPUTED_VALUE"""),"MELIPILLA")</f>
        <v>MELIPILLA</v>
      </c>
    </row>
    <row r="3409" spans="1:4">
      <c r="A3409" s="7">
        <f ca="1">IFERROR(__xludf.DUMMYFUNCTION("""COMPUTED_VALUE"""),44312)</f>
        <v>44312</v>
      </c>
      <c r="B3409" s="8" t="str">
        <f ca="1">IFERROR(__xludf.DUMMYFUNCTION("""COMPUTED_VALUE"""),"-33.568008,-71.150904")</f>
        <v>-33.568008,-71.150904</v>
      </c>
      <c r="C3409" s="6" t="str">
        <f ca="1">IFERROR(__xludf.DUMMYFUNCTION("""COMPUTED_VALUE"""),"VIÑA CAMPESINO PARCELA 7")</f>
        <v>VIÑA CAMPESINO PARCELA 7</v>
      </c>
      <c r="D3409" s="6" t="str">
        <f ca="1">IFERROR(__xludf.DUMMYFUNCTION("""COMPUTED_VALUE"""),"MELIPILLA")</f>
        <v>MELIPILLA</v>
      </c>
    </row>
    <row r="3410" spans="1:4">
      <c r="A3410" s="7">
        <f ca="1">IFERROR(__xludf.DUMMYFUNCTION("""COMPUTED_VALUE"""),44312)</f>
        <v>44312</v>
      </c>
      <c r="B3410" s="8" t="str">
        <f ca="1">IFERROR(__xludf.DUMMYFUNCTION("""COMPUTED_VALUE"""),"-33.793817,-71.292827")</f>
        <v>-33.793817,-71.292827</v>
      </c>
      <c r="C3410" s="6" t="str">
        <f ca="1">IFERROR(__xludf.DUMMYFUNCTION("""COMPUTED_VALUE"""),"MANDINGA S/N KM12")</f>
        <v>MANDINGA S/N KM12</v>
      </c>
      <c r="D3410" s="6" t="str">
        <f ca="1">IFERROR(__xludf.DUMMYFUNCTION("""COMPUTED_VALUE"""),"MELIPILLA")</f>
        <v>MELIPILLA</v>
      </c>
    </row>
    <row r="3411" spans="1:4">
      <c r="A3411" s="7">
        <f ca="1">IFERROR(__xludf.DUMMYFUNCTION("""COMPUTED_VALUE"""),44313)</f>
        <v>44313</v>
      </c>
      <c r="B3411" s="8" t="str">
        <f ca="1">IFERROR(__xludf.DUMMYFUNCTION("""COMPUTED_VALUE"""),"-33.581588,-71.812476")</f>
        <v>-33.581588,-71.812476</v>
      </c>
      <c r="C3411" s="6" t="str">
        <f ca="1">IFERROR(__xludf.DUMMYFUNCTION("""COMPUTED_VALUE"""),"ZARAGOZA 196")</f>
        <v>ZARAGOZA 196</v>
      </c>
      <c r="D3411" s="6" t="str">
        <f ca="1">IFERROR(__xludf.DUMMYFUNCTION("""COMPUTED_VALUE"""),"PADRE HURTADO")</f>
        <v>PADRE HURTADO</v>
      </c>
    </row>
    <row r="3412" spans="1:4">
      <c r="A3412" s="7">
        <f ca="1">IFERROR(__xludf.DUMMYFUNCTION("""COMPUTED_VALUE"""),44313)</f>
        <v>44313</v>
      </c>
      <c r="B3412" s="8" t="str">
        <f ca="1">IFERROR(__xludf.DUMMYFUNCTION("""COMPUTED_VALUE"""),"-33.398555,-71.125759")</f>
        <v>-33.398555,-71.125759</v>
      </c>
      <c r="C3412" s="6" t="str">
        <f ca="1">IFERROR(__xludf.DUMMYFUNCTION("""COMPUTED_VALUE"""),"CARLOS BRULL 2097")</f>
        <v>CARLOS BRULL 2097</v>
      </c>
      <c r="D3412" s="6" t="str">
        <f ca="1">IFERROR(__xludf.DUMMYFUNCTION("""COMPUTED_VALUE"""),"CURACAVI")</f>
        <v>CURACAVI</v>
      </c>
    </row>
    <row r="3413" spans="1:4">
      <c r="A3413" s="7">
        <f ca="1">IFERROR(__xludf.DUMMYFUNCTION("""COMPUTED_VALUE"""),44313)</f>
        <v>44313</v>
      </c>
      <c r="B3413" s="8" t="str">
        <f ca="1">IFERROR(__xludf.DUMMYFUNCTION("""COMPUTED_VALUE"""),"-33.660699,-70.918021")</f>
        <v>-33.660699,-70.918021</v>
      </c>
      <c r="C3413" s="6" t="str">
        <f ca="1">IFERROR(__xludf.DUMMYFUNCTION("""COMPUTED_VALUE"""),"ESMERALDA 181 ")</f>
        <v xml:space="preserve">ESMERALDA 181 </v>
      </c>
      <c r="D3413" s="6" t="str">
        <f ca="1">IFERROR(__xludf.DUMMYFUNCTION("""COMPUTED_VALUE"""),"TALAGANTE")</f>
        <v>TALAGANTE</v>
      </c>
    </row>
    <row r="3414" spans="1:4">
      <c r="A3414" s="7">
        <f ca="1">IFERROR(__xludf.DUMMYFUNCTION("""COMPUTED_VALUE"""),44313)</f>
        <v>44313</v>
      </c>
      <c r="B3414" s="8" t="str">
        <f ca="1">IFERROR(__xludf.DUMMYFUNCTION("""COMPUTED_VALUE"""),"-33.679686,-71.191835")</f>
        <v>-33.679686,-71.191835</v>
      </c>
      <c r="C3414" s="6" t="str">
        <f ca="1">IFERROR(__xludf.DUMMYFUNCTION("""COMPUTED_VALUE"""),"MADRID 66")</f>
        <v>MADRID 66</v>
      </c>
      <c r="D3414" s="6" t="str">
        <f ca="1">IFERROR(__xludf.DUMMYFUNCTION("""COMPUTED_VALUE"""),"MELIPILLA")</f>
        <v>MELIPILLA</v>
      </c>
    </row>
    <row r="3415" spans="1:4">
      <c r="A3415" s="7">
        <f ca="1">IFERROR(__xludf.DUMMYFUNCTION("""COMPUTED_VALUE"""),44313)</f>
        <v>44313</v>
      </c>
      <c r="B3415" s="8" t="str">
        <f ca="1">IFERROR(__xludf.DUMMYFUNCTION("""COMPUTED_VALUE"""),"-33.673280,-71.209319")</f>
        <v>-33.673280,-71.209319</v>
      </c>
      <c r="C3415" s="6" t="str">
        <f ca="1">IFERROR(__xludf.DUMMYFUNCTION("""COMPUTED_VALUE"""),"PJE EDUV OJEDA 337")</f>
        <v>PJE EDUV OJEDA 337</v>
      </c>
      <c r="D3415" s="6" t="str">
        <f ca="1">IFERROR(__xludf.DUMMYFUNCTION("""COMPUTED_VALUE"""),"MELIPILLA")</f>
        <v>MELIPILLA</v>
      </c>
    </row>
    <row r="3416" spans="1:4">
      <c r="A3416" s="7">
        <f ca="1">IFERROR(__xludf.DUMMYFUNCTION("""COMPUTED_VALUE"""),44313)</f>
        <v>44313</v>
      </c>
      <c r="B3416" s="8" t="str">
        <f ca="1">IFERROR(__xludf.DUMMYFUNCTION("""COMPUTED_VALUE"""),"-33.677228,-71.184798")</f>
        <v>-33.677228,-71.184798</v>
      </c>
      <c r="C3416" s="6" t="str">
        <f ca="1">IFERROR(__xludf.DUMMYFUNCTION("""COMPUTED_VALUE"""),"CODIGUA 63")</f>
        <v>CODIGUA 63</v>
      </c>
      <c r="D3416" s="6" t="str">
        <f ca="1">IFERROR(__xludf.DUMMYFUNCTION("""COMPUTED_VALUE"""),"MELIPILLA")</f>
        <v>MELIPILLA</v>
      </c>
    </row>
    <row r="3417" spans="1:4">
      <c r="A3417" s="7">
        <f ca="1">IFERROR(__xludf.DUMMYFUNCTION("""COMPUTED_VALUE"""),44313)</f>
        <v>44313</v>
      </c>
      <c r="B3417" s="6" t="str">
        <f ca="1">IFERROR(__xludf.DUMMYFUNCTION("""COMPUTED_VALUE"""),"-33.466684-71.126380")</f>
        <v>-33.466684-71.126380</v>
      </c>
      <c r="C3417" s="6" t="str">
        <f ca="1">IFERROR(__xludf.DUMMYFUNCTION("""COMPUTED_VALUE"""),"AV EL CURACO 442")</f>
        <v>AV EL CURACO 442</v>
      </c>
      <c r="D3417" s="6" t="str">
        <f ca="1">IFERROR(__xludf.DUMMYFUNCTION("""COMPUTED_VALUE"""),"CURACAVI")</f>
        <v>CURACAVI</v>
      </c>
    </row>
    <row r="3418" spans="1:4">
      <c r="A3418" s="7">
        <f ca="1">IFERROR(__xludf.DUMMYFUNCTION("""COMPUTED_VALUE"""),44313)</f>
        <v>44313</v>
      </c>
      <c r="B3418" s="6" t="str">
        <f ca="1">IFERROR(__xludf.DUMMYFUNCTION("""COMPUTED_VALUE"""),"-33.406479-71.126482")</f>
        <v>-33.406479-71.126482</v>
      </c>
      <c r="C3418" s="6" t="str">
        <f ca="1">IFERROR(__xludf.DUMMYFUNCTION("""COMPUTED_VALUE"""),"AV EL CURACO 436")</f>
        <v>AV EL CURACO 436</v>
      </c>
      <c r="D3418" s="6" t="str">
        <f ca="1">IFERROR(__xludf.DUMMYFUNCTION("""COMPUTED_VALUE"""),"CURACAVI")</f>
        <v>CURACAVI</v>
      </c>
    </row>
    <row r="3419" spans="1:4">
      <c r="A3419" s="7">
        <f ca="1">IFERROR(__xludf.DUMMYFUNCTION("""COMPUTED_VALUE"""),44313)</f>
        <v>44313</v>
      </c>
      <c r="B3419" s="6" t="str">
        <f ca="1">IFERROR(__xludf.DUMMYFUNCTION("""COMPUTED_VALUE"""),"-33.405805-71.127574")</f>
        <v>-33.405805-71.127574</v>
      </c>
      <c r="C3419" s="6" t="str">
        <f ca="1">IFERROR(__xludf.DUMMYFUNCTION("""COMPUTED_VALUE"""),"EL PANGAL 1817")</f>
        <v>EL PANGAL 1817</v>
      </c>
      <c r="D3419" s="6" t="str">
        <f ca="1">IFERROR(__xludf.DUMMYFUNCTION("""COMPUTED_VALUE"""),"CURACAVI")</f>
        <v>CURACAVI</v>
      </c>
    </row>
    <row r="3420" spans="1:4">
      <c r="A3420" s="7">
        <f ca="1">IFERROR(__xludf.DUMMYFUNCTION("""COMPUTED_VALUE"""),44313)</f>
        <v>44313</v>
      </c>
      <c r="B3420" s="6" t="str">
        <f ca="1">IFERROR(__xludf.DUMMYFUNCTION("""COMPUTED_VALUE"""),"-33.406602-71.126707")</f>
        <v>-33.406602-71.126707</v>
      </c>
      <c r="C3420" s="6" t="str">
        <f ca="1">IFERROR(__xludf.DUMMYFUNCTION("""COMPUTED_VALUE"""),"AV DEL CURACO 432")</f>
        <v>AV DEL CURACO 432</v>
      </c>
      <c r="D3420" s="6" t="str">
        <f ca="1">IFERROR(__xludf.DUMMYFUNCTION("""COMPUTED_VALUE"""),"CURACAVI")</f>
        <v>CURACAVI</v>
      </c>
    </row>
    <row r="3421" spans="1:4">
      <c r="A3421" s="7">
        <f ca="1">IFERROR(__xludf.DUMMYFUNCTION("""COMPUTED_VALUE"""),44313)</f>
        <v>44313</v>
      </c>
      <c r="B3421" s="6" t="str">
        <f ca="1">IFERROR(__xludf.DUMMYFUNCTION("""COMPUTED_VALUE"""),"-33.412667-71.139691")</f>
        <v>-33.412667-71.139691</v>
      </c>
      <c r="C3421" s="6" t="str">
        <f ca="1">IFERROR(__xludf.DUMMYFUNCTION("""COMPUTED_VALUE"""),"LO AGUILA 3")</f>
        <v>LO AGUILA 3</v>
      </c>
      <c r="D3421" s="6" t="str">
        <f ca="1">IFERROR(__xludf.DUMMYFUNCTION("""COMPUTED_VALUE"""),"CURACAVI")</f>
        <v>CURACAVI</v>
      </c>
    </row>
    <row r="3422" spans="1:4">
      <c r="A3422" s="7">
        <f ca="1">IFERROR(__xludf.DUMMYFUNCTION("""COMPUTED_VALUE"""),44313)</f>
        <v>44313</v>
      </c>
      <c r="B3422" s="6" t="str">
        <f ca="1">IFERROR(__xludf.DUMMYFUNCTION("""COMPUTED_VALUE"""),"-33.453613-71.024492")</f>
        <v>-33.453613-71.024492</v>
      </c>
      <c r="C3422" s="6" t="str">
        <f ca="1">IFERROR(__xludf.DUMMYFUNCTION("""COMPUTED_VALUE"""),"UNION CHILENA  SITIO 37")</f>
        <v>UNION CHILENA  SITIO 37</v>
      </c>
      <c r="D3422" s="6" t="str">
        <f ca="1">IFERROR(__xludf.DUMMYFUNCTION("""COMPUTED_VALUE"""),"CURACAVI")</f>
        <v>CURACAVI</v>
      </c>
    </row>
    <row r="3423" spans="1:4">
      <c r="A3423" s="7">
        <f ca="1">IFERROR(__xludf.DUMMYFUNCTION("""COMPUTED_VALUE"""),44313)</f>
        <v>44313</v>
      </c>
      <c r="B3423" s="6" t="str">
        <f ca="1">IFERROR(__xludf.DUMMYFUNCTION("""COMPUTED_VALUE"""),"-33.453701-71.024701")</f>
        <v>-33.453701-71.024701</v>
      </c>
      <c r="C3423" s="6" t="str">
        <f ca="1">IFERROR(__xludf.DUMMYFUNCTION("""COMPUTED_VALUE"""),"UNION CHILENA 37 C")</f>
        <v>UNION CHILENA 37 C</v>
      </c>
      <c r="D3423" s="6" t="str">
        <f ca="1">IFERROR(__xludf.DUMMYFUNCTION("""COMPUTED_VALUE"""),"CURACAVI")</f>
        <v>CURACAVI</v>
      </c>
    </row>
    <row r="3424" spans="1:4">
      <c r="A3424" s="7">
        <f ca="1">IFERROR(__xludf.DUMMYFUNCTION("""COMPUTED_VALUE"""),44313)</f>
        <v>44313</v>
      </c>
      <c r="B3424" s="6" t="str">
        <f ca="1">IFERROR(__xludf.DUMMYFUNCTION("""COMPUTED_VALUE"""),"-33.460039-71.028164")</f>
        <v>-33.460039-71.028164</v>
      </c>
      <c r="C3424" s="6" t="str">
        <f ca="1">IFERROR(__xludf.DUMMYFUNCTION("""COMPUTED_VALUE"""),"BATALLA SAN JUAN SITIO 16")</f>
        <v>BATALLA SAN JUAN SITIO 16</v>
      </c>
      <c r="D3424" s="6" t="str">
        <f ca="1">IFERROR(__xludf.DUMMYFUNCTION("""COMPUTED_VALUE"""),"CURACAVI")</f>
        <v>CURACAVI</v>
      </c>
    </row>
    <row r="3425" spans="1:4">
      <c r="A3425" s="7">
        <f ca="1">IFERROR(__xludf.DUMMYFUNCTION("""COMPUTED_VALUE"""),44313)</f>
        <v>44313</v>
      </c>
      <c r="B3425" s="6" t="str">
        <f ca="1">IFERROR(__xludf.DUMMYFUNCTION("""COMPUTED_VALUE"""),"-33.422081-71.050607")</f>
        <v>-33.422081-71.050607</v>
      </c>
      <c r="C3425" s="6" t="str">
        <f ca="1">IFERROR(__xludf.DUMMYFUNCTION("""COMPUTED_VALUE"""),"MIRAFLORES HIJUELA 5")</f>
        <v>MIRAFLORES HIJUELA 5</v>
      </c>
      <c r="D3425" s="6" t="str">
        <f ca="1">IFERROR(__xludf.DUMMYFUNCTION("""COMPUTED_VALUE"""),"CURACAVI")</f>
        <v>CURACAVI</v>
      </c>
    </row>
    <row r="3426" spans="1:4">
      <c r="A3426" s="7">
        <f ca="1">IFERROR(__xludf.DUMMYFUNCTION("""COMPUTED_VALUE"""),44313)</f>
        <v>44313</v>
      </c>
      <c r="B3426" s="6" t="str">
        <f ca="1">IFERROR(__xludf.DUMMYFUNCTION("""COMPUTED_VALUE"""),"-33.398061-71.128836")</f>
        <v>-33.398061-71.128836</v>
      </c>
      <c r="C3426" s="6" t="str">
        <f ca="1">IFERROR(__xludf.DUMMYFUNCTION("""COMPUTED_VALUE"""),"CARLOS BRULL 1899")</f>
        <v>CARLOS BRULL 1899</v>
      </c>
      <c r="D3426" s="6" t="str">
        <f ca="1">IFERROR(__xludf.DUMMYFUNCTION("""COMPUTED_VALUE"""),"CURACAVI")</f>
        <v>CURACAVI</v>
      </c>
    </row>
    <row r="3427" spans="1:4">
      <c r="A3427" s="7">
        <f ca="1">IFERROR(__xludf.DUMMYFUNCTION("""COMPUTED_VALUE"""),44313)</f>
        <v>44313</v>
      </c>
      <c r="B3427" s="6" t="str">
        <f ca="1">IFERROR(__xludf.DUMMYFUNCTION("""COMPUTED_VALUE"""),"-33.39307-71.12061")</f>
        <v>-33.39307-71.12061</v>
      </c>
      <c r="C3427" s="6" t="str">
        <f ca="1">IFERROR(__xludf.DUMMYFUNCTION("""COMPUTED_VALUE"""),"VISTA ESPERANZA 1169")</f>
        <v>VISTA ESPERANZA 1169</v>
      </c>
      <c r="D3427" s="6" t="str">
        <f ca="1">IFERROR(__xludf.DUMMYFUNCTION("""COMPUTED_VALUE"""),"CURACAVI")</f>
        <v>CURACAVI</v>
      </c>
    </row>
    <row r="3428" spans="1:4">
      <c r="A3428" s="7">
        <f ca="1">IFERROR(__xludf.DUMMYFUNCTION("""COMPUTED_VALUE"""),44313)</f>
        <v>44313</v>
      </c>
      <c r="B3428" s="6" t="str">
        <f ca="1">IFERROR(__xludf.DUMMYFUNCTION("""COMPUTED_VALUE"""),"-33.40812-71.14937")</f>
        <v>-33.40812-71.14937</v>
      </c>
      <c r="C3428" s="6" t="str">
        <f ca="1">IFERROR(__xludf.DUMMYFUNCTION("""COMPUTED_VALUE"""),"ISABEL RIQUELME 156")</f>
        <v>ISABEL RIQUELME 156</v>
      </c>
      <c r="D3428" s="6" t="str">
        <f ca="1">IFERROR(__xludf.DUMMYFUNCTION("""COMPUTED_VALUE"""),"CURACAVI")</f>
        <v>CURACAVI</v>
      </c>
    </row>
    <row r="3429" spans="1:4">
      <c r="A3429" s="7">
        <f ca="1">IFERROR(__xludf.DUMMYFUNCTION("""COMPUTED_VALUE"""),44313)</f>
        <v>44313</v>
      </c>
      <c r="B3429" s="6" t="str">
        <f ca="1">IFERROR(__xludf.DUMMYFUNCTION("""COMPUTED_VALUE"""),"-33.587415,-71.051768")</f>
        <v>-33.587415,-71.051768</v>
      </c>
      <c r="C3429" s="6" t="str">
        <f ca="1">IFERROR(__xludf.DUMMYFUNCTION("""COMPUTED_VALUE"""),"SANTA VICTORIA  PC 20 ")</f>
        <v xml:space="preserve">SANTA VICTORIA  PC 20 </v>
      </c>
      <c r="D3429" s="6" t="str">
        <f ca="1">IFERROR(__xludf.DUMMYFUNCTION("""COMPUTED_VALUE"""),"MELIPILLA")</f>
        <v>MELIPILLA</v>
      </c>
    </row>
    <row r="3430" spans="1:4">
      <c r="A3430" s="7">
        <f ca="1">IFERROR(__xludf.DUMMYFUNCTION("""COMPUTED_VALUE"""),44313)</f>
        <v>44313</v>
      </c>
      <c r="B3430" s="8" t="str">
        <f ca="1">IFERROR(__xludf.DUMMYFUNCTION("""COMPUTED_VALUE"""),"-33.670585,-71.212610")</f>
        <v>-33.670585,-71.212610</v>
      </c>
      <c r="C3430" s="6" t="str">
        <f ca="1">IFERROR(__xludf.DUMMYFUNCTION("""COMPUTED_VALUE"""),"PARCELA 16 CASA A")</f>
        <v>PARCELA 16 CASA A</v>
      </c>
      <c r="D3430" s="6" t="str">
        <f ca="1">IFERROR(__xludf.DUMMYFUNCTION("""COMPUTED_VALUE"""),"MELIPILLA")</f>
        <v>MELIPILLA</v>
      </c>
    </row>
    <row r="3431" spans="1:4">
      <c r="A3431" s="7">
        <f ca="1">IFERROR(__xludf.DUMMYFUNCTION("""COMPUTED_VALUE"""),44313)</f>
        <v>44313</v>
      </c>
      <c r="B3431" s="8" t="str">
        <f ca="1">IFERROR(__xludf.DUMMYFUNCTION("""COMPUTED_VALUE"""),"-33.670585,-71.212610")</f>
        <v>-33.670585,-71.212610</v>
      </c>
      <c r="C3431" s="6" t="str">
        <f ca="1">IFERROR(__xludf.DUMMYFUNCTION("""COMPUTED_VALUE"""),"PARCELA 16 CASA A")</f>
        <v>PARCELA 16 CASA A</v>
      </c>
      <c r="D3431" s="6" t="str">
        <f ca="1">IFERROR(__xludf.DUMMYFUNCTION("""COMPUTED_VALUE"""),"MELIPILLA")</f>
        <v>MELIPILLA</v>
      </c>
    </row>
    <row r="3432" spans="1:4">
      <c r="A3432" s="7">
        <f ca="1">IFERROR(__xludf.DUMMYFUNCTION("""COMPUTED_VALUE"""),44314)</f>
        <v>44314</v>
      </c>
      <c r="B3432" s="8" t="str">
        <f ca="1">IFERROR(__xludf.DUMMYFUNCTION("""COMPUTED_VALUE"""),"-33.632626,-71.214325")</f>
        <v>-33.632626,-71.214325</v>
      </c>
      <c r="C3432" s="6" t="str">
        <f ca="1">IFERROR(__xludf.DUMMYFUNCTION("""COMPUTED_VALUE"""),"RUMAY ALTO S/N")</f>
        <v>RUMAY ALTO S/N</v>
      </c>
      <c r="D3432" s="6" t="str">
        <f ca="1">IFERROR(__xludf.DUMMYFUNCTION("""COMPUTED_VALUE"""),"MELIPILLA")</f>
        <v>MELIPILLA</v>
      </c>
    </row>
    <row r="3433" spans="1:4">
      <c r="A3433" s="7">
        <f ca="1">IFERROR(__xludf.DUMMYFUNCTION("""COMPUTED_VALUE"""),44314)</f>
        <v>44314</v>
      </c>
      <c r="B3433" s="8" t="str">
        <f ca="1">IFERROR(__xludf.DUMMYFUNCTION("""COMPUTED_VALUE"""),"-33.374634,-71.178890")</f>
        <v>-33.374634,-71.178890</v>
      </c>
      <c r="C3433" s="6" t="str">
        <f ca="1">IFERROR(__xludf.DUMMYFUNCTION("""COMPUTED_VALUE"""),"HACIENDA CURACAVI")</f>
        <v>HACIENDA CURACAVI</v>
      </c>
      <c r="D3433" s="6" t="str">
        <f ca="1">IFERROR(__xludf.DUMMYFUNCTION("""COMPUTED_VALUE"""),"CURACAVI")</f>
        <v>CURACAVI</v>
      </c>
    </row>
    <row r="3434" spans="1:4">
      <c r="A3434" s="7">
        <f ca="1">IFERROR(__xludf.DUMMYFUNCTION("""COMPUTED_VALUE"""),44314)</f>
        <v>44314</v>
      </c>
      <c r="B3434" s="8" t="str">
        <f ca="1">IFERROR(__xludf.DUMMYFUNCTION("""COMPUTED_VALUE"""),"-33.775589,-71.259823")</f>
        <v>-33.775589,-71.259823</v>
      </c>
      <c r="C3434" s="6" t="str">
        <f ca="1">IFERROR(__xludf.DUMMYFUNCTION("""COMPUTED_VALUE"""),"SAN MANUEL S/N")</f>
        <v>SAN MANUEL S/N</v>
      </c>
      <c r="D3434" s="6" t="str">
        <f ca="1">IFERROR(__xludf.DUMMYFUNCTION("""COMPUTED_VALUE"""),"MELIPILLA")</f>
        <v>MELIPILLA</v>
      </c>
    </row>
    <row r="3435" spans="1:4">
      <c r="A3435" s="7">
        <f ca="1">IFERROR(__xludf.DUMMYFUNCTION("""COMPUTED_VALUE"""),44314)</f>
        <v>44314</v>
      </c>
      <c r="B3435" s="8" t="str">
        <f ca="1">IFERROR(__xludf.DUMMYFUNCTION("""COMPUTED_VALUE"""),"-33.682101,-71.190415")</f>
        <v>-33.682101,-71.190415</v>
      </c>
      <c r="C3435" s="6" t="str">
        <f ca="1">IFERROR(__xludf.DUMMYFUNCTION("""COMPUTED_VALUE"""),"NELLY YAÑEZ")</f>
        <v>NELLY YAÑEZ</v>
      </c>
      <c r="D3435" s="6" t="str">
        <f ca="1">IFERROR(__xludf.DUMMYFUNCTION("""COMPUTED_VALUE"""),"MELIPILLA")</f>
        <v>MELIPILLA</v>
      </c>
    </row>
    <row r="3436" spans="1:4">
      <c r="A3436" s="7">
        <f ca="1">IFERROR(__xludf.DUMMYFUNCTION("""COMPUTED_VALUE"""),44314)</f>
        <v>44314</v>
      </c>
      <c r="B3436" s="8" t="str">
        <f ca="1">IFERROR(__xludf.DUMMYFUNCTION("""COMPUTED_VALUE"""),"-33.566521,-71.162419")</f>
        <v>-33.566521,-71.162419</v>
      </c>
      <c r="C3436" s="6" t="str">
        <f ca="1">IFERROR(__xludf.DUMMYFUNCTION("""COMPUTED_VALUE"""),"SAN RAMON DE MALLARAUCO")</f>
        <v>SAN RAMON DE MALLARAUCO</v>
      </c>
      <c r="D3436" s="6" t="str">
        <f ca="1">IFERROR(__xludf.DUMMYFUNCTION("""COMPUTED_VALUE"""),"MELIPILLA")</f>
        <v>MELIPILLA</v>
      </c>
    </row>
    <row r="3437" spans="1:4">
      <c r="A3437" s="7">
        <f ca="1">IFERROR(__xludf.DUMMYFUNCTION("""COMPUTED_VALUE"""),44314)</f>
        <v>44314</v>
      </c>
      <c r="B3437" s="8" t="str">
        <f ca="1">IFERROR(__xludf.DUMMYFUNCTION("""COMPUTED_VALUE"""),"-33.5057978,-71,2537244")</f>
        <v>-33.5057978,-71,2537244</v>
      </c>
      <c r="C3437" s="6" t="str">
        <f ca="1">IFERROR(__xludf.DUMMYFUNCTION("""COMPUTED_VALUE"""),"CHOROMBO ALTO CV 24")</f>
        <v>CHOROMBO ALTO CV 24</v>
      </c>
      <c r="D3437" s="6" t="str">
        <f ca="1">IFERROR(__xludf.DUMMYFUNCTION("""COMPUTED_VALUE"""),"MARIA PINTO")</f>
        <v>MARIA PINTO</v>
      </c>
    </row>
    <row r="3438" spans="1:4">
      <c r="A3438" s="7">
        <f ca="1">IFERROR(__xludf.DUMMYFUNCTION("""COMPUTED_VALUE"""),44314)</f>
        <v>44314</v>
      </c>
      <c r="B3438" s="8" t="str">
        <f ca="1">IFERROR(__xludf.DUMMYFUNCTION("""COMPUTED_VALUE"""),"-33.374635,-71.178889")</f>
        <v>-33.374635,-71.178889</v>
      </c>
      <c r="C3438" s="6" t="str">
        <f ca="1">IFERROR(__xludf.DUMMYFUNCTION("""COMPUTED_VALUE"""),"HACIENDA CURACAVI ")</f>
        <v xml:space="preserve">HACIENDA CURACAVI </v>
      </c>
      <c r="D3438" s="6" t="str">
        <f ca="1">IFERROR(__xludf.DUMMYFUNCTION("""COMPUTED_VALUE"""),"CURACAVI")</f>
        <v>CURACAVI</v>
      </c>
    </row>
    <row r="3439" spans="1:4">
      <c r="A3439" s="7">
        <f ca="1">IFERROR(__xludf.DUMMYFUNCTION("""COMPUTED_VALUE"""),44314)</f>
        <v>44314</v>
      </c>
      <c r="B3439" s="6" t="str">
        <f ca="1">IFERROR(__xludf.DUMMYFUNCTION("""COMPUTED_VALUE"""),"-33.414439-71.155252")</f>
        <v>-33.414439-71.155252</v>
      </c>
      <c r="C3439" s="6" t="str">
        <f ca="1">IFERROR(__xludf.DUMMYFUNCTION("""COMPUTED_VALUE"""),"JOSE RAMON ARMAZAN 234")</f>
        <v>JOSE RAMON ARMAZAN 234</v>
      </c>
      <c r="D3439" s="6" t="str">
        <f ca="1">IFERROR(__xludf.DUMMYFUNCTION("""COMPUTED_VALUE"""),"CURACAVI")</f>
        <v>CURACAVI</v>
      </c>
    </row>
    <row r="3440" spans="1:4">
      <c r="A3440" s="7">
        <f ca="1">IFERROR(__xludf.DUMMYFUNCTION("""COMPUTED_VALUE"""),44314)</f>
        <v>44314</v>
      </c>
      <c r="B3440" s="6" t="str">
        <f ca="1">IFERROR(__xludf.DUMMYFUNCTION("""COMPUTED_VALUE"""),"-33.406787-71.147325")</f>
        <v>-33.406787-71.147325</v>
      </c>
      <c r="C3440" s="6" t="str">
        <f ca="1">IFERROR(__xludf.DUMMYFUNCTION("""COMPUTED_VALUE"""),"LAS VERTIENTES 189")</f>
        <v>LAS VERTIENTES 189</v>
      </c>
      <c r="D3440" s="6" t="str">
        <f ca="1">IFERROR(__xludf.DUMMYFUNCTION("""COMPUTED_VALUE"""),"CURACAVI")</f>
        <v>CURACAVI</v>
      </c>
    </row>
    <row r="3441" spans="1:4">
      <c r="A3441" s="7">
        <f ca="1">IFERROR(__xludf.DUMMYFUNCTION("""COMPUTED_VALUE"""),44314)</f>
        <v>44314</v>
      </c>
      <c r="B3441" s="6" t="str">
        <f ca="1">IFERROR(__xludf.DUMMYFUNCTION("""COMPUTED_VALUE"""),"-33.600141-70.883897")</f>
        <v>-33.600141-70.883897</v>
      </c>
      <c r="C3441" s="6" t="str">
        <f ca="1">IFERROR(__xludf.DUMMYFUNCTION("""COMPUTED_VALUE"""),"DOCE DE SEPTIEMBRE 2852")</f>
        <v>DOCE DE SEPTIEMBRE 2852</v>
      </c>
      <c r="D3441" s="6" t="str">
        <f ca="1">IFERROR(__xludf.DUMMYFUNCTION("""COMPUTED_VALUE"""),"PEÑAFLOR")</f>
        <v>PEÑAFLOR</v>
      </c>
    </row>
    <row r="3442" spans="1:4">
      <c r="A3442" s="7">
        <f ca="1">IFERROR(__xludf.DUMMYFUNCTION("""COMPUTED_VALUE"""),44314)</f>
        <v>44314</v>
      </c>
      <c r="B3442" s="6" t="str">
        <f ca="1">IFERROR(__xludf.DUMMYFUNCTION("""COMPUTED_VALUE"""),"-33.598753-70.886142")</f>
        <v>-33.598753-70.886142</v>
      </c>
      <c r="C3442" s="6" t="str">
        <f ca="1">IFERROR(__xludf.DUMMYFUNCTION("""COMPUTED_VALUE"""),"DOCE DE SEPTIEMBRE 3148")</f>
        <v>DOCE DE SEPTIEMBRE 3148</v>
      </c>
      <c r="D3442" s="6" t="str">
        <f ca="1">IFERROR(__xludf.DUMMYFUNCTION("""COMPUTED_VALUE"""),"PEÑAFLOR")</f>
        <v>PEÑAFLOR</v>
      </c>
    </row>
    <row r="3443" spans="1:4">
      <c r="A3443" s="7">
        <f ca="1">IFERROR(__xludf.DUMMYFUNCTION("""COMPUTED_VALUE"""),44314)</f>
        <v>44314</v>
      </c>
      <c r="B3443" s="6" t="str">
        <f ca="1">IFERROR(__xludf.DUMMYFUNCTION("""COMPUTED_VALUE"""),"-33.415955-71.155189")</f>
        <v>-33.415955-71.155189</v>
      </c>
      <c r="C3443" s="6" t="str">
        <f ca="1">IFERROR(__xludf.DUMMYFUNCTION("""COMPUTED_VALUE"""),"JOSE RAMON ARMAZAN 345")</f>
        <v>JOSE RAMON ARMAZAN 345</v>
      </c>
      <c r="D3443" s="6" t="str">
        <f ca="1">IFERROR(__xludf.DUMMYFUNCTION("""COMPUTED_VALUE"""),"CURACAVI")</f>
        <v>CURACAVI</v>
      </c>
    </row>
    <row r="3444" spans="1:4">
      <c r="A3444" s="7">
        <f ca="1">IFERROR(__xludf.DUMMYFUNCTION("""COMPUTED_VALUE"""),44314)</f>
        <v>44314</v>
      </c>
      <c r="B3444" s="6" t="str">
        <f ca="1">IFERROR(__xludf.DUMMYFUNCTION("""COMPUTED_VALUE"""),"-33.420256-71.135009")</f>
        <v>-33.420256-71.135009</v>
      </c>
      <c r="C3444" s="6" t="str">
        <f ca="1">IFERROR(__xludf.DUMMYFUNCTION("""COMPUTED_VALUE"""),"LO AGUILA S/N")</f>
        <v>LO AGUILA S/N</v>
      </c>
      <c r="D3444" s="6" t="str">
        <f ca="1">IFERROR(__xludf.DUMMYFUNCTION("""COMPUTED_VALUE"""),"CURACAVI")</f>
        <v>CURACAVI</v>
      </c>
    </row>
    <row r="3445" spans="1:4">
      <c r="A3445" s="7">
        <f ca="1">IFERROR(__xludf.DUMMYFUNCTION("""COMPUTED_VALUE"""),44314)</f>
        <v>44314</v>
      </c>
      <c r="B3445" s="6" t="str">
        <f ca="1">IFERROR(__xludf.DUMMYFUNCTION("""COMPUTED_VALUE"""),"-33.421670-71.135034")</f>
        <v>-33.421670-71.135034</v>
      </c>
      <c r="C3445" s="6" t="str">
        <f ca="1">IFERROR(__xludf.DUMMYFUNCTION("""COMPUTED_VALUE"""),"LO AGUILA S/N")</f>
        <v>LO AGUILA S/N</v>
      </c>
      <c r="D3445" s="6" t="str">
        <f ca="1">IFERROR(__xludf.DUMMYFUNCTION("""COMPUTED_VALUE"""),"CURACAVI")</f>
        <v>CURACAVI</v>
      </c>
    </row>
    <row r="3446" spans="1:4">
      <c r="A3446" s="7">
        <f ca="1">IFERROR(__xludf.DUMMYFUNCTION("""COMPUTED_VALUE"""),44314)</f>
        <v>44314</v>
      </c>
      <c r="B3446" s="6" t="str">
        <f ca="1">IFERROR(__xludf.DUMMYFUNCTION("""COMPUTED_VALUE"""),"-33.410147-71.144060")</f>
        <v>-33.410147-71.144060</v>
      </c>
      <c r="C3446" s="6" t="str">
        <f ca="1">IFERROR(__xludf.DUMMYFUNCTION("""COMPUTED_VALUE"""),"LOS AROMOS 235")</f>
        <v>LOS AROMOS 235</v>
      </c>
      <c r="D3446" s="6" t="str">
        <f ca="1">IFERROR(__xludf.DUMMYFUNCTION("""COMPUTED_VALUE"""),"CURACAVI")</f>
        <v>CURACAVI</v>
      </c>
    </row>
    <row r="3447" spans="1:4">
      <c r="A3447" s="7">
        <f ca="1">IFERROR(__xludf.DUMMYFUNCTION("""COMPUTED_VALUE"""),44314)</f>
        <v>44314</v>
      </c>
      <c r="B3447" s="6" t="str">
        <f ca="1">IFERROR(__xludf.DUMMYFUNCTION("""COMPUTED_VALUE"""),"-33.406720-71.126408")</f>
        <v>-33.406720-71.126408</v>
      </c>
      <c r="C3447" s="6" t="str">
        <f ca="1">IFERROR(__xludf.DUMMYFUNCTION("""COMPUTED_VALUE"""),"AV. DEL CURACO 444")</f>
        <v>AV. DEL CURACO 444</v>
      </c>
      <c r="D3447" s="6" t="str">
        <f ca="1">IFERROR(__xludf.DUMMYFUNCTION("""COMPUTED_VALUE"""),"CURACAVI")</f>
        <v>CURACAVI</v>
      </c>
    </row>
    <row r="3448" spans="1:4">
      <c r="A3448" s="7">
        <f ca="1">IFERROR(__xludf.DUMMYFUNCTION("""COMPUTED_VALUE"""),44314)</f>
        <v>44314</v>
      </c>
      <c r="B3448" s="6" t="str">
        <f ca="1">IFERROR(__xludf.DUMMYFUNCTION("""COMPUTED_VALUE"""),"-33.406873-71.127007")</f>
        <v>-33.406873-71.127007</v>
      </c>
      <c r="C3448" s="6" t="str">
        <f ca="1">IFERROR(__xludf.DUMMYFUNCTION("""COMPUTED_VALUE"""),"EL OLIVO 1824")</f>
        <v>EL OLIVO 1824</v>
      </c>
      <c r="D3448" s="6" t="str">
        <f ca="1">IFERROR(__xludf.DUMMYFUNCTION("""COMPUTED_VALUE"""),"CURACAVI")</f>
        <v>CURACAVI</v>
      </c>
    </row>
    <row r="3449" spans="1:4">
      <c r="A3449" s="7">
        <f ca="1">IFERROR(__xludf.DUMMYFUNCTION("""COMPUTED_VALUE"""),44314)</f>
        <v>44314</v>
      </c>
      <c r="B3449" s="6" t="str">
        <f ca="1">IFERROR(__xludf.DUMMYFUNCTION("""COMPUTED_VALUE"""),"-33.41997-71.13474")</f>
        <v>-33.41997-71.13474</v>
      </c>
      <c r="C3449" s="6" t="str">
        <f ca="1">IFERROR(__xludf.DUMMYFUNCTION("""COMPUTED_VALUE"""),"LO AGUILA 3C")</f>
        <v>LO AGUILA 3C</v>
      </c>
      <c r="D3449" s="6" t="str">
        <f ca="1">IFERROR(__xludf.DUMMYFUNCTION("""COMPUTED_VALUE"""),"CURACAVI")</f>
        <v>CURACAVI</v>
      </c>
    </row>
    <row r="3450" spans="1:4">
      <c r="A3450" s="7">
        <f ca="1">IFERROR(__xludf.DUMMYFUNCTION("""COMPUTED_VALUE"""),44314)</f>
        <v>44314</v>
      </c>
      <c r="B3450" s="6" t="str">
        <f ca="1">IFERROR(__xludf.DUMMYFUNCTION("""COMPUTED_VALUE"""),"-33.672843,-71.175908")</f>
        <v>-33.672843,-71.175908</v>
      </c>
      <c r="C3450" s="6" t="str">
        <f ca="1">IFERROR(__xludf.DUMMYFUNCTION("""COMPUTED_VALUE"""),"CA LLE FRANCIA 2059 VILLA INCA II")</f>
        <v>CA LLE FRANCIA 2059 VILLA INCA II</v>
      </c>
      <c r="D3450" s="6" t="str">
        <f ca="1">IFERROR(__xludf.DUMMYFUNCTION("""COMPUTED_VALUE"""),"MELIPILLA")</f>
        <v>MELIPILLA</v>
      </c>
    </row>
    <row r="3451" spans="1:4">
      <c r="A3451" s="7">
        <f ca="1">IFERROR(__xludf.DUMMYFUNCTION("""COMPUTED_VALUE"""),44314)</f>
        <v>44314</v>
      </c>
      <c r="B3451" s="6" t="str">
        <f ca="1">IFERROR(__xludf.DUMMYFUNCTION("""COMPUTED_VALUE"""),"-33.673010,-71.175262")</f>
        <v>-33.673010,-71.175262</v>
      </c>
      <c r="C3451" s="6" t="str">
        <f ca="1">IFERROR(__xludf.DUMMYFUNCTION("""COMPUTED_VALUE"""),"FRANCIA 2063 VILLA INCA II ")</f>
        <v xml:space="preserve">FRANCIA 2063 VILLA INCA II </v>
      </c>
      <c r="D3451" s="6" t="str">
        <f ca="1">IFERROR(__xludf.DUMMYFUNCTION("""COMPUTED_VALUE"""),"MELIPILLA")</f>
        <v>MELIPILLA</v>
      </c>
    </row>
    <row r="3452" spans="1:4">
      <c r="A3452" s="7">
        <f ca="1">IFERROR(__xludf.DUMMYFUNCTION("""COMPUTED_VALUE"""),44314)</f>
        <v>44314</v>
      </c>
      <c r="B3452" s="6" t="str">
        <f ca="1">IFERROR(__xludf.DUMMYFUNCTION("""COMPUTED_VALUE"""),"-33.673431,-71.175947")</f>
        <v>-33.673431,-71.175947</v>
      </c>
      <c r="C3452" s="6" t="str">
        <f ca="1">IFERROR(__xludf.DUMMYFUNCTION("""COMPUTED_VALUE"""),"FRANCIA  2061 VIILA INCA II")</f>
        <v>FRANCIA  2061 VIILA INCA II</v>
      </c>
      <c r="D3452" s="6" t="str">
        <f ca="1">IFERROR(__xludf.DUMMYFUNCTION("""COMPUTED_VALUE"""),"MELIPILLA")</f>
        <v>MELIPILLA</v>
      </c>
    </row>
    <row r="3453" spans="1:4">
      <c r="A3453" s="7">
        <f ca="1">IFERROR(__xludf.DUMMYFUNCTION("""COMPUTED_VALUE"""),44314)</f>
        <v>44314</v>
      </c>
      <c r="B3453" s="8" t="str">
        <f ca="1">IFERROR(__xludf.DUMMYFUNCTION("""COMPUTED_VALUE"""),"-33.688150,-71.208785")</f>
        <v>-33.688150,-71.208785</v>
      </c>
      <c r="C3453" s="6" t="str">
        <f ca="1">IFERROR(__xludf.DUMMYFUNCTION("""COMPUTED_VALUE"""),"PJE 2 LAS MARGARITAS CASA 114")</f>
        <v>PJE 2 LAS MARGARITAS CASA 114</v>
      </c>
      <c r="D3453" s="6" t="str">
        <f ca="1">IFERROR(__xludf.DUMMYFUNCTION("""COMPUTED_VALUE"""),"MELIPILLA")</f>
        <v>MELIPILLA</v>
      </c>
    </row>
    <row r="3454" spans="1:4">
      <c r="A3454" s="7">
        <f ca="1">IFERROR(__xludf.DUMMYFUNCTION("""COMPUTED_VALUE"""),44314)</f>
        <v>44314</v>
      </c>
      <c r="B3454" s="8" t="str">
        <f ca="1">IFERROR(__xludf.DUMMYFUNCTION("""COMPUTED_VALUE"""),"-33.794370,-71.300418")</f>
        <v>-33.794370,-71.300418</v>
      </c>
      <c r="C3454" s="6" t="str">
        <f ca="1">IFERROR(__xludf.DUMMYFUNCTION("""COMPUTED_VALUE"""),"MANDINGA 50")</f>
        <v>MANDINGA 50</v>
      </c>
      <c r="D3454" s="6" t="str">
        <f ca="1">IFERROR(__xludf.DUMMYFUNCTION("""COMPUTED_VALUE"""),"MELIPILLA")</f>
        <v>MELIPILLA</v>
      </c>
    </row>
    <row r="3455" spans="1:4">
      <c r="A3455" s="7">
        <f ca="1">IFERROR(__xludf.DUMMYFUNCTION("""COMPUTED_VALUE"""),44315)</f>
        <v>44315</v>
      </c>
      <c r="B3455" s="8" t="str">
        <f ca="1">IFERROR(__xludf.DUMMYFUNCTION("""COMPUTED_VALUE"""),"-33.675357-71.174437")</f>
        <v>-33.675357-71.174437</v>
      </c>
      <c r="C3455" s="6" t="str">
        <f ca="1">IFERROR(__xludf.DUMMYFUNCTION("""COMPUTED_VALUE"""),"ALEMANIA 104")</f>
        <v>ALEMANIA 104</v>
      </c>
      <c r="D3455" s="6" t="str">
        <f ca="1">IFERROR(__xludf.DUMMYFUNCTION("""COMPUTED_VALUE"""),"MELIPILLA")</f>
        <v>MELIPILLA</v>
      </c>
    </row>
    <row r="3456" spans="1:4">
      <c r="A3456" s="7">
        <f ca="1">IFERROR(__xludf.DUMMYFUNCTION("""COMPUTED_VALUE"""),44315)</f>
        <v>44315</v>
      </c>
      <c r="B3456" s="8" t="str">
        <f ca="1">IFERROR(__xludf.DUMMYFUNCTION("""COMPUTED_VALUE"""),"-33.703343-71.218785")</f>
        <v>-33.703343-71.218785</v>
      </c>
      <c r="C3456" s="6" t="str">
        <f ca="1">IFERROR(__xludf.DUMMYFUNCTION("""COMPUTED_VALUE"""),"LAS ACACIAS 2075")</f>
        <v>LAS ACACIAS 2075</v>
      </c>
      <c r="D3456" s="6" t="str">
        <f ca="1">IFERROR(__xludf.DUMMYFUNCTION("""COMPUTED_VALUE"""),"MELIPILLA")</f>
        <v>MELIPILLA</v>
      </c>
    </row>
    <row r="3457" spans="1:4">
      <c r="A3457" s="7">
        <f ca="1">IFERROR(__xludf.DUMMYFUNCTION("""COMPUTED_VALUE"""),44315)</f>
        <v>44315</v>
      </c>
      <c r="B3457" s="8" t="str">
        <f ca="1">IFERROR(__xludf.DUMMYFUNCTION("""COMPUTED_VALUE"""),"-33.652844-71.303158")</f>
        <v>-33.652844-71.303158</v>
      </c>
      <c r="C3457" s="6" t="str">
        <f ca="1">IFERROR(__xludf.DUMMYFUNCTION("""COMPUTED_VALUE"""),"PUERTAS COLORADAS 14")</f>
        <v>PUERTAS COLORADAS 14</v>
      </c>
      <c r="D3457" s="6" t="str">
        <f ca="1">IFERROR(__xludf.DUMMYFUNCTION("""COMPUTED_VALUE"""),"MELIPILLA")</f>
        <v>MELIPILLA</v>
      </c>
    </row>
    <row r="3458" spans="1:4">
      <c r="A3458" s="7">
        <f ca="1">IFERROR(__xludf.DUMMYFUNCTION("""COMPUTED_VALUE"""),44315)</f>
        <v>44315</v>
      </c>
      <c r="B3458" s="8" t="str">
        <f ca="1">IFERROR(__xludf.DUMMYFUNCTION("""COMPUTED_VALUE"""),"-33.6727633,-70.990287")</f>
        <v>-33.6727633,-70.990287</v>
      </c>
      <c r="C3458" s="6" t="str">
        <f ca="1">IFERROR(__xludf.DUMMYFUNCTION("""COMPUTED_VALUE"""),"PJE LOS NARANJOS 435")</f>
        <v>PJE LOS NARANJOS 435</v>
      </c>
      <c r="D3458" s="6" t="str">
        <f ca="1">IFERROR(__xludf.DUMMYFUNCTION("""COMPUTED_VALUE"""),"EL MONTE")</f>
        <v>EL MONTE</v>
      </c>
    </row>
    <row r="3459" spans="1:4">
      <c r="A3459" s="7">
        <f ca="1">IFERROR(__xludf.DUMMYFUNCTION("""COMPUTED_VALUE"""),44315)</f>
        <v>44315</v>
      </c>
      <c r="B3459" s="6" t="str">
        <f ca="1">IFERROR(__xludf.DUMMYFUNCTION("""COMPUTED_VALUE"""),"-33.614572-70.902026")</f>
        <v>-33.614572-70.902026</v>
      </c>
      <c r="C3459" s="6" t="str">
        <f ca="1">IFERROR(__xludf.DUMMYFUNCTION("""COMPUTED_VALUE"""),"TENIENTE JAIME SAENZ NEIRA 3636")</f>
        <v>TENIENTE JAIME SAENZ NEIRA 3636</v>
      </c>
      <c r="D3459" s="6" t="str">
        <f ca="1">IFERROR(__xludf.DUMMYFUNCTION("""COMPUTED_VALUE"""),"PEÑAFLOR")</f>
        <v>PEÑAFLOR</v>
      </c>
    </row>
    <row r="3460" spans="1:4">
      <c r="A3460" s="7">
        <f ca="1">IFERROR(__xludf.DUMMYFUNCTION("""COMPUTED_VALUE"""),44315)</f>
        <v>44315</v>
      </c>
      <c r="B3460" s="6" t="str">
        <f ca="1">IFERROR(__xludf.DUMMYFUNCTION("""COMPUTED_VALUE"""),"-33.627331-70.902592")</f>
        <v>-33.627331-70.902592</v>
      </c>
      <c r="C3460" s="6" t="str">
        <f ca="1">IFERROR(__xludf.DUMMYFUNCTION("""COMPUTED_VALUE"""),"COLONIA ALEMANA S/N P-39 L-7")</f>
        <v>COLONIA ALEMANA S/N P-39 L-7</v>
      </c>
      <c r="D3460" s="6" t="str">
        <f ca="1">IFERROR(__xludf.DUMMYFUNCTION("""COMPUTED_VALUE"""),"PEÑAFLOR")</f>
        <v>PEÑAFLOR</v>
      </c>
    </row>
    <row r="3461" spans="1:4">
      <c r="A3461" s="7">
        <f ca="1">IFERROR(__xludf.DUMMYFUNCTION("""COMPUTED_VALUE"""),44315)</f>
        <v>44315</v>
      </c>
      <c r="B3461" s="6" t="str">
        <f ca="1">IFERROR(__xludf.DUMMYFUNCTION("""COMPUTED_VALUE"""),"-33.72084-71.20883")</f>
        <v>-33.72084-71.20883</v>
      </c>
      <c r="C3461" s="6" t="str">
        <f ca="1">IFERROR(__xludf.DUMMYFUNCTION("""COMPUTED_VALUE"""),"CHOCALAN 2002")</f>
        <v>CHOCALAN 2002</v>
      </c>
      <c r="D3461" s="6" t="str">
        <f ca="1">IFERROR(__xludf.DUMMYFUNCTION("""COMPUTED_VALUE"""),"MELIPILLA")</f>
        <v>MELIPILLA</v>
      </c>
    </row>
    <row r="3462" spans="1:4">
      <c r="A3462" s="7">
        <f ca="1">IFERROR(__xludf.DUMMYFUNCTION("""COMPUTED_VALUE"""),44315)</f>
        <v>44315</v>
      </c>
      <c r="B3462" s="6" t="str">
        <f ca="1">IFERROR(__xludf.DUMMYFUNCTION("""COMPUTED_VALUE"""),"-33.75842-71.32271")</f>
        <v>-33.75842-71.32271</v>
      </c>
      <c r="C3462" s="6" t="str">
        <f ca="1">IFERROR(__xludf.DUMMYFUNCTION("""COMPUTED_VALUE"""),"CAMINO PUBLICO S/N")</f>
        <v>CAMINO PUBLICO S/N</v>
      </c>
      <c r="D3462" s="6" t="str">
        <f ca="1">IFERROR(__xludf.DUMMYFUNCTION("""COMPUTED_VALUE"""),"MELIPILLA")</f>
        <v>MELIPILLA</v>
      </c>
    </row>
    <row r="3463" spans="1:4">
      <c r="A3463" s="7">
        <f ca="1">IFERROR(__xludf.DUMMYFUNCTION("""COMPUTED_VALUE"""),44315)</f>
        <v>44315</v>
      </c>
      <c r="B3463" s="6" t="str">
        <f ca="1">IFERROR(__xludf.DUMMYFUNCTION("""COMPUTED_VALUE"""),"-33.78591-71.29681")</f>
        <v>-33.78591-71.29681</v>
      </c>
      <c r="C3463" s="6" t="str">
        <f ca="1">IFERROR(__xludf.DUMMYFUNCTION("""COMPUTED_VALUE"""),"FUNDO SANTA CECILIA S/N P175")</f>
        <v>FUNDO SANTA CECILIA S/N P175</v>
      </c>
      <c r="D3463" s="6" t="str">
        <f ca="1">IFERROR(__xludf.DUMMYFUNCTION("""COMPUTED_VALUE"""),"MELIPILLA")</f>
        <v>MELIPILLA</v>
      </c>
    </row>
    <row r="3464" spans="1:4">
      <c r="A3464" s="7">
        <f ca="1">IFERROR(__xludf.DUMMYFUNCTION("""COMPUTED_VALUE"""),44315)</f>
        <v>44315</v>
      </c>
      <c r="B3464" s="6" t="str">
        <f ca="1">IFERROR(__xludf.DUMMYFUNCTION("""COMPUTED_VALUE"""),"-33.78591-71.29681")</f>
        <v>-33.78591-71.29681</v>
      </c>
      <c r="C3464" s="6" t="str">
        <f ca="1">IFERROR(__xludf.DUMMYFUNCTION("""COMPUTED_VALUE"""),"FUNDO SANTA CECILIA S/N P175")</f>
        <v>FUNDO SANTA CECILIA S/N P175</v>
      </c>
      <c r="D3464" s="6" t="str">
        <f ca="1">IFERROR(__xludf.DUMMYFUNCTION("""COMPUTED_VALUE"""),"MELIPILLA")</f>
        <v>MELIPILLA</v>
      </c>
    </row>
    <row r="3465" spans="1:4">
      <c r="A3465" s="7">
        <f ca="1">IFERROR(__xludf.DUMMYFUNCTION("""COMPUTED_VALUE"""),44315)</f>
        <v>44315</v>
      </c>
      <c r="B3465" s="6" t="str">
        <f ca="1">IFERROR(__xludf.DUMMYFUNCTION("""COMPUTED_VALUE"""),"-33.570724,-71.216056")</f>
        <v>-33.570724,-71.216056</v>
      </c>
      <c r="C3465" s="6" t="str">
        <f ca="1">IFERROR(__xludf.DUMMYFUNCTION("""COMPUTED_VALUE"""),"SECTOR PARCELA TRES SUR S/N BOLLENAR")</f>
        <v>SECTOR PARCELA TRES SUR S/N BOLLENAR</v>
      </c>
      <c r="D3465" s="6" t="str">
        <f ca="1">IFERROR(__xludf.DUMMYFUNCTION("""COMPUTED_VALUE"""),"MELIPILLA")</f>
        <v>MELIPILLA</v>
      </c>
    </row>
    <row r="3466" spans="1:4">
      <c r="A3466" s="7">
        <f ca="1">IFERROR(__xludf.DUMMYFUNCTION("""COMPUTED_VALUE"""),44315)</f>
        <v>44315</v>
      </c>
      <c r="B3466" s="6" t="str">
        <f ca="1">IFERROR(__xludf.DUMMYFUNCTION("""COMPUTED_VALUE"""),"-33.566549,-71.221975")</f>
        <v>-33.566549,-71.221975</v>
      </c>
      <c r="C3466" s="6" t="str">
        <f ca="1">IFERROR(__xludf.DUMMYFUNCTION("""COMPUTED_VALUE"""),"TANTEHUE 356 /ESPERANZA S/N ")</f>
        <v xml:space="preserve">TANTEHUE 356 /ESPERANZA S/N </v>
      </c>
      <c r="D3466" s="6" t="str">
        <f ca="1">IFERROR(__xludf.DUMMYFUNCTION("""COMPUTED_VALUE"""),"MELIPILLA")</f>
        <v>MELIPILLA</v>
      </c>
    </row>
    <row r="3467" spans="1:4">
      <c r="A3467" s="7">
        <f ca="1">IFERROR(__xludf.DUMMYFUNCTION("""COMPUTED_VALUE"""),44315)</f>
        <v>44315</v>
      </c>
      <c r="B3467" s="8" t="str">
        <f ca="1">IFERROR(__xludf.DUMMYFUNCTION("""COMPUTED_VALUE"""),"-33.680240,-71.229021")</f>
        <v>-33.680240,-71.229021</v>
      </c>
      <c r="C3467" s="6" t="str">
        <f ca="1">IFERROR(__xludf.DUMMYFUNCTION("""COMPUTED_VALUE"""),"LUCIANO SANCHEZ AGUIRRE 1824")</f>
        <v>LUCIANO SANCHEZ AGUIRRE 1824</v>
      </c>
      <c r="D3467" s="6" t="str">
        <f ca="1">IFERROR(__xludf.DUMMYFUNCTION("""COMPUTED_VALUE"""),"MELIPILLA")</f>
        <v>MELIPILLA</v>
      </c>
    </row>
    <row r="3468" spans="1:4">
      <c r="A3468" s="7">
        <f ca="1">IFERROR(__xludf.DUMMYFUNCTION("""COMPUTED_VALUE"""),44315)</f>
        <v>44315</v>
      </c>
      <c r="B3468" s="8" t="str">
        <f ca="1">IFERROR(__xludf.DUMMYFUNCTION("""COMPUTED_VALUE"""),"-33.789907,-71.279033")</f>
        <v>-33.789907,-71.279033</v>
      </c>
      <c r="C3468" s="6" t="str">
        <f ca="1">IFERROR(__xludf.DUMMYFUNCTION("""COMPUTED_VALUE"""),"MANDINGA KM 12")</f>
        <v>MANDINGA KM 12</v>
      </c>
      <c r="D3468" s="6" t="str">
        <f ca="1">IFERROR(__xludf.DUMMYFUNCTION("""COMPUTED_VALUE"""),"MELIPILLA")</f>
        <v>MELIPILLA</v>
      </c>
    </row>
    <row r="3469" spans="1:4">
      <c r="A3469" s="7">
        <f ca="1">IFERROR(__xludf.DUMMYFUNCTION("""COMPUTED_VALUE"""),44316)</f>
        <v>44316</v>
      </c>
      <c r="B3469" s="8" t="str">
        <f ca="1">IFERROR(__xludf.DUMMYFUNCTION("""COMPUTED_VALUE"""),"-33.677318,-70.987910")</f>
        <v>-33.677318,-70.987910</v>
      </c>
      <c r="C3469" s="6" t="str">
        <f ca="1">IFERROR(__xludf.DUMMYFUNCTION("""COMPUTED_VALUE"""),"PASAJE 7 251 EL MONTE")</f>
        <v>PASAJE 7 251 EL MONTE</v>
      </c>
      <c r="D3469" s="6" t="str">
        <f ca="1">IFERROR(__xludf.DUMMYFUNCTION("""COMPUTED_VALUE"""),"EL MONTE")</f>
        <v>EL MONTE</v>
      </c>
    </row>
    <row r="3470" spans="1:4">
      <c r="A3470" s="7">
        <f ca="1">IFERROR(__xludf.DUMMYFUNCTION("""COMPUTED_VALUE"""),44316)</f>
        <v>44316</v>
      </c>
      <c r="B3470" s="8" t="str">
        <f ca="1">IFERROR(__xludf.DUMMYFUNCTION("""COMPUTED_VALUE"""),"-33.684465,-71.1995254")</f>
        <v>-33.684465,-71.1995254</v>
      </c>
      <c r="C3470" s="6" t="str">
        <f ca="1">IFERROR(__xludf.DUMMYFUNCTION("""COMPUTED_VALUE"""),"LAUTARO ALVIAL BENSEN 617 ")</f>
        <v xml:space="preserve">LAUTARO ALVIAL BENSEN 617 </v>
      </c>
      <c r="D3470" s="6" t="str">
        <f ca="1">IFERROR(__xludf.DUMMYFUNCTION("""COMPUTED_VALUE"""),"MELIPILLA")</f>
        <v>MELIPILLA</v>
      </c>
    </row>
    <row r="3471" spans="1:4">
      <c r="A3471" s="7">
        <f ca="1">IFERROR(__xludf.DUMMYFUNCTION("""COMPUTED_VALUE"""),44316)</f>
        <v>44316</v>
      </c>
      <c r="B3471" s="8" t="str">
        <f ca="1">IFERROR(__xludf.DUMMYFUNCTION("""COMPUTED_VALUE"""),"-33.376263,71.17788")</f>
        <v>-33.376263,71.17788</v>
      </c>
      <c r="C3471" s="6" t="str">
        <f ca="1">IFERROR(__xludf.DUMMYFUNCTION("""COMPUTED_VALUE"""),"HACIENDA CURACAVI 1-51 S/N")</f>
        <v>HACIENDA CURACAVI 1-51 S/N</v>
      </c>
      <c r="D3471" s="6" t="str">
        <f ca="1">IFERROR(__xludf.DUMMYFUNCTION("""COMPUTED_VALUE"""),"CURACAVI")</f>
        <v>CURACAVI</v>
      </c>
    </row>
    <row r="3472" spans="1:4">
      <c r="A3472" s="7">
        <f ca="1">IFERROR(__xludf.DUMMYFUNCTION("""COMPUTED_VALUE"""),44316)</f>
        <v>44316</v>
      </c>
      <c r="B3472" s="8" t="str">
        <f ca="1">IFERROR(__xludf.DUMMYFUNCTION("""COMPUTED_VALUE"""),"-33.390202,-71.160230")</f>
        <v>-33.390202,-71.160230</v>
      </c>
      <c r="C3472" s="6" t="str">
        <f ca="1">IFERROR(__xludf.DUMMYFUNCTION("""COMPUTED_VALUE"""),"EX HACIENDA CURAVACI PARCELA 4B")</f>
        <v>EX HACIENDA CURAVACI PARCELA 4B</v>
      </c>
      <c r="D3472" s="6" t="str">
        <f ca="1">IFERROR(__xludf.DUMMYFUNCTION("""COMPUTED_VALUE"""),"CURACAVI")</f>
        <v>CURACAVI</v>
      </c>
    </row>
    <row r="3473" spans="1:4">
      <c r="A3473" s="7">
        <f ca="1">IFERROR(__xludf.DUMMYFUNCTION("""COMPUTED_VALUE"""),44316)</f>
        <v>44316</v>
      </c>
      <c r="B3473" s="8" t="str">
        <f ca="1">IFERROR(__xludf.DUMMYFUNCTION("""COMPUTED_VALUE"""),"-33.655413,-71.312220")</f>
        <v>-33.655413,-71.312220</v>
      </c>
      <c r="C3473" s="6" t="str">
        <f ca="1">IFERROR(__xludf.DUMMYFUNCTION("""COMPUTED_VALUE"""),"PUERTOS COLORADOS 9")</f>
        <v>PUERTOS COLORADOS 9</v>
      </c>
      <c r="D3473" s="6" t="str">
        <f ca="1">IFERROR(__xludf.DUMMYFUNCTION("""COMPUTED_VALUE"""),"MELIPILLA")</f>
        <v>MELIPILLA</v>
      </c>
    </row>
    <row r="3474" spans="1:4">
      <c r="A3474" s="7">
        <f ca="1">IFERROR(__xludf.DUMMYFUNCTION("""COMPUTED_VALUE"""),44316)</f>
        <v>44316</v>
      </c>
      <c r="B3474" s="8" t="str">
        <f ca="1">IFERROR(__xludf.DUMMYFUNCTION("""COMPUTED_VALUE"""),"-33.655413,-71.312220")</f>
        <v>-33.655413,-71.312220</v>
      </c>
      <c r="C3474" s="6" t="str">
        <f ca="1">IFERROR(__xludf.DUMMYFUNCTION("""COMPUTED_VALUE"""),"PUERTOS COLORADOS 9")</f>
        <v>PUERTOS COLORADOS 9</v>
      </c>
      <c r="D3474" s="6" t="str">
        <f ca="1">IFERROR(__xludf.DUMMYFUNCTION("""COMPUTED_VALUE"""),"MELIPILLA")</f>
        <v>MELIPILLA</v>
      </c>
    </row>
    <row r="3475" spans="1:4">
      <c r="A3475" s="7">
        <f ca="1">IFERROR(__xludf.DUMMYFUNCTION("""COMPUTED_VALUE"""),44316)</f>
        <v>44316</v>
      </c>
      <c r="B3475" s="6" t="str">
        <f ca="1">IFERROR(__xludf.DUMMYFUNCTION("""COMPUTED_VALUE"""),"-33.416550-71.156297")</f>
        <v>-33.416550-71.156297</v>
      </c>
      <c r="C3475" s="6" t="str">
        <f ca="1">IFERROR(__xludf.DUMMYFUNCTION("""COMPUTED_VALUE"""),"REGIDOR LUIS CHARME 63")</f>
        <v>REGIDOR LUIS CHARME 63</v>
      </c>
      <c r="D3475" s="6" t="str">
        <f ca="1">IFERROR(__xludf.DUMMYFUNCTION("""COMPUTED_VALUE"""),"CURACAVI")</f>
        <v>CURACAVI</v>
      </c>
    </row>
    <row r="3476" spans="1:4">
      <c r="A3476" s="7">
        <f ca="1">IFERROR(__xludf.DUMMYFUNCTION("""COMPUTED_VALUE"""),44316)</f>
        <v>44316</v>
      </c>
      <c r="B3476" s="6" t="str">
        <f ca="1">IFERROR(__xludf.DUMMYFUNCTION("""COMPUTED_VALUE"""),"-33.447965-71.032688")</f>
        <v>-33.447965-71.032688</v>
      </c>
      <c r="C3476" s="6" t="str">
        <f ca="1">IFERROR(__xludf.DUMMYFUNCTION("""COMPUTED_VALUE"""),"EL MOLINO 519 L2")</f>
        <v>EL MOLINO 519 L2</v>
      </c>
      <c r="D3476" s="6" t="str">
        <f ca="1">IFERROR(__xludf.DUMMYFUNCTION("""COMPUTED_VALUE"""),"CURACAVI")</f>
        <v>CURACAVI</v>
      </c>
    </row>
    <row r="3477" spans="1:4">
      <c r="A3477" s="7">
        <f ca="1">IFERROR(__xludf.DUMMYFUNCTION("""COMPUTED_VALUE"""),44316)</f>
        <v>44316</v>
      </c>
      <c r="B3477" s="6" t="str">
        <f ca="1">IFERROR(__xludf.DUMMYFUNCTION("""COMPUTED_VALUE"""),"-33.46835-71-06983")</f>
        <v>-33.46835-71-06983</v>
      </c>
      <c r="C3477" s="6" t="str">
        <f ca="1">IFERROR(__xludf.DUMMYFUNCTION("""COMPUTED_VALUE"""),"LO ALVARADO S/N L5")</f>
        <v>LO ALVARADO S/N L5</v>
      </c>
      <c r="D3477" s="6" t="str">
        <f ca="1">IFERROR(__xludf.DUMMYFUNCTION("""COMPUTED_VALUE"""),"CURACAVI")</f>
        <v>CURACAVI</v>
      </c>
    </row>
    <row r="3478" spans="1:4">
      <c r="A3478" s="7">
        <f ca="1">IFERROR(__xludf.DUMMYFUNCTION("""COMPUTED_VALUE"""),44316)</f>
        <v>44316</v>
      </c>
      <c r="B3478" s="6" t="str">
        <f ca="1">IFERROR(__xludf.DUMMYFUNCTION("""COMPUTED_VALUE"""),"-33.45378-71.02525")</f>
        <v>-33.45378-71.02525</v>
      </c>
      <c r="C3478" s="6" t="str">
        <f ca="1">IFERROR(__xludf.DUMMYFUNCTION("""COMPUTED_VALUE"""),"UNIOS CHILENA 36 L-1")</f>
        <v>UNIOS CHILENA 36 L-1</v>
      </c>
      <c r="D3478" s="6" t="str">
        <f ca="1">IFERROR(__xludf.DUMMYFUNCTION("""COMPUTED_VALUE"""),"CURACAVI")</f>
        <v>CURACAVI</v>
      </c>
    </row>
    <row r="3479" spans="1:4">
      <c r="A3479" s="7">
        <f ca="1">IFERROR(__xludf.DUMMYFUNCTION("""COMPUTED_VALUE"""),44316)</f>
        <v>44316</v>
      </c>
      <c r="B3479" s="6" t="str">
        <f ca="1">IFERROR(__xludf.DUMMYFUNCTION("""COMPUTED_VALUE"""),"-33.406487-71.128201")</f>
        <v>-33.406487-71.128201</v>
      </c>
      <c r="C3479" s="6" t="str">
        <f ca="1">IFERROR(__xludf.DUMMYFUNCTION("""COMPUTED_VALUE"""),"EL OLIVO 1815")</f>
        <v>EL OLIVO 1815</v>
      </c>
      <c r="D3479" s="6" t="str">
        <f ca="1">IFERROR(__xludf.DUMMYFUNCTION("""COMPUTED_VALUE"""),"CURACAVI")</f>
        <v>CURACAVI</v>
      </c>
    </row>
    <row r="3480" spans="1:4">
      <c r="A3480" s="7">
        <f ca="1">IFERROR(__xludf.DUMMYFUNCTION("""COMPUTED_VALUE"""),44316)</f>
        <v>44316</v>
      </c>
      <c r="B3480" s="6" t="str">
        <f ca="1">IFERROR(__xludf.DUMMYFUNCTION("""COMPUTED_VALUE"""),"-33.394230-71.120757")</f>
        <v>-33.394230-71.120757</v>
      </c>
      <c r="C3480" s="6" t="str">
        <f ca="1">IFERROR(__xludf.DUMMYFUNCTION("""COMPUTED_VALUE"""),"HONORI VALDEBENITO 2071")</f>
        <v>HONORI VALDEBENITO 2071</v>
      </c>
      <c r="D3480" s="6" t="str">
        <f ca="1">IFERROR(__xludf.DUMMYFUNCTION("""COMPUTED_VALUE"""),"CURACAVI")</f>
        <v>CURACAVI</v>
      </c>
    </row>
    <row r="3481" spans="1:4">
      <c r="A3481" s="7">
        <f ca="1">IFERROR(__xludf.DUMMYFUNCTION("""COMPUTED_VALUE"""),44316)</f>
        <v>44316</v>
      </c>
      <c r="B3481" s="6" t="str">
        <f ca="1">IFERROR(__xludf.DUMMYFUNCTION("""COMPUTED_VALUE"""),"-33.412307-71.153120")</f>
        <v>-33.412307-71.153120</v>
      </c>
      <c r="C3481" s="6" t="str">
        <f ca="1">IFERROR(__xludf.DUMMYFUNCTION("""COMPUTED_VALUE"""),"PJE DOS 20")</f>
        <v>PJE DOS 20</v>
      </c>
      <c r="D3481" s="6" t="str">
        <f ca="1">IFERROR(__xludf.DUMMYFUNCTION("""COMPUTED_VALUE"""),"CURACAVI")</f>
        <v>CURACAVI</v>
      </c>
    </row>
    <row r="3482" spans="1:4">
      <c r="A3482" s="7">
        <f ca="1">IFERROR(__xludf.DUMMYFUNCTION("""COMPUTED_VALUE"""),44316)</f>
        <v>44316</v>
      </c>
      <c r="B3482" s="6" t="str">
        <f ca="1">IFERROR(__xludf.DUMMYFUNCTION("""COMPUTED_VALUE"""),"-33.675386-70.975598")</f>
        <v>-33.675386-70.975598</v>
      </c>
      <c r="C3482" s="6" t="str">
        <f ca="1">IFERROR(__xludf.DUMMYFUNCTION("""COMPUTED_VALUE"""),"PAULA VERDUGO 243 LOS HEROES")</f>
        <v>PAULA VERDUGO 243 LOS HEROES</v>
      </c>
      <c r="D3482" s="6" t="str">
        <f ca="1">IFERROR(__xludf.DUMMYFUNCTION("""COMPUTED_VALUE"""),"EL MONTE")</f>
        <v>EL MONTE</v>
      </c>
    </row>
    <row r="3483" spans="1:4">
      <c r="A3483" s="7">
        <f ca="1">IFERROR(__xludf.DUMMYFUNCTION("""COMPUTED_VALUE"""),44316)</f>
        <v>44316</v>
      </c>
      <c r="B3483" s="6" t="str">
        <f ca="1">IFERROR(__xludf.DUMMYFUNCTION("""COMPUTED_VALUE"""),"-33.851793,-71.198164")</f>
        <v>-33.851793,-71.198164</v>
      </c>
      <c r="C3483" s="6" t="str">
        <f ca="1">IFERROR(__xludf.DUMMYFUNCTION("""COMPUTED_VALUE"""),"SECTOR TANTEHUE S/N/ 3496 SITIO 19")</f>
        <v>SECTOR TANTEHUE S/N/ 3496 SITIO 19</v>
      </c>
      <c r="D3483" s="6" t="str">
        <f ca="1">IFERROR(__xludf.DUMMYFUNCTION("""COMPUTED_VALUE"""),"MELIPILLA")</f>
        <v>MELIPILLA</v>
      </c>
    </row>
    <row r="3484" spans="1:4">
      <c r="A3484" s="7">
        <f ca="1">IFERROR(__xludf.DUMMYFUNCTION("""COMPUTED_VALUE"""),44316)</f>
        <v>44316</v>
      </c>
      <c r="B3484" s="8" t="str">
        <f ca="1">IFERROR(__xludf.DUMMYFUNCTION("""COMPUTED_VALUE"""),"-33.776093,-71.164111")</f>
        <v>-33.776093,-71.164111</v>
      </c>
      <c r="C3484" s="6" t="str">
        <f ca="1">IFERROR(__xludf.DUMMYFUNCTION("""COMPUTED_VALUE"""),"MANANTIALES PARCELA 31")</f>
        <v>MANANTIALES PARCELA 31</v>
      </c>
      <c r="D3484" s="6" t="str">
        <f ca="1">IFERROR(__xludf.DUMMYFUNCTION("""COMPUTED_VALUE"""),"MELIPILLA")</f>
        <v>MELIPILLA</v>
      </c>
    </row>
    <row r="3485" spans="1:4">
      <c r="A3485" s="7">
        <f ca="1">IFERROR(__xludf.DUMMYFUNCTION("""COMPUTED_VALUE"""),44316)</f>
        <v>44316</v>
      </c>
      <c r="B3485" s="8" t="str">
        <f ca="1">IFERROR(__xludf.DUMMYFUNCTION("""COMPUTED_VALUE"""),"-33.695492,-71.222729")</f>
        <v>-33.695492,-71.222729</v>
      </c>
      <c r="C3485" s="6" t="str">
        <f ca="1">IFERROR(__xludf.DUMMYFUNCTION("""COMPUTED_VALUE"""),"LANDEROS DEL REY #1171")</f>
        <v>LANDEROS DEL REY #1171</v>
      </c>
      <c r="D3485" s="6" t="str">
        <f ca="1">IFERROR(__xludf.DUMMYFUNCTION("""COMPUTED_VALUE"""),"MELIPILLA")</f>
        <v>MELIPILLA</v>
      </c>
    </row>
    <row r="3486" spans="1:4">
      <c r="A3486" s="7">
        <f ca="1">IFERROR(__xludf.DUMMYFUNCTION("""COMPUTED_VALUE"""),44317)</f>
        <v>44317</v>
      </c>
      <c r="B3486" s="6" t="str">
        <f ca="1">IFERROR(__xludf.DUMMYFUNCTION("""COMPUTED_VALUE"""),"-33.397228-71.130407")</f>
        <v>-33.397228-71.130407</v>
      </c>
      <c r="C3486" s="6" t="str">
        <f ca="1">IFERROR(__xludf.DUMMYFUNCTION("""COMPUTED_VALUE"""),"COVADONGA 592")</f>
        <v>COVADONGA 592</v>
      </c>
      <c r="D3486" s="6" t="str">
        <f ca="1">IFERROR(__xludf.DUMMYFUNCTION("""COMPUTED_VALUE"""),"CURACAVI")</f>
        <v>CURACAVI</v>
      </c>
    </row>
    <row r="3487" spans="1:4">
      <c r="A3487" s="7">
        <f ca="1">IFERROR(__xludf.DUMMYFUNCTION("""COMPUTED_VALUE"""),44317)</f>
        <v>44317</v>
      </c>
      <c r="B3487" s="6" t="str">
        <f ca="1">IFERROR(__xludf.DUMMYFUNCTION("""COMPUTED_VALUE"""),"-33.392736-71.122280")</f>
        <v>-33.392736-71.122280</v>
      </c>
      <c r="C3487" s="6" t="str">
        <f ca="1">IFERROR(__xludf.DUMMYFUNCTION("""COMPUTED_VALUE"""),"JOSE MANUEL GANDARILLAS 2163")</f>
        <v>JOSE MANUEL GANDARILLAS 2163</v>
      </c>
      <c r="D3487" s="6" t="str">
        <f ca="1">IFERROR(__xludf.DUMMYFUNCTION("""COMPUTED_VALUE"""),"CURACAVI")</f>
        <v>CURACAVI</v>
      </c>
    </row>
    <row r="3488" spans="1:4">
      <c r="A3488" s="7">
        <f ca="1">IFERROR(__xludf.DUMMYFUNCTION("""COMPUTED_VALUE"""),44319)</f>
        <v>44319</v>
      </c>
      <c r="B3488" s="8" t="str">
        <f ca="1">IFERROR(__xludf.DUMMYFUNCTION("""COMPUTED_VALUE"""),"-33.373193,-71.182356")</f>
        <v>-33.373193,-71.182356</v>
      </c>
      <c r="C3488" s="6" t="str">
        <f ca="1">IFERROR(__xludf.DUMMYFUNCTION("""COMPUTED_VALUE"""),"LA VIÑA EL TORO 54 PC 55")</f>
        <v>LA VIÑA EL TORO 54 PC 55</v>
      </c>
      <c r="D3488" s="6" t="str">
        <f ca="1">IFERROR(__xludf.DUMMYFUNCTION("""COMPUTED_VALUE"""),"CURACAVI")</f>
        <v>CURACAVI</v>
      </c>
    </row>
    <row r="3489" spans="1:4">
      <c r="A3489" s="7">
        <f ca="1">IFERROR(__xludf.DUMMYFUNCTION("""COMPUTED_VALUE"""),44319)</f>
        <v>44319</v>
      </c>
      <c r="B3489" s="8" t="str">
        <f ca="1">IFERROR(__xludf.DUMMYFUNCTION("""COMPUTED_VALUE"""),"-33.674337,-70.988403")</f>
        <v>-33.674337,-70.988403</v>
      </c>
      <c r="C3489" s="6" t="str">
        <f ca="1">IFERROR(__xludf.DUMMYFUNCTION("""COMPUTED_VALUE"""),"PASAJE LOS PUINDOS 626")</f>
        <v>PASAJE LOS PUINDOS 626</v>
      </c>
      <c r="D3489" s="6" t="str">
        <f ca="1">IFERROR(__xludf.DUMMYFUNCTION("""COMPUTED_VALUE"""),"EL MONTE")</f>
        <v>EL MONTE</v>
      </c>
    </row>
    <row r="3490" spans="1:4">
      <c r="A3490" s="7">
        <f ca="1">IFERROR(__xludf.DUMMYFUNCTION("""COMPUTED_VALUE"""),44319)</f>
        <v>44319</v>
      </c>
      <c r="B3490" s="8" t="str">
        <f ca="1">IFERROR(__xludf.DUMMYFUNCTION("""COMPUTED_VALUE"""),"-33.576902,-71.249729")</f>
        <v>-33.576902,-71.249729</v>
      </c>
      <c r="C3490" s="6" t="str">
        <f ca="1">IFERROR(__xludf.DUMMYFUNCTION("""COMPUTED_VALUE"""),"CAMINO MERY S/N SANTA FILOMENA PC 5")</f>
        <v>CAMINO MERY S/N SANTA FILOMENA PC 5</v>
      </c>
      <c r="D3490" s="6" t="str">
        <f ca="1">IFERROR(__xludf.DUMMYFUNCTION("""COMPUTED_VALUE"""),"MELIPILLA")</f>
        <v>MELIPILLA</v>
      </c>
    </row>
    <row r="3491" spans="1:4">
      <c r="A3491" s="7">
        <f ca="1">IFERROR(__xludf.DUMMYFUNCTION("""COMPUTED_VALUE"""),44319)</f>
        <v>44319</v>
      </c>
      <c r="B3491" s="6" t="str">
        <f ca="1">IFERROR(__xludf.DUMMYFUNCTION("""COMPUTED_VALUE"""),"-33.396819-71.131562")</f>
        <v>-33.396819-71.131562</v>
      </c>
      <c r="C3491" s="6" t="str">
        <f ca="1">IFERROR(__xludf.DUMMYFUNCTION("""COMPUTED_VALUE"""),"ALBERTO FELLEMBERG 1668")</f>
        <v>ALBERTO FELLEMBERG 1668</v>
      </c>
      <c r="D3491" s="6" t="str">
        <f ca="1">IFERROR(__xludf.DUMMYFUNCTION("""COMPUTED_VALUE"""),"CURACAVI")</f>
        <v>CURACAVI</v>
      </c>
    </row>
    <row r="3492" spans="1:4">
      <c r="A3492" s="7">
        <f ca="1">IFERROR(__xludf.DUMMYFUNCTION("""COMPUTED_VALUE"""),44319)</f>
        <v>44319</v>
      </c>
      <c r="B3492" s="6" t="str">
        <f ca="1">IFERROR(__xludf.DUMMYFUNCTION("""COMPUTED_VALUE"""),"-33.397419-71.131441")</f>
        <v>-33.397419-71.131441</v>
      </c>
      <c r="C3492" s="6" t="str">
        <f ca="1">IFERROR(__xludf.DUMMYFUNCTION("""COMPUTED_VALUE"""),"PJE MILAGROS 568")</f>
        <v>PJE MILAGROS 568</v>
      </c>
      <c r="D3492" s="6" t="str">
        <f ca="1">IFERROR(__xludf.DUMMYFUNCTION("""COMPUTED_VALUE"""),"CURACAVI")</f>
        <v>CURACAVI</v>
      </c>
    </row>
    <row r="3493" spans="1:4">
      <c r="A3493" s="7">
        <f ca="1">IFERROR(__xludf.DUMMYFUNCTION("""COMPUTED_VALUE"""),44319)</f>
        <v>44319</v>
      </c>
      <c r="B3493" s="6" t="str">
        <f ca="1">IFERROR(__xludf.DUMMYFUNCTION("""COMPUTED_VALUE"""),"-33.595739-70.885517")</f>
        <v>-33.595739-70.885517</v>
      </c>
      <c r="C3493" s="6" t="str">
        <f ca="1">IFERROR(__xludf.DUMMYFUNCTION("""COMPUTED_VALUE"""),"EL MUELLE 65")</f>
        <v>EL MUELLE 65</v>
      </c>
      <c r="D3493" s="6" t="str">
        <f ca="1">IFERROR(__xludf.DUMMYFUNCTION("""COMPUTED_VALUE"""),"PEÑAFLOR")</f>
        <v>PEÑAFLOR</v>
      </c>
    </row>
    <row r="3494" spans="1:4">
      <c r="A3494" s="7">
        <f ca="1">IFERROR(__xludf.DUMMYFUNCTION("""COMPUTED_VALUE"""),44319)</f>
        <v>44319</v>
      </c>
      <c r="B3494" s="6" t="str">
        <f ca="1">IFERROR(__xludf.DUMMYFUNCTION("""COMPUTED_VALUE"""),"-33.600113-70.883782")</f>
        <v>-33.600113-70.883782</v>
      </c>
      <c r="C3494" s="6" t="str">
        <f ca="1">IFERROR(__xludf.DUMMYFUNCTION("""COMPUTED_VALUE"""),"DOCE DE SEPTIEMBRE 2852")</f>
        <v>DOCE DE SEPTIEMBRE 2852</v>
      </c>
      <c r="D3494" s="6" t="str">
        <f ca="1">IFERROR(__xludf.DUMMYFUNCTION("""COMPUTED_VALUE"""),"PEÑAFLOR")</f>
        <v>PEÑAFLOR</v>
      </c>
    </row>
    <row r="3495" spans="1:4">
      <c r="A3495" s="7">
        <f ca="1">IFERROR(__xludf.DUMMYFUNCTION("""COMPUTED_VALUE"""),44319)</f>
        <v>44319</v>
      </c>
      <c r="B3495" s="6" t="str">
        <f ca="1">IFERROR(__xludf.DUMMYFUNCTION("""COMPUTED_VALUE"""),"-33.387604-71.125919")</f>
        <v>-33.387604-71.125919</v>
      </c>
      <c r="C3495" s="6" t="str">
        <f ca="1">IFERROR(__xludf.DUMMYFUNCTION("""COMPUTED_VALUE"""),"CUYUNCAVI ABAJO PARCELA 22")</f>
        <v>CUYUNCAVI ABAJO PARCELA 22</v>
      </c>
      <c r="D3495" s="6" t="str">
        <f ca="1">IFERROR(__xludf.DUMMYFUNCTION("""COMPUTED_VALUE"""),"CURACAVI")</f>
        <v>CURACAVI</v>
      </c>
    </row>
    <row r="3496" spans="1:4">
      <c r="A3496" s="7">
        <f ca="1">IFERROR(__xludf.DUMMYFUNCTION("""COMPUTED_VALUE"""),44319)</f>
        <v>44319</v>
      </c>
      <c r="B3496" s="6" t="str">
        <f ca="1">IFERROR(__xludf.DUMMYFUNCTION("""COMPUTED_VALUE"""),"-33.433534-71.165220")</f>
        <v>-33.433534-71.165220</v>
      </c>
      <c r="C3496" s="6" t="str">
        <f ca="1">IFERROR(__xludf.DUMMYFUNCTION("""COMPUTED_VALUE"""),"LOS CAPACHOS LOTE A-B")</f>
        <v>LOS CAPACHOS LOTE A-B</v>
      </c>
      <c r="D3496" s="6" t="str">
        <f ca="1">IFERROR(__xludf.DUMMYFUNCTION("""COMPUTED_VALUE"""),"CURACAVI")</f>
        <v>CURACAVI</v>
      </c>
    </row>
    <row r="3497" spans="1:4">
      <c r="A3497" s="7">
        <f ca="1">IFERROR(__xludf.DUMMYFUNCTION("""COMPUTED_VALUE"""),44319)</f>
        <v>44319</v>
      </c>
      <c r="B3497" s="6" t="str">
        <f ca="1">IFERROR(__xludf.DUMMYFUNCTION("""COMPUTED_VALUE"""),"-33.393519-71.128615")</f>
        <v>-33.393519-71.128615</v>
      </c>
      <c r="C3497" s="6" t="str">
        <f ca="1">IFERROR(__xludf.DUMMYFUNCTION("""COMPUTED_VALUE"""),"CUATRO NORTE 1995")</f>
        <v>CUATRO NORTE 1995</v>
      </c>
      <c r="D3497" s="6" t="str">
        <f ca="1">IFERROR(__xludf.DUMMYFUNCTION("""COMPUTED_VALUE"""),"CURACAVI")</f>
        <v>CURACAVI</v>
      </c>
    </row>
    <row r="3498" spans="1:4">
      <c r="A3498" s="7">
        <f ca="1">IFERROR(__xludf.DUMMYFUNCTION("""COMPUTED_VALUE"""),44319)</f>
        <v>44319</v>
      </c>
      <c r="B3498" s="6" t="str">
        <f ca="1">IFERROR(__xludf.DUMMYFUNCTION("""COMPUTED_VALUE"""),"-33.45433-71.02526")</f>
        <v>-33.45433-71.02526</v>
      </c>
      <c r="C3498" s="6" t="str">
        <f ca="1">IFERROR(__xludf.DUMMYFUNCTION("""COMPUTED_VALUE"""),"UNION CHILENA P-25 S-36")</f>
        <v>UNION CHILENA P-25 S-36</v>
      </c>
      <c r="D3498" s="6" t="str">
        <f ca="1">IFERROR(__xludf.DUMMYFUNCTION("""COMPUTED_VALUE"""),"CURACAVI")</f>
        <v>CURACAVI</v>
      </c>
    </row>
    <row r="3499" spans="1:4">
      <c r="A3499" s="7">
        <f ca="1">IFERROR(__xludf.DUMMYFUNCTION("""COMPUTED_VALUE"""),44319)</f>
        <v>44319</v>
      </c>
      <c r="B3499" s="6" t="str">
        <f ca="1">IFERROR(__xludf.DUMMYFUNCTION("""COMPUTED_VALUE"""),"-33.45097-71.02808")</f>
        <v>-33.45097-71.02808</v>
      </c>
      <c r="C3499" s="6" t="str">
        <f ca="1">IFERROR(__xludf.DUMMYFUNCTION("""COMPUTED_VALUE"""),"UNION CHILENA P-1 S-26")</f>
        <v>UNION CHILENA P-1 S-26</v>
      </c>
      <c r="D3499" s="6" t="str">
        <f ca="1">IFERROR(__xludf.DUMMYFUNCTION("""COMPUTED_VALUE"""),"CURACAVI")</f>
        <v>CURACAVI</v>
      </c>
    </row>
    <row r="3500" spans="1:4">
      <c r="A3500" s="7">
        <f ca="1">IFERROR(__xludf.DUMMYFUNCTION("""COMPUTED_VALUE"""),44319)</f>
        <v>44319</v>
      </c>
      <c r="B3500" s="8" t="str">
        <f ca="1">IFERROR(__xludf.DUMMYFUNCTION("""COMPUTED_VALUE"""),"-33.574632,-71.031488")</f>
        <v>-33.574632,-71.031488</v>
      </c>
      <c r="C3500" s="6" t="str">
        <f ca="1">IFERROR(__xludf.DUMMYFUNCTION("""COMPUTED_VALUE"""),"STA TERESA DE MALLARAUCO")</f>
        <v>STA TERESA DE MALLARAUCO</v>
      </c>
      <c r="D3500" s="6" t="str">
        <f ca="1">IFERROR(__xludf.DUMMYFUNCTION("""COMPUTED_VALUE"""),"MELIPILLA")</f>
        <v>MELIPILLA</v>
      </c>
    </row>
    <row r="3501" spans="1:4">
      <c r="A3501" s="7">
        <f ca="1">IFERROR(__xludf.DUMMYFUNCTION("""COMPUTED_VALUE"""),44319)</f>
        <v>44319</v>
      </c>
      <c r="B3501" s="8" t="str">
        <f ca="1">IFERROR(__xludf.DUMMYFUNCTION("""COMPUTED_VALUE"""),"-33.811923,-71.329006")</f>
        <v>-33.811923,-71.329006</v>
      </c>
      <c r="C3501" s="6" t="str">
        <f ca="1">IFERROR(__xludf.DUMMYFUNCTION("""COMPUTED_VALUE"""),"CULIPRAN S/N P375")</f>
        <v>CULIPRAN S/N P375</v>
      </c>
      <c r="D3501" s="6" t="str">
        <f ca="1">IFERROR(__xludf.DUMMYFUNCTION("""COMPUTED_VALUE"""),"MELIPILLA")</f>
        <v>MELIPILLA</v>
      </c>
    </row>
    <row r="3502" spans="1:4">
      <c r="A3502" s="7">
        <f ca="1">IFERROR(__xludf.DUMMYFUNCTION("""COMPUTED_VALUE"""),44320)</f>
        <v>44320</v>
      </c>
      <c r="B3502" s="8" t="str">
        <f ca="1">IFERROR(__xludf.DUMMYFUNCTION("""COMPUTED_VALUE"""),"-33.578191,-71.177448")</f>
        <v>-33.578191,-71.177448</v>
      </c>
      <c r="C3502" s="6" t="str">
        <f ca="1">IFERROR(__xludf.DUMMYFUNCTION("""COMPUTED_VALUE"""),"SANTA LUCIA PARCELA 1")</f>
        <v>SANTA LUCIA PARCELA 1</v>
      </c>
      <c r="D3502" s="6" t="str">
        <f ca="1">IFERROR(__xludf.DUMMYFUNCTION("""COMPUTED_VALUE"""),"MELIPILLA")</f>
        <v>MELIPILLA</v>
      </c>
    </row>
    <row r="3503" spans="1:4">
      <c r="A3503" s="7">
        <f ca="1">IFERROR(__xludf.DUMMYFUNCTION("""COMPUTED_VALUE"""),44320)</f>
        <v>44320</v>
      </c>
      <c r="B3503" s="8" t="str">
        <f ca="1">IFERROR(__xludf.DUMMYFUNCTION("""COMPUTED_VALUE"""),"-33.567534,-71.165524")</f>
        <v>-33.567534,-71.165524</v>
      </c>
      <c r="C3503" s="6" t="str">
        <f ca="1">IFERROR(__xludf.DUMMYFUNCTION("""COMPUTED_VALUE"""),"SAN ROMON DE MALLARACO SITIO AR")</f>
        <v>SAN ROMON DE MALLARACO SITIO AR</v>
      </c>
      <c r="D3503" s="6" t="str">
        <f ca="1">IFERROR(__xludf.DUMMYFUNCTION("""COMPUTED_VALUE"""),"MELIPILLA")</f>
        <v>MELIPILLA</v>
      </c>
    </row>
    <row r="3504" spans="1:4">
      <c r="A3504" s="7">
        <f ca="1">IFERROR(__xludf.DUMMYFUNCTION("""COMPUTED_VALUE"""),44320)</f>
        <v>44320</v>
      </c>
      <c r="B3504" s="8" t="str">
        <f ca="1">IFERROR(__xludf.DUMMYFUNCTION("""COMPUTED_VALUE"""),"-33.388984,-71.183944")</f>
        <v>-33.388984,-71.183944</v>
      </c>
      <c r="C3504" s="6" t="str">
        <f ca="1">IFERROR(__xludf.DUMMYFUNCTION("""COMPUTED_VALUE"""),"CAMINO EL TORO S/N ")</f>
        <v xml:space="preserve">CAMINO EL TORO S/N </v>
      </c>
      <c r="D3504" s="6" t="str">
        <f ca="1">IFERROR(__xludf.DUMMYFUNCTION("""COMPUTED_VALUE"""),"CURACAVI")</f>
        <v>CURACAVI</v>
      </c>
    </row>
    <row r="3505" spans="1:4">
      <c r="A3505" s="7">
        <f ca="1">IFERROR(__xludf.DUMMYFUNCTION("""COMPUTED_VALUE"""),44320)</f>
        <v>44320</v>
      </c>
      <c r="B3505" s="8" t="str">
        <f ca="1">IFERROR(__xludf.DUMMYFUNCTION("""COMPUTED_VALUE"""),"-33.674315,-70.989279")</f>
        <v>-33.674315,-70.989279</v>
      </c>
      <c r="C3505" s="6" t="str">
        <f ca="1">IFERROR(__xludf.DUMMYFUNCTION("""COMPUTED_VALUE"""),"PASAJE LOS PUINDOS 629")</f>
        <v>PASAJE LOS PUINDOS 629</v>
      </c>
      <c r="D3505" s="6" t="str">
        <f ca="1">IFERROR(__xludf.DUMMYFUNCTION("""COMPUTED_VALUE"""),"EL MONTE")</f>
        <v>EL MONTE</v>
      </c>
    </row>
    <row r="3506" spans="1:4">
      <c r="A3506" s="7">
        <f ca="1">IFERROR(__xludf.DUMMYFUNCTION("""COMPUTED_VALUE"""),44320)</f>
        <v>44320</v>
      </c>
      <c r="B3506" s="8" t="str">
        <f ca="1">IFERROR(__xludf.DUMMYFUNCTION("""COMPUTED_VALUE"""),"-33.654343,-70.910240")</f>
        <v>-33.654343,-70.910240</v>
      </c>
      <c r="C3506" s="6" t="str">
        <f ca="1">IFERROR(__xludf.DUMMYFUNCTION("""COMPUTED_VALUE"""),"OJOS DEL SALADO 607")</f>
        <v>OJOS DEL SALADO 607</v>
      </c>
      <c r="D3506" s="6" t="str">
        <f ca="1">IFERROR(__xludf.DUMMYFUNCTION("""COMPUTED_VALUE"""),"TALAGANTE")</f>
        <v>TALAGANTE</v>
      </c>
    </row>
    <row r="3507" spans="1:4">
      <c r="A3507" s="7">
        <f ca="1">IFERROR(__xludf.DUMMYFUNCTION("""COMPUTED_VALUE"""),44320)</f>
        <v>44320</v>
      </c>
      <c r="B3507" s="8" t="str">
        <f ca="1">IFERROR(__xludf.DUMMYFUNCTION("""COMPUTED_VALUE"""),"-33.735856,-70.757726")</f>
        <v>-33.735856,-70.757726</v>
      </c>
      <c r="C3507" s="6" t="str">
        <f ca="1">IFERROR(__xludf.DUMMYFUNCTION("""COMPUTED_VALUE"""),"ENRIQUE AVILA MEJIA 1726")</f>
        <v>ENRIQUE AVILA MEJIA 1726</v>
      </c>
      <c r="D3507" s="6" t="str">
        <f ca="1">IFERROR(__xludf.DUMMYFUNCTION("""COMPUTED_VALUE"""),"BUIN")</f>
        <v>BUIN</v>
      </c>
    </row>
    <row r="3508" spans="1:4">
      <c r="A3508" s="7">
        <f ca="1">IFERROR(__xludf.DUMMYFUNCTION("""COMPUTED_VALUE"""),44320)</f>
        <v>44320</v>
      </c>
      <c r="B3508" s="6" t="str">
        <f ca="1">IFERROR(__xludf.DUMMYFUNCTION("""COMPUTED_VALUE"""),"-33.453314-71.026049")</f>
        <v>-33.453314-71.026049</v>
      </c>
      <c r="C3508" s="6" t="str">
        <f ca="1">IFERROR(__xludf.DUMMYFUNCTION("""COMPUTED_VALUE"""),"UNION CHILENA 29")</f>
        <v>UNION CHILENA 29</v>
      </c>
      <c r="D3508" s="6" t="str">
        <f ca="1">IFERROR(__xludf.DUMMYFUNCTION("""COMPUTED_VALUE"""),"CURACAVI")</f>
        <v>CURACAVI</v>
      </c>
    </row>
    <row r="3509" spans="1:4">
      <c r="A3509" s="7">
        <f ca="1">IFERROR(__xludf.DUMMYFUNCTION("""COMPUTED_VALUE"""),44320)</f>
        <v>44320</v>
      </c>
      <c r="B3509" s="6" t="str">
        <f ca="1">IFERROR(__xludf.DUMMYFUNCTION("""COMPUTED_VALUE"""),"-33.407959-71.131716")</f>
        <v>-33.407959-71.131716</v>
      </c>
      <c r="C3509" s="6" t="str">
        <f ca="1">IFERROR(__xludf.DUMMYFUNCTION("""COMPUTED_VALUE"""),"CINCO SUR C/17")</f>
        <v>CINCO SUR C/17</v>
      </c>
      <c r="D3509" s="6" t="str">
        <f ca="1">IFERROR(__xludf.DUMMYFUNCTION("""COMPUTED_VALUE"""),"CURACAVI")</f>
        <v>CURACAVI</v>
      </c>
    </row>
    <row r="3510" spans="1:4">
      <c r="A3510" s="7">
        <f ca="1">IFERROR(__xludf.DUMMYFUNCTION("""COMPUTED_VALUE"""),44320)</f>
        <v>44320</v>
      </c>
      <c r="B3510" s="6" t="str">
        <f ca="1">IFERROR(__xludf.DUMMYFUNCTION("""COMPUTED_VALUE"""),"-33.412111-71.152785")</f>
        <v>-33.412111-71.152785</v>
      </c>
      <c r="C3510" s="6" t="str">
        <f ca="1">IFERROR(__xludf.DUMMYFUNCTION("""COMPUTED_VALUE"""),"PASAJE UNO 96")</f>
        <v>PASAJE UNO 96</v>
      </c>
      <c r="D3510" s="6" t="str">
        <f ca="1">IFERROR(__xludf.DUMMYFUNCTION("""COMPUTED_VALUE"""),"CURACAVI")</f>
        <v>CURACAVI</v>
      </c>
    </row>
    <row r="3511" spans="1:4">
      <c r="A3511" s="7">
        <f ca="1">IFERROR(__xludf.DUMMYFUNCTION("""COMPUTED_VALUE"""),44320)</f>
        <v>44320</v>
      </c>
      <c r="B3511" s="6" t="str">
        <f ca="1">IFERROR(__xludf.DUMMYFUNCTION("""COMPUTED_VALUE"""),"-33.407309-71.127688")</f>
        <v>-33.407309-71.127688</v>
      </c>
      <c r="C3511" s="6" t="str">
        <f ca="1">IFERROR(__xludf.DUMMYFUNCTION("""COMPUTED_VALUE"""),"FRANCISCO JOFRE 1817")</f>
        <v>FRANCISCO JOFRE 1817</v>
      </c>
      <c r="D3511" s="6" t="str">
        <f ca="1">IFERROR(__xludf.DUMMYFUNCTION("""COMPUTED_VALUE"""),"CURACAVI")</f>
        <v>CURACAVI</v>
      </c>
    </row>
    <row r="3512" spans="1:4">
      <c r="A3512" s="7">
        <f ca="1">IFERROR(__xludf.DUMMYFUNCTION("""COMPUTED_VALUE"""),44320)</f>
        <v>44320</v>
      </c>
      <c r="B3512" s="6" t="str">
        <f ca="1">IFERROR(__xludf.DUMMYFUNCTION("""COMPUTED_VALUE"""),"-33.460239-71.049244")</f>
        <v>-33.460239-71.049244</v>
      </c>
      <c r="C3512" s="6" t="str">
        <f ca="1">IFERROR(__xludf.DUMMYFUNCTION("""COMPUTED_VALUE"""),"SAN JOAQUIN LOTE 1B")</f>
        <v>SAN JOAQUIN LOTE 1B</v>
      </c>
      <c r="D3512" s="6" t="str">
        <f ca="1">IFERROR(__xludf.DUMMYFUNCTION("""COMPUTED_VALUE"""),"CURACAVI")</f>
        <v>CURACAVI</v>
      </c>
    </row>
    <row r="3513" spans="1:4">
      <c r="A3513" s="7">
        <f ca="1">IFERROR(__xludf.DUMMYFUNCTION("""COMPUTED_VALUE"""),44320)</f>
        <v>44320</v>
      </c>
      <c r="B3513" s="6" t="str">
        <f ca="1">IFERROR(__xludf.DUMMYFUNCTION("""COMPUTED_VALUE"""),"-33.659688-70.921547")</f>
        <v>-33.659688-70.921547</v>
      </c>
      <c r="C3513" s="6" t="str">
        <f ca="1">IFERROR(__xludf.DUMMYFUNCTION("""COMPUTED_VALUE"""),"JOSE MIGUEL CARRERA 687")</f>
        <v>JOSE MIGUEL CARRERA 687</v>
      </c>
      <c r="D3513" s="6" t="str">
        <f ca="1">IFERROR(__xludf.DUMMYFUNCTION("""COMPUTED_VALUE"""),"TALAGANTE")</f>
        <v>TALAGANTE</v>
      </c>
    </row>
    <row r="3514" spans="1:4">
      <c r="A3514" s="7">
        <f ca="1">IFERROR(__xludf.DUMMYFUNCTION("""COMPUTED_VALUE"""),44320)</f>
        <v>44320</v>
      </c>
      <c r="B3514" s="8" t="str">
        <f ca="1">IFERROR(__xludf.DUMMYFUNCTION("""COMPUTED_VALUE"""),"-33.658198,-71.314381")</f>
        <v>-33.658198,-71.314381</v>
      </c>
      <c r="C3514" s="6" t="str">
        <f ca="1">IFERROR(__xludf.DUMMYFUNCTION("""COMPUTED_VALUE"""),"TROPEZON P8B")</f>
        <v>TROPEZON P8B</v>
      </c>
      <c r="D3514" s="6" t="str">
        <f ca="1">IFERROR(__xludf.DUMMYFUNCTION("""COMPUTED_VALUE"""),"MELIPILLA")</f>
        <v>MELIPILLA</v>
      </c>
    </row>
    <row r="3515" spans="1:4">
      <c r="A3515" s="7">
        <f ca="1">IFERROR(__xludf.DUMMYFUNCTION("""COMPUTED_VALUE"""),44320)</f>
        <v>44320</v>
      </c>
      <c r="B3515" s="8" t="str">
        <f ca="1">IFERROR(__xludf.DUMMYFUNCTION("""COMPUTED_VALUE"""),"-33.658198,-71.314381")</f>
        <v>-33.658198,-71.314381</v>
      </c>
      <c r="C3515" s="6" t="str">
        <f ca="1">IFERROR(__xludf.DUMMYFUNCTION("""COMPUTED_VALUE"""),"TROPEZON P8B")</f>
        <v>TROPEZON P8B</v>
      </c>
      <c r="D3515" s="6" t="str">
        <f ca="1">IFERROR(__xludf.DUMMYFUNCTION("""COMPUTED_VALUE"""),"MELIPILLA")</f>
        <v>MELIPILLA</v>
      </c>
    </row>
    <row r="3516" spans="1:4">
      <c r="A3516" s="7">
        <f ca="1">IFERROR(__xludf.DUMMYFUNCTION("""COMPUTED_VALUE"""),44321)</f>
        <v>44321</v>
      </c>
      <c r="B3516" s="8" t="str">
        <f ca="1">IFERROR(__xludf.DUMMYFUNCTION("""COMPUTED_VALUE"""),"-33.543416,-71.223731")</f>
        <v>-33.543416,-71.223731</v>
      </c>
      <c r="C3516" s="6" t="str">
        <f ca="1">IFERROR(__xludf.DUMMYFUNCTION("""COMPUTED_VALUE"""),"CHOROMBO S/N")</f>
        <v>CHOROMBO S/N</v>
      </c>
      <c r="D3516" s="6" t="str">
        <f ca="1">IFERROR(__xludf.DUMMYFUNCTION("""COMPUTED_VALUE"""),"MARIA PINTO")</f>
        <v>MARIA PINTO</v>
      </c>
    </row>
    <row r="3517" spans="1:4">
      <c r="A3517" s="7">
        <f ca="1">IFERROR(__xludf.DUMMYFUNCTION("""COMPUTED_VALUE"""),44321)</f>
        <v>44321</v>
      </c>
      <c r="B3517" s="8" t="str">
        <f ca="1">IFERROR(__xludf.DUMMYFUNCTION("""COMPUTED_VALUE"""),"-33.744059,-70.745852")</f>
        <v>-33.744059,-70.745852</v>
      </c>
      <c r="C3517" s="6" t="str">
        <f ca="1">IFERROR(__xludf.DUMMYFUNCTION("""COMPUTED_VALUE"""),"VILLASECA 555 C/2")</f>
        <v>VILLASECA 555 C/2</v>
      </c>
      <c r="D3517" s="6" t="str">
        <f ca="1">IFERROR(__xludf.DUMMYFUNCTION("""COMPUTED_VALUE"""),"BUIN")</f>
        <v>BUIN</v>
      </c>
    </row>
    <row r="3518" spans="1:4">
      <c r="A3518" s="7">
        <f ca="1">IFERROR(__xludf.DUMMYFUNCTION("""COMPUTED_VALUE"""),44321)</f>
        <v>44321</v>
      </c>
      <c r="B3518" s="8" t="str">
        <f ca="1">IFERROR(__xludf.DUMMYFUNCTION("""COMPUTED_VALUE"""),"-33.394872,-71.125565")</f>
        <v>-33.394872,-71.125565</v>
      </c>
      <c r="C3518" s="6" t="str">
        <f ca="1">IFERROR(__xludf.DUMMYFUNCTION("""COMPUTED_VALUE"""),"LUIS CRUCHAGA 692")</f>
        <v>LUIS CRUCHAGA 692</v>
      </c>
      <c r="D3518" s="6" t="str">
        <f ca="1">IFERROR(__xludf.DUMMYFUNCTION("""COMPUTED_VALUE"""),"CURACAVI")</f>
        <v>CURACAVI</v>
      </c>
    </row>
    <row r="3519" spans="1:4">
      <c r="A3519" s="7">
        <f ca="1">IFERROR(__xludf.DUMMYFUNCTION("""COMPUTED_VALUE"""),44321)</f>
        <v>44321</v>
      </c>
      <c r="B3519" s="6" t="str">
        <f ca="1">IFERROR(__xludf.DUMMYFUNCTION("""COMPUTED_VALUE"""),"-33.405825-71.145373")</f>
        <v>-33.405825-71.145373</v>
      </c>
      <c r="C3519" s="6" t="str">
        <f ca="1">IFERROR(__xludf.DUMMYFUNCTION("""COMPUTED_VALUE"""),"EL CERRO 510 LOTE B")</f>
        <v>EL CERRO 510 LOTE B</v>
      </c>
      <c r="D3519" s="6" t="str">
        <f ca="1">IFERROR(__xludf.DUMMYFUNCTION("""COMPUTED_VALUE"""),"CURACAVI")</f>
        <v>CURACAVI</v>
      </c>
    </row>
    <row r="3520" spans="1:4">
      <c r="A3520" s="7">
        <f ca="1">IFERROR(__xludf.DUMMYFUNCTION("""COMPUTED_VALUE"""),44321)</f>
        <v>44321</v>
      </c>
      <c r="B3520" s="6" t="str">
        <f ca="1">IFERROR(__xludf.DUMMYFUNCTION("""COMPUTED_VALUE"""),"-33.495443-71.032013")</f>
        <v>-33.495443-71.032013</v>
      </c>
      <c r="C3520" s="6" t="str">
        <f ca="1">IFERROR(__xludf.DUMMYFUNCTION("""COMPUTED_VALUE"""),"LA PATAGUILLA S/N")</f>
        <v>LA PATAGUILLA S/N</v>
      </c>
      <c r="D3520" s="6" t="str">
        <f ca="1">IFERROR(__xludf.DUMMYFUNCTION("""COMPUTED_VALUE"""),"CURACAVI")</f>
        <v>CURACAVI</v>
      </c>
    </row>
    <row r="3521" spans="1:4">
      <c r="A3521" s="7">
        <f ca="1">IFERROR(__xludf.DUMMYFUNCTION("""COMPUTED_VALUE"""),44321)</f>
        <v>44321</v>
      </c>
      <c r="B3521" s="6" t="str">
        <f ca="1">IFERROR(__xludf.DUMMYFUNCTION("""COMPUTED_VALUE"""),"-33.44301-71.02924")</f>
        <v>-33.44301-71.02924</v>
      </c>
      <c r="C3521" s="6" t="str">
        <f ca="1">IFERROR(__xludf.DUMMYFUNCTION("""COMPUTED_VALUE"""),"UNION CHILENA S-7 L-3")</f>
        <v>UNION CHILENA S-7 L-3</v>
      </c>
      <c r="D3521" s="6" t="str">
        <f ca="1">IFERROR(__xludf.DUMMYFUNCTION("""COMPUTED_VALUE"""),"CURACAVI")</f>
        <v>CURACAVI</v>
      </c>
    </row>
    <row r="3522" spans="1:4">
      <c r="A3522" s="7">
        <f ca="1">IFERROR(__xludf.DUMMYFUNCTION("""COMPUTED_VALUE"""),44321)</f>
        <v>44321</v>
      </c>
      <c r="B3522" s="6" t="str">
        <f ca="1">IFERROR(__xludf.DUMMYFUNCTION("""COMPUTED_VALUE"""),"-33.45373-71.02628")</f>
        <v>-33.45373-71.02628</v>
      </c>
      <c r="C3522" s="6" t="str">
        <f ca="1">IFERROR(__xludf.DUMMYFUNCTION("""COMPUTED_VALUE"""),"UNION CHILENA S/34")</f>
        <v>UNION CHILENA S/34</v>
      </c>
      <c r="D3522" s="6" t="str">
        <f ca="1">IFERROR(__xludf.DUMMYFUNCTION("""COMPUTED_VALUE"""),"CURACAVI")</f>
        <v>CURACAVI</v>
      </c>
    </row>
    <row r="3523" spans="1:4">
      <c r="A3523" s="7">
        <f ca="1">IFERROR(__xludf.DUMMYFUNCTION("""COMPUTED_VALUE"""),44321)</f>
        <v>44321</v>
      </c>
      <c r="B3523" s="6" t="str">
        <f ca="1">IFERROR(__xludf.DUMMYFUNCTION("""COMPUTED_VALUE"""),"-33.45987-71.02643")</f>
        <v>-33.45987-71.02643</v>
      </c>
      <c r="C3523" s="6" t="str">
        <f ca="1">IFERROR(__xludf.DUMMYFUNCTION("""COMPUTED_VALUE"""),"CUESTA VIEJA P/11")</f>
        <v>CUESTA VIEJA P/11</v>
      </c>
      <c r="D3523" s="6" t="str">
        <f ca="1">IFERROR(__xludf.DUMMYFUNCTION("""COMPUTED_VALUE"""),"CURACAVI")</f>
        <v>CURACAVI</v>
      </c>
    </row>
    <row r="3524" spans="1:4">
      <c r="A3524" s="7">
        <f ca="1">IFERROR(__xludf.DUMMYFUNCTION("""COMPUTED_VALUE"""),44321)</f>
        <v>44321</v>
      </c>
      <c r="B3524" s="6" t="str">
        <f ca="1">IFERROR(__xludf.DUMMYFUNCTION("""COMPUTED_VALUE"""),"-33.294114-70.886710")</f>
        <v>-33.294114-70.886710</v>
      </c>
      <c r="C3524" s="6" t="str">
        <f ca="1">IFERROR(__xludf.DUMMYFUNCTION("""COMPUTED_VALUE"""),"PUNTA ARENAS 12")</f>
        <v>PUNTA ARENAS 12</v>
      </c>
      <c r="D3524" s="6" t="str">
        <f ca="1">IFERROR(__xludf.DUMMYFUNCTION("""COMPUTED_VALUE"""),"LAMPA")</f>
        <v>LAMPA</v>
      </c>
    </row>
    <row r="3525" spans="1:4">
      <c r="A3525" s="7">
        <f ca="1">IFERROR(__xludf.DUMMYFUNCTION("""COMPUTED_VALUE"""),44321)</f>
        <v>44321</v>
      </c>
      <c r="B3525" s="6" t="str">
        <f ca="1">IFERROR(__xludf.DUMMYFUNCTION("""COMPUTED_VALUE"""),"-33.395675-71.129783")</f>
        <v>-33.395675-71.129783</v>
      </c>
      <c r="C3525" s="6" t="str">
        <f ca="1">IFERROR(__xludf.DUMMYFUNCTION("""COMPUTED_VALUE"""),"BOMBERO GASTON ITURRI 1763")</f>
        <v>BOMBERO GASTON ITURRI 1763</v>
      </c>
      <c r="D3525" s="6" t="str">
        <f ca="1">IFERROR(__xludf.DUMMYFUNCTION("""COMPUTED_VALUE"""),"CURACAVI")</f>
        <v>CURACAVI</v>
      </c>
    </row>
    <row r="3526" spans="1:4">
      <c r="A3526" s="7">
        <f ca="1">IFERROR(__xludf.DUMMYFUNCTION("""COMPUTED_VALUE"""),44321)</f>
        <v>44321</v>
      </c>
      <c r="B3526" s="6" t="str">
        <f ca="1">IFERROR(__xludf.DUMMYFUNCTION("""COMPUTED_VALUE"""),"-33.299436-70.879040")</f>
        <v>-33.299436-70.879040</v>
      </c>
      <c r="C3526" s="6" t="str">
        <f ca="1">IFERROR(__xludf.DUMMYFUNCTION("""COMPUTED_VALUE"""),"CAM LAS FLORES 1008 C/37")</f>
        <v>CAM LAS FLORES 1008 C/37</v>
      </c>
      <c r="D3526" s="6" t="str">
        <f ca="1">IFERROR(__xludf.DUMMYFUNCTION("""COMPUTED_VALUE"""),"LAMPA")</f>
        <v>LAMPA</v>
      </c>
    </row>
    <row r="3527" spans="1:4">
      <c r="A3527" s="7">
        <f ca="1">IFERROR(__xludf.DUMMYFUNCTION("""COMPUTED_VALUE"""),44321)</f>
        <v>44321</v>
      </c>
      <c r="B3527" s="6" t="str">
        <f ca="1">IFERROR(__xludf.DUMMYFUNCTION("""COMPUTED_VALUE"""),"-33.288767-70.875622")</f>
        <v>-33.288767-70.875622</v>
      </c>
      <c r="C3527" s="6" t="str">
        <f ca="1">IFERROR(__xludf.DUMMYFUNCTION("""COMPUTED_VALUE"""),"MAIPO 33")</f>
        <v>MAIPO 33</v>
      </c>
      <c r="D3527" s="6" t="str">
        <f ca="1">IFERROR(__xludf.DUMMYFUNCTION("""COMPUTED_VALUE"""),"LAMPA")</f>
        <v>LAMPA</v>
      </c>
    </row>
    <row r="3528" spans="1:4">
      <c r="A3528" s="7">
        <f ca="1">IFERROR(__xludf.DUMMYFUNCTION("""COMPUTED_VALUE"""),44321)</f>
        <v>44321</v>
      </c>
      <c r="B3528" s="8" t="str">
        <f ca="1">IFERROR(__xludf.DUMMYFUNCTION("""COMPUTED_VALUE"""),"-33.681560,-71.202313")</f>
        <v>-33.681560,-71.202313</v>
      </c>
      <c r="C3528" s="6" t="str">
        <f ca="1">IFERROR(__xludf.DUMMYFUNCTION("""COMPUTED_VALUE"""),"CAP TRIZANO 46")</f>
        <v>CAP TRIZANO 46</v>
      </c>
      <c r="D3528" s="6" t="str">
        <f ca="1">IFERROR(__xludf.DUMMYFUNCTION("""COMPUTED_VALUE"""),"MELIPILLA")</f>
        <v>MELIPILLA</v>
      </c>
    </row>
    <row r="3529" spans="1:4">
      <c r="A3529" s="7">
        <f ca="1">IFERROR(__xludf.DUMMYFUNCTION("""COMPUTED_VALUE"""),44321)</f>
        <v>44321</v>
      </c>
      <c r="B3529" s="8" t="str">
        <f ca="1">IFERROR(__xludf.DUMMYFUNCTION("""COMPUTED_VALUE"""),"-33.656347,-71.280164")</f>
        <v>-33.656347,-71.280164</v>
      </c>
      <c r="C3529" s="6" t="str">
        <f ca="1">IFERROR(__xludf.DUMMYFUNCTION("""COMPUTED_VALUE"""),"ANAKITA #60")</f>
        <v>ANAKITA #60</v>
      </c>
      <c r="D3529" s="6" t="str">
        <f ca="1">IFERROR(__xludf.DUMMYFUNCTION("""COMPUTED_VALUE"""),"MELIPILLA")</f>
        <v>MELIPILLA</v>
      </c>
    </row>
    <row r="3530" spans="1:4">
      <c r="A3530" s="7">
        <f ca="1">IFERROR(__xludf.DUMMYFUNCTION("""COMPUTED_VALUE"""),44322)</f>
        <v>44322</v>
      </c>
      <c r="B3530" s="8" t="str">
        <f ca="1">IFERROR(__xludf.DUMMYFUNCTION("""COMPUTED_VALUE"""),"-33.699748,-71.217833")</f>
        <v>-33.699748,-71.217833</v>
      </c>
      <c r="C3530" s="6" t="str">
        <f ca="1">IFERROR(__xludf.DUMMYFUNCTION("""COMPUTED_VALUE"""),"SILVA CHAVEZ 1632")</f>
        <v>SILVA CHAVEZ 1632</v>
      </c>
      <c r="D3530" s="6" t="str">
        <f ca="1">IFERROR(__xludf.DUMMYFUNCTION("""COMPUTED_VALUE"""),"MELIPILLA")</f>
        <v>MELIPILLA</v>
      </c>
    </row>
    <row r="3531" spans="1:4">
      <c r="A3531" s="7">
        <f ca="1">IFERROR(__xludf.DUMMYFUNCTION("""COMPUTED_VALUE"""),44322)</f>
        <v>44322</v>
      </c>
      <c r="B3531" s="6" t="str">
        <f ca="1">IFERROR(__xludf.DUMMYFUNCTION("""COMPUTED_VALUE"""),"-33.602878-70.853968")</f>
        <v>-33.602878-70.853968</v>
      </c>
      <c r="C3531" s="6" t="str">
        <f ca="1">IFERROR(__xludf.DUMMYFUNCTION("""COMPUTED_VALUE"""),"AV. MIRAFLORES 360")</f>
        <v>AV. MIRAFLORES 360</v>
      </c>
      <c r="D3531" s="6" t="str">
        <f ca="1">IFERROR(__xludf.DUMMYFUNCTION("""COMPUTED_VALUE"""),"PEÑAFLOR")</f>
        <v>PEÑAFLOR</v>
      </c>
    </row>
    <row r="3532" spans="1:4">
      <c r="A3532" s="7">
        <f ca="1">IFERROR(__xludf.DUMMYFUNCTION("""COMPUTED_VALUE"""),44322)</f>
        <v>44322</v>
      </c>
      <c r="B3532" s="6" t="str">
        <f ca="1">IFERROR(__xludf.DUMMYFUNCTION("""COMPUTED_VALUE"""),"-33.562984-70.818013")</f>
        <v>-33.562984-70.818013</v>
      </c>
      <c r="C3532" s="6" t="str">
        <f ca="1">IFERROR(__xludf.DUMMYFUNCTION("""COMPUTED_VALUE"""),"PRESIDENTE BALMACEDA 628")</f>
        <v>PRESIDENTE BALMACEDA 628</v>
      </c>
      <c r="D3532" s="6" t="str">
        <f ca="1">IFERROR(__xludf.DUMMYFUNCTION("""COMPUTED_VALUE"""),"PADRE HURTADO")</f>
        <v>PADRE HURTADO</v>
      </c>
    </row>
    <row r="3533" spans="1:4">
      <c r="A3533" s="7">
        <f ca="1">IFERROR(__xludf.DUMMYFUNCTION("""COMPUTED_VALUE"""),44322)</f>
        <v>44322</v>
      </c>
      <c r="B3533" s="6" t="str">
        <f ca="1">IFERROR(__xludf.DUMMYFUNCTION("""COMPUTED_VALUE"""),"-33.682903-71.013462")</f>
        <v>-33.682903-71.013462</v>
      </c>
      <c r="C3533" s="6" t="str">
        <f ca="1">IFERROR(__xludf.DUMMYFUNCTION("""COMPUTED_VALUE"""),"SANTA JUANA 127")</f>
        <v>SANTA JUANA 127</v>
      </c>
      <c r="D3533" s="6" t="str">
        <f ca="1">IFERROR(__xludf.DUMMYFUNCTION("""COMPUTED_VALUE"""),"EL MONTE")</f>
        <v>EL MONTE</v>
      </c>
    </row>
    <row r="3534" spans="1:4">
      <c r="A3534" s="7">
        <f ca="1">IFERROR(__xludf.DUMMYFUNCTION("""COMPUTED_VALUE"""),44322)</f>
        <v>44322</v>
      </c>
      <c r="B3534" s="6" t="str">
        <f ca="1">IFERROR(__xludf.DUMMYFUNCTION("""COMPUTED_VALUE"""),"-33.403605-71.133327")</f>
        <v>-33.403605-71.133327</v>
      </c>
      <c r="C3534" s="6" t="str">
        <f ca="1">IFERROR(__xludf.DUMMYFUNCTION("""COMPUTED_VALUE"""),"JUAN PASTENE 35")</f>
        <v>JUAN PASTENE 35</v>
      </c>
      <c r="D3534" s="6" t="str">
        <f ca="1">IFERROR(__xludf.DUMMYFUNCTION("""COMPUTED_VALUE"""),"CURACAVI")</f>
        <v>CURACAVI</v>
      </c>
    </row>
    <row r="3535" spans="1:4">
      <c r="A3535" s="7">
        <f ca="1">IFERROR(__xludf.DUMMYFUNCTION("""COMPUTED_VALUE"""),44322)</f>
        <v>44322</v>
      </c>
      <c r="B3535" s="6" t="str">
        <f ca="1">IFERROR(__xludf.DUMMYFUNCTION("""COMPUTED_VALUE"""),"-33.409237-71.069088")</f>
        <v>-33.409237-71.069088</v>
      </c>
      <c r="C3535" s="6" t="str">
        <f ca="1">IFERROR(__xludf.DUMMYFUNCTION("""COMPUTED_VALUE"""),"UNION MIRAFLORES S/N S/3")</f>
        <v>UNION MIRAFLORES S/N S/3</v>
      </c>
      <c r="D3535" s="6" t="str">
        <f ca="1">IFERROR(__xludf.DUMMYFUNCTION("""COMPUTED_VALUE"""),"CURACAVI")</f>
        <v>CURACAVI</v>
      </c>
    </row>
    <row r="3536" spans="1:4">
      <c r="A3536" s="7">
        <f ca="1">IFERROR(__xludf.DUMMYFUNCTION("""COMPUTED_VALUE"""),44322)</f>
        <v>44322</v>
      </c>
      <c r="B3536" s="6" t="str">
        <f ca="1">IFERROR(__xludf.DUMMYFUNCTION("""COMPUTED_VALUE"""),"-33.406951-71.146621")</f>
        <v>-33.406951-71.146621</v>
      </c>
      <c r="C3536" s="6" t="str">
        <f ca="1">IFERROR(__xludf.DUMMYFUNCTION("""COMPUTED_VALUE"""),"SAN MANUEL 183")</f>
        <v>SAN MANUEL 183</v>
      </c>
      <c r="D3536" s="6" t="str">
        <f ca="1">IFERROR(__xludf.DUMMYFUNCTION("""COMPUTED_VALUE"""),"CURACAVI")</f>
        <v>CURACAVI</v>
      </c>
    </row>
    <row r="3537" spans="1:4">
      <c r="A3537" s="7">
        <f ca="1">IFERROR(__xludf.DUMMYFUNCTION("""COMPUTED_VALUE"""),44322)</f>
        <v>44322</v>
      </c>
      <c r="B3537" s="6" t="str">
        <f ca="1">IFERROR(__xludf.DUMMYFUNCTION("""COMPUTED_VALUE"""),"-33.396654-71.131307")</f>
        <v>-33.396654-71.131307</v>
      </c>
      <c r="C3537" s="6" t="str">
        <f ca="1">IFERROR(__xludf.DUMMYFUNCTION("""COMPUTED_VALUE"""),"REGIDORA VANIA ORELLANA 1690")</f>
        <v>REGIDORA VANIA ORELLANA 1690</v>
      </c>
      <c r="D3537" s="6" t="str">
        <f ca="1">IFERROR(__xludf.DUMMYFUNCTION("""COMPUTED_VALUE"""),"CURACAVI")</f>
        <v>CURACAVI</v>
      </c>
    </row>
    <row r="3538" spans="1:4">
      <c r="A3538" s="7">
        <f ca="1">IFERROR(__xludf.DUMMYFUNCTION("""COMPUTED_VALUE"""),44322)</f>
        <v>44322</v>
      </c>
      <c r="B3538" s="6" t="str">
        <f ca="1">IFERROR(__xludf.DUMMYFUNCTION("""COMPUTED_VALUE"""),"-33.433071-71.009231")</f>
        <v>-33.433071-71.009231</v>
      </c>
      <c r="C3538" s="6" t="str">
        <f ca="1">IFERROR(__xludf.DUMMYFUNCTION("""COMPUTED_VALUE"""),"CAMINO BELLA VISTA 43C")</f>
        <v>CAMINO BELLA VISTA 43C</v>
      </c>
      <c r="D3538" s="6" t="str">
        <f ca="1">IFERROR(__xludf.DUMMYFUNCTION("""COMPUTED_VALUE"""),"CURACAVI")</f>
        <v>CURACAVI</v>
      </c>
    </row>
    <row r="3539" spans="1:4">
      <c r="A3539" s="7">
        <f ca="1">IFERROR(__xludf.DUMMYFUNCTION("""COMPUTED_VALUE"""),44322)</f>
        <v>44322</v>
      </c>
      <c r="B3539" s="6" t="str">
        <f ca="1">IFERROR(__xludf.DUMMYFUNCTION("""COMPUTED_VALUE"""),"-33.405655-71.144408")</f>
        <v>-33.405655-71.144408</v>
      </c>
      <c r="C3539" s="6" t="str">
        <f ca="1">IFERROR(__xludf.DUMMYFUNCTION("""COMPUTED_VALUE"""),"PA DOS 781 POBLA JULIO BUSTAMANTE")</f>
        <v>PA DOS 781 POBLA JULIO BUSTAMANTE</v>
      </c>
      <c r="D3539" s="6" t="str">
        <f ca="1">IFERROR(__xludf.DUMMYFUNCTION("""COMPUTED_VALUE"""),"CURACAVI")</f>
        <v>CURACAVI</v>
      </c>
    </row>
    <row r="3540" spans="1:4">
      <c r="A3540" s="7">
        <f ca="1">IFERROR(__xludf.DUMMYFUNCTION("""COMPUTED_VALUE"""),44322)</f>
        <v>44322</v>
      </c>
      <c r="B3540" s="6" t="str">
        <f ca="1">IFERROR(__xludf.DUMMYFUNCTION("""COMPUTED_VALUE"""),"-33.373228-71.138308")</f>
        <v>-33.373228-71.138308</v>
      </c>
      <c r="C3540" s="6" t="str">
        <f ca="1">IFERROR(__xludf.DUMMYFUNCTION("""COMPUTED_VALUE"""),"PARCELACION LOS MAQUIS P-47")</f>
        <v>PARCELACION LOS MAQUIS P-47</v>
      </c>
      <c r="D3540" s="6" t="str">
        <f ca="1">IFERROR(__xludf.DUMMYFUNCTION("""COMPUTED_VALUE"""),"CURACAVI")</f>
        <v>CURACAVI</v>
      </c>
    </row>
    <row r="3541" spans="1:4">
      <c r="A3541" s="7">
        <f ca="1">IFERROR(__xludf.DUMMYFUNCTION("""COMPUTED_VALUE"""),44322)</f>
        <v>44322</v>
      </c>
      <c r="B3541" s="6" t="str">
        <f ca="1">IFERROR(__xludf.DUMMYFUNCTION("""COMPUTED_VALUE"""),"-33.396782-71.131612")</f>
        <v>-33.396782-71.131612</v>
      </c>
      <c r="C3541" s="6" t="str">
        <f ca="1">IFERROR(__xludf.DUMMYFUNCTION("""COMPUTED_VALUE"""),"EDUCADORA ALICIA MORGADO 1667")</f>
        <v>EDUCADORA ALICIA MORGADO 1667</v>
      </c>
      <c r="D3541" s="6" t="str">
        <f ca="1">IFERROR(__xludf.DUMMYFUNCTION("""COMPUTED_VALUE"""),"CURACAVI")</f>
        <v>CURACAVI</v>
      </c>
    </row>
    <row r="3542" spans="1:4">
      <c r="A3542" s="7">
        <f ca="1">IFERROR(__xludf.DUMMYFUNCTION("""COMPUTED_VALUE"""),44322)</f>
        <v>44322</v>
      </c>
      <c r="B3542" s="6" t="str">
        <f ca="1">IFERROR(__xludf.DUMMYFUNCTION("""COMPUTED_VALUE"""),"-33.57657,-71.198583")</f>
        <v>-33.57657,-71.198583</v>
      </c>
      <c r="C3542" s="6" t="str">
        <f ca="1">IFERROR(__xludf.DUMMYFUNCTION("""COMPUTED_VALUE"""),"PASAJE LA CALAHUALA 912 BOLENAR ")</f>
        <v xml:space="preserve">PASAJE LA CALAHUALA 912 BOLENAR </v>
      </c>
      <c r="D3542" s="6" t="str">
        <f ca="1">IFERROR(__xludf.DUMMYFUNCTION("""COMPUTED_VALUE"""),"MELIPILLA")</f>
        <v>MELIPILLA</v>
      </c>
    </row>
    <row r="3543" spans="1:4">
      <c r="A3543" s="7">
        <f ca="1">IFERROR(__xludf.DUMMYFUNCTION("""COMPUTED_VALUE"""),44322)</f>
        <v>44322</v>
      </c>
      <c r="B3543" s="6" t="str">
        <f ca="1">IFERROR(__xludf.DUMMYFUNCTION("""COMPUTED_VALUE"""),"-33.584058,-71.051217")</f>
        <v>-33.584058,-71.051217</v>
      </c>
      <c r="C3543" s="6" t="str">
        <f ca="1">IFERROR(__xludf.DUMMYFUNCTION("""COMPUTED_VALUE"""),"SANTA VICTORIA S/N-CV106/ CASA 7 SIT 11")</f>
        <v>SANTA VICTORIA S/N-CV106/ CASA 7 SIT 11</v>
      </c>
      <c r="D3543" s="6" t="str">
        <f ca="1">IFERROR(__xludf.DUMMYFUNCTION("""COMPUTED_VALUE"""),"MELIPILLA")</f>
        <v>MELIPILLA</v>
      </c>
    </row>
    <row r="3544" spans="1:4">
      <c r="A3544" s="7">
        <f ca="1">IFERROR(__xludf.DUMMYFUNCTION("""COMPUTED_VALUE"""),44322)</f>
        <v>44322</v>
      </c>
      <c r="B3544" s="8" t="str">
        <f ca="1">IFERROR(__xludf.DUMMYFUNCTION("""COMPUTED_VALUE"""),"-33.293210,-70.873333")</f>
        <v>-33.293210,-70.873333</v>
      </c>
      <c r="C3544" s="6" t="str">
        <f ca="1">IFERROR(__xludf.DUMMYFUNCTION("""COMPUTED_VALUE"""),"CHICAUMA 1530")</f>
        <v>CHICAUMA 1530</v>
      </c>
      <c r="D3544" s="6" t="str">
        <f ca="1">IFERROR(__xludf.DUMMYFUNCTION("""COMPUTED_VALUE"""),"MELIPILLA")</f>
        <v>MELIPILLA</v>
      </c>
    </row>
    <row r="3545" spans="1:4">
      <c r="A3545" s="7">
        <f ca="1">IFERROR(__xludf.DUMMYFUNCTION("""COMPUTED_VALUE"""),44323)</f>
        <v>44323</v>
      </c>
      <c r="B3545" s="6" t="str">
        <f ca="1">IFERROR(__xludf.DUMMYFUNCTION("""COMPUTED_VALUE"""),"-33.464503-71.028275")</f>
        <v>-33.464503-71.028275</v>
      </c>
      <c r="C3545" s="6" t="str">
        <f ca="1">IFERROR(__xludf.DUMMYFUNCTION("""COMPUTED_VALUE"""),"CUESTA VIEJA SITIO 2B")</f>
        <v>CUESTA VIEJA SITIO 2B</v>
      </c>
      <c r="D3545" s="6" t="str">
        <f ca="1">IFERROR(__xludf.DUMMYFUNCTION("""COMPUTED_VALUE"""),"CURACAVI")</f>
        <v>CURACAVI</v>
      </c>
    </row>
    <row r="3546" spans="1:4">
      <c r="A3546" s="7">
        <f ca="1">IFERROR(__xludf.DUMMYFUNCTION("""COMPUTED_VALUE"""),44323)</f>
        <v>44323</v>
      </c>
      <c r="B3546" s="6" t="str">
        <f ca="1">IFERROR(__xludf.DUMMYFUNCTION("""COMPUTED_VALUE"""),"-33.464673-71.028322")</f>
        <v>-33.464673-71.028322</v>
      </c>
      <c r="C3546" s="6" t="str">
        <f ca="1">IFERROR(__xludf.DUMMYFUNCTION("""COMPUTED_VALUE"""),"FUNDO SAN JOAQUIN S/N")</f>
        <v>FUNDO SAN JOAQUIN S/N</v>
      </c>
      <c r="D3546" s="6" t="str">
        <f ca="1">IFERROR(__xludf.DUMMYFUNCTION("""COMPUTED_VALUE"""),"CURACAVI")</f>
        <v>CURACAVI</v>
      </c>
    </row>
    <row r="3547" spans="1:4">
      <c r="A3547" s="7">
        <f ca="1">IFERROR(__xludf.DUMMYFUNCTION("""COMPUTED_VALUE"""),44323)</f>
        <v>44323</v>
      </c>
      <c r="B3547" s="6" t="str">
        <f ca="1">IFERROR(__xludf.DUMMYFUNCTION("""COMPUTED_VALUE"""),"-33.726417-70.745436")</f>
        <v>-33.726417-70.745436</v>
      </c>
      <c r="C3547" s="6" t="str">
        <f ca="1">IFERROR(__xludf.DUMMYFUNCTION("""COMPUTED_VALUE"""),"PJE ONCE 435")</f>
        <v>PJE ONCE 435</v>
      </c>
      <c r="D3547" s="6" t="str">
        <f ca="1">IFERROR(__xludf.DUMMYFUNCTION("""COMPUTED_VALUE"""),"BUIN")</f>
        <v>BUIN</v>
      </c>
    </row>
    <row r="3548" spans="1:4">
      <c r="A3548" s="7">
        <f ca="1">IFERROR(__xludf.DUMMYFUNCTION("""COMPUTED_VALUE"""),44323)</f>
        <v>44323</v>
      </c>
      <c r="B3548" s="6" t="str">
        <f ca="1">IFERROR(__xludf.DUMMYFUNCTION("""COMPUTED_VALUE"""),"-33.409614-71.131192")</f>
        <v>-33.409614-71.131192</v>
      </c>
      <c r="C3548" s="6" t="str">
        <f ca="1">IFERROR(__xludf.DUMMYFUNCTION("""COMPUTED_VALUE"""),"LO AGUILA PARCELA 2")</f>
        <v>LO AGUILA PARCELA 2</v>
      </c>
      <c r="D3548" s="6" t="str">
        <f ca="1">IFERROR(__xludf.DUMMYFUNCTION("""COMPUTED_VALUE"""),"CURACAVI")</f>
        <v>CURACAVI</v>
      </c>
    </row>
    <row r="3549" spans="1:4">
      <c r="A3549" s="7">
        <f ca="1">IFERROR(__xludf.DUMMYFUNCTION("""COMPUTED_VALUE"""),44323)</f>
        <v>44323</v>
      </c>
      <c r="B3549" s="6" t="str">
        <f ca="1">IFERROR(__xludf.DUMMYFUNCTION("""COMPUTED_VALUE"""),"-33.413231-71.115896")</f>
        <v>-33.413231-71.115896</v>
      </c>
      <c r="C3549" s="6" t="str">
        <f ca="1">IFERROR(__xludf.DUMMYFUNCTION("""COMPUTED_VALUE"""),"LAS ROSAS S/N")</f>
        <v>LAS ROSAS S/N</v>
      </c>
      <c r="D3549" s="6" t="str">
        <f ca="1">IFERROR(__xludf.DUMMYFUNCTION("""COMPUTED_VALUE"""),"CURACAVI")</f>
        <v>CURACAVI</v>
      </c>
    </row>
    <row r="3550" spans="1:4">
      <c r="A3550" s="7">
        <f ca="1">IFERROR(__xludf.DUMMYFUNCTION("""COMPUTED_VALUE"""),44323)</f>
        <v>44323</v>
      </c>
      <c r="B3550" s="6" t="str">
        <f ca="1">IFERROR(__xludf.DUMMYFUNCTION("""COMPUTED_VALUE"""),"-33.413637-71.115760")</f>
        <v>-33.413637-71.115760</v>
      </c>
      <c r="C3550" s="6" t="str">
        <f ca="1">IFERROR(__xludf.DUMMYFUNCTION("""COMPUTED_VALUE"""),"CALLE LAS ROSAS 1720")</f>
        <v>CALLE LAS ROSAS 1720</v>
      </c>
      <c r="D3550" s="6" t="str">
        <f ca="1">IFERROR(__xludf.DUMMYFUNCTION("""COMPUTED_VALUE"""),"CURACAVI")</f>
        <v>CURACAVI</v>
      </c>
    </row>
    <row r="3551" spans="1:4">
      <c r="A3551" s="7">
        <f ca="1">IFERROR(__xludf.DUMMYFUNCTION("""COMPUTED_VALUE"""),44323)</f>
        <v>44323</v>
      </c>
      <c r="B3551" s="6" t="str">
        <f ca="1">IFERROR(__xludf.DUMMYFUNCTION("""COMPUTED_VALUE"""),"-33.34508-70.51144")</f>
        <v>-33.34508-70.51144</v>
      </c>
      <c r="C3551" s="6" t="str">
        <f ca="1">IFERROR(__xludf.DUMMYFUNCTION("""COMPUTED_VALUE"""),"EL GUANACO LOTE 9B ")</f>
        <v xml:space="preserve">EL GUANACO LOTE 9B </v>
      </c>
      <c r="D3551" s="6" t="str">
        <f ca="1">IFERROR(__xludf.DUMMYFUNCTION("""COMPUTED_VALUE"""),"PEÑAFLOR")</f>
        <v>PEÑAFLOR</v>
      </c>
    </row>
    <row r="3552" spans="1:4">
      <c r="A3552" s="7">
        <f ca="1">IFERROR(__xludf.DUMMYFUNCTION("""COMPUTED_VALUE"""),44323)</f>
        <v>44323</v>
      </c>
      <c r="B3552" s="6" t="str">
        <f ca="1">IFERROR(__xludf.DUMMYFUNCTION("""COMPUTED_VALUE"""),"-33.645018,-71.150738")</f>
        <v>-33.645018,-71.150738</v>
      </c>
      <c r="C3552" s="6" t="str">
        <f ca="1">IFERROR(__xludf.DUMMYFUNCTION("""COMPUTED_VALUE"""),"EL CARMEN S/N / 420")</f>
        <v>EL CARMEN S/N / 420</v>
      </c>
      <c r="D3552" s="6" t="str">
        <f ca="1">IFERROR(__xludf.DUMMYFUNCTION("""COMPUTED_VALUE"""),"MELIPILLA")</f>
        <v>MELIPILLA</v>
      </c>
    </row>
    <row r="3553" spans="1:4">
      <c r="A3553" s="7">
        <f ca="1">IFERROR(__xludf.DUMMYFUNCTION("""COMPUTED_VALUE"""),44323)</f>
        <v>44323</v>
      </c>
      <c r="B3553" s="6" t="str">
        <f ca="1">IFERROR(__xludf.DUMMYFUNCTION("""COMPUTED_VALUE"""),"-33.646836,-71.153331")</f>
        <v>-33.646836,-71.153331</v>
      </c>
      <c r="C3553" s="6" t="str">
        <f ca="1">IFERROR(__xludf.DUMMYFUNCTION("""COMPUTED_VALUE"""),"BARROS 607 POMAIRE")</f>
        <v>BARROS 607 POMAIRE</v>
      </c>
      <c r="D3553" s="6" t="str">
        <f ca="1">IFERROR(__xludf.DUMMYFUNCTION("""COMPUTED_VALUE"""),"MELIPILLA")</f>
        <v>MELIPILLA</v>
      </c>
    </row>
    <row r="3554" spans="1:4">
      <c r="A3554" s="7">
        <f ca="1">IFERROR(__xludf.DUMMYFUNCTION("""COMPUTED_VALUE"""),44323)</f>
        <v>44323</v>
      </c>
      <c r="B3554" s="6" t="str">
        <f ca="1">IFERROR(__xludf.DUMMYFUNCTION("""COMPUTED_VALUE"""),"-33.645918,-71.150738")</f>
        <v>-33.645918,-71.150738</v>
      </c>
      <c r="C3554" s="6" t="str">
        <f ca="1">IFERROR(__xludf.DUMMYFUNCTION("""COMPUTED_VALUE"""),"EL CARMEN S/N / 420")</f>
        <v>EL CARMEN S/N / 420</v>
      </c>
      <c r="D3554" s="6" t="str">
        <f ca="1">IFERROR(__xludf.DUMMYFUNCTION("""COMPUTED_VALUE"""),"MELIPILLA")</f>
        <v>MELIPILLA</v>
      </c>
    </row>
    <row r="3555" spans="1:4">
      <c r="A3555" s="7">
        <f ca="1">IFERROR(__xludf.DUMMYFUNCTION("""COMPUTED_VALUE"""),44323)</f>
        <v>44323</v>
      </c>
      <c r="B3555" s="8" t="str">
        <f ca="1">IFERROR(__xludf.DUMMYFUNCTION("""COMPUTED_VALUE"""),"-33.572279,-71.219515")</f>
        <v>-33.572279,-71.219515</v>
      </c>
      <c r="C3555" s="6" t="str">
        <f ca="1">IFERROR(__xludf.DUMMYFUNCTION("""COMPUTED_VALUE"""),"PJE DON QUIJOTE EL CARBAL")</f>
        <v>PJE DON QUIJOTE EL CARBAL</v>
      </c>
      <c r="D3555" s="6" t="str">
        <f ca="1">IFERROR(__xludf.DUMMYFUNCTION("""COMPUTED_VALUE"""),"MELIPILLA")</f>
        <v>MELIPILLA</v>
      </c>
    </row>
    <row r="3556" spans="1:4">
      <c r="A3556" s="7">
        <f ca="1">IFERROR(__xludf.DUMMYFUNCTION("""COMPUTED_VALUE"""),44323)</f>
        <v>44323</v>
      </c>
      <c r="B3556" s="8" t="str">
        <f ca="1">IFERROR(__xludf.DUMMYFUNCTION("""COMPUTED_VALUE"""),"-33.673978,-71.180789")</f>
        <v>-33.673978,-71.180789</v>
      </c>
      <c r="C3556" s="6" t="str">
        <f ca="1">IFERROR(__xludf.DUMMYFUNCTION("""COMPUTED_VALUE"""),"FRANCIA 1825 RINCONADA ORIENTE")</f>
        <v>FRANCIA 1825 RINCONADA ORIENTE</v>
      </c>
      <c r="D3556" s="6" t="str">
        <f ca="1">IFERROR(__xludf.DUMMYFUNCTION("""COMPUTED_VALUE"""),"MELIPILLA")</f>
        <v>MELIPILLA</v>
      </c>
    </row>
    <row r="3557" spans="1:4">
      <c r="A3557" s="7">
        <f ca="1">IFERROR(__xludf.DUMMYFUNCTION("""COMPUTED_VALUE"""),44324)</f>
        <v>44324</v>
      </c>
      <c r="B3557" s="8" t="str">
        <f ca="1">IFERROR(__xludf.DUMMYFUNCTION("""COMPUTED_VALUE"""),"-33.733928,-70.780017")</f>
        <v>-33.733928,-70.780017</v>
      </c>
      <c r="C3557" s="6" t="str">
        <f ca="1">IFERROR(__xludf.DUMMYFUNCTION("""COMPUTED_VALUE"""),"PURISIMA 250")</f>
        <v>PURISIMA 250</v>
      </c>
      <c r="D3557" s="6" t="str">
        <f ca="1">IFERROR(__xludf.DUMMYFUNCTION("""COMPUTED_VALUE"""),"BUIN")</f>
        <v>BUIN</v>
      </c>
    </row>
    <row r="3558" spans="1:4">
      <c r="A3558" s="7">
        <f ca="1">IFERROR(__xludf.DUMMYFUNCTION("""COMPUTED_VALUE"""),44326)</f>
        <v>44326</v>
      </c>
      <c r="B3558" s="8" t="str">
        <f ca="1">IFERROR(__xludf.DUMMYFUNCTION("""COMPUTED_VALUE"""),"-33.496320.-71.156425")</f>
        <v>-33.496320.-71.156425</v>
      </c>
      <c r="C3558" s="6" t="str">
        <f ca="1">IFERROR(__xludf.DUMMYFUNCTION("""COMPUTED_VALUE"""),"EL  ROSARIO P/9")</f>
        <v>EL  ROSARIO P/9</v>
      </c>
      <c r="D3558" s="6" t="str">
        <f ca="1">IFERROR(__xludf.DUMMYFUNCTION("""COMPUTED_VALUE"""),"MARIA PINTO")</f>
        <v>MARIA PINTO</v>
      </c>
    </row>
    <row r="3559" spans="1:4">
      <c r="A3559" s="7">
        <f ca="1">IFERROR(__xludf.DUMMYFUNCTION("""COMPUTED_VALUE"""),44326)</f>
        <v>44326</v>
      </c>
      <c r="B3559" s="8" t="str">
        <f ca="1">IFERROR(__xludf.DUMMYFUNCTION("""COMPUTED_VALUE"""),"-33.562260,-70.795727")</f>
        <v>-33.562260,-70.795727</v>
      </c>
      <c r="C3559" s="6" t="str">
        <f ca="1">IFERROR(__xludf.DUMMYFUNCTION("""COMPUTED_VALUE"""),"1ERA TRANSVERSAL 365")</f>
        <v>1ERA TRANSVERSAL 365</v>
      </c>
      <c r="D3559" s="6" t="str">
        <f ca="1">IFERROR(__xludf.DUMMYFUNCTION("""COMPUTED_VALUE"""),"PADRE HURTADO")</f>
        <v>PADRE HURTADO</v>
      </c>
    </row>
    <row r="3560" spans="1:4">
      <c r="A3560" s="7">
        <f ca="1">IFERROR(__xludf.DUMMYFUNCTION("""COMPUTED_VALUE"""),44326)</f>
        <v>44326</v>
      </c>
      <c r="B3560" s="8" t="str">
        <f ca="1">IFERROR(__xludf.DUMMYFUNCTION("""COMPUTED_VALUE"""),"-33.684641,-71.199490")</f>
        <v>-33.684641,-71.199490</v>
      </c>
      <c r="C3560" s="6" t="str">
        <f ca="1">IFERROR(__xludf.DUMMYFUNCTION("""COMPUTED_VALUE"""),"PASAJE LAUTARO BENSEN 613")</f>
        <v>PASAJE LAUTARO BENSEN 613</v>
      </c>
      <c r="D3560" s="6" t="str">
        <f ca="1">IFERROR(__xludf.DUMMYFUNCTION("""COMPUTED_VALUE"""),"MELIPILLA")</f>
        <v>MELIPILLA</v>
      </c>
    </row>
    <row r="3561" spans="1:4">
      <c r="A3561" s="7">
        <f ca="1">IFERROR(__xludf.DUMMYFUNCTION("""COMPUTED_VALUE"""),44326)</f>
        <v>44326</v>
      </c>
      <c r="B3561" s="6" t="str">
        <f ca="1">IFERROR(__xludf.DUMMYFUNCTION("""COMPUTED_VALUE"""),"-33.460423-71.048894")</f>
        <v>-33.460423-71.048894</v>
      </c>
      <c r="C3561" s="6" t="str">
        <f ca="1">IFERROR(__xludf.DUMMYFUNCTION("""COMPUTED_VALUE"""),"SAN JOAQUIN LOTE 3")</f>
        <v>SAN JOAQUIN LOTE 3</v>
      </c>
      <c r="D3561" s="6" t="str">
        <f ca="1">IFERROR(__xludf.DUMMYFUNCTION("""COMPUTED_VALUE"""),"CURACAVI")</f>
        <v>CURACAVI</v>
      </c>
    </row>
    <row r="3562" spans="1:4">
      <c r="A3562" s="7">
        <f ca="1">IFERROR(__xludf.DUMMYFUNCTION("""COMPUTED_VALUE"""),44326)</f>
        <v>44326</v>
      </c>
      <c r="B3562" s="6" t="str">
        <f ca="1">IFERROR(__xludf.DUMMYFUNCTION("""COMPUTED_VALUE"""),"-33.401743-71.128760")</f>
        <v>-33.401743-71.128760</v>
      </c>
      <c r="C3562" s="6" t="str">
        <f ca="1">IFERROR(__xludf.DUMMYFUNCTION("""COMPUTED_VALUE"""),"PREBISTERIO MORAGA 236")</f>
        <v>PREBISTERIO MORAGA 236</v>
      </c>
      <c r="D3562" s="6" t="str">
        <f ca="1">IFERROR(__xludf.DUMMYFUNCTION("""COMPUTED_VALUE"""),"CURACAVI")</f>
        <v>CURACAVI</v>
      </c>
    </row>
    <row r="3563" spans="1:4">
      <c r="A3563" s="7">
        <f ca="1">IFERROR(__xludf.DUMMYFUNCTION("""COMPUTED_VALUE"""),44326)</f>
        <v>44326</v>
      </c>
      <c r="B3563" s="6" t="str">
        <f ca="1">IFERROR(__xludf.DUMMYFUNCTION("""COMPUTED_VALUE"""),"-33.412715-71.527224")</f>
        <v>-33.412715-71.527224</v>
      </c>
      <c r="C3563" s="6" t="str">
        <f ca="1">IFERROR(__xludf.DUMMYFUNCTION("""COMPUTED_VALUE"""),"PJE UNO 44")</f>
        <v>PJE UNO 44</v>
      </c>
      <c r="D3563" s="6" t="str">
        <f ca="1">IFERROR(__xludf.DUMMYFUNCTION("""COMPUTED_VALUE"""),"CURACAVI")</f>
        <v>CURACAVI</v>
      </c>
    </row>
    <row r="3564" spans="1:4">
      <c r="A3564" s="7">
        <f ca="1">IFERROR(__xludf.DUMMYFUNCTION("""COMPUTED_VALUE"""),44326)</f>
        <v>44326</v>
      </c>
      <c r="B3564" s="6" t="str">
        <f ca="1">IFERROR(__xludf.DUMMYFUNCTION("""COMPUTED_VALUE"""),"-33.391980-71.123320")</f>
        <v>-33.391980-71.123320</v>
      </c>
      <c r="C3564" s="6" t="str">
        <f ca="1">IFERROR(__xludf.DUMMYFUNCTION("""COMPUTED_VALUE"""),"MARIANO EGAÑA 2110")</f>
        <v>MARIANO EGAÑA 2110</v>
      </c>
      <c r="D3564" s="6" t="str">
        <f ca="1">IFERROR(__xludf.DUMMYFUNCTION("""COMPUTED_VALUE"""),"CURACAVI")</f>
        <v>CURACAVI</v>
      </c>
    </row>
    <row r="3565" spans="1:4">
      <c r="A3565" s="7">
        <f ca="1">IFERROR(__xludf.DUMMYFUNCTION("""COMPUTED_VALUE"""),44326)</f>
        <v>44326</v>
      </c>
      <c r="B3565" s="6" t="str">
        <f ca="1">IFERROR(__xludf.DUMMYFUNCTION("""COMPUTED_VALUE"""),"-33.721316-70.736025")</f>
        <v>-33.721316-70.736025</v>
      </c>
      <c r="C3565" s="6" t="str">
        <f ca="1">IFERROR(__xludf.DUMMYFUNCTION("""COMPUTED_VALUE"""),"AV EL PARQUE 0583")</f>
        <v>AV EL PARQUE 0583</v>
      </c>
      <c r="D3565" s="6" t="str">
        <f ca="1">IFERROR(__xludf.DUMMYFUNCTION("""COMPUTED_VALUE"""),"BUIN")</f>
        <v>BUIN</v>
      </c>
    </row>
    <row r="3566" spans="1:4">
      <c r="A3566" s="7">
        <f ca="1">IFERROR(__xludf.DUMMYFUNCTION("""COMPUTED_VALUE"""),44326)</f>
        <v>44326</v>
      </c>
      <c r="B3566" s="6" t="str">
        <f ca="1">IFERROR(__xludf.DUMMYFUNCTION("""COMPUTED_VALUE"""),"-33.715669-70.741499")</f>
        <v>-33.715669-70.741499</v>
      </c>
      <c r="C3566" s="6" t="str">
        <f ca="1">IFERROR(__xludf.DUMMYFUNCTION("""COMPUTED_VALUE"""),"PJE LA UNION 01315")</f>
        <v>PJE LA UNION 01315</v>
      </c>
      <c r="D3566" s="6" t="str">
        <f ca="1">IFERROR(__xludf.DUMMYFUNCTION("""COMPUTED_VALUE"""),"BUIN")</f>
        <v>BUIN</v>
      </c>
    </row>
    <row r="3567" spans="1:4">
      <c r="A3567" s="7">
        <f ca="1">IFERROR(__xludf.DUMMYFUNCTION("""COMPUTED_VALUE"""),44326)</f>
        <v>44326</v>
      </c>
      <c r="B3567" s="6" t="str">
        <f ca="1">IFERROR(__xludf.DUMMYFUNCTION("""COMPUTED_VALUE"""),"-33.404449-71.126645")</f>
        <v>-33.404449-71.126645</v>
      </c>
      <c r="C3567" s="6" t="str">
        <f ca="1">IFERROR(__xludf.DUMMYFUNCTION("""COMPUTED_VALUE"""),"CURACA PONIENTE 134")</f>
        <v>CURACA PONIENTE 134</v>
      </c>
      <c r="D3567" s="6" t="str">
        <f ca="1">IFERROR(__xludf.DUMMYFUNCTION("""COMPUTED_VALUE"""),"CURACAVI")</f>
        <v>CURACAVI</v>
      </c>
    </row>
    <row r="3568" spans="1:4">
      <c r="A3568" s="7">
        <f ca="1">IFERROR(__xludf.DUMMYFUNCTION("""COMPUTED_VALUE"""),44326)</f>
        <v>44326</v>
      </c>
      <c r="B3568" s="6" t="str">
        <f ca="1">IFERROR(__xludf.DUMMYFUNCTION("""COMPUTED_VALUE"""),"-33.391461-71.125760")</f>
        <v>-33.391461-71.125760</v>
      </c>
      <c r="C3568" s="6" t="str">
        <f ca="1">IFERROR(__xludf.DUMMYFUNCTION("""COMPUTED_VALUE"""),"JAVIERA CARRERA 2116")</f>
        <v>JAVIERA CARRERA 2116</v>
      </c>
      <c r="D3568" s="6" t="str">
        <f ca="1">IFERROR(__xludf.DUMMYFUNCTION("""COMPUTED_VALUE"""),"CURACAVI")</f>
        <v>CURACAVI</v>
      </c>
    </row>
    <row r="3569" spans="1:4">
      <c r="A3569" s="7">
        <f ca="1">IFERROR(__xludf.DUMMYFUNCTION("""COMPUTED_VALUE"""),44326)</f>
        <v>44326</v>
      </c>
      <c r="B3569" s="6" t="str">
        <f ca="1">IFERROR(__xludf.DUMMYFUNCTION("""COMPUTED_VALUE"""),"-33.51628-71.12082")</f>
        <v>-33.51628-71.12082</v>
      </c>
      <c r="C3569" s="6" t="str">
        <f ca="1">IFERROR(__xludf.DUMMYFUNCTION("""COMPUTED_VALUE"""),"PRINCIPAL 368")</f>
        <v>PRINCIPAL 368</v>
      </c>
      <c r="D3569" s="6" t="str">
        <f ca="1">IFERROR(__xludf.DUMMYFUNCTION("""COMPUTED_VALUE"""),"MARIA PINTO")</f>
        <v>MARIA PINTO</v>
      </c>
    </row>
    <row r="3570" spans="1:4">
      <c r="A3570" s="7">
        <f ca="1">IFERROR(__xludf.DUMMYFUNCTION("""COMPUTED_VALUE"""),44326)</f>
        <v>44326</v>
      </c>
      <c r="B3570" s="6" t="str">
        <f ca="1">IFERROR(__xludf.DUMMYFUNCTION("""COMPUTED_VALUE"""),"-33.45414-71.03175")</f>
        <v>-33.45414-71.03175</v>
      </c>
      <c r="C3570" s="6" t="str">
        <f ca="1">IFERROR(__xludf.DUMMYFUNCTION("""COMPUTED_VALUE"""),"BATALLA SAN JUAN SITIO 16")</f>
        <v>BATALLA SAN JUAN SITIO 16</v>
      </c>
      <c r="D3570" s="6" t="str">
        <f ca="1">IFERROR(__xludf.DUMMYFUNCTION("""COMPUTED_VALUE"""),"CURACAVI")</f>
        <v>CURACAVI</v>
      </c>
    </row>
    <row r="3571" spans="1:4">
      <c r="A3571" s="7">
        <f ca="1">IFERROR(__xludf.DUMMYFUNCTION("""COMPUTED_VALUE"""),44326)</f>
        <v>44326</v>
      </c>
      <c r="B3571" s="6" t="str">
        <f ca="1">IFERROR(__xludf.DUMMYFUNCTION("""COMPUTED_VALUE"""),"-33.46212-71.02200")</f>
        <v>-33.46212-71.02200</v>
      </c>
      <c r="C3571" s="6" t="str">
        <f ca="1">IFERROR(__xludf.DUMMYFUNCTION("""COMPUTED_VALUE"""),"LO AGUILA 3C")</f>
        <v>LO AGUILA 3C</v>
      </c>
      <c r="D3571" s="6" t="str">
        <f ca="1">IFERROR(__xludf.DUMMYFUNCTION("""COMPUTED_VALUE"""),"CURACAVI")</f>
        <v>CURACAVI</v>
      </c>
    </row>
    <row r="3572" spans="1:4">
      <c r="A3572" s="7">
        <f ca="1">IFERROR(__xludf.DUMMYFUNCTION("""COMPUTED_VALUE"""),44326)</f>
        <v>44326</v>
      </c>
      <c r="B3572" s="6" t="str">
        <f ca="1">IFERROR(__xludf.DUMMYFUNCTION("""COMPUTED_VALUE"""),"-33.652299,-71.151825")</f>
        <v>-33.652299,-71.151825</v>
      </c>
      <c r="C3572" s="6" t="str">
        <f ca="1">IFERROR(__xludf.DUMMYFUNCTION("""COMPUTED_VALUE"""),"JUAN BAUTISTA SALINAS S/N -CV1 POMAIRE /SAN ANTONIO 217")</f>
        <v>JUAN BAUTISTA SALINAS S/N -CV1 POMAIRE /SAN ANTONIO 217</v>
      </c>
      <c r="D3572" s="6" t="str">
        <f ca="1">IFERROR(__xludf.DUMMYFUNCTION("""COMPUTED_VALUE"""),"MELIPILLA")</f>
        <v>MELIPILLA</v>
      </c>
    </row>
    <row r="3573" spans="1:4">
      <c r="A3573" s="7">
        <f ca="1">IFERROR(__xludf.DUMMYFUNCTION("""COMPUTED_VALUE"""),44326)</f>
        <v>44326</v>
      </c>
      <c r="B3573" s="8" t="str">
        <f ca="1">IFERROR(__xludf.DUMMYFUNCTION("""COMPUTED_VALUE"""),"-33.764773,-71.297129")</f>
        <v>-33.764773,-71.297129</v>
      </c>
      <c r="C3573" s="6" t="str">
        <f ca="1">IFERROR(__xludf.DUMMYFUNCTION("""COMPUTED_VALUE"""),"LAS PRADERAS DE CODIGUA")</f>
        <v>LAS PRADERAS DE CODIGUA</v>
      </c>
      <c r="D3573" s="6" t="str">
        <f ca="1">IFERROR(__xludf.DUMMYFUNCTION("""COMPUTED_VALUE"""),"MELIPILLA")</f>
        <v>MELIPILLA</v>
      </c>
    </row>
    <row r="3574" spans="1:4">
      <c r="A3574" s="7">
        <f ca="1">IFERROR(__xludf.DUMMYFUNCTION("""COMPUTED_VALUE"""),44326)</f>
        <v>44326</v>
      </c>
      <c r="B3574" s="8" t="str">
        <f ca="1">IFERROR(__xludf.DUMMYFUNCTION("""COMPUTED_VALUE"""),"-33.682968,-71.195629")</f>
        <v>-33.682968,-71.195629</v>
      </c>
      <c r="C3574" s="6" t="str">
        <f ca="1">IFERROR(__xludf.DUMMYFUNCTION("""COMPUTED_VALUE"""),"PJE GEORGE FRIEDRICH 221")</f>
        <v>PJE GEORGE FRIEDRICH 221</v>
      </c>
      <c r="D3574" s="6" t="str">
        <f ca="1">IFERROR(__xludf.DUMMYFUNCTION("""COMPUTED_VALUE"""),"MELIPILLA")</f>
        <v>MELIPILLA</v>
      </c>
    </row>
    <row r="3575" spans="1:4">
      <c r="A3575" s="7">
        <f ca="1">IFERROR(__xludf.DUMMYFUNCTION("""COMPUTED_VALUE"""),44327)</f>
        <v>44327</v>
      </c>
      <c r="B3575" s="8" t="str">
        <f ca="1">IFERROR(__xludf.DUMMYFUNCTION("""COMPUTED_VALUE"""),"-33.569536,-70795887.")</f>
        <v>-33.569536,-70795887.</v>
      </c>
      <c r="C3575" s="6" t="str">
        <f ca="1">IFERROR(__xludf.DUMMYFUNCTION("""COMPUTED_VALUE"""),"2DA TRANSVERSAL 931")</f>
        <v>2DA TRANSVERSAL 931</v>
      </c>
      <c r="D3575" s="6" t="str">
        <f ca="1">IFERROR(__xludf.DUMMYFUNCTION("""COMPUTED_VALUE"""),"PADRE HURTADO")</f>
        <v>PADRE HURTADO</v>
      </c>
    </row>
    <row r="3576" spans="1:4">
      <c r="A3576" s="7">
        <f ca="1">IFERROR(__xludf.DUMMYFUNCTION("""COMPUTED_VALUE"""),44327)</f>
        <v>44327</v>
      </c>
      <c r="B3576" s="8" t="str">
        <f ca="1">IFERROR(__xludf.DUMMYFUNCTION("""COMPUTED_VALUE"""),"-33.568501,-71.161001")</f>
        <v>-33.568501,-71.161001</v>
      </c>
      <c r="C3576" s="6" t="str">
        <f ca="1">IFERROR(__xludf.DUMMYFUNCTION("""COMPUTED_VALUE"""),"SAN RAMON DE MALLOCO PARCE 47")</f>
        <v>SAN RAMON DE MALLOCO PARCE 47</v>
      </c>
      <c r="D3576" s="6" t="str">
        <f ca="1">IFERROR(__xludf.DUMMYFUNCTION("""COMPUTED_VALUE"""),"MELIPILLA")</f>
        <v>MELIPILLA</v>
      </c>
    </row>
    <row r="3577" spans="1:4">
      <c r="A3577" s="7">
        <f ca="1">IFERROR(__xludf.DUMMYFUNCTION("""COMPUTED_VALUE"""),44327)</f>
        <v>44327</v>
      </c>
      <c r="B3577" s="8" t="str">
        <f ca="1">IFERROR(__xludf.DUMMYFUNCTION("""COMPUTED_VALUE"""),"-33.678335,-71.192373")</f>
        <v>-33.678335,-71.192373</v>
      </c>
      <c r="C3577" s="6" t="str">
        <f ca="1">IFERROR(__xludf.DUMMYFUNCTION("""COMPUTED_VALUE"""),"CHACABUCO 140")</f>
        <v>CHACABUCO 140</v>
      </c>
      <c r="D3577" s="6" t="str">
        <f ca="1">IFERROR(__xludf.DUMMYFUNCTION("""COMPUTED_VALUE"""),"MELIPILLA")</f>
        <v>MELIPILLA</v>
      </c>
    </row>
    <row r="3578" spans="1:4">
      <c r="A3578" s="7">
        <f ca="1">IFERROR(__xludf.DUMMYFUNCTION("""COMPUTED_VALUE"""),44327)</f>
        <v>44327</v>
      </c>
      <c r="B3578" s="8" t="str">
        <f ca="1">IFERROR(__xludf.DUMMYFUNCTION("""COMPUTED_VALUE"""),"-33.475761,-71.118521")</f>
        <v>-33.475761,-71.118521</v>
      </c>
      <c r="C3578" s="6" t="str">
        <f ca="1">IFERROR(__xludf.DUMMYFUNCTION("""COMPUTED_VALUE"""),"EL REDIL S/N")</f>
        <v>EL REDIL S/N</v>
      </c>
      <c r="D3578" s="6" t="str">
        <f ca="1">IFERROR(__xludf.DUMMYFUNCTION("""COMPUTED_VALUE"""),"MARIA PINTO")</f>
        <v>MARIA PINTO</v>
      </c>
    </row>
    <row r="3579" spans="1:4">
      <c r="A3579" s="7">
        <f ca="1">IFERROR(__xludf.DUMMYFUNCTION("""COMPUTED_VALUE"""),44327)</f>
        <v>44327</v>
      </c>
      <c r="B3579" s="6" t="str">
        <f ca="1">IFERROR(__xludf.DUMMYFUNCTION("""COMPUTED_VALUE"""),"-33.408106-71.135661")</f>
        <v>-33.408106-71.135661</v>
      </c>
      <c r="C3579" s="6" t="str">
        <f ca="1">IFERROR(__xludf.DUMMYFUNCTION("""COMPUTED_VALUE"""),"SAN LUCAS 441")</f>
        <v>SAN LUCAS 441</v>
      </c>
      <c r="D3579" s="6" t="str">
        <f ca="1">IFERROR(__xludf.DUMMYFUNCTION("""COMPUTED_VALUE"""),"CURACAVI")</f>
        <v>CURACAVI</v>
      </c>
    </row>
    <row r="3580" spans="1:4">
      <c r="A3580" s="7">
        <f ca="1">IFERROR(__xludf.DUMMYFUNCTION("""COMPUTED_VALUE"""),44327)</f>
        <v>44327</v>
      </c>
      <c r="B3580" s="6" t="str">
        <f ca="1">IFERROR(__xludf.DUMMYFUNCTION("""COMPUTED_VALUE"""),"-33.410415-71.144303")</f>
        <v>-33.410415-71.144303</v>
      </c>
      <c r="C3580" s="6" t="str">
        <f ca="1">IFERROR(__xludf.DUMMYFUNCTION("""COMPUTED_VALUE"""),"LOS AROMOS 251")</f>
        <v>LOS AROMOS 251</v>
      </c>
      <c r="D3580" s="6" t="str">
        <f ca="1">IFERROR(__xludf.DUMMYFUNCTION("""COMPUTED_VALUE"""),"CURACAVI")</f>
        <v>CURACAVI</v>
      </c>
    </row>
    <row r="3581" spans="1:4">
      <c r="A3581" s="7">
        <f ca="1">IFERROR(__xludf.DUMMYFUNCTION("""COMPUTED_VALUE"""),44327)</f>
        <v>44327</v>
      </c>
      <c r="B3581" s="6" t="str">
        <f ca="1">IFERROR(__xludf.DUMMYFUNCTION("""COMPUTED_VALUE"""),"-33.393182-71.123694")</f>
        <v>-33.393182-71.123694</v>
      </c>
      <c r="C3581" s="6" t="str">
        <f ca="1">IFERROR(__xludf.DUMMYFUNCTION("""COMPUTED_VALUE"""),"MARTINEZ DE ROSAS 1026")</f>
        <v>MARTINEZ DE ROSAS 1026</v>
      </c>
      <c r="D3581" s="6" t="str">
        <f ca="1">IFERROR(__xludf.DUMMYFUNCTION("""COMPUTED_VALUE"""),"CURACAVI")</f>
        <v>CURACAVI</v>
      </c>
    </row>
    <row r="3582" spans="1:4">
      <c r="A3582" s="7">
        <f ca="1">IFERROR(__xludf.DUMMYFUNCTION("""COMPUTED_VALUE"""),44327)</f>
        <v>44327</v>
      </c>
      <c r="B3582" s="6" t="str">
        <f ca="1">IFERROR(__xludf.DUMMYFUNCTION("""COMPUTED_VALUE"""),"-33.394267-71.120783")</f>
        <v>-33.394267-71.120783</v>
      </c>
      <c r="C3582" s="6" t="str">
        <f ca="1">IFERROR(__xludf.DUMMYFUNCTION("""COMPUTED_VALUE"""),"JEHOVA JIREH 1145")</f>
        <v>JEHOVA JIREH 1145</v>
      </c>
      <c r="D3582" s="6" t="str">
        <f ca="1">IFERROR(__xludf.DUMMYFUNCTION("""COMPUTED_VALUE"""),"CURACAVI")</f>
        <v>CURACAVI</v>
      </c>
    </row>
    <row r="3583" spans="1:4">
      <c r="A3583" s="7">
        <f ca="1">IFERROR(__xludf.DUMMYFUNCTION("""COMPUTED_VALUE"""),44327)</f>
        <v>44327</v>
      </c>
      <c r="B3583" s="6" t="str">
        <f ca="1">IFERROR(__xludf.DUMMYFUNCTION("""COMPUTED_VALUE"""),"-33.407374-71.126962")</f>
        <v>-33.407374-71.126962</v>
      </c>
      <c r="C3583" s="6" t="str">
        <f ca="1">IFERROR(__xludf.DUMMYFUNCTION("""COMPUTED_VALUE"""),"FRANCISCO JOFRE 1833")</f>
        <v>FRANCISCO JOFRE 1833</v>
      </c>
      <c r="D3583" s="6" t="str">
        <f ca="1">IFERROR(__xludf.DUMMYFUNCTION("""COMPUTED_VALUE"""),"CURACAVI")</f>
        <v>CURACAVI</v>
      </c>
    </row>
    <row r="3584" spans="1:4">
      <c r="A3584" s="7">
        <f ca="1">IFERROR(__xludf.DUMMYFUNCTION("""COMPUTED_VALUE"""),44327)</f>
        <v>44327</v>
      </c>
      <c r="B3584" s="6" t="str">
        <f ca="1">IFERROR(__xludf.DUMMYFUNCTION("""COMPUTED_VALUE"""),"-33.405863-71.144813")</f>
        <v>-33.405863-71.144813</v>
      </c>
      <c r="C3584" s="6" t="str">
        <f ca="1">IFERROR(__xludf.DUMMYFUNCTION("""COMPUTED_VALUE"""),"ANTEQUILES 263")</f>
        <v>ANTEQUILES 263</v>
      </c>
      <c r="D3584" s="6" t="str">
        <f ca="1">IFERROR(__xludf.DUMMYFUNCTION("""COMPUTED_VALUE"""),"CURACAVI")</f>
        <v>CURACAVI</v>
      </c>
    </row>
    <row r="3585" spans="1:4">
      <c r="A3585" s="7">
        <f ca="1">IFERROR(__xludf.DUMMYFUNCTION("""COMPUTED_VALUE"""),44327)</f>
        <v>44327</v>
      </c>
      <c r="B3585" s="6" t="str">
        <f ca="1">IFERROR(__xludf.DUMMYFUNCTION("""COMPUTED_VALUE"""),"-33.580799-70.866436")</f>
        <v>-33.580799-70.866436</v>
      </c>
      <c r="C3585" s="6" t="str">
        <f ca="1">IFERROR(__xludf.DUMMYFUNCTION("""COMPUTED_VALUE"""),"EL GUANACO PARCELA 5 LOTE 3B")</f>
        <v>EL GUANACO PARCELA 5 LOTE 3B</v>
      </c>
      <c r="D3585" s="6" t="str">
        <f ca="1">IFERROR(__xludf.DUMMYFUNCTION("""COMPUTED_VALUE"""),"PEÑAFLOR")</f>
        <v>PEÑAFLOR</v>
      </c>
    </row>
    <row r="3586" spans="1:4">
      <c r="A3586" s="7">
        <f ca="1">IFERROR(__xludf.DUMMYFUNCTION("""COMPUTED_VALUE"""),44327)</f>
        <v>44327</v>
      </c>
      <c r="B3586" s="6" t="str">
        <f ca="1">IFERROR(__xludf.DUMMYFUNCTION("""COMPUTED_VALUE"""),"-33.79489-71.21682")</f>
        <v>-33.79489-71.21682</v>
      </c>
      <c r="C3586" s="6" t="str">
        <f ca="1">IFERROR(__xludf.DUMMYFUNCTION("""COMPUTED_VALUE"""),"CULIPRAN P49")</f>
        <v>CULIPRAN P49</v>
      </c>
      <c r="D3586" s="6" t="str">
        <f ca="1">IFERROR(__xludf.DUMMYFUNCTION("""COMPUTED_VALUE"""),"MELIPILLA")</f>
        <v>MELIPILLA</v>
      </c>
    </row>
    <row r="3587" spans="1:4">
      <c r="A3587" s="7">
        <f ca="1">IFERROR(__xludf.DUMMYFUNCTION("""COMPUTED_VALUE"""),44327)</f>
        <v>44327</v>
      </c>
      <c r="B3587" s="6" t="str">
        <f ca="1">IFERROR(__xludf.DUMMYFUNCTION("""COMPUTED_VALUE"""),"-33.79489-71.21682")</f>
        <v>-33.79489-71.21682</v>
      </c>
      <c r="C3587" s="6" t="str">
        <f ca="1">IFERROR(__xludf.DUMMYFUNCTION("""COMPUTED_VALUE"""),"CULIPRAN P49")</f>
        <v>CULIPRAN P49</v>
      </c>
      <c r="D3587" s="6" t="str">
        <f ca="1">IFERROR(__xludf.DUMMYFUNCTION("""COMPUTED_VALUE"""),"MELIPILLA")</f>
        <v>MELIPILLA</v>
      </c>
    </row>
    <row r="3588" spans="1:4">
      <c r="A3588" s="7">
        <f ca="1">IFERROR(__xludf.DUMMYFUNCTION("""COMPUTED_VALUE"""),44327)</f>
        <v>44327</v>
      </c>
      <c r="B3588" s="6" t="str">
        <f ca="1">IFERROR(__xludf.DUMMYFUNCTION("""COMPUTED_VALUE"""),"-33.123825-70.800845")</f>
        <v>-33.123825-70.800845</v>
      </c>
      <c r="C3588" s="6" t="str">
        <f ca="1">IFERROR(__xludf.DUMMYFUNCTION("""COMPUTED_VALUE"""),"LOS LINGUES 22")</f>
        <v>LOS LINGUES 22</v>
      </c>
      <c r="D3588" s="6" t="str">
        <f ca="1">IFERROR(__xludf.DUMMYFUNCTION("""COMPUTED_VALUE"""),"TIL TIL")</f>
        <v>TIL TIL</v>
      </c>
    </row>
    <row r="3589" spans="1:4">
      <c r="A3589" s="7">
        <f ca="1">IFERROR(__xludf.DUMMYFUNCTION("""COMPUTED_VALUE"""),44327)</f>
        <v>44327</v>
      </c>
      <c r="B3589" s="6" t="str">
        <f ca="1">IFERROR(__xludf.DUMMYFUNCTION("""COMPUTED_VALUE"""),"-33.17220-70.52169")</f>
        <v>-33.17220-70.52169</v>
      </c>
      <c r="C3589" s="6" t="str">
        <f ca="1">IFERROR(__xludf.DUMMYFUNCTION("""COMPUTED_VALUE"""),"LA QUERENCIA SUR 107")</f>
        <v>LA QUERENCIA SUR 107</v>
      </c>
      <c r="D3589" s="6" t="str">
        <f ca="1">IFERROR(__xludf.DUMMYFUNCTION("""COMPUTED_VALUE"""),"LAMPA")</f>
        <v>LAMPA</v>
      </c>
    </row>
    <row r="3590" spans="1:4">
      <c r="A3590" s="7">
        <f ca="1">IFERROR(__xludf.DUMMYFUNCTION("""COMPUTED_VALUE"""),44327)</f>
        <v>44327</v>
      </c>
      <c r="B3590" s="6" t="str">
        <f ca="1">IFERROR(__xludf.DUMMYFUNCTION("""COMPUTED_VALUE"""),"-33.587546-70.805614")</f>
        <v>-33.587546-70.805614</v>
      </c>
      <c r="C3590" s="6" t="str">
        <f ca="1">IFERROR(__xludf.DUMMYFUNCTION("""COMPUTED_VALUE"""),"LOS JAZMINES S/N SITIO 36 B")</f>
        <v>LOS JAZMINES S/N SITIO 36 B</v>
      </c>
      <c r="D3590" s="6" t="str">
        <f ca="1">IFERROR(__xludf.DUMMYFUNCTION("""COMPUTED_VALUE"""),"PADRE HURTADO")</f>
        <v>PADRE HURTADO</v>
      </c>
    </row>
    <row r="3591" spans="1:4">
      <c r="A3591" s="7">
        <f ca="1">IFERROR(__xludf.DUMMYFUNCTION("""COMPUTED_VALUE"""),44327)</f>
        <v>44327</v>
      </c>
      <c r="B3591" s="6" t="str">
        <f ca="1">IFERROR(__xludf.DUMMYFUNCTION("""COMPUTED_VALUE"""),"-33.584909-70.810511")</f>
        <v>-33.584909-70.810511</v>
      </c>
      <c r="C3591" s="6" t="str">
        <f ca="1">IFERROR(__xludf.DUMMYFUNCTION("""COMPUTED_VALUE"""),"PJE EL CANELO 64")</f>
        <v>PJE EL CANELO 64</v>
      </c>
      <c r="D3591" s="6" t="str">
        <f ca="1">IFERROR(__xludf.DUMMYFUNCTION("""COMPUTED_VALUE"""),"PADRE HURTADO")</f>
        <v>PADRE HURTADO</v>
      </c>
    </row>
    <row r="3592" spans="1:4">
      <c r="A3592" s="7">
        <f ca="1">IFERROR(__xludf.DUMMYFUNCTION("""COMPUTED_VALUE"""),44327)</f>
        <v>44327</v>
      </c>
      <c r="B3592" s="6" t="str">
        <f ca="1">IFERROR(__xludf.DUMMYFUNCTION("""COMPUTED_VALUE"""),"-33.646440,-71.153881")</f>
        <v>-33.646440,-71.153881</v>
      </c>
      <c r="C3592" s="6" t="str">
        <f ca="1">IFERROR(__xludf.DUMMYFUNCTION("""COMPUTED_VALUE"""),"BARROS 607 POMAIRE ")</f>
        <v xml:space="preserve">BARROS 607 POMAIRE </v>
      </c>
      <c r="D3592" s="6" t="str">
        <f ca="1">IFERROR(__xludf.DUMMYFUNCTION("""COMPUTED_VALUE"""),"MELIPILLA")</f>
        <v>MELIPILLA</v>
      </c>
    </row>
    <row r="3593" spans="1:4">
      <c r="A3593" s="7">
        <f ca="1">IFERROR(__xludf.DUMMYFUNCTION("""COMPUTED_VALUE"""),44327)</f>
        <v>44327</v>
      </c>
      <c r="B3593" s="6" t="str">
        <f ca="1">IFERROR(__xludf.DUMMYFUNCTION("""COMPUTED_VALUE"""),"-33.646898,-71.151613")</f>
        <v>-33.646898,-71.151613</v>
      </c>
      <c r="C3593" s="6" t="str">
        <f ca="1">IFERROR(__xludf.DUMMYFUNCTION("""COMPUTED_VALUE"""),"PASAJE LOS ARTESANOS 685")</f>
        <v>PASAJE LOS ARTESANOS 685</v>
      </c>
      <c r="D3593" s="6" t="str">
        <f ca="1">IFERROR(__xludf.DUMMYFUNCTION("""COMPUTED_VALUE"""),"MELIPILLA")</f>
        <v>MELIPILLA</v>
      </c>
    </row>
    <row r="3594" spans="1:4">
      <c r="A3594" s="7">
        <f ca="1">IFERROR(__xludf.DUMMYFUNCTION("""COMPUTED_VALUE"""),44327)</f>
        <v>44327</v>
      </c>
      <c r="B3594" s="6" t="str">
        <f ca="1">IFERROR(__xludf.DUMMYFUNCTION("""COMPUTED_VALUE"""),"-33.646569,-71.151077")</f>
        <v>-33.646569,-71.151077</v>
      </c>
      <c r="C3594" s="6" t="str">
        <f ca="1">IFERROR(__xludf.DUMMYFUNCTION("""COMPUTED_VALUE"""),"PASAJE LOS ARTESANOS 690")</f>
        <v>PASAJE LOS ARTESANOS 690</v>
      </c>
      <c r="D3594" s="6" t="str">
        <f ca="1">IFERROR(__xludf.DUMMYFUNCTION("""COMPUTED_VALUE"""),"MELIPILLA")</f>
        <v>MELIPILLA</v>
      </c>
    </row>
    <row r="3595" spans="1:4">
      <c r="A3595" s="7">
        <f ca="1">IFERROR(__xludf.DUMMYFUNCTION("""COMPUTED_VALUE"""),44327)</f>
        <v>44327</v>
      </c>
      <c r="B3595" s="8" t="str">
        <f ca="1">IFERROR(__xludf.DUMMYFUNCTION("""COMPUTED_VALUE"""),"-33.764807,-71.296997")</f>
        <v>-33.764807,-71.296997</v>
      </c>
      <c r="C3595" s="6" t="str">
        <f ca="1">IFERROR(__xludf.DUMMYFUNCTION("""COMPUTED_VALUE"""),"LAS PRADERAS S/N CODIGUA")</f>
        <v>LAS PRADERAS S/N CODIGUA</v>
      </c>
      <c r="D3595" s="6" t="str">
        <f ca="1">IFERROR(__xludf.DUMMYFUNCTION("""COMPUTED_VALUE"""),"MELIPILLA")</f>
        <v>MELIPILLA</v>
      </c>
    </row>
    <row r="3596" spans="1:4">
      <c r="A3596" s="7">
        <f ca="1">IFERROR(__xludf.DUMMYFUNCTION("""COMPUTED_VALUE"""),44327)</f>
        <v>44327</v>
      </c>
      <c r="B3596" s="8" t="str">
        <f ca="1">IFERROR(__xludf.DUMMYFUNCTION("""COMPUTED_VALUE"""),"-33.710247,-71.289233")</f>
        <v>-33.710247,-71.289233</v>
      </c>
      <c r="C3596" s="6" t="str">
        <f ca="1">IFERROR(__xludf.DUMMYFUNCTION("""COMPUTED_VALUE"""),"LAS PALMERAS SITIO 16 ")</f>
        <v xml:space="preserve">LAS PALMERAS SITIO 16 </v>
      </c>
      <c r="D3596" s="6" t="str">
        <f ca="1">IFERROR(__xludf.DUMMYFUNCTION("""COMPUTED_VALUE"""),"MELIPILLA")</f>
        <v>MELIPILLA</v>
      </c>
    </row>
    <row r="3597" spans="1:4">
      <c r="A3597" s="7">
        <f ca="1">IFERROR(__xludf.DUMMYFUNCTION("""COMPUTED_VALUE"""),44328)</f>
        <v>44328</v>
      </c>
      <c r="B3597" s="6" t="str">
        <f ca="1">IFERROR(__xludf.DUMMYFUNCTION("""COMPUTED_VALUE"""),"-33.410174-71.144107")</f>
        <v>-33.410174-71.144107</v>
      </c>
      <c r="C3597" s="6" t="str">
        <f ca="1">IFERROR(__xludf.DUMMYFUNCTION("""COMPUTED_VALUE"""),"LOS AROMOS 251")</f>
        <v>LOS AROMOS 251</v>
      </c>
      <c r="D3597" s="6" t="str">
        <f ca="1">IFERROR(__xludf.DUMMYFUNCTION("""COMPUTED_VALUE"""),"CURACAVI")</f>
        <v>CURACAVI</v>
      </c>
    </row>
    <row r="3598" spans="1:4">
      <c r="A3598" s="7">
        <f ca="1">IFERROR(__xludf.DUMMYFUNCTION("""COMPUTED_VALUE"""),44328)</f>
        <v>44328</v>
      </c>
      <c r="B3598" s="6" t="str">
        <f ca="1">IFERROR(__xludf.DUMMYFUNCTION("""COMPUTED_VALUE"""),"-33.79961-71.24379")</f>
        <v>-33.79961-71.24379</v>
      </c>
      <c r="C3598" s="6" t="str">
        <f ca="1">IFERROR(__xludf.DUMMYFUNCTION("""COMPUTED_VALUE"""),"LAS CHILCAS 355")</f>
        <v>LAS CHILCAS 355</v>
      </c>
      <c r="D3598" s="6" t="str">
        <f ca="1">IFERROR(__xludf.DUMMYFUNCTION("""COMPUTED_VALUE"""),"MELIPILLA")</f>
        <v>MELIPILLA</v>
      </c>
    </row>
    <row r="3599" spans="1:4">
      <c r="A3599" s="7">
        <f ca="1">IFERROR(__xludf.DUMMYFUNCTION("""COMPUTED_VALUE"""),44328)</f>
        <v>44328</v>
      </c>
      <c r="B3599" s="6" t="str">
        <f ca="1">IFERROR(__xludf.DUMMYFUNCTION("""COMPUTED_VALUE"""),"-33.77193-71.25967")</f>
        <v>-33.77193-71.25967</v>
      </c>
      <c r="C3599" s="6" t="str">
        <f ca="1">IFERROR(__xludf.DUMMYFUNCTION("""COMPUTED_VALUE"""),"EUROPA ORIENTE LOTE 5B")</f>
        <v>EUROPA ORIENTE LOTE 5B</v>
      </c>
      <c r="D3599" s="6" t="str">
        <f ca="1">IFERROR(__xludf.DUMMYFUNCTION("""COMPUTED_VALUE"""),"MELIPILLA")</f>
        <v>MELIPILLA</v>
      </c>
    </row>
    <row r="3600" spans="1:4">
      <c r="A3600" s="7">
        <f ca="1">IFERROR(__xludf.DUMMYFUNCTION("""COMPUTED_VALUE"""),44328)</f>
        <v>44328</v>
      </c>
      <c r="B3600" s="6" t="str">
        <f ca="1">IFERROR(__xludf.DUMMYFUNCTION("""COMPUTED_VALUE"""),"-33.400007-71.120674")</f>
        <v>-33.400007-71.120674</v>
      </c>
      <c r="C3600" s="6" t="str">
        <f ca="1">IFERROR(__xludf.DUMMYFUNCTION("""COMPUTED_VALUE"""),"IGNACIO CARRERA PINTO 166")</f>
        <v>IGNACIO CARRERA PINTO 166</v>
      </c>
      <c r="D3600" s="6" t="str">
        <f ca="1">IFERROR(__xludf.DUMMYFUNCTION("""COMPUTED_VALUE"""),"CURACAVI")</f>
        <v>CURACAVI</v>
      </c>
    </row>
    <row r="3601" spans="1:4">
      <c r="A3601" s="7">
        <f ca="1">IFERROR(__xludf.DUMMYFUNCTION("""COMPUTED_VALUE"""),44328)</f>
        <v>44328</v>
      </c>
      <c r="B3601" s="6" t="str">
        <f ca="1">IFERROR(__xludf.DUMMYFUNCTION("""COMPUTED_VALUE"""),"-33.399771-71.120283")</f>
        <v>-33.399771-71.120283</v>
      </c>
      <c r="C3601" s="6" t="str">
        <f ca="1">IFERROR(__xludf.DUMMYFUNCTION("""COMPUTED_VALUE"""),"PASAJE DOS 2212")</f>
        <v>PASAJE DOS 2212</v>
      </c>
      <c r="D3601" s="6" t="str">
        <f ca="1">IFERROR(__xludf.DUMMYFUNCTION("""COMPUTED_VALUE"""),"CURACAVI")</f>
        <v>CURACAVI</v>
      </c>
    </row>
    <row r="3602" spans="1:4">
      <c r="A3602" s="7">
        <f ca="1">IFERROR(__xludf.DUMMYFUNCTION("""COMPUTED_VALUE"""),44328)</f>
        <v>44328</v>
      </c>
      <c r="B3602" s="6" t="str">
        <f ca="1">IFERROR(__xludf.DUMMYFUNCTION("""COMPUTED_VALUE"""),"-33.684152-70.959004")</f>
        <v>-33.684152-70.959004</v>
      </c>
      <c r="C3602" s="6" t="str">
        <f ca="1">IFERROR(__xludf.DUMMYFUNCTION("""COMPUTED_VALUE"""),"LA PALMA 5")</f>
        <v>LA PALMA 5</v>
      </c>
      <c r="D3602" s="6" t="str">
        <f ca="1">IFERROR(__xludf.DUMMYFUNCTION("""COMPUTED_VALUE"""),"TALAGANTE")</f>
        <v>TALAGANTE</v>
      </c>
    </row>
    <row r="3603" spans="1:4">
      <c r="A3603" s="7">
        <f ca="1">IFERROR(__xludf.DUMMYFUNCTION("""COMPUTED_VALUE"""),44328)</f>
        <v>44328</v>
      </c>
      <c r="B3603" s="6" t="str">
        <f ca="1">IFERROR(__xludf.DUMMYFUNCTION("""COMPUTED_VALUE"""),"-33.684142-70.959005")</f>
        <v>-33.684142-70.959005</v>
      </c>
      <c r="C3603" s="6" t="str">
        <f ca="1">IFERROR(__xludf.DUMMYFUNCTION("""COMPUTED_VALUE"""),"LA PALMA 5")</f>
        <v>LA PALMA 5</v>
      </c>
      <c r="D3603" s="6" t="str">
        <f ca="1">IFERROR(__xludf.DUMMYFUNCTION("""COMPUTED_VALUE"""),"TALAGANTE")</f>
        <v>TALAGANTE</v>
      </c>
    </row>
    <row r="3604" spans="1:4">
      <c r="A3604" s="7">
        <f ca="1">IFERROR(__xludf.DUMMYFUNCTION("""COMPUTED_VALUE"""),44328)</f>
        <v>44328</v>
      </c>
      <c r="B3604" s="6" t="str">
        <f ca="1">IFERROR(__xludf.DUMMYFUNCTION("""COMPUTED_VALUE"""),"-33.131297-70.799877")</f>
        <v>-33.131297-70.799877</v>
      </c>
      <c r="C3604" s="6" t="str">
        <f ca="1">IFERROR(__xludf.DUMMYFUNCTION("""COMPUTED_VALUE"""),"CUATRO ORIENTE 121")</f>
        <v>CUATRO ORIENTE 121</v>
      </c>
      <c r="D3604" s="6" t="str">
        <f ca="1">IFERROR(__xludf.DUMMYFUNCTION("""COMPUTED_VALUE"""),"TIL TIL")</f>
        <v>TIL TIL</v>
      </c>
    </row>
    <row r="3605" spans="1:4">
      <c r="A3605" s="7">
        <f ca="1">IFERROR(__xludf.DUMMYFUNCTION("""COMPUTED_VALUE"""),44328)</f>
        <v>44328</v>
      </c>
      <c r="B3605" s="6" t="str">
        <f ca="1">IFERROR(__xludf.DUMMYFUNCTION("""COMPUTED_VALUE"""),"-33.399791-71.129933")</f>
        <v>-33.399791-71.129933</v>
      </c>
      <c r="C3605" s="6" t="str">
        <f ca="1">IFERROR(__xludf.DUMMYFUNCTION("""COMPUTED_VALUE"""),"GERMAN RIESCO 381")</f>
        <v>GERMAN RIESCO 381</v>
      </c>
      <c r="D3605" s="6" t="str">
        <f ca="1">IFERROR(__xludf.DUMMYFUNCTION("""COMPUTED_VALUE"""),"CURACAVI")</f>
        <v>CURACAVI</v>
      </c>
    </row>
    <row r="3606" spans="1:4">
      <c r="A3606" s="7">
        <f ca="1">IFERROR(__xludf.DUMMYFUNCTION("""COMPUTED_VALUE"""),44328)</f>
        <v>44328</v>
      </c>
      <c r="B3606" s="6" t="str">
        <f ca="1">IFERROR(__xludf.DUMMYFUNCTION("""COMPUTED_VALUE"""),"-33.390744-71.121512")</f>
        <v>-33.390744-71.121512</v>
      </c>
      <c r="C3606" s="6" t="str">
        <f ca="1">IFERROR(__xludf.DUMMYFUNCTION("""COMPUTED_VALUE"""),"ISLAS NEGRAS 1144")</f>
        <v>ISLAS NEGRAS 1144</v>
      </c>
      <c r="D3606" s="6" t="str">
        <f ca="1">IFERROR(__xludf.DUMMYFUNCTION("""COMPUTED_VALUE"""),"CURACAVI")</f>
        <v>CURACAVI</v>
      </c>
    </row>
    <row r="3607" spans="1:4">
      <c r="A3607" s="7">
        <f ca="1">IFERROR(__xludf.DUMMYFUNCTION("""COMPUTED_VALUE"""),44328)</f>
        <v>44328</v>
      </c>
      <c r="B3607" s="6" t="str">
        <f ca="1">IFERROR(__xludf.DUMMYFUNCTION("""COMPUTED_VALUE"""),"-33.748449-70.682004")</f>
        <v>-33.748449-70.682004</v>
      </c>
      <c r="C3607" s="6" t="str">
        <f ca="1">IFERROR(__xludf.DUMMYFUNCTION("""COMPUTED_VALUE"""),"CRUZ DEL SUR 20")</f>
        <v>CRUZ DEL SUR 20</v>
      </c>
      <c r="D3607" s="6" t="str">
        <f ca="1">IFERROR(__xludf.DUMMYFUNCTION("""COMPUTED_VALUE"""),"BUIN")</f>
        <v>BUIN</v>
      </c>
    </row>
    <row r="3608" spans="1:4">
      <c r="A3608" s="7">
        <f ca="1">IFERROR(__xludf.DUMMYFUNCTION("""COMPUTED_VALUE"""),44328)</f>
        <v>44328</v>
      </c>
      <c r="B3608" s="6" t="str">
        <f ca="1">IFERROR(__xludf.DUMMYFUNCTION("""COMPUTED_VALUE"""),"-33.749940-70.674808")</f>
        <v>-33.749940-70.674808</v>
      </c>
      <c r="C3608" s="6" t="str">
        <f ca="1">IFERROR(__xludf.DUMMYFUNCTION("""COMPUTED_VALUE"""),"CRUZ DEL SUR 20")</f>
        <v>CRUZ DEL SUR 20</v>
      </c>
      <c r="D3608" s="6" t="str">
        <f ca="1">IFERROR(__xludf.DUMMYFUNCTION("""COMPUTED_VALUE"""),"BUIN")</f>
        <v>BUIN</v>
      </c>
    </row>
    <row r="3609" spans="1:4">
      <c r="A3609" s="7">
        <f ca="1">IFERROR(__xludf.DUMMYFUNCTION("""COMPUTED_VALUE"""),44328)</f>
        <v>44328</v>
      </c>
      <c r="B3609" s="6" t="str">
        <f ca="1">IFERROR(__xludf.DUMMYFUNCTION("""COMPUTED_VALUE"""),"-33.686543-71.006909")</f>
        <v>-33.686543-71.006909</v>
      </c>
      <c r="C3609" s="6" t="str">
        <f ca="1">IFERROR(__xludf.DUMMYFUNCTION("""COMPUTED_VALUE"""),"LAS PETUNIAS 904")</f>
        <v>LAS PETUNIAS 904</v>
      </c>
      <c r="D3609" s="6" t="str">
        <f ca="1">IFERROR(__xludf.DUMMYFUNCTION("""COMPUTED_VALUE"""),"EL MONTE")</f>
        <v>EL MONTE</v>
      </c>
    </row>
    <row r="3610" spans="1:4">
      <c r="A3610" s="7">
        <f ca="1">IFERROR(__xludf.DUMMYFUNCTION("""COMPUTED_VALUE"""),44328)</f>
        <v>44328</v>
      </c>
      <c r="B3610" s="6" t="str">
        <f ca="1">IFERROR(__xludf.DUMMYFUNCTION("""COMPUTED_VALUE"""),"-33.584914-70.810334")</f>
        <v>-33.584914-70.810334</v>
      </c>
      <c r="C3610" s="6" t="str">
        <f ca="1">IFERROR(__xludf.DUMMYFUNCTION("""COMPUTED_VALUE"""),"SAN IGNACIO 53")</f>
        <v>SAN IGNACIO 53</v>
      </c>
      <c r="D3610" s="6" t="str">
        <f ca="1">IFERROR(__xludf.DUMMYFUNCTION("""COMPUTED_VALUE"""),"PADRE HURTADO")</f>
        <v>PADRE HURTADO</v>
      </c>
    </row>
    <row r="3611" spans="1:4">
      <c r="A3611" s="7">
        <f ca="1">IFERROR(__xludf.DUMMYFUNCTION("""COMPUTED_VALUE"""),44328)</f>
        <v>44328</v>
      </c>
      <c r="B3611" s="6" t="str">
        <f ca="1">IFERROR(__xludf.DUMMYFUNCTION("""COMPUTED_VALUE"""),"-33.851934,-71.198268")</f>
        <v>-33.851934,-71.198268</v>
      </c>
      <c r="C3611" s="6" t="str">
        <f ca="1">IFERROR(__xludf.DUMMYFUNCTION("""COMPUTED_VALUE"""),"SECTOR TNTEHUE ALTO S/N SIT 19 A-1")</f>
        <v>SECTOR TNTEHUE ALTO S/N SIT 19 A-1</v>
      </c>
      <c r="D3611" s="6" t="str">
        <f ca="1">IFERROR(__xludf.DUMMYFUNCTION("""COMPUTED_VALUE"""),"MELIPILLA")</f>
        <v>MELIPILLA</v>
      </c>
    </row>
    <row r="3612" spans="1:4">
      <c r="A3612" s="7">
        <f ca="1">IFERROR(__xludf.DUMMYFUNCTION("""COMPUTED_VALUE"""),44328)</f>
        <v>44328</v>
      </c>
      <c r="B3612" s="6" t="str">
        <f ca="1">IFERROR(__xludf.DUMMYFUNCTION("""COMPUTED_VALUE"""),"-33.848713,-71.185602")</f>
        <v>-33.848713,-71.185602</v>
      </c>
      <c r="C3612" s="6" t="str">
        <f ca="1">IFERROR(__xludf.DUMMYFUNCTION("""COMPUTED_VALUE"""),"TANTEHUE P30 ")</f>
        <v xml:space="preserve">TANTEHUE P30 </v>
      </c>
      <c r="D3612" s="6" t="str">
        <f ca="1">IFERROR(__xludf.DUMMYFUNCTION("""COMPUTED_VALUE"""),"MELIPILLA")</f>
        <v>MELIPILLA</v>
      </c>
    </row>
    <row r="3613" spans="1:4">
      <c r="A3613" s="7">
        <f ca="1">IFERROR(__xludf.DUMMYFUNCTION("""COMPUTED_VALUE"""),44328)</f>
        <v>44328</v>
      </c>
      <c r="B3613" s="8" t="str">
        <f ca="1">IFERROR(__xludf.DUMMYFUNCTION("""COMPUTED_VALUE"""),"-33.653502,-71.276956")</f>
        <v>-33.653502,-71.276956</v>
      </c>
      <c r="C3613" s="6" t="str">
        <f ca="1">IFERROR(__xludf.DUMMYFUNCTION("""COMPUTED_VALUE"""),"PARCELA 27 STA ROSA ESMERALDA")</f>
        <v>PARCELA 27 STA ROSA ESMERALDA</v>
      </c>
      <c r="D3613" s="6" t="str">
        <f ca="1">IFERROR(__xludf.DUMMYFUNCTION("""COMPUTED_VALUE"""),"MELIPILLA")</f>
        <v>MELIPILLA</v>
      </c>
    </row>
    <row r="3614" spans="1:4">
      <c r="A3614" s="7">
        <f ca="1">IFERROR(__xludf.DUMMYFUNCTION("""COMPUTED_VALUE"""),44328)</f>
        <v>44328</v>
      </c>
      <c r="B3614" s="8" t="str">
        <f ca="1">IFERROR(__xludf.DUMMYFUNCTION("""COMPUTED_VALUE"""),"-33.653312,-71.276957")</f>
        <v>-33.653312,-71.276957</v>
      </c>
      <c r="C3614" s="6" t="str">
        <f ca="1">IFERROR(__xludf.DUMMYFUNCTION("""COMPUTED_VALUE"""),"PARCELA 27 STA ROSA ESMERALDA")</f>
        <v>PARCELA 27 STA ROSA ESMERALDA</v>
      </c>
      <c r="D3614" s="6" t="str">
        <f ca="1">IFERROR(__xludf.DUMMYFUNCTION("""COMPUTED_VALUE"""),"MELIPILLA")</f>
        <v>MELIPILLA</v>
      </c>
    </row>
    <row r="3615" spans="1:4">
      <c r="A3615" s="7">
        <f ca="1">IFERROR(__xludf.DUMMYFUNCTION("""COMPUTED_VALUE"""),44329)</f>
        <v>44329</v>
      </c>
      <c r="B3615" s="6" t="str">
        <f ca="1">IFERROR(__xludf.DUMMYFUNCTION("""COMPUTED_VALUE"""),"-33.406490-70.141560")</f>
        <v>-33.406490-70.141560</v>
      </c>
      <c r="C3615" s="6" t="str">
        <f ca="1">IFERROR(__xludf.DUMMYFUNCTION("""COMPUTED_VALUE"""),"AV. AMBROSIO OHIGGINS 915 A")</f>
        <v>AV. AMBROSIO OHIGGINS 915 A</v>
      </c>
      <c r="D3615" s="6" t="str">
        <f ca="1">IFERROR(__xludf.DUMMYFUNCTION("""COMPUTED_VALUE"""),"CURACAVI")</f>
        <v>CURACAVI</v>
      </c>
    </row>
    <row r="3616" spans="1:4">
      <c r="A3616" s="7">
        <f ca="1">IFERROR(__xludf.DUMMYFUNCTION("""COMPUTED_VALUE"""),44329)</f>
        <v>44329</v>
      </c>
      <c r="B3616" s="6" t="str">
        <f ca="1">IFERROR(__xludf.DUMMYFUNCTION("""COMPUTED_VALUE"""),"-33.395528-71.125644")</f>
        <v>-33.395528-71.125644</v>
      </c>
      <c r="C3616" s="6" t="str">
        <f ca="1">IFERROR(__xludf.DUMMYFUNCTION("""COMPUTED_VALUE"""),"LUIS CRUCHAGA 686 B")</f>
        <v>LUIS CRUCHAGA 686 B</v>
      </c>
      <c r="D3616" s="6" t="str">
        <f ca="1">IFERROR(__xludf.DUMMYFUNCTION("""COMPUTED_VALUE"""),"CURACAVI")</f>
        <v>CURACAVI</v>
      </c>
    </row>
    <row r="3617" spans="1:4">
      <c r="A3617" s="7">
        <f ca="1">IFERROR(__xludf.DUMMYFUNCTION("""COMPUTED_VALUE"""),44329)</f>
        <v>44329</v>
      </c>
      <c r="B3617" s="6" t="str">
        <f ca="1">IFERROR(__xludf.DUMMYFUNCTION("""COMPUTED_VALUE"""),"-33.407816-71.136942")</f>
        <v>-33.407816-71.136942</v>
      </c>
      <c r="C3617" s="6" t="str">
        <f ca="1">IFERROR(__xludf.DUMMYFUNCTION("""COMPUTED_VALUE"""),"FRANCISCO JOFRE 1242")</f>
        <v>FRANCISCO JOFRE 1242</v>
      </c>
      <c r="D3617" s="6" t="str">
        <f ca="1">IFERROR(__xludf.DUMMYFUNCTION("""COMPUTED_VALUE"""),"CURACAVI")</f>
        <v>CURACAVI</v>
      </c>
    </row>
    <row r="3618" spans="1:4">
      <c r="A3618" s="7">
        <f ca="1">IFERROR(__xludf.DUMMYFUNCTION("""COMPUTED_VALUE"""),44329)</f>
        <v>44329</v>
      </c>
      <c r="B3618" s="6" t="str">
        <f ca="1">IFERROR(__xludf.DUMMYFUNCTION("""COMPUTED_VALUE"""),"-33.51571-71.11846")</f>
        <v>-33.51571-71.11846</v>
      </c>
      <c r="C3618" s="6" t="str">
        <f ca="1">IFERROR(__xludf.DUMMYFUNCTION("""COMPUTED_VALUE"""),"MARIA PINTO S/N")</f>
        <v>MARIA PINTO S/N</v>
      </c>
      <c r="D3618" s="6" t="str">
        <f ca="1">IFERROR(__xludf.DUMMYFUNCTION("""COMPUTED_VALUE"""),"MARIA PINTO")</f>
        <v>MARIA PINTO</v>
      </c>
    </row>
    <row r="3619" spans="1:4">
      <c r="A3619" s="7">
        <f ca="1">IFERROR(__xludf.DUMMYFUNCTION("""COMPUTED_VALUE"""),44329)</f>
        <v>44329</v>
      </c>
      <c r="B3619" s="6" t="str">
        <f ca="1">IFERROR(__xludf.DUMMYFUNCTION("""COMPUTED_VALUE"""),"-33.063-71.1479")</f>
        <v>-33.063-71.1479</v>
      </c>
      <c r="C3619" s="6" t="str">
        <f ca="1">IFERROR(__xludf.DUMMYFUNCTION("""COMPUTED_VALUE"""),"EL ROSARIO S/N")</f>
        <v>EL ROSARIO S/N</v>
      </c>
      <c r="D3619" s="6" t="str">
        <f ca="1">IFERROR(__xludf.DUMMYFUNCTION("""COMPUTED_VALUE"""),"MARIA PINTO")</f>
        <v>MARIA PINTO</v>
      </c>
    </row>
    <row r="3620" spans="1:4">
      <c r="A3620" s="7">
        <f ca="1">IFERROR(__xludf.DUMMYFUNCTION("""COMPUTED_VALUE"""),44329)</f>
        <v>44329</v>
      </c>
      <c r="B3620" s="6" t="str">
        <f ca="1">IFERROR(__xludf.DUMMYFUNCTION("""COMPUTED_VALUE"""),"-33.407266-71.146627")</f>
        <v>-33.407266-71.146627</v>
      </c>
      <c r="C3620" s="6" t="str">
        <f ca="1">IFERROR(__xludf.DUMMYFUNCTION("""COMPUTED_VALUE"""),"AV. AMBROSIO OHIGGINS 431 LOTE F")</f>
        <v>AV. AMBROSIO OHIGGINS 431 LOTE F</v>
      </c>
      <c r="D3620" s="6" t="str">
        <f ca="1">IFERROR(__xludf.DUMMYFUNCTION("""COMPUTED_VALUE"""),"CURACAVI")</f>
        <v>CURACAVI</v>
      </c>
    </row>
    <row r="3621" spans="1:4">
      <c r="A3621" s="7">
        <f ca="1">IFERROR(__xludf.DUMMYFUNCTION("""COMPUTED_VALUE"""),44329)</f>
        <v>44329</v>
      </c>
      <c r="B3621" s="6" t="str">
        <f ca="1">IFERROR(__xludf.DUMMYFUNCTION("""COMPUTED_VALUE"""),"-33.849522,71.186021")</f>
        <v>-33.849522,71.186021</v>
      </c>
      <c r="C3621" s="6" t="str">
        <f ca="1">IFERROR(__xludf.DUMMYFUNCTION("""COMPUTED_VALUE"""),"TANTEHUE P29")</f>
        <v>TANTEHUE P29</v>
      </c>
      <c r="D3621" s="6" t="str">
        <f ca="1">IFERROR(__xludf.DUMMYFUNCTION("""COMPUTED_VALUE"""),"MELIPILLA")</f>
        <v>MELIPILLA</v>
      </c>
    </row>
    <row r="3622" spans="1:4">
      <c r="A3622" s="7">
        <f ca="1">IFERROR(__xludf.DUMMYFUNCTION("""COMPUTED_VALUE"""),44329)</f>
        <v>44329</v>
      </c>
      <c r="B3622" s="6" t="str">
        <f ca="1">IFERROR(__xludf.DUMMYFUNCTION("""COMPUTED_VALUE"""),"-33.851619,-71.198501")</f>
        <v>-33.851619,-71.198501</v>
      </c>
      <c r="C3622" s="6" t="str">
        <f ca="1">IFERROR(__xludf.DUMMYFUNCTION("""COMPUTED_VALUE"""),"TANTEHUE ST 19 A")</f>
        <v>TANTEHUE ST 19 A</v>
      </c>
      <c r="D3622" s="6" t="str">
        <f ca="1">IFERROR(__xludf.DUMMYFUNCTION("""COMPUTED_VALUE"""),"MELIPILLA")</f>
        <v>MELIPILLA</v>
      </c>
    </row>
    <row r="3623" spans="1:4">
      <c r="A3623" s="7">
        <f ca="1">IFERROR(__xludf.DUMMYFUNCTION("""COMPUTED_VALUE"""),44329)</f>
        <v>44329</v>
      </c>
      <c r="B3623" s="8" t="str">
        <f ca="1">IFERROR(__xludf.DUMMYFUNCTION("""COMPUTED_VALUE"""),"-33.800967,-71.216414")</f>
        <v>-33.800967,-71.216414</v>
      </c>
      <c r="C3623" s="6" t="str">
        <f ca="1">IFERROR(__xludf.DUMMYFUNCTION("""COMPUTED_VALUE"""),"CULIPRAN EL DIBUJO PZA #69")</f>
        <v>CULIPRAN EL DIBUJO PZA #69</v>
      </c>
      <c r="D3623" s="6" t="str">
        <f ca="1">IFERROR(__xludf.DUMMYFUNCTION("""COMPUTED_VALUE"""),"MELIPILLA")</f>
        <v>MELIPILLA</v>
      </c>
    </row>
    <row r="3624" spans="1:4">
      <c r="A3624" s="7">
        <f ca="1">IFERROR(__xludf.DUMMYFUNCTION("""COMPUTED_VALUE"""),44329)</f>
        <v>44329</v>
      </c>
      <c r="B3624" s="8" t="str">
        <f ca="1">IFERROR(__xludf.DUMMYFUNCTION("""COMPUTED_VALUE"""),"-33.674859,-71.174775")</f>
        <v>-33.674859,-71.174775</v>
      </c>
      <c r="C3624" s="6" t="str">
        <f ca="1">IFERROR(__xludf.DUMMYFUNCTION("""COMPUTED_VALUE"""),"CALLE POLONIA 2070")</f>
        <v>CALLE POLONIA 2070</v>
      </c>
      <c r="D3624" s="6" t="str">
        <f ca="1">IFERROR(__xludf.DUMMYFUNCTION("""COMPUTED_VALUE"""),"MELIPILLA")</f>
        <v>MELIPILLA</v>
      </c>
    </row>
    <row r="3625" spans="1:4">
      <c r="A3625" s="7">
        <f ca="1">IFERROR(__xludf.DUMMYFUNCTION("""COMPUTED_VALUE"""),44330)</f>
        <v>44330</v>
      </c>
      <c r="B3625" s="8" t="str">
        <f ca="1">IFERROR(__xludf.DUMMYFUNCTION("""COMPUTED_VALUE"""),"-33.699555,-71.216859")</f>
        <v>-33.699555,-71.216859</v>
      </c>
      <c r="C3625" s="6" t="str">
        <f ca="1">IFERROR(__xludf.DUMMYFUNCTION("""COMPUTED_VALUE"""),"MANUEL AGUERO 1502")</f>
        <v>MANUEL AGUERO 1502</v>
      </c>
      <c r="D3625" s="6" t="str">
        <f ca="1">IFERROR(__xludf.DUMMYFUNCTION("""COMPUTED_VALUE"""),"MELIPILLA")</f>
        <v>MELIPILLA</v>
      </c>
    </row>
    <row r="3626" spans="1:4">
      <c r="A3626" s="7">
        <f ca="1">IFERROR(__xludf.DUMMYFUNCTION("""COMPUTED_VALUE"""),44330)</f>
        <v>44330</v>
      </c>
      <c r="B3626" s="8" t="str">
        <f ca="1">IFERROR(__xludf.DUMMYFUNCTION("""COMPUTED_VALUE"""),"-33.827749,-71.273054")</f>
        <v>-33.827749,-71.273054</v>
      </c>
      <c r="C3626" s="6" t="str">
        <f ca="1">IFERROR(__xludf.DUMMYFUNCTION("""COMPUTED_VALUE"""),"POPETA S/N")</f>
        <v>POPETA S/N</v>
      </c>
      <c r="D3626" s="6" t="str">
        <f ca="1">IFERROR(__xludf.DUMMYFUNCTION("""COMPUTED_VALUE"""),"MELIPILLA")</f>
        <v>MELIPILLA</v>
      </c>
    </row>
    <row r="3627" spans="1:4">
      <c r="A3627" s="7">
        <f ca="1">IFERROR(__xludf.DUMMYFUNCTION("""COMPUTED_VALUE"""),44330)</f>
        <v>44330</v>
      </c>
      <c r="B3627" s="8" t="str">
        <f ca="1">IFERROR(__xludf.DUMMYFUNCTION("""COMPUTED_VALUE"""),"-33621121,-71.219663")</f>
        <v>-33621121,-71.219663</v>
      </c>
      <c r="C3627" s="6" t="str">
        <f ca="1">IFERROR(__xludf.DUMMYFUNCTION("""COMPUTED_VALUE"""),"RUMAY PARCELA 51")</f>
        <v>RUMAY PARCELA 51</v>
      </c>
      <c r="D3627" s="6" t="str">
        <f ca="1">IFERROR(__xludf.DUMMYFUNCTION("""COMPUTED_VALUE"""),"MELIPILLA")</f>
        <v>MELIPILLA</v>
      </c>
    </row>
    <row r="3628" spans="1:4">
      <c r="A3628" s="7">
        <f ca="1">IFERROR(__xludf.DUMMYFUNCTION("""COMPUTED_VALUE"""),44330)</f>
        <v>44330</v>
      </c>
      <c r="B3628" s="8" t="str">
        <f ca="1">IFERROR(__xludf.DUMMYFUNCTION("""COMPUTED_VALUE"""),"-33.813180,-70.798160")</f>
        <v>-33.813180,-70.798160</v>
      </c>
      <c r="C3628" s="6" t="str">
        <f ca="1">IFERROR(__xludf.DUMMYFUNCTION("""COMPUTED_VALUE"""),"SANTA FILOMENA 2700 L7")</f>
        <v>SANTA FILOMENA 2700 L7</v>
      </c>
      <c r="D3628" s="6" t="str">
        <f ca="1">IFERROR(__xludf.DUMMYFUNCTION("""COMPUTED_VALUE"""),"BUIN")</f>
        <v>BUIN</v>
      </c>
    </row>
    <row r="3629" spans="1:4">
      <c r="A3629" s="7">
        <f ca="1">IFERROR(__xludf.DUMMYFUNCTION("""COMPUTED_VALUE"""),44330)</f>
        <v>44330</v>
      </c>
      <c r="B3629" s="8" t="str">
        <f ca="1">IFERROR(__xludf.DUMMYFUNCTION("""COMPUTED_VALUE"""),"-33.811880,-70.856718")</f>
        <v>-33.811880,-70.856718</v>
      </c>
      <c r="C3629" s="6" t="str">
        <f ca="1">IFERROR(__xludf.DUMMYFUNCTION("""COMPUTED_VALUE"""),"BENJAMIN MOLINA RAMOS")</f>
        <v>BENJAMIN MOLINA RAMOS</v>
      </c>
      <c r="D3629" s="6" t="str">
        <f ca="1">IFERROR(__xludf.DUMMYFUNCTION("""COMPUTED_VALUE"""),"BUIN")</f>
        <v>BUIN</v>
      </c>
    </row>
    <row r="3630" spans="1:4">
      <c r="A3630" s="7">
        <f ca="1">IFERROR(__xludf.DUMMYFUNCTION("""COMPUTED_VALUE"""),44330)</f>
        <v>44330</v>
      </c>
      <c r="B3630" s="8" t="str">
        <f ca="1">IFERROR(__xludf.DUMMYFUNCTION("""COMPUTED_VALUE"""),"-33.576739,-71.181249")</f>
        <v>-33.576739,-71.181249</v>
      </c>
      <c r="C3630" s="6" t="str">
        <f ca="1">IFERROR(__xludf.DUMMYFUNCTION("""COMPUTED_VALUE"""),"SANTA LUCIA 18")</f>
        <v>SANTA LUCIA 18</v>
      </c>
      <c r="D3630" s="6" t="str">
        <f ca="1">IFERROR(__xludf.DUMMYFUNCTION("""COMPUTED_VALUE"""),"MELIPILLA")</f>
        <v>MELIPILLA</v>
      </c>
    </row>
    <row r="3631" spans="1:4">
      <c r="A3631" s="7">
        <f ca="1">IFERROR(__xludf.DUMMYFUNCTION("""COMPUTED_VALUE"""),44330)</f>
        <v>44330</v>
      </c>
      <c r="B3631" s="8" t="str">
        <f ca="1">IFERROR(__xludf.DUMMYFUNCTION("""COMPUTED_VALUE"""),"-33.453726,-71.293598")</f>
        <v>-33.453726,-71.293598</v>
      </c>
      <c r="C3631" s="6" t="str">
        <f ca="1">IFERROR(__xludf.DUMMYFUNCTION("""COMPUTED_VALUE"""),"FUUDO LOCEO IBACACHE")</f>
        <v>FUUDO LOCEO IBACACHE</v>
      </c>
      <c r="D3631" s="6" t="str">
        <f ca="1">IFERROR(__xludf.DUMMYFUNCTION("""COMPUTED_VALUE"""),"MARIA PINTO")</f>
        <v>MARIA PINTO</v>
      </c>
    </row>
    <row r="3632" spans="1:4">
      <c r="A3632" s="7">
        <f ca="1">IFERROR(__xludf.DUMMYFUNCTION("""COMPUTED_VALUE"""),44330)</f>
        <v>44330</v>
      </c>
      <c r="B3632" s="6" t="str">
        <f ca="1">IFERROR(__xludf.DUMMYFUNCTION("""COMPUTED_VALUE"""),"-33.690082-71.068587")</f>
        <v>-33.690082-71.068587</v>
      </c>
      <c r="C3632" s="6" t="str">
        <f ca="1">IFERROR(__xludf.DUMMYFUNCTION("""COMPUTED_VALUE"""),"SECTOR LA TRINIDAD /N PARCELA 1")</f>
        <v>SECTOR LA TRINIDAD /N PARCELA 1</v>
      </c>
      <c r="D3632" s="6" t="str">
        <f ca="1">IFERROR(__xludf.DUMMYFUNCTION("""COMPUTED_VALUE"""),"EL MONTE")</f>
        <v>EL MONTE</v>
      </c>
    </row>
    <row r="3633" spans="1:4">
      <c r="A3633" s="7">
        <f ca="1">IFERROR(__xludf.DUMMYFUNCTION("""COMPUTED_VALUE"""),44330)</f>
        <v>44330</v>
      </c>
      <c r="B3633" s="6" t="str">
        <f ca="1">IFERROR(__xludf.DUMMYFUNCTION("""COMPUTED_VALUE"""),"-33.689498-71.034065")</f>
        <v>-33.689498-71.034065</v>
      </c>
      <c r="C3633" s="6" t="str">
        <f ca="1">IFERROR(__xludf.DUMMYFUNCTION("""COMPUTED_VALUE"""),"VENEZUELA 094 B")</f>
        <v>VENEZUELA 094 B</v>
      </c>
      <c r="D3633" s="6" t="str">
        <f ca="1">IFERROR(__xludf.DUMMYFUNCTION("""COMPUTED_VALUE"""),"EL MONTE")</f>
        <v>EL MONTE</v>
      </c>
    </row>
    <row r="3634" spans="1:4">
      <c r="A3634" s="7">
        <f ca="1">IFERROR(__xludf.DUMMYFUNCTION("""COMPUTED_VALUE"""),44330)</f>
        <v>44330</v>
      </c>
      <c r="B3634" s="6" t="str">
        <f ca="1">IFERROR(__xludf.DUMMYFUNCTION("""COMPUTED_VALUE"""),"-33.573043,-71.086348")</f>
        <v>-33.573043,-71.086348</v>
      </c>
      <c r="C3634" s="6" t="str">
        <f ca="1">IFERROR(__xludf.DUMMYFUNCTION("""COMPUTED_VALUE"""),"SAN BERNARDO S/N CV23 SITIO 15")</f>
        <v>SAN BERNARDO S/N CV23 SITIO 15</v>
      </c>
      <c r="D3634" s="6" t="str">
        <f ca="1">IFERROR(__xludf.DUMMYFUNCTION("""COMPUTED_VALUE"""),"MELIPILLA")</f>
        <v>MELIPILLA</v>
      </c>
    </row>
    <row r="3635" spans="1:4">
      <c r="A3635" s="7">
        <f ca="1">IFERROR(__xludf.DUMMYFUNCTION("""COMPUTED_VALUE"""),44330)</f>
        <v>44330</v>
      </c>
      <c r="B3635" s="6" t="str">
        <f ca="1">IFERROR(__xludf.DUMMYFUNCTION("""COMPUTED_VALUE"""),"-33.567446,-71.211556")</f>
        <v>-33.567446,-71.211556</v>
      </c>
      <c r="C3635" s="6" t="str">
        <f ca="1">IFERROR(__xludf.DUMMYFUNCTION("""COMPUTED_VALUE"""),"CULEBRAS VERDES 404 LOTE D")</f>
        <v>CULEBRAS VERDES 404 LOTE D</v>
      </c>
      <c r="D3635" s="6" t="str">
        <f ca="1">IFERROR(__xludf.DUMMYFUNCTION("""COMPUTED_VALUE"""),"MELIPILLA")</f>
        <v>MELIPILLA</v>
      </c>
    </row>
    <row r="3636" spans="1:4">
      <c r="A3636" s="7">
        <f ca="1">IFERROR(__xludf.DUMMYFUNCTION("""COMPUTED_VALUE"""),44330)</f>
        <v>44330</v>
      </c>
      <c r="B3636" s="6" t="str">
        <f ca="1">IFERROR(__xludf.DUMMYFUNCTION("""COMPUTED_VALUE"""),"-33.567564,-71.216833")</f>
        <v>-33.567564,-71.216833</v>
      </c>
      <c r="C3636" s="6" t="str">
        <f ca="1">IFERROR(__xludf.DUMMYFUNCTION("""COMPUTED_VALUE"""),"VECINAL 3 BOLLENAR /CULEBRAS VERDES 479")</f>
        <v>VECINAL 3 BOLLENAR /CULEBRAS VERDES 479</v>
      </c>
      <c r="D3636" s="6" t="str">
        <f ca="1">IFERROR(__xludf.DUMMYFUNCTION("""COMPUTED_VALUE"""),"MELIPILLA")</f>
        <v>MELIPILLA</v>
      </c>
    </row>
    <row r="3637" spans="1:4">
      <c r="A3637" s="7">
        <f ca="1">IFERROR(__xludf.DUMMYFUNCTION("""COMPUTED_VALUE"""),44330)</f>
        <v>44330</v>
      </c>
      <c r="B3637" s="8" t="str">
        <f ca="1">IFERROR(__xludf.DUMMYFUNCTION("""COMPUTED_VALUE"""),"-33.790552,-71.256620")</f>
        <v>-33.790552,-71.256620</v>
      </c>
      <c r="C3637" s="6" t="str">
        <f ca="1">IFERROR(__xludf.DUMMYFUNCTION("""COMPUTED_VALUE"""),"LAS PALMERAS 151 CULIPRAN")</f>
        <v>LAS PALMERAS 151 CULIPRAN</v>
      </c>
      <c r="D3637" s="6" t="str">
        <f ca="1">IFERROR(__xludf.DUMMYFUNCTION("""COMPUTED_VALUE"""),"MELIPILLA")</f>
        <v>MELIPILLA</v>
      </c>
    </row>
    <row r="3638" spans="1:4">
      <c r="A3638" s="7">
        <f ca="1">IFERROR(__xludf.DUMMYFUNCTION("""COMPUTED_VALUE"""),44330)</f>
        <v>44330</v>
      </c>
      <c r="B3638" s="8" t="str">
        <f ca="1">IFERROR(__xludf.DUMMYFUNCTION("""COMPUTED_VALUE"""),"-33.670146,-71.219299")</f>
        <v>-33.670146,-71.219299</v>
      </c>
      <c r="C3638" s="6" t="str">
        <f ca="1">IFERROR(__xludf.DUMMYFUNCTION("""COMPUTED_VALUE"""),"SANTA JULIA P 7B")</f>
        <v>SANTA JULIA P 7B</v>
      </c>
      <c r="D3638" s="6" t="str">
        <f ca="1">IFERROR(__xludf.DUMMYFUNCTION("""COMPUTED_VALUE"""),"MELIPILLA")</f>
        <v>MELIPILLA</v>
      </c>
    </row>
    <row r="3639" spans="1:4">
      <c r="A3639" s="7">
        <f ca="1">IFERROR(__xludf.DUMMYFUNCTION("""COMPUTED_VALUE"""),44331)</f>
        <v>44331</v>
      </c>
      <c r="B3639" s="6" t="str">
        <f ca="1">IFERROR(__xludf.DUMMYFUNCTION("""COMPUTED_VALUE"""),"-33.288638-70.875591")</f>
        <v>-33.288638-70.875591</v>
      </c>
      <c r="C3639" s="6" t="str">
        <f ca="1">IFERROR(__xludf.DUMMYFUNCTION("""COMPUTED_VALUE"""),"MAIPO 24")</f>
        <v>MAIPO 24</v>
      </c>
      <c r="D3639" s="6" t="str">
        <f ca="1">IFERROR(__xludf.DUMMYFUNCTION("""COMPUTED_VALUE"""),"LAMPA")</f>
        <v>LAMPA</v>
      </c>
    </row>
    <row r="3640" spans="1:4">
      <c r="A3640" s="7">
        <f ca="1">IFERROR(__xludf.DUMMYFUNCTION("""COMPUTED_VALUE"""),44333)</f>
        <v>44333</v>
      </c>
      <c r="B3640" s="8" t="str">
        <f ca="1">IFERROR(__xludf.DUMMYFUNCTION("""COMPUTED_VALUE"""),"-33.827749,-71.273054")</f>
        <v>-33.827749,-71.273054</v>
      </c>
      <c r="C3640" s="6" t="str">
        <f ca="1">IFERROR(__xludf.DUMMYFUNCTION("""COMPUTED_VALUE"""),"POPETA S/N")</f>
        <v>POPETA S/N</v>
      </c>
      <c r="D3640" s="6" t="str">
        <f ca="1">IFERROR(__xludf.DUMMYFUNCTION("""COMPUTED_VALUE"""),"MELIPILLA")</f>
        <v>MELIPILLA</v>
      </c>
    </row>
    <row r="3641" spans="1:4">
      <c r="A3641" s="7">
        <f ca="1">IFERROR(__xludf.DUMMYFUNCTION("""COMPUTED_VALUE"""),44333)</f>
        <v>44333</v>
      </c>
      <c r="B3641" s="8" t="str">
        <f ca="1">IFERROR(__xludf.DUMMYFUNCTION("""COMPUTED_VALUE"""),"-33.760827,-71.333376")</f>
        <v>-33.760827,-71.333376</v>
      </c>
      <c r="C3641" s="6" t="str">
        <f ca="1">IFERROR(__xludf.DUMMYFUNCTION("""COMPUTED_VALUE"""),"SECTOR STA LAURA 5")</f>
        <v>SECTOR STA LAURA 5</v>
      </c>
      <c r="D3641" s="6" t="str">
        <f ca="1">IFERROR(__xludf.DUMMYFUNCTION("""COMPUTED_VALUE"""),"MELIPILLA")</f>
        <v>MELIPILLA</v>
      </c>
    </row>
    <row r="3642" spans="1:4">
      <c r="A3642" s="7">
        <f ca="1">IFERROR(__xludf.DUMMYFUNCTION("""COMPUTED_VALUE"""),44333)</f>
        <v>44333</v>
      </c>
      <c r="B3642" s="8" t="str">
        <f ca="1">IFERROR(__xludf.DUMMYFUNCTION("""COMPUTED_VALUE"""),"-33.408901,-71,147087")</f>
        <v>-33.408901,-71,147087</v>
      </c>
      <c r="C3642" s="6" t="str">
        <f ca="1">IFERROR(__xludf.DUMMYFUNCTION("""COMPUTED_VALUE"""),"AV O HIGGINS 399")</f>
        <v>AV O HIGGINS 399</v>
      </c>
      <c r="D3642" s="6" t="str">
        <f ca="1">IFERROR(__xludf.DUMMYFUNCTION("""COMPUTED_VALUE"""),"CURACAVI")</f>
        <v>CURACAVI</v>
      </c>
    </row>
    <row r="3643" spans="1:4">
      <c r="A3643" s="7">
        <f ca="1">IFERROR(__xludf.DUMMYFUNCTION("""COMPUTED_VALUE"""),44333)</f>
        <v>44333</v>
      </c>
      <c r="B3643" s="8" t="str">
        <f ca="1">IFERROR(__xludf.DUMMYFUNCTION("""COMPUTED_VALUE"""),"-33.891884,-71.223655")</f>
        <v>-33.891884,-71.223655</v>
      </c>
      <c r="C3643" s="6" t="str">
        <f ca="1">IFERROR(__xludf.DUMMYFUNCTION("""COMPUTED_VALUE"""),"SANTA FILOMENA PC 42")</f>
        <v>SANTA FILOMENA PC 42</v>
      </c>
      <c r="D3643" s="6" t="str">
        <f ca="1">IFERROR(__xludf.DUMMYFUNCTION("""COMPUTED_VALUE"""),"MELIPILLA")</f>
        <v>MELIPILLA</v>
      </c>
    </row>
    <row r="3644" spans="1:4">
      <c r="A3644" s="7">
        <f ca="1">IFERROR(__xludf.DUMMYFUNCTION("""COMPUTED_VALUE"""),44333)</f>
        <v>44333</v>
      </c>
      <c r="B3644" s="6" t="str">
        <f ca="1">IFERROR(__xludf.DUMMYFUNCTION("""COMPUTED_VALUE"""),"-33.404052-71.127372")</f>
        <v>-33.404052-71.127372</v>
      </c>
      <c r="C3644" s="6" t="str">
        <f ca="1">IFERROR(__xludf.DUMMYFUNCTION("""COMPUTED_VALUE"""),"AMANDA BRICEÑO SOLOHAGA 150")</f>
        <v>AMANDA BRICEÑO SOLOHAGA 150</v>
      </c>
      <c r="D3644" s="6" t="str">
        <f ca="1">IFERROR(__xludf.DUMMYFUNCTION("""COMPUTED_VALUE"""),"CURACAVI")</f>
        <v>CURACAVI</v>
      </c>
    </row>
    <row r="3645" spans="1:4">
      <c r="A3645" s="7">
        <f ca="1">IFERROR(__xludf.DUMMYFUNCTION("""COMPUTED_VALUE"""),44333)</f>
        <v>44333</v>
      </c>
      <c r="B3645" s="6" t="str">
        <f ca="1">IFERROR(__xludf.DUMMYFUNCTION("""COMPUTED_VALUE"""),"-33.390963-71.124699")</f>
        <v>-33.390963-71.124699</v>
      </c>
      <c r="C3645" s="6" t="str">
        <f ca="1">IFERROR(__xludf.DUMMYFUNCTION("""COMPUTED_VALUE"""),"LOS PATRIOTAS 2071")</f>
        <v>LOS PATRIOTAS 2071</v>
      </c>
      <c r="D3645" s="6" t="str">
        <f ca="1">IFERROR(__xludf.DUMMYFUNCTION("""COMPUTED_VALUE"""),"CURACAVI")</f>
        <v>CURACAVI</v>
      </c>
    </row>
    <row r="3646" spans="1:4">
      <c r="A3646" s="7">
        <f ca="1">IFERROR(__xludf.DUMMYFUNCTION("""COMPUTED_VALUE"""),44333)</f>
        <v>44333</v>
      </c>
      <c r="B3646" s="6" t="str">
        <f ca="1">IFERROR(__xludf.DUMMYFUNCTION("""COMPUTED_VALUE"""),"-33.727802-70.769996")</f>
        <v>-33.727802-70.769996</v>
      </c>
      <c r="C3646" s="6" t="str">
        <f ca="1">IFERROR(__xludf.DUMMYFUNCTION("""COMPUTED_VALUE"""),"EDUARDO CASTILLO 416")</f>
        <v>EDUARDO CASTILLO 416</v>
      </c>
      <c r="D3646" s="6" t="str">
        <f ca="1">IFERROR(__xludf.DUMMYFUNCTION("""COMPUTED_VALUE"""),"BUIN")</f>
        <v>BUIN</v>
      </c>
    </row>
    <row r="3647" spans="1:4">
      <c r="A3647" s="7">
        <f ca="1">IFERROR(__xludf.DUMMYFUNCTION("""COMPUTED_VALUE"""),44333)</f>
        <v>44333</v>
      </c>
      <c r="B3647" s="6" t="str">
        <f ca="1">IFERROR(__xludf.DUMMYFUNCTION("""COMPUTED_VALUE"""),"-33.23274-70.84095")</f>
        <v>-33.23274-70.84095</v>
      </c>
      <c r="C3647" s="6" t="str">
        <f ca="1">IFERROR(__xludf.DUMMYFUNCTION("""COMPUTED_VALUE"""),"CAMINO INTERIOR VIVIENDA 2")</f>
        <v>CAMINO INTERIOR VIVIENDA 2</v>
      </c>
      <c r="D3647" s="6" t="str">
        <f ca="1">IFERROR(__xludf.DUMMYFUNCTION("""COMPUTED_VALUE"""),"LAMPA")</f>
        <v>LAMPA</v>
      </c>
    </row>
    <row r="3648" spans="1:4">
      <c r="A3648" s="7">
        <f ca="1">IFERROR(__xludf.DUMMYFUNCTION("""COMPUTED_VALUE"""),44333)</f>
        <v>44333</v>
      </c>
      <c r="B3648" s="6" t="str">
        <f ca="1">IFERROR(__xludf.DUMMYFUNCTION("""COMPUTED_VALUE"""),"-33.23274-70.84095")</f>
        <v>-33.23274-70.84095</v>
      </c>
      <c r="C3648" s="6" t="str">
        <f ca="1">IFERROR(__xludf.DUMMYFUNCTION("""COMPUTED_VALUE"""),"CAMINO INTERIOR VIVIENDA 2")</f>
        <v>CAMINO INTERIOR VIVIENDA 2</v>
      </c>
      <c r="D3648" s="6" t="str">
        <f ca="1">IFERROR(__xludf.DUMMYFUNCTION("""COMPUTED_VALUE"""),"LAMPA")</f>
        <v>LAMPA</v>
      </c>
    </row>
    <row r="3649" spans="1:4">
      <c r="A3649" s="7">
        <f ca="1">IFERROR(__xludf.DUMMYFUNCTION("""COMPUTED_VALUE"""),44333)</f>
        <v>44333</v>
      </c>
      <c r="B3649" s="6" t="str">
        <f ca="1">IFERROR(__xludf.DUMMYFUNCTION("""COMPUTED_VALUE"""),"-33.849024,-71.186527")</f>
        <v>-33.849024,-71.186527</v>
      </c>
      <c r="C3649" s="6" t="str">
        <f ca="1">IFERROR(__xludf.DUMMYFUNCTION("""COMPUTED_VALUE"""),"TANTEHUE ST 30 ")</f>
        <v xml:space="preserve">TANTEHUE ST 30 </v>
      </c>
      <c r="D3649" s="6" t="str">
        <f ca="1">IFERROR(__xludf.DUMMYFUNCTION("""COMPUTED_VALUE"""),"MELIPILLA")</f>
        <v>MELIPILLA</v>
      </c>
    </row>
    <row r="3650" spans="1:4">
      <c r="A3650" s="7">
        <f ca="1">IFERROR(__xludf.DUMMYFUNCTION("""COMPUTED_VALUE"""),44333)</f>
        <v>44333</v>
      </c>
      <c r="B3650" s="6" t="str">
        <f ca="1">IFERROR(__xludf.DUMMYFUNCTION("""COMPUTED_VALUE"""),"-33.849015,-71.185769")</f>
        <v>-33.849015,-71.185769</v>
      </c>
      <c r="C3650" s="6" t="str">
        <f ca="1">IFERROR(__xludf.DUMMYFUNCTION("""COMPUTED_VALUE"""),"TANTEHUE ST 30 A")</f>
        <v>TANTEHUE ST 30 A</v>
      </c>
      <c r="D3650" s="6" t="str">
        <f ca="1">IFERROR(__xludf.DUMMYFUNCTION("""COMPUTED_VALUE"""),"MELIPILLA")</f>
        <v>MELIPILLA</v>
      </c>
    </row>
    <row r="3651" spans="1:4">
      <c r="A3651" s="7">
        <f ca="1">IFERROR(__xludf.DUMMYFUNCTION("""COMPUTED_VALUE"""),44333)</f>
        <v>44333</v>
      </c>
      <c r="B3651" s="8" t="str">
        <f ca="1">IFERROR(__xludf.DUMMYFUNCTION("""COMPUTED_VALUE"""),"-33.695496,-71.198606")</f>
        <v>-33.695496,-71.198606</v>
      </c>
      <c r="C3651" s="6" t="str">
        <f ca="1">IFERROR(__xludf.DUMMYFUNCTION("""COMPUTED_VALUE"""),"EL BAJO 730")</f>
        <v>EL BAJO 730</v>
      </c>
      <c r="D3651" s="6" t="str">
        <f ca="1">IFERROR(__xludf.DUMMYFUNCTION("""COMPUTED_VALUE"""),"MELIPILLA")</f>
        <v>MELIPILLA</v>
      </c>
    </row>
    <row r="3652" spans="1:4">
      <c r="A3652" s="7">
        <f ca="1">IFERROR(__xludf.DUMMYFUNCTION("""COMPUTED_VALUE"""),44334)</f>
        <v>44334</v>
      </c>
      <c r="B3652" s="8" t="str">
        <f ca="1">IFERROR(__xludf.DUMMYFUNCTION("""COMPUTED_VALUE"""),"-33.572363,-71.211475")</f>
        <v>-33.572363,-71.211475</v>
      </c>
      <c r="C3652" s="6" t="str">
        <f ca="1">IFERROR(__xludf.DUMMYFUNCTION("""COMPUTED_VALUE"""),"RANCAGUA 83")</f>
        <v>RANCAGUA 83</v>
      </c>
      <c r="D3652" s="6" t="str">
        <f ca="1">IFERROR(__xludf.DUMMYFUNCTION("""COMPUTED_VALUE"""),"MELIPILLA")</f>
        <v>MELIPILLA</v>
      </c>
    </row>
    <row r="3653" spans="1:4">
      <c r="A3653" s="7">
        <f ca="1">IFERROR(__xludf.DUMMYFUNCTION("""COMPUTED_VALUE"""),44334)</f>
        <v>44334</v>
      </c>
      <c r="B3653" s="8" t="str">
        <f ca="1">IFERROR(__xludf.DUMMYFUNCTION("""COMPUTED_VALUE"""),"-33.788502,-71.294465")</f>
        <v>-33.788502,-71.294465</v>
      </c>
      <c r="C3653" s="6" t="str">
        <f ca="1">IFERROR(__xludf.DUMMYFUNCTION("""COMPUTED_VALUE"""),"LAS ACACIAS P217")</f>
        <v>LAS ACACIAS P217</v>
      </c>
      <c r="D3653" s="6" t="str">
        <f ca="1">IFERROR(__xludf.DUMMYFUNCTION("""COMPUTED_VALUE"""),"MELIPILLA")</f>
        <v>MELIPILLA</v>
      </c>
    </row>
    <row r="3654" spans="1:4">
      <c r="A3654" s="7">
        <f ca="1">IFERROR(__xludf.DUMMYFUNCTION("""COMPUTED_VALUE"""),44334)</f>
        <v>44334</v>
      </c>
      <c r="B3654" s="8" t="str">
        <f ca="1">IFERROR(__xludf.DUMMYFUNCTION("""COMPUTED_VALUE"""),"-33.788502,-71.294468")</f>
        <v>-33.788502,-71.294468</v>
      </c>
      <c r="C3654" s="6" t="str">
        <f ca="1">IFERROR(__xludf.DUMMYFUNCTION("""COMPUTED_VALUE"""),"LAS ACACIAS P217")</f>
        <v>LAS ACACIAS P217</v>
      </c>
      <c r="D3654" s="6" t="str">
        <f ca="1">IFERROR(__xludf.DUMMYFUNCTION("""COMPUTED_VALUE"""),"MELIPILLA")</f>
        <v>MELIPILLA</v>
      </c>
    </row>
    <row r="3655" spans="1:4">
      <c r="A3655" s="7">
        <f ca="1">IFERROR(__xludf.DUMMYFUNCTION("""COMPUTED_VALUE"""),44334)</f>
        <v>44334</v>
      </c>
      <c r="B3655" s="8" t="str">
        <f ca="1">IFERROR(__xludf.DUMMYFUNCTION("""COMPUTED_VALUE"""),"-33.393659,-71.122952")</f>
        <v>-33.393659,-71.122952</v>
      </c>
      <c r="C3655" s="6" t="str">
        <f ca="1">IFERROR(__xludf.DUMMYFUNCTION("""COMPUTED_VALUE"""),"JAVIERA CARRERA 2181")</f>
        <v>JAVIERA CARRERA 2181</v>
      </c>
      <c r="D3655" s="6" t="str">
        <f ca="1">IFERROR(__xludf.DUMMYFUNCTION("""COMPUTED_VALUE"""),"CURACAVI")</f>
        <v>CURACAVI</v>
      </c>
    </row>
    <row r="3656" spans="1:4">
      <c r="A3656" s="7">
        <f ca="1">IFERROR(__xludf.DUMMYFUNCTION("""COMPUTED_VALUE"""),44334)</f>
        <v>44334</v>
      </c>
      <c r="B3656" s="6" t="str">
        <f ca="1">IFERROR(__xludf.DUMMYFUNCTION("""COMPUTED_VALUE"""),"-33.68784-71.22739")</f>
        <v>-33.68784-71.22739</v>
      </c>
      <c r="C3656" s="6" t="str">
        <f ca="1">IFERROR(__xludf.DUMMYFUNCTION("""COMPUTED_VALUE"""),"AURORA URRUTIA HENRIQUEZ 741")</f>
        <v>AURORA URRUTIA HENRIQUEZ 741</v>
      </c>
      <c r="D3656" s="6" t="str">
        <f ca="1">IFERROR(__xludf.DUMMYFUNCTION("""COMPUTED_VALUE"""),"MELIPILLA")</f>
        <v>MELIPILLA</v>
      </c>
    </row>
    <row r="3657" spans="1:4">
      <c r="A3657" s="7">
        <f ca="1">IFERROR(__xludf.DUMMYFUNCTION("""COMPUTED_VALUE"""),44334)</f>
        <v>44334</v>
      </c>
      <c r="B3657" s="6" t="str">
        <f ca="1">IFERROR(__xludf.DUMMYFUNCTION("""COMPUTED_VALUE"""),"-33.46007-71.03489")</f>
        <v>-33.46007-71.03489</v>
      </c>
      <c r="C3657" s="6" t="str">
        <f ca="1">IFERROR(__xludf.DUMMYFUNCTION("""COMPUTED_VALUE"""),"NANCY ARIAS 690")</f>
        <v>NANCY ARIAS 690</v>
      </c>
      <c r="D3657" s="6" t="str">
        <f ca="1">IFERROR(__xludf.DUMMYFUNCTION("""COMPUTED_VALUE"""),"CURACAVI")</f>
        <v>CURACAVI</v>
      </c>
    </row>
    <row r="3658" spans="1:4">
      <c r="A3658" s="7">
        <f ca="1">IFERROR(__xludf.DUMMYFUNCTION("""COMPUTED_VALUE"""),44334)</f>
        <v>44334</v>
      </c>
      <c r="B3658" s="6" t="str">
        <f ca="1">IFERROR(__xludf.DUMMYFUNCTION("""COMPUTED_VALUE"""),"-33.46392-71.02737")</f>
        <v>-33.46392-71.02737</v>
      </c>
      <c r="C3658" s="6" t="str">
        <f ca="1">IFERROR(__xludf.DUMMYFUNCTION("""COMPUTED_VALUE"""),"CUESTA VIEJA S/N P3")</f>
        <v>CUESTA VIEJA S/N P3</v>
      </c>
      <c r="D3658" s="6" t="str">
        <f ca="1">IFERROR(__xludf.DUMMYFUNCTION("""COMPUTED_VALUE"""),"CURACAVI")</f>
        <v>CURACAVI</v>
      </c>
    </row>
    <row r="3659" spans="1:4">
      <c r="A3659" s="7">
        <f ca="1">IFERROR(__xludf.DUMMYFUNCTION("""COMPUTED_VALUE"""),44334)</f>
        <v>44334</v>
      </c>
      <c r="B3659" s="6" t="str">
        <f ca="1">IFERROR(__xludf.DUMMYFUNCTION("""COMPUTED_VALUE"""),"-33.675214-70.977060")</f>
        <v>-33.675214-70.977060</v>
      </c>
      <c r="C3659" s="6" t="str">
        <f ca="1">IFERROR(__xludf.DUMMYFUNCTION("""COMPUTED_VALUE"""),"FREIRE 135")</f>
        <v>FREIRE 135</v>
      </c>
      <c r="D3659" s="6" t="str">
        <f ca="1">IFERROR(__xludf.DUMMYFUNCTION("""COMPUTED_VALUE"""),"EL MONTE")</f>
        <v>EL MONTE</v>
      </c>
    </row>
    <row r="3660" spans="1:4">
      <c r="A3660" s="7">
        <f ca="1">IFERROR(__xludf.DUMMYFUNCTION("""COMPUTED_VALUE"""),44334)</f>
        <v>44334</v>
      </c>
      <c r="B3660" s="6" t="str">
        <f ca="1">IFERROR(__xludf.DUMMYFUNCTION("""COMPUTED_VALUE"""),"-33.677816-70.989750")</f>
        <v>-33.677816-70.989750</v>
      </c>
      <c r="C3660" s="6" t="str">
        <f ca="1">IFERROR(__xludf.DUMMYFUNCTION("""COMPUTED_VALUE"""),"LOS PATRIOTAS 589")</f>
        <v>LOS PATRIOTAS 589</v>
      </c>
      <c r="D3660" s="6" t="str">
        <f ca="1">IFERROR(__xludf.DUMMYFUNCTION("""COMPUTED_VALUE"""),"EL MONTE")</f>
        <v>EL MONTE</v>
      </c>
    </row>
    <row r="3661" spans="1:4">
      <c r="A3661" s="7">
        <f ca="1">IFERROR(__xludf.DUMMYFUNCTION("""COMPUTED_VALUE"""),44334)</f>
        <v>44334</v>
      </c>
      <c r="B3661" s="6" t="str">
        <f ca="1">IFERROR(__xludf.DUMMYFUNCTION("""COMPUTED_VALUE"""),"-33.4084933-71.1464293")</f>
        <v>-33.4084933-71.1464293</v>
      </c>
      <c r="C3661" s="6" t="str">
        <f ca="1">IFERROR(__xludf.DUMMYFUNCTION("""COMPUTED_VALUE"""),"AV. AMBROSIO OHIGGINS 43")</f>
        <v>AV. AMBROSIO OHIGGINS 43</v>
      </c>
      <c r="D3661" s="6" t="str">
        <f ca="1">IFERROR(__xludf.DUMMYFUNCTION("""COMPUTED_VALUE"""),"CURACAVI")</f>
        <v>CURACAVI</v>
      </c>
    </row>
    <row r="3662" spans="1:4">
      <c r="A3662" s="7">
        <f ca="1">IFERROR(__xludf.DUMMYFUNCTION("""COMPUTED_VALUE"""),44334)</f>
        <v>44334</v>
      </c>
      <c r="B3662" s="6" t="str">
        <f ca="1">IFERROR(__xludf.DUMMYFUNCTION("""COMPUTED_VALUE"""),"-33.407598-71.146343")</f>
        <v>-33.407598-71.146343</v>
      </c>
      <c r="C3662" s="6" t="str">
        <f ca="1">IFERROR(__xludf.DUMMYFUNCTION("""COMPUTED_VALUE"""),"AV. AMBROSIO OHIGGINS 431 LOTE C")</f>
        <v>AV. AMBROSIO OHIGGINS 431 LOTE C</v>
      </c>
      <c r="D3662" s="6" t="str">
        <f ca="1">IFERROR(__xludf.DUMMYFUNCTION("""COMPUTED_VALUE"""),"CURACAVI")</f>
        <v>CURACAVI</v>
      </c>
    </row>
    <row r="3663" spans="1:4">
      <c r="A3663" s="7">
        <f ca="1">IFERROR(__xludf.DUMMYFUNCTION("""COMPUTED_VALUE"""),44334)</f>
        <v>44334</v>
      </c>
      <c r="B3663" s="6" t="str">
        <f ca="1">IFERROR(__xludf.DUMMYFUNCTION("""COMPUTED_VALUE"""),"-33.408344-71.146203")</f>
        <v>-33.408344-71.146203</v>
      </c>
      <c r="C3663" s="6" t="str">
        <f ca="1">IFERROR(__xludf.DUMMYFUNCTION("""COMPUTED_VALUE"""),"AV. AMBROSIO OHIGGINS 431 LOTE B")</f>
        <v>AV. AMBROSIO OHIGGINS 431 LOTE B</v>
      </c>
      <c r="D3663" s="6" t="str">
        <f ca="1">IFERROR(__xludf.DUMMYFUNCTION("""COMPUTED_VALUE"""),"CURACAVI")</f>
        <v>CURACAVI</v>
      </c>
    </row>
    <row r="3664" spans="1:4">
      <c r="A3664" s="7">
        <f ca="1">IFERROR(__xludf.DUMMYFUNCTION("""COMPUTED_VALUE"""),44334)</f>
        <v>44334</v>
      </c>
      <c r="B3664" s="6" t="str">
        <f ca="1">IFERROR(__xludf.DUMMYFUNCTION("""COMPUTED_VALUE"""),"-33.616517-70.864089")</f>
        <v>-33.616517-70.864089</v>
      </c>
      <c r="C3664" s="6" t="str">
        <f ca="1">IFERROR(__xludf.DUMMYFUNCTION("""COMPUTED_VALUE"""),"SANTA ROSA 80")</f>
        <v>SANTA ROSA 80</v>
      </c>
      <c r="D3664" s="6" t="str">
        <f ca="1">IFERROR(__xludf.DUMMYFUNCTION("""COMPUTED_VALUE"""),"PEÑAFLOR")</f>
        <v>PEÑAFLOR</v>
      </c>
    </row>
    <row r="3665" spans="1:4">
      <c r="A3665" s="7">
        <f ca="1">IFERROR(__xludf.DUMMYFUNCTION("""COMPUTED_VALUE"""),44334)</f>
        <v>44334</v>
      </c>
      <c r="B3665" s="6" t="str">
        <f ca="1">IFERROR(__xludf.DUMMYFUNCTION("""COMPUTED_VALUE"""),"-33.573134-71.109015")</f>
        <v>-33.573134-71.109015</v>
      </c>
      <c r="C3665" s="6" t="str">
        <f ca="1">IFERROR(__xludf.DUMMYFUNCTION("""COMPUTED_VALUE"""),"EL CAMPESINO S/N")</f>
        <v>EL CAMPESINO S/N</v>
      </c>
      <c r="D3665" s="6" t="str">
        <f ca="1">IFERROR(__xludf.DUMMYFUNCTION("""COMPUTED_VALUE"""),"MELIPILLA")</f>
        <v>MELIPILLA</v>
      </c>
    </row>
    <row r="3666" spans="1:4">
      <c r="A3666" s="7">
        <f ca="1">IFERROR(__xludf.DUMMYFUNCTION("""COMPUTED_VALUE"""),44334)</f>
        <v>44334</v>
      </c>
      <c r="B3666" s="6" t="str">
        <f ca="1">IFERROR(__xludf.DUMMYFUNCTION("""COMPUTED_VALUE"""),"-33.584110,-71.051235")</f>
        <v>-33.584110,-71.051235</v>
      </c>
      <c r="C3666" s="6" t="str">
        <f ca="1">IFERROR(__xludf.DUMMYFUNCTION("""COMPUTED_VALUE"""),"SANTA VISTORIA  S/N ")</f>
        <v xml:space="preserve">SANTA VISTORIA  S/N </v>
      </c>
      <c r="D3666" s="6" t="str">
        <f ca="1">IFERROR(__xludf.DUMMYFUNCTION("""COMPUTED_VALUE"""),"MELIPILLA")</f>
        <v>MELIPILLA</v>
      </c>
    </row>
    <row r="3667" spans="1:4">
      <c r="A3667" s="7">
        <f ca="1">IFERROR(__xludf.DUMMYFUNCTION("""COMPUTED_VALUE"""),44334)</f>
        <v>44334</v>
      </c>
      <c r="B3667" s="6" t="str">
        <f ca="1">IFERROR(__xludf.DUMMYFUNCTION("""COMPUTED_VALUE"""),"-33.7493535,-71.1991277")</f>
        <v>-33.7493535,-71.1991277</v>
      </c>
      <c r="C3667" s="6" t="str">
        <f ca="1">IFERROR(__xludf.DUMMYFUNCTION("""COMPUTED_VALUE"""),"ERRAZURIZ 19 PABELLO")</f>
        <v>ERRAZURIZ 19 PABELLO</v>
      </c>
      <c r="D3667" s="6" t="str">
        <f ca="1">IFERROR(__xludf.DUMMYFUNCTION("""COMPUTED_VALUE"""),"MELIPILLA")</f>
        <v>MELIPILLA</v>
      </c>
    </row>
    <row r="3668" spans="1:4">
      <c r="A3668" s="7">
        <f ca="1">IFERROR(__xludf.DUMMYFUNCTION("""COMPUTED_VALUE"""),44334)</f>
        <v>44334</v>
      </c>
      <c r="B3668" s="6" t="str">
        <f ca="1">IFERROR(__xludf.DUMMYFUNCTION("""COMPUTED_VALUE"""),"-33.584110,-71.051235")</f>
        <v>-33.584110,-71.051235</v>
      </c>
      <c r="C3668" s="6" t="str">
        <f ca="1">IFERROR(__xludf.DUMMYFUNCTION("""COMPUTED_VALUE"""),"VILLA RENACER CASA 13 ")</f>
        <v xml:space="preserve">VILLA RENACER CASA 13 </v>
      </c>
      <c r="D3668" s="6" t="str">
        <f ca="1">IFERROR(__xludf.DUMMYFUNCTION("""COMPUTED_VALUE"""),"MELIPILLA")</f>
        <v>MELIPILLA</v>
      </c>
    </row>
    <row r="3669" spans="1:4">
      <c r="A3669" s="7">
        <f ca="1">IFERROR(__xludf.DUMMYFUNCTION("""COMPUTED_VALUE"""),44334)</f>
        <v>44334</v>
      </c>
      <c r="B3669" s="8" t="str">
        <f ca="1">IFERROR(__xludf.DUMMYFUNCTION("""COMPUTED_VALUE"""),"-33.804510,-71.304755")</f>
        <v>-33.804510,-71.304755</v>
      </c>
      <c r="C3669" s="6" t="str">
        <f ca="1">IFERROR(__xludf.DUMMYFUNCTION("""COMPUTED_VALUE"""),"POPETA S/N MEDIALUNA")</f>
        <v>POPETA S/N MEDIALUNA</v>
      </c>
      <c r="D3669" s="6" t="str">
        <f ca="1">IFERROR(__xludf.DUMMYFUNCTION("""COMPUTED_VALUE"""),"MELIPILLA")</f>
        <v>MELIPILLA</v>
      </c>
    </row>
    <row r="3670" spans="1:4">
      <c r="A3670" s="7">
        <f ca="1">IFERROR(__xludf.DUMMYFUNCTION("""COMPUTED_VALUE"""),44334)</f>
        <v>44334</v>
      </c>
      <c r="B3670" s="8" t="str">
        <f ca="1">IFERROR(__xludf.DUMMYFUNCTION("""COMPUTED_VALUE"""),"-33.575865,-71.181631")</f>
        <v>-33.575865,-71.181631</v>
      </c>
      <c r="C3670" s="6" t="str">
        <f ca="1">IFERROR(__xludf.DUMMYFUNCTION("""COMPUTED_VALUE"""),"STA LUCIA PARCELA 10")</f>
        <v>STA LUCIA PARCELA 10</v>
      </c>
      <c r="D3670" s="6" t="str">
        <f ca="1">IFERROR(__xludf.DUMMYFUNCTION("""COMPUTED_VALUE"""),"MELIPILLA")</f>
        <v>MELIPILLA</v>
      </c>
    </row>
    <row r="3671" spans="1:4">
      <c r="A3671" s="7">
        <f ca="1">IFERROR(__xludf.DUMMYFUNCTION("""COMPUTED_VALUE"""),44334)</f>
        <v>44334</v>
      </c>
      <c r="B3671" s="8" t="str">
        <f ca="1">IFERROR(__xludf.DUMMYFUNCTION("""COMPUTED_VALUE"""),"-33.733412,-70.782178")</f>
        <v>-33.733412,-70.782178</v>
      </c>
      <c r="C3671" s="6" t="str">
        <f ca="1">IFERROR(__xludf.DUMMYFUNCTION("""COMPUTED_VALUE"""),"CLEMENTE DIAZ 405 MAIPO")</f>
        <v>CLEMENTE DIAZ 405 MAIPO</v>
      </c>
      <c r="D3671" s="6" t="str">
        <f ca="1">IFERROR(__xludf.DUMMYFUNCTION("""COMPUTED_VALUE"""),"BUIN")</f>
        <v>BUIN</v>
      </c>
    </row>
    <row r="3672" spans="1:4">
      <c r="A3672" s="7">
        <f ca="1">IFERROR(__xludf.DUMMYFUNCTION("""COMPUTED_VALUE"""),44334)</f>
        <v>44334</v>
      </c>
      <c r="B3672" s="8" t="str">
        <f ca="1">IFERROR(__xludf.DUMMYFUNCTION("""COMPUTED_VALUE"""),"-33.733412,-70.782178")</f>
        <v>-33.733412,-70.782178</v>
      </c>
      <c r="C3672" s="6" t="str">
        <f ca="1">IFERROR(__xludf.DUMMYFUNCTION("""COMPUTED_VALUE"""),"CLEMENTE DIAZ 405 MAIPO")</f>
        <v>CLEMENTE DIAZ 405 MAIPO</v>
      </c>
      <c r="D3672" s="6" t="str">
        <f ca="1">IFERROR(__xludf.DUMMYFUNCTION("""COMPUTED_VALUE"""),"BUIN")</f>
        <v>BUIN</v>
      </c>
    </row>
    <row r="3673" spans="1:4">
      <c r="A3673" s="7">
        <f ca="1">IFERROR(__xludf.DUMMYFUNCTION("""COMPUTED_VALUE"""),44335)</f>
        <v>44335</v>
      </c>
      <c r="B3673" s="8" t="str">
        <f ca="1">IFERROR(__xludf.DUMMYFUNCTION("""COMPUTED_VALUE"""),"-33.571856,-71.211221")</f>
        <v>-33.571856,-71.211221</v>
      </c>
      <c r="C3673" s="6" t="str">
        <f ca="1">IFERROR(__xludf.DUMMYFUNCTION("""COMPUTED_VALUE"""),"RACAGUA 71")</f>
        <v>RACAGUA 71</v>
      </c>
      <c r="D3673" s="6" t="str">
        <f ca="1">IFERROR(__xludf.DUMMYFUNCTION("""COMPUTED_VALUE"""),"MELIPILLA")</f>
        <v>MELIPILLA</v>
      </c>
    </row>
    <row r="3674" spans="1:4">
      <c r="A3674" s="7">
        <f ca="1">IFERROR(__xludf.DUMMYFUNCTION("""COMPUTED_VALUE"""),44335)</f>
        <v>44335</v>
      </c>
      <c r="B3674" s="8" t="str">
        <f ca="1">IFERROR(__xludf.DUMMYFUNCTION("""COMPUTED_VALUE"""),"-33.393659,-71.122952")</f>
        <v>-33.393659,-71.122952</v>
      </c>
      <c r="C3674" s="6" t="str">
        <f ca="1">IFERROR(__xludf.DUMMYFUNCTION("""COMPUTED_VALUE"""),"RECUERDO DE VILUCO 723")</f>
        <v>RECUERDO DE VILUCO 723</v>
      </c>
      <c r="D3674" s="6" t="str">
        <f ca="1">IFERROR(__xludf.DUMMYFUNCTION("""COMPUTED_VALUE"""),"BUIN")</f>
        <v>BUIN</v>
      </c>
    </row>
    <row r="3675" spans="1:4">
      <c r="A3675" s="7">
        <f ca="1">IFERROR(__xludf.DUMMYFUNCTION("""COMPUTED_VALUE"""),44335)</f>
        <v>44335</v>
      </c>
      <c r="B3675" s="8" t="str">
        <f ca="1">IFERROR(__xludf.DUMMYFUNCTION("""COMPUTED_VALUE"""),"-33.690657,-71.221421")</f>
        <v>-33.690657,-71.221421</v>
      </c>
      <c r="C3675" s="6" t="str">
        <f ca="1">IFERROR(__xludf.DUMMYFUNCTION("""COMPUTED_VALUE"""),"ALBORADA 970 ")</f>
        <v xml:space="preserve">ALBORADA 970 </v>
      </c>
      <c r="D3675" s="6" t="str">
        <f ca="1">IFERROR(__xludf.DUMMYFUNCTION("""COMPUTED_VALUE"""),"MELIPILLA")</f>
        <v>MELIPILLA</v>
      </c>
    </row>
    <row r="3676" spans="1:4">
      <c r="A3676" s="7">
        <f ca="1">IFERROR(__xludf.DUMMYFUNCTION("""COMPUTED_VALUE"""),44335)</f>
        <v>44335</v>
      </c>
      <c r="B3676" s="8" t="str">
        <f ca="1">IFERROR(__xludf.DUMMYFUNCTION("""COMPUTED_VALUE"""),"-33.570205,-71.215768")</f>
        <v>-33.570205,-71.215768</v>
      </c>
      <c r="C3676" s="6" t="str">
        <f ca="1">IFERROR(__xludf.DUMMYFUNCTION("""COMPUTED_VALUE"""),"LOS PERMISOS 233")</f>
        <v>LOS PERMISOS 233</v>
      </c>
      <c r="D3676" s="6" t="str">
        <f ca="1">IFERROR(__xludf.DUMMYFUNCTION("""COMPUTED_VALUE"""),"MELIPILLA")</f>
        <v>MELIPILLA</v>
      </c>
    </row>
    <row r="3677" spans="1:4">
      <c r="A3677" s="7">
        <f ca="1">IFERROR(__xludf.DUMMYFUNCTION("""COMPUTED_VALUE"""),44335)</f>
        <v>44335</v>
      </c>
      <c r="B3677" s="8" t="str">
        <f ca="1">IFERROR(__xludf.DUMMYFUNCTION("""COMPUTED_VALUE"""),"-33.541230,-71.222615")</f>
        <v>-33.541230,-71.222615</v>
      </c>
      <c r="C3677" s="6" t="str">
        <f ca="1">IFERROR(__xludf.DUMMYFUNCTION("""COMPUTED_VALUE"""),"CHOROMBO ")</f>
        <v xml:space="preserve">CHOROMBO </v>
      </c>
      <c r="D3677" s="6" t="str">
        <f ca="1">IFERROR(__xludf.DUMMYFUNCTION("""COMPUTED_VALUE"""),"MARIA PINTO")</f>
        <v>MARIA PINTO</v>
      </c>
    </row>
    <row r="3678" spans="1:4">
      <c r="A3678" s="7">
        <f ca="1">IFERROR(__xludf.DUMMYFUNCTION("""COMPUTED_VALUE"""),44335)</f>
        <v>44335</v>
      </c>
      <c r="B3678" s="8" t="str">
        <f ca="1">IFERROR(__xludf.DUMMYFUNCTION("""COMPUTED_VALUE"""),"-33.488172,-71.068521")</f>
        <v>-33.488172,-71.068521</v>
      </c>
      <c r="C3678" s="6" t="str">
        <f ca="1">IFERROR(__xludf.DUMMYFUNCTION("""COMPUTED_VALUE"""),"ISLA DE ROJAS SITIO 22")</f>
        <v>ISLA DE ROJAS SITIO 22</v>
      </c>
      <c r="D3678" s="6" t="str">
        <f ca="1">IFERROR(__xludf.DUMMYFUNCTION("""COMPUTED_VALUE"""),"MARIA PINTO")</f>
        <v>MARIA PINTO</v>
      </c>
    </row>
    <row r="3679" spans="1:4">
      <c r="A3679" s="7">
        <f ca="1">IFERROR(__xludf.DUMMYFUNCTION("""COMPUTED_VALUE"""),44335)</f>
        <v>44335</v>
      </c>
      <c r="B3679" s="6" t="str">
        <f ca="1">IFERROR(__xludf.DUMMYFUNCTION("""COMPUTED_VALUE"""),"-33.615651-70.860535")</f>
        <v>-33.615651-70.860535</v>
      </c>
      <c r="C3679" s="6" t="str">
        <f ca="1">IFERROR(__xludf.DUMMYFUNCTION("""COMPUTED_VALUE"""),"BALMACEDA 1512 E")</f>
        <v>BALMACEDA 1512 E</v>
      </c>
      <c r="D3679" s="6" t="str">
        <f ca="1">IFERROR(__xludf.DUMMYFUNCTION("""COMPUTED_VALUE"""),"PEÑAFLOR")</f>
        <v>PEÑAFLOR</v>
      </c>
    </row>
    <row r="3680" spans="1:4">
      <c r="A3680" s="7">
        <f ca="1">IFERROR(__xludf.DUMMYFUNCTION("""COMPUTED_VALUE"""),44335)</f>
        <v>44335</v>
      </c>
      <c r="B3680" s="6" t="str">
        <f ca="1">IFERROR(__xludf.DUMMYFUNCTION("""COMPUTED_VALUE"""),"-33.480913-71.060127")</f>
        <v>-33.480913-71.060127</v>
      </c>
      <c r="C3680" s="6" t="str">
        <f ca="1">IFERROR(__xludf.DUMMYFUNCTION("""COMPUTED_VALUE"""),"SECTOR LA GLORIA SITIO 9")</f>
        <v>SECTOR LA GLORIA SITIO 9</v>
      </c>
      <c r="D3680" s="6" t="str">
        <f ca="1">IFERROR(__xludf.DUMMYFUNCTION("""COMPUTED_VALUE"""),"CURACAVI")</f>
        <v>CURACAVI</v>
      </c>
    </row>
    <row r="3681" spans="1:4">
      <c r="A3681" s="7">
        <f ca="1">IFERROR(__xludf.DUMMYFUNCTION("""COMPUTED_VALUE"""),44335)</f>
        <v>44335</v>
      </c>
      <c r="B3681" s="6" t="str">
        <f ca="1">IFERROR(__xludf.DUMMYFUNCTION("""COMPUTED_VALUE"""),"-33.396205-71.129959")</f>
        <v>-33.396205-71.129959</v>
      </c>
      <c r="C3681" s="6" t="str">
        <f ca="1">IFERROR(__xludf.DUMMYFUNCTION("""COMPUTED_VALUE"""),"REGIDOR PEDRO VALENZUELA 649")</f>
        <v>REGIDOR PEDRO VALENZUELA 649</v>
      </c>
      <c r="D3681" s="6" t="str">
        <f ca="1">IFERROR(__xludf.DUMMYFUNCTION("""COMPUTED_VALUE"""),"CURACAVI")</f>
        <v>CURACAVI</v>
      </c>
    </row>
    <row r="3682" spans="1:4">
      <c r="A3682" s="7">
        <f ca="1">IFERROR(__xludf.DUMMYFUNCTION("""COMPUTED_VALUE"""),44335)</f>
        <v>44335</v>
      </c>
      <c r="B3682" s="6" t="str">
        <f ca="1">IFERROR(__xludf.DUMMYFUNCTION("""COMPUTED_VALUE"""),"-33.395548-71.129836")</f>
        <v>-33.395548-71.129836</v>
      </c>
      <c r="C3682" s="6" t="str">
        <f ca="1">IFERROR(__xludf.DUMMYFUNCTION("""COMPUTED_VALUE"""),"JOSE RAMON ARMAZAN 70")</f>
        <v>JOSE RAMON ARMAZAN 70</v>
      </c>
      <c r="D3682" s="6" t="str">
        <f ca="1">IFERROR(__xludf.DUMMYFUNCTION("""COMPUTED_VALUE"""),"CURACAVI")</f>
        <v>CURACAVI</v>
      </c>
    </row>
    <row r="3683" spans="1:4">
      <c r="A3683" s="7">
        <f ca="1">IFERROR(__xludf.DUMMYFUNCTION("""COMPUTED_VALUE"""),44335)</f>
        <v>44335</v>
      </c>
      <c r="B3683" s="6" t="str">
        <f ca="1">IFERROR(__xludf.DUMMYFUNCTION("""COMPUTED_VALUE"""),"-33.282438-70.883735")</f>
        <v>-33.282438-70.883735</v>
      </c>
      <c r="C3683" s="6" t="str">
        <f ca="1">IFERROR(__xludf.DUMMYFUNCTION("""COMPUTED_VALUE"""),"VALLE DEL ENCANTO 711")</f>
        <v>VALLE DEL ENCANTO 711</v>
      </c>
      <c r="D3683" s="6" t="str">
        <f ca="1">IFERROR(__xludf.DUMMYFUNCTION("""COMPUTED_VALUE"""),"LAMPA")</f>
        <v>LAMPA</v>
      </c>
    </row>
    <row r="3684" spans="1:4">
      <c r="A3684" s="7">
        <f ca="1">IFERROR(__xludf.DUMMYFUNCTION("""COMPUTED_VALUE"""),44335)</f>
        <v>44335</v>
      </c>
      <c r="B3684" s="6" t="str">
        <f ca="1">IFERROR(__xludf.DUMMYFUNCTION("""COMPUTED_VALUE"""),"-33.650911,-71.153717")</f>
        <v>-33.650911,-71.153717</v>
      </c>
      <c r="C3684" s="6" t="str">
        <f ca="1">IFERROR(__xludf.DUMMYFUNCTION("""COMPUTED_VALUE"""),"PA EL LIMONAL 662 POMAIRE")</f>
        <v>PA EL LIMONAL 662 POMAIRE</v>
      </c>
      <c r="D3684" s="6" t="str">
        <f ca="1">IFERROR(__xludf.DUMMYFUNCTION("""COMPUTED_VALUE"""),"MELIPILLA")</f>
        <v>MELIPILLA</v>
      </c>
    </row>
    <row r="3685" spans="1:4">
      <c r="A3685" s="7">
        <f ca="1">IFERROR(__xludf.DUMMYFUNCTION("""COMPUTED_VALUE"""),44335)</f>
        <v>44335</v>
      </c>
      <c r="B3685" s="6" t="str">
        <f ca="1">IFERROR(__xludf.DUMMYFUNCTION("""COMPUTED_VALUE"""),"-33.652988,-71.151538")</f>
        <v>-33.652988,-71.151538</v>
      </c>
      <c r="C3685" s="6" t="str">
        <f ca="1">IFERROR(__xludf.DUMMYFUNCTION("""COMPUTED_VALUE"""),"JUAN BAUTISTA SALINAS S/N CV1")</f>
        <v>JUAN BAUTISTA SALINAS S/N CV1</v>
      </c>
      <c r="D3685" s="6" t="str">
        <f ca="1">IFERROR(__xludf.DUMMYFUNCTION("""COMPUTED_VALUE"""),"MELIPILLA")</f>
        <v>MELIPILLA</v>
      </c>
    </row>
    <row r="3686" spans="1:4">
      <c r="A3686" s="7">
        <f ca="1">IFERROR(__xludf.DUMMYFUNCTION("""COMPUTED_VALUE"""),44335)</f>
        <v>44335</v>
      </c>
      <c r="B3686" s="6" t="str">
        <f ca="1">IFERROR(__xludf.DUMMYFUNCTION("""COMPUTED_VALUE"""),"-33.6689928,-70.9216920")</f>
        <v>-33.6689928,-70.9216920</v>
      </c>
      <c r="C3686" s="6" t="str">
        <f ca="1">IFERROR(__xludf.DUMMYFUNCTION("""COMPUTED_VALUE"""),"PA LAS CARRETAS 878 VALLE EL ENCANTO ")</f>
        <v xml:space="preserve">PA LAS CARRETAS 878 VALLE EL ENCANTO </v>
      </c>
      <c r="D3686" s="6" t="str">
        <f ca="1">IFERROR(__xludf.DUMMYFUNCTION("""COMPUTED_VALUE"""),"TALAGANTE")</f>
        <v>TALAGANTE</v>
      </c>
    </row>
    <row r="3687" spans="1:4">
      <c r="A3687" s="7">
        <f ca="1">IFERROR(__xludf.DUMMYFUNCTION("""COMPUTED_VALUE"""),44335)</f>
        <v>44335</v>
      </c>
      <c r="B3687" s="8" t="str">
        <f ca="1">IFERROR(__xludf.DUMMYFUNCTION("""COMPUTED_VALUE"""),"-33.724682,-71.210822")</f>
        <v>-33.724682,-71.210822</v>
      </c>
      <c r="C3687" s="6" t="str">
        <f ca="1">IFERROR(__xludf.DUMMYFUNCTION("""COMPUTED_VALUE"""),"CHOCALAN 2470")</f>
        <v>CHOCALAN 2470</v>
      </c>
      <c r="D3687" s="6" t="str">
        <f ca="1">IFERROR(__xludf.DUMMYFUNCTION("""COMPUTED_VALUE"""),"MELIPILLA")</f>
        <v>MELIPILLA</v>
      </c>
    </row>
    <row r="3688" spans="1:4">
      <c r="A3688" s="7">
        <f ca="1">IFERROR(__xludf.DUMMYFUNCTION("""COMPUTED_VALUE"""),44335)</f>
        <v>44335</v>
      </c>
      <c r="B3688" s="8" t="str">
        <f ca="1">IFERROR(__xludf.DUMMYFUNCTION("""COMPUTED_VALUE"""),"-33.68667,-71.196415")</f>
        <v>-33.68667,-71.196415</v>
      </c>
      <c r="C3688" s="6" t="str">
        <f ca="1">IFERROR(__xludf.DUMMYFUNCTION("""COMPUTED_VALUE"""),"CERRO SAN DIEGO 110753")</f>
        <v>CERRO SAN DIEGO 110753</v>
      </c>
      <c r="D3688" s="6" t="str">
        <f ca="1">IFERROR(__xludf.DUMMYFUNCTION("""COMPUTED_VALUE"""),"MELIPILLA")</f>
        <v>MELIPILLA</v>
      </c>
    </row>
    <row r="3689" spans="1:4">
      <c r="A3689" s="7">
        <f ca="1">IFERROR(__xludf.DUMMYFUNCTION("""COMPUTED_VALUE"""),44335)</f>
        <v>44335</v>
      </c>
      <c r="B3689" s="8" t="str">
        <f ca="1">IFERROR(__xludf.DUMMYFUNCTION("""COMPUTED_VALUE"""),"-33.189475,-70.670415")</f>
        <v>-33.189475,-70.670415</v>
      </c>
      <c r="C3689" s="6" t="str">
        <f ca="1">IFERROR(__xludf.DUMMYFUNCTION("""COMPUTED_VALUE"""),"RAFAEL FRONTAURA CENTENARIO 1 C589")</f>
        <v>RAFAEL FRONTAURA CENTENARIO 1 C589</v>
      </c>
      <c r="D3689" s="6" t="str">
        <f ca="1">IFERROR(__xludf.DUMMYFUNCTION("""COMPUTED_VALUE"""),"COLINA")</f>
        <v>COLINA</v>
      </c>
    </row>
    <row r="3690" spans="1:4">
      <c r="A3690" s="7">
        <f ca="1">IFERROR(__xludf.DUMMYFUNCTION("""COMPUTED_VALUE"""),44336)</f>
        <v>44336</v>
      </c>
      <c r="B3690" s="8" t="str">
        <f ca="1">IFERROR(__xludf.DUMMYFUNCTION("""COMPUTED_VALUE"""),"-33.684037,-71.190803")</f>
        <v>-33.684037,-71.190803</v>
      </c>
      <c r="C3690" s="6" t="str">
        <f ca="1">IFERROR(__xludf.DUMMYFUNCTION("""COMPUTED_VALUE"""),"REGIDOR  RAMON NOGUERA")</f>
        <v>REGIDOR  RAMON NOGUERA</v>
      </c>
      <c r="D3690" s="6" t="str">
        <f ca="1">IFERROR(__xludf.DUMMYFUNCTION("""COMPUTED_VALUE"""),"MELIPILLA")</f>
        <v>MELIPILLA</v>
      </c>
    </row>
    <row r="3691" spans="1:4">
      <c r="A3691" s="7">
        <f ca="1">IFERROR(__xludf.DUMMYFUNCTION("""COMPUTED_VALUE"""),44336)</f>
        <v>44336</v>
      </c>
      <c r="B3691" s="8" t="str">
        <f ca="1">IFERROR(__xludf.DUMMYFUNCTION("""COMPUTED_VALUE"""),"-33.575130,-71.185316")</f>
        <v>-33.575130,-71.185316</v>
      </c>
      <c r="C3691" s="6" t="str">
        <f ca="1">IFERROR(__xludf.DUMMYFUNCTION("""COMPUTED_VALUE"""),"SANTA GEMITA P15")</f>
        <v>SANTA GEMITA P15</v>
      </c>
      <c r="D3691" s="6" t="str">
        <f ca="1">IFERROR(__xludf.DUMMYFUNCTION("""COMPUTED_VALUE"""),"MELIPILLA")</f>
        <v>MELIPILLA</v>
      </c>
    </row>
    <row r="3692" spans="1:4">
      <c r="A3692" s="7">
        <f ca="1">IFERROR(__xludf.DUMMYFUNCTION("""COMPUTED_VALUE"""),44336)</f>
        <v>44336</v>
      </c>
      <c r="B3692" s="8" t="str">
        <f ca="1">IFERROR(__xludf.DUMMYFUNCTION("""COMPUTED_VALUE"""),"-33.750079,-71.190982")</f>
        <v>-33.750079,-71.190982</v>
      </c>
      <c r="C3692" s="6" t="str">
        <f ca="1">IFERROR(__xludf.DUMMYFUNCTION("""COMPUTED_VALUE"""),"PABELLON 39")</f>
        <v>PABELLON 39</v>
      </c>
      <c r="D3692" s="6" t="str">
        <f ca="1">IFERROR(__xludf.DUMMYFUNCTION("""COMPUTED_VALUE"""),"MELIPILLA")</f>
        <v>MELIPILLA</v>
      </c>
    </row>
    <row r="3693" spans="1:4">
      <c r="A3693" s="7">
        <f ca="1">IFERROR(__xludf.DUMMYFUNCTION("""COMPUTED_VALUE"""),44336)</f>
        <v>44336</v>
      </c>
      <c r="B3693" s="8" t="str">
        <f ca="1">IFERROR(__xludf.DUMMYFUNCTION("""COMPUTED_VALUE"""),"-33.584844,-71.809631")</f>
        <v>-33.584844,-71.809631</v>
      </c>
      <c r="C3693" s="6" t="str">
        <f ca="1">IFERROR(__xludf.DUMMYFUNCTION("""COMPUTED_VALUE"""),"LOS CEREZOS 10")</f>
        <v>LOS CEREZOS 10</v>
      </c>
      <c r="D3693" s="6" t="str">
        <f ca="1">IFERROR(__xludf.DUMMYFUNCTION("""COMPUTED_VALUE"""),"PADRE HURTADO")</f>
        <v>PADRE HURTADO</v>
      </c>
    </row>
    <row r="3694" spans="1:4">
      <c r="A3694" s="7">
        <f ca="1">IFERROR(__xludf.DUMMYFUNCTION("""COMPUTED_VALUE"""),44336)</f>
        <v>44336</v>
      </c>
      <c r="B3694" s="6" t="str">
        <f ca="1">IFERROR(__xludf.DUMMYFUNCTION("""COMPUTED_VALUE"""),"-33.497371-70.996177")</f>
        <v>-33.497371-70.996177</v>
      </c>
      <c r="C3694" s="6" t="str">
        <f ca="1">IFERROR(__xludf.DUMMYFUNCTION("""COMPUTED_VALUE"""),"LA PATAGUILLA S/N")</f>
        <v>LA PATAGUILLA S/N</v>
      </c>
      <c r="D3694" s="6" t="str">
        <f ca="1">IFERROR(__xludf.DUMMYFUNCTION("""COMPUTED_VALUE"""),"CURACAVI")</f>
        <v>CURACAVI</v>
      </c>
    </row>
    <row r="3695" spans="1:4">
      <c r="A3695" s="7">
        <f ca="1">IFERROR(__xludf.DUMMYFUNCTION("""COMPUTED_VALUE"""),44336)</f>
        <v>44336</v>
      </c>
      <c r="B3695" s="6" t="str">
        <f ca="1">IFERROR(__xludf.DUMMYFUNCTION("""COMPUTED_VALUE"""),"-33.725502-70.744354")</f>
        <v>-33.725502-70.744354</v>
      </c>
      <c r="C3695" s="6" t="str">
        <f ca="1">IFERROR(__xludf.DUMMYFUNCTION("""COMPUTED_VALUE"""),"MANUEL PLAZA 646")</f>
        <v>MANUEL PLAZA 646</v>
      </c>
      <c r="D3695" s="6" t="str">
        <f ca="1">IFERROR(__xludf.DUMMYFUNCTION("""COMPUTED_VALUE"""),"BUIN")</f>
        <v>BUIN</v>
      </c>
    </row>
    <row r="3696" spans="1:4">
      <c r="A3696" s="7">
        <f ca="1">IFERROR(__xludf.DUMMYFUNCTION("""COMPUTED_VALUE"""),44336)</f>
        <v>44336</v>
      </c>
      <c r="B3696" s="6" t="str">
        <f ca="1">IFERROR(__xludf.DUMMYFUNCTION("""COMPUTED_VALUE"""),"-33.727889-70.774467")</f>
        <v>-33.727889-70.774467</v>
      </c>
      <c r="C3696" s="6" t="str">
        <f ca="1">IFERROR(__xludf.DUMMYFUNCTION("""COMPUTED_VALUE"""),"LOS NARANJOS 259")</f>
        <v>LOS NARANJOS 259</v>
      </c>
      <c r="D3696" s="6" t="str">
        <f ca="1">IFERROR(__xludf.DUMMYFUNCTION("""COMPUTED_VALUE"""),"BUIN")</f>
        <v>BUIN</v>
      </c>
    </row>
    <row r="3697" spans="1:4">
      <c r="A3697" s="7">
        <f ca="1">IFERROR(__xludf.DUMMYFUNCTION("""COMPUTED_VALUE"""),44336)</f>
        <v>44336</v>
      </c>
      <c r="B3697" s="6" t="str">
        <f ca="1">IFERROR(__xludf.DUMMYFUNCTION("""COMPUTED_VALUE"""),"-33.627584-70.901823")</f>
        <v>-33.627584-70.901823</v>
      </c>
      <c r="C3697" s="6" t="str">
        <f ca="1">IFERROR(__xludf.DUMMYFUNCTION("""COMPUTED_VALUE"""),"LA COLONIA PARC 37B")</f>
        <v>LA COLONIA PARC 37B</v>
      </c>
      <c r="D3697" s="6" t="str">
        <f ca="1">IFERROR(__xludf.DUMMYFUNCTION("""COMPUTED_VALUE"""),"PEÑAFLOR")</f>
        <v>PEÑAFLOR</v>
      </c>
    </row>
    <row r="3698" spans="1:4">
      <c r="A3698" s="7">
        <f ca="1">IFERROR(__xludf.DUMMYFUNCTION("""COMPUTED_VALUE"""),44336)</f>
        <v>44336</v>
      </c>
      <c r="B3698" s="6" t="str">
        <f ca="1">IFERROR(__xludf.DUMMYFUNCTION("""COMPUTED_VALUE"""),"-33.603399-70.894777")</f>
        <v>-33.603399-70.894777</v>
      </c>
      <c r="C3698" s="6" t="str">
        <f ca="1">IFERROR(__xludf.DUMMYFUNCTION("""COMPUTED_VALUE"""),"DOÑA ISIDORA 06")</f>
        <v>DOÑA ISIDORA 06</v>
      </c>
      <c r="D3698" s="6" t="str">
        <f ca="1">IFERROR(__xludf.DUMMYFUNCTION("""COMPUTED_VALUE"""),"PEÑAFLOR")</f>
        <v>PEÑAFLOR</v>
      </c>
    </row>
    <row r="3699" spans="1:4">
      <c r="A3699" s="7">
        <f ca="1">IFERROR(__xludf.DUMMYFUNCTION("""COMPUTED_VALUE"""),44336)</f>
        <v>44336</v>
      </c>
      <c r="B3699" s="6" t="str">
        <f ca="1">IFERROR(__xludf.DUMMYFUNCTION("""COMPUTED_VALUE"""),"-33.593433,-70.979623")</f>
        <v>-33.593433,-70.979623</v>
      </c>
      <c r="C3699" s="6" t="str">
        <f ca="1">IFERROR(__xludf.DUMMYFUNCTION("""COMPUTED_VALUE"""),"SECTOR LA PRIMAVERA -SANTA ELISA 3 / CASA 3")</f>
        <v>SECTOR LA PRIMAVERA -SANTA ELISA 3 / CASA 3</v>
      </c>
      <c r="D3699" s="6" t="str">
        <f ca="1">IFERROR(__xludf.DUMMYFUNCTION("""COMPUTED_VALUE"""),"MELIPILLA")</f>
        <v>MELIPILLA</v>
      </c>
    </row>
    <row r="3700" spans="1:4">
      <c r="A3700" s="7">
        <f ca="1">IFERROR(__xludf.DUMMYFUNCTION("""COMPUTED_VALUE"""),44336)</f>
        <v>44336</v>
      </c>
      <c r="B3700" s="6" t="str">
        <f ca="1">IFERROR(__xludf.DUMMYFUNCTION("""COMPUTED_VALUE"""),"-33.583816,-71.055648")</f>
        <v>-33.583816,-71.055648</v>
      </c>
      <c r="C3700" s="6" t="str">
        <f ca="1">IFERROR(__xludf.DUMMYFUNCTION("""COMPUTED_VALUE"""),"SANTA  VICTORIA DE MALLARAUCO  ST 31")</f>
        <v>SANTA  VICTORIA DE MALLARAUCO  ST 31</v>
      </c>
      <c r="D3700" s="6" t="str">
        <f ca="1">IFERROR(__xludf.DUMMYFUNCTION("""COMPUTED_VALUE"""),"MELIPILLA")</f>
        <v>MELIPILLA</v>
      </c>
    </row>
    <row r="3701" spans="1:4">
      <c r="A3701" s="7">
        <f ca="1">IFERROR(__xludf.DUMMYFUNCTION("""COMPUTED_VALUE"""),44336)</f>
        <v>44336</v>
      </c>
      <c r="B3701" s="8" t="str">
        <f ca="1">IFERROR(__xludf.DUMMYFUNCTION("""COMPUTED_VALUE"""),"-33.804429,-71.236706")</f>
        <v>-33.804429,-71.236706</v>
      </c>
      <c r="C3701" s="6" t="str">
        <f ca="1">IFERROR(__xludf.DUMMYFUNCTION("""COMPUTED_VALUE"""),"LOS MOLLES P128 CULIPRAN")</f>
        <v>LOS MOLLES P128 CULIPRAN</v>
      </c>
      <c r="D3701" s="6" t="str">
        <f ca="1">IFERROR(__xludf.DUMMYFUNCTION("""COMPUTED_VALUE"""),"MELIPILLA")</f>
        <v>MELIPILLA</v>
      </c>
    </row>
    <row r="3702" spans="1:4">
      <c r="A3702" s="7">
        <f ca="1">IFERROR(__xludf.DUMMYFUNCTION("""COMPUTED_VALUE"""),44338)</f>
        <v>44338</v>
      </c>
      <c r="B3702" s="6" t="str">
        <f ca="1">IFERROR(__xludf.DUMMYFUNCTION("""COMPUTED_VALUE"""),"-33.687074.-71.192677")</f>
        <v>-33.687074.-71.192677</v>
      </c>
      <c r="C3702" s="6" t="str">
        <f ca="1">IFERROR(__xludf.DUMMYFUNCTION("""COMPUTED_VALUE"""),"PA ALCALDE GEBAUER BRINGAS 987  ")</f>
        <v xml:space="preserve">PA ALCALDE GEBAUER BRINGAS 987  </v>
      </c>
      <c r="D3702" s="6" t="str">
        <f ca="1">IFERROR(__xludf.DUMMYFUNCTION("""COMPUTED_VALUE"""),"MELIPILLA")</f>
        <v>MELIPILLA</v>
      </c>
    </row>
    <row r="3703" spans="1:4">
      <c r="A3703" s="7">
        <f ca="1">IFERROR(__xludf.DUMMYFUNCTION("""COMPUTED_VALUE"""),44338)</f>
        <v>44338</v>
      </c>
      <c r="B3703" s="6" t="str">
        <f ca="1">IFERROR(__xludf.DUMMYFUNCTION("""COMPUTED_VALUE"""),"-33.586561,-71.053438")</f>
        <v>-33.586561,-71.053438</v>
      </c>
      <c r="C3703" s="6" t="str">
        <f ca="1">IFERROR(__xludf.DUMMYFUNCTION("""COMPUTED_VALUE"""),"SANTA VICTORIA S/N 001 MALLARAUCO")</f>
        <v>SANTA VICTORIA S/N 001 MALLARAUCO</v>
      </c>
      <c r="D3703" s="6" t="str">
        <f ca="1">IFERROR(__xludf.DUMMYFUNCTION("""COMPUTED_VALUE"""),"MELIPILLA")</f>
        <v>MELIPILLA</v>
      </c>
    </row>
    <row r="3704" spans="1:4">
      <c r="A3704" s="7">
        <f ca="1">IFERROR(__xludf.DUMMYFUNCTION("""COMPUTED_VALUE"""),44339)</f>
        <v>44339</v>
      </c>
      <c r="B3704" s="6" t="str">
        <f ca="1">IFERROR(__xludf.DUMMYFUNCTION("""COMPUTED_VALUE"""),"-33.391680-71.123334")</f>
        <v>-33.391680-71.123334</v>
      </c>
      <c r="C3704" s="6" t="str">
        <f ca="1">IFERROR(__xludf.DUMMYFUNCTION("""COMPUTED_VALUE"""),"JUAN ANTONIO OVALLE 2111")</f>
        <v>JUAN ANTONIO OVALLE 2111</v>
      </c>
      <c r="D3704" s="6" t="str">
        <f ca="1">IFERROR(__xludf.DUMMYFUNCTION("""COMPUTED_VALUE"""),"CURACAVI")</f>
        <v>CURACAVI</v>
      </c>
    </row>
    <row r="3705" spans="1:4">
      <c r="A3705" s="7">
        <f ca="1">IFERROR(__xludf.DUMMYFUNCTION("""COMPUTED_VALUE"""),44339)</f>
        <v>44339</v>
      </c>
      <c r="B3705" s="6" t="str">
        <f ca="1">IFERROR(__xludf.DUMMYFUNCTION("""COMPUTED_VALUE"""),"-33.407301-71.127380")</f>
        <v>-33.407301-71.127380</v>
      </c>
      <c r="C3705" s="6" t="str">
        <f ca="1">IFERROR(__xludf.DUMMYFUNCTION("""COMPUTED_VALUE"""),"EL ROSAL 469")</f>
        <v>EL ROSAL 469</v>
      </c>
      <c r="D3705" s="6" t="str">
        <f ca="1">IFERROR(__xludf.DUMMYFUNCTION("""COMPUTED_VALUE"""),"CURACAVI")</f>
        <v>CURACAVI</v>
      </c>
    </row>
    <row r="3706" spans="1:4">
      <c r="A3706" s="7">
        <f ca="1">IFERROR(__xludf.DUMMYFUNCTION("""COMPUTED_VALUE"""),44340)</f>
        <v>44340</v>
      </c>
      <c r="B3706" s="8" t="str">
        <f ca="1">IFERROR(__xludf.DUMMYFUNCTION("""COMPUTED_VALUE"""),"-33.731647,-70.684449")</f>
        <v>-33.731647,-70.684449</v>
      </c>
      <c r="C3706" s="6" t="str">
        <f ca="1">IFERROR(__xludf.DUMMYFUNCTION("""COMPUTED_VALUE"""),"MIRAFLORES 28")</f>
        <v>MIRAFLORES 28</v>
      </c>
      <c r="D3706" s="6" t="str">
        <f ca="1">IFERROR(__xludf.DUMMYFUNCTION("""COMPUTED_VALUE"""),"BUIN")</f>
        <v>BUIN</v>
      </c>
    </row>
    <row r="3707" spans="1:4">
      <c r="A3707" s="7">
        <f ca="1">IFERROR(__xludf.DUMMYFUNCTION("""COMPUTED_VALUE"""),44340)</f>
        <v>44340</v>
      </c>
      <c r="B3707" s="8" t="str">
        <f ca="1">IFERROR(__xludf.DUMMYFUNCTION("""COMPUTED_VALUE"""),"-33.657796,-71.915019")</f>
        <v>-33.657796,-71.915019</v>
      </c>
      <c r="C3707" s="6" t="str">
        <f ca="1">IFERROR(__xludf.DUMMYFUNCTION("""COMPUTED_VALUE"""),"CAMILA MARI 0206")</f>
        <v>CAMILA MARI 0206</v>
      </c>
      <c r="D3707" s="6" t="str">
        <f ca="1">IFERROR(__xludf.DUMMYFUNCTION("""COMPUTED_VALUE"""),"TALAGANTE")</f>
        <v>TALAGANTE</v>
      </c>
    </row>
    <row r="3708" spans="1:4">
      <c r="A3708" s="7">
        <f ca="1">IFERROR(__xludf.DUMMYFUNCTION("""COMPUTED_VALUE"""),44340)</f>
        <v>44340</v>
      </c>
      <c r="B3708" s="6" t="str">
        <f ca="1">IFERROR(__xludf.DUMMYFUNCTION("""COMPUTED_VALUE"""),"-33.727924-70.774538")</f>
        <v>-33.727924-70.774538</v>
      </c>
      <c r="C3708" s="6" t="str">
        <f ca="1">IFERROR(__xludf.DUMMYFUNCTION("""COMPUTED_VALUE"""),"LOS NARANJOS 259")</f>
        <v>LOS NARANJOS 259</v>
      </c>
      <c r="D3708" s="6" t="str">
        <f ca="1">IFERROR(__xludf.DUMMYFUNCTION("""COMPUTED_VALUE"""),"BUIN")</f>
        <v>BUIN</v>
      </c>
    </row>
    <row r="3709" spans="1:4">
      <c r="A3709" s="7">
        <f ca="1">IFERROR(__xludf.DUMMYFUNCTION("""COMPUTED_VALUE"""),44340)</f>
        <v>44340</v>
      </c>
      <c r="B3709" s="6" t="str">
        <f ca="1">IFERROR(__xludf.DUMMYFUNCTION("""COMPUTED_VALUE"""),"-33.391381-71.123470")</f>
        <v>-33.391381-71.123470</v>
      </c>
      <c r="C3709" s="6" t="str">
        <f ca="1">IFERROR(__xludf.DUMMYFUNCTION("""COMPUTED_VALUE"""),"LOS PATRIOTAS 2110")</f>
        <v>LOS PATRIOTAS 2110</v>
      </c>
      <c r="D3709" s="6" t="str">
        <f ca="1">IFERROR(__xludf.DUMMYFUNCTION("""COMPUTED_VALUE"""),"CURACAVI")</f>
        <v>CURACAVI</v>
      </c>
    </row>
    <row r="3710" spans="1:4">
      <c r="A3710" s="7">
        <f ca="1">IFERROR(__xludf.DUMMYFUNCTION("""COMPUTED_VALUE"""),44340)</f>
        <v>44340</v>
      </c>
      <c r="B3710" s="6" t="str">
        <f ca="1">IFERROR(__xludf.DUMMYFUNCTION("""COMPUTED_VALUE"""),"-33.392044-71.123225")</f>
        <v>-33.392044-71.123225</v>
      </c>
      <c r="C3710" s="6" t="str">
        <f ca="1">IFERROR(__xludf.DUMMYFUNCTION("""COMPUTED_VALUE"""),"MARIANO EGAÑA 2121")</f>
        <v>MARIANO EGAÑA 2121</v>
      </c>
      <c r="D3710" s="6" t="str">
        <f ca="1">IFERROR(__xludf.DUMMYFUNCTION("""COMPUTED_VALUE"""),"CURACAVI")</f>
        <v>CURACAVI</v>
      </c>
    </row>
    <row r="3711" spans="1:4">
      <c r="A3711" s="7">
        <f ca="1">IFERROR(__xludf.DUMMYFUNCTION("""COMPUTED_VALUE"""),44340)</f>
        <v>44340</v>
      </c>
      <c r="B3711" s="6" t="str">
        <f ca="1">IFERROR(__xludf.DUMMYFUNCTION("""COMPUTED_VALUE"""),"-33.402228-71.129373")</f>
        <v>-33.402228-71.129373</v>
      </c>
      <c r="C3711" s="6" t="str">
        <f ca="1">IFERROR(__xludf.DUMMYFUNCTION("""COMPUTED_VALUE"""),"MIRAFLORES PARCELA 37")</f>
        <v>MIRAFLORES PARCELA 37</v>
      </c>
      <c r="D3711" s="6" t="str">
        <f ca="1">IFERROR(__xludf.DUMMYFUNCTION("""COMPUTED_VALUE"""),"CURACAVI")</f>
        <v>CURACAVI</v>
      </c>
    </row>
    <row r="3712" spans="1:4">
      <c r="A3712" s="7">
        <f ca="1">IFERROR(__xludf.DUMMYFUNCTION("""COMPUTED_VALUE"""),44340)</f>
        <v>44340</v>
      </c>
      <c r="B3712" s="6" t="str">
        <f ca="1">IFERROR(__xludf.DUMMYFUNCTION("""COMPUTED_VALUE"""),"-33.390502-71.123797")</f>
        <v>-33.390502-71.123797</v>
      </c>
      <c r="C3712" s="6" t="str">
        <f ca="1">IFERROR(__xludf.DUMMYFUNCTION("""COMPUTED_VALUE"""),"LOS BOLDOS 1133")</f>
        <v>LOS BOLDOS 1133</v>
      </c>
      <c r="D3712" s="6" t="str">
        <f ca="1">IFERROR(__xludf.DUMMYFUNCTION("""COMPUTED_VALUE"""),"CURACAVI")</f>
        <v>CURACAVI</v>
      </c>
    </row>
    <row r="3713" spans="1:4">
      <c r="A3713" s="7">
        <f ca="1">IFERROR(__xludf.DUMMYFUNCTION("""COMPUTED_VALUE"""),44340)</f>
        <v>44340</v>
      </c>
      <c r="B3713" s="6" t="str">
        <f ca="1">IFERROR(__xludf.DUMMYFUNCTION("""COMPUTED_VALUE"""),"-33.33904-70.81702")</f>
        <v>-33.33904-70.81702</v>
      </c>
      <c r="C3713" s="6" t="str">
        <f ca="1">IFERROR(__xludf.DUMMYFUNCTION("""COMPUTED_VALUE"""),"MIRAFLORES P36 S21")</f>
        <v>MIRAFLORES P36 S21</v>
      </c>
      <c r="D3713" s="6" t="str">
        <f ca="1">IFERROR(__xludf.DUMMYFUNCTION("""COMPUTED_VALUE"""),"LAMPA")</f>
        <v>LAMPA</v>
      </c>
    </row>
    <row r="3714" spans="1:4">
      <c r="A3714" s="7">
        <f ca="1">IFERROR(__xludf.DUMMYFUNCTION("""COMPUTED_VALUE"""),44340)</f>
        <v>44340</v>
      </c>
      <c r="B3714" s="6" t="str">
        <f ca="1">IFERROR(__xludf.DUMMYFUNCTION("""COMPUTED_VALUE"""),"-33.392516-71.126109")</f>
        <v>-33.392516-71.126109</v>
      </c>
      <c r="C3714" s="6" t="str">
        <f ca="1">IFERROR(__xludf.DUMMYFUNCTION("""COMPUTED_VALUE"""),"JOSE FRANCISCO VERGARA 2155")</f>
        <v>JOSE FRANCISCO VERGARA 2155</v>
      </c>
      <c r="D3714" s="6" t="str">
        <f ca="1">IFERROR(__xludf.DUMMYFUNCTION("""COMPUTED_VALUE"""),"CURACAVI")</f>
        <v>CURACAVI</v>
      </c>
    </row>
    <row r="3715" spans="1:4">
      <c r="A3715" s="7">
        <f ca="1">IFERROR(__xludf.DUMMYFUNCTION("""COMPUTED_VALUE"""),44340)</f>
        <v>44340</v>
      </c>
      <c r="B3715" s="6" t="str">
        <f ca="1">IFERROR(__xludf.DUMMYFUNCTION("""COMPUTED_VALUE"""),"-33.581458,-71.026910")</f>
        <v>-33.581458,-71.026910</v>
      </c>
      <c r="C3715" s="6" t="str">
        <f ca="1">IFERROR(__xludf.DUMMYFUNCTION("""COMPUTED_VALUE"""),"EL MAITEN S/N PARC 3 EL MAITEN")</f>
        <v>EL MAITEN S/N PARC 3 EL MAITEN</v>
      </c>
      <c r="D3715" s="6" t="str">
        <f ca="1">IFERROR(__xludf.DUMMYFUNCTION("""COMPUTED_VALUE"""),"MELIPILLA")</f>
        <v>MELIPILLA</v>
      </c>
    </row>
    <row r="3716" spans="1:4">
      <c r="A3716" s="7">
        <f ca="1">IFERROR(__xludf.DUMMYFUNCTION("""COMPUTED_VALUE"""),44340)</f>
        <v>44340</v>
      </c>
      <c r="B3716" s="6" t="str">
        <f ca="1">IFERROR(__xludf.DUMMYFUNCTION("""COMPUTED_VALUE"""),"-33.232790,-70.810769")</f>
        <v>-33.232790,-70.810769</v>
      </c>
      <c r="C3716" s="6" t="str">
        <f ca="1">IFERROR(__xludf.DUMMYFUNCTION("""COMPUTED_VALUE"""),"FIGUEROA M/35 S/29")</f>
        <v>FIGUEROA M/35 S/29</v>
      </c>
      <c r="D3716" s="6" t="str">
        <f ca="1">IFERROR(__xludf.DUMMYFUNCTION("""COMPUTED_VALUE"""),"LAMPA")</f>
        <v>LAMPA</v>
      </c>
    </row>
    <row r="3717" spans="1:4">
      <c r="A3717" s="7">
        <f ca="1">IFERROR(__xludf.DUMMYFUNCTION("""COMPUTED_VALUE"""),44340)</f>
        <v>44340</v>
      </c>
      <c r="B3717" s="8" t="str">
        <f ca="1">IFERROR(__xludf.DUMMYFUNCTION("""COMPUTED_VALUE"""),"-33.690028,-71.210451")</f>
        <v>-33.690028,-71.210451</v>
      </c>
      <c r="C3717" s="6" t="str">
        <f ca="1">IFERROR(__xludf.DUMMYFUNCTION("""COMPUTED_VALUE"""),"SAN MIGUEL 235")</f>
        <v>SAN MIGUEL 235</v>
      </c>
      <c r="D3717" s="6" t="str">
        <f ca="1">IFERROR(__xludf.DUMMYFUNCTION("""COMPUTED_VALUE"""),"MELIPILLA")</f>
        <v>MELIPILLA</v>
      </c>
    </row>
    <row r="3718" spans="1:4">
      <c r="A3718" s="7">
        <f ca="1">IFERROR(__xludf.DUMMYFUNCTION("""COMPUTED_VALUE"""),44340)</f>
        <v>44340</v>
      </c>
      <c r="B3718" s="8" t="str">
        <f ca="1">IFERROR(__xludf.DUMMYFUNCTION("""COMPUTED_VALUE"""),"-33.804413,-71.236621")</f>
        <v>-33.804413,-71.236621</v>
      </c>
      <c r="C3718" s="6" t="str">
        <f ca="1">IFERROR(__xludf.DUMMYFUNCTION("""COMPUTED_VALUE"""),"CULIPRAN LOS MOLLES 128")</f>
        <v>CULIPRAN LOS MOLLES 128</v>
      </c>
      <c r="D3718" s="6" t="str">
        <f ca="1">IFERROR(__xludf.DUMMYFUNCTION("""COMPUTED_VALUE"""),"MELIPILLA")</f>
        <v>MELIPILLA</v>
      </c>
    </row>
    <row r="3719" spans="1:4">
      <c r="A3719" s="7">
        <f ca="1">IFERROR(__xludf.DUMMYFUNCTION("""COMPUTED_VALUE"""),44341)</f>
        <v>44341</v>
      </c>
      <c r="B3719" s="8" t="str">
        <f ca="1">IFERROR(__xludf.DUMMYFUNCTION("""COMPUTED_VALUE"""),"-33.580287,-70.808566")</f>
        <v>-33.580287,-70.808566</v>
      </c>
      <c r="C3719" s="6" t="str">
        <f ca="1">IFERROR(__xludf.DUMMYFUNCTION("""COMPUTED_VALUE"""),"AMANDA LA BARCA 2601 ")</f>
        <v xml:space="preserve">AMANDA LA BARCA 2601 </v>
      </c>
      <c r="D3719" s="6" t="str">
        <f ca="1">IFERROR(__xludf.DUMMYFUNCTION("""COMPUTED_VALUE"""),"PADRE HURTADO")</f>
        <v>PADRE HURTADO</v>
      </c>
    </row>
    <row r="3720" spans="1:4">
      <c r="A3720" s="7">
        <f ca="1">IFERROR(__xludf.DUMMYFUNCTION("""COMPUTED_VALUE"""),44341)</f>
        <v>44341</v>
      </c>
      <c r="B3720" s="8" t="str">
        <f ca="1">IFERROR(__xludf.DUMMYFUNCTION("""COMPUTED_VALUE"""),"-33.748972,-71.192921")</f>
        <v>-33.748972,-71.192921</v>
      </c>
      <c r="C3720" s="6" t="str">
        <f ca="1">IFERROR(__xludf.DUMMYFUNCTION("""COMPUTED_VALUE"""),"CALLE LECAROS 7A ")</f>
        <v xml:space="preserve">CALLE LECAROS 7A </v>
      </c>
      <c r="D3720" s="6" t="str">
        <f ca="1">IFERROR(__xludf.DUMMYFUNCTION("""COMPUTED_VALUE"""),"MELIPILLA")</f>
        <v>MELIPILLA</v>
      </c>
    </row>
    <row r="3721" spans="1:4">
      <c r="A3721" s="7">
        <f ca="1">IFERROR(__xludf.DUMMYFUNCTION("""COMPUTED_VALUE"""),44341)</f>
        <v>44341</v>
      </c>
      <c r="B3721" s="8" t="str">
        <f ca="1">IFERROR(__xludf.DUMMYFUNCTION("""COMPUTED_VALUE"""),"-33.396956,-71.245038")</f>
        <v>-33.396956,-71.245038</v>
      </c>
      <c r="C3721" s="6" t="str">
        <f ca="1">IFERROR(__xludf.DUMMYFUNCTION("""COMPUTED_VALUE"""),"VERTIENTES DE ZAPATA PARCELA 34")</f>
        <v>VERTIENTES DE ZAPATA PARCELA 34</v>
      </c>
      <c r="D3721" s="6" t="str">
        <f ca="1">IFERROR(__xludf.DUMMYFUNCTION("""COMPUTED_VALUE"""),"CURACAVI")</f>
        <v>CURACAVI</v>
      </c>
    </row>
    <row r="3722" spans="1:4">
      <c r="A3722" s="7">
        <f ca="1">IFERROR(__xludf.DUMMYFUNCTION("""COMPUTED_VALUE"""),44341)</f>
        <v>44341</v>
      </c>
      <c r="B3722" s="8" t="str">
        <f ca="1">IFERROR(__xludf.DUMMYFUNCTION("""COMPUTED_VALUE"""),"-33.567737,-71.203318")</f>
        <v>-33.567737,-71.203318</v>
      </c>
      <c r="C3722" s="6" t="str">
        <f ca="1">IFERROR(__xludf.DUMMYFUNCTION("""COMPUTED_VALUE"""),"SAN PABLO P5")</f>
        <v>SAN PABLO P5</v>
      </c>
      <c r="D3722" s="6" t="str">
        <f ca="1">IFERROR(__xludf.DUMMYFUNCTION("""COMPUTED_VALUE"""),"MELIPILLA")</f>
        <v>MELIPILLA</v>
      </c>
    </row>
    <row r="3723" spans="1:4">
      <c r="A3723" s="7">
        <f ca="1">IFERROR(__xludf.DUMMYFUNCTION("""COMPUTED_VALUE"""),44341)</f>
        <v>44341</v>
      </c>
      <c r="B3723" s="8" t="str">
        <f ca="1">IFERROR(__xludf.DUMMYFUNCTION("""COMPUTED_VALUE"""),"-33.567845,-71.203349")</f>
        <v>-33.567845,-71.203349</v>
      </c>
      <c r="C3723" s="6" t="str">
        <f ca="1">IFERROR(__xludf.DUMMYFUNCTION("""COMPUTED_VALUE"""),"SAN PABLO S/N")</f>
        <v>SAN PABLO S/N</v>
      </c>
      <c r="D3723" s="6" t="str">
        <f ca="1">IFERROR(__xludf.DUMMYFUNCTION("""COMPUTED_VALUE"""),"MELIPILLA")</f>
        <v>MELIPILLA</v>
      </c>
    </row>
    <row r="3724" spans="1:4">
      <c r="A3724" s="7">
        <f ca="1">IFERROR(__xludf.DUMMYFUNCTION("""COMPUTED_VALUE"""),44341)</f>
        <v>44341</v>
      </c>
      <c r="B3724" s="8" t="str">
        <f ca="1">IFERROR(__xludf.DUMMYFUNCTION("""COMPUTED_VALUE"""),"-33.749041,-71.192986")</f>
        <v>-33.749041,-71.192986</v>
      </c>
      <c r="C3724" s="6" t="str">
        <f ca="1">IFERROR(__xludf.DUMMYFUNCTION("""COMPUTED_VALUE"""),"LECARO 8A ")</f>
        <v xml:space="preserve">LECARO 8A </v>
      </c>
      <c r="D3724" s="6" t="str">
        <f ca="1">IFERROR(__xludf.DUMMYFUNCTION("""COMPUTED_VALUE"""),"MELIPILLA")</f>
        <v>MELIPILLA</v>
      </c>
    </row>
    <row r="3725" spans="1:4">
      <c r="A3725" s="7">
        <f ca="1">IFERROR(__xludf.DUMMYFUNCTION("""COMPUTED_VALUE"""),44341)</f>
        <v>44341</v>
      </c>
      <c r="B3725" s="8" t="str">
        <f ca="1">IFERROR(__xludf.DUMMYFUNCTION("""COMPUTED_VALUE"""),"-33.397998,-71.239458")</f>
        <v>-33.397998,-71.239458</v>
      </c>
      <c r="C3725" s="6" t="str">
        <f ca="1">IFERROR(__xludf.DUMMYFUNCTION("""COMPUTED_VALUE"""),"LAS VERTIENTES PARCEL 50")</f>
        <v>LAS VERTIENTES PARCEL 50</v>
      </c>
      <c r="D3725" s="6" t="str">
        <f ca="1">IFERROR(__xludf.DUMMYFUNCTION("""COMPUTED_VALUE"""),"CURACAVI")</f>
        <v>CURACAVI</v>
      </c>
    </row>
    <row r="3726" spans="1:4">
      <c r="A3726" s="7">
        <f ca="1">IFERROR(__xludf.DUMMYFUNCTION("""COMPUTED_VALUE"""),44341)</f>
        <v>44341</v>
      </c>
      <c r="B3726" s="6" t="str">
        <f ca="1">IFERROR(__xludf.DUMMYFUNCTION("""COMPUTED_VALUE"""),"-33.405668-71.145019")</f>
        <v>-33.405668-71.145019</v>
      </c>
      <c r="C3726" s="6" t="str">
        <f ca="1">IFERROR(__xludf.DUMMYFUNCTION("""COMPUTED_VALUE"""),"ANTEQUILES 310")</f>
        <v>ANTEQUILES 310</v>
      </c>
      <c r="D3726" s="6" t="str">
        <f ca="1">IFERROR(__xludf.DUMMYFUNCTION("""COMPUTED_VALUE"""),"CURACAVI")</f>
        <v>CURACAVI</v>
      </c>
    </row>
    <row r="3727" spans="1:4">
      <c r="A3727" s="7">
        <f ca="1">IFERROR(__xludf.DUMMYFUNCTION("""COMPUTED_VALUE"""),44341)</f>
        <v>44341</v>
      </c>
      <c r="B3727" s="6" t="str">
        <f ca="1">IFERROR(__xludf.DUMMYFUNCTION("""COMPUTED_VALUE"""),"-33.460911-71.045131")</f>
        <v>-33.460911-71.045131</v>
      </c>
      <c r="C3727" s="6" t="str">
        <f ca="1">IFERROR(__xludf.DUMMYFUNCTION("""COMPUTED_VALUE"""),"SAN JOAQUIN SITIO 3 B")</f>
        <v>SAN JOAQUIN SITIO 3 B</v>
      </c>
      <c r="D3727" s="6" t="str">
        <f ca="1">IFERROR(__xludf.DUMMYFUNCTION("""COMPUTED_VALUE"""),"CURACAVI")</f>
        <v>CURACAVI</v>
      </c>
    </row>
    <row r="3728" spans="1:4">
      <c r="A3728" s="7">
        <f ca="1">IFERROR(__xludf.DUMMYFUNCTION("""COMPUTED_VALUE"""),44341)</f>
        <v>44341</v>
      </c>
      <c r="B3728" s="6" t="str">
        <f ca="1">IFERROR(__xludf.DUMMYFUNCTION("""COMPUTED_VALUE"""),"-33.494732-71.030487")</f>
        <v>-33.494732-71.030487</v>
      </c>
      <c r="C3728" s="6" t="str">
        <f ca="1">IFERROR(__xludf.DUMMYFUNCTION("""COMPUTED_VALUE"""),"EL AJIAL 17 PARC 7")</f>
        <v>EL AJIAL 17 PARC 7</v>
      </c>
      <c r="D3728" s="6" t="str">
        <f ca="1">IFERROR(__xludf.DUMMYFUNCTION("""COMPUTED_VALUE"""),"CURACAVI")</f>
        <v>CURACAVI</v>
      </c>
    </row>
    <row r="3729" spans="1:4">
      <c r="A3729" s="7">
        <f ca="1">IFERROR(__xludf.DUMMYFUNCTION("""COMPUTED_VALUE"""),44341)</f>
        <v>44341</v>
      </c>
      <c r="B3729" s="6" t="str">
        <f ca="1">IFERROR(__xludf.DUMMYFUNCTION("""COMPUTED_VALUE"""),"-33.395990-71.129861")</f>
        <v>-33.395990-71.129861</v>
      </c>
      <c r="C3729" s="6" t="str">
        <f ca="1">IFERROR(__xludf.DUMMYFUNCTION("""COMPUTED_VALUE"""),"REGIDOR PEDRO VALENZUELA 653")</f>
        <v>REGIDOR PEDRO VALENZUELA 653</v>
      </c>
      <c r="D3729" s="6" t="str">
        <f ca="1">IFERROR(__xludf.DUMMYFUNCTION("""COMPUTED_VALUE"""),"CURACAVI")</f>
        <v>CURACAVI</v>
      </c>
    </row>
    <row r="3730" spans="1:4">
      <c r="A3730" s="7">
        <f ca="1">IFERROR(__xludf.DUMMYFUNCTION("""COMPUTED_VALUE"""),44341)</f>
        <v>44341</v>
      </c>
      <c r="B3730" s="6" t="str">
        <f ca="1">IFERROR(__xludf.DUMMYFUNCTION("""COMPUTED_VALUE"""),"-33.698457-70.673125")</f>
        <v>-33.698457-70.673125</v>
      </c>
      <c r="C3730" s="6" t="str">
        <f ca="1">IFERROR(__xludf.DUMMYFUNCTION("""COMPUTED_VALUE"""),"PADRE HURTADO 3796")</f>
        <v>PADRE HURTADO 3796</v>
      </c>
      <c r="D3730" s="6" t="str">
        <f ca="1">IFERROR(__xludf.DUMMYFUNCTION("""COMPUTED_VALUE"""),"BUIN")</f>
        <v>BUIN</v>
      </c>
    </row>
    <row r="3731" spans="1:4">
      <c r="A3731" s="7">
        <f ca="1">IFERROR(__xludf.DUMMYFUNCTION("""COMPUTED_VALUE"""),44341)</f>
        <v>44341</v>
      </c>
      <c r="B3731" s="6" t="str">
        <f ca="1">IFERROR(__xludf.DUMMYFUNCTION("""COMPUTED_VALUE"""),"-33.698457-70.673125")</f>
        <v>-33.698457-70.673125</v>
      </c>
      <c r="C3731" s="6" t="str">
        <f ca="1">IFERROR(__xludf.DUMMYFUNCTION("""COMPUTED_VALUE"""),"PADRE HURTADO 3796")</f>
        <v>PADRE HURTADO 3796</v>
      </c>
      <c r="D3731" s="6" t="str">
        <f ca="1">IFERROR(__xludf.DUMMYFUNCTION("""COMPUTED_VALUE"""),"BUIN")</f>
        <v>BUIN</v>
      </c>
    </row>
    <row r="3732" spans="1:4">
      <c r="A3732" s="7">
        <f ca="1">IFERROR(__xludf.DUMMYFUNCTION("""COMPUTED_VALUE"""),44341)</f>
        <v>44341</v>
      </c>
      <c r="B3732" s="6" t="str">
        <f ca="1">IFERROR(__xludf.DUMMYFUNCTION("""COMPUTED_VALUE"""),"-33.698457-70.673125")</f>
        <v>-33.698457-70.673125</v>
      </c>
      <c r="C3732" s="6" t="str">
        <f ca="1">IFERROR(__xludf.DUMMYFUNCTION("""COMPUTED_VALUE"""),"PADRE HURTADO 3796")</f>
        <v>PADRE HURTADO 3796</v>
      </c>
      <c r="D3732" s="6" t="str">
        <f ca="1">IFERROR(__xludf.DUMMYFUNCTION("""COMPUTED_VALUE"""),"BUIN")</f>
        <v>BUIN</v>
      </c>
    </row>
    <row r="3733" spans="1:4">
      <c r="A3733" s="7">
        <f ca="1">IFERROR(__xludf.DUMMYFUNCTION("""COMPUTED_VALUE"""),44341)</f>
        <v>44341</v>
      </c>
      <c r="B3733" s="6" t="str">
        <f ca="1">IFERROR(__xludf.DUMMYFUNCTION("""COMPUTED_VALUE"""),"-33.698663-70.673966")</f>
        <v>-33.698663-70.673966</v>
      </c>
      <c r="C3733" s="6" t="str">
        <f ca="1">IFERROR(__xludf.DUMMYFUNCTION("""COMPUTED_VALUE"""),"PADRE HURTADO 3796")</f>
        <v>PADRE HURTADO 3796</v>
      </c>
      <c r="D3733" s="6" t="str">
        <f ca="1">IFERROR(__xludf.DUMMYFUNCTION("""COMPUTED_VALUE"""),"BUIN")</f>
        <v>BUIN</v>
      </c>
    </row>
    <row r="3734" spans="1:4">
      <c r="A3734" s="7">
        <f ca="1">IFERROR(__xludf.DUMMYFUNCTION("""COMPUTED_VALUE"""),44341)</f>
        <v>44341</v>
      </c>
      <c r="B3734" s="6" t="str">
        <f ca="1">IFERROR(__xludf.DUMMYFUNCTION("""COMPUTED_VALUE"""),"-33.78044-71.27487")</f>
        <v>-33.78044-71.27487</v>
      </c>
      <c r="C3734" s="6" t="str">
        <f ca="1">IFERROR(__xludf.DUMMYFUNCTION("""COMPUTED_VALUE"""),"SAN MANUEL P-102")</f>
        <v>SAN MANUEL P-102</v>
      </c>
      <c r="D3734" s="6" t="str">
        <f ca="1">IFERROR(__xludf.DUMMYFUNCTION("""COMPUTED_VALUE"""),"MELIPILLA")</f>
        <v>MELIPILLA</v>
      </c>
    </row>
    <row r="3735" spans="1:4">
      <c r="A3735" s="7">
        <f ca="1">IFERROR(__xludf.DUMMYFUNCTION("""COMPUTED_VALUE"""),44341)</f>
        <v>44341</v>
      </c>
      <c r="B3735" s="6" t="str">
        <f ca="1">IFERROR(__xludf.DUMMYFUNCTION("""COMPUTED_VALUE"""),"-33.76575-71.27556")</f>
        <v>-33.76575-71.27556</v>
      </c>
      <c r="C3735" s="6" t="str">
        <f ca="1">IFERROR(__xludf.DUMMYFUNCTION("""COMPUTED_VALUE"""),"CODIGUA S/N")</f>
        <v>CODIGUA S/N</v>
      </c>
      <c r="D3735" s="6" t="str">
        <f ca="1">IFERROR(__xludf.DUMMYFUNCTION("""COMPUTED_VALUE"""),"MELIPILLA")</f>
        <v>MELIPILLA</v>
      </c>
    </row>
    <row r="3736" spans="1:4">
      <c r="A3736" s="7">
        <f ca="1">IFERROR(__xludf.DUMMYFUNCTION("""COMPUTED_VALUE"""),44341)</f>
        <v>44341</v>
      </c>
      <c r="B3736" s="6" t="str">
        <f ca="1">IFERROR(__xludf.DUMMYFUNCTION("""COMPUTED_VALUE"""),"-33.74444-71.19256")</f>
        <v>-33.74444-71.19256</v>
      </c>
      <c r="C3736" s="6" t="str">
        <f ca="1">IFERROR(__xludf.DUMMYFUNCTION("""COMPUTED_VALUE"""),"AV. BULNES 172")</f>
        <v>AV. BULNES 172</v>
      </c>
      <c r="D3736" s="6" t="str">
        <f ca="1">IFERROR(__xludf.DUMMYFUNCTION("""COMPUTED_VALUE"""),"MELIPILLA")</f>
        <v>MELIPILLA</v>
      </c>
    </row>
    <row r="3737" spans="1:4">
      <c r="A3737" s="7">
        <f ca="1">IFERROR(__xludf.DUMMYFUNCTION("""COMPUTED_VALUE"""),44341)</f>
        <v>44341</v>
      </c>
      <c r="B3737" s="6" t="str">
        <f ca="1">IFERROR(__xludf.DUMMYFUNCTION("""COMPUTED_VALUE"""),"-33.57614-71.08381")</f>
        <v>-33.57614-71.08381</v>
      </c>
      <c r="C3737" s="6" t="str">
        <f ca="1">IFERROR(__xludf.DUMMYFUNCTION("""COMPUTED_VALUE"""),"SAN BERNARDO 24")</f>
        <v>SAN BERNARDO 24</v>
      </c>
      <c r="D3737" s="6" t="str">
        <f ca="1">IFERROR(__xludf.DUMMYFUNCTION("""COMPUTED_VALUE"""),"MELIPILLA")</f>
        <v>MELIPILLA</v>
      </c>
    </row>
    <row r="3738" spans="1:4">
      <c r="A3738" s="7">
        <f ca="1">IFERROR(__xludf.DUMMYFUNCTION("""COMPUTED_VALUE"""),44341)</f>
        <v>44341</v>
      </c>
      <c r="B3738" s="6" t="str">
        <f ca="1">IFERROR(__xludf.DUMMYFUNCTION("""COMPUTED_VALUE"""),"-33.399357-71.124766")</f>
        <v>-33.399357-71.124766</v>
      </c>
      <c r="C3738" s="6" t="str">
        <f ca="1">IFERROR(__xludf.DUMMYFUNCTION("""COMPUTED_VALUE"""),"CURACA ORIENTE 304")</f>
        <v>CURACA ORIENTE 304</v>
      </c>
      <c r="D3738" s="6" t="str">
        <f ca="1">IFERROR(__xludf.DUMMYFUNCTION("""COMPUTED_VALUE"""),"CURACAVI")</f>
        <v>CURACAVI</v>
      </c>
    </row>
    <row r="3739" spans="1:4">
      <c r="A3739" s="7">
        <f ca="1">IFERROR(__xludf.DUMMYFUNCTION("""COMPUTED_VALUE"""),44341)</f>
        <v>44341</v>
      </c>
      <c r="B3739" s="6" t="str">
        <f ca="1">IFERROR(__xludf.DUMMYFUNCTION("""COMPUTED_VALUE"""),"-33.303505-70.59238")</f>
        <v>-33.303505-70.59238</v>
      </c>
      <c r="C3739" s="6" t="str">
        <f ca="1">IFERROR(__xludf.DUMMYFUNCTION("""COMPUTED_VALUE"""),"PATAGUILLA S/N")</f>
        <v>PATAGUILLA S/N</v>
      </c>
      <c r="D3739" s="6" t="str">
        <f ca="1">IFERROR(__xludf.DUMMYFUNCTION("""COMPUTED_VALUE"""),"CURACAVI")</f>
        <v>CURACAVI</v>
      </c>
    </row>
    <row r="3740" spans="1:4">
      <c r="A3740" s="7">
        <f ca="1">IFERROR(__xludf.DUMMYFUNCTION("""COMPUTED_VALUE"""),44341)</f>
        <v>44341</v>
      </c>
      <c r="B3740" s="6" t="str">
        <f ca="1">IFERROR(__xludf.DUMMYFUNCTION("""COMPUTED_VALUE"""),"-33.749891,-71.189943")</f>
        <v>-33.749891,-71.189943</v>
      </c>
      <c r="C3740" s="6" t="str">
        <f ca="1">IFERROR(__xludf.DUMMYFUNCTION("""COMPUTED_VALUE"""),"RUIZ TAGLE S/N PABELLON EL PRADO ")</f>
        <v xml:space="preserve">RUIZ TAGLE S/N PABELLON EL PRADO </v>
      </c>
      <c r="D3740" s="6" t="str">
        <f ca="1">IFERROR(__xludf.DUMMYFUNCTION("""COMPUTED_VALUE"""),"MELIPILLA")</f>
        <v>MELIPILLA</v>
      </c>
    </row>
    <row r="3741" spans="1:4">
      <c r="A3741" s="7">
        <f ca="1">IFERROR(__xludf.DUMMYFUNCTION("""COMPUTED_VALUE"""),44341)</f>
        <v>44341</v>
      </c>
      <c r="B3741" s="6" t="str">
        <f ca="1">IFERROR(__xludf.DUMMYFUNCTION("""COMPUTED_VALUE"""),"-33.582769,-71.023067")</f>
        <v>-33.582769,-71.023067</v>
      </c>
      <c r="C3741" s="6" t="str">
        <f ca="1">IFERROR(__xludf.DUMMYFUNCTION("""COMPUTED_VALUE"""),"SANTA TERESA DE MALLARAUCO S/N ")</f>
        <v xml:space="preserve">SANTA TERESA DE MALLARAUCO S/N </v>
      </c>
      <c r="D3741" s="6" t="str">
        <f ca="1">IFERROR(__xludf.DUMMYFUNCTION("""COMPUTED_VALUE"""),"MELIPILLA")</f>
        <v>MELIPILLA</v>
      </c>
    </row>
    <row r="3742" spans="1:4">
      <c r="A3742" s="7">
        <f ca="1">IFERROR(__xludf.DUMMYFUNCTION("""COMPUTED_VALUE"""),44341)</f>
        <v>44341</v>
      </c>
      <c r="B3742" s="6" t="str">
        <f ca="1">IFERROR(__xludf.DUMMYFUNCTION("""COMPUTED_VALUE"""),"-33.579176,-71.018099")</f>
        <v>-33.579176,-71.018099</v>
      </c>
      <c r="C3742" s="6" t="str">
        <f ca="1">IFERROR(__xludf.DUMMYFUNCTION("""COMPUTED_VALUE"""),"SANTA TERESA S/N ")</f>
        <v xml:space="preserve">SANTA TERESA S/N </v>
      </c>
      <c r="D3742" s="6" t="str">
        <f ca="1">IFERROR(__xludf.DUMMYFUNCTION("""COMPUTED_VALUE"""),"MELIPILLA")</f>
        <v>MELIPILLA</v>
      </c>
    </row>
    <row r="3743" spans="1:4">
      <c r="A3743" s="7">
        <f ca="1">IFERROR(__xludf.DUMMYFUNCTION("""COMPUTED_VALUE"""),44341)</f>
        <v>44341</v>
      </c>
      <c r="B3743" s="8" t="str">
        <f ca="1">IFERROR(__xludf.DUMMYFUNCTION("""COMPUTED_VALUE"""),"-33.7322780,-70.684000")</f>
        <v>-33.7322780,-70.684000</v>
      </c>
      <c r="C3743" s="6" t="str">
        <f ca="1">IFERROR(__xludf.DUMMYFUNCTION("""COMPUTED_VALUE"""),"MIRAFLORES 50")</f>
        <v>MIRAFLORES 50</v>
      </c>
      <c r="D3743" s="6" t="str">
        <f ca="1">IFERROR(__xludf.DUMMYFUNCTION("""COMPUTED_VALUE"""),"BUIN")</f>
        <v>BUIN</v>
      </c>
    </row>
    <row r="3744" spans="1:4">
      <c r="A3744" s="7">
        <f ca="1">IFERROR(__xludf.DUMMYFUNCTION("""COMPUTED_VALUE"""),44341)</f>
        <v>44341</v>
      </c>
      <c r="B3744" s="8" t="str">
        <f ca="1">IFERROR(__xludf.DUMMYFUNCTION("""COMPUTED_VALUE"""),"-33.73019,70.736222")</f>
        <v>-33.73019,70.736222</v>
      </c>
      <c r="C3744" s="6" t="str">
        <f ca="1">IFERROR(__xludf.DUMMYFUNCTION("""COMPUTED_VALUE"""),"AVDA SAN MARTIN 58")</f>
        <v>AVDA SAN MARTIN 58</v>
      </c>
      <c r="D3744" s="6" t="str">
        <f ca="1">IFERROR(__xludf.DUMMYFUNCTION("""COMPUTED_VALUE"""),"BUIN")</f>
        <v>BUIN</v>
      </c>
    </row>
    <row r="3745" spans="1:4">
      <c r="A3745" s="7">
        <f ca="1">IFERROR(__xludf.DUMMYFUNCTION("""COMPUTED_VALUE"""),44342)</f>
        <v>44342</v>
      </c>
      <c r="B3745" s="8" t="str">
        <f ca="1">IFERROR(__xludf.DUMMYFUNCTION("""COMPUTED_VALUE"""),"-33.683424,-71,187181")</f>
        <v>-33.683424,-71,187181</v>
      </c>
      <c r="C3745" s="6" t="str">
        <f ca="1">IFERROR(__xludf.DUMMYFUNCTION("""COMPUTED_VALUE"""),"SOINCA 9")</f>
        <v>SOINCA 9</v>
      </c>
      <c r="D3745" s="6" t="str">
        <f ca="1">IFERROR(__xludf.DUMMYFUNCTION("""COMPUTED_VALUE"""),"MELIPILLA")</f>
        <v>MELIPILLA</v>
      </c>
    </row>
    <row r="3746" spans="1:4">
      <c r="A3746" s="7">
        <f ca="1">IFERROR(__xludf.DUMMYFUNCTION("""COMPUTED_VALUE"""),44342)</f>
        <v>44342</v>
      </c>
      <c r="B3746" s="8" t="str">
        <f ca="1">IFERROR(__xludf.DUMMYFUNCTION("""COMPUTED_VALUE"""),"-33.720568,-71.199235")</f>
        <v>-33.720568,-71.199235</v>
      </c>
      <c r="C3746" s="6" t="str">
        <f ca="1">IFERROR(__xludf.DUMMYFUNCTION("""COMPUTED_VALUE"""),"CARMEN BAJO 11")</f>
        <v>CARMEN BAJO 11</v>
      </c>
      <c r="D3746" s="6" t="str">
        <f ca="1">IFERROR(__xludf.DUMMYFUNCTION("""COMPUTED_VALUE"""),"MELIPILLA")</f>
        <v>MELIPILLA</v>
      </c>
    </row>
    <row r="3747" spans="1:4">
      <c r="A3747" s="7">
        <f ca="1">IFERROR(__xludf.DUMMYFUNCTION("""COMPUTED_VALUE"""),44342)</f>
        <v>44342</v>
      </c>
      <c r="B3747" s="8" t="str">
        <f ca="1">IFERROR(__xludf.DUMMYFUNCTION("""COMPUTED_VALUE"""),"-33.568302,-71.221139")</f>
        <v>-33.568302,-71.221139</v>
      </c>
      <c r="C3747" s="6" t="str">
        <f ca="1">IFERROR(__xludf.DUMMYFUNCTION("""COMPUTED_VALUE"""),"LAS GOLONDRINAS 1896")</f>
        <v>LAS GOLONDRINAS 1896</v>
      </c>
      <c r="D3747" s="6" t="str">
        <f ca="1">IFERROR(__xludf.DUMMYFUNCTION("""COMPUTED_VALUE"""),"MELIPILLA")</f>
        <v>MELIPILLA</v>
      </c>
    </row>
    <row r="3748" spans="1:4">
      <c r="A3748" s="7">
        <f ca="1">IFERROR(__xludf.DUMMYFUNCTION("""COMPUTED_VALUE"""),44342)</f>
        <v>44342</v>
      </c>
      <c r="B3748" s="8" t="str">
        <f ca="1">IFERROR(__xludf.DUMMYFUNCTION("""COMPUTED_VALUE"""),"-33.683531,-70.984448")</f>
        <v>-33.683531,-70.984448</v>
      </c>
      <c r="C3748" s="6" t="str">
        <f ca="1">IFERROR(__xludf.DUMMYFUNCTION("""COMPUTED_VALUE"""),"ANIBAL PINTO 049")</f>
        <v>ANIBAL PINTO 049</v>
      </c>
      <c r="D3748" s="6" t="str">
        <f ca="1">IFERROR(__xludf.DUMMYFUNCTION("""COMPUTED_VALUE"""),"EL MONTE")</f>
        <v>EL MONTE</v>
      </c>
    </row>
    <row r="3749" spans="1:4">
      <c r="A3749" s="7">
        <f ca="1">IFERROR(__xludf.DUMMYFUNCTION("""COMPUTED_VALUE"""),44342)</f>
        <v>44342</v>
      </c>
      <c r="B3749" s="8" t="str">
        <f ca="1">IFERROR(__xludf.DUMMYFUNCTION("""COMPUTED_VALUE"""),"-33.578528,-71.180648")</f>
        <v>-33.578528,-71.180648</v>
      </c>
      <c r="C3749" s="6" t="str">
        <f ca="1">IFERROR(__xludf.DUMMYFUNCTION("""COMPUTED_VALUE"""),"SANTA LUCIA PARCELA 2")</f>
        <v>SANTA LUCIA PARCELA 2</v>
      </c>
      <c r="D3749" s="6" t="str">
        <f ca="1">IFERROR(__xludf.DUMMYFUNCTION("""COMPUTED_VALUE"""),"MELIPILLA")</f>
        <v>MELIPILLA</v>
      </c>
    </row>
    <row r="3750" spans="1:4">
      <c r="A3750" s="7">
        <f ca="1">IFERROR(__xludf.DUMMYFUNCTION("""COMPUTED_VALUE"""),44342)</f>
        <v>44342</v>
      </c>
      <c r="B3750" s="8" t="str">
        <f ca="1">IFERROR(__xludf.DUMMYFUNCTION("""COMPUTED_VALUE"""),"-33.719673,-71.198900")</f>
        <v>-33.719673,-71.198900</v>
      </c>
      <c r="C3750" s="6" t="str">
        <f ca="1">IFERROR(__xludf.DUMMYFUNCTION("""COMPUTED_VALUE"""),"CARMEN BAJO 11")</f>
        <v>CARMEN BAJO 11</v>
      </c>
      <c r="D3750" s="6" t="str">
        <f ca="1">IFERROR(__xludf.DUMMYFUNCTION("""COMPUTED_VALUE"""),"MELIPILLA")</f>
        <v>MELIPILLA</v>
      </c>
    </row>
    <row r="3751" spans="1:4">
      <c r="A3751" s="7">
        <f ca="1">IFERROR(__xludf.DUMMYFUNCTION("""COMPUTED_VALUE"""),44342)</f>
        <v>44342</v>
      </c>
      <c r="B3751" s="6" t="str">
        <f ca="1">IFERROR(__xludf.DUMMYFUNCTION("""COMPUTED_VALUE"""),"-33.698457-70.673125")</f>
        <v>-33.698457-70.673125</v>
      </c>
      <c r="C3751" s="6" t="str">
        <f ca="1">IFERROR(__xludf.DUMMYFUNCTION("""COMPUTED_VALUE"""),"PADRE HURTADO 3796")</f>
        <v>PADRE HURTADO 3796</v>
      </c>
      <c r="D3751" s="6" t="str">
        <f ca="1">IFERROR(__xludf.DUMMYFUNCTION("""COMPUTED_VALUE"""),"BUIN")</f>
        <v>BUIN</v>
      </c>
    </row>
    <row r="3752" spans="1:4">
      <c r="A3752" s="7">
        <f ca="1">IFERROR(__xludf.DUMMYFUNCTION("""COMPUTED_VALUE"""),44342)</f>
        <v>44342</v>
      </c>
      <c r="B3752" s="6" t="str">
        <f ca="1">IFERROR(__xludf.DUMMYFUNCTION("""COMPUTED_VALUE"""),"-33.401548-71.130289")</f>
        <v>-33.401548-71.130289</v>
      </c>
      <c r="C3752" s="6" t="str">
        <f ca="1">IFERROR(__xludf.DUMMYFUNCTION("""COMPUTED_VALUE"""),"WILLIAMS REBOLLEDO 1841")</f>
        <v>WILLIAMS REBOLLEDO 1841</v>
      </c>
      <c r="D3752" s="6" t="str">
        <f ca="1">IFERROR(__xludf.DUMMYFUNCTION("""COMPUTED_VALUE"""),"CURACAVI")</f>
        <v>CURACAVI</v>
      </c>
    </row>
    <row r="3753" spans="1:4">
      <c r="A3753" s="7">
        <f ca="1">IFERROR(__xludf.DUMMYFUNCTION("""COMPUTED_VALUE"""),44342)</f>
        <v>44342</v>
      </c>
      <c r="B3753" s="6" t="str">
        <f ca="1">IFERROR(__xludf.DUMMYFUNCTION("""COMPUTED_VALUE"""),"-33.401964-71.130198")</f>
        <v>-33.401964-71.130198</v>
      </c>
      <c r="C3753" s="6" t="str">
        <f ca="1">IFERROR(__xludf.DUMMYFUNCTION("""COMPUTED_VALUE"""),"WILLIAMS REBOLLEDO 1841")</f>
        <v>WILLIAMS REBOLLEDO 1841</v>
      </c>
      <c r="D3753" s="6" t="str">
        <f ca="1">IFERROR(__xludf.DUMMYFUNCTION("""COMPUTED_VALUE"""),"CURACAVI")</f>
        <v>CURACAVI</v>
      </c>
    </row>
    <row r="3754" spans="1:4">
      <c r="A3754" s="7">
        <f ca="1">IFERROR(__xludf.DUMMYFUNCTION("""COMPUTED_VALUE"""),44342)</f>
        <v>44342</v>
      </c>
      <c r="B3754" s="6" t="str">
        <f ca="1">IFERROR(__xludf.DUMMYFUNCTION("""COMPUTED_VALUE"""),"-33.491318-71.030656")</f>
        <v>-33.491318-71.030656</v>
      </c>
      <c r="C3754" s="6" t="str">
        <f ca="1">IFERROR(__xludf.DUMMYFUNCTION("""COMPUTED_VALUE"""),"EL AJIAL S/N")</f>
        <v>EL AJIAL S/N</v>
      </c>
      <c r="D3754" s="6" t="str">
        <f ca="1">IFERROR(__xludf.DUMMYFUNCTION("""COMPUTED_VALUE"""),"CURACAVI")</f>
        <v>CURACAVI</v>
      </c>
    </row>
    <row r="3755" spans="1:4">
      <c r="A3755" s="7">
        <f ca="1">IFERROR(__xludf.DUMMYFUNCTION("""COMPUTED_VALUE"""),44342)</f>
        <v>44342</v>
      </c>
      <c r="B3755" s="6" t="str">
        <f ca="1">IFERROR(__xludf.DUMMYFUNCTION("""COMPUTED_VALUE"""),"-33.4077-71.13395")</f>
        <v>-33.4077-71.13395</v>
      </c>
      <c r="C3755" s="6" t="str">
        <f ca="1">IFERROR(__xludf.DUMMYFUNCTION("""COMPUTED_VALUE"""),"FRANCISCO JOFRE 1513")</f>
        <v>FRANCISCO JOFRE 1513</v>
      </c>
      <c r="D3755" s="6" t="str">
        <f ca="1">IFERROR(__xludf.DUMMYFUNCTION("""COMPUTED_VALUE"""),"CURACAVI")</f>
        <v>CURACAVI</v>
      </c>
    </row>
    <row r="3756" spans="1:4">
      <c r="A3756" s="7">
        <f ca="1">IFERROR(__xludf.DUMMYFUNCTION("""COMPUTED_VALUE"""),44342)</f>
        <v>44342</v>
      </c>
      <c r="B3756" s="6" t="str">
        <f ca="1">IFERROR(__xludf.DUMMYFUNCTION("""COMPUTED_VALUE"""),"-33.687732,-71.192966")</f>
        <v>-33.687732,-71.192966</v>
      </c>
      <c r="C3756" s="6" t="str">
        <f ca="1">IFERROR(__xludf.DUMMYFUNCTION("""COMPUTED_VALUE"""),"HERNAN VALENZUELA CARVACHO  845")</f>
        <v>HERNAN VALENZUELA CARVACHO  845</v>
      </c>
      <c r="D3756" s="6" t="str">
        <f ca="1">IFERROR(__xludf.DUMMYFUNCTION("""COMPUTED_VALUE"""),"MELIPILLA")</f>
        <v>MELIPILLA</v>
      </c>
    </row>
    <row r="3757" spans="1:4">
      <c r="A3757" s="7">
        <f ca="1">IFERROR(__xludf.DUMMYFUNCTION("""COMPUTED_VALUE"""),44342)</f>
        <v>44342</v>
      </c>
      <c r="B3757" s="6" t="str">
        <f ca="1">IFERROR(__xludf.DUMMYFUNCTION("""COMPUTED_VALUE"""),"-33.234224,-70.806128")</f>
        <v>-33.234224,-70.806128</v>
      </c>
      <c r="C3757" s="6" t="str">
        <f ca="1">IFERROR(__xludf.DUMMYFUNCTION("""COMPUTED_VALUE"""),"PEDRO MONTT 743")</f>
        <v>PEDRO MONTT 743</v>
      </c>
      <c r="D3757" s="6" t="str">
        <f ca="1">IFERROR(__xludf.DUMMYFUNCTION("""COMPUTED_VALUE"""),"LAMPA")</f>
        <v>LAMPA</v>
      </c>
    </row>
    <row r="3758" spans="1:4">
      <c r="A3758" s="7">
        <f ca="1">IFERROR(__xludf.DUMMYFUNCTION("""COMPUTED_VALUE"""),44342)</f>
        <v>44342</v>
      </c>
      <c r="B3758" s="8" t="str">
        <f ca="1">IFERROR(__xludf.DUMMYFUNCTION("""COMPUTED_VALUE"""),"-33.587921,-70.759073")</f>
        <v>-33.587921,-70.759073</v>
      </c>
      <c r="C3758" s="6" t="str">
        <f ca="1">IFERROR(__xludf.DUMMYFUNCTION("""COMPUTED_VALUE"""),"EL SITIO D S/N")</f>
        <v>EL SITIO D S/N</v>
      </c>
      <c r="D3758" s="6" t="str">
        <f ca="1">IFERROR(__xludf.DUMMYFUNCTION("""COMPUTED_VALUE"""),"CALERA DE TANGO")</f>
        <v>CALERA DE TANGO</v>
      </c>
    </row>
    <row r="3759" spans="1:4">
      <c r="A3759" s="7">
        <f ca="1">IFERROR(__xludf.DUMMYFUNCTION("""COMPUTED_VALUE"""),44342)</f>
        <v>44342</v>
      </c>
      <c r="B3759" s="8" t="str">
        <f ca="1">IFERROR(__xludf.DUMMYFUNCTION("""COMPUTED_VALUE"""),"-33.585041,-70.773428")</f>
        <v>-33.585041,-70.773428</v>
      </c>
      <c r="C3759" s="6" t="str">
        <f ca="1">IFERROR(__xludf.DUMMYFUNCTION("""COMPUTED_VALUE"""),"ERMITA 13")</f>
        <v>ERMITA 13</v>
      </c>
      <c r="D3759" s="6" t="str">
        <f ca="1">IFERROR(__xludf.DUMMYFUNCTION("""COMPUTED_VALUE"""),"CALERA DE TANGO")</f>
        <v>CALERA DE TANGO</v>
      </c>
    </row>
    <row r="3760" spans="1:4">
      <c r="A3760" s="7">
        <f ca="1">IFERROR(__xludf.DUMMYFUNCTION("""COMPUTED_VALUE"""),44343)</f>
        <v>44343</v>
      </c>
      <c r="B3760" s="8" t="str">
        <f ca="1">IFERROR(__xludf.DUMMYFUNCTION("""COMPUTED_VALUE"""),"-33.719583,-71.198881")</f>
        <v>-33.719583,-71.198881</v>
      </c>
      <c r="C3760" s="6" t="str">
        <f ca="1">IFERROR(__xludf.DUMMYFUNCTION("""COMPUTED_VALUE"""),"CARMEN BAJO 3")</f>
        <v>CARMEN BAJO 3</v>
      </c>
      <c r="D3760" s="6" t="str">
        <f ca="1">IFERROR(__xludf.DUMMYFUNCTION("""COMPUTED_VALUE"""),"MELIPILLA")</f>
        <v>MELIPILLA</v>
      </c>
    </row>
    <row r="3761" spans="1:4">
      <c r="A3761" s="7">
        <f ca="1">IFERROR(__xludf.DUMMYFUNCTION("""COMPUTED_VALUE"""),44343)</f>
        <v>44343</v>
      </c>
      <c r="B3761" s="8" t="str">
        <f ca="1">IFERROR(__xludf.DUMMYFUNCTION("""COMPUTED_VALUE"""),"-33.498946,-71.336703")</f>
        <v>-33.498946,-71.336703</v>
      </c>
      <c r="C3761" s="6" t="str">
        <f ca="1">IFERROR(__xludf.DUMMYFUNCTION("""COMPUTED_VALUE"""),"PARCELA EL PEHUEN 231")</f>
        <v>PARCELA EL PEHUEN 231</v>
      </c>
      <c r="D3761" s="6" t="str">
        <f ca="1">IFERROR(__xludf.DUMMYFUNCTION("""COMPUTED_VALUE"""),"MARIA PINTO")</f>
        <v>MARIA PINTO</v>
      </c>
    </row>
    <row r="3762" spans="1:4">
      <c r="A3762" s="7">
        <f ca="1">IFERROR(__xludf.DUMMYFUNCTION("""COMPUTED_VALUE"""),44343)</f>
        <v>44343</v>
      </c>
      <c r="B3762" s="8" t="str">
        <f ca="1">IFERROR(__xludf.DUMMYFUNCTION("""COMPUTED_VALUE"""),"-33.519691,-71.121777")</f>
        <v>-33.519691,-71.121777</v>
      </c>
      <c r="C3762" s="6" t="str">
        <f ca="1">IFERROR(__xludf.DUMMYFUNCTION("""COMPUTED_VALUE"""),"APOLO XII 187 A")</f>
        <v>APOLO XII 187 A</v>
      </c>
      <c r="D3762" s="6" t="str">
        <f ca="1">IFERROR(__xludf.DUMMYFUNCTION("""COMPUTED_VALUE"""),"MARIA PINTO")</f>
        <v>MARIA PINTO</v>
      </c>
    </row>
    <row r="3763" spans="1:4">
      <c r="A3763" s="7">
        <f ca="1">IFERROR(__xludf.DUMMYFUNCTION("""COMPUTED_VALUE"""),44343)</f>
        <v>44343</v>
      </c>
      <c r="B3763" s="8" t="str">
        <f ca="1">IFERROR(__xludf.DUMMYFUNCTION("""COMPUTED_VALUE"""),"-33.760777,-71.333263")</f>
        <v>-33.760777,-71.333263</v>
      </c>
      <c r="C3763" s="6" t="str">
        <f ca="1">IFERROR(__xludf.DUMMYFUNCTION("""COMPUTED_VALUE"""),"SECTOR SANTA ANA S/N")</f>
        <v>SECTOR SANTA ANA S/N</v>
      </c>
      <c r="D3763" s="6" t="str">
        <f ca="1">IFERROR(__xludf.DUMMYFUNCTION("""COMPUTED_VALUE"""),"MELIPILLA")</f>
        <v>MELIPILLA</v>
      </c>
    </row>
    <row r="3764" spans="1:4">
      <c r="A3764" s="7">
        <f ca="1">IFERROR(__xludf.DUMMYFUNCTION("""COMPUTED_VALUE"""),44343)</f>
        <v>44343</v>
      </c>
      <c r="B3764" s="8" t="str">
        <f ca="1">IFERROR(__xludf.DUMMYFUNCTION("""COMPUTED_VALUE"""),"-33.571903,-71.211595")</f>
        <v>-33.571903,-71.211595</v>
      </c>
      <c r="C3764" s="6" t="str">
        <f ca="1">IFERROR(__xludf.DUMMYFUNCTION("""COMPUTED_VALUE"""),"RANCAGUA BOLLENAR")</f>
        <v>RANCAGUA BOLLENAR</v>
      </c>
      <c r="D3764" s="6" t="str">
        <f ca="1">IFERROR(__xludf.DUMMYFUNCTION("""COMPUTED_VALUE"""),"MELIPILLA")</f>
        <v>MELIPILLA</v>
      </c>
    </row>
    <row r="3765" spans="1:4">
      <c r="A3765" s="7">
        <f ca="1">IFERROR(__xludf.DUMMYFUNCTION("""COMPUTED_VALUE"""),44343)</f>
        <v>44343</v>
      </c>
      <c r="B3765" s="8" t="str">
        <f ca="1">IFERROR(__xludf.DUMMYFUNCTION("""COMPUTED_VALUE"""),"-33.760813,-71.334007")</f>
        <v>-33.760813,-71.334007</v>
      </c>
      <c r="C3765" s="6" t="str">
        <f ca="1">IFERROR(__xludf.DUMMYFUNCTION("""COMPUTED_VALUE"""),"SECTOR STA ANA SITIO C")</f>
        <v>SECTOR STA ANA SITIO C</v>
      </c>
      <c r="D3765" s="6" t="str">
        <f ca="1">IFERROR(__xludf.DUMMYFUNCTION("""COMPUTED_VALUE"""),"MELIPILLA")</f>
        <v>MELIPILLA</v>
      </c>
    </row>
    <row r="3766" spans="1:4">
      <c r="A3766" s="7">
        <f ca="1">IFERROR(__xludf.DUMMYFUNCTION("""COMPUTED_VALUE"""),44343)</f>
        <v>44343</v>
      </c>
      <c r="B3766" s="8" t="str">
        <f ca="1">IFERROR(__xludf.DUMMYFUNCTION("""COMPUTED_VALUE"""),"-33.575208,-71.180766")</f>
        <v>-33.575208,-71.180766</v>
      </c>
      <c r="C3766" s="6" t="str">
        <f ca="1">IFERROR(__xludf.DUMMYFUNCTION("""COMPUTED_VALUE"""),"SANTA LUCIA LOTE 1")</f>
        <v>SANTA LUCIA LOTE 1</v>
      </c>
      <c r="D3766" s="6" t="str">
        <f ca="1">IFERROR(__xludf.DUMMYFUNCTION("""COMPUTED_VALUE"""),"MELIPILLA")</f>
        <v>MELIPILLA</v>
      </c>
    </row>
    <row r="3767" spans="1:4">
      <c r="A3767" s="7">
        <f ca="1">IFERROR(__xludf.DUMMYFUNCTION("""COMPUTED_VALUE"""),44343)</f>
        <v>44343</v>
      </c>
      <c r="B3767" s="6" t="str">
        <f ca="1">IFERROR(__xludf.DUMMYFUNCTION("""COMPUTED_VALUE"""),"-33.60261-70.87236")</f>
        <v>-33.60261-70.87236</v>
      </c>
      <c r="C3767" s="6" t="str">
        <f ca="1">IFERROR(__xludf.DUMMYFUNCTION("""COMPUTED_VALUE"""),"SANTA ADRIANA 1810")</f>
        <v>SANTA ADRIANA 1810</v>
      </c>
      <c r="D3767" s="6" t="str">
        <f ca="1">IFERROR(__xludf.DUMMYFUNCTION("""COMPUTED_VALUE"""),"PEÑAFLOR")</f>
        <v>PEÑAFLOR</v>
      </c>
    </row>
    <row r="3768" spans="1:4">
      <c r="A3768" s="7">
        <f ca="1">IFERROR(__xludf.DUMMYFUNCTION("""COMPUTED_VALUE"""),44343)</f>
        <v>44343</v>
      </c>
      <c r="B3768" s="6" t="str">
        <f ca="1">IFERROR(__xludf.DUMMYFUNCTION("""COMPUTED_VALUE"""),"-33.673176-70.989055")</f>
        <v>-33.673176-70.989055</v>
      </c>
      <c r="C3768" s="6" t="str">
        <f ca="1">IFERROR(__xludf.DUMMYFUNCTION("""COMPUTED_VALUE"""),"LOS PERALES 662")</f>
        <v>LOS PERALES 662</v>
      </c>
      <c r="D3768" s="6" t="str">
        <f ca="1">IFERROR(__xludf.DUMMYFUNCTION("""COMPUTED_VALUE"""),"EL MONTE")</f>
        <v>EL MONTE</v>
      </c>
    </row>
    <row r="3769" spans="1:4">
      <c r="A3769" s="7">
        <f ca="1">IFERROR(__xludf.DUMMYFUNCTION("""COMPUTED_VALUE"""),44343)</f>
        <v>44343</v>
      </c>
      <c r="B3769" s="6" t="str">
        <f ca="1">IFERROR(__xludf.DUMMYFUNCTION("""COMPUTED_VALUE"""),"-33.405857-71.130197")</f>
        <v>-33.405857-71.130197</v>
      </c>
      <c r="C3769" s="6" t="str">
        <f ca="1">IFERROR(__xludf.DUMMYFUNCTION("""COMPUTED_VALUE"""),"SANTA ISABEL 1822")</f>
        <v>SANTA ISABEL 1822</v>
      </c>
      <c r="D3769" s="6" t="str">
        <f ca="1">IFERROR(__xludf.DUMMYFUNCTION("""COMPUTED_VALUE"""),"CURACAVI")</f>
        <v>CURACAVI</v>
      </c>
    </row>
    <row r="3770" spans="1:4">
      <c r="A3770" s="7">
        <f ca="1">IFERROR(__xludf.DUMMYFUNCTION("""COMPUTED_VALUE"""),44343)</f>
        <v>44343</v>
      </c>
      <c r="B3770" s="6" t="str">
        <f ca="1">IFERROR(__xludf.DUMMYFUNCTION("""COMPUTED_VALUE"""),"-33.390933-71.125497")</f>
        <v>-33.390933-71.125497</v>
      </c>
      <c r="C3770" s="6" t="str">
        <f ca="1">IFERROR(__xludf.DUMMYFUNCTION("""COMPUTED_VALUE"""),"LOS BOLDOS 1131")</f>
        <v>LOS BOLDOS 1131</v>
      </c>
      <c r="D3770" s="6" t="str">
        <f ca="1">IFERROR(__xludf.DUMMYFUNCTION("""COMPUTED_VALUE"""),"CURACAVI")</f>
        <v>CURACAVI</v>
      </c>
    </row>
    <row r="3771" spans="1:4">
      <c r="A3771" s="7">
        <f ca="1">IFERROR(__xludf.DUMMYFUNCTION("""COMPUTED_VALUE"""),44343)</f>
        <v>44343</v>
      </c>
      <c r="B3771" s="6" t="str">
        <f ca="1">IFERROR(__xludf.DUMMYFUNCTION("""COMPUTED_VALUE"""),"-33.414361-71.154734")</f>
        <v>-33.414361-71.154734</v>
      </c>
      <c r="C3771" s="6" t="str">
        <f ca="1">IFERROR(__xludf.DUMMYFUNCTION("""COMPUTED_VALUE"""),"CONSEJERO JOSE RAMON ARMAZAN 232 A")</f>
        <v>CONSEJERO JOSE RAMON ARMAZAN 232 A</v>
      </c>
      <c r="D3771" s="6" t="str">
        <f ca="1">IFERROR(__xludf.DUMMYFUNCTION("""COMPUTED_VALUE"""),"CURACAVI")</f>
        <v>CURACAVI</v>
      </c>
    </row>
    <row r="3772" spans="1:4">
      <c r="A3772" s="7">
        <f ca="1">IFERROR(__xludf.DUMMYFUNCTION("""COMPUTED_VALUE"""),44343)</f>
        <v>44343</v>
      </c>
      <c r="B3772" s="6" t="str">
        <f ca="1">IFERROR(__xludf.DUMMYFUNCTION("""COMPUTED_VALUE"""),"-33.377693-71.180565")</f>
        <v>-33.377693-71.180565</v>
      </c>
      <c r="C3772" s="6" t="str">
        <f ca="1">IFERROR(__xludf.DUMMYFUNCTION("""COMPUTED_VALUE"""),"EL NARANJO S/N")</f>
        <v>EL NARANJO S/N</v>
      </c>
      <c r="D3772" s="6" t="str">
        <f ca="1">IFERROR(__xludf.DUMMYFUNCTION("""COMPUTED_VALUE"""),"CURACAVI")</f>
        <v>CURACAVI</v>
      </c>
    </row>
    <row r="3773" spans="1:4">
      <c r="A3773" s="7">
        <f ca="1">IFERROR(__xludf.DUMMYFUNCTION("""COMPUTED_VALUE"""),44343)</f>
        <v>44343</v>
      </c>
      <c r="B3773" s="6" t="str">
        <f ca="1">IFERROR(__xludf.DUMMYFUNCTION("""COMPUTED_VALUE"""),"-33.690048-70.851209")</f>
        <v>-33.690048-70.851209</v>
      </c>
      <c r="C3773" s="6" t="str">
        <f ca="1">IFERROR(__xludf.DUMMYFUNCTION("""COMPUTED_VALUE"""),"EL PAPAGALLO PARCELA 1")</f>
        <v>EL PAPAGALLO PARCELA 1</v>
      </c>
      <c r="D3773" s="6" t="str">
        <f ca="1">IFERROR(__xludf.DUMMYFUNCTION("""COMPUTED_VALUE"""),"TALAGANTE")</f>
        <v>TALAGANTE</v>
      </c>
    </row>
    <row r="3774" spans="1:4">
      <c r="A3774" s="7">
        <f ca="1">IFERROR(__xludf.DUMMYFUNCTION("""COMPUTED_VALUE"""),44343)</f>
        <v>44343</v>
      </c>
      <c r="B3774" s="6" t="str">
        <f ca="1">IFERROR(__xludf.DUMMYFUNCTION("""COMPUTED_VALUE"""),"-33.652128-70.904435")</f>
        <v>-33.652128-70.904435</v>
      </c>
      <c r="C3774" s="6" t="str">
        <f ca="1">IFERROR(__xludf.DUMMYFUNCTION("""COMPUTED_VALUE"""),"PJE SEIS 649")</f>
        <v>PJE SEIS 649</v>
      </c>
      <c r="D3774" s="6" t="str">
        <f ca="1">IFERROR(__xludf.DUMMYFUNCTION("""COMPUTED_VALUE"""),"TALAGANTE")</f>
        <v>TALAGANTE</v>
      </c>
    </row>
    <row r="3775" spans="1:4">
      <c r="A3775" s="7">
        <f ca="1">IFERROR(__xludf.DUMMYFUNCTION("""COMPUTED_VALUE"""),44343)</f>
        <v>44343</v>
      </c>
      <c r="B3775" s="6" t="str">
        <f ca="1">IFERROR(__xludf.DUMMYFUNCTION("""COMPUTED_VALUE"""),"-33.570527,-71.212865")</f>
        <v>-33.570527,-71.212865</v>
      </c>
      <c r="C3775" s="6" t="str">
        <f ca="1">IFERROR(__xludf.DUMMYFUNCTION("""COMPUTED_VALUE"""),"LOS BOLDOS 7122 ")</f>
        <v xml:space="preserve">LOS BOLDOS 7122 </v>
      </c>
      <c r="D3775" s="6" t="str">
        <f ca="1">IFERROR(__xludf.DUMMYFUNCTION("""COMPUTED_VALUE"""),"MELIPILLA")</f>
        <v>MELIPILLA</v>
      </c>
    </row>
    <row r="3776" spans="1:4">
      <c r="A3776" s="7">
        <f ca="1">IFERROR(__xludf.DUMMYFUNCTION("""COMPUTED_VALUE"""),44343)</f>
        <v>44343</v>
      </c>
      <c r="B3776" s="6" t="str">
        <f ca="1">IFERROR(__xludf.DUMMYFUNCTION("""COMPUTED_VALUE"""),"-33.686276,-71.196184")</f>
        <v>-33.686276,-71.196184</v>
      </c>
      <c r="C3776" s="6" t="str">
        <f ca="1">IFERROR(__xludf.DUMMYFUNCTION("""COMPUTED_VALUE"""),"PASAJE SEIS CERRO HORCON DE PIEDR 550")</f>
        <v>PASAJE SEIS CERRO HORCON DE PIEDR 550</v>
      </c>
      <c r="D3776" s="6" t="str">
        <f ca="1">IFERROR(__xludf.DUMMYFUNCTION("""COMPUTED_VALUE"""),"MELIPILLA")</f>
        <v>MELIPILLA</v>
      </c>
    </row>
    <row r="3777" spans="1:4">
      <c r="A3777" s="7">
        <f ca="1">IFERROR(__xludf.DUMMYFUNCTION("""COMPUTED_VALUE"""),44343)</f>
        <v>44343</v>
      </c>
      <c r="B3777" s="6" t="str">
        <f ca="1">IFERROR(__xludf.DUMMYFUNCTION("""COMPUTED_VALUE"""),"-33.259436,-70.708029")</f>
        <v>-33.259436,-70.708029</v>
      </c>
      <c r="C3777" s="6" t="str">
        <f ca="1">IFERROR(__xludf.DUMMYFUNCTION("""COMPUTED_VALUE"""),"SAN MARTIN S/N LOTE 136")</f>
        <v>SAN MARTIN S/N LOTE 136</v>
      </c>
      <c r="D3777" s="6" t="str">
        <f ca="1">IFERROR(__xludf.DUMMYFUNCTION("""COMPUTED_VALUE"""),"COLINA")</f>
        <v>COLINA</v>
      </c>
    </row>
    <row r="3778" spans="1:4">
      <c r="A3778" s="7">
        <f ca="1">IFERROR(__xludf.DUMMYFUNCTION("""COMPUTED_VALUE"""),44343)</f>
        <v>44343</v>
      </c>
      <c r="B3778" s="8" t="str">
        <f ca="1">IFERROR(__xludf.DUMMYFUNCTION("""COMPUTED_VALUE"""),"-33.249398,-70.701892")</f>
        <v>-33.249398,-70.701892</v>
      </c>
      <c r="C3778" s="6" t="str">
        <f ca="1">IFERROR(__xludf.DUMMYFUNCTION("""COMPUTED_VALUE"""),"SANTA GEMITA SITIO 22")</f>
        <v>SANTA GEMITA SITIO 22</v>
      </c>
      <c r="D3778" s="6" t="str">
        <f ca="1">IFERROR(__xludf.DUMMYFUNCTION("""COMPUTED_VALUE"""),"COLINA")</f>
        <v>COLINA</v>
      </c>
    </row>
    <row r="3779" spans="1:4">
      <c r="A3779" s="7">
        <f ca="1">IFERROR(__xludf.DUMMYFUNCTION("""COMPUTED_VALUE"""),44343)</f>
        <v>44343</v>
      </c>
      <c r="B3779" s="8" t="str">
        <f ca="1">IFERROR(__xludf.DUMMYFUNCTION("""COMPUTED_VALUE"""),"33.200287,-70.680664")</f>
        <v>33.200287,-70.680664</v>
      </c>
      <c r="C3779" s="6" t="str">
        <f ca="1">IFERROR(__xludf.DUMMYFUNCTION("""COMPUTED_VALUE"""),"POLEO 0370")</f>
        <v>POLEO 0370</v>
      </c>
      <c r="D3779" s="6" t="str">
        <f ca="1">IFERROR(__xludf.DUMMYFUNCTION("""COMPUTED_VALUE"""),"COLINA")</f>
        <v>COLINA</v>
      </c>
    </row>
    <row r="3780" spans="1:4">
      <c r="A3780" s="7">
        <f ca="1">IFERROR(__xludf.DUMMYFUNCTION("""COMPUTED_VALUE"""),44344)</f>
        <v>44344</v>
      </c>
      <c r="B3780" s="8" t="str">
        <f ca="1">IFERROR(__xludf.DUMMYFUNCTION("""COMPUTED_VALUE"""),"-33.675206,-71.174603")</f>
        <v>-33.675206,-71.174603</v>
      </c>
      <c r="C3780" s="6" t="str">
        <f ca="1">IFERROR(__xludf.DUMMYFUNCTION("""COMPUTED_VALUE"""),"VARSOVIA 103 ")</f>
        <v xml:space="preserve">VARSOVIA 103 </v>
      </c>
      <c r="D3780" s="6" t="str">
        <f ca="1">IFERROR(__xludf.DUMMYFUNCTION("""COMPUTED_VALUE"""),"MELIPILLA")</f>
        <v>MELIPILLA</v>
      </c>
    </row>
    <row r="3781" spans="1:4">
      <c r="A3781" s="7">
        <f ca="1">IFERROR(__xludf.DUMMYFUNCTION("""COMPUTED_VALUE"""),44344)</f>
        <v>44344</v>
      </c>
      <c r="B3781" s="8" t="str">
        <f ca="1">IFERROR(__xludf.DUMMYFUNCTION("""COMPUTED_VALUE"""),"-33.571099,-71.201105")</f>
        <v>-33.571099,-71.201105</v>
      </c>
      <c r="C3781" s="6" t="str">
        <f ca="1">IFERROR(__xludf.DUMMYFUNCTION("""COMPUTED_VALUE"""),"CULEBRAS VERDE LOTE 3 ")</f>
        <v xml:space="preserve">CULEBRAS VERDE LOTE 3 </v>
      </c>
      <c r="D3781" s="6" t="str">
        <f ca="1">IFERROR(__xludf.DUMMYFUNCTION("""COMPUTED_VALUE"""),"MELIPILLA")</f>
        <v>MELIPILLA</v>
      </c>
    </row>
    <row r="3782" spans="1:4">
      <c r="A3782" s="7">
        <f ca="1">IFERROR(__xludf.DUMMYFUNCTION("""COMPUTED_VALUE"""),44344)</f>
        <v>44344</v>
      </c>
      <c r="B3782" s="8" t="str">
        <f ca="1">IFERROR(__xludf.DUMMYFUNCTION("""COMPUTED_VALUE"""),"-33.633687-71.271558")</f>
        <v>-33.633687-71.271558</v>
      </c>
      <c r="C3782" s="6" t="str">
        <f ca="1">IFERROR(__xludf.DUMMYFUNCTION("""COMPUTED_VALUE"""),"LAS LAMBRERAS")</f>
        <v>LAS LAMBRERAS</v>
      </c>
      <c r="D3782" s="6" t="str">
        <f ca="1">IFERROR(__xludf.DUMMYFUNCTION("""COMPUTED_VALUE"""),"MELIPILLA")</f>
        <v>MELIPILLA</v>
      </c>
    </row>
    <row r="3783" spans="1:4">
      <c r="A3783" s="7">
        <f ca="1">IFERROR(__xludf.DUMMYFUNCTION("""COMPUTED_VALUE"""),44344)</f>
        <v>44344</v>
      </c>
      <c r="B3783" s="8" t="str">
        <f ca="1">IFERROR(__xludf.DUMMYFUNCTION("""COMPUTED_VALUE"""),"-33.575971,-71.181021")</f>
        <v>-33.575971,-71.181021</v>
      </c>
      <c r="C3783" s="6" t="str">
        <f ca="1">IFERROR(__xludf.DUMMYFUNCTION("""COMPUTED_VALUE"""),"C.BOLLENAR")</f>
        <v>C.BOLLENAR</v>
      </c>
      <c r="D3783" s="6" t="str">
        <f ca="1">IFERROR(__xludf.DUMMYFUNCTION("""COMPUTED_VALUE"""),"MELIPILLA")</f>
        <v>MELIPILLA</v>
      </c>
    </row>
    <row r="3784" spans="1:4">
      <c r="A3784" s="7">
        <f ca="1">IFERROR(__xludf.DUMMYFUNCTION("""COMPUTED_VALUE"""),44344)</f>
        <v>44344</v>
      </c>
      <c r="B3784" s="8" t="str">
        <f ca="1">IFERROR(__xludf.DUMMYFUNCTION("""COMPUTED_VALUE"""),"-33.761981.-71.094578")</f>
        <v>-33.761981.-71.094578</v>
      </c>
      <c r="C3784" s="6" t="str">
        <f ca="1">IFERROR(__xludf.DUMMYFUNCTION("""COMPUTED_VALUE"""),"LAS ACACIAS DE 1051")</f>
        <v>LAS ACACIAS DE 1051</v>
      </c>
      <c r="D3784" s="6" t="str">
        <f ca="1">IFERROR(__xludf.DUMMYFUNCTION("""COMPUTED_VALUE"""),"BUIN")</f>
        <v>BUIN</v>
      </c>
    </row>
    <row r="3785" spans="1:4">
      <c r="A3785" s="7">
        <f ca="1">IFERROR(__xludf.DUMMYFUNCTION("""COMPUTED_VALUE"""),44344)</f>
        <v>44344</v>
      </c>
      <c r="B3785" s="6" t="str">
        <f ca="1">IFERROR(__xludf.DUMMYFUNCTION("""COMPUTED_VALUE"""),"-33.414976-71.156121")</f>
        <v>-33.414976-71.156121</v>
      </c>
      <c r="C3785" s="6" t="str">
        <f ca="1">IFERROR(__xludf.DUMMYFUNCTION("""COMPUTED_VALUE"""),"LO AGUILA LOTE 1D")</f>
        <v>LO AGUILA LOTE 1D</v>
      </c>
      <c r="D3785" s="6" t="str">
        <f ca="1">IFERROR(__xludf.DUMMYFUNCTION("""COMPUTED_VALUE"""),"CURACAVI")</f>
        <v>CURACAVI</v>
      </c>
    </row>
    <row r="3786" spans="1:4">
      <c r="A3786" s="7">
        <f ca="1">IFERROR(__xludf.DUMMYFUNCTION("""COMPUTED_VALUE"""),44344)</f>
        <v>44344</v>
      </c>
      <c r="B3786" s="6" t="str">
        <f ca="1">IFERROR(__xludf.DUMMYFUNCTION("""COMPUTED_VALUE"""),"-33.403970-71.155818")</f>
        <v>-33.403970-71.155818</v>
      </c>
      <c r="C3786" s="6" t="str">
        <f ca="1">IFERROR(__xludf.DUMMYFUNCTION("""COMPUTED_VALUE"""),"LO AGUILA LOTE 1D")</f>
        <v>LO AGUILA LOTE 1D</v>
      </c>
      <c r="D3786" s="6" t="str">
        <f ca="1">IFERROR(__xludf.DUMMYFUNCTION("""COMPUTED_VALUE"""),"CURACAVI")</f>
        <v>CURACAVI</v>
      </c>
    </row>
    <row r="3787" spans="1:4">
      <c r="A3787" s="7">
        <f ca="1">IFERROR(__xludf.DUMMYFUNCTION("""COMPUTED_VALUE"""),44344)</f>
        <v>44344</v>
      </c>
      <c r="B3787" s="6" t="str">
        <f ca="1">IFERROR(__xludf.DUMMYFUNCTION("""COMPUTED_VALUE"""),"-33.690042-70.851222")</f>
        <v>-33.690042-70.851222</v>
      </c>
      <c r="C3787" s="6" t="str">
        <f ca="1">IFERROR(__xludf.DUMMYFUNCTION("""COMPUTED_VALUE"""),"EL PAPAGALLO PARCELA 1")</f>
        <v>EL PAPAGALLO PARCELA 1</v>
      </c>
      <c r="D3787" s="6" t="str">
        <f ca="1">IFERROR(__xludf.DUMMYFUNCTION("""COMPUTED_VALUE"""),"TALAGANTE")</f>
        <v>TALAGANTE</v>
      </c>
    </row>
    <row r="3788" spans="1:4">
      <c r="A3788" s="7">
        <f ca="1">IFERROR(__xludf.DUMMYFUNCTION("""COMPUTED_VALUE"""),44344)</f>
        <v>44344</v>
      </c>
      <c r="B3788" s="6" t="str">
        <f ca="1">IFERROR(__xludf.DUMMYFUNCTION("""COMPUTED_VALUE"""),"-33.288638-70.875591")</f>
        <v>-33.288638-70.875591</v>
      </c>
      <c r="C3788" s="6" t="str">
        <f ca="1">IFERROR(__xludf.DUMMYFUNCTION("""COMPUTED_VALUE"""),"MAIPO 45")</f>
        <v>MAIPO 45</v>
      </c>
      <c r="D3788" s="6" t="str">
        <f ca="1">IFERROR(__xludf.DUMMYFUNCTION("""COMPUTED_VALUE"""),"LAMPA")</f>
        <v>LAMPA</v>
      </c>
    </row>
    <row r="3789" spans="1:4">
      <c r="A3789" s="7">
        <f ca="1">IFERROR(__xludf.DUMMYFUNCTION("""COMPUTED_VALUE"""),44344)</f>
        <v>44344</v>
      </c>
      <c r="B3789" s="6" t="str">
        <f ca="1">IFERROR(__xludf.DUMMYFUNCTION("""COMPUTED_VALUE"""),"-33.681327-70.982855")</f>
        <v>-33.681327-70.982855</v>
      </c>
      <c r="C3789" s="6" t="str">
        <f ca="1">IFERROR(__xludf.DUMMYFUNCTION("""COMPUTED_VALUE"""),"AV. LOS LIBERTADORES 433")</f>
        <v>AV. LOS LIBERTADORES 433</v>
      </c>
      <c r="D3789" s="6" t="str">
        <f ca="1">IFERROR(__xludf.DUMMYFUNCTION("""COMPUTED_VALUE"""),"EL MONTE")</f>
        <v>EL MONTE</v>
      </c>
    </row>
    <row r="3790" spans="1:4">
      <c r="A3790" s="7">
        <f ca="1">IFERROR(__xludf.DUMMYFUNCTION("""COMPUTED_VALUE"""),44344)</f>
        <v>44344</v>
      </c>
      <c r="B3790" s="6" t="str">
        <f ca="1">IFERROR(__xludf.DUMMYFUNCTION("""COMPUTED_VALUE"""),"-33.647033,-71.147997")</f>
        <v>-33.647033,-71.147997</v>
      </c>
      <c r="C3790" s="6" t="str">
        <f ca="1">IFERROR(__xludf.DUMMYFUNCTION("""COMPUTED_VALUE"""),"EL CARMEN 209 B POMAIRE")</f>
        <v>EL CARMEN 209 B POMAIRE</v>
      </c>
      <c r="D3790" s="6" t="str">
        <f ca="1">IFERROR(__xludf.DUMMYFUNCTION("""COMPUTED_VALUE"""),"MELIPILLA")</f>
        <v>MELIPILLA</v>
      </c>
    </row>
    <row r="3791" spans="1:4">
      <c r="A3791" s="7">
        <f ca="1">IFERROR(__xludf.DUMMYFUNCTION("""COMPUTED_VALUE"""),44344)</f>
        <v>44344</v>
      </c>
      <c r="B3791" s="6" t="str">
        <f ca="1">IFERROR(__xludf.DUMMYFUNCTION("""COMPUTED_VALUE"""),"-33.650468,-71.155461")</f>
        <v>-33.650468,-71.155461</v>
      </c>
      <c r="C3791" s="6" t="str">
        <f ca="1">IFERROR(__xludf.DUMMYFUNCTION("""COMPUTED_VALUE"""),"PA EL LIMONAL 722 POMAIRE")</f>
        <v>PA EL LIMONAL 722 POMAIRE</v>
      </c>
      <c r="D3791" s="6" t="str">
        <f ca="1">IFERROR(__xludf.DUMMYFUNCTION("""COMPUTED_VALUE"""),"MELIPILLA")</f>
        <v>MELIPILLA</v>
      </c>
    </row>
    <row r="3792" spans="1:4">
      <c r="A3792" s="7">
        <f ca="1">IFERROR(__xludf.DUMMYFUNCTION("""COMPUTED_VALUE"""),44344)</f>
        <v>44344</v>
      </c>
      <c r="B3792" s="6" t="str">
        <f ca="1">IFERROR(__xludf.DUMMYFUNCTION("""COMPUTED_VALUE"""),"-33.797329,-71.245744")</f>
        <v>-33.797329,-71.245744</v>
      </c>
      <c r="C3792" s="6" t="str">
        <f ca="1">IFERROR(__xludf.DUMMYFUNCTION("""COMPUTED_VALUE"""),"PARCELA 294 LOE B LAS CHILCAS")</f>
        <v>PARCELA 294 LOE B LAS CHILCAS</v>
      </c>
      <c r="D3792" s="6" t="str">
        <f ca="1">IFERROR(__xludf.DUMMYFUNCTION("""COMPUTED_VALUE"""),"MELIPILLA")</f>
        <v>MELIPILLA</v>
      </c>
    </row>
    <row r="3793" spans="1:4">
      <c r="A3793" s="7">
        <f ca="1">IFERROR(__xludf.DUMMYFUNCTION("""COMPUTED_VALUE"""),44344)</f>
        <v>44344</v>
      </c>
      <c r="B3793" s="8" t="str">
        <f ca="1">IFERROR(__xludf.DUMMYFUNCTION("""COMPUTED_VALUE"""),"-33.682552,-71.228554")</f>
        <v>-33.682552,-71.228554</v>
      </c>
      <c r="C3793" s="6" t="str">
        <f ca="1">IFERROR(__xludf.DUMMYFUNCTION("""COMPUTED_VALUE"""),"LAGOS 1 TODOS LOS SANTOS 1776")</f>
        <v>LAGOS 1 TODOS LOS SANTOS 1776</v>
      </c>
      <c r="D3793" s="6" t="str">
        <f ca="1">IFERROR(__xludf.DUMMYFUNCTION("""COMPUTED_VALUE"""),"MELIPILLA")</f>
        <v>MELIPILLA</v>
      </c>
    </row>
    <row r="3794" spans="1:4">
      <c r="A3794" s="7">
        <f ca="1">IFERROR(__xludf.DUMMYFUNCTION("""COMPUTED_VALUE"""),44344)</f>
        <v>44344</v>
      </c>
      <c r="B3794" s="8" t="str">
        <f ca="1">IFERROR(__xludf.DUMMYFUNCTION("""COMPUTED_VALUE"""),"-33.682089,-71.228247")</f>
        <v>-33.682089,-71.228247</v>
      </c>
      <c r="C3794" s="6" t="str">
        <f ca="1">IFERROR(__xludf.DUMMYFUNCTION("""COMPUTED_VALUE"""),"LAGOS 1 PJE LINÑIHUE 226")</f>
        <v>LAGOS 1 PJE LINÑIHUE 226</v>
      </c>
      <c r="D3794" s="6" t="str">
        <f ca="1">IFERROR(__xludf.DUMMYFUNCTION("""COMPUTED_VALUE"""),"MELIPILLA")</f>
        <v>MELIPILLA</v>
      </c>
    </row>
    <row r="3795" spans="1:4">
      <c r="A3795" s="7">
        <f ca="1">IFERROR(__xludf.DUMMYFUNCTION("""COMPUTED_VALUE"""),44344)</f>
        <v>44344</v>
      </c>
      <c r="B3795" s="8" t="str">
        <f ca="1">IFERROR(__xludf.DUMMYFUNCTION("""COMPUTED_VALUE"""),"-33.687042,-72.187035")</f>
        <v>-33.687042,-72.187035</v>
      </c>
      <c r="C3795" s="6" t="str">
        <f ca="1">IFERROR(__xludf.DUMMYFUNCTION("""COMPUTED_VALUE"""),"EL BAJO S/N")</f>
        <v>EL BAJO S/N</v>
      </c>
      <c r="D3795" s="6" t="str">
        <f ca="1">IFERROR(__xludf.DUMMYFUNCTION("""COMPUTED_VALUE"""),"MELIPILLA")</f>
        <v>MELIPILLA</v>
      </c>
    </row>
    <row r="3796" spans="1:4">
      <c r="A3796" s="7">
        <f ca="1">IFERROR(__xludf.DUMMYFUNCTION("""COMPUTED_VALUE"""),44345)</f>
        <v>44345</v>
      </c>
      <c r="B3796" s="8" t="str">
        <f ca="1">IFERROR(__xludf.DUMMYFUNCTION("""COMPUTED_VALUE"""),"-33.407878,-71.149249")</f>
        <v>-33.407878,-71.149249</v>
      </c>
      <c r="C3796" s="6" t="str">
        <f ca="1">IFERROR(__xludf.DUMMYFUNCTION("""COMPUTED_VALUE"""),"PJE LA VENDIMIA 146")</f>
        <v>PJE LA VENDIMIA 146</v>
      </c>
      <c r="D3796" s="6" t="str">
        <f ca="1">IFERROR(__xludf.DUMMYFUNCTION("""COMPUTED_VALUE"""),"CURACAVI")</f>
        <v>CURACAVI</v>
      </c>
    </row>
    <row r="3797" spans="1:4">
      <c r="A3797" s="7">
        <f ca="1">IFERROR(__xludf.DUMMYFUNCTION("""COMPUTED_VALUE"""),44345)</f>
        <v>44345</v>
      </c>
      <c r="B3797" s="8" t="str">
        <f ca="1">IFERROR(__xludf.DUMMYFUNCTION("""COMPUTED_VALUE"""),"-33.567804,-71.2158645")</f>
        <v>-33.567804,-71.2158645</v>
      </c>
      <c r="C3797" s="6" t="str">
        <f ca="1">IFERROR(__xludf.DUMMYFUNCTION("""COMPUTED_VALUE"""),"LAS PERDICES 21")</f>
        <v>LAS PERDICES 21</v>
      </c>
      <c r="D3797" s="6" t="str">
        <f ca="1">IFERROR(__xludf.DUMMYFUNCTION("""COMPUTED_VALUE"""),"MELIPILLA")</f>
        <v>MELIPILLA</v>
      </c>
    </row>
    <row r="3798" spans="1:4">
      <c r="A3798" s="7">
        <f ca="1">IFERROR(__xludf.DUMMYFUNCTION("""COMPUTED_VALUE"""),44345)</f>
        <v>44345</v>
      </c>
      <c r="B3798" s="6" t="str">
        <f ca="1">IFERROR(__xludf.DUMMYFUNCTION("""COMPUTED_VALUE"""),"-33.390777-71.125646")</f>
        <v>-33.390777-71.125646</v>
      </c>
      <c r="C3798" s="6" t="str">
        <f ca="1">IFERROR(__xludf.DUMMYFUNCTION("""COMPUTED_VALUE"""),"LOS BOLDOS 1124")</f>
        <v>LOS BOLDOS 1124</v>
      </c>
      <c r="D3798" s="6" t="str">
        <f ca="1">IFERROR(__xludf.DUMMYFUNCTION("""COMPUTED_VALUE"""),"CURACAVI")</f>
        <v>CURACAVI</v>
      </c>
    </row>
    <row r="3799" spans="1:4">
      <c r="A3799" s="7">
        <f ca="1">IFERROR(__xludf.DUMMYFUNCTION("""COMPUTED_VALUE"""),44345)</f>
        <v>44345</v>
      </c>
      <c r="B3799" s="6" t="str">
        <f ca="1">IFERROR(__xludf.DUMMYFUNCTION("""COMPUTED_VALUE"""),"-33.409923-71.141727")</f>
        <v>-33.409923-71.141727</v>
      </c>
      <c r="C3799" s="6" t="str">
        <f ca="1">IFERROR(__xludf.DUMMYFUNCTION("""COMPUTED_VALUE"""),"LO AGUILA 256")</f>
        <v>LO AGUILA 256</v>
      </c>
      <c r="D3799" s="6" t="str">
        <f ca="1">IFERROR(__xludf.DUMMYFUNCTION("""COMPUTED_VALUE"""),"CURACAVI")</f>
        <v>CURACAVI</v>
      </c>
    </row>
    <row r="3800" spans="1:4">
      <c r="A3800" s="7">
        <f ca="1">IFERROR(__xludf.DUMMYFUNCTION("""COMPUTED_VALUE"""),44345)</f>
        <v>44345</v>
      </c>
      <c r="B3800" s="6" t="str">
        <f ca="1">IFERROR(__xludf.DUMMYFUNCTION("""COMPUTED_VALUE"""),"-33.570056,-71.203783")</f>
        <v>-33.570056,-71.203783</v>
      </c>
      <c r="C3800" s="6" t="str">
        <f ca="1">IFERROR(__xludf.DUMMYFUNCTION("""COMPUTED_VALUE"""),"SAN PABLO S/N CV6 BOLLENAR")</f>
        <v>SAN PABLO S/N CV6 BOLLENAR</v>
      </c>
      <c r="D3800" s="6" t="str">
        <f ca="1">IFERROR(__xludf.DUMMYFUNCTION("""COMPUTED_VALUE"""),"MELIPILLA")</f>
        <v>MELIPILLA</v>
      </c>
    </row>
    <row r="3801" spans="1:4">
      <c r="A3801" s="7">
        <f ca="1">IFERROR(__xludf.DUMMYFUNCTION("""COMPUTED_VALUE"""),44345)</f>
        <v>44345</v>
      </c>
      <c r="B3801" s="6" t="str">
        <f ca="1">IFERROR(__xludf.DUMMYFUNCTION("""COMPUTED_VALUE"""),"-33.569739,-71.204148")</f>
        <v>-33.569739,-71.204148</v>
      </c>
      <c r="C3801" s="6" t="str">
        <f ca="1">IFERROR(__xludf.DUMMYFUNCTION("""COMPUTED_VALUE"""),"SAN PABLO 24 BOLLENAR")</f>
        <v>SAN PABLO 24 BOLLENAR</v>
      </c>
      <c r="D3801" s="6" t="str">
        <f ca="1">IFERROR(__xludf.DUMMYFUNCTION("""COMPUTED_VALUE"""),"MELIPILLA")</f>
        <v>MELIPILLA</v>
      </c>
    </row>
    <row r="3802" spans="1:4">
      <c r="A3802" s="7">
        <f ca="1">IFERROR(__xludf.DUMMYFUNCTION("""COMPUTED_VALUE"""),44345)</f>
        <v>44345</v>
      </c>
      <c r="B3802" s="6" t="str">
        <f ca="1">IFERROR(__xludf.DUMMYFUNCTION("""COMPUTED_VALUE"""),"-33.2894009,-70.876971")</f>
        <v>-33.2894009,-70.876971</v>
      </c>
      <c r="C3802" s="6" t="str">
        <f ca="1">IFERROR(__xludf.DUMMYFUNCTION("""COMPUTED_VALUE"""),"CHICAUMA 1231")</f>
        <v>CHICAUMA 1231</v>
      </c>
      <c r="D3802" s="6" t="str">
        <f ca="1">IFERROR(__xludf.DUMMYFUNCTION("""COMPUTED_VALUE"""),"LAMPA")</f>
        <v>LAMPA</v>
      </c>
    </row>
    <row r="3803" spans="1:4">
      <c r="A3803" s="7">
        <f ca="1">IFERROR(__xludf.DUMMYFUNCTION("""COMPUTED_VALUE"""),44347)</f>
        <v>44347</v>
      </c>
      <c r="B3803" s="6" t="str">
        <f ca="1">IFERROR(__xludf.DUMMYFUNCTION("""COMPUTED_VALUE"""),"-33.407826-71.136088")</f>
        <v>-33.407826-71.136088</v>
      </c>
      <c r="C3803" s="6" t="str">
        <f ca="1">IFERROR(__xludf.DUMMYFUNCTION("""COMPUTED_VALUE"""),"FRANCISCO JOFRE 1263")</f>
        <v>FRANCISCO JOFRE 1263</v>
      </c>
      <c r="D3803" s="6" t="str">
        <f ca="1">IFERROR(__xludf.DUMMYFUNCTION("""COMPUTED_VALUE"""),"CURACAVI")</f>
        <v>CURACAVI</v>
      </c>
    </row>
    <row r="3804" spans="1:4">
      <c r="A3804" s="7">
        <f ca="1">IFERROR(__xludf.DUMMYFUNCTION("""COMPUTED_VALUE"""),44347)</f>
        <v>44347</v>
      </c>
      <c r="B3804" s="6" t="str">
        <f ca="1">IFERROR(__xludf.DUMMYFUNCTION("""COMPUTED_VALUE"""),"-33.675240-70.990891")</f>
        <v>-33.675240-70.990891</v>
      </c>
      <c r="C3804" s="6" t="str">
        <f ca="1">IFERROR(__xludf.DUMMYFUNCTION("""COMPUTED_VALUE"""),"RICARDO MUÑOZ 672")</f>
        <v>RICARDO MUÑOZ 672</v>
      </c>
      <c r="D3804" s="6" t="str">
        <f ca="1">IFERROR(__xludf.DUMMYFUNCTION("""COMPUTED_VALUE"""),"EL MONTE")</f>
        <v>EL MONTE</v>
      </c>
    </row>
    <row r="3805" spans="1:4">
      <c r="A3805" s="7">
        <f ca="1">IFERROR(__xludf.DUMMYFUNCTION("""COMPUTED_VALUE"""),44347)</f>
        <v>44347</v>
      </c>
      <c r="B3805" s="6" t="str">
        <f ca="1">IFERROR(__xludf.DUMMYFUNCTION("""COMPUTED_VALUE"""),"-33.703066-70.959556")</f>
        <v>-33.703066-70.959556</v>
      </c>
      <c r="C3805" s="6" t="str">
        <f ca="1">IFERROR(__xludf.DUMMYFUNCTION("""COMPUTED_VALUE"""),"SANTA ADRIANA S/N")</f>
        <v>SANTA ADRIANA S/N</v>
      </c>
      <c r="D3805" s="6" t="str">
        <f ca="1">IFERROR(__xludf.DUMMYFUNCTION("""COMPUTED_VALUE"""),"EL MONTE")</f>
        <v>EL MONTE</v>
      </c>
    </row>
    <row r="3806" spans="1:4">
      <c r="A3806" s="7">
        <f ca="1">IFERROR(__xludf.DUMMYFUNCTION("""COMPUTED_VALUE"""),44347)</f>
        <v>44347</v>
      </c>
      <c r="B3806" s="6" t="str">
        <f ca="1">IFERROR(__xludf.DUMMYFUNCTION("""COMPUTED_VALUE"""),"-33.626545-70.902448")</f>
        <v>-33.626545-70.902448</v>
      </c>
      <c r="C3806" s="6" t="str">
        <f ca="1">IFERROR(__xludf.DUMMYFUNCTION("""COMPUTED_VALUE"""),"BERLIN S/N PARC 39")</f>
        <v>BERLIN S/N PARC 39</v>
      </c>
      <c r="D3806" s="6" t="str">
        <f ca="1">IFERROR(__xludf.DUMMYFUNCTION("""COMPUTED_VALUE"""),"PEÑAFLOR")</f>
        <v>PEÑAFLOR</v>
      </c>
    </row>
    <row r="3807" spans="1:4">
      <c r="A3807" s="7">
        <f ca="1">IFERROR(__xludf.DUMMYFUNCTION("""COMPUTED_VALUE"""),44347)</f>
        <v>44347</v>
      </c>
      <c r="B3807" s="6" t="str">
        <f ca="1">IFERROR(__xludf.DUMMYFUNCTION("""COMPUTED_VALUE"""),"-33.626545-70.902448")</f>
        <v>-33.626545-70.902448</v>
      </c>
      <c r="C3807" s="6" t="str">
        <f ca="1">IFERROR(__xludf.DUMMYFUNCTION("""COMPUTED_VALUE"""),"BERLIN S/N PARC 39")</f>
        <v>BERLIN S/N PARC 39</v>
      </c>
      <c r="D3807" s="6" t="str">
        <f ca="1">IFERROR(__xludf.DUMMYFUNCTION("""COMPUTED_VALUE"""),"PEÑAFLOR")</f>
        <v>PEÑAFLOR</v>
      </c>
    </row>
    <row r="3808" spans="1:4">
      <c r="A3808" s="7">
        <f ca="1">IFERROR(__xludf.DUMMYFUNCTION("""COMPUTED_VALUE"""),44347)</f>
        <v>44347</v>
      </c>
      <c r="B3808" s="6" t="str">
        <f ca="1">IFERROR(__xludf.DUMMYFUNCTION("""COMPUTED_VALUE"""),"-33.50971-71.15119")</f>
        <v>-33.50971-71.15119</v>
      </c>
      <c r="C3808" s="6" t="str">
        <f ca="1">IFERROR(__xludf.DUMMYFUNCTION("""COMPUTED_VALUE"""),"EL ROSARIO 8")</f>
        <v>EL ROSARIO 8</v>
      </c>
      <c r="D3808" s="6" t="str">
        <f ca="1">IFERROR(__xludf.DUMMYFUNCTION("""COMPUTED_VALUE"""),"MARIA PINTO")</f>
        <v>MARIA PINTO</v>
      </c>
    </row>
    <row r="3809" spans="1:4">
      <c r="A3809" s="7">
        <f ca="1">IFERROR(__xludf.DUMMYFUNCTION("""COMPUTED_VALUE"""),44347)</f>
        <v>44347</v>
      </c>
      <c r="B3809" s="6" t="str">
        <f ca="1">IFERROR(__xludf.DUMMYFUNCTION("""COMPUTED_VALUE"""),"-33.506658-71.135867")</f>
        <v>-33.506658-71.135867</v>
      </c>
      <c r="C3809" s="6" t="str">
        <f ca="1">IFERROR(__xludf.DUMMYFUNCTION("""COMPUTED_VALUE"""),"EL ROSARIO 25")</f>
        <v>EL ROSARIO 25</v>
      </c>
      <c r="D3809" s="6" t="str">
        <f ca="1">IFERROR(__xludf.DUMMYFUNCTION("""COMPUTED_VALUE"""),"MARIA PINTO")</f>
        <v>MARIA PINTO</v>
      </c>
    </row>
    <row r="3810" spans="1:4">
      <c r="A3810" s="7">
        <f ca="1">IFERROR(__xludf.DUMMYFUNCTION("""COMPUTED_VALUE"""),44347)</f>
        <v>44347</v>
      </c>
      <c r="B3810" s="6" t="str">
        <f ca="1">IFERROR(__xludf.DUMMYFUNCTION("""COMPUTED_VALUE"""),"-33.50783-71.14705")</f>
        <v>-33.50783-71.14705</v>
      </c>
      <c r="C3810" s="6" t="str">
        <f ca="1">IFERROR(__xludf.DUMMYFUNCTION("""COMPUTED_VALUE"""),"EL ROSARIO 24")</f>
        <v>EL ROSARIO 24</v>
      </c>
      <c r="D3810" s="6" t="str">
        <f ca="1">IFERROR(__xludf.DUMMYFUNCTION("""COMPUTED_VALUE"""),"MARIA PINTO")</f>
        <v>MARIA PINTO</v>
      </c>
    </row>
    <row r="3811" spans="1:4">
      <c r="A3811" s="7">
        <f ca="1">IFERROR(__xludf.DUMMYFUNCTION("""COMPUTED_VALUE"""),44347)</f>
        <v>44347</v>
      </c>
      <c r="B3811" s="6" t="str">
        <f ca="1">IFERROR(__xludf.DUMMYFUNCTION("""COMPUTED_VALUE"""),"-33.50487-71.14995")</f>
        <v>-33.50487-71.14995</v>
      </c>
      <c r="C3811" s="6" t="str">
        <f ca="1">IFERROR(__xludf.DUMMYFUNCTION("""COMPUTED_VALUE"""),"EL ROSARIO 9")</f>
        <v>EL ROSARIO 9</v>
      </c>
      <c r="D3811" s="6" t="str">
        <f ca="1">IFERROR(__xludf.DUMMYFUNCTION("""COMPUTED_VALUE"""),"MARIA PINTO")</f>
        <v>MARIA PINTO</v>
      </c>
    </row>
    <row r="3812" spans="1:4">
      <c r="A3812" s="7">
        <f ca="1">IFERROR(__xludf.DUMMYFUNCTION("""COMPUTED_VALUE"""),44347)</f>
        <v>44347</v>
      </c>
      <c r="B3812" s="6" t="str">
        <f ca="1">IFERROR(__xludf.DUMMYFUNCTION("""COMPUTED_VALUE"""),"-33.686930,-71.209955")</f>
        <v>-33.686930,-71.209955</v>
      </c>
      <c r="C3812" s="6" t="str">
        <f ca="1">IFERROR(__xludf.DUMMYFUNCTION("""COMPUTED_VALUE"""),"EGAÑA  545")</f>
        <v>EGAÑA  545</v>
      </c>
      <c r="D3812" s="6" t="str">
        <f ca="1">IFERROR(__xludf.DUMMYFUNCTION("""COMPUTED_VALUE"""),"MELIPILLA")</f>
        <v>MELIPILLA</v>
      </c>
    </row>
    <row r="3813" spans="1:4">
      <c r="A3813" s="7">
        <f ca="1">IFERROR(__xludf.DUMMYFUNCTION("""COMPUTED_VALUE"""),44347)</f>
        <v>44347</v>
      </c>
      <c r="B3813" s="6" t="str">
        <f ca="1">IFERROR(__xludf.DUMMYFUNCTION("""COMPUTED_VALUE"""),"-33.606580,-71.219795")</f>
        <v>-33.606580,-71.219795</v>
      </c>
      <c r="C3813" s="6" t="str">
        <f ca="1">IFERROR(__xludf.DUMMYFUNCTION("""COMPUTED_VALUE"""),"LAS PERDICES ST 14 VILLORIO SAN JOSE OBRERO")</f>
        <v>LAS PERDICES ST 14 VILLORIO SAN JOSE OBRERO</v>
      </c>
      <c r="D3813" s="6" t="str">
        <f ca="1">IFERROR(__xludf.DUMMYFUNCTION("""COMPUTED_VALUE"""),"MELIPILLA")</f>
        <v>MELIPILLA</v>
      </c>
    </row>
    <row r="3814" spans="1:4">
      <c r="A3814" s="7">
        <f ca="1">IFERROR(__xludf.DUMMYFUNCTION("""COMPUTED_VALUE"""),44347)</f>
        <v>44347</v>
      </c>
      <c r="B3814" s="8" t="str">
        <f ca="1">IFERROR(__xludf.DUMMYFUNCTION("""COMPUTED_VALUE"""),"-33.804434,-71.305494")</f>
        <v>-33.804434,-71.305494</v>
      </c>
      <c r="C3814" s="6" t="str">
        <f ca="1">IFERROR(__xludf.DUMMYFUNCTION("""COMPUTED_VALUE"""),"RUTA 660")</f>
        <v>RUTA 660</v>
      </c>
      <c r="D3814" s="6" t="str">
        <f ca="1">IFERROR(__xludf.DUMMYFUNCTION("""COMPUTED_VALUE"""),"MELIPILLA")</f>
        <v>MELIPILLA</v>
      </c>
    </row>
    <row r="3815" spans="1:4">
      <c r="A3815" s="7">
        <f ca="1">IFERROR(__xludf.DUMMYFUNCTION("""COMPUTED_VALUE"""),44347)</f>
        <v>44347</v>
      </c>
      <c r="B3815" s="8" t="str">
        <f ca="1">IFERROR(__xludf.DUMMYFUNCTION("""COMPUTED_VALUE"""),"-33.695995,-71.220459")</f>
        <v>-33.695995,-71.220459</v>
      </c>
      <c r="C3815" s="6" t="str">
        <f ca="1">IFERROR(__xludf.DUMMYFUNCTION("""COMPUTED_VALUE"""),"AVDA BENITEZ 928")</f>
        <v>AVDA BENITEZ 928</v>
      </c>
      <c r="D3815" s="6" t="str">
        <f ca="1">IFERROR(__xludf.DUMMYFUNCTION("""COMPUTED_VALUE"""),"MELIPILLA")</f>
        <v>MELIPILLA</v>
      </c>
    </row>
    <row r="3816" spans="1:4">
      <c r="A3816" s="7">
        <f ca="1">IFERROR(__xludf.DUMMYFUNCTION("""COMPUTED_VALUE"""),44348)</f>
        <v>44348</v>
      </c>
      <c r="B3816" s="8" t="str">
        <f ca="1">IFERROR(__xludf.DUMMYFUNCTION("""COMPUTED_VALUE"""),"-33.787407,-71.290972")</f>
        <v>-33.787407,-71.290972</v>
      </c>
      <c r="C3816" s="6" t="str">
        <f ca="1">IFERROR(__xludf.DUMMYFUNCTION("""COMPUTED_VALUE"""),"STA CECILIA PARCEL 4 ")</f>
        <v xml:space="preserve">STA CECILIA PARCEL 4 </v>
      </c>
      <c r="D3816" s="6" t="str">
        <f ca="1">IFERROR(__xludf.DUMMYFUNCTION("""COMPUTED_VALUE"""),"MELIPILLA")</f>
        <v>MELIPILLA</v>
      </c>
    </row>
    <row r="3817" spans="1:4">
      <c r="A3817" s="7">
        <f ca="1">IFERROR(__xludf.DUMMYFUNCTION("""COMPUTED_VALUE"""),44348)</f>
        <v>44348</v>
      </c>
      <c r="B3817" s="8" t="str">
        <f ca="1">IFERROR(__xludf.DUMMYFUNCTION("""COMPUTED_VALUE"""),"-33.781800,-71.295437")</f>
        <v>-33.781800,-71.295437</v>
      </c>
      <c r="C3817" s="6" t="str">
        <f ca="1">IFERROR(__xludf.DUMMYFUNCTION("""COMPUTED_VALUE"""),"STA CECILIA PARCELA 4")</f>
        <v>STA CECILIA PARCELA 4</v>
      </c>
      <c r="D3817" s="6" t="str">
        <f ca="1">IFERROR(__xludf.DUMMYFUNCTION("""COMPUTED_VALUE"""),"MELIPILLA")</f>
        <v>MELIPILLA</v>
      </c>
    </row>
    <row r="3818" spans="1:4">
      <c r="A3818" s="7">
        <f ca="1">IFERROR(__xludf.DUMMYFUNCTION("""COMPUTED_VALUE"""),44348)</f>
        <v>44348</v>
      </c>
      <c r="B3818" s="6" t="str">
        <f ca="1">IFERROR(__xludf.DUMMYFUNCTION("""COMPUTED_VALUE"""),"-33.282438-70.883735")</f>
        <v>-33.282438-70.883735</v>
      </c>
      <c r="C3818" s="6" t="str">
        <f ca="1">IFERROR(__xludf.DUMMYFUNCTION("""COMPUTED_VALUE"""),"VALLE DEL ENCANTO 687")</f>
        <v>VALLE DEL ENCANTO 687</v>
      </c>
      <c r="D3818" s="6" t="str">
        <f ca="1">IFERROR(__xludf.DUMMYFUNCTION("""COMPUTED_VALUE"""),"LAMPA")</f>
        <v>LAMPA</v>
      </c>
    </row>
    <row r="3819" spans="1:4">
      <c r="A3819" s="7">
        <f ca="1">IFERROR(__xludf.DUMMYFUNCTION("""COMPUTED_VALUE"""),44348)</f>
        <v>44348</v>
      </c>
      <c r="B3819" s="6" t="str">
        <f ca="1">IFERROR(__xludf.DUMMYFUNCTION("""COMPUTED_VALUE"""),"-33.22886-70.80561")</f>
        <v>-33.22886-70.80561</v>
      </c>
      <c r="C3819" s="6" t="str">
        <f ca="1">IFERROR(__xludf.DUMMYFUNCTION("""COMPUTED_VALUE"""),"JUAN MAISONAVE 910")</f>
        <v>JUAN MAISONAVE 910</v>
      </c>
      <c r="D3819" s="6" t="str">
        <f ca="1">IFERROR(__xludf.DUMMYFUNCTION("""COMPUTED_VALUE"""),"LAMPA")</f>
        <v>LAMPA</v>
      </c>
    </row>
    <row r="3820" spans="1:4">
      <c r="A3820" s="7">
        <f ca="1">IFERROR(__xludf.DUMMYFUNCTION("""COMPUTED_VALUE"""),44348)</f>
        <v>44348</v>
      </c>
      <c r="B3820" s="6" t="str">
        <f ca="1">IFERROR(__xludf.DUMMYFUNCTION("""COMPUTED_VALUE"""),"-33.22903-70.8054")</f>
        <v>-33.22903-70.8054</v>
      </c>
      <c r="C3820" s="6" t="str">
        <f ca="1">IFERROR(__xludf.DUMMYFUNCTION("""COMPUTED_VALUE"""),"JUAN MAISONAVE 923")</f>
        <v>JUAN MAISONAVE 923</v>
      </c>
      <c r="D3820" s="6" t="str">
        <f ca="1">IFERROR(__xludf.DUMMYFUNCTION("""COMPUTED_VALUE"""),"LAMPA")</f>
        <v>LAMPA</v>
      </c>
    </row>
    <row r="3821" spans="1:4">
      <c r="A3821" s="7">
        <f ca="1">IFERROR(__xludf.DUMMYFUNCTION("""COMPUTED_VALUE"""),44348)</f>
        <v>44348</v>
      </c>
      <c r="B3821" s="6" t="str">
        <f ca="1">IFERROR(__xludf.DUMMYFUNCTION("""COMPUTED_VALUE"""),"-33.29191-70.87159")</f>
        <v>-33.29191-70.87159</v>
      </c>
      <c r="C3821" s="6" t="str">
        <f ca="1">IFERROR(__xludf.DUMMYFUNCTION("""COMPUTED_VALUE"""),"LA FRONTERA 2090")</f>
        <v>LA FRONTERA 2090</v>
      </c>
      <c r="D3821" s="6" t="str">
        <f ca="1">IFERROR(__xludf.DUMMYFUNCTION("""COMPUTED_VALUE"""),"LAMPA")</f>
        <v>LAMPA</v>
      </c>
    </row>
    <row r="3822" spans="1:4">
      <c r="A3822" s="7">
        <f ca="1">IFERROR(__xludf.DUMMYFUNCTION("""COMPUTED_VALUE"""),44348)</f>
        <v>44348</v>
      </c>
      <c r="B3822" s="6" t="str">
        <f ca="1">IFERROR(__xludf.DUMMYFUNCTION("""COMPUTED_VALUE"""),"-33.607960,-71.219614")</f>
        <v>-33.607960,-71.219614</v>
      </c>
      <c r="C3822" s="6" t="str">
        <f ca="1">IFERROR(__xludf.DUMMYFUNCTION("""COMPUTED_VALUE"""),"LAS PERDICES  ST 9")</f>
        <v>LAS PERDICES  ST 9</v>
      </c>
      <c r="D3822" s="6" t="str">
        <f ca="1">IFERROR(__xludf.DUMMYFUNCTION("""COMPUTED_VALUE"""),"MELIPILLA")</f>
        <v>MELIPILLA</v>
      </c>
    </row>
    <row r="3823" spans="1:4">
      <c r="A3823" s="7">
        <f ca="1">IFERROR(__xludf.DUMMYFUNCTION("""COMPUTED_VALUE"""),44348)</f>
        <v>44348</v>
      </c>
      <c r="B3823" s="6" t="str">
        <f ca="1">IFERROR(__xludf.DUMMYFUNCTION("""COMPUTED_VALUE"""),"-33.608131,-71.104757")</f>
        <v>-33.608131,-71.104757</v>
      </c>
      <c r="C3823" s="6" t="str">
        <f ca="1">IFERROR(__xludf.DUMMYFUNCTION("""COMPUTED_VALUE"""),"HERMANOS CARRERA ST 1")</f>
        <v>HERMANOS CARRERA ST 1</v>
      </c>
      <c r="D3823" s="6" t="str">
        <f ca="1">IFERROR(__xludf.DUMMYFUNCTION("""COMPUTED_VALUE"""),"MELIPILLA")</f>
        <v>MELIPILLA</v>
      </c>
    </row>
    <row r="3824" spans="1:4">
      <c r="A3824" s="7">
        <f ca="1">IFERROR(__xludf.DUMMYFUNCTION("""COMPUTED_VALUE"""),44348)</f>
        <v>44348</v>
      </c>
      <c r="B3824" s="6" t="str">
        <f ca="1">IFERROR(__xludf.DUMMYFUNCTION("""COMPUTED_VALUE"""),"-33.575133,-71.013226")</f>
        <v>-33.575133,-71.013226</v>
      </c>
      <c r="C3824" s="6" t="str">
        <f ca="1">IFERROR(__xludf.DUMMYFUNCTION("""COMPUTED_VALUE"""),"EL PERAL S/N SANTA TERESA  MALLARAUCO")</f>
        <v>EL PERAL S/N SANTA TERESA  MALLARAUCO</v>
      </c>
      <c r="D3824" s="6" t="str">
        <f ca="1">IFERROR(__xludf.DUMMYFUNCTION("""COMPUTED_VALUE"""),"MELIPILLA")</f>
        <v>MELIPILLA</v>
      </c>
    </row>
    <row r="3825" spans="1:4">
      <c r="A3825" s="7">
        <f ca="1">IFERROR(__xludf.DUMMYFUNCTION("""COMPUTED_VALUE"""),44348)</f>
        <v>44348</v>
      </c>
      <c r="B3825" s="6" t="str">
        <f ca="1">IFERROR(__xludf.DUMMYFUNCTION("""COMPUTED_VALUE"""),"-33.371772,-70.832014")</f>
        <v>-33.371772,-70.832014</v>
      </c>
      <c r="C3825" s="6" t="str">
        <f ca="1">IFERROR(__xludf.DUMMYFUNCTION("""COMPUTED_VALUE"""),"LAS TURBINAS PARCELA 42 ")</f>
        <v xml:space="preserve">LAS TURBINAS PARCELA 42 </v>
      </c>
      <c r="D3825" s="6" t="str">
        <f ca="1">IFERROR(__xludf.DUMMYFUNCTION("""COMPUTED_VALUE"""),"LAMPA")</f>
        <v>LAMPA</v>
      </c>
    </row>
    <row r="3826" spans="1:4">
      <c r="A3826" s="7">
        <f ca="1">IFERROR(__xludf.DUMMYFUNCTION("""COMPUTED_VALUE"""),44348)</f>
        <v>44348</v>
      </c>
      <c r="B3826" s="8" t="str">
        <f ca="1">IFERROR(__xludf.DUMMYFUNCTION("""COMPUTED_VALUE"""),"-33.792995,-71.251550")</f>
        <v>-33.792995,-71.251550</v>
      </c>
      <c r="C3826" s="6" t="str">
        <f ca="1">IFERROR(__xludf.DUMMYFUNCTION("""COMPUTED_VALUE"""),"CULIPRAN ")</f>
        <v xml:space="preserve">CULIPRAN </v>
      </c>
      <c r="D3826" s="6" t="str">
        <f ca="1">IFERROR(__xludf.DUMMYFUNCTION("""COMPUTED_VALUE"""),"MELIPILLA")</f>
        <v>MELIPILLA</v>
      </c>
    </row>
    <row r="3827" spans="1:4">
      <c r="A3827" s="7">
        <f ca="1">IFERROR(__xludf.DUMMYFUNCTION("""COMPUTED_VALUE"""),44349)</f>
        <v>44349</v>
      </c>
      <c r="B3827" s="8" t="str">
        <f ca="1">IFERROR(__xludf.DUMMYFUNCTION("""COMPUTED_VALUE"""),"-33.692600,-71.225381")</f>
        <v>-33.692600,-71.225381</v>
      </c>
      <c r="C3827" s="6" t="str">
        <f ca="1">IFERROR(__xludf.DUMMYFUNCTION("""COMPUTED_VALUE"""),"HERNAN ARIZTIA 1070")</f>
        <v>HERNAN ARIZTIA 1070</v>
      </c>
      <c r="D3827" s="6" t="str">
        <f ca="1">IFERROR(__xludf.DUMMYFUNCTION("""COMPUTED_VALUE"""),"MELIPILLA")</f>
        <v>MELIPILLA</v>
      </c>
    </row>
    <row r="3828" spans="1:4">
      <c r="A3828" s="7">
        <f ca="1">IFERROR(__xludf.DUMMYFUNCTION("""COMPUTED_VALUE"""),44349)</f>
        <v>44349</v>
      </c>
      <c r="B3828" s="8" t="str">
        <f ca="1">IFERROR(__xludf.DUMMYFUNCTION("""COMPUTED_VALUE"""),"-33.759468,-71.738749")</f>
        <v>-33.759468,-71.738749</v>
      </c>
      <c r="C3828" s="6" t="str">
        <f ca="1">IFERROR(__xludf.DUMMYFUNCTION("""COMPUTED_VALUE"""),"EL ALBA 2744")</f>
        <v>EL ALBA 2744</v>
      </c>
      <c r="D3828" s="6" t="str">
        <f ca="1">IFERROR(__xludf.DUMMYFUNCTION("""COMPUTED_VALUE"""),"BUIN")</f>
        <v>BUIN</v>
      </c>
    </row>
    <row r="3829" spans="1:4">
      <c r="A3829" s="7">
        <f ca="1">IFERROR(__xludf.DUMMYFUNCTION("""COMPUTED_VALUE"""),44349)</f>
        <v>44349</v>
      </c>
      <c r="B3829" s="6" t="str">
        <f ca="1">IFERROR(__xludf.DUMMYFUNCTION("""COMPUTED_VALUE"""),"-33.433218-71.031396")</f>
        <v>-33.433218-71.031396</v>
      </c>
      <c r="C3829" s="6" t="str">
        <f ca="1">IFERROR(__xludf.DUMMYFUNCTION("""COMPUTED_VALUE"""),"SAN PASTOR S-17")</f>
        <v>SAN PASTOR S-17</v>
      </c>
      <c r="D3829" s="6" t="str">
        <f ca="1">IFERROR(__xludf.DUMMYFUNCTION("""COMPUTED_VALUE"""),"CURACAVI")</f>
        <v>CURACAVI</v>
      </c>
    </row>
    <row r="3830" spans="1:4">
      <c r="A3830" s="7">
        <f ca="1">IFERROR(__xludf.DUMMYFUNCTION("""COMPUTED_VALUE"""),44349)</f>
        <v>44349</v>
      </c>
      <c r="B3830" s="6" t="str">
        <f ca="1">IFERROR(__xludf.DUMMYFUNCTION("""COMPUTED_VALUE"""),"-33.683978-70.95902")</f>
        <v>-33.683978-70.95902</v>
      </c>
      <c r="C3830" s="6" t="str">
        <f ca="1">IFERROR(__xludf.DUMMYFUNCTION("""COMPUTED_VALUE"""),"LA PALMA 5")</f>
        <v>LA PALMA 5</v>
      </c>
      <c r="D3830" s="6" t="str">
        <f ca="1">IFERROR(__xludf.DUMMYFUNCTION("""COMPUTED_VALUE"""),"TALAGANTE")</f>
        <v>TALAGANTE</v>
      </c>
    </row>
    <row r="3831" spans="1:4">
      <c r="A3831" s="7">
        <f ca="1">IFERROR(__xludf.DUMMYFUNCTION("""COMPUTED_VALUE"""),44349)</f>
        <v>44349</v>
      </c>
      <c r="B3831" s="6" t="str">
        <f ca="1">IFERROR(__xludf.DUMMYFUNCTION("""COMPUTED_VALUE"""),"-33.690589-70.026470")</f>
        <v>-33.690589-70.026470</v>
      </c>
      <c r="C3831" s="6" t="str">
        <f ca="1">IFERROR(__xludf.DUMMYFUNCTION("""COMPUTED_VALUE"""),"AV. SAN ANTONIO 0113")</f>
        <v>AV. SAN ANTONIO 0113</v>
      </c>
      <c r="D3831" s="6" t="str">
        <f ca="1">IFERROR(__xludf.DUMMYFUNCTION("""COMPUTED_VALUE"""),"EL MONTE")</f>
        <v>EL MONTE</v>
      </c>
    </row>
    <row r="3832" spans="1:4">
      <c r="A3832" s="7">
        <f ca="1">IFERROR(__xludf.DUMMYFUNCTION("""COMPUTED_VALUE"""),44349)</f>
        <v>44349</v>
      </c>
      <c r="B3832" s="6" t="str">
        <f ca="1">IFERROR(__xludf.DUMMYFUNCTION("""COMPUTED_VALUE"""),"-33.407491-71.140633")</f>
        <v>-33.407491-71.140633</v>
      </c>
      <c r="C3832" s="6" t="str">
        <f ca="1">IFERROR(__xludf.DUMMYFUNCTION("""COMPUTED_VALUE"""),"AMBROSIO OHIGGINS 941")</f>
        <v>AMBROSIO OHIGGINS 941</v>
      </c>
      <c r="D3832" s="6" t="str">
        <f ca="1">IFERROR(__xludf.DUMMYFUNCTION("""COMPUTED_VALUE"""),"CURACAVI")</f>
        <v>CURACAVI</v>
      </c>
    </row>
    <row r="3833" spans="1:4">
      <c r="A3833" s="7">
        <f ca="1">IFERROR(__xludf.DUMMYFUNCTION("""COMPUTED_VALUE"""),44349)</f>
        <v>44349</v>
      </c>
      <c r="B3833" s="6" t="str">
        <f ca="1">IFERROR(__xludf.DUMMYFUNCTION("""COMPUTED_VALUE"""),"-33.4071031-71.1323952")</f>
        <v>-33.4071031-71.1323952</v>
      </c>
      <c r="C3833" s="6" t="str">
        <f ca="1">IFERROR(__xludf.DUMMYFUNCTION("""COMPUTED_VALUE"""),"PJE DOS 1642")</f>
        <v>PJE DOS 1642</v>
      </c>
      <c r="D3833" s="6" t="str">
        <f ca="1">IFERROR(__xludf.DUMMYFUNCTION("""COMPUTED_VALUE"""),"CURACAVI")</f>
        <v>CURACAVI</v>
      </c>
    </row>
    <row r="3834" spans="1:4">
      <c r="A3834" s="7">
        <f ca="1">IFERROR(__xludf.DUMMYFUNCTION("""COMPUTED_VALUE"""),44349)</f>
        <v>44349</v>
      </c>
      <c r="B3834" s="6" t="str">
        <f ca="1">IFERROR(__xludf.DUMMYFUNCTION("""COMPUTED_VALUE"""),"-33.391479-71.126523")</f>
        <v>-33.391479-71.126523</v>
      </c>
      <c r="C3834" s="6" t="str">
        <f ca="1">IFERROR(__xludf.DUMMYFUNCTION("""COMPUTED_VALUE"""),"PJE FRAI ESPINOZA 1981")</f>
        <v>PJE FRAI ESPINOZA 1981</v>
      </c>
      <c r="D3834" s="6" t="str">
        <f ca="1">IFERROR(__xludf.DUMMYFUNCTION("""COMPUTED_VALUE"""),"CURACAVI")</f>
        <v>CURACAVI</v>
      </c>
    </row>
    <row r="3835" spans="1:4">
      <c r="A3835" s="7">
        <f ca="1">IFERROR(__xludf.DUMMYFUNCTION("""COMPUTED_VALUE"""),44349)</f>
        <v>44349</v>
      </c>
      <c r="B3835" s="6" t="str">
        <f ca="1">IFERROR(__xludf.DUMMYFUNCTION("""COMPUTED_VALUE"""),"-33.395378-71.130128")</f>
        <v>-33.395378-71.130128</v>
      </c>
      <c r="C3835" s="6" t="str">
        <f ca="1">IFERROR(__xludf.DUMMYFUNCTION("""COMPUTED_VALUE"""),"BOMBERO GASTON ITURRI 1771")</f>
        <v>BOMBERO GASTON ITURRI 1771</v>
      </c>
      <c r="D3835" s="6" t="str">
        <f ca="1">IFERROR(__xludf.DUMMYFUNCTION("""COMPUTED_VALUE"""),"CURACAVI")</f>
        <v>CURACAVI</v>
      </c>
    </row>
    <row r="3836" spans="1:4">
      <c r="A3836" s="7">
        <f ca="1">IFERROR(__xludf.DUMMYFUNCTION("""COMPUTED_VALUE"""),44349)</f>
        <v>44349</v>
      </c>
      <c r="B3836" s="6" t="str">
        <f ca="1">IFERROR(__xludf.DUMMYFUNCTION("""COMPUTED_VALUE"""),"-33.392480-71.123566")</f>
        <v>-33.392480-71.123566</v>
      </c>
      <c r="C3836" s="6" t="str">
        <f ca="1">IFERROR(__xludf.DUMMYFUNCTION("""COMPUTED_VALUE"""),"MANUEL SALAS 2123")</f>
        <v>MANUEL SALAS 2123</v>
      </c>
      <c r="D3836" s="6" t="str">
        <f ca="1">IFERROR(__xludf.DUMMYFUNCTION("""COMPUTED_VALUE"""),"CURACAVI")</f>
        <v>CURACAVI</v>
      </c>
    </row>
    <row r="3837" spans="1:4">
      <c r="A3837" s="7">
        <f ca="1">IFERROR(__xludf.DUMMYFUNCTION("""COMPUTED_VALUE"""),44349)</f>
        <v>44349</v>
      </c>
      <c r="B3837" s="6" t="str">
        <f ca="1">IFERROR(__xludf.DUMMYFUNCTION("""COMPUTED_VALUE"""),"-33.49136-71.07854")</f>
        <v>-33.49136-71.07854</v>
      </c>
      <c r="C3837" s="6" t="str">
        <f ca="1">IFERROR(__xludf.DUMMYFUNCTION("""COMPUTED_VALUE"""),"LO OVALLE S/N")</f>
        <v>LO OVALLE S/N</v>
      </c>
      <c r="D3837" s="6" t="str">
        <f ca="1">IFERROR(__xludf.DUMMYFUNCTION("""COMPUTED_VALUE"""),"MARIA PINTO")</f>
        <v>MARIA PINTO</v>
      </c>
    </row>
    <row r="3838" spans="1:4">
      <c r="A3838" s="7">
        <f ca="1">IFERROR(__xludf.DUMMYFUNCTION("""COMPUTED_VALUE"""),44349)</f>
        <v>44349</v>
      </c>
      <c r="B3838" s="6" t="str">
        <f ca="1">IFERROR(__xludf.DUMMYFUNCTION("""COMPUTED_VALUE"""),"-33.40718-71.1276")</f>
        <v>-33.40718-71.1276</v>
      </c>
      <c r="C3838" s="6" t="str">
        <f ca="1">IFERROR(__xludf.DUMMYFUNCTION("""COMPUTED_VALUE"""),"COIGUE 181")</f>
        <v>COIGUE 181</v>
      </c>
      <c r="D3838" s="6" t="str">
        <f ca="1">IFERROR(__xludf.DUMMYFUNCTION("""COMPUTED_VALUE"""),"CURACAVI")</f>
        <v>CURACAVI</v>
      </c>
    </row>
    <row r="3839" spans="1:4">
      <c r="A3839" s="7">
        <f ca="1">IFERROR(__xludf.DUMMYFUNCTION("""COMPUTED_VALUE"""),44349)</f>
        <v>44349</v>
      </c>
      <c r="B3839" s="6" t="str">
        <f ca="1">IFERROR(__xludf.DUMMYFUNCTION("""COMPUTED_VALUE"""),"-33.50991-71.07506")</f>
        <v>-33.50991-71.07506</v>
      </c>
      <c r="C3839" s="6" t="str">
        <f ca="1">IFERROR(__xludf.DUMMYFUNCTION("""COMPUTED_VALUE"""),"EL PARRON P3")</f>
        <v>EL PARRON P3</v>
      </c>
      <c r="D3839" s="6" t="str">
        <f ca="1">IFERROR(__xludf.DUMMYFUNCTION("""COMPUTED_VALUE"""),"MARIA PINTO")</f>
        <v>MARIA PINTO</v>
      </c>
    </row>
    <row r="3840" spans="1:4">
      <c r="A3840" s="7">
        <f ca="1">IFERROR(__xludf.DUMMYFUNCTION("""COMPUTED_VALUE"""),44349)</f>
        <v>44349</v>
      </c>
      <c r="B3840" s="6" t="str">
        <f ca="1">IFERROR(__xludf.DUMMYFUNCTION("""COMPUTED_VALUE"""),"-33.410509-71.144619")</f>
        <v>-33.410509-71.144619</v>
      </c>
      <c r="C3840" s="6" t="str">
        <f ca="1">IFERROR(__xludf.DUMMYFUNCTION("""COMPUTED_VALUE"""),"LOS AROMOS 250")</f>
        <v>LOS AROMOS 250</v>
      </c>
      <c r="D3840" s="6" t="str">
        <f ca="1">IFERROR(__xludf.DUMMYFUNCTION("""COMPUTED_VALUE"""),"CURACAVI")</f>
        <v>CURACAVI</v>
      </c>
    </row>
    <row r="3841" spans="1:4">
      <c r="A3841" s="7">
        <f ca="1">IFERROR(__xludf.DUMMYFUNCTION("""COMPUTED_VALUE"""),44349)</f>
        <v>44349</v>
      </c>
      <c r="B3841" s="6" t="str">
        <f ca="1">IFERROR(__xludf.DUMMYFUNCTION("""COMPUTED_VALUE"""),"-33.792579,-71.251621")</f>
        <v>-33.792579,-71.251621</v>
      </c>
      <c r="C3841" s="6" t="str">
        <f ca="1">IFERROR(__xludf.DUMMYFUNCTION("""COMPUTED_VALUE"""),"EL MOLINO S/N QUILAPILUN")</f>
        <v>EL MOLINO S/N QUILAPILUN</v>
      </c>
      <c r="D3841" s="6" t="str">
        <f ca="1">IFERROR(__xludf.DUMMYFUNCTION("""COMPUTED_VALUE"""),"MELIPILLA")</f>
        <v>MELIPILLA</v>
      </c>
    </row>
    <row r="3842" spans="1:4">
      <c r="A3842" s="7">
        <f ca="1">IFERROR(__xludf.DUMMYFUNCTION("""COMPUTED_VALUE"""),44349)</f>
        <v>44349</v>
      </c>
      <c r="B3842" s="6" t="str">
        <f ca="1">IFERROR(__xludf.DUMMYFUNCTION("""COMPUTED_VALUE"""),"-33.606576,-71.220091")</f>
        <v>-33.606576,-71.220091</v>
      </c>
      <c r="C3842" s="6" t="str">
        <f ca="1">IFERROR(__xludf.DUMMYFUNCTION("""COMPUTED_VALUE"""),"LAS PERDICES S/N")</f>
        <v>LAS PERDICES S/N</v>
      </c>
      <c r="D3842" s="6" t="str">
        <f ca="1">IFERROR(__xludf.DUMMYFUNCTION("""COMPUTED_VALUE"""),"MELIPILLA")</f>
        <v>MELIPILLA</v>
      </c>
    </row>
    <row r="3843" spans="1:4">
      <c r="A3843" s="7">
        <f ca="1">IFERROR(__xludf.DUMMYFUNCTION("""COMPUTED_VALUE"""),44349)</f>
        <v>44349</v>
      </c>
      <c r="B3843" s="6" t="str">
        <f ca="1">IFERROR(__xludf.DUMMYFUNCTION("""COMPUTED_VALUE"""),"-33.617825,-71.223385")</f>
        <v>-33.617825,-71.223385</v>
      </c>
      <c r="C3843" s="6" t="str">
        <f ca="1">IFERROR(__xludf.DUMMYFUNCTION("""COMPUTED_VALUE"""),"SAN JOSE S/N CV86 SAN JOSE")</f>
        <v>SAN JOSE S/N CV86 SAN JOSE</v>
      </c>
      <c r="D3843" s="6" t="str">
        <f ca="1">IFERROR(__xludf.DUMMYFUNCTION("""COMPUTED_VALUE"""),"MELIPILLA")</f>
        <v>MELIPILLA</v>
      </c>
    </row>
    <row r="3844" spans="1:4">
      <c r="A3844" s="7">
        <f ca="1">IFERROR(__xludf.DUMMYFUNCTION("""COMPUTED_VALUE"""),44349)</f>
        <v>44349</v>
      </c>
      <c r="B3844" s="8" t="str">
        <f ca="1">IFERROR(__xludf.DUMMYFUNCTION("""COMPUTED_VALUE"""),"30.249085,-70.726139")</f>
        <v>30.249085,-70.726139</v>
      </c>
      <c r="C3844" s="6" t="str">
        <f ca="1">IFERROR(__xludf.DUMMYFUNCTION("""COMPUTED_VALUE"""),"CONDOMINIO LIRAY 19A")</f>
        <v>CONDOMINIO LIRAY 19A</v>
      </c>
      <c r="D3844" s="6" t="str">
        <f ca="1">IFERROR(__xludf.DUMMYFUNCTION("""COMPUTED_VALUE"""),"COLINA")</f>
        <v>COLINA</v>
      </c>
    </row>
    <row r="3845" spans="1:4">
      <c r="A3845" s="7">
        <f ca="1">IFERROR(__xludf.DUMMYFUNCTION("""COMPUTED_VALUE"""),44350)</f>
        <v>44350</v>
      </c>
      <c r="B3845" s="8" t="str">
        <f ca="1">IFERROR(__xludf.DUMMYFUNCTION("""COMPUTED_VALUE"""),"-33.693885,-71.224795")</f>
        <v>-33.693885,-71.224795</v>
      </c>
      <c r="C3845" s="6" t="str">
        <f ca="1">IFERROR(__xludf.DUMMYFUNCTION("""COMPUTED_VALUE"""),"MAIPO 1205")</f>
        <v>MAIPO 1205</v>
      </c>
      <c r="D3845" s="6" t="str">
        <f ca="1">IFERROR(__xludf.DUMMYFUNCTION("""COMPUTED_VALUE"""),"MELIPILLA")</f>
        <v>MELIPILLA</v>
      </c>
    </row>
    <row r="3846" spans="1:4">
      <c r="A3846" s="7">
        <f ca="1">IFERROR(__xludf.DUMMYFUNCTION("""COMPUTED_VALUE"""),44350)</f>
        <v>44350</v>
      </c>
      <c r="B3846" s="8" t="str">
        <f ca="1">IFERROR(__xludf.DUMMYFUNCTION("""COMPUTED_VALUE"""),"-33.683809,-71.224073")</f>
        <v>-33.683809,-71.224073</v>
      </c>
      <c r="C3846" s="6" t="str">
        <f ca="1">IFERROR(__xludf.DUMMYFUNCTION("""COMPUTED_VALUE"""),"LAS TORRES 320 ")</f>
        <v xml:space="preserve">LAS TORRES 320 </v>
      </c>
      <c r="D3846" s="6" t="str">
        <f ca="1">IFERROR(__xludf.DUMMYFUNCTION("""COMPUTED_VALUE"""),"MELIPILLA")</f>
        <v>MELIPILLA</v>
      </c>
    </row>
    <row r="3847" spans="1:4">
      <c r="A3847" s="7">
        <f ca="1">IFERROR(__xludf.DUMMYFUNCTION("""COMPUTED_VALUE"""),44350)</f>
        <v>44350</v>
      </c>
      <c r="B3847" s="8" t="str">
        <f ca="1">IFERROR(__xludf.DUMMYFUNCTION("""COMPUTED_VALUE"""),"-33.759626,-71.326035")</f>
        <v>-33.759626,-71.326035</v>
      </c>
      <c r="C3847" s="6" t="str">
        <f ca="1">IFERROR(__xludf.DUMMYFUNCTION("""COMPUTED_VALUE"""),"LOS AROMOS S/N")</f>
        <v>LOS AROMOS S/N</v>
      </c>
      <c r="D3847" s="6" t="str">
        <f ca="1">IFERROR(__xludf.DUMMYFUNCTION("""COMPUTED_VALUE"""),"MELIPILLA")</f>
        <v>MELIPILLA</v>
      </c>
    </row>
    <row r="3848" spans="1:4">
      <c r="A3848" s="7">
        <f ca="1">IFERROR(__xludf.DUMMYFUNCTION("""COMPUTED_VALUE"""),44350)</f>
        <v>44350</v>
      </c>
      <c r="B3848" s="8" t="str">
        <f ca="1">IFERROR(__xludf.DUMMYFUNCTION("""COMPUTED_VALUE"""),"-33.759626,-71.326035")</f>
        <v>-33.759626,-71.326035</v>
      </c>
      <c r="C3848" s="6" t="str">
        <f ca="1">IFERROR(__xludf.DUMMYFUNCTION("""COMPUTED_VALUE"""),"LOS AROMOS S/N")</f>
        <v>LOS AROMOS S/N</v>
      </c>
      <c r="D3848" s="6" t="str">
        <f ca="1">IFERROR(__xludf.DUMMYFUNCTION("""COMPUTED_VALUE"""),"MELIPILLA")</f>
        <v>MELIPILLA</v>
      </c>
    </row>
    <row r="3849" spans="1:4">
      <c r="A3849" s="7">
        <f ca="1">IFERROR(__xludf.DUMMYFUNCTION("""COMPUTED_VALUE"""),44350)</f>
        <v>44350</v>
      </c>
      <c r="B3849" s="6" t="str">
        <f ca="1">IFERROR(__xludf.DUMMYFUNCTION("""COMPUTED_VALUE"""),"-33.409717-71.126942")</f>
        <v>-33.409717-71.126942</v>
      </c>
      <c r="C3849" s="6" t="str">
        <f ca="1">IFERROR(__xludf.DUMMYFUNCTION("""COMPUTED_VALUE"""),"LAS ROSAS SITIO1")</f>
        <v>LAS ROSAS SITIO1</v>
      </c>
      <c r="D3849" s="6" t="str">
        <f ca="1">IFERROR(__xludf.DUMMYFUNCTION("""COMPUTED_VALUE"""),"CURACAVI")</f>
        <v>CURACAVI</v>
      </c>
    </row>
    <row r="3850" spans="1:4">
      <c r="A3850" s="7">
        <f ca="1">IFERROR(__xludf.DUMMYFUNCTION("""COMPUTED_VALUE"""),44350)</f>
        <v>44350</v>
      </c>
      <c r="B3850" s="6" t="str">
        <f ca="1">IFERROR(__xludf.DUMMYFUNCTION("""COMPUTED_VALUE"""),"-33.365224-71.156134")</f>
        <v>-33.365224-71.156134</v>
      </c>
      <c r="C3850" s="6" t="str">
        <f ca="1">IFERROR(__xludf.DUMMYFUNCTION("""COMPUTED_VALUE"""),"CAMINO EL TORO PARCELA 6")</f>
        <v>CAMINO EL TORO PARCELA 6</v>
      </c>
      <c r="D3850" s="6" t="str">
        <f ca="1">IFERROR(__xludf.DUMMYFUNCTION("""COMPUTED_VALUE"""),"CURACAVI")</f>
        <v>CURACAVI</v>
      </c>
    </row>
    <row r="3851" spans="1:4">
      <c r="A3851" s="7">
        <f ca="1">IFERROR(__xludf.DUMMYFUNCTION("""COMPUTED_VALUE"""),44350)</f>
        <v>44350</v>
      </c>
      <c r="B3851" s="6" t="str">
        <f ca="1">IFERROR(__xludf.DUMMYFUNCTION("""COMPUTED_VALUE"""),"-33.407055-71.147650")</f>
        <v>-33.407055-71.147650</v>
      </c>
      <c r="C3851" s="6" t="str">
        <f ca="1">IFERROR(__xludf.DUMMYFUNCTION("""COMPUTED_VALUE"""),"LAS VERTIENTES 168")</f>
        <v>LAS VERTIENTES 168</v>
      </c>
      <c r="D3851" s="6" t="str">
        <f ca="1">IFERROR(__xludf.DUMMYFUNCTION("""COMPUTED_VALUE"""),"CURACAVI")</f>
        <v>CURACAVI</v>
      </c>
    </row>
    <row r="3852" spans="1:4">
      <c r="A3852" s="7">
        <f ca="1">IFERROR(__xludf.DUMMYFUNCTION("""COMPUTED_VALUE"""),44350)</f>
        <v>44350</v>
      </c>
      <c r="B3852" s="6" t="str">
        <f ca="1">IFERROR(__xludf.DUMMYFUNCTION("""COMPUTED_VALUE"""),"-33.350254-71.145914")</f>
        <v>-33.350254-71.145914</v>
      </c>
      <c r="C3852" s="6" t="str">
        <f ca="1">IFERROR(__xludf.DUMMYFUNCTION("""COMPUTED_VALUE"""),"EL NARANJO LOTE 71")</f>
        <v>EL NARANJO LOTE 71</v>
      </c>
      <c r="D3852" s="6" t="str">
        <f ca="1">IFERROR(__xludf.DUMMYFUNCTION("""COMPUTED_VALUE"""),"CURACAVI")</f>
        <v>CURACAVI</v>
      </c>
    </row>
    <row r="3853" spans="1:4">
      <c r="A3853" s="7">
        <f ca="1">IFERROR(__xludf.DUMMYFUNCTION("""COMPUTED_VALUE"""),44350)</f>
        <v>44350</v>
      </c>
      <c r="B3853" s="6" t="str">
        <f ca="1">IFERROR(__xludf.DUMMYFUNCTION("""COMPUTED_VALUE"""),"-33.401311-71.218381")</f>
        <v>-33.401311-71.218381</v>
      </c>
      <c r="C3853" s="6" t="str">
        <f ca="1">IFERROR(__xludf.DUMMYFUNCTION("""COMPUTED_VALUE"""),"LOTE 10 RUTA 68 KM 50,5")</f>
        <v>LOTE 10 RUTA 68 KM 50,5</v>
      </c>
      <c r="D3853" s="6" t="str">
        <f ca="1">IFERROR(__xludf.DUMMYFUNCTION("""COMPUTED_VALUE"""),"CURACAVI")</f>
        <v>CURACAVI</v>
      </c>
    </row>
    <row r="3854" spans="1:4">
      <c r="A3854" s="7">
        <f ca="1">IFERROR(__xludf.DUMMYFUNCTION("""COMPUTED_VALUE"""),44350)</f>
        <v>44350</v>
      </c>
      <c r="B3854" s="6" t="str">
        <f ca="1">IFERROR(__xludf.DUMMYFUNCTION("""COMPUTED_VALUE"""),"-33.408483-70.662828")</f>
        <v>-33.408483-70.662828</v>
      </c>
      <c r="C3854" s="6" t="str">
        <f ca="1">IFERROR(__xludf.DUMMYFUNCTION("""COMPUTED_VALUE"""),"LOS LINGUES SITIO 11 A")</f>
        <v>LOS LINGUES SITIO 11 A</v>
      </c>
      <c r="D3854" s="6" t="str">
        <f ca="1">IFERROR(__xludf.DUMMYFUNCTION("""COMPUTED_VALUE"""),"CURACAVI")</f>
        <v>CURACAVI</v>
      </c>
    </row>
    <row r="3855" spans="1:4">
      <c r="A3855" s="7">
        <f ca="1">IFERROR(__xludf.DUMMYFUNCTION("""COMPUTED_VALUE"""),44350)</f>
        <v>44350</v>
      </c>
      <c r="B3855" s="6" t="str">
        <f ca="1">IFERROR(__xludf.DUMMYFUNCTION("""COMPUTED_VALUE"""),"-33.480804-71.060669")</f>
        <v>-33.480804-71.060669</v>
      </c>
      <c r="C3855" s="6" t="str">
        <f ca="1">IFERROR(__xludf.DUMMYFUNCTION("""COMPUTED_VALUE"""),"LA GLORIA S/N PARCELA 9")</f>
        <v>LA GLORIA S/N PARCELA 9</v>
      </c>
      <c r="D3855" s="6" t="str">
        <f ca="1">IFERROR(__xludf.DUMMYFUNCTION("""COMPUTED_VALUE"""),"CURACAVI")</f>
        <v>CURACAVI</v>
      </c>
    </row>
    <row r="3856" spans="1:4">
      <c r="A3856" s="7">
        <f ca="1">IFERROR(__xludf.DUMMYFUNCTION("""COMPUTED_VALUE"""),44350)</f>
        <v>44350</v>
      </c>
      <c r="B3856" s="6" t="str">
        <f ca="1">IFERROR(__xludf.DUMMYFUNCTION("""COMPUTED_VALUE"""),"-33.677799-70.996164")</f>
        <v>-33.677799-70.996164</v>
      </c>
      <c r="C3856" s="6" t="str">
        <f ca="1">IFERROR(__xludf.DUMMYFUNCTION("""COMPUTED_VALUE"""),"LOS LIRIOS 760")</f>
        <v>LOS LIRIOS 760</v>
      </c>
      <c r="D3856" s="6" t="str">
        <f ca="1">IFERROR(__xludf.DUMMYFUNCTION("""COMPUTED_VALUE"""),"EL MONTE")</f>
        <v>EL MONTE</v>
      </c>
    </row>
    <row r="3857" spans="1:4">
      <c r="A3857" s="7">
        <f ca="1">IFERROR(__xludf.DUMMYFUNCTION("""COMPUTED_VALUE"""),44350)</f>
        <v>44350</v>
      </c>
      <c r="B3857" s="6" t="str">
        <f ca="1">IFERROR(__xludf.DUMMYFUNCTION("""COMPUTED_VALUE"""),"-33.677799-70.996164")</f>
        <v>-33.677799-70.996164</v>
      </c>
      <c r="C3857" s="6" t="str">
        <f ca="1">IFERROR(__xludf.DUMMYFUNCTION("""COMPUTED_VALUE"""),"LOS LIRIOS 760")</f>
        <v>LOS LIRIOS 760</v>
      </c>
      <c r="D3857" s="6" t="str">
        <f ca="1">IFERROR(__xludf.DUMMYFUNCTION("""COMPUTED_VALUE"""),"EL MONTE")</f>
        <v>EL MONTE</v>
      </c>
    </row>
    <row r="3858" spans="1:4">
      <c r="A3858" s="7">
        <f ca="1">IFERROR(__xludf.DUMMYFUNCTION("""COMPUTED_VALUE"""),44350)</f>
        <v>44350</v>
      </c>
      <c r="B3858" s="6" t="str">
        <f ca="1">IFERROR(__xludf.DUMMYFUNCTION("""COMPUTED_VALUE"""),"-33.40359-71.12626")</f>
        <v>-33.40359-71.12626</v>
      </c>
      <c r="C3858" s="6" t="str">
        <f ca="1">IFERROR(__xludf.DUMMYFUNCTION("""COMPUTED_VALUE"""),"CURACA PONIENTE 118")</f>
        <v>CURACA PONIENTE 118</v>
      </c>
      <c r="D3858" s="6" t="str">
        <f ca="1">IFERROR(__xludf.DUMMYFUNCTION("""COMPUTED_VALUE"""),"CURACAVI")</f>
        <v>CURACAVI</v>
      </c>
    </row>
    <row r="3859" spans="1:4">
      <c r="A3859" s="7">
        <f ca="1">IFERROR(__xludf.DUMMYFUNCTION("""COMPUTED_VALUE"""),44350)</f>
        <v>44350</v>
      </c>
      <c r="B3859" s="6" t="str">
        <f ca="1">IFERROR(__xludf.DUMMYFUNCTION("""COMPUTED_VALUE"""),"-33.40325-71.12688")</f>
        <v>-33.40325-71.12688</v>
      </c>
      <c r="C3859" s="6" t="str">
        <f ca="1">IFERROR(__xludf.DUMMYFUNCTION("""COMPUTED_VALUE"""),"MANUEL FIGUEROA PONCE 2063")</f>
        <v>MANUEL FIGUEROA PONCE 2063</v>
      </c>
      <c r="D3859" s="6" t="str">
        <f ca="1">IFERROR(__xludf.DUMMYFUNCTION("""COMPUTED_VALUE"""),"CURACAVI")</f>
        <v>CURACAVI</v>
      </c>
    </row>
    <row r="3860" spans="1:4">
      <c r="A3860" s="7">
        <f ca="1">IFERROR(__xludf.DUMMYFUNCTION("""COMPUTED_VALUE"""),44350)</f>
        <v>44350</v>
      </c>
      <c r="B3860" s="6" t="str">
        <f ca="1">IFERROR(__xludf.DUMMYFUNCTION("""COMPUTED_VALUE"""),"-33.685246,-71.196361")</f>
        <v>-33.685246,-71.196361</v>
      </c>
      <c r="C3860" s="6" t="str">
        <f ca="1">IFERROR(__xludf.DUMMYFUNCTION("""COMPUTED_VALUE"""),"PASAJE TRES CERRO POCA PENA 517")</f>
        <v>PASAJE TRES CERRO POCA PENA 517</v>
      </c>
      <c r="D3860" s="6" t="str">
        <f ca="1">IFERROR(__xludf.DUMMYFUNCTION("""COMPUTED_VALUE"""),"MELIPILLA")</f>
        <v>MELIPILLA</v>
      </c>
    </row>
    <row r="3861" spans="1:4">
      <c r="A3861" s="7">
        <f ca="1">IFERROR(__xludf.DUMMYFUNCTION("""COMPUTED_VALUE"""),44350)</f>
        <v>44350</v>
      </c>
      <c r="B3861" s="6" t="str">
        <f ca="1">IFERROR(__xludf.DUMMYFUNCTION("""COMPUTED_VALUE"""),"-33.292889.-70.870994")</f>
        <v>-33.292889.-70.870994</v>
      </c>
      <c r="C3861" s="6" t="str">
        <f ca="1">IFERROR(__xludf.DUMMYFUNCTION("""COMPUTED_VALUE"""),"PASAJE LA CUERDA 1753")</f>
        <v>PASAJE LA CUERDA 1753</v>
      </c>
      <c r="D3861" s="6" t="str">
        <f ca="1">IFERROR(__xludf.DUMMYFUNCTION("""COMPUTED_VALUE"""),"LAMPA")</f>
        <v>LAMPA</v>
      </c>
    </row>
    <row r="3862" spans="1:4">
      <c r="A3862" s="7">
        <f ca="1">IFERROR(__xludf.DUMMYFUNCTION("""COMPUTED_VALUE"""),44350)</f>
        <v>44350</v>
      </c>
      <c r="B3862" s="6" t="str">
        <f ca="1">IFERROR(__xludf.DUMMYFUNCTION("""COMPUTED_VALUE"""),"-33.687055,-71.193209")</f>
        <v>-33.687055,-71.193209</v>
      </c>
      <c r="C3862" s="6" t="str">
        <f ca="1">IFERROR(__xludf.DUMMYFUNCTION("""COMPUTED_VALUE"""),"PJE MARIO GEBAUER BRINGAS 975")</f>
        <v>PJE MARIO GEBAUER BRINGAS 975</v>
      </c>
      <c r="D3862" s="6" t="str">
        <f ca="1">IFERROR(__xludf.DUMMYFUNCTION("""COMPUTED_VALUE"""),"MELIPILLA")</f>
        <v>MELIPILLA</v>
      </c>
    </row>
    <row r="3863" spans="1:4">
      <c r="A3863" s="7">
        <f ca="1">IFERROR(__xludf.DUMMYFUNCTION("""COMPUTED_VALUE"""),44350)</f>
        <v>44350</v>
      </c>
      <c r="B3863" s="8" t="str">
        <f ca="1">IFERROR(__xludf.DUMMYFUNCTION("""COMPUTED_VALUE"""),"-33.068874,-70.716843")</f>
        <v>-33.068874,-70.716843</v>
      </c>
      <c r="C3863" s="6" t="str">
        <f ca="1">IFERROR(__xludf.DUMMYFUNCTION("""COMPUTED_VALUE"""),"LA COPA 2, EL COLORADO")</f>
        <v>LA COPA 2, EL COLORADO</v>
      </c>
      <c r="D3863" s="6" t="str">
        <f ca="1">IFERROR(__xludf.DUMMYFUNCTION("""COMPUTED_VALUE"""),"COLINA")</f>
        <v>COLINA</v>
      </c>
    </row>
    <row r="3864" spans="1:4">
      <c r="A3864" s="7">
        <f ca="1">IFERROR(__xludf.DUMMYFUNCTION("""COMPUTED_VALUE"""),44350)</f>
        <v>44350</v>
      </c>
      <c r="B3864" s="8" t="str">
        <f ca="1">IFERROR(__xludf.DUMMYFUNCTION("""COMPUTED_VALUE"""),"-33.212631,-70.724564")</f>
        <v>-33.212631,-70.724564</v>
      </c>
      <c r="C3864" s="6" t="str">
        <f ca="1">IFERROR(__xludf.DUMMYFUNCTION("""COMPUTED_VALUE"""),"AVDA SANTA ELENA 278")</f>
        <v>AVDA SANTA ELENA 278</v>
      </c>
      <c r="D3864" s="6" t="str">
        <f ca="1">IFERROR(__xludf.DUMMYFUNCTION("""COMPUTED_VALUE"""),"COLINA")</f>
        <v>COLINA</v>
      </c>
    </row>
    <row r="3865" spans="1:4">
      <c r="A3865" s="7">
        <f ca="1">IFERROR(__xludf.DUMMYFUNCTION("""COMPUTED_VALUE"""),44350)</f>
        <v>44350</v>
      </c>
      <c r="B3865" s="8" t="str">
        <f ca="1">IFERROR(__xludf.DUMMYFUNCTION("""COMPUTED_VALUE"""),"-33.649823,-71.283887")</f>
        <v>-33.649823,-71.283887</v>
      </c>
      <c r="C3865" s="6" t="str">
        <f ca="1">IFERROR(__xludf.DUMMYFUNCTION("""COMPUTED_VALUE"""),"PARCELA 2198 LUMBRERAS")</f>
        <v>PARCELA 2198 LUMBRERAS</v>
      </c>
      <c r="D3865" s="6" t="str">
        <f ca="1">IFERROR(__xludf.DUMMYFUNCTION("""COMPUTED_VALUE"""),"MELIPILLA")</f>
        <v>MELIPILLA</v>
      </c>
    </row>
    <row r="3866" spans="1:4">
      <c r="A3866" s="7">
        <f ca="1">IFERROR(__xludf.DUMMYFUNCTION("""COMPUTED_VALUE"""),44351)</f>
        <v>44351</v>
      </c>
      <c r="B3866" s="8" t="str">
        <f ca="1">IFERROR(__xludf.DUMMYFUNCTION("""COMPUTED_VALUE"""),"-33.575139,-71..185284")</f>
        <v>-33.575139,-71..185284</v>
      </c>
      <c r="C3866" s="6" t="str">
        <f ca="1">IFERROR(__xludf.DUMMYFUNCTION("""COMPUTED_VALUE"""),"BOLLENAR LOTE 15")</f>
        <v>BOLLENAR LOTE 15</v>
      </c>
      <c r="D3866" s="6" t="str">
        <f ca="1">IFERROR(__xludf.DUMMYFUNCTION("""COMPUTED_VALUE"""),"MELIPILLA")</f>
        <v>MELIPILLA</v>
      </c>
    </row>
    <row r="3867" spans="1:4">
      <c r="A3867" s="7">
        <f ca="1">IFERROR(__xludf.DUMMYFUNCTION("""COMPUTED_VALUE"""),44351)</f>
        <v>44351</v>
      </c>
      <c r="B3867" s="8" t="str">
        <f ca="1">IFERROR(__xludf.DUMMYFUNCTION("""COMPUTED_VALUE"""),"-33.679122,-71.205632")</f>
        <v>-33.679122,-71.205632</v>
      </c>
      <c r="C3867" s="6" t="str">
        <f ca="1">IFERROR(__xludf.DUMMYFUNCTION("""COMPUTED_VALUE"""),"FELIX CONTRERAS 634 ")</f>
        <v xml:space="preserve">FELIX CONTRERAS 634 </v>
      </c>
      <c r="D3867" s="6" t="str">
        <f ca="1">IFERROR(__xludf.DUMMYFUNCTION("""COMPUTED_VALUE"""),"MELIPILLA")</f>
        <v>MELIPILLA</v>
      </c>
    </row>
    <row r="3868" spans="1:4">
      <c r="A3868" s="7">
        <f ca="1">IFERROR(__xludf.DUMMYFUNCTION("""COMPUTED_VALUE"""),44351)</f>
        <v>44351</v>
      </c>
      <c r="B3868" s="8" t="str">
        <f ca="1">IFERROR(__xludf.DUMMYFUNCTION("""COMPUTED_VALUE"""),"-33.783666,-71.300647")</f>
        <v>-33.783666,-71.300647</v>
      </c>
      <c r="C3868" s="6" t="str">
        <f ca="1">IFERROR(__xludf.DUMMYFUNCTION("""COMPUTED_VALUE"""),"CANTARANA PARCELA 9")</f>
        <v>CANTARANA PARCELA 9</v>
      </c>
      <c r="D3868" s="6" t="str">
        <f ca="1">IFERROR(__xludf.DUMMYFUNCTION("""COMPUTED_VALUE"""),"MELIPILLA")</f>
        <v>MELIPILLA</v>
      </c>
    </row>
    <row r="3869" spans="1:4">
      <c r="A3869" s="7">
        <f ca="1">IFERROR(__xludf.DUMMYFUNCTION("""COMPUTED_VALUE"""),44351)</f>
        <v>44351</v>
      </c>
      <c r="B3869" s="8" t="str">
        <f ca="1">IFERROR(__xludf.DUMMYFUNCTION("""COMPUTED_VALUE"""),"-33.668470,-70.965365")</f>
        <v>-33.668470,-70.965365</v>
      </c>
      <c r="C3869" s="6" t="str">
        <f ca="1">IFERROR(__xludf.DUMMYFUNCTION("""COMPUTED_VALUE"""),"LA CANTERA S/N ")</f>
        <v xml:space="preserve">LA CANTERA S/N </v>
      </c>
      <c r="D3869" s="6" t="str">
        <f ca="1">IFERROR(__xludf.DUMMYFUNCTION("""COMPUTED_VALUE"""),"EL MONTE")</f>
        <v>EL MONTE</v>
      </c>
    </row>
    <row r="3870" spans="1:4">
      <c r="A3870" s="7">
        <f ca="1">IFERROR(__xludf.DUMMYFUNCTION("""COMPUTED_VALUE"""),44351)</f>
        <v>44351</v>
      </c>
      <c r="B3870" s="8" t="str">
        <f ca="1">IFERROR(__xludf.DUMMYFUNCTION("""COMPUTED_VALUE"""),"-33.460722,-71.035076")</f>
        <v>-33.460722,-71.035076</v>
      </c>
      <c r="C3870" s="6" t="str">
        <f ca="1">IFERROR(__xludf.DUMMYFUNCTION("""COMPUTED_VALUE"""),"PSJ CUATRO 701")</f>
        <v>PSJ CUATRO 701</v>
      </c>
      <c r="D3870" s="6" t="str">
        <f ca="1">IFERROR(__xludf.DUMMYFUNCTION("""COMPUTED_VALUE"""),"CURACAVI")</f>
        <v>CURACAVI</v>
      </c>
    </row>
    <row r="3871" spans="1:4">
      <c r="A3871" s="7">
        <f ca="1">IFERROR(__xludf.DUMMYFUNCTION("""COMPUTED_VALUE"""),44351)</f>
        <v>44351</v>
      </c>
      <c r="B3871" s="8" t="str">
        <f ca="1">IFERROR(__xludf.DUMMYFUNCTION("""COMPUTED_VALUE"""),"-33.781800,-71.295437")</f>
        <v>-33.781800,-71.295437</v>
      </c>
      <c r="C3871" s="6" t="str">
        <f ca="1">IFERROR(__xludf.DUMMYFUNCTION("""COMPUTED_VALUE"""),"STA CECILIA PARCELA 4")</f>
        <v>STA CECILIA PARCELA 4</v>
      </c>
      <c r="D3871" s="6" t="str">
        <f ca="1">IFERROR(__xludf.DUMMYFUNCTION("""COMPUTED_VALUE"""),"MELIPILLA")</f>
        <v>MELIPILLA</v>
      </c>
    </row>
    <row r="3872" spans="1:4">
      <c r="A3872" s="7">
        <f ca="1">IFERROR(__xludf.DUMMYFUNCTION("""COMPUTED_VALUE"""),44351)</f>
        <v>44351</v>
      </c>
      <c r="B3872" s="6" t="str">
        <f ca="1">IFERROR(__xludf.DUMMYFUNCTION("""COMPUTED_VALUE"""),"-33.459474-71.036303")</f>
        <v>-33.459474-71.036303</v>
      </c>
      <c r="C3872" s="6" t="str">
        <f ca="1">IFERROR(__xludf.DUMMYFUNCTION("""COMPUTED_VALUE"""),"CUATRO 830")</f>
        <v>CUATRO 830</v>
      </c>
      <c r="D3872" s="6" t="str">
        <f ca="1">IFERROR(__xludf.DUMMYFUNCTION("""COMPUTED_VALUE"""),"CURACAVI")</f>
        <v>CURACAVI</v>
      </c>
    </row>
    <row r="3873" spans="1:4">
      <c r="A3873" s="7">
        <f ca="1">IFERROR(__xludf.DUMMYFUNCTION("""COMPUTED_VALUE"""),44351)</f>
        <v>44351</v>
      </c>
      <c r="B3873" s="6" t="str">
        <f ca="1">IFERROR(__xludf.DUMMYFUNCTION("""COMPUTED_VALUE"""),"-33.408859-71.146511")</f>
        <v>-33.408859-71.146511</v>
      </c>
      <c r="C3873" s="6" t="str">
        <f ca="1">IFERROR(__xludf.DUMMYFUNCTION("""COMPUTED_VALUE"""),"AMBROSIO OHIGGINS 449")</f>
        <v>AMBROSIO OHIGGINS 449</v>
      </c>
      <c r="D3873" s="6" t="str">
        <f ca="1">IFERROR(__xludf.DUMMYFUNCTION("""COMPUTED_VALUE"""),"CURACAVI")</f>
        <v>CURACAVI</v>
      </c>
    </row>
    <row r="3874" spans="1:4">
      <c r="A3874" s="7">
        <f ca="1">IFERROR(__xludf.DUMMYFUNCTION("""COMPUTED_VALUE"""),44351)</f>
        <v>44351</v>
      </c>
      <c r="B3874" s="6" t="str">
        <f ca="1">IFERROR(__xludf.DUMMYFUNCTION("""COMPUTED_VALUE"""),"-33.392421-71.122590")</f>
        <v>-33.392421-71.122590</v>
      </c>
      <c r="C3874" s="6" t="str">
        <f ca="1">IFERROR(__xludf.DUMMYFUNCTION("""COMPUTED_VALUE"""),"MANUEL GANDARILLAS 2147")</f>
        <v>MANUEL GANDARILLAS 2147</v>
      </c>
      <c r="D3874" s="6" t="str">
        <f ca="1">IFERROR(__xludf.DUMMYFUNCTION("""COMPUTED_VALUE"""),"CURACAVI")</f>
        <v>CURACAVI</v>
      </c>
    </row>
    <row r="3875" spans="1:4">
      <c r="A3875" s="7">
        <f ca="1">IFERROR(__xludf.DUMMYFUNCTION("""COMPUTED_VALUE"""),44351)</f>
        <v>44351</v>
      </c>
      <c r="B3875" s="6" t="str">
        <f ca="1">IFERROR(__xludf.DUMMYFUNCTION("""COMPUTED_VALUE"""),"-33.399074-71.121828")</f>
        <v>-33.399074-71.121828</v>
      </c>
      <c r="C3875" s="6" t="str">
        <f ca="1">IFERROR(__xludf.DUMMYFUNCTION("""COMPUTED_VALUE"""),"LOS ALERCES 311")</f>
        <v>LOS ALERCES 311</v>
      </c>
      <c r="D3875" s="6" t="str">
        <f ca="1">IFERROR(__xludf.DUMMYFUNCTION("""COMPUTED_VALUE"""),"CURACAVI")</f>
        <v>CURACAVI</v>
      </c>
    </row>
    <row r="3876" spans="1:4">
      <c r="A3876" s="7">
        <f ca="1">IFERROR(__xludf.DUMMYFUNCTION("""COMPUTED_VALUE"""),44351)</f>
        <v>44351</v>
      </c>
      <c r="B3876" s="6" t="str">
        <f ca="1">IFERROR(__xludf.DUMMYFUNCTION("""COMPUTED_VALUE"""),"-33.410392-71.132584")</f>
        <v>-33.410392-71.132584</v>
      </c>
      <c r="C3876" s="6" t="str">
        <f ca="1">IFERROR(__xludf.DUMMYFUNCTION("""COMPUTED_VALUE"""),"UNION CHILENA 29 LOTE 1")</f>
        <v>UNION CHILENA 29 LOTE 1</v>
      </c>
      <c r="D3876" s="6" t="str">
        <f ca="1">IFERROR(__xludf.DUMMYFUNCTION("""COMPUTED_VALUE"""),"CURACAVI")</f>
        <v>CURACAVI</v>
      </c>
    </row>
    <row r="3877" spans="1:4">
      <c r="A3877" s="7">
        <f ca="1">IFERROR(__xludf.DUMMYFUNCTION("""COMPUTED_VALUE"""),44351)</f>
        <v>44351</v>
      </c>
      <c r="B3877" s="6" t="str">
        <f ca="1">IFERROR(__xludf.DUMMYFUNCTION("""COMPUTED_VALUE"""),"-33.576515,-71.185278")</f>
        <v>-33.576515,-71.185278</v>
      </c>
      <c r="C3877" s="6" t="str">
        <f ca="1">IFERROR(__xludf.DUMMYFUNCTION("""COMPUTED_VALUE"""),"EL BOLLENAR PARCELA 15  SIT A")</f>
        <v>EL BOLLENAR PARCELA 15  SIT A</v>
      </c>
      <c r="D3877" s="6" t="str">
        <f ca="1">IFERROR(__xludf.DUMMYFUNCTION("""COMPUTED_VALUE"""),"MELIPILLA")</f>
        <v>MELIPILLA</v>
      </c>
    </row>
    <row r="3878" spans="1:4">
      <c r="A3878" s="7">
        <f ca="1">IFERROR(__xludf.DUMMYFUNCTION("""COMPUTED_VALUE"""),44351)</f>
        <v>44351</v>
      </c>
      <c r="B3878" s="6" t="str">
        <f ca="1">IFERROR(__xludf.DUMMYFUNCTION("""COMPUTED_VALUE"""),"-33.597014,-71.109373")</f>
        <v>-33.597014,-71.109373</v>
      </c>
      <c r="C3878" s="6" t="str">
        <f ca="1">IFERROR(__xludf.DUMMYFUNCTION("""COMPUTED_VALUE"""),"HERMANOS CARRERA  S/N P 37")</f>
        <v>HERMANOS CARRERA  S/N P 37</v>
      </c>
      <c r="D3878" s="6" t="str">
        <f ca="1">IFERROR(__xludf.DUMMYFUNCTION("""COMPUTED_VALUE"""),"MELIPILLA")</f>
        <v>MELIPILLA</v>
      </c>
    </row>
    <row r="3879" spans="1:4">
      <c r="A3879" s="7">
        <f ca="1">IFERROR(__xludf.DUMMYFUNCTION("""COMPUTED_VALUE"""),44351)</f>
        <v>44351</v>
      </c>
      <c r="B3879" s="6" t="str">
        <f ca="1">IFERROR(__xludf.DUMMYFUNCTION("""COMPUTED_VALUE"""),"-33.590731,-71.225017")</f>
        <v>-33.590731,-71.225017</v>
      </c>
      <c r="C3879" s="6" t="str">
        <f ca="1">IFERROR(__xludf.DUMMYFUNCTION("""COMPUTED_VALUE"""),"FUNDO LOS BOLDOS S/NLOTE 70 SAN JOSE")</f>
        <v>FUNDO LOS BOLDOS S/NLOTE 70 SAN JOSE</v>
      </c>
      <c r="D3879" s="6" t="str">
        <f ca="1">IFERROR(__xludf.DUMMYFUNCTION("""COMPUTED_VALUE"""),"MELIPILLA")</f>
        <v>MELIPILLA</v>
      </c>
    </row>
    <row r="3880" spans="1:4">
      <c r="A3880" s="7">
        <f ca="1">IFERROR(__xludf.DUMMYFUNCTION("""COMPUTED_VALUE"""),44351)</f>
        <v>44351</v>
      </c>
      <c r="B3880" s="6" t="str">
        <f ca="1">IFERROR(__xludf.DUMMYFUNCTION("""COMPUTED_VALUE"""),"-33.567405,-71.141797")</f>
        <v>-33.567405,-71.141797</v>
      </c>
      <c r="C3880" s="6" t="str">
        <f ca="1">IFERROR(__xludf.DUMMYFUNCTION("""COMPUTED_VALUE"""),"SECTOR  SANTA ELENA DE MALLARAUCO PARC 18")</f>
        <v>SECTOR  SANTA ELENA DE MALLARAUCO PARC 18</v>
      </c>
      <c r="D3880" s="6" t="str">
        <f ca="1">IFERROR(__xludf.DUMMYFUNCTION("""COMPUTED_VALUE"""),"MELIPILLA")</f>
        <v>MELIPILLA</v>
      </c>
    </row>
    <row r="3881" spans="1:4">
      <c r="A3881" s="7">
        <f ca="1">IFERROR(__xludf.DUMMYFUNCTION("""COMPUTED_VALUE"""),44351)</f>
        <v>44351</v>
      </c>
      <c r="B3881" s="8" t="str">
        <f ca="1">IFERROR(__xludf.DUMMYFUNCTION("""COMPUTED_VALUE"""),"-33.670134,-71.212451")</f>
        <v>-33.670134,-71.212451</v>
      </c>
      <c r="C3881" s="6" t="str">
        <f ca="1">IFERROR(__xludf.DUMMYFUNCTION("""COMPUTED_VALUE"""),"CALLE INTERIOR OSTOLAZAS")</f>
        <v>CALLE INTERIOR OSTOLAZAS</v>
      </c>
      <c r="D3881" s="6" t="str">
        <f ca="1">IFERROR(__xludf.DUMMYFUNCTION("""COMPUTED_VALUE"""),"MELIPILLA")</f>
        <v>MELIPILLA</v>
      </c>
    </row>
    <row r="3882" spans="1:4">
      <c r="A3882" s="7">
        <f ca="1">IFERROR(__xludf.DUMMYFUNCTION("""COMPUTED_VALUE"""),44351)</f>
        <v>44351</v>
      </c>
      <c r="B3882" s="8" t="str">
        <f ca="1">IFERROR(__xludf.DUMMYFUNCTION("""COMPUTED_VALUE"""),"-33.670134,-71.212451")</f>
        <v>-33.670134,-71.212451</v>
      </c>
      <c r="C3882" s="6" t="str">
        <f ca="1">IFERROR(__xludf.DUMMYFUNCTION("""COMPUTED_VALUE"""),"CALLE INTERIOR OSTOLAZAS")</f>
        <v>CALLE INTERIOR OSTOLAZAS</v>
      </c>
      <c r="D3882" s="6" t="str">
        <f ca="1">IFERROR(__xludf.DUMMYFUNCTION("""COMPUTED_VALUE"""),"MELIPILLA")</f>
        <v>MELIPILLA</v>
      </c>
    </row>
    <row r="3883" spans="1:4">
      <c r="A3883" s="7">
        <f ca="1">IFERROR(__xludf.DUMMYFUNCTION("""COMPUTED_VALUE"""),44352)</f>
        <v>44352</v>
      </c>
      <c r="B3883" s="6" t="str">
        <f ca="1">IFERROR(__xludf.DUMMYFUNCTION("""COMPUTED_VALUE"""),"-33.468848-71.061231")</f>
        <v>-33.468848-71.061231</v>
      </c>
      <c r="C3883" s="6" t="str">
        <f ca="1">IFERROR(__xludf.DUMMYFUNCTION("""COMPUTED_VALUE"""),"LO ALVARADO S/N")</f>
        <v>LO ALVARADO S/N</v>
      </c>
      <c r="D3883" s="6" t="str">
        <f ca="1">IFERROR(__xludf.DUMMYFUNCTION("""COMPUTED_VALUE"""),"CURACAVI")</f>
        <v>CURACAVI</v>
      </c>
    </row>
    <row r="3884" spans="1:4">
      <c r="A3884" s="7">
        <f ca="1">IFERROR(__xludf.DUMMYFUNCTION("""COMPUTED_VALUE"""),44352)</f>
        <v>44352</v>
      </c>
      <c r="B3884" s="6" t="str">
        <f ca="1">IFERROR(__xludf.DUMMYFUNCTION("""COMPUTED_VALUE"""),"-33.232862-71.074899")</f>
        <v>-33.232862-71.074899</v>
      </c>
      <c r="C3884" s="6" t="str">
        <f ca="1">IFERROR(__xludf.DUMMYFUNCTION("""COMPUTED_VALUE"""),"GERMAN RIESCO 1096")</f>
        <v>GERMAN RIESCO 1096</v>
      </c>
      <c r="D3884" s="6" t="str">
        <f ca="1">IFERROR(__xludf.DUMMYFUNCTION("""COMPUTED_VALUE"""),"CURACAVI")</f>
        <v>CURACAVI</v>
      </c>
    </row>
    <row r="3885" spans="1:4">
      <c r="A3885" s="7">
        <f ca="1">IFERROR(__xludf.DUMMYFUNCTION("""COMPUTED_VALUE"""),44352)</f>
        <v>44352</v>
      </c>
      <c r="B3885" s="6" t="str">
        <f ca="1">IFERROR(__xludf.DUMMYFUNCTION("""COMPUTED_VALUE"""),"-33.616408,-71.223726")</f>
        <v>-33.616408,-71.223726</v>
      </c>
      <c r="C3885" s="6" t="str">
        <f ca="1">IFERROR(__xludf.DUMMYFUNCTION("""COMPUTED_VALUE"""),"SAN JOSE S/N CV86 SAN JOSE REF  AVDA VALPARAISO")</f>
        <v>SAN JOSE S/N CV86 SAN JOSE REF  AVDA VALPARAISO</v>
      </c>
      <c r="D3885" s="6" t="str">
        <f ca="1">IFERROR(__xludf.DUMMYFUNCTION("""COMPUTED_VALUE"""),"MELIPILLA")</f>
        <v>MELIPILLA</v>
      </c>
    </row>
    <row r="3886" spans="1:4">
      <c r="A3886" s="7">
        <f ca="1">IFERROR(__xludf.DUMMYFUNCTION("""COMPUTED_VALUE"""),44354)</f>
        <v>44354</v>
      </c>
      <c r="B3886" s="6" t="str">
        <f ca="1">IFERROR(__xludf.DUMMYFUNCTION("""COMPUTED_VALUE"""),"-33.22895-70.80582")</f>
        <v>-33.22895-70.80582</v>
      </c>
      <c r="C3886" s="6" t="str">
        <f ca="1">IFERROR(__xludf.DUMMYFUNCTION("""COMPUTED_VALUE"""),"MAISONAVE M-56 S-3")</f>
        <v>MAISONAVE M-56 S-3</v>
      </c>
      <c r="D3886" s="6" t="str">
        <f ca="1">IFERROR(__xludf.DUMMYFUNCTION("""COMPUTED_VALUE"""),"LAMPA")</f>
        <v>LAMPA</v>
      </c>
    </row>
    <row r="3887" spans="1:4">
      <c r="A3887" s="7">
        <f ca="1">IFERROR(__xludf.DUMMYFUNCTION("""COMPUTED_VALUE"""),44354)</f>
        <v>44354</v>
      </c>
      <c r="B3887" s="6" t="str">
        <f ca="1">IFERROR(__xludf.DUMMYFUNCTION("""COMPUTED_VALUE"""),"-33.392152-71.123708")</f>
        <v>-33.392152-71.123708</v>
      </c>
      <c r="C3887" s="6" t="str">
        <f ca="1">IFERROR(__xludf.DUMMYFUNCTION("""COMPUTED_VALUE"""),"MANUEL DE SALAS 2121")</f>
        <v>MANUEL DE SALAS 2121</v>
      </c>
      <c r="D3887" s="6" t="str">
        <f ca="1">IFERROR(__xludf.DUMMYFUNCTION("""COMPUTED_VALUE"""),"CURACAVI")</f>
        <v>CURACAVI</v>
      </c>
    </row>
    <row r="3888" spans="1:4">
      <c r="A3888" s="7">
        <f ca="1">IFERROR(__xludf.DUMMYFUNCTION("""COMPUTED_VALUE"""),44354)</f>
        <v>44354</v>
      </c>
      <c r="B3888" s="6" t="str">
        <f ca="1">IFERROR(__xludf.DUMMYFUNCTION("""COMPUTED_VALUE"""),"-33.461175-71.037008")</f>
        <v>-33.461175-71.037008</v>
      </c>
      <c r="C3888" s="6" t="str">
        <f ca="1">IFERROR(__xludf.DUMMYFUNCTION("""COMPUTED_VALUE"""),"SAN JOAQUIN S/N PARCELA 4")</f>
        <v>SAN JOAQUIN S/N PARCELA 4</v>
      </c>
      <c r="D3888" s="6" t="str">
        <f ca="1">IFERROR(__xludf.DUMMYFUNCTION("""COMPUTED_VALUE"""),"CURACAVI")</f>
        <v>CURACAVI</v>
      </c>
    </row>
    <row r="3889" spans="1:4">
      <c r="A3889" s="7">
        <f ca="1">IFERROR(__xludf.DUMMYFUNCTION("""COMPUTED_VALUE"""),44354)</f>
        <v>44354</v>
      </c>
      <c r="B3889" s="6" t="str">
        <f ca="1">IFERROR(__xludf.DUMMYFUNCTION("""COMPUTED_VALUE"""),"-33.459587-71.065605")</f>
        <v>-33.459587-71.065605</v>
      </c>
      <c r="C3889" s="6" t="str">
        <f ca="1">IFERROR(__xludf.DUMMYFUNCTION("""COMPUTED_VALUE"""),"CUESTA VIEJA SITIO 2B")</f>
        <v>CUESTA VIEJA SITIO 2B</v>
      </c>
      <c r="D3889" s="6" t="str">
        <f ca="1">IFERROR(__xludf.DUMMYFUNCTION("""COMPUTED_VALUE"""),"CURACAVI")</f>
        <v>CURACAVI</v>
      </c>
    </row>
    <row r="3890" spans="1:4">
      <c r="A3890" s="7">
        <f ca="1">IFERROR(__xludf.DUMMYFUNCTION("""COMPUTED_VALUE"""),44354)</f>
        <v>44354</v>
      </c>
      <c r="B3890" s="6" t="str">
        <f ca="1">IFERROR(__xludf.DUMMYFUNCTION("""COMPUTED_VALUE"""),"-33.683978-70.994391")</f>
        <v>-33.683978-70.994391</v>
      </c>
      <c r="C3890" s="6" t="str">
        <f ca="1">IFERROR(__xludf.DUMMYFUNCTION("""COMPUTED_VALUE"""),"SAN SEBASTIAN 51")</f>
        <v>SAN SEBASTIAN 51</v>
      </c>
      <c r="D3890" s="6" t="str">
        <f ca="1">IFERROR(__xludf.DUMMYFUNCTION("""COMPUTED_VALUE"""),"EL MONTE")</f>
        <v>EL MONTE</v>
      </c>
    </row>
    <row r="3891" spans="1:4">
      <c r="A3891" s="7">
        <f ca="1">IFERROR(__xludf.DUMMYFUNCTION("""COMPUTED_VALUE"""),44354)</f>
        <v>44354</v>
      </c>
      <c r="B3891" s="6" t="str">
        <f ca="1">IFERROR(__xludf.DUMMYFUNCTION("""COMPUTED_VALUE"""),"-33.390950-71.124683")</f>
        <v>-33.390950-71.124683</v>
      </c>
      <c r="C3891" s="6" t="str">
        <f ca="1">IFERROR(__xludf.DUMMYFUNCTION("""COMPUTED_VALUE"""),"LOS EUCALIPTUS 1121")</f>
        <v>LOS EUCALIPTUS 1121</v>
      </c>
      <c r="D3891" s="6" t="str">
        <f ca="1">IFERROR(__xludf.DUMMYFUNCTION("""COMPUTED_VALUE"""),"CURACAVI")</f>
        <v>CURACAVI</v>
      </c>
    </row>
    <row r="3892" spans="1:4">
      <c r="A3892" s="7">
        <f ca="1">IFERROR(__xludf.DUMMYFUNCTION("""COMPUTED_VALUE"""),44354)</f>
        <v>44354</v>
      </c>
      <c r="B3892" s="6" t="str">
        <f ca="1">IFERROR(__xludf.DUMMYFUNCTION("""COMPUTED_VALUE"""),"-33.590773 ,-71.225043")</f>
        <v>-33.590773 ,-71.225043</v>
      </c>
      <c r="C3892" s="6" t="str">
        <f ca="1">IFERROR(__xludf.DUMMYFUNCTION("""COMPUTED_VALUE"""),"FUNDO LOS BOLDOS S/N LOTE 70")</f>
        <v>FUNDO LOS BOLDOS S/N LOTE 70</v>
      </c>
      <c r="D3892" s="6" t="str">
        <f ca="1">IFERROR(__xludf.DUMMYFUNCTION("""COMPUTED_VALUE"""),"MELIPILLA")</f>
        <v>MELIPILLA</v>
      </c>
    </row>
    <row r="3893" spans="1:4">
      <c r="A3893" s="7">
        <f ca="1">IFERROR(__xludf.DUMMYFUNCTION("""COMPUTED_VALUE"""),44354)</f>
        <v>44354</v>
      </c>
      <c r="B3893" s="8" t="str">
        <f ca="1">IFERROR(__xludf.DUMMYFUNCTION("""COMPUTED_VALUE"""),"-33.654354,-71.291244")</f>
        <v>-33.654354,-71.291244</v>
      </c>
      <c r="C3893" s="6" t="str">
        <f ca="1">IFERROR(__xludf.DUMMYFUNCTION("""COMPUTED_VALUE"""),"LUMBRERA")</f>
        <v>LUMBRERA</v>
      </c>
      <c r="D3893" s="6" t="str">
        <f ca="1">IFERROR(__xludf.DUMMYFUNCTION("""COMPUTED_VALUE"""),"MELIPILLA")</f>
        <v>MELIPILLA</v>
      </c>
    </row>
    <row r="3894" spans="1:4">
      <c r="A3894" s="7">
        <f ca="1">IFERROR(__xludf.DUMMYFUNCTION("""COMPUTED_VALUE"""),44354)</f>
        <v>44354</v>
      </c>
      <c r="B3894" s="8" t="str">
        <f ca="1">IFERROR(__xludf.DUMMYFUNCTION("""COMPUTED_VALUE"""),"-33.833586,-71.280342")</f>
        <v>-33.833586,-71.280342</v>
      </c>
      <c r="C3894" s="6" t="str">
        <f ca="1">IFERROR(__xludf.DUMMYFUNCTION("""COMPUTED_VALUE"""),"PARCELA 364 POPETA")</f>
        <v>PARCELA 364 POPETA</v>
      </c>
      <c r="D3894" s="6" t="str">
        <f ca="1">IFERROR(__xludf.DUMMYFUNCTION("""COMPUTED_VALUE"""),"MELIPILLA")</f>
        <v>MELIPILLA</v>
      </c>
    </row>
    <row r="3895" spans="1:4">
      <c r="A3895" s="7">
        <f ca="1">IFERROR(__xludf.DUMMYFUNCTION("""COMPUTED_VALUE"""),44355)</f>
        <v>44355</v>
      </c>
      <c r="B3895" s="6" t="str">
        <f ca="1">IFERROR(__xludf.DUMMYFUNCTION("""COMPUTED_VALUE"""),"-33.411973-71.150101")</f>
        <v>-33.411973-71.150101</v>
      </c>
      <c r="C3895" s="6" t="str">
        <f ca="1">IFERROR(__xludf.DUMMYFUNCTION("""COMPUTED_VALUE"""),"AMBROSIO OHIGGINS 142")</f>
        <v>AMBROSIO OHIGGINS 142</v>
      </c>
      <c r="D3895" s="6" t="str">
        <f ca="1">IFERROR(__xludf.DUMMYFUNCTION("""COMPUTED_VALUE"""),"CURACAVI")</f>
        <v>CURACAVI</v>
      </c>
    </row>
    <row r="3896" spans="1:4">
      <c r="A3896" s="7">
        <f ca="1">IFERROR(__xludf.DUMMYFUNCTION("""COMPUTED_VALUE"""),44355)</f>
        <v>44355</v>
      </c>
      <c r="B3896" s="6" t="str">
        <f ca="1">IFERROR(__xludf.DUMMYFUNCTION("""COMPUTED_VALUE"""),"-33.411973-71.150101")</f>
        <v>-33.411973-71.150101</v>
      </c>
      <c r="C3896" s="6" t="str">
        <f ca="1">IFERROR(__xludf.DUMMYFUNCTION("""COMPUTED_VALUE"""),"AMBROSIO OHIGGINS 142")</f>
        <v>AMBROSIO OHIGGINS 142</v>
      </c>
      <c r="D3896" s="6" t="str">
        <f ca="1">IFERROR(__xludf.DUMMYFUNCTION("""COMPUTED_VALUE"""),"CURACAVI")</f>
        <v>CURACAVI</v>
      </c>
    </row>
    <row r="3897" spans="1:4">
      <c r="A3897" s="7">
        <f ca="1">IFERROR(__xludf.DUMMYFUNCTION("""COMPUTED_VALUE"""),44355)</f>
        <v>44355</v>
      </c>
      <c r="B3897" s="6" t="str">
        <f ca="1">IFERROR(__xludf.DUMMYFUNCTION("""COMPUTED_VALUE"""),"-33.395729-71.125873")</f>
        <v>-33.395729-71.125873</v>
      </c>
      <c r="C3897" s="6" t="str">
        <f ca="1">IFERROR(__xludf.DUMMYFUNCTION("""COMPUTED_VALUE"""),"LUIS CRUCHAGA 671")</f>
        <v>LUIS CRUCHAGA 671</v>
      </c>
      <c r="D3897" s="6" t="str">
        <f ca="1">IFERROR(__xludf.DUMMYFUNCTION("""COMPUTED_VALUE"""),"CURACAVI")</f>
        <v>CURACAVI</v>
      </c>
    </row>
    <row r="3898" spans="1:4">
      <c r="A3898" s="7">
        <f ca="1">IFERROR(__xludf.DUMMYFUNCTION("""COMPUTED_VALUE"""),44355)</f>
        <v>44355</v>
      </c>
      <c r="B3898" s="6" t="str">
        <f ca="1">IFERROR(__xludf.DUMMYFUNCTION("""COMPUTED_VALUE"""),"-33.407225-71.126530")</f>
        <v>-33.407225-71.126530</v>
      </c>
      <c r="C3898" s="6" t="str">
        <f ca="1">IFERROR(__xludf.DUMMYFUNCTION("""COMPUTED_VALUE"""),"DEL CURACO 468")</f>
        <v>DEL CURACO 468</v>
      </c>
      <c r="D3898" s="6" t="str">
        <f ca="1">IFERROR(__xludf.DUMMYFUNCTION("""COMPUTED_VALUE"""),"CURACAVI")</f>
        <v>CURACAVI</v>
      </c>
    </row>
    <row r="3899" spans="1:4">
      <c r="A3899" s="7">
        <f ca="1">IFERROR(__xludf.DUMMYFUNCTION("""COMPUTED_VALUE"""),44355)</f>
        <v>44355</v>
      </c>
      <c r="B3899" s="6" t="str">
        <f ca="1">IFERROR(__xludf.DUMMYFUNCTION("""COMPUTED_VALUE"""),"-33.615357-70.860317")</f>
        <v>-33.615357-70.860317</v>
      </c>
      <c r="C3899" s="6" t="str">
        <f ca="1">IFERROR(__xludf.DUMMYFUNCTION("""COMPUTED_VALUE"""),"BALMACEDA 1512 CASA F")</f>
        <v>BALMACEDA 1512 CASA F</v>
      </c>
      <c r="D3899" s="6" t="str">
        <f ca="1">IFERROR(__xludf.DUMMYFUNCTION("""COMPUTED_VALUE"""),"PEÑAFLOR")</f>
        <v>PEÑAFLOR</v>
      </c>
    </row>
    <row r="3900" spans="1:4">
      <c r="A3900" s="7">
        <f ca="1">IFERROR(__xludf.DUMMYFUNCTION("""COMPUTED_VALUE"""),44355)</f>
        <v>44355</v>
      </c>
      <c r="B3900" s="6" t="str">
        <f ca="1">IFERROR(__xludf.DUMMYFUNCTION("""COMPUTED_VALUE"""),"-33.394186-71.120665")</f>
        <v>-33.394186-71.120665</v>
      </c>
      <c r="C3900" s="6" t="str">
        <f ca="1">IFERROR(__xludf.DUMMYFUNCTION("""COMPUTED_VALUE"""),"NUEVO AMANECER 1113")</f>
        <v>NUEVO AMANECER 1113</v>
      </c>
      <c r="D3900" s="6" t="str">
        <f ca="1">IFERROR(__xludf.DUMMYFUNCTION("""COMPUTED_VALUE"""),"CURACAVI")</f>
        <v>CURACAVI</v>
      </c>
    </row>
    <row r="3901" spans="1:4">
      <c r="A3901" s="7">
        <f ca="1">IFERROR(__xludf.DUMMYFUNCTION("""COMPUTED_VALUE"""),44355)</f>
        <v>44355</v>
      </c>
      <c r="B3901" s="6" t="str">
        <f ca="1">IFERROR(__xludf.DUMMYFUNCTION("""COMPUTED_VALUE"""),"-33.396828-71.131108")</f>
        <v>-33.396828-71.131108</v>
      </c>
      <c r="C3901" s="6" t="str">
        <f ca="1">IFERROR(__xludf.DUMMYFUNCTION("""COMPUTED_VALUE"""),"EDUCADORA ALICIA MORGADO 1707")</f>
        <v>EDUCADORA ALICIA MORGADO 1707</v>
      </c>
      <c r="D3901" s="6" t="str">
        <f ca="1">IFERROR(__xludf.DUMMYFUNCTION("""COMPUTED_VALUE"""),"CURACAVI")</f>
        <v>CURACAVI</v>
      </c>
    </row>
    <row r="3902" spans="1:4">
      <c r="A3902" s="7">
        <f ca="1">IFERROR(__xludf.DUMMYFUNCTION("""COMPUTED_VALUE"""),44355)</f>
        <v>44355</v>
      </c>
      <c r="B3902" s="6" t="str">
        <f ca="1">IFERROR(__xludf.DUMMYFUNCTION("""COMPUTED_VALUE"""),"-33.50701-71.14724")</f>
        <v>-33.50701-71.14724</v>
      </c>
      <c r="C3902" s="6" t="str">
        <f ca="1">IFERROR(__xludf.DUMMYFUNCTION("""COMPUTED_VALUE"""),"EL ROSARIO 25")</f>
        <v>EL ROSARIO 25</v>
      </c>
      <c r="D3902" s="6" t="str">
        <f ca="1">IFERROR(__xludf.DUMMYFUNCTION("""COMPUTED_VALUE"""),"MARIA PINTO")</f>
        <v>MARIA PINTO</v>
      </c>
    </row>
    <row r="3903" spans="1:4">
      <c r="A3903" s="7">
        <f ca="1">IFERROR(__xludf.DUMMYFUNCTION("""COMPUTED_VALUE"""),44355)</f>
        <v>44355</v>
      </c>
      <c r="B3903" s="6" t="str">
        <f ca="1">IFERROR(__xludf.DUMMYFUNCTION("""COMPUTED_VALUE"""),"-33.50711-71.14743")</f>
        <v>-33.50711-71.14743</v>
      </c>
      <c r="C3903" s="6" t="str">
        <f ca="1">IFERROR(__xludf.DUMMYFUNCTION("""COMPUTED_VALUE"""),"EL ROSARIO 25")</f>
        <v>EL ROSARIO 25</v>
      </c>
      <c r="D3903" s="6" t="str">
        <f ca="1">IFERROR(__xludf.DUMMYFUNCTION("""COMPUTED_VALUE"""),"MARIA PINTO")</f>
        <v>MARIA PINTO</v>
      </c>
    </row>
    <row r="3904" spans="1:4">
      <c r="A3904" s="7">
        <f ca="1">IFERROR(__xludf.DUMMYFUNCTION("""COMPUTED_VALUE"""),44355)</f>
        <v>44355</v>
      </c>
      <c r="B3904" s="6" t="str">
        <f ca="1">IFERROR(__xludf.DUMMYFUNCTION("""COMPUTED_VALUE"""),"-33.50971-71.15117")</f>
        <v>-33.50971-71.15117</v>
      </c>
      <c r="C3904" s="6" t="str">
        <f ca="1">IFERROR(__xludf.DUMMYFUNCTION("""COMPUTED_VALUE"""),"EL ROSARIO 8")</f>
        <v>EL ROSARIO 8</v>
      </c>
      <c r="D3904" s="6" t="str">
        <f ca="1">IFERROR(__xludf.DUMMYFUNCTION("""COMPUTED_VALUE"""),"MARIA PINTO")</f>
        <v>MARIA PINTO</v>
      </c>
    </row>
    <row r="3905" spans="1:4">
      <c r="A3905" s="7">
        <f ca="1">IFERROR(__xludf.DUMMYFUNCTION("""COMPUTED_VALUE"""),44355)</f>
        <v>44355</v>
      </c>
      <c r="B3905" s="6" t="str">
        <f ca="1">IFERROR(__xludf.DUMMYFUNCTION("""COMPUTED_VALUE"""),"-33.50785-71.14794")</f>
        <v>-33.50785-71.14794</v>
      </c>
      <c r="C3905" s="6" t="str">
        <f ca="1">IFERROR(__xludf.DUMMYFUNCTION("""COMPUTED_VALUE"""),"EL ROSARIO 24")</f>
        <v>EL ROSARIO 24</v>
      </c>
      <c r="D3905" s="6" t="str">
        <f ca="1">IFERROR(__xludf.DUMMYFUNCTION("""COMPUTED_VALUE"""),"MARIA PINTO")</f>
        <v>MARIA PINTO</v>
      </c>
    </row>
    <row r="3906" spans="1:4">
      <c r="A3906" s="7">
        <f ca="1">IFERROR(__xludf.DUMMYFUNCTION("""COMPUTED_VALUE"""),44355)</f>
        <v>44355</v>
      </c>
      <c r="B3906" s="6" t="str">
        <f ca="1">IFERROR(__xludf.DUMMYFUNCTION("""COMPUTED_VALUE"""),"-33.279710-70.679814")</f>
        <v>-33.279710-70.679814</v>
      </c>
      <c r="C3906" s="6" t="str">
        <f ca="1">IFERROR(__xludf.DUMMYFUNCTION("""COMPUTED_VALUE"""),"CAMINO CHICUREO S/N")</f>
        <v>CAMINO CHICUREO S/N</v>
      </c>
      <c r="D3906" s="6" t="str">
        <f ca="1">IFERROR(__xludf.DUMMYFUNCTION("""COMPUTED_VALUE"""),"COLINA")</f>
        <v>COLINA</v>
      </c>
    </row>
    <row r="3907" spans="1:4">
      <c r="A3907" s="7">
        <f ca="1">IFERROR(__xludf.DUMMYFUNCTION("""COMPUTED_VALUE"""),44355)</f>
        <v>44355</v>
      </c>
      <c r="B3907" s="6" t="str">
        <f ca="1">IFERROR(__xludf.DUMMYFUNCTION("""COMPUTED_VALUE"""),"-33.650969,-71.155919")</f>
        <v>-33.650969,-71.155919</v>
      </c>
      <c r="C3907" s="6" t="str">
        <f ca="1">IFERROR(__xludf.DUMMYFUNCTION("""COMPUTED_VALUE"""),"PA LIMONAL  752 POMAIRE")</f>
        <v>PA LIMONAL  752 POMAIRE</v>
      </c>
      <c r="D3907" s="6" t="str">
        <f ca="1">IFERROR(__xludf.DUMMYFUNCTION("""COMPUTED_VALUE"""),"MELIPILLA")</f>
        <v>MELIPILLA</v>
      </c>
    </row>
    <row r="3908" spans="1:4">
      <c r="A3908" s="7">
        <f ca="1">IFERROR(__xludf.DUMMYFUNCTION("""COMPUTED_VALUE"""),44355)</f>
        <v>44355</v>
      </c>
      <c r="B3908" s="6" t="str">
        <f ca="1">IFERROR(__xludf.DUMMYFUNCTION("""COMPUTED_VALUE"""),"-33.745560,-71.191663")</f>
        <v>-33.745560,-71.191663</v>
      </c>
      <c r="C3908" s="6" t="str">
        <f ca="1">IFERROR(__xludf.DUMMYFUNCTION("""COMPUTED_VALUE"""),"BULNES S/N CV7 LOTE 2 PABELLON")</f>
        <v>BULNES S/N CV7 LOTE 2 PABELLON</v>
      </c>
      <c r="D3908" s="6" t="str">
        <f ca="1">IFERROR(__xludf.DUMMYFUNCTION("""COMPUTED_VALUE"""),"MELIPILLA")</f>
        <v>MELIPILLA</v>
      </c>
    </row>
    <row r="3909" spans="1:4">
      <c r="A3909" s="7">
        <f ca="1">IFERROR(__xludf.DUMMYFUNCTION("""COMPUTED_VALUE"""),44355)</f>
        <v>44355</v>
      </c>
      <c r="B3909" s="6" t="str">
        <f ca="1">IFERROR(__xludf.DUMMYFUNCTION("""COMPUTED_VALUE"""),"-33.653013,-71.153228")</f>
        <v>-33.653013,-71.153228</v>
      </c>
      <c r="C3909" s="6" t="str">
        <f ca="1">IFERROR(__xludf.DUMMYFUNCTION("""COMPUTED_VALUE"""),"JUAN BAUTISTA SALINAS 392 POMAIRE")</f>
        <v>JUAN BAUTISTA SALINAS 392 POMAIRE</v>
      </c>
      <c r="D3909" s="6" t="str">
        <f ca="1">IFERROR(__xludf.DUMMYFUNCTION("""COMPUTED_VALUE"""),"MELIPILLA")</f>
        <v>MELIPILLA</v>
      </c>
    </row>
    <row r="3910" spans="1:4">
      <c r="A3910" s="7">
        <f ca="1">IFERROR(__xludf.DUMMYFUNCTION("""COMPUTED_VALUE"""),44355)</f>
        <v>44355</v>
      </c>
      <c r="B3910" s="6" t="str">
        <f ca="1">IFERROR(__xludf.DUMMYFUNCTION("""COMPUTED_VALUE"""),"-33.687607,-71.208673")</f>
        <v>-33.687607,-71.208673</v>
      </c>
      <c r="C3910" s="6" t="str">
        <f ca="1">IFERROR(__xludf.DUMMYFUNCTION("""COMPUTED_VALUE"""),"VALDES 122 ")</f>
        <v xml:space="preserve">VALDES 122 </v>
      </c>
      <c r="D3910" s="6" t="str">
        <f ca="1">IFERROR(__xludf.DUMMYFUNCTION("""COMPUTED_VALUE"""),"MELIPILLA")</f>
        <v>MELIPILLA</v>
      </c>
    </row>
    <row r="3911" spans="1:4">
      <c r="A3911" s="7">
        <f ca="1">IFERROR(__xludf.DUMMYFUNCTION("""COMPUTED_VALUE"""),44355)</f>
        <v>44355</v>
      </c>
      <c r="B3911" s="6" t="str">
        <f ca="1">IFERROR(__xludf.DUMMYFUNCTION("""COMPUTED_VALUE"""),"-33.6986700,-71.193589")</f>
        <v>-33.6986700,-71.193589</v>
      </c>
      <c r="C3911" s="6" t="str">
        <f ca="1">IFERROR(__xludf.DUMMYFUNCTION("""COMPUTED_VALUE"""),"PA GOBERNADORA ADELAIDA MENDOZA SERRANO 764")</f>
        <v>PA GOBERNADORA ADELAIDA MENDOZA SERRANO 764</v>
      </c>
      <c r="D3911" s="6" t="str">
        <f ca="1">IFERROR(__xludf.DUMMYFUNCTION("""COMPUTED_VALUE"""),"MELIPILLA")</f>
        <v>MELIPILLA</v>
      </c>
    </row>
    <row r="3912" spans="1:4">
      <c r="A3912" s="7">
        <f ca="1">IFERROR(__xludf.DUMMYFUNCTION("""COMPUTED_VALUE"""),44355)</f>
        <v>44355</v>
      </c>
      <c r="B3912" s="8" t="str">
        <f ca="1">IFERROR(__xludf.DUMMYFUNCTION("""COMPUTED_VALUE"""),"-33.687371,-71.187870")</f>
        <v>-33.687371,-71.187870</v>
      </c>
      <c r="C3912" s="6" t="str">
        <f ca="1">IFERROR(__xludf.DUMMYFUNCTION("""COMPUTED_VALUE"""),"EL BAJO S/N")</f>
        <v>EL BAJO S/N</v>
      </c>
      <c r="D3912" s="6" t="str">
        <f ca="1">IFERROR(__xludf.DUMMYFUNCTION("""COMPUTED_VALUE"""),"MELIPILLA")</f>
        <v>MELIPILLA</v>
      </c>
    </row>
    <row r="3913" spans="1:4">
      <c r="A3913" s="7">
        <f ca="1">IFERROR(__xludf.DUMMYFUNCTION("""COMPUTED_VALUE"""),44355)</f>
        <v>44355</v>
      </c>
      <c r="B3913" s="8" t="str">
        <f ca="1">IFERROR(__xludf.DUMMYFUNCTION("""COMPUTED_VALUE"""),"-33.789249,-71.283941")</f>
        <v>-33.789249,-71.283941</v>
      </c>
      <c r="C3913" s="6" t="str">
        <f ca="1">IFERROR(__xludf.DUMMYFUNCTION("""COMPUTED_VALUE"""),"CAMINO VIEJO MANDINGA")</f>
        <v>CAMINO VIEJO MANDINGA</v>
      </c>
      <c r="D3913" s="6" t="str">
        <f ca="1">IFERROR(__xludf.DUMMYFUNCTION("""COMPUTED_VALUE"""),"MELIPILLA")</f>
        <v>MELIPILLA</v>
      </c>
    </row>
    <row r="3914" spans="1:4">
      <c r="A3914" s="7">
        <f ca="1">IFERROR(__xludf.DUMMYFUNCTION("""COMPUTED_VALUE"""),44356)</f>
        <v>44356</v>
      </c>
      <c r="B3914" s="8" t="str">
        <f ca="1">IFERROR(__xludf.DUMMYFUNCTION("""COMPUTED_VALUE"""),"-33.743281,-71.192789")</f>
        <v>-33.743281,-71.192789</v>
      </c>
      <c r="C3914" s="6" t="str">
        <f ca="1">IFERROR(__xludf.DUMMYFUNCTION("""COMPUTED_VALUE"""),"PEDRO LARRAIN S/N")</f>
        <v>PEDRO LARRAIN S/N</v>
      </c>
      <c r="D3914" s="6" t="str">
        <f ca="1">IFERROR(__xludf.DUMMYFUNCTION("""COMPUTED_VALUE"""),"MELIPILLA")</f>
        <v>MELIPILLA</v>
      </c>
    </row>
    <row r="3915" spans="1:4">
      <c r="A3915" s="7">
        <f ca="1">IFERROR(__xludf.DUMMYFUNCTION("""COMPUTED_VALUE"""),44356)</f>
        <v>44356</v>
      </c>
      <c r="B3915" s="8" t="str">
        <f ca="1">IFERROR(__xludf.DUMMYFUNCTION("""COMPUTED_VALUE"""),"-33.630263,-71.258270")</f>
        <v>-33.630263,-71.258270</v>
      </c>
      <c r="C3915" s="6" t="str">
        <f ca="1">IFERROR(__xludf.DUMMYFUNCTION("""COMPUTED_VALUE"""),"VILLA ALEGRE S/N ")</f>
        <v xml:space="preserve">VILLA ALEGRE S/N </v>
      </c>
      <c r="D3915" s="6" t="str">
        <f ca="1">IFERROR(__xludf.DUMMYFUNCTION("""COMPUTED_VALUE"""),"MELIPILLA")</f>
        <v>MELIPILLA</v>
      </c>
    </row>
    <row r="3916" spans="1:4">
      <c r="A3916" s="7">
        <f ca="1">IFERROR(__xludf.DUMMYFUNCTION("""COMPUTED_VALUE"""),44356)</f>
        <v>44356</v>
      </c>
      <c r="B3916" s="8" t="str">
        <f ca="1">IFERROR(__xludf.DUMMYFUNCTION("""COMPUTED_VALUE"""),"-33.569885,-71.214478")</f>
        <v>-33.569885,-71.214478</v>
      </c>
      <c r="C3916" s="6" t="str">
        <f ca="1">IFERROR(__xludf.DUMMYFUNCTION("""COMPUTED_VALUE"""),"LOS PEUMOS 176 SITIO 79 ")</f>
        <v xml:space="preserve">LOS PEUMOS 176 SITIO 79 </v>
      </c>
      <c r="D3916" s="6" t="str">
        <f ca="1">IFERROR(__xludf.DUMMYFUNCTION("""COMPUTED_VALUE"""),"MELIPILLA")</f>
        <v>MELIPILLA</v>
      </c>
    </row>
    <row r="3917" spans="1:4">
      <c r="A3917" s="7">
        <f ca="1">IFERROR(__xludf.DUMMYFUNCTION("""COMPUTED_VALUE"""),44356)</f>
        <v>44356</v>
      </c>
      <c r="B3917" s="6" t="str">
        <f ca="1">IFERROR(__xludf.DUMMYFUNCTION("""COMPUTED_VALUE"""),"-33.4087726-71.1420932")</f>
        <v>-33.4087726-71.1420932</v>
      </c>
      <c r="C3917" s="6" t="str">
        <f ca="1">IFERROR(__xludf.DUMMYFUNCTION("""COMPUTED_VALUE"""),"LO AGUILA 165")</f>
        <v>LO AGUILA 165</v>
      </c>
      <c r="D3917" s="6" t="str">
        <f ca="1">IFERROR(__xludf.DUMMYFUNCTION("""COMPUTED_VALUE"""),"CURACAVI")</f>
        <v>CURACAVI</v>
      </c>
    </row>
    <row r="3918" spans="1:4">
      <c r="A3918" s="7">
        <f ca="1">IFERROR(__xludf.DUMMYFUNCTION("""COMPUTED_VALUE"""),44356)</f>
        <v>44356</v>
      </c>
      <c r="B3918" s="6" t="str">
        <f ca="1">IFERROR(__xludf.DUMMYFUNCTION("""COMPUTED_VALUE"""),"-33.3982874-71.1231375")</f>
        <v>-33.3982874-71.1231375</v>
      </c>
      <c r="C3918" s="6" t="str">
        <f ca="1">IFERROR(__xludf.DUMMYFUNCTION("""COMPUTED_VALUE"""),"EL ROMERILLO 311")</f>
        <v>EL ROMERILLO 311</v>
      </c>
      <c r="D3918" s="6" t="str">
        <f ca="1">IFERROR(__xludf.DUMMYFUNCTION("""COMPUTED_VALUE"""),"CURACAVI")</f>
        <v>CURACAVI</v>
      </c>
    </row>
    <row r="3919" spans="1:4">
      <c r="A3919" s="7">
        <f ca="1">IFERROR(__xludf.DUMMYFUNCTION("""COMPUTED_VALUE"""),44356)</f>
        <v>44356</v>
      </c>
      <c r="B3919" s="6" t="str">
        <f ca="1">IFERROR(__xludf.DUMMYFUNCTION("""COMPUTED_VALUE"""),"-33.775363-71.137969")</f>
        <v>-33.775363-71.137969</v>
      </c>
      <c r="C3919" s="6" t="str">
        <f ca="1">IFERROR(__xludf.DUMMYFUNCTION("""COMPUTED_VALUE"""),"CHOLQUI S/N PARC 37 A")</f>
        <v>CHOLQUI S/N PARC 37 A</v>
      </c>
      <c r="D3919" s="6" t="str">
        <f ca="1">IFERROR(__xludf.DUMMYFUNCTION("""COMPUTED_VALUE"""),"MELIPILLA")</f>
        <v>MELIPILLA</v>
      </c>
    </row>
    <row r="3920" spans="1:4">
      <c r="A3920" s="7">
        <f ca="1">IFERROR(__xludf.DUMMYFUNCTION("""COMPUTED_VALUE"""),44356)</f>
        <v>44356</v>
      </c>
      <c r="B3920" s="6" t="str">
        <f ca="1">IFERROR(__xludf.DUMMYFUNCTION("""COMPUTED_VALUE"""),"-33.775363-71.137969")</f>
        <v>-33.775363-71.137969</v>
      </c>
      <c r="C3920" s="6" t="str">
        <f ca="1">IFERROR(__xludf.DUMMYFUNCTION("""COMPUTED_VALUE"""),"CHOLQUI S/N PARC 37 A")</f>
        <v>CHOLQUI S/N PARC 37 A</v>
      </c>
      <c r="D3920" s="6" t="str">
        <f ca="1">IFERROR(__xludf.DUMMYFUNCTION("""COMPUTED_VALUE"""),"MELIPILLA")</f>
        <v>MELIPILLA</v>
      </c>
    </row>
    <row r="3921" spans="1:4">
      <c r="A3921" s="7">
        <f ca="1">IFERROR(__xludf.DUMMYFUNCTION("""COMPUTED_VALUE"""),44356)</f>
        <v>44356</v>
      </c>
      <c r="B3921" s="6" t="str">
        <f ca="1">IFERROR(__xludf.DUMMYFUNCTION("""COMPUTED_VALUE"""),"-33.393208-71.125274")</f>
        <v>-33.393208-71.125274</v>
      </c>
      <c r="C3921" s="6" t="str">
        <f ca="1">IFERROR(__xludf.DUMMYFUNCTION("""COMPUTED_VALUE"""),"JOSE FRANCISCO VERGARA 2299")</f>
        <v>JOSE FRANCISCO VERGARA 2299</v>
      </c>
      <c r="D3921" s="6" t="str">
        <f ca="1">IFERROR(__xludf.DUMMYFUNCTION("""COMPUTED_VALUE"""),"CURACAVI")</f>
        <v>CURACAVI</v>
      </c>
    </row>
    <row r="3922" spans="1:4">
      <c r="A3922" s="7">
        <f ca="1">IFERROR(__xludf.DUMMYFUNCTION("""COMPUTED_VALUE"""),44356)</f>
        <v>44356</v>
      </c>
      <c r="B3922" s="6" t="str">
        <f ca="1">IFERROR(__xludf.DUMMYFUNCTION("""COMPUTED_VALUE"""),"-33.393037-71.129532")</f>
        <v>-33.393037-71.129532</v>
      </c>
      <c r="C3922" s="6" t="str">
        <f ca="1">IFERROR(__xludf.DUMMYFUNCTION("""COMPUTED_VALUE"""),"AV.GERMAN RIESCO 924")</f>
        <v>AV.GERMAN RIESCO 924</v>
      </c>
      <c r="D3922" s="6" t="str">
        <f ca="1">IFERROR(__xludf.DUMMYFUNCTION("""COMPUTED_VALUE"""),"CURACAVI")</f>
        <v>CURACAVI</v>
      </c>
    </row>
    <row r="3923" spans="1:4">
      <c r="A3923" s="7">
        <f ca="1">IFERROR(__xludf.DUMMYFUNCTION("""COMPUTED_VALUE"""),44356)</f>
        <v>44356</v>
      </c>
      <c r="B3923" s="6" t="str">
        <f ca="1">IFERROR(__xludf.DUMMYFUNCTION("""COMPUTED_VALUE"""),"-33.393151-71.125021")</f>
        <v>-33.393151-71.125021</v>
      </c>
      <c r="C3923" s="6" t="str">
        <f ca="1">IFERROR(__xludf.DUMMYFUNCTION("""COMPUTED_VALUE"""),"JOSE FRANCISCO VERGARA 2193")</f>
        <v>JOSE FRANCISCO VERGARA 2193</v>
      </c>
      <c r="D3923" s="6" t="str">
        <f ca="1">IFERROR(__xludf.DUMMYFUNCTION("""COMPUTED_VALUE"""),"CURACAVI")</f>
        <v>CURACAVI</v>
      </c>
    </row>
    <row r="3924" spans="1:4">
      <c r="A3924" s="7">
        <f ca="1">IFERROR(__xludf.DUMMYFUNCTION("""COMPUTED_VALUE"""),44356)</f>
        <v>44356</v>
      </c>
      <c r="B3924" s="6" t="str">
        <f ca="1">IFERROR(__xludf.DUMMYFUNCTION("""COMPUTED_VALUE"""),"-33.74471-71.19238")</f>
        <v>-33.74471-71.19238</v>
      </c>
      <c r="C3924" s="6" t="str">
        <f ca="1">IFERROR(__xludf.DUMMYFUNCTION("""COMPUTED_VALUE"""),"LARRAIN 60")</f>
        <v>LARRAIN 60</v>
      </c>
      <c r="D3924" s="6" t="str">
        <f ca="1">IFERROR(__xludf.DUMMYFUNCTION("""COMPUTED_VALUE"""),"MELIPILLA")</f>
        <v>MELIPILLA</v>
      </c>
    </row>
    <row r="3925" spans="1:4">
      <c r="A3925" s="7">
        <f ca="1">IFERROR(__xludf.DUMMYFUNCTION("""COMPUTED_VALUE"""),44356)</f>
        <v>44356</v>
      </c>
      <c r="B3925" s="6" t="str">
        <f ca="1">IFERROR(__xludf.DUMMYFUNCTION("""COMPUTED_VALUE"""),"-33.69984-71.21659")</f>
        <v>-33.69984-71.21659</v>
      </c>
      <c r="C3925" s="6" t="str">
        <f ca="1">IFERROR(__xludf.DUMMYFUNCTION("""COMPUTED_VALUE"""),"MANUEL AGUERO 1474")</f>
        <v>MANUEL AGUERO 1474</v>
      </c>
      <c r="D3925" s="6" t="str">
        <f ca="1">IFERROR(__xludf.DUMMYFUNCTION("""COMPUTED_VALUE"""),"MELIPILLA")</f>
        <v>MELIPILLA</v>
      </c>
    </row>
    <row r="3926" spans="1:4">
      <c r="A3926" s="7">
        <f ca="1">IFERROR(__xludf.DUMMYFUNCTION("""COMPUTED_VALUE"""),44356)</f>
        <v>44356</v>
      </c>
      <c r="B3926" s="6" t="str">
        <f ca="1">IFERROR(__xludf.DUMMYFUNCTION("""COMPUTED_VALUE"""),"-33.67377-71.17296")</f>
        <v>-33.67377-71.17296</v>
      </c>
      <c r="C3926" s="6" t="str">
        <f ca="1">IFERROR(__xludf.DUMMYFUNCTION("""COMPUTED_VALUE"""),"REPUBLICA CHECA 144")</f>
        <v>REPUBLICA CHECA 144</v>
      </c>
      <c r="D3926" s="6" t="str">
        <f ca="1">IFERROR(__xludf.DUMMYFUNCTION("""COMPUTED_VALUE"""),"MELIPILLA")</f>
        <v>MELIPILLA</v>
      </c>
    </row>
    <row r="3927" spans="1:4">
      <c r="A3927" s="7">
        <f ca="1">IFERROR(__xludf.DUMMYFUNCTION("""COMPUTED_VALUE"""),44356)</f>
        <v>44356</v>
      </c>
      <c r="B3927" s="6" t="str">
        <f ca="1">IFERROR(__xludf.DUMMYFUNCTION("""COMPUTED_VALUE"""),"-33.80196-71.23094")</f>
        <v>-33.80196-71.23094</v>
      </c>
      <c r="C3927" s="6" t="str">
        <f ca="1">IFERROR(__xludf.DUMMYFUNCTION("""COMPUTED_VALUE"""),"CULIPRAN P65")</f>
        <v>CULIPRAN P65</v>
      </c>
      <c r="D3927" s="6" t="str">
        <f ca="1">IFERROR(__xludf.DUMMYFUNCTION("""COMPUTED_VALUE"""),"MELIPILLA")</f>
        <v>MELIPILLA</v>
      </c>
    </row>
    <row r="3928" spans="1:4">
      <c r="A3928" s="7">
        <f ca="1">IFERROR(__xludf.DUMMYFUNCTION("""COMPUTED_VALUE"""),44356)</f>
        <v>44356</v>
      </c>
      <c r="B3928" s="6" t="str">
        <f ca="1">IFERROR(__xludf.DUMMYFUNCTION("""COMPUTED_VALUE"""),"-33.616187,-71.224622")</f>
        <v>-33.616187,-71.224622</v>
      </c>
      <c r="C3928" s="6" t="str">
        <f ca="1">IFERROR(__xludf.DUMMYFUNCTION("""COMPUTED_VALUE"""),"SAN JOSE S/N  AVDA VALPARAISO 8500")</f>
        <v>SAN JOSE S/N  AVDA VALPARAISO 8500</v>
      </c>
      <c r="D3928" s="6" t="str">
        <f ca="1">IFERROR(__xludf.DUMMYFUNCTION("""COMPUTED_VALUE"""),"MELIPILLA")</f>
        <v>MELIPILLA</v>
      </c>
    </row>
    <row r="3929" spans="1:4">
      <c r="A3929" s="7">
        <f ca="1">IFERROR(__xludf.DUMMYFUNCTION("""COMPUTED_VALUE"""),44356)</f>
        <v>44356</v>
      </c>
      <c r="B3929" s="6" t="str">
        <f ca="1">IFERROR(__xludf.DUMMYFUNCTION("""COMPUTED_VALUE"""),"-33.768807,-71.238517")</f>
        <v>-33.768807,-71.238517</v>
      </c>
      <c r="C3929" s="6" t="str">
        <f ca="1">IFERROR(__xludf.DUMMYFUNCTION("""COMPUTED_VALUE"""),"PARCELA 8 CUPLIPRAN")</f>
        <v>PARCELA 8 CUPLIPRAN</v>
      </c>
      <c r="D3929" s="6" t="str">
        <f ca="1">IFERROR(__xludf.DUMMYFUNCTION("""COMPUTED_VALUE"""),"MELIPILLA")</f>
        <v>MELIPILLA</v>
      </c>
    </row>
    <row r="3930" spans="1:4">
      <c r="A3930" s="7">
        <f ca="1">IFERROR(__xludf.DUMMYFUNCTION("""COMPUTED_VALUE"""),44356)</f>
        <v>44356</v>
      </c>
      <c r="B3930" s="6" t="str">
        <f ca="1">IFERROR(__xludf.DUMMYFUNCTION("""COMPUTED_VALUE"""),"-33.588773,-71.208692")</f>
        <v>-33.588773,-71.208692</v>
      </c>
      <c r="C3930" s="6" t="str">
        <f ca="1">IFERROR(__xludf.DUMMYFUNCTION("""COMPUTED_VALUE"""),"SARGENTO CANDELARIA S/N")</f>
        <v>SARGENTO CANDELARIA S/N</v>
      </c>
      <c r="D3930" s="6" t="str">
        <f ca="1">IFERROR(__xludf.DUMMYFUNCTION("""COMPUTED_VALUE"""),"MELIPILLA")</f>
        <v>MELIPILLA</v>
      </c>
    </row>
    <row r="3931" spans="1:4">
      <c r="A3931" s="7">
        <f ca="1">IFERROR(__xludf.DUMMYFUNCTION("""COMPUTED_VALUE"""),44356)</f>
        <v>44356</v>
      </c>
      <c r="B3931" s="8" t="str">
        <f ca="1">IFERROR(__xludf.DUMMYFUNCTION("""COMPUTED_VALUE"""),"-33.681801,-71.221764")</f>
        <v>-33.681801,-71.221764</v>
      </c>
      <c r="C3931" s="6" t="str">
        <f ca="1">IFERROR(__xludf.DUMMYFUNCTION("""COMPUTED_VALUE"""),"CORINA BRAVO 1047")</f>
        <v>CORINA BRAVO 1047</v>
      </c>
      <c r="D3931" s="6" t="str">
        <f ca="1">IFERROR(__xludf.DUMMYFUNCTION("""COMPUTED_VALUE"""),"MELIPILLA")</f>
        <v>MELIPILLA</v>
      </c>
    </row>
    <row r="3932" spans="1:4">
      <c r="A3932" s="7">
        <f ca="1">IFERROR(__xludf.DUMMYFUNCTION("""COMPUTED_VALUE"""),44356)</f>
        <v>44356</v>
      </c>
      <c r="B3932" s="8" t="str">
        <f ca="1">IFERROR(__xludf.DUMMYFUNCTION("""COMPUTED_VALUE"""),"-33.674615,-71.176612")</f>
        <v>-33.674615,-71.176612</v>
      </c>
      <c r="C3932" s="6" t="str">
        <f ca="1">IFERROR(__xludf.DUMMYFUNCTION("""COMPUTED_VALUE"""),"SUIZA 133")</f>
        <v>SUIZA 133</v>
      </c>
      <c r="D3932" s="6" t="str">
        <f ca="1">IFERROR(__xludf.DUMMYFUNCTION("""COMPUTED_VALUE"""),"MELIPILLA")</f>
        <v>MELIPILLA</v>
      </c>
    </row>
    <row r="3933" spans="1:4">
      <c r="A3933" s="7">
        <f ca="1">IFERROR(__xludf.DUMMYFUNCTION("""COMPUTED_VALUE"""),44356)</f>
        <v>44356</v>
      </c>
      <c r="B3933" s="6" t="str">
        <f ca="1">IFERROR(__xludf.DUMMYFUNCTION("""COMPUTED_VALUE"""),"-33.068770,-71.415044")</f>
        <v>-33.068770,-71.415044</v>
      </c>
      <c r="C3933" s="6" t="str">
        <f ca="1">IFERROR(__xludf.DUMMYFUNCTION("""COMPUTED_VALUE"""),"MARGA MARGA 2967")</f>
        <v>MARGA MARGA 2967</v>
      </c>
      <c r="D3933" s="6" t="str">
        <f ca="1">IFERROR(__xludf.DUMMYFUNCTION("""COMPUTED_VALUE"""),"QUILPUÉ")</f>
        <v>QUILPUÉ</v>
      </c>
    </row>
    <row r="3934" spans="1:4">
      <c r="A3934" s="7">
        <f ca="1">IFERROR(__xludf.DUMMYFUNCTION("""COMPUTED_VALUE"""),44356)</f>
        <v>44356</v>
      </c>
      <c r="B3934" s="6" t="str">
        <f ca="1">IFERROR(__xludf.DUMMYFUNCTION("""COMPUTED_VALUE"""),"-33.0429,-71.4715")</f>
        <v>-33.0429,-71.4715</v>
      </c>
      <c r="C3934" s="6" t="str">
        <f ca="1">IFERROR(__xludf.DUMMYFUNCTION("""COMPUTED_VALUE"""),"SOLIDARIDAD 156")</f>
        <v>SOLIDARIDAD 156</v>
      </c>
      <c r="D3934" s="6" t="str">
        <f ca="1">IFERROR(__xludf.DUMMYFUNCTION("""COMPUTED_VALUE"""),"QUILPUÉ")</f>
        <v>QUILPUÉ</v>
      </c>
    </row>
    <row r="3935" spans="1:4">
      <c r="A3935" s="7">
        <f ca="1">IFERROR(__xludf.DUMMYFUNCTION("""COMPUTED_VALUE"""),44356)</f>
        <v>44356</v>
      </c>
      <c r="B3935" s="6" t="str">
        <f ca="1">IFERROR(__xludf.DUMMYFUNCTION("""COMPUTED_VALUE"""),"-33.068108-71.414472")</f>
        <v>-33.068108-71.414472</v>
      </c>
      <c r="C3935" s="6" t="str">
        <f ca="1">IFERROR(__xludf.DUMMYFUNCTION("""COMPUTED_VALUE"""),"LAGO PANGUIPULLI 3026")</f>
        <v>LAGO PANGUIPULLI 3026</v>
      </c>
      <c r="D3935" s="6" t="str">
        <f ca="1">IFERROR(__xludf.DUMMYFUNCTION("""COMPUTED_VALUE"""),"QUILPUÉ")</f>
        <v>QUILPUÉ</v>
      </c>
    </row>
    <row r="3936" spans="1:4">
      <c r="A3936" s="7">
        <f ca="1">IFERROR(__xludf.DUMMYFUNCTION("""COMPUTED_VALUE"""),44356)</f>
        <v>44356</v>
      </c>
      <c r="B3936" s="6" t="str">
        <f ca="1">IFERROR(__xludf.DUMMYFUNCTION("""COMPUTED_VALUE"""),"-33.0427-71.4716")</f>
        <v>-33.0427-71.4716</v>
      </c>
      <c r="C3936" s="6" t="str">
        <f ca="1">IFERROR(__xludf.DUMMYFUNCTION("""COMPUTED_VALUE"""),"SOLIDARIDAD 148")</f>
        <v>SOLIDARIDAD 148</v>
      </c>
      <c r="D3936" s="6" t="str">
        <f ca="1">IFERROR(__xludf.DUMMYFUNCTION("""COMPUTED_VALUE"""),"QUILPUÉ")</f>
        <v>QUILPUÉ</v>
      </c>
    </row>
    <row r="3937" spans="1:4">
      <c r="A3937" s="7">
        <f ca="1">IFERROR(__xludf.DUMMYFUNCTION("""COMPUTED_VALUE"""),44357)</f>
        <v>44357</v>
      </c>
      <c r="B3937" s="8" t="str">
        <f ca="1">IFERROR(__xludf.DUMMYFUNCTION("""COMPUTED_VALUE"""),"-33.688977,-71.226655")</f>
        <v>-33.688977,-71.226655</v>
      </c>
      <c r="C3937" s="6" t="str">
        <f ca="1">IFERROR(__xludf.DUMMYFUNCTION("""COMPUTED_VALUE"""),"PJE LAS ORQUIDEAS 1292 ")</f>
        <v xml:space="preserve">PJE LAS ORQUIDEAS 1292 </v>
      </c>
      <c r="D3937" s="6" t="str">
        <f ca="1">IFERROR(__xludf.DUMMYFUNCTION("""COMPUTED_VALUE"""),"MELIPILLA")</f>
        <v>MELIPILLA</v>
      </c>
    </row>
    <row r="3938" spans="1:4">
      <c r="A3938" s="7">
        <f ca="1">IFERROR(__xludf.DUMMYFUNCTION("""COMPUTED_VALUE"""),44357)</f>
        <v>44357</v>
      </c>
      <c r="B3938" s="8" t="str">
        <f ca="1">IFERROR(__xludf.DUMMYFUNCTION("""COMPUTED_VALUE"""),"-33.1914826,-70.7997791")</f>
        <v>-33.1914826,-70.7997791</v>
      </c>
      <c r="C3938" s="6" t="str">
        <f ca="1">IFERROR(__xludf.DUMMYFUNCTION("""COMPUTED_VALUE"""),"MIRADOR DEL VALLE ")</f>
        <v xml:space="preserve">MIRADOR DEL VALLE </v>
      </c>
      <c r="D3938" s="6" t="str">
        <f ca="1">IFERROR(__xludf.DUMMYFUNCTION("""COMPUTED_VALUE"""),"LAMPA")</f>
        <v>LAMPA</v>
      </c>
    </row>
    <row r="3939" spans="1:4">
      <c r="A3939" s="7">
        <f ca="1">IFERROR(__xludf.DUMMYFUNCTION("""COMPUTED_VALUE"""),44357)</f>
        <v>44357</v>
      </c>
      <c r="B3939" s="6" t="str">
        <f ca="1">IFERROR(__xludf.DUMMYFUNCTION("""COMPUTED_VALUE"""),"-33.698333-70.673916")</f>
        <v>-33.698333-70.673916</v>
      </c>
      <c r="C3939" s="6" t="str">
        <f ca="1">IFERROR(__xludf.DUMMYFUNCTION("""COMPUTED_VALUE"""),"PADRE HURTADO 3796")</f>
        <v>PADRE HURTADO 3796</v>
      </c>
      <c r="D3939" s="6" t="str">
        <f ca="1">IFERROR(__xludf.DUMMYFUNCTION("""COMPUTED_VALUE"""),"BUIN")</f>
        <v>BUIN</v>
      </c>
    </row>
    <row r="3940" spans="1:4">
      <c r="A3940" s="7">
        <f ca="1">IFERROR(__xludf.DUMMYFUNCTION("""COMPUTED_VALUE"""),44357)</f>
        <v>44357</v>
      </c>
      <c r="B3940" s="6" t="str">
        <f ca="1">IFERROR(__xludf.DUMMYFUNCTION("""COMPUTED_VALUE"""),"-33.3852679-71.1810557")</f>
        <v>-33.3852679-71.1810557</v>
      </c>
      <c r="C3940" s="6" t="str">
        <f ca="1">IFERROR(__xludf.DUMMYFUNCTION("""COMPUTED_VALUE"""),"HACIENDA CURACAVI L-51")</f>
        <v>HACIENDA CURACAVI L-51</v>
      </c>
      <c r="D3940" s="6" t="str">
        <f ca="1">IFERROR(__xludf.DUMMYFUNCTION("""COMPUTED_VALUE"""),"CURACAVI")</f>
        <v>CURACAVI</v>
      </c>
    </row>
    <row r="3941" spans="1:4">
      <c r="A3941" s="7">
        <f ca="1">IFERROR(__xludf.DUMMYFUNCTION("""COMPUTED_VALUE"""),44357)</f>
        <v>44357</v>
      </c>
      <c r="B3941" s="6" t="str">
        <f ca="1">IFERROR(__xludf.DUMMYFUNCTION("""COMPUTED_VALUE"""),"-33.324505-70.765834")</f>
        <v>-33.324505-70.765834</v>
      </c>
      <c r="C3941" s="6" t="str">
        <f ca="1">IFERROR(__xludf.DUMMYFUNCTION("""COMPUTED_VALUE"""),"BLANCA ESTELA 530")</f>
        <v>BLANCA ESTELA 530</v>
      </c>
      <c r="D3941" s="6" t="str">
        <f ca="1">IFERROR(__xludf.DUMMYFUNCTION("""COMPUTED_VALUE"""),"LAMPA")</f>
        <v>LAMPA</v>
      </c>
    </row>
    <row r="3942" spans="1:4">
      <c r="A3942" s="7">
        <f ca="1">IFERROR(__xludf.DUMMYFUNCTION("""COMPUTED_VALUE"""),44357)</f>
        <v>44357</v>
      </c>
      <c r="B3942" s="6" t="str">
        <f ca="1">IFERROR(__xludf.DUMMYFUNCTION("""COMPUTED_VALUE"""),"-33.79967-71.21303")</f>
        <v>-33.79967-71.21303</v>
      </c>
      <c r="C3942" s="6" t="str">
        <f ca="1">IFERROR(__xludf.DUMMYFUNCTION("""COMPUTED_VALUE"""),"DIBUJO S/N P 65")</f>
        <v>DIBUJO S/N P 65</v>
      </c>
      <c r="D3942" s="6" t="str">
        <f ca="1">IFERROR(__xludf.DUMMYFUNCTION("""COMPUTED_VALUE"""),"MELIPILLA")</f>
        <v>MELIPILLA</v>
      </c>
    </row>
    <row r="3943" spans="1:4">
      <c r="A3943" s="7">
        <f ca="1">IFERROR(__xludf.DUMMYFUNCTION("""COMPUTED_VALUE"""),44357)</f>
        <v>44357</v>
      </c>
      <c r="B3943" s="6" t="str">
        <f ca="1">IFERROR(__xludf.DUMMYFUNCTION("""COMPUTED_VALUE"""),"-33.304855-70.864261")</f>
        <v>-33.304855-70.864261</v>
      </c>
      <c r="C3943" s="6" t="str">
        <f ca="1">IFERROR(__xludf.DUMMYFUNCTION("""COMPUTED_VALUE"""),"LOS CIPRECES 524")</f>
        <v>LOS CIPRECES 524</v>
      </c>
      <c r="D3943" s="6" t="str">
        <f ca="1">IFERROR(__xludf.DUMMYFUNCTION("""COMPUTED_VALUE"""),"LAMPA")</f>
        <v>LAMPA</v>
      </c>
    </row>
    <row r="3944" spans="1:4">
      <c r="A3944" s="7">
        <f ca="1">IFERROR(__xludf.DUMMYFUNCTION("""COMPUTED_VALUE"""),44357)</f>
        <v>44357</v>
      </c>
      <c r="B3944" s="6" t="str">
        <f ca="1">IFERROR(__xludf.DUMMYFUNCTION("""COMPUTED_VALUE"""),"-33.624711,-71.197789")</f>
        <v>-33.624711,-71.197789</v>
      </c>
      <c r="C3944" s="6" t="str">
        <f ca="1">IFERROR(__xludf.DUMMYFUNCTION("""COMPUTED_VALUE"""),"CALLEJON EL LIMONAL 16 ")</f>
        <v xml:space="preserve">CALLEJON EL LIMONAL 16 </v>
      </c>
      <c r="D3944" s="6" t="str">
        <f ca="1">IFERROR(__xludf.DUMMYFUNCTION("""COMPUTED_VALUE"""),"MELIPILLA")</f>
        <v>MELIPILLA</v>
      </c>
    </row>
    <row r="3945" spans="1:4">
      <c r="A3945" s="7">
        <f ca="1">IFERROR(__xludf.DUMMYFUNCTION("""COMPUTED_VALUE"""),44357)</f>
        <v>44357</v>
      </c>
      <c r="B3945" s="6" t="str">
        <f ca="1">IFERROR(__xludf.DUMMYFUNCTION("""COMPUTED_VALUE"""),"-33.767539,-71.282881")</f>
        <v>-33.767539,-71.282881</v>
      </c>
      <c r="C3945" s="6" t="str">
        <f ca="1">IFERROR(__xludf.DUMMYFUNCTION("""COMPUTED_VALUE"""),"CO VECINAL S/N CV1 SAN MANUEL ")</f>
        <v xml:space="preserve">CO VECINAL S/N CV1 SAN MANUEL </v>
      </c>
      <c r="D3945" s="6" t="str">
        <f ca="1">IFERROR(__xludf.DUMMYFUNCTION("""COMPUTED_VALUE"""),"MELIPILLA")</f>
        <v>MELIPILLA</v>
      </c>
    </row>
    <row r="3946" spans="1:4">
      <c r="A3946" s="7">
        <f ca="1">IFERROR(__xludf.DUMMYFUNCTION("""COMPUTED_VALUE"""),44357)</f>
        <v>44357</v>
      </c>
      <c r="B3946" s="8" t="str">
        <f ca="1">IFERROR(__xludf.DUMMYFUNCTION("""COMPUTED_VALUE"""),"-33.183670,-70.669350")</f>
        <v>-33.183670,-70.669350</v>
      </c>
      <c r="C3946" s="6" t="str">
        <f ca="1">IFERROR(__xludf.DUMMYFUNCTION("""COMPUTED_VALUE"""),"DOMINGO SILVA 2681")</f>
        <v>DOMINGO SILVA 2681</v>
      </c>
      <c r="D3946" s="6" t="str">
        <f ca="1">IFERROR(__xludf.DUMMYFUNCTION("""COMPUTED_VALUE"""),"COLINA")</f>
        <v>COLINA</v>
      </c>
    </row>
    <row r="3947" spans="1:4">
      <c r="A3947" s="7">
        <f ca="1">IFERROR(__xludf.DUMMYFUNCTION("""COMPUTED_VALUE"""),44357)</f>
        <v>44357</v>
      </c>
      <c r="B3947" s="6" t="str">
        <f ca="1">IFERROR(__xludf.DUMMYFUNCTION("""COMPUTED_VALUE"""),"-33.067981-71.413954")</f>
        <v>-33.067981-71.413954</v>
      </c>
      <c r="C3947" s="6" t="str">
        <f ca="1">IFERROR(__xludf.DUMMYFUNCTION("""COMPUTED_VALUE"""),"LAGO PANGUIPULLI 2468")</f>
        <v>LAGO PANGUIPULLI 2468</v>
      </c>
      <c r="D3947" s="6" t="str">
        <f ca="1">IFERROR(__xludf.DUMMYFUNCTION("""COMPUTED_VALUE"""),"QUILPUÉ")</f>
        <v>QUILPUÉ</v>
      </c>
    </row>
    <row r="3948" spans="1:4">
      <c r="A3948" s="7">
        <f ca="1">IFERROR(__xludf.DUMMYFUNCTION("""COMPUTED_VALUE"""),44358)</f>
        <v>44358</v>
      </c>
      <c r="B3948" s="8" t="str">
        <f ca="1">IFERROR(__xludf.DUMMYFUNCTION("""COMPUTED_VALUE"""),"-33.304309,-70.857162")</f>
        <v>-33.304309,-70.857162</v>
      </c>
      <c r="C3948" s="6" t="str">
        <f ca="1">IFERROR(__xludf.DUMMYFUNCTION("""COMPUTED_VALUE"""),"SAN MARTIN 90 ")</f>
        <v xml:space="preserve">SAN MARTIN 90 </v>
      </c>
      <c r="D3948" s="6" t="str">
        <f ca="1">IFERROR(__xludf.DUMMYFUNCTION("""COMPUTED_VALUE"""),"LAMPA")</f>
        <v>LAMPA</v>
      </c>
    </row>
    <row r="3949" spans="1:4">
      <c r="A3949" s="7">
        <f ca="1">IFERROR(__xludf.DUMMYFUNCTION("""COMPUTED_VALUE"""),44358)</f>
        <v>44358</v>
      </c>
      <c r="B3949" s="6" t="str">
        <f ca="1">IFERROR(__xludf.DUMMYFUNCTION("""COMPUTED_VALUE"""),"-33.3940899-71.0458767")</f>
        <v>-33.3940899-71.0458767</v>
      </c>
      <c r="C3949" s="6" t="str">
        <f ca="1">IFERROR(__xludf.DUMMYFUNCTION("""COMPUTED_VALUE"""),"RUTA 68 KM 36,5")</f>
        <v>RUTA 68 KM 36,5</v>
      </c>
      <c r="D3949" s="6" t="str">
        <f ca="1">IFERROR(__xludf.DUMMYFUNCTION("""COMPUTED_VALUE"""),"CURACAVI")</f>
        <v>CURACAVI</v>
      </c>
    </row>
    <row r="3950" spans="1:4">
      <c r="A3950" s="7">
        <f ca="1">IFERROR(__xludf.DUMMYFUNCTION("""COMPUTED_VALUE"""),44358)</f>
        <v>44358</v>
      </c>
      <c r="B3950" s="6" t="str">
        <f ca="1">IFERROR(__xludf.DUMMYFUNCTION("""COMPUTED_VALUE"""),"-33.4094772-71.1468195")</f>
        <v>-33.4094772-71.1468195</v>
      </c>
      <c r="C3950" s="6" t="str">
        <f ca="1">IFERROR(__xludf.DUMMYFUNCTION("""COMPUTED_VALUE"""),"AMBROSIO OHIGGINS 448")</f>
        <v>AMBROSIO OHIGGINS 448</v>
      </c>
      <c r="D3950" s="6" t="str">
        <f ca="1">IFERROR(__xludf.DUMMYFUNCTION("""COMPUTED_VALUE"""),"CURACAVI")</f>
        <v>CURACAVI</v>
      </c>
    </row>
    <row r="3951" spans="1:4">
      <c r="A3951" s="7">
        <f ca="1">IFERROR(__xludf.DUMMYFUNCTION("""COMPUTED_VALUE"""),44358)</f>
        <v>44358</v>
      </c>
      <c r="B3951" s="6" t="str">
        <f ca="1">IFERROR(__xludf.DUMMYFUNCTION("""COMPUTED_VALUE"""),"-33.676467-70.980445")</f>
        <v>-33.676467-70.980445</v>
      </c>
      <c r="C3951" s="6" t="str">
        <f ca="1">IFERROR(__xludf.DUMMYFUNCTION("""COMPUTED_VALUE"""),"DOÑA JAVIERA 190")</f>
        <v>DOÑA JAVIERA 190</v>
      </c>
      <c r="D3951" s="6" t="str">
        <f ca="1">IFERROR(__xludf.DUMMYFUNCTION("""COMPUTED_VALUE"""),"EL MONTE")</f>
        <v>EL MONTE</v>
      </c>
    </row>
    <row r="3952" spans="1:4">
      <c r="A3952" s="7">
        <f ca="1">IFERROR(__xludf.DUMMYFUNCTION("""COMPUTED_VALUE"""),44358)</f>
        <v>44358</v>
      </c>
      <c r="B3952" s="6" t="str">
        <f ca="1">IFERROR(__xludf.DUMMYFUNCTION("""COMPUTED_VALUE"""),"-33.673307-70.986518")</f>
        <v>-33.673307-70.986518</v>
      </c>
      <c r="C3952" s="6" t="str">
        <f ca="1">IFERROR(__xludf.DUMMYFUNCTION("""COMPUTED_VALUE"""),"LA ESTACION 441")</f>
        <v>LA ESTACION 441</v>
      </c>
      <c r="D3952" s="6" t="str">
        <f ca="1">IFERROR(__xludf.DUMMYFUNCTION("""COMPUTED_VALUE"""),"EL MONTE")</f>
        <v>EL MONTE</v>
      </c>
    </row>
    <row r="3953" spans="1:4">
      <c r="A3953" s="7">
        <f ca="1">IFERROR(__xludf.DUMMYFUNCTION("""COMPUTED_VALUE"""),44358)</f>
        <v>44358</v>
      </c>
      <c r="B3953" s="6" t="str">
        <f ca="1">IFERROR(__xludf.DUMMYFUNCTION("""COMPUTED_VALUE"""),"-33.79596-71.187681")</f>
        <v>-33.79596-71.187681</v>
      </c>
      <c r="C3953" s="6" t="str">
        <f ca="1">IFERROR(__xludf.DUMMYFUNCTION("""COMPUTED_VALUE"""),"LOS NARANJOS PARCELA 128")</f>
        <v>LOS NARANJOS PARCELA 128</v>
      </c>
      <c r="D3953" s="6" t="str">
        <f ca="1">IFERROR(__xludf.DUMMYFUNCTION("""COMPUTED_VALUE"""),"CURACAVI")</f>
        <v>CURACAVI</v>
      </c>
    </row>
    <row r="3954" spans="1:4">
      <c r="A3954" s="7">
        <f ca="1">IFERROR(__xludf.DUMMYFUNCTION("""COMPUTED_VALUE"""),44358)</f>
        <v>44358</v>
      </c>
      <c r="B3954" s="6" t="str">
        <f ca="1">IFERROR(__xludf.DUMMYFUNCTION("""COMPUTED_VALUE"""),"-33.390301-71.131028")</f>
        <v>-33.390301-71.131028</v>
      </c>
      <c r="C3954" s="6" t="str">
        <f ca="1">IFERROR(__xludf.DUMMYFUNCTION("""COMPUTED_VALUE"""),"MARIA AVILA REYES 116")</f>
        <v>MARIA AVILA REYES 116</v>
      </c>
      <c r="D3954" s="6" t="str">
        <f ca="1">IFERROR(__xludf.DUMMYFUNCTION("""COMPUTED_VALUE"""),"CURACAVI")</f>
        <v>CURACAVI</v>
      </c>
    </row>
    <row r="3955" spans="1:4">
      <c r="A3955" s="7">
        <f ca="1">IFERROR(__xludf.DUMMYFUNCTION("""COMPUTED_VALUE"""),44358)</f>
        <v>44358</v>
      </c>
      <c r="B3955" s="6" t="str">
        <f ca="1">IFERROR(__xludf.DUMMYFUNCTION("""COMPUTED_VALUE"""),"-33.469207-71.062019")</f>
        <v>-33.469207-71.062019</v>
      </c>
      <c r="C3955" s="6" t="str">
        <f ca="1">IFERROR(__xludf.DUMMYFUNCTION("""COMPUTED_VALUE"""),"LO ALVARADO 1570")</f>
        <v>LO ALVARADO 1570</v>
      </c>
      <c r="D3955" s="6" t="str">
        <f ca="1">IFERROR(__xludf.DUMMYFUNCTION("""COMPUTED_VALUE"""),"CURACAVI")</f>
        <v>CURACAVI</v>
      </c>
    </row>
    <row r="3956" spans="1:4">
      <c r="A3956" s="7">
        <f ca="1">IFERROR(__xludf.DUMMYFUNCTION("""COMPUTED_VALUE"""),44358)</f>
        <v>44358</v>
      </c>
      <c r="B3956" s="6" t="str">
        <f ca="1">IFERROR(__xludf.DUMMYFUNCTION("""COMPUTED_VALUE"""),"-33.398306-71.166542")</f>
        <v>-33.398306-71.166542</v>
      </c>
      <c r="C3956" s="6" t="str">
        <f ca="1">IFERROR(__xludf.DUMMYFUNCTION("""COMPUTED_VALUE"""),"CAMINO EL TORO, CONDOMINIO MIRADOR DEL VALLE PARCELA 2")</f>
        <v>CAMINO EL TORO, CONDOMINIO MIRADOR DEL VALLE PARCELA 2</v>
      </c>
      <c r="D3956" s="6" t="str">
        <f ca="1">IFERROR(__xludf.DUMMYFUNCTION("""COMPUTED_VALUE"""),"CURACAVI")</f>
        <v>CURACAVI</v>
      </c>
    </row>
    <row r="3957" spans="1:4">
      <c r="A3957" s="7">
        <f ca="1">IFERROR(__xludf.DUMMYFUNCTION("""COMPUTED_VALUE"""),44358)</f>
        <v>44358</v>
      </c>
      <c r="B3957" s="6" t="str">
        <f ca="1">IFERROR(__xludf.DUMMYFUNCTION("""COMPUTED_VALUE"""),"-33.75773-71.32328")</f>
        <v>-33.75773-71.32328</v>
      </c>
      <c r="C3957" s="6" t="str">
        <f ca="1">IFERROR(__xludf.DUMMYFUNCTION("""COMPUTED_VALUE"""),"CAMINO PRINCIPAL S/N CADIGUA")</f>
        <v>CAMINO PRINCIPAL S/N CADIGUA</v>
      </c>
      <c r="D3957" s="6" t="str">
        <f ca="1">IFERROR(__xludf.DUMMYFUNCTION("""COMPUTED_VALUE"""),"MELIPILLA")</f>
        <v>MELIPILLA</v>
      </c>
    </row>
    <row r="3958" spans="1:4">
      <c r="A3958" s="7">
        <f ca="1">IFERROR(__xludf.DUMMYFUNCTION("""COMPUTED_VALUE"""),44358)</f>
        <v>44358</v>
      </c>
      <c r="B3958" s="6" t="str">
        <f ca="1">IFERROR(__xludf.DUMMYFUNCTION("""COMPUTED_VALUE"""),"-33.79837-71.30005")</f>
        <v>-33.79837-71.30005</v>
      </c>
      <c r="C3958" s="6" t="str">
        <f ca="1">IFERROR(__xludf.DUMMYFUNCTION("""COMPUTED_VALUE"""),"NANDINGA 36 A")</f>
        <v>NANDINGA 36 A</v>
      </c>
      <c r="D3958" s="6" t="str">
        <f ca="1">IFERROR(__xludf.DUMMYFUNCTION("""COMPUTED_VALUE"""),"MELIPILLA")</f>
        <v>MELIPILLA</v>
      </c>
    </row>
    <row r="3959" spans="1:4">
      <c r="A3959" s="7">
        <f ca="1">IFERROR(__xludf.DUMMYFUNCTION("""COMPUTED_VALUE"""),44358)</f>
        <v>44358</v>
      </c>
      <c r="B3959" s="6" t="str">
        <f ca="1">IFERROR(__xludf.DUMMYFUNCTION("""COMPUTED_VALUE"""),"-33.683246,-71.235179")</f>
        <v>-33.683246,-71.235179</v>
      </c>
      <c r="C3959" s="6" t="str">
        <f ca="1">IFERROR(__xludf.DUMMYFUNCTION("""COMPUTED_VALUE"""),"PASAJE  VOLUNT SARA QUEZADA DE BUSTOS 2249")</f>
        <v>PASAJE  VOLUNT SARA QUEZADA DE BUSTOS 2249</v>
      </c>
      <c r="D3959" s="6" t="str">
        <f ca="1">IFERROR(__xludf.DUMMYFUNCTION("""COMPUTED_VALUE"""),"MELIPILLA")</f>
        <v>MELIPILLA</v>
      </c>
    </row>
    <row r="3960" spans="1:4">
      <c r="A3960" s="7">
        <f ca="1">IFERROR(__xludf.DUMMYFUNCTION("""COMPUTED_VALUE"""),44358)</f>
        <v>44358</v>
      </c>
      <c r="B3960" s="8" t="str">
        <f ca="1">IFERROR(__xludf.DUMMYFUNCTION("""COMPUTED_VALUE"""),"-33.686893,-70915031")</f>
        <v>-33.686893,-70915031</v>
      </c>
      <c r="C3960" s="6" t="str">
        <f ca="1">IFERROR(__xludf.DUMMYFUNCTION("""COMPUTED_VALUE"""),"PARCELA STA CRISTINA")</f>
        <v>PARCELA STA CRISTINA</v>
      </c>
      <c r="D3960" s="6" t="str">
        <f ca="1">IFERROR(__xludf.DUMMYFUNCTION("""COMPUTED_VALUE"""),"TALAGANTE")</f>
        <v>TALAGANTE</v>
      </c>
    </row>
    <row r="3961" spans="1:4">
      <c r="A3961" s="7">
        <f ca="1">IFERROR(__xludf.DUMMYFUNCTION("""COMPUTED_VALUE"""),44358)</f>
        <v>44358</v>
      </c>
      <c r="B3961" s="8" t="str">
        <f ca="1">IFERROR(__xludf.DUMMYFUNCTION("""COMPUTED_VALUE"""),"-33.686893,-70915031")</f>
        <v>-33.686893,-70915031</v>
      </c>
      <c r="C3961" s="6" t="str">
        <f ca="1">IFERROR(__xludf.DUMMYFUNCTION("""COMPUTED_VALUE"""),"PARCELA STA CRISTINA")</f>
        <v>PARCELA STA CRISTINA</v>
      </c>
      <c r="D3961" s="6" t="str">
        <f ca="1">IFERROR(__xludf.DUMMYFUNCTION("""COMPUTED_VALUE"""),"TALAGANTE")</f>
        <v>TALAGANTE</v>
      </c>
    </row>
    <row r="3962" spans="1:4">
      <c r="A3962" s="7">
        <f ca="1">IFERROR(__xludf.DUMMYFUNCTION("""COMPUTED_VALUE"""),44358)</f>
        <v>44358</v>
      </c>
      <c r="B3962" s="8" t="str">
        <f ca="1">IFERROR(__xludf.DUMMYFUNCTION("""COMPUTED_VALUE"""),"-33.576616,-70.768688")</f>
        <v>-33.576616,-70.768688</v>
      </c>
      <c r="C3962" s="6" t="str">
        <f ca="1">IFERROR(__xludf.DUMMYFUNCTION("""COMPUTED_VALUE"""),"LO HERMITA ")</f>
        <v xml:space="preserve">LO HERMITA </v>
      </c>
      <c r="D3962" s="6" t="str">
        <f ca="1">IFERROR(__xludf.DUMMYFUNCTION("""COMPUTED_VALUE"""),"CALERA DE TANGO")</f>
        <v>CALERA DE TANGO</v>
      </c>
    </row>
    <row r="3963" spans="1:4">
      <c r="A3963" s="7">
        <f ca="1">IFERROR(__xludf.DUMMYFUNCTION("""COMPUTED_VALUE"""),44358)</f>
        <v>44358</v>
      </c>
      <c r="B3963" s="6" t="str">
        <f ca="1">IFERROR(__xludf.DUMMYFUNCTION("""COMPUTED_VALUE"""),"-33.0520-71.4078")</f>
        <v>-33.0520-71.4078</v>
      </c>
      <c r="C3963" s="6" t="str">
        <f ca="1">IFERROR(__xludf.DUMMYFUNCTION("""COMPUTED_VALUE"""),"SAN JORGE 521")</f>
        <v>SAN JORGE 521</v>
      </c>
      <c r="D3963" s="6" t="str">
        <f ca="1">IFERROR(__xludf.DUMMYFUNCTION("""COMPUTED_VALUE"""),"QUILPUÉ")</f>
        <v>QUILPUÉ</v>
      </c>
    </row>
    <row r="3964" spans="1:4">
      <c r="A3964" s="7">
        <f ca="1">IFERROR(__xludf.DUMMYFUNCTION("""COMPUTED_VALUE"""),44359)</f>
        <v>44359</v>
      </c>
      <c r="B3964" s="6" t="str">
        <f ca="1">IFERROR(__xludf.DUMMYFUNCTION("""COMPUTED_VALUE"""),"-33.398988-71.122544")</f>
        <v>-33.398988-71.122544</v>
      </c>
      <c r="C3964" s="6" t="str">
        <f ca="1">IFERROR(__xludf.DUMMYFUNCTION("""COMPUTED_VALUE"""),"MIGUEL GUERRERO 275")</f>
        <v>MIGUEL GUERRERO 275</v>
      </c>
      <c r="D3964" s="6" t="str">
        <f ca="1">IFERROR(__xludf.DUMMYFUNCTION("""COMPUTED_VALUE"""),"CURACAVI")</f>
        <v>CURACAVI</v>
      </c>
    </row>
    <row r="3965" spans="1:4">
      <c r="A3965" s="7">
        <f ca="1">IFERROR(__xludf.DUMMYFUNCTION("""COMPUTED_VALUE"""),44359)</f>
        <v>44359</v>
      </c>
      <c r="B3965" s="6" t="str">
        <f ca="1">IFERROR(__xludf.DUMMYFUNCTION("""COMPUTED_VALUE"""),"-33.400905-71.166809")</f>
        <v>-33.400905-71.166809</v>
      </c>
      <c r="C3965" s="6" t="str">
        <f ca="1">IFERROR(__xludf.DUMMYFUNCTION("""COMPUTED_VALUE"""),"EL NARANJO PARCELA 5 S/N")</f>
        <v>EL NARANJO PARCELA 5 S/N</v>
      </c>
      <c r="D3965" s="6" t="str">
        <f ca="1">IFERROR(__xludf.DUMMYFUNCTION("""COMPUTED_VALUE"""),"CURACAVI")</f>
        <v>CURACAVI</v>
      </c>
    </row>
    <row r="3966" spans="1:4">
      <c r="A3966" s="7">
        <f ca="1">IFERROR(__xludf.DUMMYFUNCTION("""COMPUTED_VALUE"""),44359)</f>
        <v>44359</v>
      </c>
      <c r="B3966" s="6" t="str">
        <f ca="1">IFERROR(__xludf.DUMMYFUNCTION("""COMPUTED_VALUE"""),"-33.6062-70.86667")</f>
        <v>-33.6062-70.86667</v>
      </c>
      <c r="C3966" s="6" t="str">
        <f ca="1">IFERROR(__xludf.DUMMYFUNCTION("""COMPUTED_VALUE"""),"BRUSELAS 653")</f>
        <v>BRUSELAS 653</v>
      </c>
      <c r="D3966" s="6" t="str">
        <f ca="1">IFERROR(__xludf.DUMMYFUNCTION("""COMPUTED_VALUE"""),"PEÑAFLOR")</f>
        <v>PEÑAFLOR</v>
      </c>
    </row>
    <row r="3967" spans="1:4">
      <c r="A3967" s="7">
        <f ca="1">IFERROR(__xludf.DUMMYFUNCTION("""COMPUTED_VALUE"""),44359)</f>
        <v>44359</v>
      </c>
      <c r="B3967" s="6" t="str">
        <f ca="1">IFERROR(__xludf.DUMMYFUNCTION("""COMPUTED_VALUE"""),"-33.218030,-70.683334")</f>
        <v>-33.218030,-70.683334</v>
      </c>
      <c r="C3967" s="6" t="str">
        <f ca="1">IFERROR(__xludf.DUMMYFUNCTION("""COMPUTED_VALUE"""),"CALLE LOS ESTABLOS  124")</f>
        <v>CALLE LOS ESTABLOS  124</v>
      </c>
      <c r="D3967" s="6" t="str">
        <f ca="1">IFERROR(__xludf.DUMMYFUNCTION("""COMPUTED_VALUE"""),"COLINA")</f>
        <v>COLINA</v>
      </c>
    </row>
    <row r="3968" spans="1:4">
      <c r="A3968" s="7">
        <f ca="1">IFERROR(__xludf.DUMMYFUNCTION("""COMPUTED_VALUE"""),44361)</f>
        <v>44361</v>
      </c>
      <c r="B3968" s="8" t="str">
        <f ca="1">IFERROR(__xludf.DUMMYFUNCTION("""COMPUTED_VALUE"""),"-33.680187,-71.204408")</f>
        <v>-33.680187,-71.204408</v>
      </c>
      <c r="C3968" s="6" t="str">
        <f ca="1">IFERROR(__xludf.DUMMYFUNCTION("""COMPUTED_VALUE"""),"PJE DOCTOR HUNB JARA 0100")</f>
        <v>PJE DOCTOR HUNB JARA 0100</v>
      </c>
      <c r="D3968" s="6" t="str">
        <f ca="1">IFERROR(__xludf.DUMMYFUNCTION("""COMPUTED_VALUE"""),"MELIPILLA")</f>
        <v>MELIPILLA</v>
      </c>
    </row>
    <row r="3969" spans="1:4">
      <c r="A3969" s="7">
        <f ca="1">IFERROR(__xludf.DUMMYFUNCTION("""COMPUTED_VALUE"""),44361)</f>
        <v>44361</v>
      </c>
      <c r="B3969" s="8" t="str">
        <f ca="1">IFERROR(__xludf.DUMMYFUNCTION("""COMPUTED_VALUE"""),"-33.571988,-71.211601")</f>
        <v>-33.571988,-71.211601</v>
      </c>
      <c r="C3969" s="6" t="str">
        <f ca="1">IFERROR(__xludf.DUMMYFUNCTION("""COMPUTED_VALUE"""),"RANCAGUA 27")</f>
        <v>RANCAGUA 27</v>
      </c>
      <c r="D3969" s="6" t="str">
        <f ca="1">IFERROR(__xludf.DUMMYFUNCTION("""COMPUTED_VALUE"""),"MELIPILLA")</f>
        <v>MELIPILLA</v>
      </c>
    </row>
    <row r="3970" spans="1:4">
      <c r="A3970" s="7">
        <f ca="1">IFERROR(__xludf.DUMMYFUNCTION("""COMPUTED_VALUE"""),44361)</f>
        <v>44361</v>
      </c>
      <c r="B3970" s="6" t="str">
        <f ca="1">IFERROR(__xludf.DUMMYFUNCTION("""COMPUTED_VALUE"""),"-33.50778-71.14754")</f>
        <v>-33.50778-71.14754</v>
      </c>
      <c r="C3970" s="6" t="str">
        <f ca="1">IFERROR(__xludf.DUMMYFUNCTION("""COMPUTED_VALUE"""),"IBACACHE SITIO O")</f>
        <v>IBACACHE SITIO O</v>
      </c>
      <c r="D3970" s="6" t="str">
        <f ca="1">IFERROR(__xludf.DUMMYFUNCTION("""COMPUTED_VALUE"""),"MARIA PINTO")</f>
        <v>MARIA PINTO</v>
      </c>
    </row>
    <row r="3971" spans="1:4">
      <c r="A3971" s="7">
        <f ca="1">IFERROR(__xludf.DUMMYFUNCTION("""COMPUTED_VALUE"""),44361)</f>
        <v>44361</v>
      </c>
      <c r="B3971" s="6" t="str">
        <f ca="1">IFERROR(__xludf.DUMMYFUNCTION("""COMPUTED_VALUE"""),"-33.727.851-70.740429")</f>
        <v>-33.727.851-70.740429</v>
      </c>
      <c r="C3971" s="6" t="str">
        <f ca="1">IFERROR(__xludf.DUMMYFUNCTION("""COMPUTED_VALUE"""),"PA LUXEMBURGO 363")</f>
        <v>PA LUXEMBURGO 363</v>
      </c>
      <c r="D3971" s="6" t="str">
        <f ca="1">IFERROR(__xludf.DUMMYFUNCTION("""COMPUTED_VALUE"""),"BUIN")</f>
        <v>BUIN</v>
      </c>
    </row>
    <row r="3972" spans="1:4">
      <c r="A3972" s="7">
        <f ca="1">IFERROR(__xludf.DUMMYFUNCTION("""COMPUTED_VALUE"""),44361)</f>
        <v>44361</v>
      </c>
      <c r="B3972" s="6" t="str">
        <f ca="1">IFERROR(__xludf.DUMMYFUNCTION("""COMPUTED_VALUE"""),"-33.4913-71.07769")</f>
        <v>-33.4913-71.07769</v>
      </c>
      <c r="C3972" s="6" t="str">
        <f ca="1">IFERROR(__xludf.DUMMYFUNCTION("""COMPUTED_VALUE"""),"LO OVALLE S/N PARCELA 60")</f>
        <v>LO OVALLE S/N PARCELA 60</v>
      </c>
      <c r="D3972" s="6" t="str">
        <f ca="1">IFERROR(__xludf.DUMMYFUNCTION("""COMPUTED_VALUE"""),"MARIA PINTO")</f>
        <v>MARIA PINTO</v>
      </c>
    </row>
    <row r="3973" spans="1:4">
      <c r="A3973" s="7">
        <f ca="1">IFERROR(__xludf.DUMMYFUNCTION("""COMPUTED_VALUE"""),44361)</f>
        <v>44361</v>
      </c>
      <c r="B3973" s="6" t="str">
        <f ca="1">IFERROR(__xludf.DUMMYFUNCTION("""COMPUTED_VALUE"""),"-33.49109-71.07693")</f>
        <v>-33.49109-71.07693</v>
      </c>
      <c r="C3973" s="6" t="str">
        <f ca="1">IFERROR(__xludf.DUMMYFUNCTION("""COMPUTED_VALUE"""),"LO AVALLE S/N CV5")</f>
        <v>LO AVALLE S/N CV5</v>
      </c>
      <c r="D3973" s="6" t="str">
        <f ca="1">IFERROR(__xludf.DUMMYFUNCTION("""COMPUTED_VALUE"""),"MARIA PINTO")</f>
        <v>MARIA PINTO</v>
      </c>
    </row>
    <row r="3974" spans="1:4">
      <c r="A3974" s="7">
        <f ca="1">IFERROR(__xludf.DUMMYFUNCTION("""COMPUTED_VALUE"""),44361)</f>
        <v>44361</v>
      </c>
      <c r="B3974" s="6" t="str">
        <f ca="1">IFERROR(__xludf.DUMMYFUNCTION("""COMPUTED_VALUE"""),"-33.412431-71.152563")</f>
        <v>-33.412431-71.152563</v>
      </c>
      <c r="C3974" s="6" t="str">
        <f ca="1">IFERROR(__xludf.DUMMYFUNCTION("""COMPUTED_VALUE"""),"PASAJE DOS 21 LOTE 3")</f>
        <v>PASAJE DOS 21 LOTE 3</v>
      </c>
      <c r="D3974" s="6" t="str">
        <f ca="1">IFERROR(__xludf.DUMMYFUNCTION("""COMPUTED_VALUE"""),"CURACAVI")</f>
        <v>CURACAVI</v>
      </c>
    </row>
    <row r="3975" spans="1:4">
      <c r="A3975" s="7">
        <f ca="1">IFERROR(__xludf.DUMMYFUNCTION("""COMPUTED_VALUE"""),44361)</f>
        <v>44361</v>
      </c>
      <c r="B3975" s="6" t="str">
        <f ca="1">IFERROR(__xludf.DUMMYFUNCTION("""COMPUTED_VALUE"""),"-33.4074462-71.1324617")</f>
        <v>-33.4074462-71.1324617</v>
      </c>
      <c r="C3975" s="6" t="str">
        <f ca="1">IFERROR(__xludf.DUMMYFUNCTION("""COMPUTED_VALUE"""),"PASAJE ALEJANDRO CONTRERAS 1616")</f>
        <v>PASAJE ALEJANDRO CONTRERAS 1616</v>
      </c>
      <c r="D3975" s="6" t="str">
        <f ca="1">IFERROR(__xludf.DUMMYFUNCTION("""COMPUTED_VALUE"""),"CURACAVI")</f>
        <v>CURACAVI</v>
      </c>
    </row>
    <row r="3976" spans="1:4">
      <c r="A3976" s="7">
        <f ca="1">IFERROR(__xludf.DUMMYFUNCTION("""COMPUTED_VALUE"""),44361)</f>
        <v>44361</v>
      </c>
      <c r="B3976" s="6" t="str">
        <f ca="1">IFERROR(__xludf.DUMMYFUNCTION("""COMPUTED_VALUE"""),"-33.50778-71.14754")</f>
        <v>-33.50778-71.14754</v>
      </c>
      <c r="C3976" s="6" t="str">
        <f ca="1">IFERROR(__xludf.DUMMYFUNCTION("""COMPUTED_VALUE"""),"IBACACHE SITIO O")</f>
        <v>IBACACHE SITIO O</v>
      </c>
      <c r="D3976" s="6" t="str">
        <f ca="1">IFERROR(__xludf.DUMMYFUNCTION("""COMPUTED_VALUE"""),"MARIA PINTO")</f>
        <v>MARIA PINTO</v>
      </c>
    </row>
    <row r="3977" spans="1:4">
      <c r="A3977" s="7">
        <f ca="1">IFERROR(__xludf.DUMMYFUNCTION("""COMPUTED_VALUE"""),44361)</f>
        <v>44361</v>
      </c>
      <c r="B3977" s="6" t="str">
        <f ca="1">IFERROR(__xludf.DUMMYFUNCTION("""COMPUTED_VALUE"""),"-33.564912-70.789205")</f>
        <v>-33.564912-70.789205</v>
      </c>
      <c r="C3977" s="6" t="str">
        <f ca="1">IFERROR(__xludf.DUMMYFUNCTION("""COMPUTED_VALUE"""),"PRIMERA AVENIDA 1225")</f>
        <v>PRIMERA AVENIDA 1225</v>
      </c>
      <c r="D3977" s="6" t="str">
        <f ca="1">IFERROR(__xludf.DUMMYFUNCTION("""COMPUTED_VALUE"""),"PADRE HURTADO")</f>
        <v>PADRE HURTADO</v>
      </c>
    </row>
    <row r="3978" spans="1:4">
      <c r="A3978" s="7">
        <f ca="1">IFERROR(__xludf.DUMMYFUNCTION("""COMPUTED_VALUE"""),44361)</f>
        <v>44361</v>
      </c>
      <c r="B3978" s="6" t="str">
        <f ca="1">IFERROR(__xludf.DUMMYFUNCTION("""COMPUTED_VALUE"""),"-33.564912-70.789205")</f>
        <v>-33.564912-70.789205</v>
      </c>
      <c r="C3978" s="6" t="str">
        <f ca="1">IFERROR(__xludf.DUMMYFUNCTION("""COMPUTED_VALUE"""),"PRIMERA AVENIDA 1225")</f>
        <v>PRIMERA AVENIDA 1225</v>
      </c>
      <c r="D3978" s="6" t="str">
        <f ca="1">IFERROR(__xludf.DUMMYFUNCTION("""COMPUTED_VALUE"""),"PADRE HURTADO")</f>
        <v>PADRE HURTADO</v>
      </c>
    </row>
    <row r="3979" spans="1:4">
      <c r="A3979" s="7">
        <f ca="1">IFERROR(__xludf.DUMMYFUNCTION("""COMPUTED_VALUE"""),44361)</f>
        <v>44361</v>
      </c>
      <c r="B3979" s="6" t="str">
        <f ca="1">IFERROR(__xludf.DUMMYFUNCTION("""COMPUTED_VALUE"""),"-33.575758,-71.074779")</f>
        <v>-33.575758,-71.074779</v>
      </c>
      <c r="C3979" s="6" t="str">
        <f ca="1">IFERROR(__xludf.DUMMYFUNCTION("""COMPUTED_VALUE"""),"SANTA TERESA DE MALLARAUCO S/N")</f>
        <v>SANTA TERESA DE MALLARAUCO S/N</v>
      </c>
      <c r="D3979" s="6" t="str">
        <f ca="1">IFERROR(__xludf.DUMMYFUNCTION("""COMPUTED_VALUE"""),"MELIPILLA")</f>
        <v>MELIPILLA</v>
      </c>
    </row>
    <row r="3980" spans="1:4">
      <c r="A3980" s="7">
        <f ca="1">IFERROR(__xludf.DUMMYFUNCTION("""COMPUTED_VALUE"""),44361)</f>
        <v>44361</v>
      </c>
      <c r="B3980" s="6" t="str">
        <f ca="1">IFERROR(__xludf.DUMMYFUNCTION("""COMPUTED_VALUE"""),"-33.582440,-71.052535")</f>
        <v>-33.582440,-71.052535</v>
      </c>
      <c r="C3980" s="6" t="str">
        <f ca="1">IFERROR(__xludf.DUMMYFUNCTION("""COMPUTED_VALUE"""),"SANTA VICTORIA S/N CV71 MALLARAUCO")</f>
        <v>SANTA VICTORIA S/N CV71 MALLARAUCO</v>
      </c>
      <c r="D3980" s="6" t="str">
        <f ca="1">IFERROR(__xludf.DUMMYFUNCTION("""COMPUTED_VALUE"""),"MELIPILLA")</f>
        <v>MELIPILLA</v>
      </c>
    </row>
    <row r="3981" spans="1:4">
      <c r="A3981" s="7">
        <f ca="1">IFERROR(__xludf.DUMMYFUNCTION("""COMPUTED_VALUE"""),44361)</f>
        <v>44361</v>
      </c>
      <c r="B3981" s="6" t="str">
        <f ca="1">IFERROR(__xludf.DUMMYFUNCTION("""COMPUTED_VALUE"""),"-33.767793,-71.282834")</f>
        <v>-33.767793,-71.282834</v>
      </c>
      <c r="C3981" s="6" t="str">
        <f ca="1">IFERROR(__xludf.DUMMYFUNCTION("""COMPUTED_VALUE"""),"VECINAL S/N SAN MANUEL")</f>
        <v>VECINAL S/N SAN MANUEL</v>
      </c>
      <c r="D3981" s="6" t="str">
        <f ca="1">IFERROR(__xludf.DUMMYFUNCTION("""COMPUTED_VALUE"""),"MELIPILLA")</f>
        <v>MELIPILLA</v>
      </c>
    </row>
    <row r="3982" spans="1:4">
      <c r="A3982" s="7">
        <f ca="1">IFERROR(__xludf.DUMMYFUNCTION("""COMPUTED_VALUE"""),44361)</f>
        <v>44361</v>
      </c>
      <c r="B3982" s="8" t="str">
        <f ca="1">IFERROR(__xludf.DUMMYFUNCTION("""COMPUTED_VALUE"""),"-33.777177,-71.274114")</f>
        <v>-33.777177,-71.274114</v>
      </c>
      <c r="C3982" s="6" t="str">
        <f ca="1">IFERROR(__xludf.DUMMYFUNCTION("""COMPUTED_VALUE"""),"EUROPA ORIENTE")</f>
        <v>EUROPA ORIENTE</v>
      </c>
      <c r="D3982" s="6" t="str">
        <f ca="1">IFERROR(__xludf.DUMMYFUNCTION("""COMPUTED_VALUE"""),"MELIPILLA")</f>
        <v>MELIPILLA</v>
      </c>
    </row>
    <row r="3983" spans="1:4">
      <c r="A3983" s="7">
        <f ca="1">IFERROR(__xludf.DUMMYFUNCTION("""COMPUTED_VALUE"""),44361)</f>
        <v>44361</v>
      </c>
      <c r="B3983" s="8" t="str">
        <f ca="1">IFERROR(__xludf.DUMMYFUNCTION("""COMPUTED_VALUE"""),"-33.698603,-71.204627")</f>
        <v>-33.698603,-71.204627</v>
      </c>
      <c r="C3983" s="6" t="str">
        <f ca="1">IFERROR(__xludf.DUMMYFUNCTION("""COMPUTED_VALUE"""),"EL BAJO S/N")</f>
        <v>EL BAJO S/N</v>
      </c>
      <c r="D3983" s="6" t="str">
        <f ca="1">IFERROR(__xludf.DUMMYFUNCTION("""COMPUTED_VALUE"""),"MELIPILLA")</f>
        <v>MELIPILLA</v>
      </c>
    </row>
    <row r="3984" spans="1:4">
      <c r="A3984" s="7">
        <f ca="1">IFERROR(__xludf.DUMMYFUNCTION("""COMPUTED_VALUE"""),44362)</f>
        <v>44362</v>
      </c>
      <c r="B3984" s="8" t="str">
        <f ca="1">IFERROR(__xludf.DUMMYFUNCTION("""COMPUTED_VALUE"""),"-33.655669,-71.277996")</f>
        <v>-33.655669,-71.277996</v>
      </c>
      <c r="C3984" s="6" t="str">
        <f ca="1">IFERROR(__xludf.DUMMYFUNCTION("""COMPUTED_VALUE"""),"SITIO 18 SANTA ROSA MELIPILLA")</f>
        <v>SITIO 18 SANTA ROSA MELIPILLA</v>
      </c>
      <c r="D3984" s="6" t="str">
        <f ca="1">IFERROR(__xludf.DUMMYFUNCTION("""COMPUTED_VALUE"""),"MELIPILLA")</f>
        <v>MELIPILLA</v>
      </c>
    </row>
    <row r="3985" spans="1:4">
      <c r="A3985" s="7">
        <f ca="1">IFERROR(__xludf.DUMMYFUNCTION("""COMPUTED_VALUE"""),44362)</f>
        <v>44362</v>
      </c>
      <c r="B3985" s="8" t="str">
        <f ca="1">IFERROR(__xludf.DUMMYFUNCTION("""COMPUTED_VALUE"""),"-33.787973,-71.296893")</f>
        <v>-33.787973,-71.296893</v>
      </c>
      <c r="C3985" s="6" t="str">
        <f ca="1">IFERROR(__xludf.DUMMYFUNCTION("""COMPUTED_VALUE"""),"PARCELA 234")</f>
        <v>PARCELA 234</v>
      </c>
      <c r="D3985" s="6" t="str">
        <f ca="1">IFERROR(__xludf.DUMMYFUNCTION("""COMPUTED_VALUE"""),"MELIPILLA")</f>
        <v>MELIPILLA</v>
      </c>
    </row>
    <row r="3986" spans="1:4">
      <c r="A3986" s="7">
        <f ca="1">IFERROR(__xludf.DUMMYFUNCTION("""COMPUTED_VALUE"""),44362)</f>
        <v>44362</v>
      </c>
      <c r="B3986" s="8" t="str">
        <f ca="1">IFERROR(__xludf.DUMMYFUNCTION("""COMPUTED_VALUE"""),"-33.567840,-71.124933")</f>
        <v>-33.567840,-71.124933</v>
      </c>
      <c r="C3986" s="6" t="str">
        <f ca="1">IFERROR(__xludf.DUMMYFUNCTION("""COMPUTED_VALUE"""),"STA HELENA S/N")</f>
        <v>STA HELENA S/N</v>
      </c>
      <c r="D3986" s="6" t="str">
        <f ca="1">IFERROR(__xludf.DUMMYFUNCTION("""COMPUTED_VALUE"""),"MELIPILLA")</f>
        <v>MELIPILLA</v>
      </c>
    </row>
    <row r="3987" spans="1:4">
      <c r="A3987" s="7">
        <f ca="1">IFERROR(__xludf.DUMMYFUNCTION("""COMPUTED_VALUE"""),44362)</f>
        <v>44362</v>
      </c>
      <c r="B3987" s="6" t="str">
        <f ca="1">IFERROR(__xludf.DUMMYFUNCTION("""COMPUTED_VALUE"""),"-33.379191-71.172382")</f>
        <v>-33.379191-71.172382</v>
      </c>
      <c r="C3987" s="6" t="str">
        <f ca="1">IFERROR(__xludf.DUMMYFUNCTION("""COMPUTED_VALUE"""),"LOS NARANJOS PARCELA 7")</f>
        <v>LOS NARANJOS PARCELA 7</v>
      </c>
      <c r="D3987" s="6" t="str">
        <f ca="1">IFERROR(__xludf.DUMMYFUNCTION("""COMPUTED_VALUE"""),"CURACAVI")</f>
        <v>CURACAVI</v>
      </c>
    </row>
    <row r="3988" spans="1:4">
      <c r="A3988" s="7">
        <f ca="1">IFERROR(__xludf.DUMMYFUNCTION("""COMPUTED_VALUE"""),44362)</f>
        <v>44362</v>
      </c>
      <c r="B3988" s="6" t="str">
        <f ca="1">IFERROR(__xludf.DUMMYFUNCTION("""COMPUTED_VALUE"""),"-33.427761-71.143683")</f>
        <v>-33.427761-71.143683</v>
      </c>
      <c r="C3988" s="6" t="str">
        <f ca="1">IFERROR(__xludf.DUMMYFUNCTION("""COMPUTED_VALUE"""),"EL QUILLAY 1")</f>
        <v>EL QUILLAY 1</v>
      </c>
      <c r="D3988" s="6" t="str">
        <f ca="1">IFERROR(__xludf.DUMMYFUNCTION("""COMPUTED_VALUE"""),"CURACAVI")</f>
        <v>CURACAVI</v>
      </c>
    </row>
    <row r="3989" spans="1:4">
      <c r="A3989" s="7">
        <f ca="1">IFERROR(__xludf.DUMMYFUNCTION("""COMPUTED_VALUE"""),44362)</f>
        <v>44362</v>
      </c>
      <c r="B3989" s="6" t="str">
        <f ca="1">IFERROR(__xludf.DUMMYFUNCTION("""COMPUTED_VALUE"""),"-33.5311182-70.9271")</f>
        <v>-33.5311182-70.9271</v>
      </c>
      <c r="C3989" s="6" t="str">
        <f ca="1">IFERROR(__xludf.DUMMYFUNCTION("""COMPUTED_VALUE"""),"PATAGUILLA CENTRO S/N")</f>
        <v>PATAGUILLA CENTRO S/N</v>
      </c>
      <c r="D3989" s="6" t="str">
        <f ca="1">IFERROR(__xludf.DUMMYFUNCTION("""COMPUTED_VALUE"""),"CURACAVI")</f>
        <v>CURACAVI</v>
      </c>
    </row>
    <row r="3990" spans="1:4">
      <c r="A3990" s="7">
        <f ca="1">IFERROR(__xludf.DUMMYFUNCTION("""COMPUTED_VALUE"""),44362)</f>
        <v>44362</v>
      </c>
      <c r="B3990" s="6" t="str">
        <f ca="1">IFERROR(__xludf.DUMMYFUNCTION("""COMPUTED_VALUE"""),"-33.200744-70.681175")</f>
        <v>-33.200744-70.681175</v>
      </c>
      <c r="C3990" s="6" t="str">
        <f ca="1">IFERROR(__xludf.DUMMYFUNCTION("""COMPUTED_VALUE"""),"PJE. PAICO 0673")</f>
        <v>PJE. PAICO 0673</v>
      </c>
      <c r="D3990" s="6" t="str">
        <f ca="1">IFERROR(__xludf.DUMMYFUNCTION("""COMPUTED_VALUE"""),"COLINA")</f>
        <v>COLINA</v>
      </c>
    </row>
    <row r="3991" spans="1:4">
      <c r="A3991" s="7">
        <f ca="1">IFERROR(__xludf.DUMMYFUNCTION("""COMPUTED_VALUE"""),44362)</f>
        <v>44362</v>
      </c>
      <c r="B3991" s="6" t="str">
        <f ca="1">IFERROR(__xludf.DUMMYFUNCTION("""COMPUTED_VALUE"""),"-33.406933-71.139618")</f>
        <v>-33.406933-71.139618</v>
      </c>
      <c r="C3991" s="6" t="str">
        <f ca="1">IFERROR(__xludf.DUMMYFUNCTION("""COMPUTED_VALUE"""),"AV. AMBROSIO OHIGGINS 1040")</f>
        <v>AV. AMBROSIO OHIGGINS 1040</v>
      </c>
      <c r="D3991" s="6" t="str">
        <f ca="1">IFERROR(__xludf.DUMMYFUNCTION("""COMPUTED_VALUE"""),"CURACAVI")</f>
        <v>CURACAVI</v>
      </c>
    </row>
    <row r="3992" spans="1:4">
      <c r="A3992" s="7">
        <f ca="1">IFERROR(__xludf.DUMMYFUNCTION("""COMPUTED_VALUE"""),44362)</f>
        <v>44362</v>
      </c>
      <c r="B3992" s="6" t="str">
        <f ca="1">IFERROR(__xludf.DUMMYFUNCTION("""COMPUTED_VALUE"""),"-33.781013,-71.141696")</f>
        <v>-33.781013,-71.141696</v>
      </c>
      <c r="C3992" s="6" t="str">
        <f ca="1">IFERROR(__xludf.DUMMYFUNCTION("""COMPUTED_VALUE"""),"EL VIILORRIO 19")</f>
        <v>EL VIILORRIO 19</v>
      </c>
      <c r="D3992" s="6" t="str">
        <f ca="1">IFERROR(__xludf.DUMMYFUNCTION("""COMPUTED_VALUE"""),"MELIPILLA")</f>
        <v>MELIPILLA</v>
      </c>
    </row>
    <row r="3993" spans="1:4">
      <c r="A3993" s="7">
        <f ca="1">IFERROR(__xludf.DUMMYFUNCTION("""COMPUTED_VALUE"""),44362)</f>
        <v>44362</v>
      </c>
      <c r="B3993" s="6" t="str">
        <f ca="1">IFERROR(__xludf.DUMMYFUNCTION("""COMPUTED_VALUE"""),"-33.792049,-71.382404")</f>
        <v>-33.792049,-71.382404</v>
      </c>
      <c r="C3993" s="6" t="str">
        <f ca="1">IFERROR(__xludf.DUMMYFUNCTION("""COMPUTED_VALUE"""),"PARCELA UNION S/N CODIGUA")</f>
        <v>PARCELA UNION S/N CODIGUA</v>
      </c>
      <c r="D3993" s="6" t="str">
        <f ca="1">IFERROR(__xludf.DUMMYFUNCTION("""COMPUTED_VALUE"""),"MELIPILLA")</f>
        <v>MELIPILLA</v>
      </c>
    </row>
    <row r="3994" spans="1:4">
      <c r="A3994" s="7">
        <f ca="1">IFERROR(__xludf.DUMMYFUNCTION("""COMPUTED_VALUE"""),44362)</f>
        <v>44362</v>
      </c>
      <c r="B3994" s="6" t="str">
        <f ca="1">IFERROR(__xludf.DUMMYFUNCTION("""COMPUTED_VALUE"""),"-33.781924,-71.141949")</f>
        <v>-33.781924,-71.141949</v>
      </c>
      <c r="C3994" s="6" t="str">
        <f ca="1">IFERROR(__xludf.DUMMYFUNCTION("""COMPUTED_VALUE"""),"EL VILLORIO 14 CASA 14 VILLORIO CHOLCHI")</f>
        <v>EL VILLORIO 14 CASA 14 VILLORIO CHOLCHI</v>
      </c>
      <c r="D3994" s="6" t="str">
        <f ca="1">IFERROR(__xludf.DUMMYFUNCTION("""COMPUTED_VALUE"""),"MELIPILLA")</f>
        <v>MELIPILLA</v>
      </c>
    </row>
    <row r="3995" spans="1:4">
      <c r="A3995" s="7">
        <f ca="1">IFERROR(__xludf.DUMMYFUNCTION("""COMPUTED_VALUE"""),44362)</f>
        <v>44362</v>
      </c>
      <c r="B3995" s="6" t="str">
        <f ca="1">IFERROR(__xludf.DUMMYFUNCTION("""COMPUTED_VALUE"""),"-33.0438 -70.4645")</f>
        <v>-33.0438 -70.4645</v>
      </c>
      <c r="C3995" s="6" t="str">
        <f ca="1">IFERROR(__xludf.DUMMYFUNCTION("""COMPUTED_VALUE"""),"NEWTON 01020")</f>
        <v>NEWTON 01020</v>
      </c>
      <c r="D3995" s="6" t="str">
        <f ca="1">IFERROR(__xludf.DUMMYFUNCTION("""COMPUTED_VALUE"""),"QUILPUÉ")</f>
        <v>QUILPUÉ</v>
      </c>
    </row>
    <row r="3996" spans="1:4">
      <c r="A3996" s="7">
        <f ca="1">IFERROR(__xludf.DUMMYFUNCTION("""COMPUTED_VALUE"""),44362)</f>
        <v>44362</v>
      </c>
      <c r="B3996" s="6" t="str">
        <f ca="1">IFERROR(__xludf.DUMMYFUNCTION("""COMPUTED_VALUE"""),"-33.0603 -71.4017")</f>
        <v>-33.0603 -71.4017</v>
      </c>
      <c r="C3996" s="6" t="str">
        <f ca="1">IFERROR(__xludf.DUMMYFUNCTION("""COMPUTED_VALUE"""),"RIO MALLECO 166 CASA C")</f>
        <v>RIO MALLECO 166 CASA C</v>
      </c>
      <c r="D3996" s="6" t="str">
        <f ca="1">IFERROR(__xludf.DUMMYFUNCTION("""COMPUTED_VALUE"""),"QUILPUÉ")</f>
        <v>QUILPUÉ</v>
      </c>
    </row>
    <row r="3997" spans="1:4">
      <c r="A3997" s="7">
        <f ca="1">IFERROR(__xludf.DUMMYFUNCTION("""COMPUTED_VALUE"""),44363)</f>
        <v>44363</v>
      </c>
      <c r="B3997" s="8" t="str">
        <f ca="1">IFERROR(__xludf.DUMMYFUNCTION("""COMPUTED_VALUE"""),"-33.741795,-71.192616")</f>
        <v>-33.741795,-71.192616</v>
      </c>
      <c r="C3997" s="6" t="str">
        <f ca="1">IFERROR(__xludf.DUMMYFUNCTION("""COMPUTED_VALUE"""),"PJE LARRAIN 577")</f>
        <v>PJE LARRAIN 577</v>
      </c>
      <c r="D3997" s="6" t="str">
        <f ca="1">IFERROR(__xludf.DUMMYFUNCTION("""COMPUTED_VALUE"""),"MELIPILLA")</f>
        <v>MELIPILLA</v>
      </c>
    </row>
    <row r="3998" spans="1:4">
      <c r="A3998" s="7">
        <f ca="1">IFERROR(__xludf.DUMMYFUNCTION("""COMPUTED_VALUE"""),44363)</f>
        <v>44363</v>
      </c>
      <c r="B3998" s="8" t="str">
        <f ca="1">IFERROR(__xludf.DUMMYFUNCTION("""COMPUTED_VALUE"""),"-33.683454,-71.226345")</f>
        <v>-33.683454,-71.226345</v>
      </c>
      <c r="C3998" s="6" t="str">
        <f ca="1">IFERROR(__xludf.DUMMYFUNCTION("""COMPUTED_VALUE"""),"BASTAN 256")</f>
        <v>BASTAN 256</v>
      </c>
      <c r="D3998" s="6" t="str">
        <f ca="1">IFERROR(__xludf.DUMMYFUNCTION("""COMPUTED_VALUE"""),"MELIPILLA")</f>
        <v>MELIPILLA</v>
      </c>
    </row>
    <row r="3999" spans="1:4">
      <c r="A3999" s="7">
        <f ca="1">IFERROR(__xludf.DUMMYFUNCTION("""COMPUTED_VALUE"""),44363)</f>
        <v>44363</v>
      </c>
      <c r="B3999" s="8" t="str">
        <f ca="1">IFERROR(__xludf.DUMMYFUNCTION("""COMPUTED_VALUE"""),"-33.680079,-71.204825")</f>
        <v>-33.680079,-71.204825</v>
      </c>
      <c r="C3999" s="6" t="str">
        <f ca="1">IFERROR(__xludf.DUMMYFUNCTION("""COMPUTED_VALUE"""),"PSJ DOC JARA 056")</f>
        <v>PSJ DOC JARA 056</v>
      </c>
      <c r="D3999" s="6" t="str">
        <f ca="1">IFERROR(__xludf.DUMMYFUNCTION("""COMPUTED_VALUE"""),"MELIPILLA")</f>
        <v>MELIPILLA</v>
      </c>
    </row>
    <row r="4000" spans="1:4">
      <c r="A4000" s="7">
        <f ca="1">IFERROR(__xludf.DUMMYFUNCTION("""COMPUTED_VALUE"""),44363)</f>
        <v>44363</v>
      </c>
      <c r="B4000" s="8" t="str">
        <f ca="1">IFERROR(__xludf.DUMMYFUNCTION("""COMPUTED_VALUE"""),"-33.746475.-71.189836")</f>
        <v>-33.746475.-71.189836</v>
      </c>
      <c r="C4000" s="6" t="str">
        <f ca="1">IFERROR(__xludf.DUMMYFUNCTION("""COMPUTED_VALUE"""),"AV BULNES S/N")</f>
        <v>AV BULNES S/N</v>
      </c>
      <c r="D4000" s="6" t="str">
        <f ca="1">IFERROR(__xludf.DUMMYFUNCTION("""COMPUTED_VALUE"""),"MELIPILLA")</f>
        <v>MELIPILLA</v>
      </c>
    </row>
    <row r="4001" spans="1:4">
      <c r="A4001" s="7">
        <f ca="1">IFERROR(__xludf.DUMMYFUNCTION("""COMPUTED_VALUE"""),44363)</f>
        <v>44363</v>
      </c>
      <c r="B4001" s="8" t="str">
        <f ca="1">IFERROR(__xludf.DUMMYFUNCTION("""COMPUTED_VALUE"""),"-33.680262,-71.207231")</f>
        <v>-33.680262,-71.207231</v>
      </c>
      <c r="C4001" s="6" t="str">
        <f ca="1">IFERROR(__xludf.DUMMYFUNCTION("""COMPUTED_VALUE"""),"PJE DOCTOR HUNB JARA 063")</f>
        <v>PJE DOCTOR HUNB JARA 063</v>
      </c>
      <c r="D4001" s="6" t="str">
        <f ca="1">IFERROR(__xludf.DUMMYFUNCTION("""COMPUTED_VALUE"""),"MELIPILLA")</f>
        <v>MELIPILLA</v>
      </c>
    </row>
    <row r="4002" spans="1:4">
      <c r="A4002" s="7">
        <f ca="1">IFERROR(__xludf.DUMMYFUNCTION("""COMPUTED_VALUE"""),44363)</f>
        <v>44363</v>
      </c>
      <c r="B4002" s="6" t="str">
        <f ca="1">IFERROR(__xludf.DUMMYFUNCTION("""COMPUTED_VALUE"""),"-33.399265-71.122863")</f>
        <v>-33.399265-71.122863</v>
      </c>
      <c r="C4002" s="6" t="str">
        <f ca="1">IFERROR(__xludf.DUMMYFUNCTION("""COMPUTED_VALUE"""),"GERARDO REBOLLEDO 276")</f>
        <v>GERARDO REBOLLEDO 276</v>
      </c>
      <c r="D4002" s="6" t="str">
        <f ca="1">IFERROR(__xludf.DUMMYFUNCTION("""COMPUTED_VALUE"""),"CURACAVI")</f>
        <v>CURACAVI</v>
      </c>
    </row>
    <row r="4003" spans="1:4">
      <c r="A4003" s="7">
        <f ca="1">IFERROR(__xludf.DUMMYFUNCTION("""COMPUTED_VALUE"""),44363)</f>
        <v>44363</v>
      </c>
      <c r="B4003" s="6" t="str">
        <f ca="1">IFERROR(__xludf.DUMMYFUNCTION("""COMPUTED_VALUE"""),"-33.399357-71.122742")</f>
        <v>-33.399357-71.122742</v>
      </c>
      <c r="C4003" s="6" t="str">
        <f ca="1">IFERROR(__xludf.DUMMYFUNCTION("""COMPUTED_VALUE"""),"GERARDO REBOLLEDO 266")</f>
        <v>GERARDO REBOLLEDO 266</v>
      </c>
      <c r="D4003" s="6" t="str">
        <f ca="1">IFERROR(__xludf.DUMMYFUNCTION("""COMPUTED_VALUE"""),"CURACAVI")</f>
        <v>CURACAVI</v>
      </c>
    </row>
    <row r="4004" spans="1:4">
      <c r="A4004" s="7">
        <f ca="1">IFERROR(__xludf.DUMMYFUNCTION("""COMPUTED_VALUE"""),44363)</f>
        <v>44363</v>
      </c>
      <c r="B4004" s="6" t="str">
        <f ca="1">IFERROR(__xludf.DUMMYFUNCTION("""COMPUTED_VALUE"""),"-33.40635-71.12883")</f>
        <v>-33.40635-71.12883</v>
      </c>
      <c r="C4004" s="6" t="str">
        <f ca="1">IFERROR(__xludf.DUMMYFUNCTION("""COMPUTED_VALUE"""),"CJ PUANGUE 557 ")</f>
        <v xml:space="preserve">CJ PUANGUE 557 </v>
      </c>
      <c r="D4004" s="6" t="str">
        <f ca="1">IFERROR(__xludf.DUMMYFUNCTION("""COMPUTED_VALUE"""),"CURACAVI")</f>
        <v>CURACAVI</v>
      </c>
    </row>
    <row r="4005" spans="1:4">
      <c r="A4005" s="7">
        <f ca="1">IFERROR(__xludf.DUMMYFUNCTION("""COMPUTED_VALUE"""),44363)</f>
        <v>44363</v>
      </c>
      <c r="B4005" s="6" t="str">
        <f ca="1">IFERROR(__xludf.DUMMYFUNCTION("""COMPUTED_VALUE"""),"-33.51929-71.12258")</f>
        <v>-33.51929-71.12258</v>
      </c>
      <c r="C4005" s="6" t="str">
        <f ca="1">IFERROR(__xludf.DUMMYFUNCTION("""COMPUTED_VALUE"""),"MIGUEL CESPEDES 30 ")</f>
        <v xml:space="preserve">MIGUEL CESPEDES 30 </v>
      </c>
      <c r="D4005" s="6" t="str">
        <f ca="1">IFERROR(__xludf.DUMMYFUNCTION("""COMPUTED_VALUE"""),"MARIA PINTO")</f>
        <v>MARIA PINTO</v>
      </c>
    </row>
    <row r="4006" spans="1:4">
      <c r="A4006" s="7">
        <f ca="1">IFERROR(__xludf.DUMMYFUNCTION("""COMPUTED_VALUE"""),44363)</f>
        <v>44363</v>
      </c>
      <c r="B4006" s="6" t="str">
        <f ca="1">IFERROR(__xludf.DUMMYFUNCTION("""COMPUTED_VALUE"""),"-33.40346-71.12614")</f>
        <v>-33.40346-71.12614</v>
      </c>
      <c r="C4006" s="6" t="str">
        <f ca="1">IFERROR(__xludf.DUMMYFUNCTION("""COMPUTED_VALUE"""),"CURACA PONIENTE 106")</f>
        <v>CURACA PONIENTE 106</v>
      </c>
      <c r="D4006" s="6" t="str">
        <f ca="1">IFERROR(__xludf.DUMMYFUNCTION("""COMPUTED_VALUE"""),"CURACAVI")</f>
        <v>CURACAVI</v>
      </c>
    </row>
    <row r="4007" spans="1:4">
      <c r="A4007" s="7">
        <f ca="1">IFERROR(__xludf.DUMMYFUNCTION("""COMPUTED_VALUE"""),44363)</f>
        <v>44363</v>
      </c>
      <c r="B4007" s="6" t="str">
        <f ca="1">IFERROR(__xludf.DUMMYFUNCTION("""COMPUTED_VALUE"""),"-33.46155-71.02352")</f>
        <v>-33.46155-71.02352</v>
      </c>
      <c r="C4007" s="6" t="str">
        <f ca="1">IFERROR(__xludf.DUMMYFUNCTION("""COMPUTED_VALUE"""),"BATALLA DE SAN JUAN C/2")</f>
        <v>BATALLA DE SAN JUAN C/2</v>
      </c>
      <c r="D4007" s="6" t="str">
        <f ca="1">IFERROR(__xludf.DUMMYFUNCTION("""COMPUTED_VALUE"""),"CURACAVI")</f>
        <v>CURACAVI</v>
      </c>
    </row>
    <row r="4008" spans="1:4">
      <c r="A4008" s="7">
        <f ca="1">IFERROR(__xludf.DUMMYFUNCTION("""COMPUTED_VALUE"""),44363)</f>
        <v>44363</v>
      </c>
      <c r="B4008" s="6" t="str">
        <f ca="1">IFERROR(__xludf.DUMMYFUNCTION("""COMPUTED_VALUE"""),"-33.39365-71.12042")</f>
        <v>-33.39365-71.12042</v>
      </c>
      <c r="C4008" s="6" t="str">
        <f ca="1">IFERROR(__xludf.DUMMYFUNCTION("""COMPUTED_VALUE"""),"P.A VISTA ESPERANZA")</f>
        <v>P.A VISTA ESPERANZA</v>
      </c>
      <c r="D4008" s="6" t="str">
        <f ca="1">IFERROR(__xludf.DUMMYFUNCTION("""COMPUTED_VALUE"""),"CURACAVI")</f>
        <v>CURACAVI</v>
      </c>
    </row>
    <row r="4009" spans="1:4">
      <c r="A4009" s="7">
        <f ca="1">IFERROR(__xludf.DUMMYFUNCTION("""COMPUTED_VALUE"""),44363)</f>
        <v>44363</v>
      </c>
      <c r="B4009" s="6" t="str">
        <f ca="1">IFERROR(__xludf.DUMMYFUNCTION("""COMPUTED_VALUE"""),"-33.289752,-70.873312")</f>
        <v>-33.289752,-70.873312</v>
      </c>
      <c r="C4009" s="6" t="str">
        <f ca="1">IFERROR(__xludf.DUMMYFUNCTION("""COMPUTED_VALUE"""),"LA CAPILLA 61")</f>
        <v>LA CAPILLA 61</v>
      </c>
      <c r="D4009" s="6" t="str">
        <f ca="1">IFERROR(__xludf.DUMMYFUNCTION("""COMPUTED_VALUE"""),"LAMPA")</f>
        <v>LAMPA</v>
      </c>
    </row>
    <row r="4010" spans="1:4">
      <c r="A4010" s="7">
        <f ca="1">IFERROR(__xludf.DUMMYFUNCTION("""COMPUTED_VALUE"""),44363)</f>
        <v>44363</v>
      </c>
      <c r="B4010" s="6" t="str">
        <f ca="1">IFERROR(__xludf.DUMMYFUNCTION("""COMPUTED_VALUE"""),"-33.607444,-71.218900")</f>
        <v>-33.607444,-71.218900</v>
      </c>
      <c r="C4010" s="6" t="str">
        <f ca="1">IFERROR(__xludf.DUMMYFUNCTION("""COMPUTED_VALUE"""),"LAS PERDICES S/N ")</f>
        <v xml:space="preserve">LAS PERDICES S/N </v>
      </c>
      <c r="D4010" s="6" t="str">
        <f ca="1">IFERROR(__xludf.DUMMYFUNCTION("""COMPUTED_VALUE"""),"MELIPILLA")</f>
        <v>MELIPILLA</v>
      </c>
    </row>
    <row r="4011" spans="1:4">
      <c r="A4011" s="7">
        <f ca="1">IFERROR(__xludf.DUMMYFUNCTION("""COMPUTED_VALUE"""),44363)</f>
        <v>44363</v>
      </c>
      <c r="B4011" s="8" t="str">
        <f ca="1">IFERROR(__xludf.DUMMYFUNCTION("""COMPUTED_VALUE"""),"-33.683884,-71.214778")</f>
        <v>-33.683884,-71.214778</v>
      </c>
      <c r="C4011" s="6" t="str">
        <f ca="1">IFERROR(__xludf.DUMMYFUNCTION("""COMPUTED_VALUE"""),"ORTUZAR 301")</f>
        <v>ORTUZAR 301</v>
      </c>
      <c r="D4011" s="6" t="str">
        <f ca="1">IFERROR(__xludf.DUMMYFUNCTION("""COMPUTED_VALUE"""),"MELIPILLA")</f>
        <v>MELIPILLA</v>
      </c>
    </row>
    <row r="4012" spans="1:4">
      <c r="A4012" s="7">
        <f ca="1">IFERROR(__xludf.DUMMYFUNCTION("""COMPUTED_VALUE"""),44363)</f>
        <v>44363</v>
      </c>
      <c r="B4012" s="8" t="str">
        <f ca="1">IFERROR(__xludf.DUMMYFUNCTION("""COMPUTED_VALUE"""),"-33.684008,-71-203989")</f>
        <v>-33.684008,-71-203989</v>
      </c>
      <c r="C4012" s="6" t="str">
        <f ca="1">IFERROR(__xludf.DUMMYFUNCTION("""COMPUTED_VALUE"""),"JM CARRERA ")</f>
        <v xml:space="preserve">JM CARRERA </v>
      </c>
      <c r="D4012" s="6" t="str">
        <f ca="1">IFERROR(__xludf.DUMMYFUNCTION("""COMPUTED_VALUE"""),"MELIPILLA")</f>
        <v>MELIPILLA</v>
      </c>
    </row>
    <row r="4013" spans="1:4">
      <c r="A4013" s="7">
        <f ca="1">IFERROR(__xludf.DUMMYFUNCTION("""COMPUTED_VALUE"""),44363)</f>
        <v>44363</v>
      </c>
      <c r="B4013" s="8" t="str">
        <f ca="1">IFERROR(__xludf.DUMMYFUNCTION("""COMPUTED_VALUE"""),"-33.194627,-70.668532")</f>
        <v>-33.194627,-70.668532</v>
      </c>
      <c r="C4013" s="6" t="str">
        <f ca="1">IFERROR(__xludf.DUMMYFUNCTION("""COMPUTED_VALUE"""),"RICARDO LATCHAM 2592")</f>
        <v>RICARDO LATCHAM 2592</v>
      </c>
      <c r="D4013" s="6" t="str">
        <f ca="1">IFERROR(__xludf.DUMMYFUNCTION("""COMPUTED_VALUE"""),"COLINA")</f>
        <v>COLINA</v>
      </c>
    </row>
    <row r="4014" spans="1:4">
      <c r="A4014" s="7">
        <f ca="1">IFERROR(__xludf.DUMMYFUNCTION("""COMPUTED_VALUE"""),44363)</f>
        <v>44363</v>
      </c>
      <c r="B4014" s="6" t="str">
        <f ca="1">IFERROR(__xludf.DUMMYFUNCTION("""COMPUTED_VALUE"""),"-33.0545-71.4238")</f>
        <v>-33.0545-71.4238</v>
      </c>
      <c r="C4014" s="6" t="str">
        <f ca="1">IFERROR(__xludf.DUMMYFUNCTION("""COMPUTED_VALUE"""),"OVALLE 1363")</f>
        <v>OVALLE 1363</v>
      </c>
      <c r="D4014" s="6" t="str">
        <f ca="1">IFERROR(__xludf.DUMMYFUNCTION("""COMPUTED_VALUE"""),"QUILPUÉ")</f>
        <v>QUILPUÉ</v>
      </c>
    </row>
    <row r="4015" spans="1:4">
      <c r="A4015" s="7">
        <f ca="1">IFERROR(__xludf.DUMMYFUNCTION("""COMPUTED_VALUE"""),44363)</f>
        <v>44363</v>
      </c>
      <c r="B4015" s="6" t="str">
        <f ca="1">IFERROR(__xludf.DUMMYFUNCTION("""COMPUTED_VALUE"""),"-33.0689 -71.4146")</f>
        <v>-33.0689 -71.4146</v>
      </c>
      <c r="C4015" s="6" t="str">
        <f ca="1">IFERROR(__xludf.DUMMYFUNCTION("""COMPUTED_VALUE"""),"MARGA MARGA 2975")</f>
        <v>MARGA MARGA 2975</v>
      </c>
      <c r="D4015" s="6" t="str">
        <f ca="1">IFERROR(__xludf.DUMMYFUNCTION("""COMPUTED_VALUE"""),"QUILPUÉ")</f>
        <v>QUILPUÉ</v>
      </c>
    </row>
    <row r="4016" spans="1:4">
      <c r="A4016" s="7">
        <f ca="1">IFERROR(__xludf.DUMMYFUNCTION("""COMPUTED_VALUE"""),44364)</f>
        <v>44364</v>
      </c>
      <c r="B4016" s="8" t="str">
        <f ca="1">IFERROR(__xludf.DUMMYFUNCTION("""COMPUTED_VALUE"""),"-33.745847,-71.191432")</f>
        <v>-33.745847,-71.191432</v>
      </c>
      <c r="C4016" s="6" t="str">
        <f ca="1">IFERROR(__xludf.DUMMYFUNCTION("""COMPUTED_VALUE"""),"LECAROS S/N ")</f>
        <v xml:space="preserve">LECAROS S/N </v>
      </c>
      <c r="D4016" s="6" t="str">
        <f ca="1">IFERROR(__xludf.DUMMYFUNCTION("""COMPUTED_VALUE"""),"MELIPILLA")</f>
        <v>MELIPILLA</v>
      </c>
    </row>
    <row r="4017" spans="1:4">
      <c r="A4017" s="7">
        <f ca="1">IFERROR(__xludf.DUMMYFUNCTION("""COMPUTED_VALUE"""),44364)</f>
        <v>44364</v>
      </c>
      <c r="B4017" s="6" t="str">
        <f ca="1">IFERROR(__xludf.DUMMYFUNCTION("""COMPUTED_VALUE"""),"-33.52142091-71.14851641")</f>
        <v>-33.52142091-71.14851641</v>
      </c>
      <c r="C4017" s="6" t="str">
        <f ca="1">IFERROR(__xludf.DUMMYFUNCTION("""COMPUTED_VALUE"""),"BARACALDO 6")</f>
        <v>BARACALDO 6</v>
      </c>
      <c r="D4017" s="6" t="str">
        <f ca="1">IFERROR(__xludf.DUMMYFUNCTION("""COMPUTED_VALUE"""),"MARIA PINTO")</f>
        <v>MARIA PINTO</v>
      </c>
    </row>
    <row r="4018" spans="1:4">
      <c r="A4018" s="7">
        <f ca="1">IFERROR(__xludf.DUMMYFUNCTION("""COMPUTED_VALUE"""),44364)</f>
        <v>44364</v>
      </c>
      <c r="B4018" s="6" t="str">
        <f ca="1">IFERROR(__xludf.DUMMYFUNCTION("""COMPUTED_VALUE"""),"-33.37562-71.21247")</f>
        <v>-33.37562-71.21247</v>
      </c>
      <c r="C4018" s="6" t="str">
        <f ca="1">IFERROR(__xludf.DUMMYFUNCTION("""COMPUTED_VALUE"""),"GENERAL JOSE ALDUNATE 463")</f>
        <v>GENERAL JOSE ALDUNATE 463</v>
      </c>
      <c r="D4018" s="6" t="str">
        <f ca="1">IFERROR(__xludf.DUMMYFUNCTION("""COMPUTED_VALUE"""),"MELIPILLA")</f>
        <v>MELIPILLA</v>
      </c>
    </row>
    <row r="4019" spans="1:4">
      <c r="A4019" s="7">
        <f ca="1">IFERROR(__xludf.DUMMYFUNCTION("""COMPUTED_VALUE"""),44364)</f>
        <v>44364</v>
      </c>
      <c r="B4019" s="6" t="str">
        <f ca="1">IFERROR(__xludf.DUMMYFUNCTION("""COMPUTED_VALUE"""),"-33.79994-71.21306")</f>
        <v>-33.79994-71.21306</v>
      </c>
      <c r="C4019" s="6" t="str">
        <f ca="1">IFERROR(__xludf.DUMMYFUNCTION("""COMPUTED_VALUE"""),"DIBUJO PARCELA 65")</f>
        <v>DIBUJO PARCELA 65</v>
      </c>
      <c r="D4019" s="6" t="str">
        <f ca="1">IFERROR(__xludf.DUMMYFUNCTION("""COMPUTED_VALUE"""),"MELIPILLA")</f>
        <v>MELIPILLA</v>
      </c>
    </row>
    <row r="4020" spans="1:4">
      <c r="A4020" s="7">
        <f ca="1">IFERROR(__xludf.DUMMYFUNCTION("""COMPUTED_VALUE"""),44364)</f>
        <v>44364</v>
      </c>
      <c r="B4020" s="6" t="str">
        <f ca="1">IFERROR(__xludf.DUMMYFUNCTION("""COMPUTED_VALUE"""),"-33.80161-71.21393")</f>
        <v>-33.80161-71.21393</v>
      </c>
      <c r="C4020" s="6" t="str">
        <f ca="1">IFERROR(__xludf.DUMMYFUNCTION("""COMPUTED_VALUE"""),"CULIPRAN PARCELA 65 EL DIBUJO")</f>
        <v>CULIPRAN PARCELA 65 EL DIBUJO</v>
      </c>
      <c r="D4020" s="6" t="str">
        <f ca="1">IFERROR(__xludf.DUMMYFUNCTION("""COMPUTED_VALUE"""),"MELIPILLA")</f>
        <v>MELIPILLA</v>
      </c>
    </row>
    <row r="4021" spans="1:4">
      <c r="A4021" s="7">
        <f ca="1">IFERROR(__xludf.DUMMYFUNCTION("""COMPUTED_VALUE"""),44364)</f>
        <v>44364</v>
      </c>
      <c r="B4021" s="6" t="str">
        <f ca="1">IFERROR(__xludf.DUMMYFUNCTION("""COMPUTED_VALUE"""),"-33.279710-70.679814")</f>
        <v>-33.279710-70.679814</v>
      </c>
      <c r="C4021" s="6" t="str">
        <f ca="1">IFERROR(__xludf.DUMMYFUNCTION("""COMPUTED_VALUE"""),"CAMINO CHICUREO LOS INGLESES LOTE 13")</f>
        <v>CAMINO CHICUREO LOS INGLESES LOTE 13</v>
      </c>
      <c r="D4021" s="6" t="str">
        <f ca="1">IFERROR(__xludf.DUMMYFUNCTION("""COMPUTED_VALUE"""),"COLINA")</f>
        <v>COLINA</v>
      </c>
    </row>
    <row r="4022" spans="1:4">
      <c r="A4022" s="7">
        <f ca="1">IFERROR(__xludf.DUMMYFUNCTION("""COMPUTED_VALUE"""),44364)</f>
        <v>44364</v>
      </c>
      <c r="B4022" s="6" t="str">
        <f ca="1">IFERROR(__xludf.DUMMYFUNCTION("""COMPUTED_VALUE"""),"-33.671216,-71.206277")</f>
        <v>-33.671216,-71.206277</v>
      </c>
      <c r="C4022" s="6" t="str">
        <f ca="1">IFERROR(__xludf.DUMMYFUNCTION("""COMPUTED_VALUE"""),"OSTOLOZAS PARCELA 13")</f>
        <v>OSTOLOZAS PARCELA 13</v>
      </c>
      <c r="D4022" s="6" t="str">
        <f ca="1">IFERROR(__xludf.DUMMYFUNCTION("""COMPUTED_VALUE"""),"MELIPILLA")</f>
        <v>MELIPILLA</v>
      </c>
    </row>
    <row r="4023" spans="1:4">
      <c r="A4023" s="7">
        <f ca="1">IFERROR(__xludf.DUMMYFUNCTION("""COMPUTED_VALUE"""),44364)</f>
        <v>44364</v>
      </c>
      <c r="B4023" s="6" t="str">
        <f ca="1">IFERROR(__xludf.DUMMYFUNCTION("""COMPUTED_VALUE"""),"-33.722154,-71.355672")</f>
        <v>-33.722154,-71.355672</v>
      </c>
      <c r="C4023" s="6" t="str">
        <f ca="1">IFERROR(__xludf.DUMMYFUNCTION("""COMPUTED_VALUE"""),"SECTOR RINCONADA DE HUENCHUN BAJO S/N-CV1 P66")</f>
        <v>SECTOR RINCONADA DE HUENCHUN BAJO S/N-CV1 P66</v>
      </c>
      <c r="D4023" s="6" t="str">
        <f ca="1">IFERROR(__xludf.DUMMYFUNCTION("""COMPUTED_VALUE"""),"MELIPILLA")</f>
        <v>MELIPILLA</v>
      </c>
    </row>
    <row r="4024" spans="1:4">
      <c r="A4024" s="7">
        <f ca="1">IFERROR(__xludf.DUMMYFUNCTION("""COMPUTED_VALUE"""),44364)</f>
        <v>44364</v>
      </c>
      <c r="B4024" s="6" t="str">
        <f ca="1">IFERROR(__xludf.DUMMYFUNCTION("""COMPUTED_VALUE"""),"-33.721659,-71.355340")</f>
        <v>-33.721659,-71.355340</v>
      </c>
      <c r="C4024" s="6" t="str">
        <f ca="1">IFERROR(__xludf.DUMMYFUNCTION("""COMPUTED_VALUE"""),"SECTOR RINCONADA DE HUENCHUN BAJO S/N-CV2  P66 ")</f>
        <v xml:space="preserve">SECTOR RINCONADA DE HUENCHUN BAJO S/N-CV2  P66 </v>
      </c>
      <c r="D4024" s="6" t="str">
        <f ca="1">IFERROR(__xludf.DUMMYFUNCTION("""COMPUTED_VALUE"""),"MELIPILLA")</f>
        <v>MELIPILLA</v>
      </c>
    </row>
    <row r="4025" spans="1:4">
      <c r="A4025" s="7">
        <f ca="1">IFERROR(__xludf.DUMMYFUNCTION("""COMPUTED_VALUE"""),44364)</f>
        <v>44364</v>
      </c>
      <c r="B4025" s="6" t="str">
        <f ca="1">IFERROR(__xludf.DUMMYFUNCTION("""COMPUTED_VALUE"""),"-33.767355,-71.297166")</f>
        <v>-33.767355,-71.297166</v>
      </c>
      <c r="C4025" s="6" t="str">
        <f ca="1">IFERROR(__xludf.DUMMYFUNCTION("""COMPUTED_VALUE"""),"PARCELA D 21 LA PRADERA")</f>
        <v>PARCELA D 21 LA PRADERA</v>
      </c>
      <c r="D4025" s="6" t="str">
        <f ca="1">IFERROR(__xludf.DUMMYFUNCTION("""COMPUTED_VALUE"""),"MELIPILLA")</f>
        <v>MELIPILLA</v>
      </c>
    </row>
    <row r="4026" spans="1:4">
      <c r="A4026" s="7">
        <f ca="1">IFERROR(__xludf.DUMMYFUNCTION("""COMPUTED_VALUE"""),44364)</f>
        <v>44364</v>
      </c>
      <c r="B4026" s="6" t="str">
        <f ca="1">IFERROR(__xludf.DUMMYFUNCTION("""COMPUTED_VALUE"""),"-33.0517 -71.4213")</f>
        <v>-33.0517 -71.4213</v>
      </c>
      <c r="C4026" s="6" t="str">
        <f ca="1">IFERROR(__xludf.DUMMYFUNCTION("""COMPUTED_VALUE"""),"IBIS 2417")</f>
        <v>IBIS 2417</v>
      </c>
      <c r="D4026" s="6" t="str">
        <f ca="1">IFERROR(__xludf.DUMMYFUNCTION("""COMPUTED_VALUE"""),"QUILPUÉ")</f>
        <v>QUILPUÉ</v>
      </c>
    </row>
    <row r="4027" spans="1:4">
      <c r="A4027" s="7">
        <f ca="1">IFERROR(__xludf.DUMMYFUNCTION("""COMPUTED_VALUE"""),44364)</f>
        <v>44364</v>
      </c>
      <c r="B4027" s="6" t="str">
        <f ca="1">IFERROR(__xludf.DUMMYFUNCTION("""COMPUTED_VALUE"""),"-33.0479 -71.4504")</f>
        <v>-33.0479 -71.4504</v>
      </c>
      <c r="C4027" s="6" t="str">
        <f ca="1">IFERROR(__xludf.DUMMYFUNCTION("""COMPUTED_VALUE"""),"ESMERALDA 136")</f>
        <v>ESMERALDA 136</v>
      </c>
      <c r="D4027" s="6" t="str">
        <f ca="1">IFERROR(__xludf.DUMMYFUNCTION("""COMPUTED_VALUE"""),"QUILPUÉ")</f>
        <v>QUILPUÉ</v>
      </c>
    </row>
    <row r="4028" spans="1:4">
      <c r="A4028" s="7">
        <f ca="1">IFERROR(__xludf.DUMMYFUNCTION("""COMPUTED_VALUE"""),44364)</f>
        <v>44364</v>
      </c>
      <c r="B4028" s="6" t="str">
        <f ca="1">IFERROR(__xludf.DUMMYFUNCTION("""COMPUTED_VALUE"""),"-33.0512 -71.4222")</f>
        <v>-33.0512 -71.4222</v>
      </c>
      <c r="C4028" s="6" t="str">
        <f ca="1">IFERROR(__xludf.DUMMYFUNCTION("""COMPUTED_VALUE"""),"IBIS 2414")</f>
        <v>IBIS 2414</v>
      </c>
      <c r="D4028" s="6" t="str">
        <f ca="1">IFERROR(__xludf.DUMMYFUNCTION("""COMPUTED_VALUE"""),"QUILPUÉ")</f>
        <v>QUILPUÉ</v>
      </c>
    </row>
    <row r="4029" spans="1:4">
      <c r="A4029" s="7">
        <f ca="1">IFERROR(__xludf.DUMMYFUNCTION("""COMPUTED_VALUE"""),44364)</f>
        <v>44364</v>
      </c>
      <c r="B4029" s="6" t="str">
        <f ca="1">IFERROR(__xludf.DUMMYFUNCTION("""COMPUTED_VALUE"""),"-33.0533-71.4288")</f>
        <v>-33.0533-71.4288</v>
      </c>
      <c r="C4029" s="6" t="str">
        <f ca="1">IFERROR(__xludf.DUMMYFUNCTION("""COMPUTED_VALUE"""),"AIMARA 815")</f>
        <v>AIMARA 815</v>
      </c>
      <c r="D4029" s="6" t="str">
        <f ca="1">IFERROR(__xludf.DUMMYFUNCTION("""COMPUTED_VALUE"""),"QUILPUÉ")</f>
        <v>QUILPUÉ</v>
      </c>
    </row>
    <row r="4030" spans="1:4">
      <c r="A4030" s="7">
        <f ca="1">IFERROR(__xludf.DUMMYFUNCTION("""COMPUTED_VALUE"""),44365)</f>
        <v>44365</v>
      </c>
      <c r="B4030" s="8" t="str">
        <f ca="1">IFERROR(__xludf.DUMMYFUNCTION("""COMPUTED_VALUE"""),"-33.676140,-71.989614")</f>
        <v>-33.676140,-71.989614</v>
      </c>
      <c r="C4030" s="6" t="str">
        <f ca="1">IFERROR(__xludf.DUMMYFUNCTION("""COMPUTED_VALUE"""),"LA CONSTITUCIONN ")</f>
        <v xml:space="preserve">LA CONSTITUCIONN </v>
      </c>
      <c r="D4030" s="6" t="str">
        <f ca="1">IFERROR(__xludf.DUMMYFUNCTION("""COMPUTED_VALUE"""),"EL MONTE")</f>
        <v>EL MONTE</v>
      </c>
    </row>
    <row r="4031" spans="1:4">
      <c r="A4031" s="7">
        <f ca="1">IFERROR(__xludf.DUMMYFUNCTION("""COMPUTED_VALUE"""),44365)</f>
        <v>44365</v>
      </c>
      <c r="B4031" s="8" t="str">
        <f ca="1">IFERROR(__xludf.DUMMYFUNCTION("""COMPUTED_VALUE"""),"-33.745847,-71.191432")</f>
        <v>-33.745847,-71.191432</v>
      </c>
      <c r="C4031" s="6" t="str">
        <f ca="1">IFERROR(__xludf.DUMMYFUNCTION("""COMPUTED_VALUE"""),"LECAROS S/N ")</f>
        <v xml:space="preserve">LECAROS S/N </v>
      </c>
      <c r="D4031" s="6" t="str">
        <f ca="1">IFERROR(__xludf.DUMMYFUNCTION("""COMPUTED_VALUE"""),"MELIPILLA")</f>
        <v>MELIPILLA</v>
      </c>
    </row>
    <row r="4032" spans="1:4">
      <c r="A4032" s="7">
        <f ca="1">IFERROR(__xludf.DUMMYFUNCTION("""COMPUTED_VALUE"""),44365)</f>
        <v>44365</v>
      </c>
      <c r="B4032" s="6" t="str">
        <f ca="1">IFERROR(__xludf.DUMMYFUNCTION("""COMPUTED_VALUE"""),"-33.468487-71.064025")</f>
        <v>-33.468487-71.064025</v>
      </c>
      <c r="C4032" s="6" t="str">
        <f ca="1">IFERROR(__xludf.DUMMYFUNCTION("""COMPUTED_VALUE"""),"LO ALVARADO S/N")</f>
        <v>LO ALVARADO S/N</v>
      </c>
      <c r="D4032" s="6" t="str">
        <f ca="1">IFERROR(__xludf.DUMMYFUNCTION("""COMPUTED_VALUE"""),"CURACAVI")</f>
        <v>CURACAVI</v>
      </c>
    </row>
    <row r="4033" spans="1:4">
      <c r="A4033" s="7">
        <f ca="1">IFERROR(__xludf.DUMMYFUNCTION("""COMPUTED_VALUE"""),44365)</f>
        <v>44365</v>
      </c>
      <c r="B4033" s="6" t="str">
        <f ca="1">IFERROR(__xludf.DUMMYFUNCTION("""COMPUTED_VALUE"""),"-33.39742-71.13113")</f>
        <v>-33.39742-71.13113</v>
      </c>
      <c r="C4033" s="6" t="str">
        <f ca="1">IFERROR(__xludf.DUMMYFUNCTION("""COMPUTED_VALUE"""),"PIEDRA AZUL 562")</f>
        <v>PIEDRA AZUL 562</v>
      </c>
      <c r="D4033" s="6" t="str">
        <f ca="1">IFERROR(__xludf.DUMMYFUNCTION("""COMPUTED_VALUE"""),"CURACAVI")</f>
        <v>CURACAVI</v>
      </c>
    </row>
    <row r="4034" spans="1:4">
      <c r="A4034" s="7">
        <f ca="1">IFERROR(__xludf.DUMMYFUNCTION("""COMPUTED_VALUE"""),44365)</f>
        <v>44365</v>
      </c>
      <c r="B4034" s="6" t="str">
        <f ca="1">IFERROR(__xludf.DUMMYFUNCTION("""COMPUTED_VALUE"""),"-33.40859-71.13884")</f>
        <v>-33.40859-71.13884</v>
      </c>
      <c r="C4034" s="6" t="str">
        <f ca="1">IFERROR(__xludf.DUMMYFUNCTION("""COMPUTED_VALUE"""),"SAN JOSE DE LA DEHESA 258")</f>
        <v>SAN JOSE DE LA DEHESA 258</v>
      </c>
      <c r="D4034" s="6" t="str">
        <f ca="1">IFERROR(__xludf.DUMMYFUNCTION("""COMPUTED_VALUE"""),"CURACAVI")</f>
        <v>CURACAVI</v>
      </c>
    </row>
    <row r="4035" spans="1:4">
      <c r="A4035" s="7">
        <f ca="1">IFERROR(__xludf.DUMMYFUNCTION("""COMPUTED_VALUE"""),44365)</f>
        <v>44365</v>
      </c>
      <c r="B4035" s="6" t="str">
        <f ca="1">IFERROR(__xludf.DUMMYFUNCTION("""COMPUTED_VALUE"""),"-33.291439-70.885238")</f>
        <v>-33.291439-70.885238</v>
      </c>
      <c r="C4035" s="6" t="str">
        <f ca="1">IFERROR(__xludf.DUMMYFUNCTION("""COMPUTED_VALUE"""),"MINEROS DE CHILE 74")</f>
        <v>MINEROS DE CHILE 74</v>
      </c>
      <c r="D4035" s="6" t="str">
        <f ca="1">IFERROR(__xludf.DUMMYFUNCTION("""COMPUTED_VALUE"""),"LAMPA")</f>
        <v>LAMPA</v>
      </c>
    </row>
    <row r="4036" spans="1:4">
      <c r="A4036" s="7">
        <f ca="1">IFERROR(__xludf.DUMMYFUNCTION("""COMPUTED_VALUE"""),44365)</f>
        <v>44365</v>
      </c>
      <c r="B4036" s="6" t="str">
        <f ca="1">IFERROR(__xludf.DUMMYFUNCTION("""COMPUTED_VALUE"""),"-33.405331-71.127382")</f>
        <v>-33.405331-71.127382</v>
      </c>
      <c r="C4036" s="6" t="str">
        <f ca="1">IFERROR(__xludf.DUMMYFUNCTION("""COMPUTED_VALUE"""),"LAS ACHIRAS 72")</f>
        <v>LAS ACHIRAS 72</v>
      </c>
      <c r="D4036" s="6" t="str">
        <f ca="1">IFERROR(__xludf.DUMMYFUNCTION("""COMPUTED_VALUE"""),"CURACAVI")</f>
        <v>CURACAVI</v>
      </c>
    </row>
    <row r="4037" spans="1:4">
      <c r="A4037" s="7">
        <f ca="1">IFERROR(__xludf.DUMMYFUNCTION("""COMPUTED_VALUE"""),44365)</f>
        <v>44365</v>
      </c>
      <c r="B4037" s="6" t="str">
        <f ca="1">IFERROR(__xludf.DUMMYFUNCTION("""COMPUTED_VALUE"""),"-33.405331-71.127382")</f>
        <v>-33.405331-71.127382</v>
      </c>
      <c r="C4037" s="6" t="str">
        <f ca="1">IFERROR(__xludf.DUMMYFUNCTION("""COMPUTED_VALUE"""),"LAS ACHIRAS 72")</f>
        <v>LAS ACHIRAS 72</v>
      </c>
      <c r="D4037" s="6" t="str">
        <f ca="1">IFERROR(__xludf.DUMMYFUNCTION("""COMPUTED_VALUE"""),"CURACAVI")</f>
        <v>CURACAVI</v>
      </c>
    </row>
    <row r="4038" spans="1:4">
      <c r="A4038" s="7">
        <f ca="1">IFERROR(__xludf.DUMMYFUNCTION("""COMPUTED_VALUE"""),44365)</f>
        <v>44365</v>
      </c>
      <c r="B4038" s="6" t="str">
        <f ca="1">IFERROR(__xludf.DUMMYFUNCTION("""COMPUTED_VALUE"""),"-33.722280,-71.355158")</f>
        <v>-33.722280,-71.355158</v>
      </c>
      <c r="C4038" s="6" t="str">
        <f ca="1">IFERROR(__xludf.DUMMYFUNCTION("""COMPUTED_VALUE"""),"SECTOR RINCONADA DE HUENCHUN BAJO 66")</f>
        <v>SECTOR RINCONADA DE HUENCHUN BAJO 66</v>
      </c>
      <c r="D4038" s="6" t="str">
        <f ca="1">IFERROR(__xludf.DUMMYFUNCTION("""COMPUTED_VALUE"""),"MELIPILLA")</f>
        <v>MELIPILLA</v>
      </c>
    </row>
    <row r="4039" spans="1:4">
      <c r="A4039" s="7">
        <f ca="1">IFERROR(__xludf.DUMMYFUNCTION("""COMPUTED_VALUE"""),44365)</f>
        <v>44365</v>
      </c>
      <c r="B4039" s="6" t="str">
        <f ca="1">IFERROR(__xludf.DUMMYFUNCTION("""COMPUTED_VALUE"""),"-33.709744,-71.299732")</f>
        <v>-33.709744,-71.299732</v>
      </c>
      <c r="C4039" s="6" t="str">
        <f ca="1">IFERROR(__xludf.DUMMYFUNCTION("""COMPUTED_VALUE"""),"RINCONADA HUENCHUN BF")</f>
        <v>RINCONADA HUENCHUN BF</v>
      </c>
      <c r="D4039" s="6" t="str">
        <f ca="1">IFERROR(__xludf.DUMMYFUNCTION("""COMPUTED_VALUE"""),"MELIPILLA")</f>
        <v>MELIPILLA</v>
      </c>
    </row>
    <row r="4040" spans="1:4">
      <c r="A4040" s="7">
        <f ca="1">IFERROR(__xludf.DUMMYFUNCTION("""COMPUTED_VALUE"""),44365)</f>
        <v>44365</v>
      </c>
      <c r="B4040" s="6" t="str">
        <f ca="1">IFERROR(__xludf.DUMMYFUNCTION("""COMPUTED_VALUE"""),"-33.0638-71.4352")</f>
        <v>-33.0638-71.4352</v>
      </c>
      <c r="C4040" s="6" t="str">
        <f ca="1">IFERROR(__xludf.DUMMYFUNCTION("""COMPUTED_VALUE"""),"LOS DIAMANTES")</f>
        <v>LOS DIAMANTES</v>
      </c>
      <c r="D4040" s="6" t="str">
        <f ca="1">IFERROR(__xludf.DUMMYFUNCTION("""COMPUTED_VALUE"""),"QUILPUÉ")</f>
        <v>QUILPUÉ</v>
      </c>
    </row>
    <row r="4041" spans="1:4">
      <c r="A4041" s="7">
        <f ca="1">IFERROR(__xludf.DUMMYFUNCTION("""COMPUTED_VALUE"""),44366)</f>
        <v>44366</v>
      </c>
      <c r="B4041" s="6" t="str">
        <f ca="1">IFERROR(__xludf.DUMMYFUNCTION("""COMPUTED_VALUE"""),"-33.219647-70.685596")</f>
        <v>-33.219647-70.685596</v>
      </c>
      <c r="C4041" s="6" t="str">
        <f ca="1">IFERROR(__xludf.DUMMYFUNCTION("""COMPUTED_VALUE"""),"EL POTRERILLO 108")</f>
        <v>EL POTRERILLO 108</v>
      </c>
      <c r="D4041" s="6" t="str">
        <f ca="1">IFERROR(__xludf.DUMMYFUNCTION("""COMPUTED_VALUE"""),"COLINA")</f>
        <v>COLINA</v>
      </c>
    </row>
    <row r="4042" spans="1:4">
      <c r="A4042" s="7">
        <f ca="1">IFERROR(__xludf.DUMMYFUNCTION("""COMPUTED_VALUE"""),44366)</f>
        <v>44366</v>
      </c>
      <c r="B4042" s="6" t="str">
        <f ca="1">IFERROR(__xludf.DUMMYFUNCTION("""COMPUTED_VALUE"""),"-33.687136,-71.192996")</f>
        <v>-33.687136,-71.192996</v>
      </c>
      <c r="C4042" s="6" t="str">
        <f ca="1">IFERROR(__xludf.DUMMYFUNCTION("""COMPUTED_VALUE"""),"PA ALCALDE GEBAUER BRINGAS 978")</f>
        <v>PA ALCALDE GEBAUER BRINGAS 978</v>
      </c>
      <c r="D4042" s="6" t="str">
        <f ca="1">IFERROR(__xludf.DUMMYFUNCTION("""COMPUTED_VALUE"""),"MELIPILLA")</f>
        <v>MELIPILLA</v>
      </c>
    </row>
    <row r="4043" spans="1:4">
      <c r="A4043" s="7">
        <f ca="1">IFERROR(__xludf.DUMMYFUNCTION("""COMPUTED_VALUE"""),44366)</f>
        <v>44366</v>
      </c>
      <c r="B4043" s="6" t="str">
        <f ca="1">IFERROR(__xludf.DUMMYFUNCTION("""COMPUTED_VALUE"""),"-33.686815,-71.192304")</f>
        <v>-33.686815,-71.192304</v>
      </c>
      <c r="C4043" s="6" t="str">
        <f ca="1">IFERROR(__xludf.DUMMYFUNCTION("""COMPUTED_VALUE"""),"PA GOBERNADORA  PAULA GARATE ROJAS 805")</f>
        <v>PA GOBERNADORA  PAULA GARATE ROJAS 805</v>
      </c>
      <c r="D4043" s="6" t="str">
        <f ca="1">IFERROR(__xludf.DUMMYFUNCTION("""COMPUTED_VALUE"""),"MELIPILLA")</f>
        <v>MELIPILLA</v>
      </c>
    </row>
    <row r="4044" spans="1:4">
      <c r="A4044" s="7">
        <f ca="1">IFERROR(__xludf.DUMMYFUNCTION("""COMPUTED_VALUE"""),44368)</f>
        <v>44368</v>
      </c>
      <c r="B4044" s="6" t="str">
        <f ca="1">IFERROR(__xludf.DUMMYFUNCTION("""COMPUTED_VALUE"""),"-33.407313-71.126776")</f>
        <v>-33.407313-71.126776</v>
      </c>
      <c r="C4044" s="6" t="str">
        <f ca="1">IFERROR(__xludf.DUMMYFUNCTION("""COMPUTED_VALUE"""),"FRANCISCO JOFRE 1839")</f>
        <v>FRANCISCO JOFRE 1839</v>
      </c>
      <c r="D4044" s="6" t="str">
        <f ca="1">IFERROR(__xludf.DUMMYFUNCTION("""COMPUTED_VALUE"""),"CURACAVI")</f>
        <v>CURACAVI</v>
      </c>
    </row>
    <row r="4045" spans="1:4">
      <c r="A4045" s="7">
        <f ca="1">IFERROR(__xludf.DUMMYFUNCTION("""COMPUTED_VALUE"""),44369)</f>
        <v>44369</v>
      </c>
      <c r="B4045" s="6" t="str">
        <f ca="1">IFERROR(__xludf.DUMMYFUNCTION("""COMPUTED_VALUE"""),"-33.729493-70.777102")</f>
        <v>-33.729493-70.777102</v>
      </c>
      <c r="C4045" s="6" t="str">
        <f ca="1">IFERROR(__xludf.DUMMYFUNCTION("""COMPUTED_VALUE"""),"LOS CEIBOS 83 LOTE 4")</f>
        <v>LOS CEIBOS 83 LOTE 4</v>
      </c>
      <c r="D4045" s="6" t="str">
        <f ca="1">IFERROR(__xludf.DUMMYFUNCTION("""COMPUTED_VALUE"""),"BUIN")</f>
        <v>BUIN</v>
      </c>
    </row>
    <row r="4046" spans="1:4">
      <c r="A4046" s="7">
        <f ca="1">IFERROR(__xludf.DUMMYFUNCTION("""COMPUTED_VALUE"""),44369)</f>
        <v>44369</v>
      </c>
      <c r="B4046" s="6" t="str">
        <f ca="1">IFERROR(__xludf.DUMMYFUNCTION("""COMPUTED_VALUE"""),"-33.628906-70.921949")</f>
        <v>-33.628906-70.921949</v>
      </c>
      <c r="C4046" s="6" t="str">
        <f ca="1">IFERROR(__xludf.DUMMYFUNCTION("""COMPUTED_VALUE"""),"SANTO TORIBIO S/N 17")</f>
        <v>SANTO TORIBIO S/N 17</v>
      </c>
      <c r="D4046" s="6" t="str">
        <f ca="1">IFERROR(__xludf.DUMMYFUNCTION("""COMPUTED_VALUE"""),"PEÑAFLOR")</f>
        <v>PEÑAFLOR</v>
      </c>
    </row>
    <row r="4047" spans="1:4">
      <c r="A4047" s="7">
        <f ca="1">IFERROR(__xludf.DUMMYFUNCTION("""COMPUTED_VALUE"""),44369)</f>
        <v>44369</v>
      </c>
      <c r="B4047" s="6" t="str">
        <f ca="1">IFERROR(__xludf.DUMMYFUNCTION("""COMPUTED_VALUE"""),"-33.561781-70.824901")</f>
        <v>-33.561781-70.824901</v>
      </c>
      <c r="C4047" s="6" t="str">
        <f ca="1">IFERROR(__xludf.DUMMYFUNCTION("""COMPUTED_VALUE"""),"SAN FRANCISCO JAVIER NORTE 2533")</f>
        <v>SAN FRANCISCO JAVIER NORTE 2533</v>
      </c>
      <c r="D4047" s="6" t="str">
        <f ca="1">IFERROR(__xludf.DUMMYFUNCTION("""COMPUTED_VALUE"""),"PADRE HURTADO")</f>
        <v>PADRE HURTADO</v>
      </c>
    </row>
    <row r="4048" spans="1:4">
      <c r="A4048" s="7">
        <f ca="1">IFERROR(__xludf.DUMMYFUNCTION("""COMPUTED_VALUE"""),44369)</f>
        <v>44369</v>
      </c>
      <c r="B4048" s="6" t="str">
        <f ca="1">IFERROR(__xludf.DUMMYFUNCTION("""COMPUTED_VALUE"""),"-33.661527,-70.924298")</f>
        <v>-33.661527,-70.924298</v>
      </c>
      <c r="C4048" s="6" t="str">
        <f ca="1">IFERROR(__xludf.DUMMYFUNCTION("""COMPUTED_VALUE"""),"AVDA BERNARDO O""HIGGINS 725")</f>
        <v>AVDA BERNARDO O"HIGGINS 725</v>
      </c>
      <c r="D4048" s="6" t="str">
        <f ca="1">IFERROR(__xludf.DUMMYFUNCTION("""COMPUTED_VALUE"""),"TALAGANTE")</f>
        <v>TALAGANTE</v>
      </c>
    </row>
    <row r="4049" spans="1:4">
      <c r="A4049" s="7">
        <f ca="1">IFERROR(__xludf.DUMMYFUNCTION("""COMPUTED_VALUE"""),44369)</f>
        <v>44369</v>
      </c>
      <c r="B4049" s="6" t="str">
        <f ca="1">IFERROR(__xludf.DUMMYFUNCTION("""COMPUTED_VALUE"""),"-33.284290,-70.884792")</f>
        <v>-33.284290,-70.884792</v>
      </c>
      <c r="C4049" s="6" t="str">
        <f ca="1">IFERROR(__xludf.DUMMYFUNCTION("""COMPUTED_VALUE"""),"         PJE PCO J DEL PIANO 651")</f>
        <v xml:space="preserve">         PJE PCO J DEL PIANO 651</v>
      </c>
      <c r="D4049" s="6" t="str">
        <f ca="1">IFERROR(__xludf.DUMMYFUNCTION("""COMPUTED_VALUE"""),"LAMPA")</f>
        <v>LAMPA</v>
      </c>
    </row>
    <row r="4050" spans="1:4">
      <c r="A4050" s="7">
        <f ca="1">IFERROR(__xludf.DUMMYFUNCTION("""COMPUTED_VALUE"""),44369)</f>
        <v>44369</v>
      </c>
      <c r="B4050" s="6" t="str">
        <f ca="1">IFERROR(__xludf.DUMMYFUNCTION("""COMPUTED_VALUE"""),"-33.284290,-70.884792")</f>
        <v>-33.284290,-70.884792</v>
      </c>
      <c r="C4050" s="6" t="str">
        <f ca="1">IFERROR(__xludf.DUMMYFUNCTION("""COMPUTED_VALUE"""),"         PJE PCO J DEL PIANO 651")</f>
        <v xml:space="preserve">         PJE PCO J DEL PIANO 651</v>
      </c>
      <c r="D4050" s="6" t="str">
        <f ca="1">IFERROR(__xludf.DUMMYFUNCTION("""COMPUTED_VALUE"""),"LAMPA")</f>
        <v>LAMPA</v>
      </c>
    </row>
    <row r="4051" spans="1:4">
      <c r="A4051" s="7">
        <f ca="1">IFERROR(__xludf.DUMMYFUNCTION("""COMPUTED_VALUE"""),44370)</f>
        <v>44370</v>
      </c>
      <c r="B4051" s="8" t="str">
        <f ca="1">IFERROR(__xludf.DUMMYFUNCTION("""COMPUTED_VALUE"""),"-33.574551,-71.1555216")</f>
        <v>-33.574551,-71.1555216</v>
      </c>
      <c r="C4051" s="6" t="str">
        <f ca="1">IFERROR(__xludf.DUMMYFUNCTION("""COMPUTED_VALUE"""),"SECTOR MALLARAUCO ")</f>
        <v xml:space="preserve">SECTOR MALLARAUCO </v>
      </c>
      <c r="D4051" s="6" t="str">
        <f ca="1">IFERROR(__xludf.DUMMYFUNCTION("""COMPUTED_VALUE"""),"MELIPILLA")</f>
        <v>MELIPILLA</v>
      </c>
    </row>
    <row r="4052" spans="1:4">
      <c r="A4052" s="7">
        <f ca="1">IFERROR(__xludf.DUMMYFUNCTION("""COMPUTED_VALUE"""),44370)</f>
        <v>44370</v>
      </c>
      <c r="B4052" s="8" t="str">
        <f ca="1">IFERROR(__xludf.DUMMYFUNCTION("""COMPUTED_VALUE"""),"-33.568000,-71.175979")</f>
        <v>-33.568000,-71.175979</v>
      </c>
      <c r="C4052" s="6" t="str">
        <f ca="1">IFERROR(__xludf.DUMMYFUNCTION("""COMPUTED_VALUE"""),"SAN RAMON MALLARAUCO 3520")</f>
        <v>SAN RAMON MALLARAUCO 3520</v>
      </c>
      <c r="D4052" s="6" t="str">
        <f ca="1">IFERROR(__xludf.DUMMYFUNCTION("""COMPUTED_VALUE"""),"MELIPILLA")</f>
        <v>MELIPILLA</v>
      </c>
    </row>
    <row r="4053" spans="1:4">
      <c r="A4053" s="7">
        <f ca="1">IFERROR(__xludf.DUMMYFUNCTION("""COMPUTED_VALUE"""),44370)</f>
        <v>44370</v>
      </c>
      <c r="B4053" s="8" t="str">
        <f ca="1">IFERROR(__xludf.DUMMYFUNCTION("""COMPUTED_VALUE"""),"-33.5154762,-71.1184968")</f>
        <v>-33.5154762,-71.1184968</v>
      </c>
      <c r="C4053" s="6" t="str">
        <f ca="1">IFERROR(__xludf.DUMMYFUNCTION("""COMPUTED_VALUE"""),"PRINCIPAL S/N MARIA PINTO")</f>
        <v>PRINCIPAL S/N MARIA PINTO</v>
      </c>
      <c r="D4053" s="6" t="str">
        <f ca="1">IFERROR(__xludf.DUMMYFUNCTION("""COMPUTED_VALUE"""),"MARIA PINTO")</f>
        <v>MARIA PINTO</v>
      </c>
    </row>
    <row r="4054" spans="1:4">
      <c r="A4054" s="7">
        <f ca="1">IFERROR(__xludf.DUMMYFUNCTION("""COMPUTED_VALUE"""),44370)</f>
        <v>44370</v>
      </c>
      <c r="B4054" s="8" t="str">
        <f ca="1">IFERROR(__xludf.DUMMYFUNCTION("""COMPUTED_VALUE"""),"-33.568367,-71.175664")</f>
        <v>-33.568367,-71.175664</v>
      </c>
      <c r="C4054" s="6" t="str">
        <f ca="1">IFERROR(__xludf.DUMMYFUNCTION("""COMPUTED_VALUE"""),"SAN RAMON S/N")</f>
        <v>SAN RAMON S/N</v>
      </c>
      <c r="D4054" s="6" t="str">
        <f ca="1">IFERROR(__xludf.DUMMYFUNCTION("""COMPUTED_VALUE"""),"MELIPILLA")</f>
        <v>MELIPILLA</v>
      </c>
    </row>
    <row r="4055" spans="1:4">
      <c r="A4055" s="7">
        <f ca="1">IFERROR(__xludf.DUMMYFUNCTION("""COMPUTED_VALUE"""),44370)</f>
        <v>44370</v>
      </c>
      <c r="B4055" s="6" t="str">
        <f ca="1">IFERROR(__xludf.DUMMYFUNCTION("""COMPUTED_VALUE"""),"-33.280241-70.888363")</f>
        <v>-33.280241-70.888363</v>
      </c>
      <c r="C4055" s="6" t="str">
        <f ca="1">IFERROR(__xludf.DUMMYFUNCTION("""COMPUTED_VALUE"""),"MARIA JOSE PEREZ PRADO 154")</f>
        <v>MARIA JOSE PEREZ PRADO 154</v>
      </c>
      <c r="D4055" s="6" t="str">
        <f ca="1">IFERROR(__xludf.DUMMYFUNCTION("""COMPUTED_VALUE"""),"LAMPA")</f>
        <v>LAMPA</v>
      </c>
    </row>
    <row r="4056" spans="1:4">
      <c r="A4056" s="7">
        <f ca="1">IFERROR(__xludf.DUMMYFUNCTION("""COMPUTED_VALUE"""),44370)</f>
        <v>44370</v>
      </c>
      <c r="B4056" s="6" t="str">
        <f ca="1">IFERROR(__xludf.DUMMYFUNCTION("""COMPUTED_VALUE"""),"-33.22939-70.80536")</f>
        <v>-33.22939-70.80536</v>
      </c>
      <c r="C4056" s="6" t="str">
        <f ca="1">IFERROR(__xludf.DUMMYFUNCTION("""COMPUTED_VALUE"""),"MAISONAVE 923")</f>
        <v>MAISONAVE 923</v>
      </c>
      <c r="D4056" s="6" t="str">
        <f ca="1">IFERROR(__xludf.DUMMYFUNCTION("""COMPUTED_VALUE"""),"LAMPA")</f>
        <v>LAMPA</v>
      </c>
    </row>
    <row r="4057" spans="1:4">
      <c r="A4057" s="7">
        <f ca="1">IFERROR(__xludf.DUMMYFUNCTION("""COMPUTED_VALUE"""),44370)</f>
        <v>44370</v>
      </c>
      <c r="B4057" s="6" t="str">
        <f ca="1">IFERROR(__xludf.DUMMYFUNCTION("""COMPUTED_VALUE"""),"-33.22941-70.80543")</f>
        <v>-33.22941-70.80543</v>
      </c>
      <c r="C4057" s="6" t="str">
        <f ca="1">IFERROR(__xludf.DUMMYFUNCTION("""COMPUTED_VALUE"""),"MAISONAVE 923")</f>
        <v>MAISONAVE 923</v>
      </c>
      <c r="D4057" s="6" t="str">
        <f ca="1">IFERROR(__xludf.DUMMYFUNCTION("""COMPUTED_VALUE"""),"LAMPA")</f>
        <v>LAMPA</v>
      </c>
    </row>
    <row r="4058" spans="1:4">
      <c r="A4058" s="7">
        <f ca="1">IFERROR(__xludf.DUMMYFUNCTION("""COMPUTED_VALUE"""),44370)</f>
        <v>44370</v>
      </c>
      <c r="B4058" s="6" t="str">
        <f ca="1">IFERROR(__xludf.DUMMYFUNCTION("""COMPUTED_VALUE"""),"-33.2847-70.86734")</f>
        <v>-33.2847-70.86734</v>
      </c>
      <c r="C4058" s="6" t="str">
        <f ca="1">IFERROR(__xludf.DUMMYFUNCTION("""COMPUTED_VALUE"""),"LOS LAURELES 432")</f>
        <v>LOS LAURELES 432</v>
      </c>
      <c r="D4058" s="6" t="str">
        <f ca="1">IFERROR(__xludf.DUMMYFUNCTION("""COMPUTED_VALUE"""),"LAMPA")</f>
        <v>LAMPA</v>
      </c>
    </row>
    <row r="4059" spans="1:4">
      <c r="A4059" s="7">
        <f ca="1">IFERROR(__xludf.DUMMYFUNCTION("""COMPUTED_VALUE"""),44370)</f>
        <v>44370</v>
      </c>
      <c r="B4059" s="6" t="str">
        <f ca="1">IFERROR(__xludf.DUMMYFUNCTION("""COMPUTED_VALUE"""),"-33.223320,-70.721466")</f>
        <v>-33.223320,-70.721466</v>
      </c>
      <c r="C4059" s="6" t="str">
        <f ca="1">IFERROR(__xludf.DUMMYFUNCTION("""COMPUTED_VALUE"""),"SANTA ELENA PARCELA 1 LOTE C")</f>
        <v>SANTA ELENA PARCELA 1 LOTE C</v>
      </c>
      <c r="D4059" s="6" t="str">
        <f ca="1">IFERROR(__xludf.DUMMYFUNCTION("""COMPUTED_VALUE"""),"COLINA")</f>
        <v>COLINA</v>
      </c>
    </row>
    <row r="4060" spans="1:4">
      <c r="A4060" s="7">
        <f ca="1">IFERROR(__xludf.DUMMYFUNCTION("""COMPUTED_VALUE"""),44370)</f>
        <v>44370</v>
      </c>
      <c r="B4060" s="6" t="str">
        <f ca="1">IFERROR(__xludf.DUMMYFUNCTION("""COMPUTED_VALUE"""),"-33.056612-71.435122")</f>
        <v>-33.056612-71.435122</v>
      </c>
      <c r="C4060" s="6" t="str">
        <f ca="1">IFERROR(__xludf.DUMMYFUNCTION("""COMPUTED_VALUE"""),"GRANADOS 1628")</f>
        <v>GRANADOS 1628</v>
      </c>
      <c r="D4060" s="6" t="str">
        <f ca="1">IFERROR(__xludf.DUMMYFUNCTION("""COMPUTED_VALUE"""),"QUILPUÉ")</f>
        <v>QUILPUÉ</v>
      </c>
    </row>
    <row r="4061" spans="1:4">
      <c r="A4061" s="7">
        <f ca="1">IFERROR(__xludf.DUMMYFUNCTION("""COMPUTED_VALUE"""),44371)</f>
        <v>44371</v>
      </c>
      <c r="B4061" s="8" t="str">
        <f ca="1">IFERROR(__xludf.DUMMYFUNCTION("""COMPUTED_VALUE"""),"-33.683803,-71.223958")</f>
        <v>-33.683803,-71.223958</v>
      </c>
      <c r="C4061" s="6" t="str">
        <f ca="1">IFERROR(__xludf.DUMMYFUNCTION("""COMPUTED_VALUE"""),"LAS TORRS 324")</f>
        <v>LAS TORRS 324</v>
      </c>
      <c r="D4061" s="6" t="str">
        <f ca="1">IFERROR(__xludf.DUMMYFUNCTION("""COMPUTED_VALUE"""),"MELIPILLA")</f>
        <v>MELIPILLA</v>
      </c>
    </row>
    <row r="4062" spans="1:4">
      <c r="A4062" s="7">
        <f ca="1">IFERROR(__xludf.DUMMYFUNCTION("""COMPUTED_VALUE"""),44371)</f>
        <v>44371</v>
      </c>
      <c r="B4062" s="8" t="str">
        <f ca="1">IFERROR(__xludf.DUMMYFUNCTION("""COMPUTED_VALUE"""),"-33.800972,-71.243440")</f>
        <v>-33.800972,-71.243440</v>
      </c>
      <c r="C4062" s="6" t="str">
        <f ca="1">IFERROR(__xludf.DUMMYFUNCTION("""COMPUTED_VALUE"""),"LAS CHILCAS 298")</f>
        <v>LAS CHILCAS 298</v>
      </c>
      <c r="D4062" s="6" t="str">
        <f ca="1">IFERROR(__xludf.DUMMYFUNCTION("""COMPUTED_VALUE"""),"MELIPILLA")</f>
        <v>MELIPILLA</v>
      </c>
    </row>
    <row r="4063" spans="1:4">
      <c r="A4063" s="7">
        <f ca="1">IFERROR(__xludf.DUMMYFUNCTION("""COMPUTED_VALUE"""),44371)</f>
        <v>44371</v>
      </c>
      <c r="B4063" s="8" t="str">
        <f ca="1">IFERROR(__xludf.DUMMYFUNCTION("""COMPUTED_VALUE"""),"-33.570231-71.199991")</f>
        <v>-33.570231-71.199991</v>
      </c>
      <c r="C4063" s="6" t="str">
        <f ca="1">IFERROR(__xludf.DUMMYFUNCTION("""COMPUTED_VALUE"""),"RUMAY S/N ")</f>
        <v xml:space="preserve">RUMAY S/N </v>
      </c>
      <c r="D4063" s="6" t="str">
        <f ca="1">IFERROR(__xludf.DUMMYFUNCTION("""COMPUTED_VALUE"""),"MELIPILLA")</f>
        <v>MELIPILLA</v>
      </c>
    </row>
    <row r="4064" spans="1:4">
      <c r="A4064" s="7">
        <f ca="1">IFERROR(__xludf.DUMMYFUNCTION("""COMPUTED_VALUE"""),44371)</f>
        <v>44371</v>
      </c>
      <c r="B4064" s="8" t="str">
        <f ca="1">IFERROR(__xludf.DUMMYFUNCTION("""COMPUTED_VALUE"""),"-33.577111-71.185073")</f>
        <v>-33.577111-71.185073</v>
      </c>
      <c r="C4064" s="6" t="str">
        <f ca="1">IFERROR(__xludf.DUMMYFUNCTION("""COMPUTED_VALUE"""),"BOLLENAR 8 ")</f>
        <v xml:space="preserve">BOLLENAR 8 </v>
      </c>
      <c r="D4064" s="6" t="str">
        <f ca="1">IFERROR(__xludf.DUMMYFUNCTION("""COMPUTED_VALUE"""),"MELIPILLA")</f>
        <v>MELIPILLA</v>
      </c>
    </row>
    <row r="4065" spans="1:4">
      <c r="A4065" s="7">
        <f ca="1">IFERROR(__xludf.DUMMYFUNCTION("""COMPUTED_VALUE"""),44371)</f>
        <v>44371</v>
      </c>
      <c r="B4065" s="8" t="str">
        <f ca="1">IFERROR(__xludf.DUMMYFUNCTION("""COMPUTED_VALUE"""),"-33.651241,-70.922570")</f>
        <v>-33.651241,-70.922570</v>
      </c>
      <c r="C4065" s="6" t="str">
        <f ca="1">IFERROR(__xludf.DUMMYFUNCTION("""COMPUTED_VALUE"""),"TRANSVERSAL 41")</f>
        <v>TRANSVERSAL 41</v>
      </c>
      <c r="D4065" s="6" t="str">
        <f ca="1">IFERROR(__xludf.DUMMYFUNCTION("""COMPUTED_VALUE"""),"TALAGANTE")</f>
        <v>TALAGANTE</v>
      </c>
    </row>
    <row r="4066" spans="1:4">
      <c r="A4066" s="7">
        <f ca="1">IFERROR(__xludf.DUMMYFUNCTION("""COMPUTED_VALUE"""),44371)</f>
        <v>44371</v>
      </c>
      <c r="B4066" s="8" t="str">
        <f ca="1">IFERROR(__xludf.DUMMYFUNCTION("""COMPUTED_VALUE"""),"-33.787139,-71.300967")</f>
        <v>-33.787139,-71.300967</v>
      </c>
      <c r="C4066" s="6" t="str">
        <f ca="1">IFERROR(__xludf.DUMMYFUNCTION("""COMPUTED_VALUE"""),"STA CECILIA 304")</f>
        <v>STA CECILIA 304</v>
      </c>
      <c r="D4066" s="6" t="str">
        <f ca="1">IFERROR(__xludf.DUMMYFUNCTION("""COMPUTED_VALUE"""),"MELIPILLA")</f>
        <v>MELIPILLA</v>
      </c>
    </row>
    <row r="4067" spans="1:4">
      <c r="A4067" s="7">
        <f ca="1">IFERROR(__xludf.DUMMYFUNCTION("""COMPUTED_VALUE"""),44371)</f>
        <v>44371</v>
      </c>
      <c r="B4067" s="8" t="str">
        <f ca="1">IFERROR(__xludf.DUMMYFUNCTION("""COMPUTED_VALUE"""),"-33.497118,-71.264440")</f>
        <v>-33.497118,-71.264440</v>
      </c>
      <c r="C4067" s="6" t="str">
        <f ca="1">IFERROR(__xludf.DUMMYFUNCTION("""COMPUTED_VALUE"""),"IBACACHE BAJO ")</f>
        <v xml:space="preserve">IBACACHE BAJO </v>
      </c>
      <c r="D4067" s="6" t="str">
        <f ca="1">IFERROR(__xludf.DUMMYFUNCTION("""COMPUTED_VALUE"""),"MARIA PINTO")</f>
        <v>MARIA PINTO</v>
      </c>
    </row>
    <row r="4068" spans="1:4">
      <c r="A4068" s="7">
        <f ca="1">IFERROR(__xludf.DUMMYFUNCTION("""COMPUTED_VALUE"""),44371)</f>
        <v>44371</v>
      </c>
      <c r="B4068" s="6" t="str">
        <f ca="1">IFERROR(__xludf.DUMMYFUNCTION("""COMPUTED_VALUE"""),"-33.46778-71.07008")</f>
        <v>-33.46778-71.07008</v>
      </c>
      <c r="C4068" s="6" t="str">
        <f ca="1">IFERROR(__xludf.DUMMYFUNCTION("""COMPUTED_VALUE"""),"LO ALVARADO S/N CV39")</f>
        <v>LO ALVARADO S/N CV39</v>
      </c>
      <c r="D4068" s="6" t="str">
        <f ca="1">IFERROR(__xludf.DUMMYFUNCTION("""COMPUTED_VALUE"""),"CURACAVI")</f>
        <v>CURACAVI</v>
      </c>
    </row>
    <row r="4069" spans="1:4">
      <c r="A4069" s="7">
        <f ca="1">IFERROR(__xludf.DUMMYFUNCTION("""COMPUTED_VALUE"""),44371)</f>
        <v>44371</v>
      </c>
      <c r="B4069" s="6" t="str">
        <f ca="1">IFERROR(__xludf.DUMMYFUNCTION("""COMPUTED_VALUE"""),"-33.44618-71.02869")</f>
        <v>-33.44618-71.02869</v>
      </c>
      <c r="C4069" s="6" t="str">
        <f ca="1">IFERROR(__xludf.DUMMYFUNCTION("""COMPUTED_VALUE"""),"UNION CHILENA  P16 S13")</f>
        <v>UNION CHILENA  P16 S13</v>
      </c>
      <c r="D4069" s="6" t="str">
        <f ca="1">IFERROR(__xludf.DUMMYFUNCTION("""COMPUTED_VALUE"""),"CURACAVI")</f>
        <v>CURACAVI</v>
      </c>
    </row>
    <row r="4070" spans="1:4">
      <c r="A4070" s="7">
        <f ca="1">IFERROR(__xludf.DUMMYFUNCTION("""COMPUTED_VALUE"""),44371)</f>
        <v>44371</v>
      </c>
      <c r="B4070" s="6" t="str">
        <f ca="1">IFERROR(__xludf.DUMMYFUNCTION("""COMPUTED_VALUE"""),"-33.49743-71.2629")</f>
        <v>-33.49743-71.2629</v>
      </c>
      <c r="C4070" s="6" t="str">
        <f ca="1">IFERROR(__xludf.DUMMYFUNCTION("""COMPUTED_VALUE"""),"IBACACHE BAJO S/N")</f>
        <v>IBACACHE BAJO S/N</v>
      </c>
      <c r="D4070" s="6" t="str">
        <f ca="1">IFERROR(__xludf.DUMMYFUNCTION("""COMPUTED_VALUE"""),"MARIA PINTO")</f>
        <v>MARIA PINTO</v>
      </c>
    </row>
    <row r="4071" spans="1:4">
      <c r="A4071" s="7">
        <f ca="1">IFERROR(__xludf.DUMMYFUNCTION("""COMPUTED_VALUE"""),44371)</f>
        <v>44371</v>
      </c>
      <c r="B4071" s="6" t="str">
        <f ca="1">IFERROR(__xludf.DUMMYFUNCTION("""COMPUTED_VALUE"""),"-33.131158-70.8000046")</f>
        <v>-33.131158-70.8000046</v>
      </c>
      <c r="C4071" s="6" t="str">
        <f ca="1">IFERROR(__xludf.DUMMYFUNCTION("""COMPUTED_VALUE"""),"CUATRO ORIENTE 121")</f>
        <v>CUATRO ORIENTE 121</v>
      </c>
      <c r="D4071" s="6" t="str">
        <f ca="1">IFERROR(__xludf.DUMMYFUNCTION("""COMPUTED_VALUE"""),"TIL TIL")</f>
        <v>TIL TIL</v>
      </c>
    </row>
    <row r="4072" spans="1:4">
      <c r="A4072" s="7">
        <f ca="1">IFERROR(__xludf.DUMMYFUNCTION("""COMPUTED_VALUE"""),44371)</f>
        <v>44371</v>
      </c>
      <c r="B4072" s="6" t="str">
        <f ca="1">IFERROR(__xludf.DUMMYFUNCTION("""COMPUTED_VALUE"""),"-33.684226,-71.198331")</f>
        <v>-33.684226,-71.198331</v>
      </c>
      <c r="C4072" s="6" t="str">
        <f ca="1">IFERROR(__xludf.DUMMYFUNCTION("""COMPUTED_VALUE"""),"PASAJE JOSE MARIA MAVASAL 275")</f>
        <v>PASAJE JOSE MARIA MAVASAL 275</v>
      </c>
      <c r="D4072" s="6" t="str">
        <f ca="1">IFERROR(__xludf.DUMMYFUNCTION("""COMPUTED_VALUE"""),"MELIPILLA")</f>
        <v>MELIPILLA</v>
      </c>
    </row>
    <row r="4073" spans="1:4">
      <c r="A4073" s="7">
        <f ca="1">IFERROR(__xludf.DUMMYFUNCTION("""COMPUTED_VALUE"""),44371)</f>
        <v>44371</v>
      </c>
      <c r="B4073" s="6" t="str">
        <f ca="1">IFERROR(__xludf.DUMMYFUNCTION("""COMPUTED_VALUE"""),"-33.700057,-71.0216544")</f>
        <v>-33.700057,-71.0216544</v>
      </c>
      <c r="C4073" s="6" t="str">
        <f ca="1">IFERROR(__xludf.DUMMYFUNCTION("""COMPUTED_VALUE"""),"PASAJE PDERO GUZMAN 1464")</f>
        <v>PASAJE PDERO GUZMAN 1464</v>
      </c>
      <c r="D4073" s="6" t="str">
        <f ca="1">IFERROR(__xludf.DUMMYFUNCTION("""COMPUTED_VALUE"""),"MELIPILLA")</f>
        <v>MELIPILLA</v>
      </c>
    </row>
    <row r="4074" spans="1:4">
      <c r="A4074" s="7">
        <f ca="1">IFERROR(__xludf.DUMMYFUNCTION("""COMPUTED_VALUE"""),44371)</f>
        <v>44371</v>
      </c>
      <c r="B4074" s="6" t="str">
        <f ca="1">IFERROR(__xludf.DUMMYFUNCTION("""COMPUTED_VALUE"""),"-33.687072,-71.193143")</f>
        <v>-33.687072,-71.193143</v>
      </c>
      <c r="C4074" s="6" t="str">
        <f ca="1">IFERROR(__xludf.DUMMYFUNCTION("""COMPUTED_VALUE"""),"PA HERNAN VALENZUELA  CARVACHO 789")</f>
        <v>PA HERNAN VALENZUELA  CARVACHO 789</v>
      </c>
      <c r="D4074" s="6" t="str">
        <f ca="1">IFERROR(__xludf.DUMMYFUNCTION("""COMPUTED_VALUE"""),"MELIPILLA")</f>
        <v>MELIPILLA</v>
      </c>
    </row>
    <row r="4075" spans="1:4">
      <c r="A4075" s="7">
        <f ca="1">IFERROR(__xludf.DUMMYFUNCTION("""COMPUTED_VALUE"""),44371)</f>
        <v>44371</v>
      </c>
      <c r="B4075" s="8" t="str">
        <f ca="1">IFERROR(__xludf.DUMMYFUNCTION("""COMPUTED_VALUE"""),"-33.680676,-71.222861")</f>
        <v>-33.680676,-71.222861</v>
      </c>
      <c r="C4075" s="6" t="str">
        <f ca="1">IFERROR(__xludf.DUMMYFUNCTION("""COMPUTED_VALUE"""),"LAS TORRES ")</f>
        <v xml:space="preserve">LAS TORRES </v>
      </c>
      <c r="D4075" s="6" t="str">
        <f ca="1">IFERROR(__xludf.DUMMYFUNCTION("""COMPUTED_VALUE"""),"MELIPILLA")</f>
        <v>MELIPILLA</v>
      </c>
    </row>
    <row r="4076" spans="1:4">
      <c r="A4076" s="7">
        <f ca="1">IFERROR(__xludf.DUMMYFUNCTION("""COMPUTED_VALUE"""),44371)</f>
        <v>44371</v>
      </c>
      <c r="B4076" s="6" t="str">
        <f ca="1">IFERROR(__xludf.DUMMYFUNCTION("""COMPUTED_VALUE"""),"-33.0511-71.4210")</f>
        <v>-33.0511-71.4210</v>
      </c>
      <c r="C4076" s="6" t="str">
        <f ca="1">IFERROR(__xludf.DUMMYFUNCTION("""COMPUTED_VALUE"""),"AVUTARDA 2421")</f>
        <v>AVUTARDA 2421</v>
      </c>
      <c r="D4076" s="6" t="str">
        <f ca="1">IFERROR(__xludf.DUMMYFUNCTION("""COMPUTED_VALUE"""),"QUILPUÉ")</f>
        <v>QUILPUÉ</v>
      </c>
    </row>
    <row r="4077" spans="1:4">
      <c r="A4077" s="7">
        <f ca="1">IFERROR(__xludf.DUMMYFUNCTION("""COMPUTED_VALUE"""),44371)</f>
        <v>44371</v>
      </c>
      <c r="B4077" s="6" t="str">
        <f ca="1">IFERROR(__xludf.DUMMYFUNCTION("""COMPUTED_VALUE"""),"-33.053263-71.449621")</f>
        <v>-33.053263-71.449621</v>
      </c>
      <c r="C4077" s="6" t="str">
        <f ca="1">IFERROR(__xludf.DUMMYFUNCTION("""COMPUTED_VALUE"""),"BULNES 1411")</f>
        <v>BULNES 1411</v>
      </c>
      <c r="D4077" s="6" t="str">
        <f ca="1">IFERROR(__xludf.DUMMYFUNCTION("""COMPUTED_VALUE"""),"QUILPUÉ")</f>
        <v>QUILPUÉ</v>
      </c>
    </row>
    <row r="4078" spans="1:4">
      <c r="A4078" s="7">
        <f ca="1">IFERROR(__xludf.DUMMYFUNCTION("""COMPUTED_VALUE"""),44371)</f>
        <v>44371</v>
      </c>
      <c r="B4078" s="6" t="str">
        <f ca="1">IFERROR(__xludf.DUMMYFUNCTION("""COMPUTED_VALUE"""),"-33.0508-71.4216")</f>
        <v>-33.0508-71.4216</v>
      </c>
      <c r="C4078" s="6" t="str">
        <f ca="1">IFERROR(__xludf.DUMMYFUNCTION("""COMPUTED_VALUE"""),"LOS ARRAYANES 1011")</f>
        <v>LOS ARRAYANES 1011</v>
      </c>
      <c r="D4078" s="6" t="str">
        <f ca="1">IFERROR(__xludf.DUMMYFUNCTION("""COMPUTED_VALUE"""),"QUILPUÉ")</f>
        <v>QUILPUÉ</v>
      </c>
    </row>
    <row r="4079" spans="1:4">
      <c r="A4079" s="7">
        <f ca="1">IFERROR(__xludf.DUMMYFUNCTION("""COMPUTED_VALUE"""),44372)</f>
        <v>44372</v>
      </c>
      <c r="B4079" s="8" t="str">
        <f ca="1">IFERROR(__xludf.DUMMYFUNCTION("""COMPUTED_VALUE"""),"-33.578532,-71.980328")</f>
        <v>-33.578532,-71.980328</v>
      </c>
      <c r="C4079" s="6" t="str">
        <f ca="1">IFERROR(__xludf.DUMMYFUNCTION("""COMPUTED_VALUE"""),"JAIME ALMIJO 79")</f>
        <v>JAIME ALMIJO 79</v>
      </c>
      <c r="D4079" s="6" t="str">
        <f ca="1">IFERROR(__xludf.DUMMYFUNCTION("""COMPUTED_VALUE"""),"MELIPILLA")</f>
        <v>MELIPILLA</v>
      </c>
    </row>
    <row r="4080" spans="1:4">
      <c r="A4080" s="7">
        <f ca="1">IFERROR(__xludf.DUMMYFUNCTION("""COMPUTED_VALUE"""),44372)</f>
        <v>44372</v>
      </c>
      <c r="B4080" s="8" t="str">
        <f ca="1">IFERROR(__xludf.DUMMYFUNCTION("""COMPUTED_VALUE"""),"-33.571268,-71.207321")</f>
        <v>-33.571268,-71.207321</v>
      </c>
      <c r="C4080" s="6" t="str">
        <f ca="1">IFERROR(__xludf.DUMMYFUNCTION("""COMPUTED_VALUE"""),"LAS GOLONDRINAS 154")</f>
        <v>LAS GOLONDRINAS 154</v>
      </c>
      <c r="D4080" s="6" t="str">
        <f ca="1">IFERROR(__xludf.DUMMYFUNCTION("""COMPUTED_VALUE"""),"MELIPILLA")</f>
        <v>MELIPILLA</v>
      </c>
    </row>
    <row r="4081" spans="1:4">
      <c r="A4081" s="7">
        <f ca="1">IFERROR(__xludf.DUMMYFUNCTION("""COMPUTED_VALUE"""),44372)</f>
        <v>44372</v>
      </c>
      <c r="B4081" s="8" t="str">
        <f ca="1">IFERROR(__xludf.DUMMYFUNCTION("""COMPUTED_VALUE"""),"-33.687519,-71.193278")</f>
        <v>-33.687519,-71.193278</v>
      </c>
      <c r="C4081" s="6" t="str">
        <f ca="1">IFERROR(__xludf.DUMMYFUNCTION("""COMPUTED_VALUE"""),"HERNAN VALENZUELA")</f>
        <v>HERNAN VALENZUELA</v>
      </c>
      <c r="D4081" s="6" t="str">
        <f ca="1">IFERROR(__xludf.DUMMYFUNCTION("""COMPUTED_VALUE"""),"MELIPILLA")</f>
        <v>MELIPILLA</v>
      </c>
    </row>
    <row r="4082" spans="1:4">
      <c r="A4082" s="7">
        <f ca="1">IFERROR(__xludf.DUMMYFUNCTION("""COMPUTED_VALUE"""),44372)</f>
        <v>44372</v>
      </c>
      <c r="B4082" s="8" t="str">
        <f ca="1">IFERROR(__xludf.DUMMYFUNCTION("""COMPUTED_VALUE"""),"-33.571957,-71.199315")</f>
        <v>-33.571957,-71.199315</v>
      </c>
      <c r="C4082" s="6" t="str">
        <f ca="1">IFERROR(__xludf.DUMMYFUNCTION("""COMPUTED_VALUE"""),"LA NALCA 862")</f>
        <v>LA NALCA 862</v>
      </c>
      <c r="D4082" s="6" t="str">
        <f ca="1">IFERROR(__xludf.DUMMYFUNCTION("""COMPUTED_VALUE"""),"MELIPILLA")</f>
        <v>MELIPILLA</v>
      </c>
    </row>
    <row r="4083" spans="1:4">
      <c r="A4083" s="7">
        <f ca="1">IFERROR(__xludf.DUMMYFUNCTION("""COMPUTED_VALUE"""),44372)</f>
        <v>44372</v>
      </c>
      <c r="B4083" s="6" t="str">
        <f ca="1">IFERROR(__xludf.DUMMYFUNCTION("""COMPUTED_VALUE"""),"-33.543097,-70.826049")</f>
        <v>-33.543097,-70.826049</v>
      </c>
      <c r="C4083" s="6" t="str">
        <f ca="1">IFERROR(__xludf.DUMMYFUNCTION("""COMPUTED_VALUE"""),"CO INTERIOR SIT 3/N LOS CAMPESINOS")</f>
        <v>CO INTERIOR SIT 3/N LOS CAMPESINOS</v>
      </c>
      <c r="D4083" s="6" t="str">
        <f ca="1">IFERROR(__xludf.DUMMYFUNCTION("""COMPUTED_VALUE"""),"PADRE HURTADO")</f>
        <v>PADRE HURTADO</v>
      </c>
    </row>
    <row r="4084" spans="1:4">
      <c r="A4084" s="7">
        <f ca="1">IFERROR(__xludf.DUMMYFUNCTION("""COMPUTED_VALUE"""),44372)</f>
        <v>44372</v>
      </c>
      <c r="B4084" s="6" t="str">
        <f ca="1">IFERROR(__xludf.DUMMYFUNCTION("""COMPUTED_VALUE"""),"-33.534249,-70.903650")</f>
        <v>-33.534249,-70.903650</v>
      </c>
      <c r="C4084" s="6" t="str">
        <f ca="1">IFERROR(__xludf.DUMMYFUNCTION("""COMPUTED_VALUE"""),"PASAJE LA ARAUCARIA 133 LOTE SANTA MONICA ")</f>
        <v xml:space="preserve">PASAJE LA ARAUCARIA 133 LOTE SANTA MONICA </v>
      </c>
      <c r="D4084" s="6" t="str">
        <f ca="1">IFERROR(__xludf.DUMMYFUNCTION("""COMPUTED_VALUE"""),"PADRE HURTADO")</f>
        <v>PADRE HURTADO</v>
      </c>
    </row>
    <row r="4085" spans="1:4">
      <c r="A4085" s="7">
        <f ca="1">IFERROR(__xludf.DUMMYFUNCTION("""COMPUTED_VALUE"""),44372)</f>
        <v>44372</v>
      </c>
      <c r="B4085" s="8" t="str">
        <f ca="1">IFERROR(__xludf.DUMMYFUNCTION("""COMPUTED_VALUE"""),"-33.690065,-71.210138")</f>
        <v>-33.690065,-71.210138</v>
      </c>
      <c r="C4085" s="6" t="str">
        <f ca="1">IFERROR(__xludf.DUMMYFUNCTION("""COMPUTED_VALUE"""),"SAN MIGUEL")</f>
        <v>SAN MIGUEL</v>
      </c>
      <c r="D4085" s="6" t="str">
        <f ca="1">IFERROR(__xludf.DUMMYFUNCTION("""COMPUTED_VALUE"""),"MELIPILLA")</f>
        <v>MELIPILLA</v>
      </c>
    </row>
    <row r="4086" spans="1:4">
      <c r="A4086" s="7">
        <f ca="1">IFERROR(__xludf.DUMMYFUNCTION("""COMPUTED_VALUE"""),44373)</f>
        <v>44373</v>
      </c>
      <c r="B4086" s="6" t="str">
        <f ca="1">IFERROR(__xludf.DUMMYFUNCTION("""COMPUTED_VALUE"""),"-33.120756-70.799153")</f>
        <v>-33.120756-70.799153</v>
      </c>
      <c r="C4086" s="6" t="str">
        <f ca="1">IFERROR(__xludf.DUMMYFUNCTION("""COMPUTED_VALUE"""),"CUATRO NORTE 325")</f>
        <v>CUATRO NORTE 325</v>
      </c>
      <c r="D4086" s="6" t="str">
        <f ca="1">IFERROR(__xludf.DUMMYFUNCTION("""COMPUTED_VALUE"""),"TIL TIL")</f>
        <v>TIL TIL</v>
      </c>
    </row>
    <row r="4087" spans="1:4">
      <c r="A4087" s="7">
        <f ca="1">IFERROR(__xludf.DUMMYFUNCTION("""COMPUTED_VALUE"""),44373)</f>
        <v>44373</v>
      </c>
      <c r="B4087" s="6" t="str">
        <f ca="1">IFERROR(__xludf.DUMMYFUNCTION("""COMPUTED_VALUE"""),"-33.2407-70.79264")</f>
        <v>-33.2407-70.79264</v>
      </c>
      <c r="C4087" s="6" t="str">
        <f ca="1">IFERROR(__xludf.DUMMYFUNCTION("""COMPUTED_VALUE"""),"VOLCAN VILLARRICA S/N")</f>
        <v>VOLCAN VILLARRICA S/N</v>
      </c>
      <c r="D4087" s="6" t="str">
        <f ca="1">IFERROR(__xludf.DUMMYFUNCTION("""COMPUTED_VALUE"""),"LAMPA")</f>
        <v>LAMPA</v>
      </c>
    </row>
    <row r="4088" spans="1:4">
      <c r="A4088" s="7">
        <f ca="1">IFERROR(__xludf.DUMMYFUNCTION("""COMPUTED_VALUE"""),44373)</f>
        <v>44373</v>
      </c>
      <c r="B4088" s="6" t="str">
        <f ca="1">IFERROR(__xludf.DUMMYFUNCTION("""COMPUTED_VALUE"""),"-33.29396-70.88433")</f>
        <v>-33.29396-70.88433</v>
      </c>
      <c r="C4088" s="6" t="str">
        <f ca="1">IFERROR(__xludf.DUMMYFUNCTION("""COMPUTED_VALUE"""),"GUAYACAN 504")</f>
        <v>GUAYACAN 504</v>
      </c>
      <c r="D4088" s="6" t="str">
        <f ca="1">IFERROR(__xludf.DUMMYFUNCTION("""COMPUTED_VALUE"""),"LAMPA")</f>
        <v>LAMPA</v>
      </c>
    </row>
    <row r="4089" spans="1:4">
      <c r="A4089" s="7">
        <f ca="1">IFERROR(__xludf.DUMMYFUNCTION("""COMPUTED_VALUE"""),44373)</f>
        <v>44373</v>
      </c>
      <c r="B4089" s="6" t="str">
        <f ca="1">IFERROR(__xludf.DUMMYFUNCTION("""COMPUTED_VALUE"""),"-33.120756-70.799153")</f>
        <v>-33.120756-70.799153</v>
      </c>
      <c r="C4089" s="6" t="str">
        <f ca="1">IFERROR(__xludf.DUMMYFUNCTION("""COMPUTED_VALUE"""),"CUATRO NORTE 325")</f>
        <v>CUATRO NORTE 325</v>
      </c>
      <c r="D4089" s="6" t="str">
        <f ca="1">IFERROR(__xludf.DUMMYFUNCTION("""COMPUTED_VALUE"""),"TIL TIL")</f>
        <v>TIL TIL</v>
      </c>
    </row>
    <row r="4090" spans="1:4">
      <c r="A4090" s="7">
        <f ca="1">IFERROR(__xludf.DUMMYFUNCTION("""COMPUTED_VALUE"""),44375)</f>
        <v>44375</v>
      </c>
      <c r="B4090" s="6" t="str">
        <f ca="1">IFERROR(__xludf.DUMMYFUNCTION("""COMPUTED_VALUE"""),"-33.399348-71.131865")</f>
        <v>-33.399348-71.131865</v>
      </c>
      <c r="C4090" s="6" t="str">
        <f ca="1">IFERROR(__xludf.DUMMYFUNCTION("""COMPUTED_VALUE"""),"FRANCISCO SAAVEDRA 1804 LOTE B")</f>
        <v>FRANCISCO SAAVEDRA 1804 LOTE B</v>
      </c>
      <c r="D4090" s="6" t="str">
        <f ca="1">IFERROR(__xludf.DUMMYFUNCTION("""COMPUTED_VALUE"""),"CURACAVI")</f>
        <v>CURACAVI</v>
      </c>
    </row>
    <row r="4091" spans="1:4">
      <c r="A4091" s="7">
        <f ca="1">IFERROR(__xludf.DUMMYFUNCTION("""COMPUTED_VALUE"""),44375)</f>
        <v>44375</v>
      </c>
      <c r="B4091" s="6" t="str">
        <f ca="1">IFERROR(__xludf.DUMMYFUNCTION("""COMPUTED_VALUE"""),"-33.394078-71.120379")</f>
        <v>-33.394078-71.120379</v>
      </c>
      <c r="C4091" s="6" t="str">
        <f ca="1">IFERROR(__xludf.DUMMYFUNCTION("""COMPUTED_VALUE"""),"NUEVO AMANECER 1120")</f>
        <v>NUEVO AMANECER 1120</v>
      </c>
      <c r="D4091" s="6" t="str">
        <f ca="1">IFERROR(__xludf.DUMMYFUNCTION("""COMPUTED_VALUE"""),"CURACAVI")</f>
        <v>CURACAVI</v>
      </c>
    </row>
    <row r="4092" spans="1:4">
      <c r="A4092" s="7">
        <f ca="1">IFERROR(__xludf.DUMMYFUNCTION("""COMPUTED_VALUE"""),44376)</f>
        <v>44376</v>
      </c>
      <c r="B4092" s="8" t="str">
        <f ca="1">IFERROR(__xludf.DUMMYFUNCTION("""COMPUTED_VALUE"""),"-33.571276,-71.207005")</f>
        <v>-33.571276,-71.207005</v>
      </c>
      <c r="C4092" s="6" t="str">
        <f ca="1">IFERROR(__xludf.DUMMYFUNCTION("""COMPUTED_VALUE"""),"BOLLENAR SITIO 1 ")</f>
        <v xml:space="preserve">BOLLENAR SITIO 1 </v>
      </c>
      <c r="D4092" s="6" t="str">
        <f ca="1">IFERROR(__xludf.DUMMYFUNCTION("""COMPUTED_VALUE"""),"MELIPILLA")</f>
        <v>MELIPILLA</v>
      </c>
    </row>
    <row r="4093" spans="1:4">
      <c r="A4093" s="7">
        <f ca="1">IFERROR(__xludf.DUMMYFUNCTION("""COMPUTED_VALUE"""),44376)</f>
        <v>44376</v>
      </c>
      <c r="B4093" s="8" t="str">
        <f ca="1">IFERROR(__xludf.DUMMYFUNCTION("""COMPUTED_VALUE"""),"-33.570237-71.200207")</f>
        <v>-33.570237-71.200207</v>
      </c>
      <c r="C4093" s="6" t="str">
        <f ca="1">IFERROR(__xludf.DUMMYFUNCTION("""COMPUTED_VALUE"""),"BOLLENAR HIJUELA")</f>
        <v>BOLLENAR HIJUELA</v>
      </c>
      <c r="D4093" s="6" t="str">
        <f ca="1">IFERROR(__xludf.DUMMYFUNCTION("""COMPUTED_VALUE"""),"MELIPILLA")</f>
        <v>MELIPILLA</v>
      </c>
    </row>
    <row r="4094" spans="1:4">
      <c r="A4094" s="7">
        <f ca="1">IFERROR(__xludf.DUMMYFUNCTION("""COMPUTED_VALUE"""),44376)</f>
        <v>44376</v>
      </c>
      <c r="B4094" s="8" t="str">
        <f ca="1">IFERROR(__xludf.DUMMYFUNCTION("""COMPUTED_VALUE"""),"-33.984727,-71.515365")</f>
        <v>-33.984727,-71.515365</v>
      </c>
      <c r="C4094" s="6" t="str">
        <f ca="1">IFERROR(__xludf.DUMMYFUNCTION("""COMPUTED_VALUE"""),"LOYCA ALTO SAN PEDRO ")</f>
        <v xml:space="preserve">LOYCA ALTO SAN PEDRO </v>
      </c>
      <c r="D4094" s="6" t="str">
        <f ca="1">IFERROR(__xludf.DUMMYFUNCTION("""COMPUTED_VALUE"""),"SAN PEDRO")</f>
        <v>SAN PEDRO</v>
      </c>
    </row>
    <row r="4095" spans="1:4">
      <c r="A4095" s="7">
        <f ca="1">IFERROR(__xludf.DUMMYFUNCTION("""COMPUTED_VALUE"""),44376)</f>
        <v>44376</v>
      </c>
      <c r="B4095" s="6" t="str">
        <f ca="1">IFERROR(__xludf.DUMMYFUNCTION("""COMPUTED_VALUE"""),"-33.723537-70.744280")</f>
        <v>-33.723537-70.744280</v>
      </c>
      <c r="C4095" s="6" t="str">
        <f ca="1">IFERROR(__xludf.DUMMYFUNCTION("""COMPUTED_VALUE"""),"POTRERILLO SALINAS 692")</f>
        <v>POTRERILLO SALINAS 692</v>
      </c>
      <c r="D4095" s="6" t="str">
        <f ca="1">IFERROR(__xludf.DUMMYFUNCTION("""COMPUTED_VALUE"""),"BUIN")</f>
        <v>BUIN</v>
      </c>
    </row>
    <row r="4096" spans="1:4">
      <c r="A4096" s="7">
        <f ca="1">IFERROR(__xludf.DUMMYFUNCTION("""COMPUTED_VALUE"""),44376)</f>
        <v>44376</v>
      </c>
      <c r="B4096" s="6" t="str">
        <f ca="1">IFERROR(__xludf.DUMMYFUNCTION("""COMPUTED_VALUE"""),"-33.408239-71.133625")</f>
        <v>-33.408239-71.133625</v>
      </c>
      <c r="C4096" s="6" t="str">
        <f ca="1">IFERROR(__xludf.DUMMYFUNCTION("""COMPUTED_VALUE"""),"TENIENTE BERNARDO ESCOBAR 446")</f>
        <v>TENIENTE BERNARDO ESCOBAR 446</v>
      </c>
      <c r="D4096" s="6" t="str">
        <f ca="1">IFERROR(__xludf.DUMMYFUNCTION("""COMPUTED_VALUE"""),"CURACAVI")</f>
        <v>CURACAVI</v>
      </c>
    </row>
    <row r="4097" spans="1:4">
      <c r="A4097" s="7">
        <f ca="1">IFERROR(__xludf.DUMMYFUNCTION("""COMPUTED_VALUE"""),44376)</f>
        <v>44376</v>
      </c>
      <c r="B4097" s="6" t="str">
        <f ca="1">IFERROR(__xludf.DUMMYFUNCTION("""COMPUTED_VALUE"""),"-33.412970-71-117902")</f>
        <v>-33.412970-71-117902</v>
      </c>
      <c r="C4097" s="6" t="str">
        <f ca="1">IFERROR(__xludf.DUMMYFUNCTION("""COMPUTED_VALUE"""),"LAS ROSAS S/N")</f>
        <v>LAS ROSAS S/N</v>
      </c>
      <c r="D4097" s="6" t="str">
        <f ca="1">IFERROR(__xludf.DUMMYFUNCTION("""COMPUTED_VALUE"""),"CURACAVI")</f>
        <v>CURACAVI</v>
      </c>
    </row>
    <row r="4098" spans="1:4">
      <c r="A4098" s="7">
        <f ca="1">IFERROR(__xludf.DUMMYFUNCTION("""COMPUTED_VALUE"""),44376)</f>
        <v>44376</v>
      </c>
      <c r="B4098" s="6" t="str">
        <f ca="1">IFERROR(__xludf.DUMMYFUNCTION("""COMPUTED_VALUE"""),"-33.51384-71.07658")</f>
        <v>-33.51384-71.07658</v>
      </c>
      <c r="C4098" s="6" t="str">
        <f ca="1">IFERROR(__xludf.DUMMYFUNCTION("""COMPUTED_VALUE"""),"SANTA TERESA S/N")</f>
        <v>SANTA TERESA S/N</v>
      </c>
      <c r="D4098" s="6" t="str">
        <f ca="1">IFERROR(__xludf.DUMMYFUNCTION("""COMPUTED_VALUE"""),"MARIA PINTO")</f>
        <v>MARIA PINTO</v>
      </c>
    </row>
    <row r="4099" spans="1:4">
      <c r="A4099" s="7">
        <f ca="1">IFERROR(__xludf.DUMMYFUNCTION("""COMPUTED_VALUE"""),44376)</f>
        <v>44376</v>
      </c>
      <c r="B4099" s="6" t="str">
        <f ca="1">IFERROR(__xludf.DUMMYFUNCTION("""COMPUTED_VALUE"""),"-33.47548-71.02764")</f>
        <v>-33.47548-71.02764</v>
      </c>
      <c r="C4099" s="6" t="str">
        <f ca="1">IFERROR(__xludf.DUMMYFUNCTION("""COMPUTED_VALUE"""),"PUNTILLA SALAZAR S/N")</f>
        <v>PUNTILLA SALAZAR S/N</v>
      </c>
      <c r="D4099" s="6" t="str">
        <f ca="1">IFERROR(__xludf.DUMMYFUNCTION("""COMPUTED_VALUE"""),"CURACAVI")</f>
        <v>CURACAVI</v>
      </c>
    </row>
    <row r="4100" spans="1:4">
      <c r="A4100" s="7">
        <f ca="1">IFERROR(__xludf.DUMMYFUNCTION("""COMPUTED_VALUE"""),44376)</f>
        <v>44376</v>
      </c>
      <c r="B4100" s="6" t="str">
        <f ca="1">IFERROR(__xludf.DUMMYFUNCTION("""COMPUTED_VALUE"""),"-33.40665-71.13583")</f>
        <v>-33.40665-71.13583</v>
      </c>
      <c r="C4100" s="6" t="str">
        <f ca="1">IFERROR(__xludf.DUMMYFUNCTION("""COMPUTED_VALUE"""),"PJE SAN MARCOS 216")</f>
        <v>PJE SAN MARCOS 216</v>
      </c>
      <c r="D4100" s="6" t="str">
        <f ca="1">IFERROR(__xludf.DUMMYFUNCTION("""COMPUTED_VALUE"""),"CURACAVI")</f>
        <v>CURACAVI</v>
      </c>
    </row>
    <row r="4101" spans="1:4">
      <c r="A4101" s="7">
        <f ca="1">IFERROR(__xludf.DUMMYFUNCTION("""COMPUTED_VALUE"""),44376)</f>
        <v>44376</v>
      </c>
      <c r="B4101" s="6" t="str">
        <f ca="1">IFERROR(__xludf.DUMMYFUNCTION("""COMPUTED_VALUE"""),"-33.690113,-71.220550")</f>
        <v>-33.690113,-71.220550</v>
      </c>
      <c r="C4101" s="6" t="str">
        <f ca="1">IFERROR(__xludf.DUMMYFUNCTION("""COMPUTED_VALUE"""),"PA  SIETE 856 POBLACION SAN MIGUEL ")</f>
        <v xml:space="preserve">PA  SIETE 856 POBLACION SAN MIGUEL </v>
      </c>
      <c r="D4101" s="6" t="str">
        <f ca="1">IFERROR(__xludf.DUMMYFUNCTION("""COMPUTED_VALUE"""),"MELIPILLA")</f>
        <v>MELIPILLA</v>
      </c>
    </row>
    <row r="4102" spans="1:4">
      <c r="A4102" s="7">
        <f ca="1">IFERROR(__xludf.DUMMYFUNCTION("""COMPUTED_VALUE"""),44376)</f>
        <v>44376</v>
      </c>
      <c r="B4102" s="6" t="str">
        <f ca="1">IFERROR(__xludf.DUMMYFUNCTION("""COMPUTED_VALUE"""),"-33.809343,-71.241039")</f>
        <v>-33.809343,-71.241039</v>
      </c>
      <c r="C4102" s="6" t="str">
        <f ca="1">IFERROR(__xludf.DUMMYFUNCTION("""COMPUTED_VALUE"""),"LOS MOLLES  PARCELA 136 CULIPRAN")</f>
        <v>LOS MOLLES  PARCELA 136 CULIPRAN</v>
      </c>
      <c r="D4102" s="6" t="str">
        <f ca="1">IFERROR(__xludf.DUMMYFUNCTION("""COMPUTED_VALUE"""),"MELIPILLA")</f>
        <v>MELIPILLA</v>
      </c>
    </row>
    <row r="4103" spans="1:4">
      <c r="A4103" s="7">
        <f ca="1">IFERROR(__xludf.DUMMYFUNCTION("""COMPUTED_VALUE"""),44376)</f>
        <v>44376</v>
      </c>
      <c r="B4103" s="6" t="str">
        <f ca="1">IFERROR(__xludf.DUMMYFUNCTION("""COMPUTED_VALUE"""),"-33.809235,-71.244764")</f>
        <v>-33.809235,-71.244764</v>
      </c>
      <c r="C4103" s="6" t="str">
        <f ca="1">IFERROR(__xludf.DUMMYFUNCTION("""COMPUTED_VALUE"""),"CULIPRAN  3528 LT H")</f>
        <v>CULIPRAN  3528 LT H</v>
      </c>
      <c r="D4103" s="6" t="str">
        <f ca="1">IFERROR(__xludf.DUMMYFUNCTION("""COMPUTED_VALUE"""),"MELIPILLA")</f>
        <v>MELIPILLA</v>
      </c>
    </row>
    <row r="4104" spans="1:4">
      <c r="A4104" s="7">
        <f ca="1">IFERROR(__xludf.DUMMYFUNCTION("""COMPUTED_VALUE"""),44376)</f>
        <v>44376</v>
      </c>
      <c r="B4104" s="6" t="str">
        <f ca="1">IFERROR(__xludf.DUMMYFUNCTION("""COMPUTED_VALUE"""),"-33.655259,-71.152138")</f>
        <v>-33.655259,-71.152138</v>
      </c>
      <c r="C4104" s="6" t="str">
        <f ca="1">IFERROR(__xludf.DUMMYFUNCTION("""COMPUTED_VALUE"""),"CALLE  CRUZ 455")</f>
        <v>CALLE  CRUZ 455</v>
      </c>
      <c r="D4104" s="6" t="str">
        <f ca="1">IFERROR(__xludf.DUMMYFUNCTION("""COMPUTED_VALUE"""),"MELIPILLA")</f>
        <v>MELIPILLA</v>
      </c>
    </row>
    <row r="4105" spans="1:4">
      <c r="A4105" s="7">
        <f ca="1">IFERROR(__xludf.DUMMYFUNCTION("""COMPUTED_VALUE"""),44376)</f>
        <v>44376</v>
      </c>
      <c r="B4105" s="8" t="str">
        <f ca="1">IFERROR(__xludf.DUMMYFUNCTION("""COMPUTED_VALUE"""),"-33.804611,-71.301987")</f>
        <v>-33.804611,-71.301987</v>
      </c>
      <c r="C4105" s="6" t="str">
        <f ca="1">IFERROR(__xludf.DUMMYFUNCTION("""COMPUTED_VALUE"""),"PARCELA 196")</f>
        <v>PARCELA 196</v>
      </c>
      <c r="D4105" s="6" t="str">
        <f ca="1">IFERROR(__xludf.DUMMYFUNCTION("""COMPUTED_VALUE"""),"MELIPILLA")</f>
        <v>MELIPILLA</v>
      </c>
    </row>
    <row r="4106" spans="1:4">
      <c r="A4106" s="7">
        <f ca="1">IFERROR(__xludf.DUMMYFUNCTION("""COMPUTED_VALUE"""),44376)</f>
        <v>44376</v>
      </c>
      <c r="B4106" s="8" t="str">
        <f ca="1">IFERROR(__xludf.DUMMYFUNCTION("""COMPUTED_VALUE"""),"-33.756875,-71.329374")</f>
        <v>-33.756875,-71.329374</v>
      </c>
      <c r="C4106" s="6" t="str">
        <f ca="1">IFERROR(__xludf.DUMMYFUNCTION("""COMPUTED_VALUE"""),"PARCELA 10 CODIGUA")</f>
        <v>PARCELA 10 CODIGUA</v>
      </c>
      <c r="D4106" s="6" t="str">
        <f ca="1">IFERROR(__xludf.DUMMYFUNCTION("""COMPUTED_VALUE"""),"MELIPILLA")</f>
        <v>MELIPILLA</v>
      </c>
    </row>
    <row r="4107" spans="1:4">
      <c r="A4107" s="7">
        <f ca="1">IFERROR(__xludf.DUMMYFUNCTION("""COMPUTED_VALUE"""),44376)</f>
        <v>44376</v>
      </c>
      <c r="B4107" s="6" t="str">
        <f ca="1">IFERROR(__xludf.DUMMYFUNCTION("""COMPUTED_VALUE"""),"-33.047694-71.428769")</f>
        <v>-33.047694-71.428769</v>
      </c>
      <c r="C4107" s="6" t="str">
        <f ca="1">IFERROR(__xludf.DUMMYFUNCTION("""COMPUTED_VALUE"""),"MEXICAS 1680")</f>
        <v>MEXICAS 1680</v>
      </c>
      <c r="D4107" s="6" t="str">
        <f ca="1">IFERROR(__xludf.DUMMYFUNCTION("""COMPUTED_VALUE"""),"QUILPUÉ")</f>
        <v>QUILPUÉ</v>
      </c>
    </row>
    <row r="4108" spans="1:4">
      <c r="A4108" s="7">
        <f ca="1">IFERROR(__xludf.DUMMYFUNCTION("""COMPUTED_VALUE"""),44377)</f>
        <v>44377</v>
      </c>
      <c r="B4108" s="8" t="str">
        <f ca="1">IFERROR(__xludf.DUMMYFUNCTION("""COMPUTED_VALUE"""),"-33.570116,-71.200076")</f>
        <v>-33.570116,-71.200076</v>
      </c>
      <c r="C4108" s="6" t="str">
        <f ca="1">IFERROR(__xludf.DUMMYFUNCTION("""COMPUTED_VALUE"""),"BOLLENAR HIJUELA ")</f>
        <v xml:space="preserve">BOLLENAR HIJUELA </v>
      </c>
      <c r="D4108" s="6" t="str">
        <f ca="1">IFERROR(__xludf.DUMMYFUNCTION("""COMPUTED_VALUE"""),"MELIPILLA")</f>
        <v>MELIPILLA</v>
      </c>
    </row>
    <row r="4109" spans="1:4">
      <c r="A4109" s="7">
        <f ca="1">IFERROR(__xludf.DUMMYFUNCTION("""COMPUTED_VALUE"""),44377)</f>
        <v>44377</v>
      </c>
      <c r="B4109" s="8" t="str">
        <f ca="1">IFERROR(__xludf.DUMMYFUNCTION("""COMPUTED_VALUE"""),"-33.790567,-71.295830")</f>
        <v>-33.790567,-71.295830</v>
      </c>
      <c r="C4109" s="6" t="str">
        <f ca="1">IFERROR(__xludf.DUMMYFUNCTION("""COMPUTED_VALUE"""),"STA CECILIA P 241")</f>
        <v>STA CECILIA P 241</v>
      </c>
      <c r="D4109" s="6" t="str">
        <f ca="1">IFERROR(__xludf.DUMMYFUNCTION("""COMPUTED_VALUE"""),"MELIPILLA")</f>
        <v>MELIPILLA</v>
      </c>
    </row>
    <row r="4110" spans="1:4">
      <c r="A4110" s="7">
        <f ca="1">IFERROR(__xludf.DUMMYFUNCTION("""COMPUTED_VALUE"""),44377)</f>
        <v>44377</v>
      </c>
      <c r="B4110" s="8" t="str">
        <f ca="1">IFERROR(__xludf.DUMMYFUNCTION("""COMPUTED_VALUE"""),"-33.569885,-71.200389")</f>
        <v>-33.569885,-71.200389</v>
      </c>
      <c r="C4110" s="6" t="str">
        <f ca="1">IFERROR(__xludf.DUMMYFUNCTION("""COMPUTED_VALUE"""),"BOLLENAR S/N ")</f>
        <v xml:space="preserve">BOLLENAR S/N </v>
      </c>
      <c r="D4110" s="6" t="str">
        <f ca="1">IFERROR(__xludf.DUMMYFUNCTION("""COMPUTED_VALUE"""),"MELIPILLA")</f>
        <v>MELIPILLA</v>
      </c>
    </row>
    <row r="4111" spans="1:4">
      <c r="A4111" s="7">
        <f ca="1">IFERROR(__xludf.DUMMYFUNCTION("""COMPUTED_VALUE"""),44377)</f>
        <v>44377</v>
      </c>
      <c r="B4111" s="6" t="str">
        <f ca="1">IFERROR(__xludf.DUMMYFUNCTION("""COMPUTED_VALUE"""),"-33.44634-71.02954")</f>
        <v>-33.44634-71.02954</v>
      </c>
      <c r="C4111" s="6" t="str">
        <f ca="1">IFERROR(__xludf.DUMMYFUNCTION("""COMPUTED_VALUE"""),"UNION CHILENA 6 SITIO 13")</f>
        <v>UNION CHILENA 6 SITIO 13</v>
      </c>
      <c r="D4111" s="6" t="str">
        <f ca="1">IFERROR(__xludf.DUMMYFUNCTION("""COMPUTED_VALUE"""),"CURACAVI")</f>
        <v>CURACAVI</v>
      </c>
    </row>
    <row r="4112" spans="1:4">
      <c r="A4112" s="7">
        <f ca="1">IFERROR(__xludf.DUMMYFUNCTION("""COMPUTED_VALUE"""),44377)</f>
        <v>44377</v>
      </c>
      <c r="B4112" s="6" t="str">
        <f ca="1">IFERROR(__xludf.DUMMYFUNCTION("""COMPUTED_VALUE"""),"-33.44621-71.02863")</f>
        <v>-33.44621-71.02863</v>
      </c>
      <c r="C4112" s="6" t="str">
        <f ca="1">IFERROR(__xludf.DUMMYFUNCTION("""COMPUTED_VALUE"""),"UNION CHILENA SITIO 13 LOTE 3")</f>
        <v>UNION CHILENA SITIO 13 LOTE 3</v>
      </c>
      <c r="D4112" s="6" t="str">
        <f ca="1">IFERROR(__xludf.DUMMYFUNCTION("""COMPUTED_VALUE"""),"CURACAVI")</f>
        <v>CURACAVI</v>
      </c>
    </row>
    <row r="4113" spans="1:4">
      <c r="A4113" s="7">
        <f ca="1">IFERROR(__xludf.DUMMYFUNCTION("""COMPUTED_VALUE"""),44377)</f>
        <v>44377</v>
      </c>
      <c r="B4113" s="6" t="str">
        <f ca="1">IFERROR(__xludf.DUMMYFUNCTION("""COMPUTED_VALUE"""),"-33.603869-70.897737")</f>
        <v>-33.603869-70.897737</v>
      </c>
      <c r="C4113" s="6" t="str">
        <f ca="1">IFERROR(__xludf.DUMMYFUNCTION("""COMPUTED_VALUE"""),"PJE LOS PATOS 186")</f>
        <v>PJE LOS PATOS 186</v>
      </c>
      <c r="D4113" s="6" t="str">
        <f ca="1">IFERROR(__xludf.DUMMYFUNCTION("""COMPUTED_VALUE"""),"PEÑAFLOR")</f>
        <v>PEÑAFLOR</v>
      </c>
    </row>
    <row r="4114" spans="1:4">
      <c r="A4114" s="7">
        <f ca="1">IFERROR(__xludf.DUMMYFUNCTION("""COMPUTED_VALUE"""),44377)</f>
        <v>44377</v>
      </c>
      <c r="B4114" s="6" t="str">
        <f ca="1">IFERROR(__xludf.DUMMYFUNCTION("""COMPUTED_VALUE"""),"-33.609571-70.899494")</f>
        <v>-33.609571-70.899494</v>
      </c>
      <c r="C4114" s="6" t="str">
        <f ca="1">IFERROR(__xludf.DUMMYFUNCTION("""COMPUTED_VALUE"""),"PJE DOS 175")</f>
        <v>PJE DOS 175</v>
      </c>
      <c r="D4114" s="6" t="str">
        <f ca="1">IFERROR(__xludf.DUMMYFUNCTION("""COMPUTED_VALUE"""),"PEÑAFLOR")</f>
        <v>PEÑAFLOR</v>
      </c>
    </row>
    <row r="4115" spans="1:4">
      <c r="A4115" s="7">
        <f ca="1">IFERROR(__xludf.DUMMYFUNCTION("""COMPUTED_VALUE"""),44377)</f>
        <v>44377</v>
      </c>
      <c r="B4115" s="6" t="str">
        <f ca="1">IFERROR(__xludf.DUMMYFUNCTION("""COMPUTED_VALUE"""),"-33.390716-71.124576")</f>
        <v>-33.390716-71.124576</v>
      </c>
      <c r="C4115" s="6" t="str">
        <f ca="1">IFERROR(__xludf.DUMMYFUNCTION("""COMPUTED_VALUE"""),"LOS EUCALIPTUS 1133")</f>
        <v>LOS EUCALIPTUS 1133</v>
      </c>
      <c r="D4115" s="6" t="str">
        <f ca="1">IFERROR(__xludf.DUMMYFUNCTION("""COMPUTED_VALUE"""),"CURACAVI")</f>
        <v>CURACAVI</v>
      </c>
    </row>
    <row r="4116" spans="1:4">
      <c r="A4116" s="7">
        <f ca="1">IFERROR(__xludf.DUMMYFUNCTION("""COMPUTED_VALUE"""),44377)</f>
        <v>44377</v>
      </c>
      <c r="B4116" s="6" t="str">
        <f ca="1">IFERROR(__xludf.DUMMYFUNCTION("""COMPUTED_VALUE"""),"-33.785512-70.789398")</f>
        <v>-33.785512-70.789398</v>
      </c>
      <c r="C4116" s="6" t="str">
        <f ca="1">IFERROR(__xludf.DUMMYFUNCTION("""COMPUTED_VALUE"""),"VILUCO SITIO 21")</f>
        <v>VILUCO SITIO 21</v>
      </c>
      <c r="D4116" s="6" t="str">
        <f ca="1">IFERROR(__xludf.DUMMYFUNCTION("""COMPUTED_VALUE"""),"BUIN")</f>
        <v>BUIN</v>
      </c>
    </row>
    <row r="4117" spans="1:4">
      <c r="A4117" s="7">
        <f ca="1">IFERROR(__xludf.DUMMYFUNCTION("""COMPUTED_VALUE"""),44377)</f>
        <v>44377</v>
      </c>
      <c r="B4117" s="6" t="str">
        <f ca="1">IFERROR(__xludf.DUMMYFUNCTION("""COMPUTED_VALUE"""),"-33.785165-70.789436")</f>
        <v>-33.785165-70.789436</v>
      </c>
      <c r="C4117" s="6" t="str">
        <f ca="1">IFERROR(__xludf.DUMMYFUNCTION("""COMPUTED_VALUE"""),"VILUCO LOTE 43")</f>
        <v>VILUCO LOTE 43</v>
      </c>
      <c r="D4117" s="6" t="str">
        <f ca="1">IFERROR(__xludf.DUMMYFUNCTION("""COMPUTED_VALUE"""),"BUIN")</f>
        <v>BUIN</v>
      </c>
    </row>
    <row r="4118" spans="1:4">
      <c r="A4118" s="7">
        <f ca="1">IFERROR(__xludf.DUMMYFUNCTION("""COMPUTED_VALUE"""),44377)</f>
        <v>44377</v>
      </c>
      <c r="B4118" s="6" t="str">
        <f ca="1">IFERROR(__xludf.DUMMYFUNCTION("""COMPUTED_VALUE"""),"-33.680062,-71.131518")</f>
        <v>-33.680062,-71.131518</v>
      </c>
      <c r="C4118" s="6" t="str">
        <f ca="1">IFERROR(__xludf.DUMMYFUNCTION("""COMPUTED_VALUE"""),"SECTOR CHINIGUE LAS ROSAS LT 1 C")</f>
        <v>SECTOR CHINIGUE LAS ROSAS LT 1 C</v>
      </c>
      <c r="D4118" s="6" t="str">
        <f ca="1">IFERROR(__xludf.DUMMYFUNCTION("""COMPUTED_VALUE"""),"MELIPILLA")</f>
        <v>MELIPILLA</v>
      </c>
    </row>
    <row r="4119" spans="1:4">
      <c r="A4119" s="7">
        <f ca="1">IFERROR(__xludf.DUMMYFUNCTION("""COMPUTED_VALUE"""),44377)</f>
        <v>44377</v>
      </c>
      <c r="B4119" s="6" t="str">
        <f ca="1">IFERROR(__xludf.DUMMYFUNCTION("""COMPUTED_VALUE"""),"-33.647824,-71.148639")</f>
        <v>-33.647824,-71.148639</v>
      </c>
      <c r="C4119" s="6" t="str">
        <f ca="1">IFERROR(__xludf.DUMMYFUNCTION("""COMPUTED_VALUE"""),"GENERAL BAQUEDANO 206 POMAIRE")</f>
        <v>GENERAL BAQUEDANO 206 POMAIRE</v>
      </c>
      <c r="D4119" s="6" t="str">
        <f ca="1">IFERROR(__xludf.DUMMYFUNCTION("""COMPUTED_VALUE"""),"MELIPILLA")</f>
        <v>MELIPILLA</v>
      </c>
    </row>
    <row r="4120" spans="1:4">
      <c r="A4120" s="7">
        <f ca="1">IFERROR(__xludf.DUMMYFUNCTION("""COMPUTED_VALUE"""),44377)</f>
        <v>44377</v>
      </c>
      <c r="B4120" s="6" t="str">
        <f ca="1">IFERROR(__xludf.DUMMYFUNCTION("""COMPUTED_VALUE"""),"-33.791950,-71.388503")</f>
        <v>-33.791950,-71.388503</v>
      </c>
      <c r="C4120" s="6" t="str">
        <f ca="1">IFERROR(__xludf.DUMMYFUNCTION("""COMPUTED_VALUE"""),"SECTOR LA UNION DE CODIGUA S/N PARCELA 9")</f>
        <v>SECTOR LA UNION DE CODIGUA S/N PARCELA 9</v>
      </c>
      <c r="D4120" s="6" t="str">
        <f ca="1">IFERROR(__xludf.DUMMYFUNCTION("""COMPUTED_VALUE"""),"MELIPILLA")</f>
        <v>MELIPILLA</v>
      </c>
    </row>
    <row r="4121" spans="1:4">
      <c r="A4121" s="7">
        <f ca="1">IFERROR(__xludf.DUMMYFUNCTION("""COMPUTED_VALUE"""),44377)</f>
        <v>44377</v>
      </c>
      <c r="B4121" s="6" t="str">
        <f ca="1">IFERROR(__xludf.DUMMYFUNCTION("""COMPUTED_VALUE"""),"-33.652402,-71.153387")</f>
        <v>-33.652402,-71.153387</v>
      </c>
      <c r="C4121" s="6" t="str">
        <f ca="1">IFERROR(__xludf.DUMMYFUNCTION("""COMPUTED_VALUE"""),"JUAN BAUTISTA SALINAS 302 POMAIRE")</f>
        <v>JUAN BAUTISTA SALINAS 302 POMAIRE</v>
      </c>
      <c r="D4121" s="6" t="str">
        <f ca="1">IFERROR(__xludf.DUMMYFUNCTION("""COMPUTED_VALUE"""),"MELIPILLA")</f>
        <v>MELIPILLA</v>
      </c>
    </row>
    <row r="4122" spans="1:4">
      <c r="A4122" s="7">
        <f ca="1">IFERROR(__xludf.DUMMYFUNCTION("""COMPUTED_VALUE"""),44377)</f>
        <v>44377</v>
      </c>
      <c r="B4122" s="8" t="str">
        <f ca="1">IFERROR(__xludf.DUMMYFUNCTION("""COMPUTED_VALUE"""),"-33.702094,-71.218874")</f>
        <v>-33.702094,-71.218874</v>
      </c>
      <c r="C4122" s="6" t="str">
        <f ca="1">IFERROR(__xludf.DUMMYFUNCTION("""COMPUTED_VALUE"""),"LAS ACACIAS 2068")</f>
        <v>LAS ACACIAS 2068</v>
      </c>
      <c r="D4122" s="6" t="str">
        <f ca="1">IFERROR(__xludf.DUMMYFUNCTION("""COMPUTED_VALUE"""),"MELIPILLA")</f>
        <v>MELIPILLA</v>
      </c>
    </row>
    <row r="4123" spans="1:4">
      <c r="A4123" s="7">
        <f ca="1">IFERROR(__xludf.DUMMYFUNCTION("""COMPUTED_VALUE"""),44377)</f>
        <v>44377</v>
      </c>
      <c r="B4123" s="8" t="str">
        <f ca="1">IFERROR(__xludf.DUMMYFUNCTION("""COMPUTED_VALUE"""),"-33.659706,-70.927025")</f>
        <v>-33.659706,-70.927025</v>
      </c>
      <c r="C4123" s="6" t="str">
        <f ca="1">IFERROR(__xludf.DUMMYFUNCTION("""COMPUTED_VALUE"""),"DOMINGO TORO")</f>
        <v>DOMINGO TORO</v>
      </c>
      <c r="D4123" s="6" t="str">
        <f ca="1">IFERROR(__xludf.DUMMYFUNCTION("""COMPUTED_VALUE"""),"TALAGANTE")</f>
        <v>TALAGANTE</v>
      </c>
    </row>
    <row r="4124" spans="1:4">
      <c r="A4124" s="7">
        <f ca="1">IFERROR(__xludf.DUMMYFUNCTION("""COMPUTED_VALUE"""),44377)</f>
        <v>44377</v>
      </c>
      <c r="B4124" s="6" t="str">
        <f ca="1">IFERROR(__xludf.DUMMYFUNCTION("""COMPUTED_VALUE"""),"-33.045879-71.479311")</f>
        <v>-33.045879-71.479311</v>
      </c>
      <c r="C4124" s="6" t="str">
        <f ca="1">IFERROR(__xludf.DUMMYFUNCTION("""COMPUTED_VALUE"""),"CARLOS IBAÑES 1445")</f>
        <v>CARLOS IBAÑES 1445</v>
      </c>
      <c r="D4124" s="6" t="str">
        <f ca="1">IFERROR(__xludf.DUMMYFUNCTION("""COMPUTED_VALUE"""),"QUILPUÉ")</f>
        <v>QUILPUÉ</v>
      </c>
    </row>
    <row r="4125" spans="1:4">
      <c r="A4125" s="7">
        <f ca="1">IFERROR(__xludf.DUMMYFUNCTION("""COMPUTED_VALUE"""),44378)</f>
        <v>44378</v>
      </c>
      <c r="B4125" s="8" t="str">
        <f ca="1">IFERROR(__xludf.DUMMYFUNCTION("""COMPUTED_VALUE"""),"-33.742437,-71.192654")</f>
        <v>-33.742437,-71.192654</v>
      </c>
      <c r="C4125" s="6" t="str">
        <f ca="1">IFERROR(__xludf.DUMMYFUNCTION("""COMPUTED_VALUE"""),"LARRAIN PABELLON")</f>
        <v>LARRAIN PABELLON</v>
      </c>
      <c r="D4125" s="6" t="str">
        <f ca="1">IFERROR(__xludf.DUMMYFUNCTION("""COMPUTED_VALUE"""),"MELIPILLA")</f>
        <v>MELIPILLA</v>
      </c>
    </row>
    <row r="4126" spans="1:4">
      <c r="A4126" s="7">
        <f ca="1">IFERROR(__xludf.DUMMYFUNCTION("""COMPUTED_VALUE"""),44378)</f>
        <v>44378</v>
      </c>
      <c r="B4126" s="8" t="str">
        <f ca="1">IFERROR(__xludf.DUMMYFUNCTION("""COMPUTED_VALUE"""),"-33.743606,-71.193965")</f>
        <v>-33.743606,-71.193965</v>
      </c>
      <c r="C4126" s="6" t="str">
        <f ca="1">IFERROR(__xludf.DUMMYFUNCTION("""COMPUTED_VALUE"""),"EL PABELLON S/N")</f>
        <v>EL PABELLON S/N</v>
      </c>
      <c r="D4126" s="6" t="str">
        <f ca="1">IFERROR(__xludf.DUMMYFUNCTION("""COMPUTED_VALUE"""),"MELIPILLA")</f>
        <v>MELIPILLA</v>
      </c>
    </row>
    <row r="4127" spans="1:4">
      <c r="A4127" s="7">
        <f ca="1">IFERROR(__xludf.DUMMYFUNCTION("""COMPUTED_VALUE"""),44378)</f>
        <v>44378</v>
      </c>
      <c r="B4127" s="8" t="str">
        <f ca="1">IFERROR(__xludf.DUMMYFUNCTION("""COMPUTED_VALUE"""),"33.6876148, -71.22746")</f>
        <v>33.6876148, -71.22746</v>
      </c>
      <c r="C4127" s="6" t="str">
        <f ca="1">IFERROR(__xludf.DUMMYFUNCTION("""COMPUTED_VALUE"""),"autora urrutia henríquez 730 melipilla")</f>
        <v>autora urrutia henríquez 730 melipilla</v>
      </c>
      <c r="D4127" s="6" t="str">
        <f ca="1">IFERROR(__xludf.DUMMYFUNCTION("""COMPUTED_VALUE"""),"MELIPILLA")</f>
        <v>MELIPILLA</v>
      </c>
    </row>
    <row r="4128" spans="1:4">
      <c r="A4128" s="7">
        <f ca="1">IFERROR(__xludf.DUMMYFUNCTION("""COMPUTED_VALUE"""),44378)</f>
        <v>44378</v>
      </c>
      <c r="B4128" s="6" t="str">
        <f ca="1">IFERROR(__xludf.DUMMYFUNCTION("""COMPUTED_VALUE"""),"-33.674305-71.987621")</f>
        <v>-33.674305-71.987621</v>
      </c>
      <c r="C4128" s="6" t="str">
        <f ca="1">IFERROR(__xludf.DUMMYFUNCTION("""COMPUTED_VALUE"""),"LA HACIENDA 314")</f>
        <v>LA HACIENDA 314</v>
      </c>
      <c r="D4128" s="6" t="str">
        <f ca="1">IFERROR(__xludf.DUMMYFUNCTION("""COMPUTED_VALUE"""),"EL MONTE")</f>
        <v>EL MONTE</v>
      </c>
    </row>
    <row r="4129" spans="1:4">
      <c r="A4129" s="7">
        <f ca="1">IFERROR(__xludf.DUMMYFUNCTION("""COMPUTED_VALUE"""),44378)</f>
        <v>44378</v>
      </c>
      <c r="B4129" s="6" t="str">
        <f ca="1">IFERROR(__xludf.DUMMYFUNCTION("""COMPUTED_VALUE"""),"-33.619449-70.890707")</f>
        <v>-33.619449-70.890707</v>
      </c>
      <c r="C4129" s="6" t="str">
        <f ca="1">IFERROR(__xludf.DUMMYFUNCTION("""COMPUTED_VALUE"""),"PEDRO CORREA 885")</f>
        <v>PEDRO CORREA 885</v>
      </c>
      <c r="D4129" s="6" t="str">
        <f ca="1">IFERROR(__xludf.DUMMYFUNCTION("""COMPUTED_VALUE"""),"PEÑAFLOR")</f>
        <v>PEÑAFLOR</v>
      </c>
    </row>
    <row r="4130" spans="1:4">
      <c r="A4130" s="7">
        <f ca="1">IFERROR(__xludf.DUMMYFUNCTION("""COMPUTED_VALUE"""),44378)</f>
        <v>44378</v>
      </c>
      <c r="B4130" s="6" t="str">
        <f ca="1">IFERROR(__xludf.DUMMYFUNCTION("""COMPUTED_VALUE"""),"-33.568781-70.829102")</f>
        <v>-33.568781-70.829102</v>
      </c>
      <c r="C4130" s="6" t="str">
        <f ca="1">IFERROR(__xludf.DUMMYFUNCTION("""COMPUTED_VALUE"""),"SANTA HERMINIA 753 CASA 60")</f>
        <v>SANTA HERMINIA 753 CASA 60</v>
      </c>
      <c r="D4130" s="6" t="str">
        <f ca="1">IFERROR(__xludf.DUMMYFUNCTION("""COMPUTED_VALUE"""),"PADRE HURTADO")</f>
        <v>PADRE HURTADO</v>
      </c>
    </row>
    <row r="4131" spans="1:4">
      <c r="A4131" s="7">
        <f ca="1">IFERROR(__xludf.DUMMYFUNCTION("""COMPUTED_VALUE"""),44378)</f>
        <v>44378</v>
      </c>
      <c r="B4131" s="6" t="str">
        <f ca="1">IFERROR(__xludf.DUMMYFUNCTION("""COMPUTED_VALUE"""),"-33.44615-71.02891")</f>
        <v>-33.44615-71.02891</v>
      </c>
      <c r="C4131" s="6" t="str">
        <f ca="1">IFERROR(__xludf.DUMMYFUNCTION("""COMPUTED_VALUE"""),"UNION CHILENA P-16 S-13")</f>
        <v>UNION CHILENA P-16 S-13</v>
      </c>
      <c r="D4131" s="6" t="str">
        <f ca="1">IFERROR(__xludf.DUMMYFUNCTION("""COMPUTED_VALUE"""),"CURACAVI")</f>
        <v>CURACAVI</v>
      </c>
    </row>
    <row r="4132" spans="1:4">
      <c r="A4132" s="7">
        <f ca="1">IFERROR(__xludf.DUMMYFUNCTION("""COMPUTED_VALUE"""),44378)</f>
        <v>44378</v>
      </c>
      <c r="B4132" s="6" t="str">
        <f ca="1">IFERROR(__xludf.DUMMYFUNCTION("""COMPUTED_VALUE"""),"-33.44647-71.02914")</f>
        <v>-33.44647-71.02914</v>
      </c>
      <c r="C4132" s="6" t="str">
        <f ca="1">IFERROR(__xludf.DUMMYFUNCTION("""COMPUTED_VALUE"""),"UNION CHILENA S/N LOTE 13")</f>
        <v>UNION CHILENA S/N LOTE 13</v>
      </c>
      <c r="D4132" s="6" t="str">
        <f ca="1">IFERROR(__xludf.DUMMYFUNCTION("""COMPUTED_VALUE"""),"CURACAVI")</f>
        <v>CURACAVI</v>
      </c>
    </row>
    <row r="4133" spans="1:4">
      <c r="A4133" s="7">
        <f ca="1">IFERROR(__xludf.DUMMYFUNCTION("""COMPUTED_VALUE"""),44378)</f>
        <v>44378</v>
      </c>
      <c r="B4133" s="6" t="str">
        <f ca="1">IFERROR(__xludf.DUMMYFUNCTION("""COMPUTED_VALUE"""),"-33.608615-70.887847")</f>
        <v>-33.608615-70.887847</v>
      </c>
      <c r="C4133" s="6" t="str">
        <f ca="1">IFERROR(__xludf.DUMMYFUNCTION("""COMPUTED_VALUE"""),"PJE CECILIA 246")</f>
        <v>PJE CECILIA 246</v>
      </c>
      <c r="D4133" s="6" t="str">
        <f ca="1">IFERROR(__xludf.DUMMYFUNCTION("""COMPUTED_VALUE"""),"PEÑAFLOR")</f>
        <v>PEÑAFLOR</v>
      </c>
    </row>
    <row r="4134" spans="1:4">
      <c r="A4134" s="7">
        <f ca="1">IFERROR(__xludf.DUMMYFUNCTION("""COMPUTED_VALUE"""),44378)</f>
        <v>44378</v>
      </c>
      <c r="B4134" s="6" t="str">
        <f ca="1">IFERROR(__xludf.DUMMYFUNCTION("""COMPUTED_VALUE"""),"-33.607834-70.873956")</f>
        <v>-33.607834-70.873956</v>
      </c>
      <c r="C4134" s="6" t="str">
        <f ca="1">IFERROR(__xludf.DUMMYFUNCTION("""COMPUTED_VALUE"""),"LOS GINDOS 1733")</f>
        <v>LOS GINDOS 1733</v>
      </c>
      <c r="D4134" s="6" t="str">
        <f ca="1">IFERROR(__xludf.DUMMYFUNCTION("""COMPUTED_VALUE"""),"PEÑAFLOR")</f>
        <v>PEÑAFLOR</v>
      </c>
    </row>
    <row r="4135" spans="1:4">
      <c r="A4135" s="7">
        <f ca="1">IFERROR(__xludf.DUMMYFUNCTION("""COMPUTED_VALUE"""),44378)</f>
        <v>44378</v>
      </c>
      <c r="B4135" s="6" t="str">
        <f ca="1">IFERROR(__xludf.DUMMYFUNCTION("""COMPUTED_VALUE"""),"-33.650546,-71.148452")</f>
        <v>-33.650546,-71.148452</v>
      </c>
      <c r="C4135" s="6" t="str">
        <f ca="1">IFERROR(__xludf.DUMMYFUNCTION("""COMPUTED_VALUE"""),"RAFAEL MORANDE 429 POMAIRE")</f>
        <v>RAFAEL MORANDE 429 POMAIRE</v>
      </c>
      <c r="D4135" s="6" t="str">
        <f ca="1">IFERROR(__xludf.DUMMYFUNCTION("""COMPUTED_VALUE"""),"MELIPILLA")</f>
        <v>MELIPILLA</v>
      </c>
    </row>
    <row r="4136" spans="1:4">
      <c r="A4136" s="7">
        <f ca="1">IFERROR(__xludf.DUMMYFUNCTION("""COMPUTED_VALUE"""),44378)</f>
        <v>44378</v>
      </c>
      <c r="B4136" s="6" t="str">
        <f ca="1">IFERROR(__xludf.DUMMYFUNCTION("""COMPUTED_VALUE"""),"-33.655500,-71.152993")</f>
        <v>-33.655500,-71.152993</v>
      </c>
      <c r="C4136" s="6" t="str">
        <f ca="1">IFERROR(__xludf.DUMMYFUNCTION("""COMPUTED_VALUE"""),"CALLE LA CRUZ 488")</f>
        <v>CALLE LA CRUZ 488</v>
      </c>
      <c r="D4136" s="6" t="str">
        <f ca="1">IFERROR(__xludf.DUMMYFUNCTION("""COMPUTED_VALUE"""),"MELIPILLA")</f>
        <v>MELIPILLA</v>
      </c>
    </row>
    <row r="4137" spans="1:4">
      <c r="A4137" s="7">
        <f ca="1">IFERROR(__xludf.DUMMYFUNCTION("""COMPUTED_VALUE"""),44378)</f>
        <v>44378</v>
      </c>
      <c r="B4137" s="8" t="str">
        <f ca="1">IFERROR(__xludf.DUMMYFUNCTION("""COMPUTED_VALUE"""),"-33.745606,-71.196735")</f>
        <v>-33.745606,-71.196735</v>
      </c>
      <c r="C4137" s="6" t="str">
        <f ca="1">IFERROR(__xludf.DUMMYFUNCTION("""COMPUTED_VALUE"""),"ERRAZURIZ 168")</f>
        <v>ERRAZURIZ 168</v>
      </c>
      <c r="D4137" s="6" t="str">
        <f ca="1">IFERROR(__xludf.DUMMYFUNCTION("""COMPUTED_VALUE"""),"MELIPILLA")</f>
        <v>MELIPILLA</v>
      </c>
    </row>
    <row r="4138" spans="1:4">
      <c r="A4138" s="7">
        <f ca="1">IFERROR(__xludf.DUMMYFUNCTION("""COMPUTED_VALUE"""),44378)</f>
        <v>44378</v>
      </c>
      <c r="B4138" s="8" t="str">
        <f ca="1">IFERROR(__xludf.DUMMYFUNCTION("""COMPUTED_VALUE"""),"-33.682618,-71.227479")</f>
        <v>-33.682618,-71.227479</v>
      </c>
      <c r="C4138" s="6" t="str">
        <f ca="1">IFERROR(__xludf.DUMMYFUNCTION("""COMPUTED_VALUE"""),"TODOS LOS SANTOS")</f>
        <v>TODOS LOS SANTOS</v>
      </c>
      <c r="D4138" s="6" t="str">
        <f ca="1">IFERROR(__xludf.DUMMYFUNCTION("""COMPUTED_VALUE"""),"MELIPILLA")</f>
        <v>MELIPILLA</v>
      </c>
    </row>
    <row r="4139" spans="1:4">
      <c r="A4139" s="7">
        <f ca="1">IFERROR(__xludf.DUMMYFUNCTION("""COMPUTED_VALUE"""),44378)</f>
        <v>44378</v>
      </c>
      <c r="B4139" s="6" t="str">
        <f ca="1">IFERROR(__xludf.DUMMYFUNCTION("""COMPUTED_VALUE"""),"-33.044526-71.467451")</f>
        <v>-33.044526-71.467451</v>
      </c>
      <c r="C4139" s="6" t="str">
        <f ca="1">IFERROR(__xludf.DUMMYFUNCTION("""COMPUTED_VALUE"""),"PJE INTERIOR 0264 E")</f>
        <v>PJE INTERIOR 0264 E</v>
      </c>
      <c r="D4139" s="6" t="str">
        <f ca="1">IFERROR(__xludf.DUMMYFUNCTION("""COMPUTED_VALUE"""),"QUILPUÉ")</f>
        <v>QUILPUÉ</v>
      </c>
    </row>
    <row r="4140" spans="1:4">
      <c r="A4140" s="7">
        <f ca="1">IFERROR(__xludf.DUMMYFUNCTION("""COMPUTED_VALUE"""),44379)</f>
        <v>44379</v>
      </c>
      <c r="B4140" s="8" t="str">
        <f ca="1">IFERROR(__xludf.DUMMYFUNCTION("""COMPUTED_VALUE"""),"-33.570377,-71.216491")</f>
        <v>-33.570377,-71.216491</v>
      </c>
      <c r="C4140" s="6" t="str">
        <f ca="1">IFERROR(__xludf.DUMMYFUNCTION("""COMPUTED_VALUE"""),"CULEBRAS VERDE LOTE 3 ")</f>
        <v xml:space="preserve">CULEBRAS VERDE LOTE 3 </v>
      </c>
      <c r="D4140" s="6" t="str">
        <f ca="1">IFERROR(__xludf.DUMMYFUNCTION("""COMPUTED_VALUE"""),"MELIPILLA")</f>
        <v>MELIPILLA</v>
      </c>
    </row>
    <row r="4141" spans="1:4">
      <c r="A4141" s="7">
        <f ca="1">IFERROR(__xludf.DUMMYFUNCTION("""COMPUTED_VALUE"""),44379)</f>
        <v>44379</v>
      </c>
      <c r="B4141" s="8" t="str">
        <f ca="1">IFERROR(__xludf.DUMMYFUNCTION("""COMPUTED_VALUE"""),"-33.570231-71.310730")</f>
        <v>-33.570231-71.310730</v>
      </c>
      <c r="C4141" s="6" t="str">
        <f ca="1">IFERROR(__xludf.DUMMYFUNCTION("""COMPUTED_VALUE"""),"PUANGUE MELIPILA")</f>
        <v>PUANGUE MELIPILA</v>
      </c>
      <c r="D4141" s="6" t="str">
        <f ca="1">IFERROR(__xludf.DUMMYFUNCTION("""COMPUTED_VALUE"""),"MELIPILLA")</f>
        <v>MELIPILLA</v>
      </c>
    </row>
    <row r="4142" spans="1:4">
      <c r="A4142" s="7">
        <f ca="1">IFERROR(__xludf.DUMMYFUNCTION("""COMPUTED_VALUE"""),44379)</f>
        <v>44379</v>
      </c>
      <c r="B4142" s="8" t="str">
        <f ca="1">IFERROR(__xludf.DUMMYFUNCTION("""COMPUTED_VALUE"""),"-33.642724,-71.080123")</f>
        <v>-33.642724,-71.080123</v>
      </c>
      <c r="C4142" s="6" t="str">
        <f ca="1">IFERROR(__xludf.DUMMYFUNCTION("""COMPUTED_VALUE"""),"GABRIELA MISTRAL 1827")</f>
        <v>GABRIELA MISTRAL 1827</v>
      </c>
      <c r="D4142" s="6" t="str">
        <f ca="1">IFERROR(__xludf.DUMMYFUNCTION("""COMPUTED_VALUE"""),"MARIA PINTO")</f>
        <v>MARIA PINTO</v>
      </c>
    </row>
    <row r="4143" spans="1:4">
      <c r="A4143" s="7">
        <f ca="1">IFERROR(__xludf.DUMMYFUNCTION("""COMPUTED_VALUE"""),44379)</f>
        <v>44379</v>
      </c>
      <c r="B4143" s="8" t="str">
        <f ca="1">IFERROR(__xludf.DUMMYFUNCTION("""COMPUTED_VALUE"""),"-33.675170,-71.338518")</f>
        <v>-33.675170,-71.338518</v>
      </c>
      <c r="C4143" s="6" t="str">
        <f ca="1">IFERROR(__xludf.DUMMYFUNCTION("""COMPUTED_VALUE"""),"HUECHUN BAJO SN")</f>
        <v>HUECHUN BAJO SN</v>
      </c>
      <c r="D4143" s="6" t="str">
        <f ca="1">IFERROR(__xludf.DUMMYFUNCTION("""COMPUTED_VALUE"""),"MELIPILLA")</f>
        <v>MELIPILLA</v>
      </c>
    </row>
    <row r="4144" spans="1:4">
      <c r="A4144" s="7">
        <f ca="1">IFERROR(__xludf.DUMMYFUNCTION("""COMPUTED_VALUE"""),44379)</f>
        <v>44379</v>
      </c>
      <c r="B4144" s="8" t="str">
        <f ca="1">IFERROR(__xludf.DUMMYFUNCTION("""COMPUTED_VALUE"""),"-33.575091,-71.84738")</f>
        <v>-33.575091,-71.84738</v>
      </c>
      <c r="C4144" s="6" t="str">
        <f ca="1">IFERROR(__xludf.DUMMYFUNCTION("""COMPUTED_VALUE"""),"STA GEMITA 15A 8E")</f>
        <v>STA GEMITA 15A 8E</v>
      </c>
      <c r="D4144" s="6" t="str">
        <f ca="1">IFERROR(__xludf.DUMMYFUNCTION("""COMPUTED_VALUE"""),"MELIPILLA")</f>
        <v>MELIPILLA</v>
      </c>
    </row>
    <row r="4145" spans="1:4">
      <c r="A4145" s="7">
        <f ca="1">IFERROR(__xludf.DUMMYFUNCTION("""COMPUTED_VALUE"""),44379)</f>
        <v>44379</v>
      </c>
      <c r="B4145" s="8" t="str">
        <f ca="1">IFERROR(__xludf.DUMMYFUNCTION("""COMPUTED_VALUE"""),"-33650116,-70929465")</f>
        <v>-33650116,-70929465</v>
      </c>
      <c r="C4145" s="6" t="str">
        <f ca="1">IFERROR(__xludf.DUMMYFUNCTION("""COMPUTED_VALUE"""),"La Concepcion 543")</f>
        <v>La Concepcion 543</v>
      </c>
      <c r="D4145" s="6" t="str">
        <f ca="1">IFERROR(__xludf.DUMMYFUNCTION("""COMPUTED_VALUE"""),"TALAGANTE")</f>
        <v>TALAGANTE</v>
      </c>
    </row>
    <row r="4146" spans="1:4">
      <c r="A4146" s="7">
        <f ca="1">IFERROR(__xludf.DUMMYFUNCTION("""COMPUTED_VALUE"""),44379)</f>
        <v>44379</v>
      </c>
      <c r="B4146" s="8" t="str">
        <f ca="1">IFERROR(__xludf.DUMMYFUNCTION("""COMPUTED_VALUE"""),"-335568913,-71202663")</f>
        <v>-335568913,-71202663</v>
      </c>
      <c r="C4146" s="6" t="str">
        <f ca="1">IFERROR(__xludf.DUMMYFUNCTION("""COMPUTED_VALUE"""),"San Carlos 7466")</f>
        <v>San Carlos 7466</v>
      </c>
      <c r="D4146" s="6" t="str">
        <f ca="1">IFERROR(__xludf.DUMMYFUNCTION("""COMPUTED_VALUE"""),"MELIPILLA")</f>
        <v>MELIPILLA</v>
      </c>
    </row>
    <row r="4147" spans="1:4">
      <c r="A4147" s="7">
        <f ca="1">IFERROR(__xludf.DUMMYFUNCTION("""COMPUTED_VALUE"""),44379)</f>
        <v>44379</v>
      </c>
      <c r="B4147" s="8" t="str">
        <f ca="1">IFERROR(__xludf.DUMMYFUNCTION("""COMPUTED_VALUE"""),"-33571355,-71213653")</f>
        <v>-33571355,-71213653</v>
      </c>
      <c r="C4147" s="6" t="str">
        <f ca="1">IFERROR(__xludf.DUMMYFUNCTION("""COMPUTED_VALUE"""),"Los Quillayes lote 36")</f>
        <v>Los Quillayes lote 36</v>
      </c>
      <c r="D4147" s="6" t="str">
        <f ca="1">IFERROR(__xludf.DUMMYFUNCTION("""COMPUTED_VALUE"""),"MELIPILLA")</f>
        <v>MELIPILLA</v>
      </c>
    </row>
    <row r="4148" spans="1:4">
      <c r="A4148" s="7">
        <f ca="1">IFERROR(__xludf.DUMMYFUNCTION("""COMPUTED_VALUE"""),44379)</f>
        <v>44379</v>
      </c>
      <c r="B4148" s="6" t="str">
        <f ca="1">IFERROR(__xludf.DUMMYFUNCTION("""COMPUTED_VALUE"""),"-33.391306-71.163799")</f>
        <v>-33.391306-71.163799</v>
      </c>
      <c r="C4148" s="6" t="str">
        <f ca="1">IFERROR(__xludf.DUMMYFUNCTION("""COMPUTED_VALUE"""),"JULIO SILVA LOTE 9")</f>
        <v>JULIO SILVA LOTE 9</v>
      </c>
      <c r="D4148" s="6" t="str">
        <f ca="1">IFERROR(__xludf.DUMMYFUNCTION("""COMPUTED_VALUE"""),"CURACAVI")</f>
        <v>CURACAVI</v>
      </c>
    </row>
    <row r="4149" spans="1:4">
      <c r="A4149" s="7">
        <f ca="1">IFERROR(__xludf.DUMMYFUNCTION("""COMPUTED_VALUE"""),44379)</f>
        <v>44379</v>
      </c>
      <c r="B4149" s="6" t="str">
        <f ca="1">IFERROR(__xludf.DUMMYFUNCTION("""COMPUTED_VALUE"""),"-33.07574-70.77488")</f>
        <v>-33.07574-70.77488</v>
      </c>
      <c r="C4149" s="6" t="str">
        <f ca="1">IFERROR(__xludf.DUMMYFUNCTION("""COMPUTED_VALUE"""),"EDUARDO CAMPOS SITIO 20")</f>
        <v>EDUARDO CAMPOS SITIO 20</v>
      </c>
      <c r="D4149" s="6" t="str">
        <f ca="1">IFERROR(__xludf.DUMMYFUNCTION("""COMPUTED_VALUE"""),"TIL TIL")</f>
        <v>TIL TIL</v>
      </c>
    </row>
    <row r="4150" spans="1:4">
      <c r="A4150" s="7">
        <f ca="1">IFERROR(__xludf.DUMMYFUNCTION("""COMPUTED_VALUE"""),44379)</f>
        <v>44379</v>
      </c>
      <c r="B4150" s="6" t="str">
        <f ca="1">IFERROR(__xludf.DUMMYFUNCTION("""COMPUTED_VALUE"""),"-33.680974-71.219009")</f>
        <v>-33.680974-71.219009</v>
      </c>
      <c r="C4150" s="6" t="str">
        <f ca="1">IFERROR(__xludf.DUMMYFUNCTION("""COMPUTED_VALUE"""),"HURTADO 59")</f>
        <v>HURTADO 59</v>
      </c>
      <c r="D4150" s="6" t="str">
        <f ca="1">IFERROR(__xludf.DUMMYFUNCTION("""COMPUTED_VALUE"""),"MELIPILLA")</f>
        <v>MELIPILLA</v>
      </c>
    </row>
    <row r="4151" spans="1:4">
      <c r="A4151" s="7">
        <f ca="1">IFERROR(__xludf.DUMMYFUNCTION("""COMPUTED_VALUE"""),44379)</f>
        <v>44379</v>
      </c>
      <c r="B4151" s="6" t="str">
        <f ca="1">IFERROR(__xludf.DUMMYFUNCTION("""COMPUTED_VALUE"""),"-33.750851,-71.197071")</f>
        <v>-33.750851,-71.197071</v>
      </c>
      <c r="C4151" s="6" t="str">
        <f ca="1">IFERROR(__xludf.DUMMYFUNCTION("""COMPUTED_VALUE"""),"CAMINO A CHOLQUI S/N POBLACION PABELLON CV2")</f>
        <v>CAMINO A CHOLQUI S/N POBLACION PABELLON CV2</v>
      </c>
      <c r="D4151" s="6" t="str">
        <f ca="1">IFERROR(__xludf.DUMMYFUNCTION("""COMPUTED_VALUE"""),"MELIPILLA")</f>
        <v>MELIPILLA</v>
      </c>
    </row>
    <row r="4152" spans="1:4">
      <c r="A4152" s="7">
        <f ca="1">IFERROR(__xludf.DUMMYFUNCTION("""COMPUTED_VALUE"""),44379)</f>
        <v>44379</v>
      </c>
      <c r="B4152" s="6" t="str">
        <f ca="1">IFERROR(__xludf.DUMMYFUNCTION("""COMPUTED_VALUE"""),"-33.687367,-71.192680")</f>
        <v>-33.687367,-71.192680</v>
      </c>
      <c r="C4152" s="6" t="str">
        <f ca="1">IFERROR(__xludf.DUMMYFUNCTION("""COMPUTED_VALUE"""),"MARIO GEBAUER BRINGAS 971 C.H VILLA EL ALTO ")</f>
        <v xml:space="preserve">MARIO GEBAUER BRINGAS 971 C.H VILLA EL ALTO </v>
      </c>
      <c r="D4152" s="6" t="str">
        <f ca="1">IFERROR(__xludf.DUMMYFUNCTION("""COMPUTED_VALUE"""),"MELIPILLA")</f>
        <v>MELIPILLA</v>
      </c>
    </row>
    <row r="4153" spans="1:4">
      <c r="A4153" s="7">
        <f ca="1">IFERROR(__xludf.DUMMYFUNCTION("""COMPUTED_VALUE"""),44379)</f>
        <v>44379</v>
      </c>
      <c r="B4153" s="6" t="str">
        <f ca="1">IFERROR(__xludf.DUMMYFUNCTION("""COMPUTED_VALUE"""),"-33.802019,-71.302273")</f>
        <v>-33.802019,-71.302273</v>
      </c>
      <c r="C4153" s="6" t="str">
        <f ca="1">IFERROR(__xludf.DUMMYFUNCTION("""COMPUTED_VALUE"""),"POPETA S/N BC/30 POPETA")</f>
        <v>POPETA S/N BC/30 POPETA</v>
      </c>
      <c r="D4153" s="6" t="str">
        <f ca="1">IFERROR(__xludf.DUMMYFUNCTION("""COMPUTED_VALUE"""),"MELIPILLA")</f>
        <v>MELIPILLA</v>
      </c>
    </row>
    <row r="4154" spans="1:4">
      <c r="A4154" s="7">
        <f ca="1">IFERROR(__xludf.DUMMYFUNCTION("""COMPUTED_VALUE"""),44379)</f>
        <v>44379</v>
      </c>
      <c r="B4154" s="6" t="str">
        <f ca="1">IFERROR(__xludf.DUMMYFUNCTION("""COMPUTED_VALUE"""),"-33.607634,-71.104718")</f>
        <v>-33.607634,-71.104718</v>
      </c>
      <c r="C4154" s="6" t="str">
        <f ca="1">IFERROR(__xludf.DUMMYFUNCTION("""COMPUTED_VALUE"""),"HERMANOS CARRERAS/ -CV68 MALLARAUCO")</f>
        <v>HERMANOS CARRERAS/ -CV68 MALLARAUCO</v>
      </c>
      <c r="D4154" s="6" t="str">
        <f ca="1">IFERROR(__xludf.DUMMYFUNCTION("""COMPUTED_VALUE"""),"MELIPILLA")</f>
        <v>MELIPILLA</v>
      </c>
    </row>
    <row r="4155" spans="1:4">
      <c r="A4155" s="7">
        <f ca="1">IFERROR(__xludf.DUMMYFUNCTION("""COMPUTED_VALUE"""),44380)</f>
        <v>44380</v>
      </c>
      <c r="B4155" s="8" t="str">
        <f ca="1">IFERROR(__xludf.DUMMYFUNCTION("""COMPUTED_VALUE"""),"-33591235,-71161736")</f>
        <v>-33591235,-71161736</v>
      </c>
      <c r="C4155" s="6" t="str">
        <f ca="1">IFERROR(__xludf.DUMMYFUNCTION("""COMPUTED_VALUE"""),"SAN RAMON DE MALLARAUCO S/N")</f>
        <v>SAN RAMON DE MALLARAUCO S/N</v>
      </c>
      <c r="D4155" s="6" t="str">
        <f ca="1">IFERROR(__xludf.DUMMYFUNCTION("""COMPUTED_VALUE"""),"MELIPILLA")</f>
        <v>MELIPILLA</v>
      </c>
    </row>
    <row r="4156" spans="1:4">
      <c r="A4156" s="7">
        <f ca="1">IFERROR(__xludf.DUMMYFUNCTION("""COMPUTED_VALUE"""),44380)</f>
        <v>44380</v>
      </c>
      <c r="B4156" s="6" t="str">
        <f ca="1">IFERROR(__xludf.DUMMYFUNCTION("""COMPUTED_VALUE"""),"-33.399014-71.124669")</f>
        <v>-33.399014-71.124669</v>
      </c>
      <c r="C4156" s="6" t="str">
        <f ca="1">IFERROR(__xludf.DUMMYFUNCTION("""COMPUTED_VALUE"""),"ANA CRUCHAGA 267")</f>
        <v>ANA CRUCHAGA 267</v>
      </c>
      <c r="D4156" s="6" t="str">
        <f ca="1">IFERROR(__xludf.DUMMYFUNCTION("""COMPUTED_VALUE"""),"CURACAVI")</f>
        <v>CURACAVI</v>
      </c>
    </row>
    <row r="4157" spans="1:4">
      <c r="A4157" s="7">
        <f ca="1">IFERROR(__xludf.DUMMYFUNCTION("""COMPUTED_VALUE"""),44382)</f>
        <v>44382</v>
      </c>
      <c r="B4157" s="8" t="str">
        <f ca="1">IFERROR(__xludf.DUMMYFUNCTION("""COMPUTED_VALUE"""),"-33656655,-70918880")</f>
        <v>-33656655,-70918880</v>
      </c>
      <c r="C4157" s="6" t="str">
        <f ca="1">IFERROR(__xludf.DUMMYFUNCTION("""COMPUTED_VALUE"""),"BALDOMERO LILLO 39")</f>
        <v>BALDOMERO LILLO 39</v>
      </c>
      <c r="D4157" s="6" t="str">
        <f ca="1">IFERROR(__xludf.DUMMYFUNCTION("""COMPUTED_VALUE"""),"TALAGANTE")</f>
        <v>TALAGANTE</v>
      </c>
    </row>
    <row r="4158" spans="1:4">
      <c r="A4158" s="7">
        <f ca="1">IFERROR(__xludf.DUMMYFUNCTION("""COMPUTED_VALUE"""),44382)</f>
        <v>44382</v>
      </c>
      <c r="B4158" s="8" t="str">
        <f ca="1">IFERROR(__xludf.DUMMYFUNCTION("""COMPUTED_VALUE"""),"-33570177,-71213483")</f>
        <v>-33570177,-71213483</v>
      </c>
      <c r="C4158" s="6" t="str">
        <f ca="1">IFERROR(__xludf.DUMMYFUNCTION("""COMPUTED_VALUE"""),"LOS PEUMOS 126")</f>
        <v>LOS PEUMOS 126</v>
      </c>
      <c r="D4158" s="6" t="str">
        <f ca="1">IFERROR(__xludf.DUMMYFUNCTION("""COMPUTED_VALUE"""),"MELIPILLA")</f>
        <v>MELIPILLA</v>
      </c>
    </row>
    <row r="4159" spans="1:4">
      <c r="A4159" s="7">
        <f ca="1">IFERROR(__xludf.DUMMYFUNCTION("""COMPUTED_VALUE"""),44382)</f>
        <v>44382</v>
      </c>
      <c r="B4159" s="8" t="str">
        <f ca="1">IFERROR(__xludf.DUMMYFUNCTION("""COMPUTED_VALUE"""),"-33684879,-71096239")</f>
        <v>-33684879,-71096239</v>
      </c>
      <c r="C4159" s="6" t="str">
        <f ca="1">IFERROR(__xludf.DUMMYFUNCTION("""COMPUTED_VALUE"""),"CHINIQUE EL CRISTO S/N ")</f>
        <v xml:space="preserve">CHINIQUE EL CRISTO S/N </v>
      </c>
      <c r="D4159" s="6" t="str">
        <f ca="1">IFERROR(__xludf.DUMMYFUNCTION("""COMPUTED_VALUE"""),"EL MONTE")</f>
        <v>EL MONTE</v>
      </c>
    </row>
    <row r="4160" spans="1:4">
      <c r="A4160" s="7">
        <f ca="1">IFERROR(__xludf.DUMMYFUNCTION("""COMPUTED_VALUE"""),44382)</f>
        <v>44382</v>
      </c>
      <c r="B4160" s="8" t="str">
        <f ca="1">IFERROR(__xludf.DUMMYFUNCTION("""COMPUTED_VALUE"""),"-33688307,-71036557")</f>
        <v>-33688307,-71036557</v>
      </c>
      <c r="C4160" s="6" t="str">
        <f ca="1">IFERROR(__xludf.DUMMYFUNCTION("""COMPUTED_VALUE"""),"PASAJE CUBA 1600")</f>
        <v>PASAJE CUBA 1600</v>
      </c>
      <c r="D4160" s="6" t="str">
        <f ca="1">IFERROR(__xludf.DUMMYFUNCTION("""COMPUTED_VALUE"""),"EL MONTE")</f>
        <v>EL MONTE</v>
      </c>
    </row>
    <row r="4161" spans="1:4">
      <c r="A4161" s="7">
        <f ca="1">IFERROR(__xludf.DUMMYFUNCTION("""COMPUTED_VALUE"""),44382)</f>
        <v>44382</v>
      </c>
      <c r="B4161" s="8" t="str">
        <f ca="1">IFERROR(__xludf.DUMMYFUNCTION("""COMPUTED_VALUE"""),"-33689868,-71036081")</f>
        <v>-33689868,-71036081</v>
      </c>
      <c r="C4161" s="6" t="str">
        <f ca="1">IFERROR(__xludf.DUMMYFUNCTION("""COMPUTED_VALUE"""),"TRINIDAD Y TOBAGO 1600")</f>
        <v>TRINIDAD Y TOBAGO 1600</v>
      </c>
      <c r="D4161" s="6" t="str">
        <f ca="1">IFERROR(__xludf.DUMMYFUNCTION("""COMPUTED_VALUE"""),"EL MONTE")</f>
        <v>EL MONTE</v>
      </c>
    </row>
    <row r="4162" spans="1:4">
      <c r="A4162" s="7">
        <f ca="1">IFERROR(__xludf.DUMMYFUNCTION("""COMPUTED_VALUE"""),44382)</f>
        <v>44382</v>
      </c>
      <c r="B4162" s="8" t="str">
        <f ca="1">IFERROR(__xludf.DUMMYFUNCTION("""COMPUTED_VALUE"""),"-33570611,-71200006")</f>
        <v>-33570611,-71200006</v>
      </c>
      <c r="C4162" s="6" t="str">
        <f ca="1">IFERROR(__xludf.DUMMYFUNCTION("""COMPUTED_VALUE"""),"VALPARAISO S/N")</f>
        <v>VALPARAISO S/N</v>
      </c>
      <c r="D4162" s="6" t="str">
        <f ca="1">IFERROR(__xludf.DUMMYFUNCTION("""COMPUTED_VALUE"""),"MELIPILLA")</f>
        <v>MELIPILLA</v>
      </c>
    </row>
    <row r="4163" spans="1:4">
      <c r="A4163" s="7">
        <f ca="1">IFERROR(__xludf.DUMMYFUNCTION("""COMPUTED_VALUE"""),44382)</f>
        <v>44382</v>
      </c>
      <c r="B4163" s="8" t="str">
        <f ca="1">IFERROR(__xludf.DUMMYFUNCTION("""COMPUTED_VALUE"""),"-33570141,-71200072")</f>
        <v>-33570141,-71200072</v>
      </c>
      <c r="C4163" s="6" t="str">
        <f ca="1">IFERROR(__xludf.DUMMYFUNCTION("""COMPUTED_VALUE"""),"ANSELMO ALARCON 1044")</f>
        <v>ANSELMO ALARCON 1044</v>
      </c>
      <c r="D4163" s="6" t="str">
        <f ca="1">IFERROR(__xludf.DUMMYFUNCTION("""COMPUTED_VALUE"""),"MELIPILLA")</f>
        <v>MELIPILLA</v>
      </c>
    </row>
    <row r="4164" spans="1:4">
      <c r="A4164" s="7">
        <f ca="1">IFERROR(__xludf.DUMMYFUNCTION("""COMPUTED_VALUE"""),44382)</f>
        <v>44382</v>
      </c>
      <c r="B4164" s="6" t="str">
        <f ca="1">IFERROR(__xludf.DUMMYFUNCTION("""COMPUTED_VALUE"""),"-33.241697-71.707613")</f>
        <v>-33.241697-71.707613</v>
      </c>
      <c r="C4164" s="6" t="str">
        <f ca="1">IFERROR(__xludf.DUMMYFUNCTION("""COMPUTED_VALUE"""),"LOS CIRUELOS 42")</f>
        <v>LOS CIRUELOS 42</v>
      </c>
      <c r="D4164" s="6" t="str">
        <f ca="1">IFERROR(__xludf.DUMMYFUNCTION("""COMPUTED_VALUE"""),"COLINA")</f>
        <v>COLINA</v>
      </c>
    </row>
    <row r="4165" spans="1:4">
      <c r="A4165" s="7">
        <f ca="1">IFERROR(__xludf.DUMMYFUNCTION("""COMPUTED_VALUE"""),44382)</f>
        <v>44382</v>
      </c>
      <c r="B4165" s="6" t="str">
        <f ca="1">IFERROR(__xludf.DUMMYFUNCTION("""COMPUTED_VALUE"""),"-33.44607-71.62933")</f>
        <v>-33.44607-71.62933</v>
      </c>
      <c r="C4165" s="6" t="str">
        <f ca="1">IFERROR(__xludf.DUMMYFUNCTION("""COMPUTED_VALUE"""),"UNION CHILENA S-13")</f>
        <v>UNION CHILENA S-13</v>
      </c>
      <c r="D4165" s="6" t="str">
        <f ca="1">IFERROR(__xludf.DUMMYFUNCTION("""COMPUTED_VALUE"""),"CURACAVI")</f>
        <v>CURACAVI</v>
      </c>
    </row>
    <row r="4166" spans="1:4">
      <c r="A4166" s="7">
        <f ca="1">IFERROR(__xludf.DUMMYFUNCTION("""COMPUTED_VALUE"""),44382)</f>
        <v>44382</v>
      </c>
      <c r="B4166" s="6" t="str">
        <f ca="1">IFERROR(__xludf.DUMMYFUNCTION("""COMPUTED_VALUE"""),"-33.48868-70.99617")</f>
        <v>-33.48868-70.99617</v>
      </c>
      <c r="C4166" s="6" t="str">
        <f ca="1">IFERROR(__xludf.DUMMYFUNCTION("""COMPUTED_VALUE"""),"SECTOR PATAGUILLA CENTRO S3")</f>
        <v>SECTOR PATAGUILLA CENTRO S3</v>
      </c>
      <c r="D4166" s="6" t="str">
        <f ca="1">IFERROR(__xludf.DUMMYFUNCTION("""COMPUTED_VALUE"""),"CURACAVI")</f>
        <v>CURACAVI</v>
      </c>
    </row>
    <row r="4167" spans="1:4">
      <c r="A4167" s="7">
        <f ca="1">IFERROR(__xludf.DUMMYFUNCTION("""COMPUTED_VALUE"""),44382)</f>
        <v>44382</v>
      </c>
      <c r="B4167" s="6" t="str">
        <f ca="1">IFERROR(__xludf.DUMMYFUNCTION("""COMPUTED_VALUE"""),"-33.286544-70.885449")</f>
        <v>-33.286544-70.885449</v>
      </c>
      <c r="C4167" s="6" t="str">
        <f ca="1">IFERROR(__xludf.DUMMYFUNCTION("""COMPUTED_VALUE"""),"ALEJANDRO SEPULVEDA 461")</f>
        <v>ALEJANDRO SEPULVEDA 461</v>
      </c>
      <c r="D4167" s="6" t="str">
        <f ca="1">IFERROR(__xludf.DUMMYFUNCTION("""COMPUTED_VALUE"""),"LAMPA")</f>
        <v>LAMPA</v>
      </c>
    </row>
    <row r="4168" spans="1:4">
      <c r="A4168" s="7">
        <f ca="1">IFERROR(__xludf.DUMMYFUNCTION("""COMPUTED_VALUE"""),44382)</f>
        <v>44382</v>
      </c>
      <c r="B4168" s="6" t="str">
        <f ca="1">IFERROR(__xludf.DUMMYFUNCTION("""COMPUTED_VALUE"""),"-33.608029-71.239279")</f>
        <v>-33.608029-71.239279</v>
      </c>
      <c r="C4168" s="6" t="str">
        <f ca="1">IFERROR(__xludf.DUMMYFUNCTION("""COMPUTED_VALUE"""),"TRIGAL NORTE LOTE 54 SAN JOSE")</f>
        <v>TRIGAL NORTE LOTE 54 SAN JOSE</v>
      </c>
      <c r="D4168" s="6" t="str">
        <f ca="1">IFERROR(__xludf.DUMMYFUNCTION("""COMPUTED_VALUE"""),"MELIPILLA")</f>
        <v>MELIPILLA</v>
      </c>
    </row>
    <row r="4169" spans="1:4">
      <c r="A4169" s="7">
        <f ca="1">IFERROR(__xludf.DUMMYFUNCTION("""COMPUTED_VALUE"""),44382)</f>
        <v>44382</v>
      </c>
      <c r="B4169" s="6" t="str">
        <f ca="1">IFERROR(__xludf.DUMMYFUNCTION("""COMPUTED_VALUE"""),"-33.650669,-71.152451")</f>
        <v>-33.650669,-71.152451</v>
      </c>
      <c r="C4169" s="6" t="str">
        <f ca="1">IFERROR(__xludf.DUMMYFUNCTION("""COMPUTED_VALUE"""),"BERNARDO O´HIGGINS 340 POMAIRE")</f>
        <v>BERNARDO O´HIGGINS 340 POMAIRE</v>
      </c>
      <c r="D4169" s="6" t="str">
        <f ca="1">IFERROR(__xludf.DUMMYFUNCTION("""COMPUTED_VALUE"""),"MELIPILLA")</f>
        <v>MELIPILLA</v>
      </c>
    </row>
    <row r="4170" spans="1:4">
      <c r="A4170" s="7">
        <f ca="1">IFERROR(__xludf.DUMMYFUNCTION("""COMPUTED_VALUE"""),44382)</f>
        <v>44382</v>
      </c>
      <c r="B4170" s="6" t="str">
        <f ca="1">IFERROR(__xludf.DUMMYFUNCTION("""COMPUTED_VALUE"""),"-33.791621,-71.242958")</f>
        <v>-33.791621,-71.242958</v>
      </c>
      <c r="C4170" s="6" t="str">
        <f ca="1">IFERROR(__xludf.DUMMYFUNCTION("""COMPUTED_VALUE"""),"EL DIBUJO DOS PARC 24 SECTOR 4 EL DIBUJO")</f>
        <v>EL DIBUJO DOS PARC 24 SECTOR 4 EL DIBUJO</v>
      </c>
      <c r="D4170" s="6" t="str">
        <f ca="1">IFERROR(__xludf.DUMMYFUNCTION("""COMPUTED_VALUE"""),"MELIPILLA")</f>
        <v>MELIPILLA</v>
      </c>
    </row>
    <row r="4171" spans="1:4">
      <c r="A4171" s="7">
        <f ca="1">IFERROR(__xludf.DUMMYFUNCTION("""COMPUTED_VALUE"""),44382)</f>
        <v>44382</v>
      </c>
      <c r="B4171" s="6" t="str">
        <f ca="1">IFERROR(__xludf.DUMMYFUNCTION("""COMPUTED_VALUE"""),"-33.688147,-71.193332")</f>
        <v>-33.688147,-71.193332</v>
      </c>
      <c r="C4171" s="6" t="str">
        <f ca="1">IFERROR(__xludf.DUMMYFUNCTION("""COMPUTED_VALUE"""),"PA GOBERNADORA ADELAIDA MENDOZA SERRANO 861")</f>
        <v>PA GOBERNADORA ADELAIDA MENDOZA SERRANO 861</v>
      </c>
      <c r="D4171" s="6" t="str">
        <f ca="1">IFERROR(__xludf.DUMMYFUNCTION("""COMPUTED_VALUE"""),"MELIPILLA")</f>
        <v>MELIPILLA</v>
      </c>
    </row>
    <row r="4172" spans="1:4">
      <c r="A4172" s="7">
        <f ca="1">IFERROR(__xludf.DUMMYFUNCTION("""COMPUTED_VALUE"""),44382)</f>
        <v>44382</v>
      </c>
      <c r="B4172" s="8" t="str">
        <f ca="1">IFERROR(__xludf.DUMMYFUNCTION("""COMPUTED_VALUE"""),"-33.643394,-70906082")</f>
        <v>-33.643394,-70906082</v>
      </c>
      <c r="C4172" s="6" t="str">
        <f ca="1">IFERROR(__xludf.DUMMYFUNCTION("""COMPUTED_VALUE"""),"LUCAS PACHECO 2900")</f>
        <v>LUCAS PACHECO 2900</v>
      </c>
      <c r="D4172" s="6" t="str">
        <f ca="1">IFERROR(__xludf.DUMMYFUNCTION("""COMPUTED_VALUE"""),"TALAGANTE")</f>
        <v>TALAGANTE</v>
      </c>
    </row>
    <row r="4173" spans="1:4">
      <c r="A4173" s="7">
        <f ca="1">IFERROR(__xludf.DUMMYFUNCTION("""COMPUTED_VALUE"""),44382)</f>
        <v>44382</v>
      </c>
      <c r="B4173" s="8" t="str">
        <f ca="1">IFERROR(__xludf.DUMMYFUNCTION("""COMPUTED_VALUE"""),"-33.643394,-70906082")</f>
        <v>-33.643394,-70906082</v>
      </c>
      <c r="C4173" s="6" t="str">
        <f ca="1">IFERROR(__xludf.DUMMYFUNCTION("""COMPUTED_VALUE"""),"LUCAS PACHECO 2900")</f>
        <v>LUCAS PACHECO 2900</v>
      </c>
      <c r="D4173" s="6" t="str">
        <f ca="1">IFERROR(__xludf.DUMMYFUNCTION("""COMPUTED_VALUE"""),"TALAGANTE")</f>
        <v>TALAGANTE</v>
      </c>
    </row>
    <row r="4174" spans="1:4">
      <c r="A4174" s="7">
        <f ca="1">IFERROR(__xludf.DUMMYFUNCTION("""COMPUTED_VALUE"""),44383)</f>
        <v>44383</v>
      </c>
      <c r="B4174" s="8" t="str">
        <f ca="1">IFERROR(__xludf.DUMMYFUNCTION("""COMPUTED_VALUE"""),"-33683925,-71186700")</f>
        <v>-33683925,-71186700</v>
      </c>
      <c r="C4174" s="6" t="str">
        <f ca="1">IFERROR(__xludf.DUMMYFUNCTION("""COMPUTED_VALUE"""),"SOINCO 1")</f>
        <v>SOINCO 1</v>
      </c>
      <c r="D4174" s="6" t="str">
        <f ca="1">IFERROR(__xludf.DUMMYFUNCTION("""COMPUTED_VALUE"""),"MELIPILLA")</f>
        <v>MELIPILLA</v>
      </c>
    </row>
    <row r="4175" spans="1:4">
      <c r="A4175" s="7">
        <f ca="1">IFERROR(__xludf.DUMMYFUNCTION("""COMPUTED_VALUE"""),44383)</f>
        <v>44383</v>
      </c>
      <c r="B4175" s="8" t="str">
        <f ca="1">IFERROR(__xludf.DUMMYFUNCTION("""COMPUTED_VALUE"""),"-33757333,-71325675")</f>
        <v>-33757333,-71325675</v>
      </c>
      <c r="C4175" s="6" t="str">
        <f ca="1">IFERROR(__xludf.DUMMYFUNCTION("""COMPUTED_VALUE"""),"VILLA LOS AROMOS 38")</f>
        <v>VILLA LOS AROMOS 38</v>
      </c>
      <c r="D4175" s="6" t="str">
        <f ca="1">IFERROR(__xludf.DUMMYFUNCTION("""COMPUTED_VALUE"""),"MELIPILLA")</f>
        <v>MELIPILLA</v>
      </c>
    </row>
    <row r="4176" spans="1:4">
      <c r="A4176" s="7">
        <f ca="1">IFERROR(__xludf.DUMMYFUNCTION("""COMPUTED_VALUE"""),44383)</f>
        <v>44383</v>
      </c>
      <c r="B4176" s="8" t="str">
        <f ca="1">IFERROR(__xludf.DUMMYFUNCTION("""COMPUTED_VALUE"""),"-33807830,-71366940")</f>
        <v>-33807830,-71366940</v>
      </c>
      <c r="C4176" s="6" t="str">
        <f ca="1">IFERROR(__xludf.DUMMYFUNCTION("""COMPUTED_VALUE"""),"SECTOR CODIGUA P34")</f>
        <v>SECTOR CODIGUA P34</v>
      </c>
      <c r="D4176" s="6" t="str">
        <f ca="1">IFERROR(__xludf.DUMMYFUNCTION("""COMPUTED_VALUE"""),"MELIPILLA")</f>
        <v>MELIPILLA</v>
      </c>
    </row>
    <row r="4177" spans="1:4">
      <c r="A4177" s="7">
        <f ca="1">IFERROR(__xludf.DUMMYFUNCTION("""COMPUTED_VALUE"""),44383)</f>
        <v>44383</v>
      </c>
      <c r="B4177" s="6" t="str">
        <f ca="1">IFERROR(__xludf.DUMMYFUNCTION("""COMPUTED_VALUE"""),"-33.50745-71.14815")</f>
        <v>-33.50745-71.14815</v>
      </c>
      <c r="C4177" s="6" t="str">
        <f ca="1">IFERROR(__xludf.DUMMYFUNCTION("""COMPUTED_VALUE"""),"EL ROSARIO 27")</f>
        <v>EL ROSARIO 27</v>
      </c>
      <c r="D4177" s="6" t="str">
        <f ca="1">IFERROR(__xludf.DUMMYFUNCTION("""COMPUTED_VALUE"""),"MARIA PINTO")</f>
        <v>MARIA PINTO</v>
      </c>
    </row>
    <row r="4178" spans="1:4">
      <c r="A4178" s="7">
        <f ca="1">IFERROR(__xludf.DUMMYFUNCTION("""COMPUTED_VALUE"""),44383)</f>
        <v>44383</v>
      </c>
      <c r="B4178" s="6" t="str">
        <f ca="1">IFERROR(__xludf.DUMMYFUNCTION("""COMPUTED_VALUE"""),"-33.50745-71.14815")</f>
        <v>-33.50745-71.14815</v>
      </c>
      <c r="C4178" s="6" t="str">
        <f ca="1">IFERROR(__xludf.DUMMYFUNCTION("""COMPUTED_VALUE"""),"EL ROSARIO 27")</f>
        <v>EL ROSARIO 27</v>
      </c>
      <c r="D4178" s="6" t="str">
        <f ca="1">IFERROR(__xludf.DUMMYFUNCTION("""COMPUTED_VALUE"""),"MARIA PINTO")</f>
        <v>MARIA PINTO</v>
      </c>
    </row>
    <row r="4179" spans="1:4">
      <c r="A4179" s="7">
        <f ca="1">IFERROR(__xludf.DUMMYFUNCTION("""COMPUTED_VALUE"""),44383)</f>
        <v>44383</v>
      </c>
      <c r="B4179" s="6" t="str">
        <f ca="1">IFERROR(__xludf.DUMMYFUNCTION("""COMPUTED_VALUE"""),"-33.56524-71.14921")</f>
        <v>-33.56524-71.14921</v>
      </c>
      <c r="C4179" s="6" t="str">
        <f ca="1">IFERROR(__xludf.DUMMYFUNCTION("""COMPUTED_VALUE"""),"SECTOR SAN JORGE S/N")</f>
        <v>SECTOR SAN JORGE S/N</v>
      </c>
      <c r="D4179" s="6" t="str">
        <f ca="1">IFERROR(__xludf.DUMMYFUNCTION("""COMPUTED_VALUE"""),"MARIA PINTO")</f>
        <v>MARIA PINTO</v>
      </c>
    </row>
    <row r="4180" spans="1:4">
      <c r="A4180" s="7">
        <f ca="1">IFERROR(__xludf.DUMMYFUNCTION("""COMPUTED_VALUE"""),44383)</f>
        <v>44383</v>
      </c>
      <c r="B4180" s="6" t="str">
        <f ca="1">IFERROR(__xludf.DUMMYFUNCTION("""COMPUTED_VALUE"""),"-33.497472-70.996548")</f>
        <v>-33.497472-70.996548</v>
      </c>
      <c r="C4180" s="6" t="str">
        <f ca="1">IFERROR(__xludf.DUMMYFUNCTION("""COMPUTED_VALUE"""),"PATAGUILLA UNO S/N")</f>
        <v>PATAGUILLA UNO S/N</v>
      </c>
      <c r="D4180" s="6" t="str">
        <f ca="1">IFERROR(__xludf.DUMMYFUNCTION("""COMPUTED_VALUE"""),"CURACAVI")</f>
        <v>CURACAVI</v>
      </c>
    </row>
    <row r="4181" spans="1:4">
      <c r="A4181" s="7">
        <f ca="1">IFERROR(__xludf.DUMMYFUNCTION("""COMPUTED_VALUE"""),44383)</f>
        <v>44383</v>
      </c>
      <c r="B4181" s="6" t="str">
        <f ca="1">IFERROR(__xludf.DUMMYFUNCTION("""COMPUTED_VALUE"""),"-33.498132-70.995788")</f>
        <v>-33.498132-70.995788</v>
      </c>
      <c r="C4181" s="6" t="str">
        <f ca="1">IFERROR(__xludf.DUMMYFUNCTION("""COMPUTED_VALUE"""),"LA PATAGUILLA S/N SITIO 63")</f>
        <v>LA PATAGUILLA S/N SITIO 63</v>
      </c>
      <c r="D4181" s="6" t="str">
        <f ca="1">IFERROR(__xludf.DUMMYFUNCTION("""COMPUTED_VALUE"""),"CURACAVI")</f>
        <v>CURACAVI</v>
      </c>
    </row>
    <row r="4182" spans="1:4">
      <c r="A4182" s="7">
        <f ca="1">IFERROR(__xludf.DUMMYFUNCTION("""COMPUTED_VALUE"""),44383)</f>
        <v>44383</v>
      </c>
      <c r="B4182" s="6" t="str">
        <f ca="1">IFERROR(__xludf.DUMMYFUNCTION("""COMPUTED_VALUE"""),"-33.538056-70.908174")</f>
        <v>-33.538056-70.908174</v>
      </c>
      <c r="C4182" s="6" t="str">
        <f ca="1">IFERROR(__xludf.DUMMYFUNCTION("""COMPUTED_VALUE"""),"SANTA MONICA SITIO 22")</f>
        <v>SANTA MONICA SITIO 22</v>
      </c>
      <c r="D4182" s="6" t="str">
        <f ca="1">IFERROR(__xludf.DUMMYFUNCTION("""COMPUTED_VALUE"""),"PADRE HURTADO")</f>
        <v>PADRE HURTADO</v>
      </c>
    </row>
    <row r="4183" spans="1:4">
      <c r="A4183" s="7">
        <f ca="1">IFERROR(__xludf.DUMMYFUNCTION("""COMPUTED_VALUE"""),44383)</f>
        <v>44383</v>
      </c>
      <c r="B4183" s="6" t="str">
        <f ca="1">IFERROR(__xludf.DUMMYFUNCTION("""COMPUTED_VALUE"""),"-33.574974-70.814718")</f>
        <v>-33.574974-70.814718</v>
      </c>
      <c r="C4183" s="6" t="str">
        <f ca="1">IFERROR(__xludf.DUMMYFUNCTION("""COMPUTED_VALUE"""),"SAN SEBASTIAN 2671")</f>
        <v>SAN SEBASTIAN 2671</v>
      </c>
      <c r="D4183" s="6" t="str">
        <f ca="1">IFERROR(__xludf.DUMMYFUNCTION("""COMPUTED_VALUE"""),"PADRE HURTADO")</f>
        <v>PADRE HURTADO</v>
      </c>
    </row>
    <row r="4184" spans="1:4">
      <c r="A4184" s="7">
        <f ca="1">IFERROR(__xludf.DUMMYFUNCTION("""COMPUTED_VALUE"""),44383)</f>
        <v>44383</v>
      </c>
      <c r="B4184" s="6" t="str">
        <f ca="1">IFERROR(__xludf.DUMMYFUNCTION("""COMPUTED_VALUE"""),"-33.785628-70.789876")</f>
        <v>-33.785628-70.789876</v>
      </c>
      <c r="C4184" s="6" t="str">
        <f ca="1">IFERROR(__xludf.DUMMYFUNCTION("""COMPUTED_VALUE"""),"MAIPO VILUCO SITIO 21")</f>
        <v>MAIPO VILUCO SITIO 21</v>
      </c>
      <c r="D4184" s="6" t="str">
        <f ca="1">IFERROR(__xludf.DUMMYFUNCTION("""COMPUTED_VALUE"""),"BUIN")</f>
        <v>BUIN</v>
      </c>
    </row>
    <row r="4185" spans="1:4">
      <c r="A4185" s="7">
        <f ca="1">IFERROR(__xludf.DUMMYFUNCTION("""COMPUTED_VALUE"""),44383)</f>
        <v>44383</v>
      </c>
      <c r="B4185" s="6" t="str">
        <f ca="1">IFERROR(__xludf.DUMMYFUNCTION("""COMPUTED_VALUE"""),"-33.785465-70.789790")</f>
        <v>-33.785465-70.789790</v>
      </c>
      <c r="C4185" s="6" t="str">
        <f ca="1">IFERROR(__xludf.DUMMYFUNCTION("""COMPUTED_VALUE"""),"MAIPO VILUCO SITIO 21")</f>
        <v>MAIPO VILUCO SITIO 21</v>
      </c>
      <c r="D4185" s="6" t="str">
        <f ca="1">IFERROR(__xludf.DUMMYFUNCTION("""COMPUTED_VALUE"""),"BUIN")</f>
        <v>BUIN</v>
      </c>
    </row>
    <row r="4186" spans="1:4">
      <c r="A4186" s="7">
        <f ca="1">IFERROR(__xludf.DUMMYFUNCTION("""COMPUTED_VALUE"""),44383)</f>
        <v>44383</v>
      </c>
      <c r="B4186" s="6" t="str">
        <f ca="1">IFERROR(__xludf.DUMMYFUNCTION("""COMPUTED_VALUE"""),"-33.677178,-71.186958")</f>
        <v>-33.677178,-71.186958</v>
      </c>
      <c r="C4186" s="6" t="str">
        <f ca="1">IFERROR(__xludf.DUMMYFUNCTION("""COMPUTED_VALUE"""),"LA RINCONADA  1216")</f>
        <v>LA RINCONADA  1216</v>
      </c>
      <c r="D4186" s="6" t="str">
        <f ca="1">IFERROR(__xludf.DUMMYFUNCTION("""COMPUTED_VALUE"""),"MELIPILLA")</f>
        <v>MELIPILLA</v>
      </c>
    </row>
    <row r="4187" spans="1:4">
      <c r="A4187" s="7">
        <f ca="1">IFERROR(__xludf.DUMMYFUNCTION("""COMPUTED_VALUE"""),44383)</f>
        <v>44383</v>
      </c>
      <c r="B4187" s="6" t="str">
        <f ca="1">IFERROR(__xludf.DUMMYFUNCTION("""COMPUTED_VALUE"""),"-33.687965,-71.206383")</f>
        <v>-33.687965,-71.206383</v>
      </c>
      <c r="C4187" s="6" t="str">
        <f ca="1">IFERROR(__xludf.DUMMYFUNCTION("""COMPUTED_VALUE"""),"PASAJE LA RUECA 634 CHACRA SAN PEDRO ETAPA II")</f>
        <v>PASAJE LA RUECA 634 CHACRA SAN PEDRO ETAPA II</v>
      </c>
      <c r="D4187" s="6" t="str">
        <f ca="1">IFERROR(__xludf.DUMMYFUNCTION("""COMPUTED_VALUE"""),"MELIPILLA")</f>
        <v>MELIPILLA</v>
      </c>
    </row>
    <row r="4188" spans="1:4">
      <c r="A4188" s="7">
        <f ca="1">IFERROR(__xludf.DUMMYFUNCTION("""COMPUTED_VALUE"""),44383)</f>
        <v>44383</v>
      </c>
      <c r="B4188" s="6" t="str">
        <f ca="1">IFERROR(__xludf.DUMMYFUNCTION("""COMPUTED_VALUE"""),"-33.542508,-70.827329")</f>
        <v>-33.542508,-70.827329</v>
      </c>
      <c r="C4188" s="6" t="str">
        <f ca="1">IFERROR(__xludf.DUMMYFUNCTION("""COMPUTED_VALUE"""),"EL TREBOL S/N PP574222ST02, PADRE HURTADO")</f>
        <v>EL TREBOL S/N PP574222ST02, PADRE HURTADO</v>
      </c>
      <c r="D4188" s="6" t="str">
        <f ca="1">IFERROR(__xludf.DUMMYFUNCTION("""COMPUTED_VALUE"""),"PADRE HURTADO")</f>
        <v>PADRE HURTADO</v>
      </c>
    </row>
    <row r="4189" spans="1:4">
      <c r="A4189" s="7">
        <f ca="1">IFERROR(__xludf.DUMMYFUNCTION("""COMPUTED_VALUE"""),44383)</f>
        <v>44383</v>
      </c>
      <c r="B4189" s="6" t="str">
        <f ca="1">IFERROR(__xludf.DUMMYFUNCTION("""COMPUTED_VALUE"""),"-33.037428-71.446419")</f>
        <v>-33.037428-71.446419</v>
      </c>
      <c r="C4189" s="6" t="str">
        <f ca="1">IFERROR(__xludf.DUMMYFUNCTION("""COMPUTED_VALUE"""),"CATORCE 1550")</f>
        <v>CATORCE 1550</v>
      </c>
      <c r="D4189" s="6" t="str">
        <f ca="1">IFERROR(__xludf.DUMMYFUNCTION("""COMPUTED_VALUE"""),"QUILPUÉ")</f>
        <v>QUILPUÉ</v>
      </c>
    </row>
    <row r="4190" spans="1:4">
      <c r="A4190" s="7">
        <f ca="1">IFERROR(__xludf.DUMMYFUNCTION("""COMPUTED_VALUE"""),44383)</f>
        <v>44383</v>
      </c>
      <c r="B4190" s="6" t="str">
        <f ca="1">IFERROR(__xludf.DUMMYFUNCTION("""COMPUTED_VALUE"""),"-33.051646-71.430809")</f>
        <v>-33.051646-71.430809</v>
      </c>
      <c r="C4190" s="6" t="str">
        <f ca="1">IFERROR(__xludf.DUMMYFUNCTION("""COMPUTED_VALUE"""),"VALENCIA 1619")</f>
        <v>VALENCIA 1619</v>
      </c>
      <c r="D4190" s="6" t="str">
        <f ca="1">IFERROR(__xludf.DUMMYFUNCTION("""COMPUTED_VALUE"""),"QUILPUÉ")</f>
        <v>QUILPUÉ</v>
      </c>
    </row>
    <row r="4191" spans="1:4">
      <c r="A4191" s="7">
        <f ca="1">IFERROR(__xludf.DUMMYFUNCTION("""COMPUTED_VALUE"""),44383)</f>
        <v>44383</v>
      </c>
      <c r="B4191" s="6" t="str">
        <f ca="1">IFERROR(__xludf.DUMMYFUNCTION("""COMPUTED_VALUE"""),"-33.052720-71.464851")</f>
        <v>-33.052720-71.464851</v>
      </c>
      <c r="C4191" s="6" t="str">
        <f ca="1">IFERROR(__xludf.DUMMYFUNCTION("""COMPUTED_VALUE"""),"LEBU 0539")</f>
        <v>LEBU 0539</v>
      </c>
      <c r="D4191" s="6" t="str">
        <f ca="1">IFERROR(__xludf.DUMMYFUNCTION("""COMPUTED_VALUE"""),"QUILPUÉ")</f>
        <v>QUILPUÉ</v>
      </c>
    </row>
    <row r="4192" spans="1:4">
      <c r="A4192" s="7">
        <f ca="1">IFERROR(__xludf.DUMMYFUNCTION("""COMPUTED_VALUE"""),44384)</f>
        <v>44384</v>
      </c>
      <c r="B4192" s="8" t="str">
        <f ca="1">IFERROR(__xludf.DUMMYFUNCTION("""COMPUTED_VALUE"""),"-33825110,-71381675")</f>
        <v>-33825110,-71381675</v>
      </c>
      <c r="C4192" s="6" t="str">
        <f ca="1">IFERROR(__xludf.DUMMYFUNCTION("""COMPUTED_VALUE"""),"UNION DE CODIGUA")</f>
        <v>UNION DE CODIGUA</v>
      </c>
      <c r="D4192" s="6" t="str">
        <f ca="1">IFERROR(__xludf.DUMMYFUNCTION("""COMPUTED_VALUE"""),"MELIPILLA")</f>
        <v>MELIPILLA</v>
      </c>
    </row>
    <row r="4193" spans="1:4">
      <c r="A4193" s="7">
        <f ca="1">IFERROR(__xludf.DUMMYFUNCTION("""COMPUTED_VALUE"""),44384)</f>
        <v>44384</v>
      </c>
      <c r="B4193" s="8" t="str">
        <f ca="1">IFERROR(__xludf.DUMMYFUNCTION("""COMPUTED_VALUE"""),"-33663570,-71331895")</f>
        <v>-33663570,-71331895</v>
      </c>
      <c r="C4193" s="6" t="str">
        <f ca="1">IFERROR(__xludf.DUMMYFUNCTION("""COMPUTED_VALUE"""),"PUANGUE 22")</f>
        <v>PUANGUE 22</v>
      </c>
      <c r="D4193" s="6" t="str">
        <f ca="1">IFERROR(__xludf.DUMMYFUNCTION("""COMPUTED_VALUE"""),"MELIPILLA")</f>
        <v>MELIPILLA</v>
      </c>
    </row>
    <row r="4194" spans="1:4">
      <c r="A4194" s="7">
        <f ca="1">IFERROR(__xludf.DUMMYFUNCTION("""COMPUTED_VALUE"""),44384)</f>
        <v>44384</v>
      </c>
      <c r="B4194" s="8" t="str">
        <f ca="1">IFERROR(__xludf.DUMMYFUNCTION("""COMPUTED_VALUE"""),"-33.666175, -71.33191")</f>
        <v>-33.666175, -71.33191</v>
      </c>
      <c r="C4194" s="6" t="str">
        <f ca="1">IFERROR(__xludf.DUMMYFUNCTION("""COMPUTED_VALUE"""),"PUANGUE PC 22 LOTE 3")</f>
        <v>PUANGUE PC 22 LOTE 3</v>
      </c>
      <c r="D4194" s="6" t="str">
        <f ca="1">IFERROR(__xludf.DUMMYFUNCTION("""COMPUTED_VALUE"""),"MELIPILLA")</f>
        <v>MELIPILLA</v>
      </c>
    </row>
    <row r="4195" spans="1:4">
      <c r="A4195" s="7">
        <f ca="1">IFERROR(__xludf.DUMMYFUNCTION("""COMPUTED_VALUE"""),44384)</f>
        <v>44384</v>
      </c>
      <c r="B4195" s="8" t="str">
        <f ca="1">IFERROR(__xludf.DUMMYFUNCTION("""COMPUTED_VALUE"""),"-33683925,-71186700")</f>
        <v>-33683925,-71186700</v>
      </c>
      <c r="C4195" s="6" t="str">
        <f ca="1">IFERROR(__xludf.DUMMYFUNCTION("""COMPUTED_VALUE"""),"SOINCO 1")</f>
        <v>SOINCO 1</v>
      </c>
      <c r="D4195" s="6" t="str">
        <f ca="1">IFERROR(__xludf.DUMMYFUNCTION("""COMPUTED_VALUE"""),"MELIPILLA")</f>
        <v>MELIPILLA</v>
      </c>
    </row>
    <row r="4196" spans="1:4">
      <c r="A4196" s="7">
        <f ca="1">IFERROR(__xludf.DUMMYFUNCTION("""COMPUTED_VALUE"""),44384)</f>
        <v>44384</v>
      </c>
      <c r="B4196" s="6" t="str">
        <f ca="1">IFERROR(__xludf.DUMMYFUNCTION("""COMPUTED_VALUE"""),"-33.676577-70.996527")</f>
        <v>-33.676577-70.996527</v>
      </c>
      <c r="C4196" s="6" t="str">
        <f ca="1">IFERROR(__xludf.DUMMYFUNCTION("""COMPUTED_VALUE"""),"LAS DALIAS 769")</f>
        <v>LAS DALIAS 769</v>
      </c>
      <c r="D4196" s="6" t="str">
        <f ca="1">IFERROR(__xludf.DUMMYFUNCTION("""COMPUTED_VALUE"""),"EL MONTE")</f>
        <v>EL MONTE</v>
      </c>
    </row>
    <row r="4197" spans="1:4">
      <c r="A4197" s="7">
        <f ca="1">IFERROR(__xludf.DUMMYFUNCTION("""COMPUTED_VALUE"""),44384)</f>
        <v>44384</v>
      </c>
      <c r="B4197" s="6" t="str">
        <f ca="1">IFERROR(__xludf.DUMMYFUNCTION("""COMPUTED_VALUE"""),"-33.602188-70.877974")</f>
        <v>-33.602188-70.877974</v>
      </c>
      <c r="C4197" s="6" t="str">
        <f ca="1">IFERROR(__xludf.DUMMYFUNCTION("""COMPUTED_VALUE"""),"PJE OCHO 511")</f>
        <v>PJE OCHO 511</v>
      </c>
      <c r="D4197" s="6" t="str">
        <f ca="1">IFERROR(__xludf.DUMMYFUNCTION("""COMPUTED_VALUE"""),"PEÑAFLOR")</f>
        <v>PEÑAFLOR</v>
      </c>
    </row>
    <row r="4198" spans="1:4">
      <c r="A4198" s="7">
        <f ca="1">IFERROR(__xludf.DUMMYFUNCTION("""COMPUTED_VALUE"""),44384)</f>
        <v>44384</v>
      </c>
      <c r="B4198" s="6" t="str">
        <f ca="1">IFERROR(__xludf.DUMMYFUNCTION("""COMPUTED_VALUE"""),"-33.636903-70.891769")</f>
        <v>-33.636903-70.891769</v>
      </c>
      <c r="C4198" s="6" t="str">
        <f ca="1">IFERROR(__xludf.DUMMYFUNCTION("""COMPUTED_VALUE"""),"CONDOMINIO SANTA ISABEL 1063 LOTE 3")</f>
        <v>CONDOMINIO SANTA ISABEL 1063 LOTE 3</v>
      </c>
      <c r="D4198" s="6" t="str">
        <f ca="1">IFERROR(__xludf.DUMMYFUNCTION("""COMPUTED_VALUE"""),"TALAGANTE")</f>
        <v>TALAGANTE</v>
      </c>
    </row>
    <row r="4199" spans="1:4">
      <c r="A4199" s="7">
        <f ca="1">IFERROR(__xludf.DUMMYFUNCTION("""COMPUTED_VALUE"""),44384)</f>
        <v>44384</v>
      </c>
      <c r="B4199" s="6"/>
      <c r="C4199" s="6" t="str">
        <f ca="1">IFERROR(__xludf.DUMMYFUNCTION("""COMPUTED_VALUE"""),"PEDRO CORREA 885")</f>
        <v>PEDRO CORREA 885</v>
      </c>
      <c r="D4199" s="6" t="str">
        <f ca="1">IFERROR(__xludf.DUMMYFUNCTION("""COMPUTED_VALUE"""),"PEÑAFLOR")</f>
        <v>PEÑAFLOR</v>
      </c>
    </row>
    <row r="4200" spans="1:4">
      <c r="A4200" s="7">
        <f ca="1">IFERROR(__xludf.DUMMYFUNCTION("""COMPUTED_VALUE"""),44384)</f>
        <v>44384</v>
      </c>
      <c r="B4200" s="6" t="str">
        <f ca="1">IFERROR(__xludf.DUMMYFUNCTION("""COMPUTED_VALUE"""),"-33.350254-71.145914")</f>
        <v>-33.350254-71.145914</v>
      </c>
      <c r="C4200" s="6" t="str">
        <f ca="1">IFERROR(__xludf.DUMMYFUNCTION("""COMPUTED_VALUE"""),"EL NARANJO S/N LOTE 71")</f>
        <v>EL NARANJO S/N LOTE 71</v>
      </c>
      <c r="D4200" s="6" t="str">
        <f ca="1">IFERROR(__xludf.DUMMYFUNCTION("""COMPUTED_VALUE"""),"CURACAVI")</f>
        <v>CURACAVI</v>
      </c>
    </row>
    <row r="4201" spans="1:4">
      <c r="A4201" s="7">
        <f ca="1">IFERROR(__xludf.DUMMYFUNCTION("""COMPUTED_VALUE"""),44384)</f>
        <v>44384</v>
      </c>
      <c r="B4201" s="6" t="str">
        <f ca="1">IFERROR(__xludf.DUMMYFUNCTION("""COMPUTED_VALUE"""),"-33.420015-71.010892")</f>
        <v>-33.420015-71.010892</v>
      </c>
      <c r="C4201" s="6" t="str">
        <f ca="1">IFERROR(__xludf.DUMMYFUNCTION("""COMPUTED_VALUE"""),"LA AURORA S/N")</f>
        <v>LA AURORA S/N</v>
      </c>
      <c r="D4201" s="6" t="str">
        <f ca="1">IFERROR(__xludf.DUMMYFUNCTION("""COMPUTED_VALUE"""),"CURACAVI")</f>
        <v>CURACAVI</v>
      </c>
    </row>
    <row r="4202" spans="1:4">
      <c r="A4202" s="7">
        <f ca="1">IFERROR(__xludf.DUMMYFUNCTION("""COMPUTED_VALUE"""),44384)</f>
        <v>44384</v>
      </c>
      <c r="B4202" s="6" t="str">
        <f ca="1">IFERROR(__xludf.DUMMYFUNCTION("""COMPUTED_VALUE"""),"-33.50745-71.14815")</f>
        <v>-33.50745-71.14815</v>
      </c>
      <c r="C4202" s="6" t="str">
        <f ca="1">IFERROR(__xludf.DUMMYFUNCTION("""COMPUTED_VALUE"""),"EL ROSARIO S/N SITIO E")</f>
        <v>EL ROSARIO S/N SITIO E</v>
      </c>
      <c r="D4202" s="6" t="str">
        <f ca="1">IFERROR(__xludf.DUMMYFUNCTION("""COMPUTED_VALUE"""),"MARIA PINTO")</f>
        <v>MARIA PINTO</v>
      </c>
    </row>
    <row r="4203" spans="1:4">
      <c r="A4203" s="7">
        <f ca="1">IFERROR(__xludf.DUMMYFUNCTION("""COMPUTED_VALUE"""),44384)</f>
        <v>44384</v>
      </c>
      <c r="B4203" s="6" t="str">
        <f ca="1">IFERROR(__xludf.DUMMYFUNCTION("""COMPUTED_VALUE"""),"-33.48822-71.14516")</f>
        <v>-33.48822-71.14516</v>
      </c>
      <c r="C4203" s="6" t="str">
        <f ca="1">IFERROR(__xludf.DUMMYFUNCTION("""COMPUTED_VALUE"""),"EL LUCHADOR 61")</f>
        <v>EL LUCHADOR 61</v>
      </c>
      <c r="D4203" s="6" t="str">
        <f ca="1">IFERROR(__xludf.DUMMYFUNCTION("""COMPUTED_VALUE"""),"MARIA PINTO")</f>
        <v>MARIA PINTO</v>
      </c>
    </row>
    <row r="4204" spans="1:4">
      <c r="A4204" s="7">
        <f ca="1">IFERROR(__xludf.DUMMYFUNCTION("""COMPUTED_VALUE"""),44384)</f>
        <v>44384</v>
      </c>
      <c r="B4204" s="6" t="str">
        <f ca="1">IFERROR(__xludf.DUMMYFUNCTION("""COMPUTED_VALUE"""),"-33.48822-71.14498")</f>
        <v>-33.48822-71.14498</v>
      </c>
      <c r="C4204" s="6" t="str">
        <f ca="1">IFERROR(__xludf.DUMMYFUNCTION("""COMPUTED_VALUE"""),"EL LUCHADOR 61")</f>
        <v>EL LUCHADOR 61</v>
      </c>
      <c r="D4204" s="6" t="str">
        <f ca="1">IFERROR(__xludf.DUMMYFUNCTION("""COMPUTED_VALUE"""),"MARIA PINTO")</f>
        <v>MARIA PINTO</v>
      </c>
    </row>
    <row r="4205" spans="1:4">
      <c r="A4205" s="7">
        <f ca="1">IFERROR(__xludf.DUMMYFUNCTION("""COMPUTED_VALUE"""),44384)</f>
        <v>44384</v>
      </c>
      <c r="B4205" s="6" t="str">
        <f ca="1">IFERROR(__xludf.DUMMYFUNCTION("""COMPUTED_VALUE"""),"-33.791014-70.782301")</f>
        <v>-33.791014-70.782301</v>
      </c>
      <c r="C4205" s="6" t="str">
        <f ca="1">IFERROR(__xludf.DUMMYFUNCTION("""COMPUTED_VALUE"""),"SANTA JULIA SITIO 13 VILUCO")</f>
        <v>SANTA JULIA SITIO 13 VILUCO</v>
      </c>
      <c r="D4205" s="6" t="str">
        <f ca="1">IFERROR(__xludf.DUMMYFUNCTION("""COMPUTED_VALUE"""),"BUIN")</f>
        <v>BUIN</v>
      </c>
    </row>
    <row r="4206" spans="1:4">
      <c r="A4206" s="7">
        <f ca="1">IFERROR(__xludf.DUMMYFUNCTION("""COMPUTED_VALUE"""),44384)</f>
        <v>44384</v>
      </c>
      <c r="B4206" s="6" t="str">
        <f ca="1">IFERROR(__xludf.DUMMYFUNCTION("""COMPUTED_VALUE"""),"-33.801190-70.774907")</f>
        <v>-33.801190-70.774907</v>
      </c>
      <c r="C4206" s="6" t="str">
        <f ca="1">IFERROR(__xludf.DUMMYFUNCTION("""COMPUTED_VALUE"""),"SANTA VICTORIA DE VILUCO P/8C")</f>
        <v>SANTA VICTORIA DE VILUCO P/8C</v>
      </c>
      <c r="D4206" s="6" t="str">
        <f ca="1">IFERROR(__xludf.DUMMYFUNCTION("""COMPUTED_VALUE"""),"BUIN")</f>
        <v>BUIN</v>
      </c>
    </row>
    <row r="4207" spans="1:4">
      <c r="A4207" s="7">
        <f ca="1">IFERROR(__xludf.DUMMYFUNCTION("""COMPUTED_VALUE"""),44384)</f>
        <v>44384</v>
      </c>
      <c r="B4207" s="8" t="str">
        <f ca="1">IFERROR(__xludf.DUMMYFUNCTION("""COMPUTED_VALUE"""),"-33.679096,-70955673")</f>
        <v>-33.679096,-70955673</v>
      </c>
      <c r="C4207" s="6" t="str">
        <f ca="1">IFERROR(__xludf.DUMMYFUNCTION("""COMPUTED_VALUE"""),"LOS PRESIDENTES #151")</f>
        <v>LOS PRESIDENTES #151</v>
      </c>
      <c r="D4207" s="6" t="str">
        <f ca="1">IFERROR(__xludf.DUMMYFUNCTION("""COMPUTED_VALUE"""),"TALAGANTE")</f>
        <v>TALAGANTE</v>
      </c>
    </row>
    <row r="4208" spans="1:4">
      <c r="A4208" s="7">
        <f ca="1">IFERROR(__xludf.DUMMYFUNCTION("""COMPUTED_VALUE"""),44384)</f>
        <v>44384</v>
      </c>
      <c r="B4208" s="8" t="str">
        <f ca="1">IFERROR(__xludf.DUMMYFUNCTION("""COMPUTED_VALUE"""),"-33.678440,-70.952782")</f>
        <v>-33.678440,-70.952782</v>
      </c>
      <c r="C4208" s="6" t="str">
        <f ca="1">IFERROR(__xludf.DUMMYFUNCTION("""COMPUTED_VALUE"""),"AVDA. BERNARDO OHIGGINS")</f>
        <v>AVDA. BERNARDO OHIGGINS</v>
      </c>
      <c r="D4208" s="6" t="str">
        <f ca="1">IFERROR(__xludf.DUMMYFUNCTION("""COMPUTED_VALUE"""),"TALAGANTE")</f>
        <v>TALAGANTE</v>
      </c>
    </row>
    <row r="4209" spans="1:4">
      <c r="A4209" s="7">
        <f ca="1">IFERROR(__xludf.DUMMYFUNCTION("""COMPUTED_VALUE"""),44384)</f>
        <v>44384</v>
      </c>
      <c r="B4209" s="6" t="str">
        <f ca="1">IFERROR(__xludf.DUMMYFUNCTION("""COMPUTED_VALUE"""),"-33.055872-71.445278")</f>
        <v>-33.055872-71.445278</v>
      </c>
      <c r="C4209" s="6" t="str">
        <f ca="1">IFERROR(__xludf.DUMMYFUNCTION("""COMPUTED_VALUE"""),"MENA 1585")</f>
        <v>MENA 1585</v>
      </c>
      <c r="D4209" s="6" t="str">
        <f ca="1">IFERROR(__xludf.DUMMYFUNCTION("""COMPUTED_VALUE"""),"QUILPUÉ")</f>
        <v>QUILPUÉ</v>
      </c>
    </row>
    <row r="4210" spans="1:4">
      <c r="A4210" s="7">
        <f ca="1">IFERROR(__xludf.DUMMYFUNCTION("""COMPUTED_VALUE"""),44384)</f>
        <v>44384</v>
      </c>
      <c r="B4210" s="6" t="str">
        <f ca="1">IFERROR(__xludf.DUMMYFUNCTION("""COMPUTED_VALUE"""),"-33.041176-71.429547")</f>
        <v>-33.041176-71.429547</v>
      </c>
      <c r="C4210" s="6" t="str">
        <f ca="1">IFERROR(__xludf.DUMMYFUNCTION("""COMPUTED_VALUE"""),"PEYRONET 343")</f>
        <v>PEYRONET 343</v>
      </c>
      <c r="D4210" s="6" t="str">
        <f ca="1">IFERROR(__xludf.DUMMYFUNCTION("""COMPUTED_VALUE"""),"QUILPUÉ")</f>
        <v>QUILPUÉ</v>
      </c>
    </row>
    <row r="4211" spans="1:4">
      <c r="A4211" s="7">
        <f ca="1">IFERROR(__xludf.DUMMYFUNCTION("""COMPUTED_VALUE"""),44384)</f>
        <v>44384</v>
      </c>
      <c r="B4211" s="6" t="str">
        <f ca="1">IFERROR(__xludf.DUMMYFUNCTION("""COMPUTED_VALUE"""),"-33.055-71.460")</f>
        <v>-33.055-71.460</v>
      </c>
      <c r="C4211" s="6" t="str">
        <f ca="1">IFERROR(__xludf.DUMMYFUNCTION("""COMPUTED_VALUE"""),"MENA 1585")</f>
        <v>MENA 1585</v>
      </c>
      <c r="D4211" s="6" t="str">
        <f ca="1">IFERROR(__xludf.DUMMYFUNCTION("""COMPUTED_VALUE"""),"QUILPUÉ")</f>
        <v>QUILPUÉ</v>
      </c>
    </row>
    <row r="4212" spans="1:4">
      <c r="A4212" s="7">
        <f ca="1">IFERROR(__xludf.DUMMYFUNCTION("""COMPUTED_VALUE"""),44384)</f>
        <v>44384</v>
      </c>
      <c r="B4212" s="6" t="str">
        <f ca="1">IFERROR(__xludf.DUMMYFUNCTION("""COMPUTED_VALUE"""),"-33.042650-71.429856")</f>
        <v>-33.042650-71.429856</v>
      </c>
      <c r="C4212" s="6" t="str">
        <f ca="1">IFERROR(__xludf.DUMMYFUNCTION("""COMPUTED_VALUE"""),"PEYRONET 425")</f>
        <v>PEYRONET 425</v>
      </c>
      <c r="D4212" s="6" t="str">
        <f ca="1">IFERROR(__xludf.DUMMYFUNCTION("""COMPUTED_VALUE"""),"QUILPUÉ")</f>
        <v>QUILPUÉ</v>
      </c>
    </row>
    <row r="4213" spans="1:4">
      <c r="A4213" s="7">
        <f ca="1">IFERROR(__xludf.DUMMYFUNCTION("""COMPUTED_VALUE"""),44385)</f>
        <v>44385</v>
      </c>
      <c r="B4213" s="6" t="str">
        <f ca="1">IFERROR(__xludf.DUMMYFUNCTION("""COMPUTED_VALUE"""),"-33.50769-71.14761")</f>
        <v>-33.50769-71.14761</v>
      </c>
      <c r="C4213" s="6" t="str">
        <f ca="1">IFERROR(__xludf.DUMMYFUNCTION("""COMPUTED_VALUE"""),"EL ROSARIO S/N SITIO E")</f>
        <v>EL ROSARIO S/N SITIO E</v>
      </c>
      <c r="D4213" s="6" t="str">
        <f ca="1">IFERROR(__xludf.DUMMYFUNCTION("""COMPUTED_VALUE"""),"MARIA PINTO")</f>
        <v>MARIA PINTO</v>
      </c>
    </row>
    <row r="4214" spans="1:4">
      <c r="A4214" s="7">
        <f ca="1">IFERROR(__xludf.DUMMYFUNCTION("""COMPUTED_VALUE"""),44385)</f>
        <v>44385</v>
      </c>
      <c r="B4214" s="6" t="str">
        <f ca="1">IFERROR(__xludf.DUMMYFUNCTION("""COMPUTED_VALUE"""),"-33.696455-71.215237")</f>
        <v>-33.696455-71.215237</v>
      </c>
      <c r="C4214" s="6" t="str">
        <f ca="1">IFERROR(__xludf.DUMMYFUNCTION("""COMPUTED_VALUE"""),"BENITEZ 565 MELIPILLA")</f>
        <v>BENITEZ 565 MELIPILLA</v>
      </c>
      <c r="D4214" s="6" t="str">
        <f ca="1">IFERROR(__xludf.DUMMYFUNCTION("""COMPUTED_VALUE"""),"MELIPILLA")</f>
        <v>MELIPILLA</v>
      </c>
    </row>
    <row r="4215" spans="1:4">
      <c r="A4215" s="7">
        <f ca="1">IFERROR(__xludf.DUMMYFUNCTION("""COMPUTED_VALUE"""),44385)</f>
        <v>44385</v>
      </c>
      <c r="B4215" s="6" t="str">
        <f ca="1">IFERROR(__xludf.DUMMYFUNCTION("""COMPUTED_VALUE"""),"-33.415019-71.141708")</f>
        <v>-33.415019-71.141708</v>
      </c>
      <c r="C4215" s="6" t="str">
        <f ca="1">IFERROR(__xludf.DUMMYFUNCTION("""COMPUTED_VALUE"""),"LO AGUILA  3A")</f>
        <v>LO AGUILA  3A</v>
      </c>
      <c r="D4215" s="6" t="str">
        <f ca="1">IFERROR(__xludf.DUMMYFUNCTION("""COMPUTED_VALUE"""),"CURACAVI")</f>
        <v>CURACAVI</v>
      </c>
    </row>
    <row r="4216" spans="1:4">
      <c r="A4216" s="7">
        <f ca="1">IFERROR(__xludf.DUMMYFUNCTION("""COMPUTED_VALUE"""),44385)</f>
        <v>44385</v>
      </c>
      <c r="B4216" s="6" t="str">
        <f ca="1">IFERROR(__xludf.DUMMYFUNCTION("""COMPUTED_VALUE"""),"-33.406405-71.141409")</f>
        <v>-33.406405-71.141409</v>
      </c>
      <c r="C4216" s="6" t="str">
        <f ca="1">IFERROR(__xludf.DUMMYFUNCTION("""COMPUTED_VALUE"""),"AV. AMBROSIO OHIGGINS 939")</f>
        <v>AV. AMBROSIO OHIGGINS 939</v>
      </c>
      <c r="D4216" s="6" t="str">
        <f ca="1">IFERROR(__xludf.DUMMYFUNCTION("""COMPUTED_VALUE"""),"CURACAVI")</f>
        <v>CURACAVI</v>
      </c>
    </row>
    <row r="4217" spans="1:4">
      <c r="A4217" s="7">
        <f ca="1">IFERROR(__xludf.DUMMYFUNCTION("""COMPUTED_VALUE"""),44385)</f>
        <v>44385</v>
      </c>
      <c r="B4217" s="6" t="str">
        <f ca="1">IFERROR(__xludf.DUMMYFUNCTION("""COMPUTED_VALUE"""),"-33.651054,-71.151257")</f>
        <v>-33.651054,-71.151257</v>
      </c>
      <c r="C4217" s="6" t="str">
        <f ca="1">IFERROR(__xludf.DUMMYFUNCTION("""COMPUTED_VALUE"""),"SAN ANTONIO 333 A POMAIRE")</f>
        <v>SAN ANTONIO 333 A POMAIRE</v>
      </c>
      <c r="D4217" s="6" t="str">
        <f ca="1">IFERROR(__xludf.DUMMYFUNCTION("""COMPUTED_VALUE"""),"MELIPILLA")</f>
        <v>MELIPILLA</v>
      </c>
    </row>
    <row r="4218" spans="1:4">
      <c r="A4218" s="7">
        <f ca="1">IFERROR(__xludf.DUMMYFUNCTION("""COMPUTED_VALUE"""),44385)</f>
        <v>44385</v>
      </c>
      <c r="B4218" s="8" t="str">
        <f ca="1">IFERROR(__xludf.DUMMYFUNCTION("""COMPUTED_VALUE"""),"-33.800973,-71.306880")</f>
        <v>-33.800973,-71.306880</v>
      </c>
      <c r="C4218" s="6" t="str">
        <f ca="1">IFERROR(__xludf.DUMMYFUNCTION("""COMPUTED_VALUE"""),"LA OBEJERIA 369")</f>
        <v>LA OBEJERIA 369</v>
      </c>
      <c r="D4218" s="6" t="str">
        <f ca="1">IFERROR(__xludf.DUMMYFUNCTION("""COMPUTED_VALUE"""),"MELIPILLA")</f>
        <v>MELIPILLA</v>
      </c>
    </row>
    <row r="4219" spans="1:4">
      <c r="A4219" s="7">
        <f ca="1">IFERROR(__xludf.DUMMYFUNCTION("""COMPUTED_VALUE"""),44385)</f>
        <v>44385</v>
      </c>
      <c r="B4219" s="8" t="str">
        <f ca="1">IFERROR(__xludf.DUMMYFUNCTION("""COMPUTED_VALUE"""),"-33.802162,-71.301544")</f>
        <v>-33.802162,-71.301544</v>
      </c>
      <c r="C4219" s="6" t="str">
        <f ca="1">IFERROR(__xludf.DUMMYFUNCTION("""COMPUTED_VALUE"""),"PARECELA 196 ")</f>
        <v xml:space="preserve">PARECELA 196 </v>
      </c>
      <c r="D4219" s="6" t="str">
        <f ca="1">IFERROR(__xludf.DUMMYFUNCTION("""COMPUTED_VALUE"""),"MELIPILLA")</f>
        <v>MELIPILLA</v>
      </c>
    </row>
    <row r="4220" spans="1:4">
      <c r="A4220" s="7">
        <f ca="1">IFERROR(__xludf.DUMMYFUNCTION("""COMPUTED_VALUE"""),44385)</f>
        <v>44385</v>
      </c>
      <c r="B4220" s="8" t="str">
        <f ca="1">IFERROR(__xludf.DUMMYFUNCTION("""COMPUTED_VALUE"""),"-33.669655,-77240166")</f>
        <v>-33.669655,-77240166</v>
      </c>
      <c r="C4220" s="6" t="str">
        <f ca="1">IFERROR(__xludf.DUMMYFUNCTION("""COMPUTED_VALUE"""),"LOS JASMINES ")</f>
        <v xml:space="preserve">LOS JASMINES </v>
      </c>
      <c r="D4220" s="6" t="str">
        <f ca="1">IFERROR(__xludf.DUMMYFUNCTION("""COMPUTED_VALUE"""),"MELIPILLA")</f>
        <v>MELIPILLA</v>
      </c>
    </row>
    <row r="4221" spans="1:4">
      <c r="A4221" s="7">
        <f ca="1">IFERROR(__xludf.DUMMYFUNCTION("""COMPUTED_VALUE"""),44385)</f>
        <v>44385</v>
      </c>
      <c r="B4221" s="6" t="str">
        <f ca="1">IFERROR(__xludf.DUMMYFUNCTION("""COMPUTED_VALUE"""),"-33.038633-71.401223")</f>
        <v>-33.038633-71.401223</v>
      </c>
      <c r="C4221" s="6" t="str">
        <f ca="1">IFERROR(__xludf.DUMMYFUNCTION("""COMPUTED_VALUE"""),"UNION 667")</f>
        <v>UNION 667</v>
      </c>
      <c r="D4221" s="6" t="str">
        <f ca="1">IFERROR(__xludf.DUMMYFUNCTION("""COMPUTED_VALUE"""),"QUILPUÉ")</f>
        <v>QUILPUÉ</v>
      </c>
    </row>
    <row r="4222" spans="1:4">
      <c r="A4222" s="7">
        <f ca="1">IFERROR(__xludf.DUMMYFUNCTION("""COMPUTED_VALUE"""),44385)</f>
        <v>44385</v>
      </c>
      <c r="B4222" s="6" t="str">
        <f ca="1">IFERROR(__xludf.DUMMYFUNCTION("""COMPUTED_VALUE"""),"-33.071748-71.436159")</f>
        <v>-33.071748-71.436159</v>
      </c>
      <c r="C4222" s="6" t="str">
        <f ca="1">IFERROR(__xludf.DUMMYFUNCTION("""COMPUTED_VALUE"""),"GLACIAR QUEULAT 3051")</f>
        <v>GLACIAR QUEULAT 3051</v>
      </c>
      <c r="D4222" s="6" t="str">
        <f ca="1">IFERROR(__xludf.DUMMYFUNCTION("""COMPUTED_VALUE"""),"QUILPUÉ")</f>
        <v>QUILPUÉ</v>
      </c>
    </row>
    <row r="4223" spans="1:4">
      <c r="A4223" s="7">
        <f ca="1">IFERROR(__xludf.DUMMYFUNCTION("""COMPUTED_VALUE"""),44385)</f>
        <v>44385</v>
      </c>
      <c r="B4223" s="6" t="str">
        <f ca="1">IFERROR(__xludf.DUMMYFUNCTION("""COMPUTED_VALUE"""),"-33.045948-71.414538")</f>
        <v>-33.045948-71.414538</v>
      </c>
      <c r="C4223" s="6" t="str">
        <f ca="1">IFERROR(__xludf.DUMMYFUNCTION("""COMPUTED_VALUE"""),"ISABEL DE CASTILLA 80")</f>
        <v>ISABEL DE CASTILLA 80</v>
      </c>
      <c r="D4223" s="6" t="str">
        <f ca="1">IFERROR(__xludf.DUMMYFUNCTION("""COMPUTED_VALUE"""),"QUILPUÉ")</f>
        <v>QUILPUÉ</v>
      </c>
    </row>
    <row r="4224" spans="1:4">
      <c r="A4224" s="7">
        <f ca="1">IFERROR(__xludf.DUMMYFUNCTION("""COMPUTED_VALUE"""),44385)</f>
        <v>44385</v>
      </c>
      <c r="B4224" s="6" t="str">
        <f ca="1">IFERROR(__xludf.DUMMYFUNCTION("""COMPUTED_VALUE"""),"-33.061423-71.450715")</f>
        <v>-33.061423-71.450715</v>
      </c>
      <c r="C4224" s="6" t="str">
        <f ca="1">IFERROR(__xludf.DUMMYFUNCTION("""COMPUTED_VALUE"""),"ALESANDRI 165")</f>
        <v>ALESANDRI 165</v>
      </c>
      <c r="D4224" s="6" t="str">
        <f ca="1">IFERROR(__xludf.DUMMYFUNCTION("""COMPUTED_VALUE"""),"QUILPUÉ")</f>
        <v>QUILPUÉ</v>
      </c>
    </row>
    <row r="4225" spans="1:4">
      <c r="A4225" s="7">
        <f ca="1">IFERROR(__xludf.DUMMYFUNCTION("""COMPUTED_VALUE"""),44385)</f>
        <v>44385</v>
      </c>
      <c r="B4225" s="6" t="str">
        <f ca="1">IFERROR(__xludf.DUMMYFUNCTION("""COMPUTED_VALUE"""),"-33.061423-71.450715")</f>
        <v>-33.061423-71.450715</v>
      </c>
      <c r="C4225" s="6" t="str">
        <f ca="1">IFERROR(__xludf.DUMMYFUNCTION("""COMPUTED_VALUE"""),"ALESANDRI 165")</f>
        <v>ALESANDRI 165</v>
      </c>
      <c r="D4225" s="6" t="str">
        <f ca="1">IFERROR(__xludf.DUMMYFUNCTION("""COMPUTED_VALUE"""),"QUILPUÉ")</f>
        <v>QUILPUÉ</v>
      </c>
    </row>
    <row r="4226" spans="1:4">
      <c r="A4226" s="7">
        <f ca="1">IFERROR(__xludf.DUMMYFUNCTION("""COMPUTED_VALUE"""),44386)</f>
        <v>44386</v>
      </c>
      <c r="B4226" s="8" t="str">
        <f ca="1">IFERROR(__xludf.DUMMYFUNCTION("""COMPUTED_VALUE"""),"-33.676504, -71.2138178")</f>
        <v>-33.676504, -71.2138178</v>
      </c>
      <c r="C4226" s="6" t="str">
        <f ca="1">IFERROR(__xludf.DUMMYFUNCTION("""COMPUTED_VALUE"""),"JUAN BAUTISTA 203")</f>
        <v>JUAN BAUTISTA 203</v>
      </c>
      <c r="D4226" s="6" t="str">
        <f ca="1">IFERROR(__xludf.DUMMYFUNCTION("""COMPUTED_VALUE"""),"MELIPILLA")</f>
        <v>MELIPILLA</v>
      </c>
    </row>
    <row r="4227" spans="1:4">
      <c r="A4227" s="7">
        <f ca="1">IFERROR(__xludf.DUMMYFUNCTION("""COMPUTED_VALUE"""),44386)</f>
        <v>44386</v>
      </c>
      <c r="B4227" s="8" t="str">
        <f ca="1">IFERROR(__xludf.DUMMYFUNCTION("""COMPUTED_VALUE"""),"-33731676,-706684779")</f>
        <v>-33731676,-706684779</v>
      </c>
      <c r="C4227" s="6" t="str">
        <f ca="1">IFERROR(__xludf.DUMMYFUNCTION("""COMPUTED_VALUE"""),"MIRAFLORES 31")</f>
        <v>MIRAFLORES 31</v>
      </c>
      <c r="D4227" s="6" t="str">
        <f ca="1">IFERROR(__xludf.DUMMYFUNCTION("""COMPUTED_VALUE"""),"BUIN")</f>
        <v>BUIN</v>
      </c>
    </row>
    <row r="4228" spans="1:4">
      <c r="A4228" s="7">
        <f ca="1">IFERROR(__xludf.DUMMYFUNCTION("""COMPUTED_VALUE"""),44386)</f>
        <v>44386</v>
      </c>
      <c r="B4228" s="6" t="str">
        <f ca="1">IFERROR(__xludf.DUMMYFUNCTION("""COMPUTED_VALUE"""),"-33.586054-70.796210")</f>
        <v>-33.586054-70.796210</v>
      </c>
      <c r="C4228" s="6" t="str">
        <f ca="1">IFERROR(__xludf.DUMMYFUNCTION("""COMPUTED_VALUE"""),"SAN IGNACIO 52")</f>
        <v>SAN IGNACIO 52</v>
      </c>
      <c r="D4228" s="6" t="str">
        <f ca="1">IFERROR(__xludf.DUMMYFUNCTION("""COMPUTED_VALUE"""),"PADRE HURTADO")</f>
        <v>PADRE HURTADO</v>
      </c>
    </row>
    <row r="4229" spans="1:4">
      <c r="A4229" s="7">
        <f ca="1">IFERROR(__xludf.DUMMYFUNCTION("""COMPUTED_VALUE"""),44386)</f>
        <v>44386</v>
      </c>
      <c r="B4229" s="6" t="str">
        <f ca="1">IFERROR(__xludf.DUMMYFUNCTION("""COMPUTED_VALUE"""),"-33.596614-70.777668")</f>
        <v>-33.596614-70.777668</v>
      </c>
      <c r="C4229" s="6" t="str">
        <f ca="1">IFERROR(__xludf.DUMMYFUNCTION("""COMPUTED_VALUE"""),"SAN IGNACIO 53")</f>
        <v>SAN IGNACIO 53</v>
      </c>
      <c r="D4229" s="6" t="str">
        <f ca="1">IFERROR(__xludf.DUMMYFUNCTION("""COMPUTED_VALUE"""),"PADRE HURTADO")</f>
        <v>PADRE HURTADO</v>
      </c>
    </row>
    <row r="4230" spans="1:4">
      <c r="A4230" s="7">
        <f ca="1">IFERROR(__xludf.DUMMYFUNCTION("""COMPUTED_VALUE"""),44386)</f>
        <v>44386</v>
      </c>
      <c r="B4230" s="6" t="str">
        <f ca="1">IFERROR(__xludf.DUMMYFUNCTION("""COMPUTED_VALUE"""),"-33.44624-71.02957")</f>
        <v>-33.44624-71.02957</v>
      </c>
      <c r="C4230" s="6" t="str">
        <f ca="1">IFERROR(__xludf.DUMMYFUNCTION("""COMPUTED_VALUE"""),"UNION CHILENA 6 SITIO 13")</f>
        <v>UNION CHILENA 6 SITIO 13</v>
      </c>
      <c r="D4230" s="6" t="str">
        <f ca="1">IFERROR(__xludf.DUMMYFUNCTION("""COMPUTED_VALUE"""),"CURACAVI")</f>
        <v>CURACAVI</v>
      </c>
    </row>
    <row r="4231" spans="1:4">
      <c r="A4231" s="7">
        <f ca="1">IFERROR(__xludf.DUMMYFUNCTION("""COMPUTED_VALUE"""),44386)</f>
        <v>44386</v>
      </c>
      <c r="B4231" s="6" t="str">
        <f ca="1">IFERROR(__xludf.DUMMYFUNCTION("""COMPUTED_VALUE"""),"-33.44624-71.02922")</f>
        <v>-33.44624-71.02922</v>
      </c>
      <c r="C4231" s="6" t="str">
        <f ca="1">IFERROR(__xludf.DUMMYFUNCTION("""COMPUTED_VALUE"""),"UNION CHILENA SIN LOTE 1 S 13")</f>
        <v>UNION CHILENA SIN LOTE 1 S 13</v>
      </c>
      <c r="D4231" s="6" t="str">
        <f ca="1">IFERROR(__xludf.DUMMYFUNCTION("""COMPUTED_VALUE"""),"CURACAVI")</f>
        <v>CURACAVI</v>
      </c>
    </row>
    <row r="4232" spans="1:4">
      <c r="A4232" s="7">
        <f ca="1">IFERROR(__xludf.DUMMYFUNCTION("""COMPUTED_VALUE"""),44386)</f>
        <v>44386</v>
      </c>
      <c r="B4232" s="6" t="str">
        <f ca="1">IFERROR(__xludf.DUMMYFUNCTION("""COMPUTED_VALUE"""),"-33.664502,-71.290822")</f>
        <v>-33.664502,-71.290822</v>
      </c>
      <c r="C4232" s="6" t="str">
        <f ca="1">IFERROR(__xludf.DUMMYFUNCTION("""COMPUTED_VALUE"""),"SECTOR LUMBRERAS DE PUANGUE S/N- CV 22")</f>
        <v>SECTOR LUMBRERAS DE PUANGUE S/N- CV 22</v>
      </c>
      <c r="D4232" s="6" t="str">
        <f ca="1">IFERROR(__xludf.DUMMYFUNCTION("""COMPUTED_VALUE"""),"MELIPILLA")</f>
        <v>MELIPILLA</v>
      </c>
    </row>
    <row r="4233" spans="1:4">
      <c r="A4233" s="7">
        <f ca="1">IFERROR(__xludf.DUMMYFUNCTION("""COMPUTED_VALUE"""),44386)</f>
        <v>44386</v>
      </c>
      <c r="B4233" s="6" t="str">
        <f ca="1">IFERROR(__xludf.DUMMYFUNCTION("""COMPUTED_VALUE"""),"-33.746001,-71.190959")</f>
        <v>-33.746001,-71.190959</v>
      </c>
      <c r="C4233" s="6" t="str">
        <f ca="1">IFERROR(__xludf.DUMMYFUNCTION("""COMPUTED_VALUE"""),"BULNES S/N ESQUINA SAN PEDRO LT 1")</f>
        <v>BULNES S/N ESQUINA SAN PEDRO LT 1</v>
      </c>
      <c r="D4233" s="6" t="str">
        <f ca="1">IFERROR(__xludf.DUMMYFUNCTION("""COMPUTED_VALUE"""),"MELIPILLA")</f>
        <v>MELIPILLA</v>
      </c>
    </row>
    <row r="4234" spans="1:4">
      <c r="A4234" s="7">
        <f ca="1">IFERROR(__xludf.DUMMYFUNCTION("""COMPUTED_VALUE"""),44386)</f>
        <v>44386</v>
      </c>
      <c r="B4234" s="6" t="str">
        <f ca="1">IFERROR(__xludf.DUMMYFUNCTION("""COMPUTED_VALUE"""),"-33.574469,-71.012024")</f>
        <v>-33.574469,-71.012024</v>
      </c>
      <c r="C4234" s="6" t="str">
        <f ca="1">IFERROR(__xludf.DUMMYFUNCTION("""COMPUTED_VALUE"""),"SECTOR C LA CANCHA S/N")</f>
        <v>SECTOR C LA CANCHA S/N</v>
      </c>
      <c r="D4234" s="6" t="str">
        <f ca="1">IFERROR(__xludf.DUMMYFUNCTION("""COMPUTED_VALUE"""),"MELIPILLA")</f>
        <v>MELIPILLA</v>
      </c>
    </row>
    <row r="4235" spans="1:4">
      <c r="A4235" s="7">
        <f ca="1">IFERROR(__xludf.DUMMYFUNCTION("""COMPUTED_VALUE"""),44386)</f>
        <v>44386</v>
      </c>
      <c r="B4235" s="6" t="str">
        <f ca="1">IFERROR(__xludf.DUMMYFUNCTION("""COMPUTED_VALUE"""),"-33.680693,-70.998443")</f>
        <v>-33.680693,-70.998443</v>
      </c>
      <c r="C4235" s="6" t="str">
        <f ca="1">IFERROR(__xludf.DUMMYFUNCTION("""COMPUTED_VALUE"""),"PJE 5 PONIENTE 243 ")</f>
        <v xml:space="preserve">PJE 5 PONIENTE 243 </v>
      </c>
      <c r="D4235" s="6" t="str">
        <f ca="1">IFERROR(__xludf.DUMMYFUNCTION("""COMPUTED_VALUE"""),"EL MONTE")</f>
        <v>EL MONTE</v>
      </c>
    </row>
    <row r="4236" spans="1:4">
      <c r="A4236" s="7">
        <f ca="1">IFERROR(__xludf.DUMMYFUNCTION("""COMPUTED_VALUE"""),44386)</f>
        <v>44386</v>
      </c>
      <c r="B4236" s="6" t="str">
        <f ca="1">IFERROR(__xludf.DUMMYFUNCTION("""COMPUTED_VALUE"""),"-33.049764-71.464522")</f>
        <v>-33.049764-71.464522</v>
      </c>
      <c r="C4236" s="6" t="str">
        <f ca="1">IFERROR(__xludf.DUMMYFUNCTION("""COMPUTED_VALUE"""),"FLAMARION 0657")</f>
        <v>FLAMARION 0657</v>
      </c>
      <c r="D4236" s="6" t="str">
        <f ca="1">IFERROR(__xludf.DUMMYFUNCTION("""COMPUTED_VALUE"""),"QUILPUÉ")</f>
        <v>QUILPUÉ</v>
      </c>
    </row>
    <row r="4237" spans="1:4">
      <c r="A4237" s="7">
        <f ca="1">IFERROR(__xludf.DUMMYFUNCTION("""COMPUTED_VALUE"""),44386)</f>
        <v>44386</v>
      </c>
      <c r="B4237" s="6" t="str">
        <f ca="1">IFERROR(__xludf.DUMMYFUNCTION("""COMPUTED_VALUE"""),"-33.028572-71.433480")</f>
        <v>-33.028572-71.433480</v>
      </c>
      <c r="C4237" s="6" t="str">
        <f ca="1">IFERROR(__xludf.DUMMYFUNCTION("""COMPUTED_VALUE"""),"SAN MARCOS FRENTE 2368")</f>
        <v>SAN MARCOS FRENTE 2368</v>
      </c>
      <c r="D4237" s="6" t="str">
        <f ca="1">IFERROR(__xludf.DUMMYFUNCTION("""COMPUTED_VALUE"""),"QUILPUÉ")</f>
        <v>QUILPUÉ</v>
      </c>
    </row>
    <row r="4238" spans="1:4">
      <c r="A4238" s="7">
        <f ca="1">IFERROR(__xludf.DUMMYFUNCTION("""COMPUTED_VALUE"""),44386)</f>
        <v>44386</v>
      </c>
      <c r="B4238" s="6" t="str">
        <f ca="1">IFERROR(__xludf.DUMMYFUNCTION("""COMPUTED_VALUE"""),"-33.042996-71.471907")</f>
        <v>-33.042996-71.471907</v>
      </c>
      <c r="C4238" s="6" t="str">
        <f ca="1">IFERROR(__xludf.DUMMYFUNCTION("""COMPUTED_VALUE"""),"SOLIDARIDAD 156 L/5")</f>
        <v>SOLIDARIDAD 156 L/5</v>
      </c>
      <c r="D4238" s="6" t="str">
        <f ca="1">IFERROR(__xludf.DUMMYFUNCTION("""COMPUTED_VALUE"""),"QUILPUÉ")</f>
        <v>QUILPUÉ</v>
      </c>
    </row>
    <row r="4239" spans="1:4">
      <c r="A4239" s="7">
        <f ca="1">IFERROR(__xludf.DUMMYFUNCTION("""COMPUTED_VALUE"""),44386)</f>
        <v>44386</v>
      </c>
      <c r="B4239" s="6" t="str">
        <f ca="1">IFERROR(__xludf.DUMMYFUNCTION("""COMPUTED_VALUE"""),"-33.059355-71.438963")</f>
        <v>-33.059355-71.438963</v>
      </c>
      <c r="C4239" s="6" t="str">
        <f ca="1">IFERROR(__xludf.DUMMYFUNCTION("""COMPUTED_VALUE"""),"LA GREDA 1877")</f>
        <v>LA GREDA 1877</v>
      </c>
      <c r="D4239" s="6" t="str">
        <f ca="1">IFERROR(__xludf.DUMMYFUNCTION("""COMPUTED_VALUE"""),"QUILPUÉ")</f>
        <v>QUILPUÉ</v>
      </c>
    </row>
    <row r="4240" spans="1:4">
      <c r="A4240" s="7">
        <f ca="1">IFERROR(__xludf.DUMMYFUNCTION("""COMPUTED_VALUE"""),44387)</f>
        <v>44387</v>
      </c>
      <c r="B4240" s="8" t="str">
        <f ca="1">IFERROR(__xludf.DUMMYFUNCTION("""COMPUTED_VALUE"""),"-33.6780981, -70.9889707")</f>
        <v>-33.6780981, -70.9889707</v>
      </c>
      <c r="C4240" s="6" t="str">
        <f ca="1">IFERROR(__xludf.DUMMYFUNCTION("""COMPUTED_VALUE"""),"LOS CARRERA 616")</f>
        <v>LOS CARRERA 616</v>
      </c>
      <c r="D4240" s="6" t="str">
        <f ca="1">IFERROR(__xludf.DUMMYFUNCTION("""COMPUTED_VALUE"""),"EL MONTE")</f>
        <v>EL MONTE</v>
      </c>
    </row>
    <row r="4241" spans="1:4">
      <c r="A4241" s="7">
        <f ca="1">IFERROR(__xludf.DUMMYFUNCTION("""COMPUTED_VALUE"""),44387)</f>
        <v>44387</v>
      </c>
      <c r="B4241" s="6" t="str">
        <f ca="1">IFERROR(__xludf.DUMMYFUNCTION("""COMPUTED_VALUE"""),"-33.180684-70.660959")</f>
        <v>-33.180684-70.660959</v>
      </c>
      <c r="C4241" s="6" t="str">
        <f ca="1">IFERROR(__xludf.DUMMYFUNCTION("""COMPUTED_VALUE"""),"LOS LITRES 1378")</f>
        <v>LOS LITRES 1378</v>
      </c>
      <c r="D4241" s="6" t="str">
        <f ca="1">IFERROR(__xludf.DUMMYFUNCTION("""COMPUTED_VALUE"""),"COLINA")</f>
        <v>COLINA</v>
      </c>
    </row>
    <row r="4242" spans="1:4">
      <c r="A4242" s="7">
        <f ca="1">IFERROR(__xludf.DUMMYFUNCTION("""COMPUTED_VALUE"""),44387)</f>
        <v>44387</v>
      </c>
      <c r="B4242" s="6" t="str">
        <f ca="1">IFERROR(__xludf.DUMMYFUNCTION("""COMPUTED_VALUE"""),"-33.731802,-70.768182")</f>
        <v>-33.731802,-70.768182</v>
      </c>
      <c r="C4242" s="6" t="str">
        <f ca="1">IFERROR(__xludf.DUMMYFUNCTION("""COMPUTED_VALUE"""),"CAMINO BUIN MAIPO 2645 P/4A")</f>
        <v>CAMINO BUIN MAIPO 2645 P/4A</v>
      </c>
      <c r="D4242" s="6" t="str">
        <f ca="1">IFERROR(__xludf.DUMMYFUNCTION("""COMPUTED_VALUE"""),"BUIN")</f>
        <v>BUIN</v>
      </c>
    </row>
    <row r="4243" spans="1:4">
      <c r="A4243" s="7">
        <f ca="1">IFERROR(__xludf.DUMMYFUNCTION("""COMPUTED_VALUE"""),44388)</f>
        <v>44388</v>
      </c>
      <c r="B4243" s="6" t="str">
        <f ca="1">IFERROR(__xludf.DUMMYFUNCTION("""COMPUTED_VALUE"""),"-33.404607-71.114814")</f>
        <v>-33.404607-71.114814</v>
      </c>
      <c r="C4243" s="6" t="str">
        <f ca="1">IFERROR(__xludf.DUMMYFUNCTION("""COMPUTED_VALUE"""),"GERMAN RIESCO 1096")</f>
        <v>GERMAN RIESCO 1096</v>
      </c>
      <c r="D4243" s="6" t="str">
        <f ca="1">IFERROR(__xludf.DUMMYFUNCTION("""COMPUTED_VALUE"""),"CURACAVI")</f>
        <v>CURACAVI</v>
      </c>
    </row>
    <row r="4244" spans="1:4">
      <c r="A4244" s="7">
        <f ca="1">IFERROR(__xludf.DUMMYFUNCTION("""COMPUTED_VALUE"""),44389)</f>
        <v>44389</v>
      </c>
      <c r="B4244" s="8" t="str">
        <f ca="1">IFERROR(__xludf.DUMMYFUNCTION("""COMPUTED_VALUE"""),"-33.6042095, -70.9000209")</f>
        <v>-33.6042095, -70.9000209</v>
      </c>
      <c r="C4244" s="6" t="str">
        <f ca="1">IFERROR(__xludf.DUMMYFUNCTION("""COMPUTED_VALUE"""),"DAMIAN NAVARRO 192 INTERIOR")</f>
        <v>DAMIAN NAVARRO 192 INTERIOR</v>
      </c>
      <c r="D4244" s="6" t="str">
        <f ca="1">IFERROR(__xludf.DUMMYFUNCTION("""COMPUTED_VALUE"""),"PEÑAFLOR")</f>
        <v>PEÑAFLOR</v>
      </c>
    </row>
    <row r="4245" spans="1:4">
      <c r="A4245" s="7">
        <f ca="1">IFERROR(__xludf.DUMMYFUNCTION("""COMPUTED_VALUE"""),44389)</f>
        <v>44389</v>
      </c>
      <c r="B4245" s="8" t="str">
        <f ca="1">IFERROR(__xludf.DUMMYFUNCTION("""COMPUTED_VALUE"""),"-33.6766597,-71.0131517")</f>
        <v>-33.6766597,-71.0131517</v>
      </c>
      <c r="C4245" s="6" t="str">
        <f ca="1">IFERROR(__xludf.DUMMYFUNCTION("""COMPUTED_VALUE"""),"SANTA JUANA P/26")</f>
        <v>SANTA JUANA P/26</v>
      </c>
      <c r="D4245" s="6" t="str">
        <f ca="1">IFERROR(__xludf.DUMMYFUNCTION("""COMPUTED_VALUE"""),"EL MONTE")</f>
        <v>EL MONTE</v>
      </c>
    </row>
    <row r="4246" spans="1:4">
      <c r="A4246" s="7">
        <f ca="1">IFERROR(__xludf.DUMMYFUNCTION("""COMPUTED_VALUE"""),44389)</f>
        <v>44389</v>
      </c>
      <c r="B4246" s="8" t="str">
        <f ca="1">IFERROR(__xludf.DUMMYFUNCTION("""COMPUTED_VALUE"""),"-33.5711767, -71.214545")</f>
        <v>-33.5711767, -71.214545</v>
      </c>
      <c r="C4246" s="6" t="str">
        <f ca="1">IFERROR(__xludf.DUMMYFUNCTION("""COMPUTED_VALUE"""),"NUEVO BOLLENAR S/N SITIO 28")</f>
        <v>NUEVO BOLLENAR S/N SITIO 28</v>
      </c>
      <c r="D4246" s="6" t="str">
        <f ca="1">IFERROR(__xludf.DUMMYFUNCTION("""COMPUTED_VALUE"""),"MELIPILLA")</f>
        <v>MELIPILLA</v>
      </c>
    </row>
    <row r="4247" spans="1:4">
      <c r="A4247" s="7">
        <f ca="1">IFERROR(__xludf.DUMMYFUNCTION("""COMPUTED_VALUE"""),44389)</f>
        <v>44389</v>
      </c>
      <c r="B4247" s="6" t="str">
        <f ca="1">IFERROR(__xludf.DUMMYFUNCTION("""COMPUTED_VALUE"""),"-33.3943997-71.11201446")</f>
        <v>-33.3943997-71.11201446</v>
      </c>
      <c r="C4247" s="6" t="str">
        <f ca="1">IFERROR(__xludf.DUMMYFUNCTION("""COMPUTED_VALUE"""),"HONORI VALDEBENITO 2061")</f>
        <v>HONORI VALDEBENITO 2061</v>
      </c>
      <c r="D4247" s="6" t="str">
        <f ca="1">IFERROR(__xludf.DUMMYFUNCTION("""COMPUTED_VALUE"""),"CURACAVI")</f>
        <v>CURACAVI</v>
      </c>
    </row>
    <row r="4248" spans="1:4">
      <c r="A4248" s="7">
        <f ca="1">IFERROR(__xludf.DUMMYFUNCTION("""COMPUTED_VALUE"""),44389)</f>
        <v>44389</v>
      </c>
      <c r="B4248" s="6" t="str">
        <f ca="1">IFERROR(__xludf.DUMMYFUNCTION("""COMPUTED_VALUE"""),"-33.785048-70.788907")</f>
        <v>-33.785048-70.788907</v>
      </c>
      <c r="C4248" s="6" t="str">
        <f ca="1">IFERROR(__xludf.DUMMYFUNCTION("""COMPUTED_VALUE"""),"VILUCO SITIO 21")</f>
        <v>VILUCO SITIO 21</v>
      </c>
      <c r="D4248" s="6" t="str">
        <f ca="1">IFERROR(__xludf.DUMMYFUNCTION("""COMPUTED_VALUE"""),"BUIN")</f>
        <v>BUIN</v>
      </c>
    </row>
    <row r="4249" spans="1:4">
      <c r="A4249" s="7">
        <f ca="1">IFERROR(__xludf.DUMMYFUNCTION("""COMPUTED_VALUE"""),44389)</f>
        <v>44389</v>
      </c>
      <c r="B4249" s="6" t="str">
        <f ca="1">IFERROR(__xludf.DUMMYFUNCTION("""COMPUTED_VALUE"""),"-33.790620-70.781731")</f>
        <v>-33.790620-70.781731</v>
      </c>
      <c r="C4249" s="6" t="str">
        <f ca="1">IFERROR(__xludf.DUMMYFUNCTION("""COMPUTED_VALUE"""),"SANTA JULIA DE VILUCO SITIO 13")</f>
        <v>SANTA JULIA DE VILUCO SITIO 13</v>
      </c>
      <c r="D4249" s="6" t="str">
        <f ca="1">IFERROR(__xludf.DUMMYFUNCTION("""COMPUTED_VALUE"""),"BUIN")</f>
        <v>BUIN</v>
      </c>
    </row>
    <row r="4250" spans="1:4">
      <c r="A4250" s="7">
        <f ca="1">IFERROR(__xludf.DUMMYFUNCTION("""COMPUTED_VALUE"""),44389)</f>
        <v>44389</v>
      </c>
      <c r="B4250" s="6" t="str">
        <f ca="1">IFERROR(__xludf.DUMMYFUNCTION("""COMPUTED_VALUE"""),"-33.790572,-71.273108")</f>
        <v>-33.790572,-71.273108</v>
      </c>
      <c r="C4250" s="6" t="str">
        <f ca="1">IFERROR(__xludf.DUMMYFUNCTION("""COMPUTED_VALUE""")," LOMAS CULIPRAN S/N ")</f>
        <v xml:space="preserve"> LOMAS CULIPRAN S/N </v>
      </c>
      <c r="D4250" s="6" t="str">
        <f ca="1">IFERROR(__xludf.DUMMYFUNCTION("""COMPUTED_VALUE"""),"MELIPILLA")</f>
        <v>MELIPILLA</v>
      </c>
    </row>
    <row r="4251" spans="1:4">
      <c r="A4251" s="7">
        <f ca="1">IFERROR(__xludf.DUMMYFUNCTION("""COMPUTED_VALUE"""),44389)</f>
        <v>44389</v>
      </c>
      <c r="B4251" s="6" t="str">
        <f ca="1">IFERROR(__xludf.DUMMYFUNCTION("""COMPUTED_VALUE"""),"-33.677018,-70.989812")</f>
        <v>-33.677018,-70.989812</v>
      </c>
      <c r="C4251" s="6" t="str">
        <f ca="1">IFERROR(__xludf.DUMMYFUNCTION("""COMPUTED_VALUE"""),"PASAJE REAL AUDIENCIA 595 ")</f>
        <v xml:space="preserve">PASAJE REAL AUDIENCIA 595 </v>
      </c>
      <c r="D4251" s="6" t="str">
        <f ca="1">IFERROR(__xludf.DUMMYFUNCTION("""COMPUTED_VALUE"""),"EL MONTE")</f>
        <v>EL MONTE</v>
      </c>
    </row>
    <row r="4252" spans="1:4">
      <c r="A4252" s="7">
        <f ca="1">IFERROR(__xludf.DUMMYFUNCTION("""COMPUTED_VALUE"""),44389)</f>
        <v>44389</v>
      </c>
      <c r="B4252" s="8" t="str">
        <f ca="1">IFERROR(__xludf.DUMMYFUNCTION("""COMPUTED_VALUE"""),"-33.145592,-70.801384")</f>
        <v>-33.145592,-70.801384</v>
      </c>
      <c r="C4252" s="6" t="str">
        <f ca="1">IFERROR(__xludf.DUMMYFUNCTION("""COMPUTED_VALUE"""),"PANAMERICANA NORTE 391-B")</f>
        <v>PANAMERICANA NORTE 391-B</v>
      </c>
      <c r="D4252" s="6" t="str">
        <f ca="1">IFERROR(__xludf.DUMMYFUNCTION("""COMPUTED_VALUE"""),"TIL TIL")</f>
        <v>TIL TIL</v>
      </c>
    </row>
    <row r="4253" spans="1:4">
      <c r="A4253" s="7">
        <f ca="1">IFERROR(__xludf.DUMMYFUNCTION("""COMPUTED_VALUE"""),44389)</f>
        <v>44389</v>
      </c>
      <c r="B4253" s="8" t="str">
        <f ca="1">IFERROR(__xludf.DUMMYFUNCTION("""COMPUTED_VALUE"""),"-33.163342,-70.789001")</f>
        <v>-33.163342,-70.789001</v>
      </c>
      <c r="C4253" s="6" t="str">
        <f ca="1">IFERROR(__xludf.DUMMYFUNCTION("""COMPUTED_VALUE"""),"LOS FRUTOS 415")</f>
        <v>LOS FRUTOS 415</v>
      </c>
      <c r="D4253" s="6" t="str">
        <f ca="1">IFERROR(__xludf.DUMMYFUNCTION("""COMPUTED_VALUE"""),"TIL TIL")</f>
        <v>TIL TIL</v>
      </c>
    </row>
    <row r="4254" spans="1:4">
      <c r="A4254" s="7">
        <f ca="1">IFERROR(__xludf.DUMMYFUNCTION("""COMPUTED_VALUE"""),44389)</f>
        <v>44389</v>
      </c>
      <c r="B4254" s="6" t="str">
        <f ca="1">IFERROR(__xludf.DUMMYFUNCTION("""COMPUTED_VALUE"""),"-33.072636-71.434478")</f>
        <v>-33.072636-71.434478</v>
      </c>
      <c r="C4254" s="6" t="str">
        <f ca="1">IFERROR(__xludf.DUMMYFUNCTION("""COMPUTED_VALUE"""),"GLACIAR RISOPATRON 2095")</f>
        <v>GLACIAR RISOPATRON 2095</v>
      </c>
      <c r="D4254" s="6" t="str">
        <f ca="1">IFERROR(__xludf.DUMMYFUNCTION("""COMPUTED_VALUE"""),"QUILPUÉ")</f>
        <v>QUILPUÉ</v>
      </c>
    </row>
    <row r="4255" spans="1:4">
      <c r="A4255" s="7">
        <f ca="1">IFERROR(__xludf.DUMMYFUNCTION("""COMPUTED_VALUE"""),44389)</f>
        <v>44389</v>
      </c>
      <c r="B4255" s="6" t="str">
        <f ca="1">IFERROR(__xludf.DUMMYFUNCTION("""COMPUTED_VALUE"""),"-33.049316-71.481269")</f>
        <v>-33.049316-71.481269</v>
      </c>
      <c r="C4255" s="6" t="str">
        <f ca="1">IFERROR(__xludf.DUMMYFUNCTION("""COMPUTED_VALUE"""),"CALAFATE 2136")</f>
        <v>CALAFATE 2136</v>
      </c>
      <c r="D4255" s="6" t="str">
        <f ca="1">IFERROR(__xludf.DUMMYFUNCTION("""COMPUTED_VALUE"""),"QUILPUÉ")</f>
        <v>QUILPUÉ</v>
      </c>
    </row>
    <row r="4256" spans="1:4">
      <c r="A4256" s="7">
        <f ca="1">IFERROR(__xludf.DUMMYFUNCTION("""COMPUTED_VALUE"""),44389)</f>
        <v>44389</v>
      </c>
      <c r="B4256" s="6" t="str">
        <f ca="1">IFERROR(__xludf.DUMMYFUNCTION("""COMPUTED_VALUE"""),"-33.051514-71.451665")</f>
        <v>-33.051514-71.451665</v>
      </c>
      <c r="C4256" s="6" t="str">
        <f ca="1">IFERROR(__xludf.DUMMYFUNCTION("""COMPUTED_VALUE"""),"SANTA ROSA 87")</f>
        <v>SANTA ROSA 87</v>
      </c>
      <c r="D4256" s="6" t="str">
        <f ca="1">IFERROR(__xludf.DUMMYFUNCTION("""COMPUTED_VALUE"""),"QUILPUÉ")</f>
        <v>QUILPUÉ</v>
      </c>
    </row>
    <row r="4257" spans="1:4">
      <c r="A4257" s="7">
        <f ca="1">IFERROR(__xludf.DUMMYFUNCTION("""COMPUTED_VALUE"""),44389)</f>
        <v>44389</v>
      </c>
      <c r="B4257" s="6" t="str">
        <f ca="1">IFERROR(__xludf.DUMMYFUNCTION("""COMPUTED_VALUE"""),"-33.058991-71.428300")</f>
        <v>-33.058991-71.428300</v>
      </c>
      <c r="C4257" s="6" t="str">
        <f ca="1">IFERROR(__xludf.DUMMYFUNCTION("""COMPUTED_VALUE"""),"MARISOL 1865")</f>
        <v>MARISOL 1865</v>
      </c>
      <c r="D4257" s="6" t="str">
        <f ca="1">IFERROR(__xludf.DUMMYFUNCTION("""COMPUTED_VALUE"""),"QUILPUÉ")</f>
        <v>QUILPUÉ</v>
      </c>
    </row>
    <row r="4258" spans="1:4">
      <c r="A4258" s="7">
        <f ca="1">IFERROR(__xludf.DUMMYFUNCTION("""COMPUTED_VALUE"""),44389)</f>
        <v>44389</v>
      </c>
      <c r="B4258" s="6" t="str">
        <f ca="1">IFERROR(__xludf.DUMMYFUNCTION("""COMPUTED_VALUE"""),"-33.060467-71.414572")</f>
        <v>-33.060467-71.414572</v>
      </c>
      <c r="C4258" s="6" t="str">
        <f ca="1">IFERROR(__xludf.DUMMYFUNCTION("""COMPUTED_VALUE"""),"PJE 906 C/966")</f>
        <v>PJE 906 C/966</v>
      </c>
      <c r="D4258" s="6" t="str">
        <f ca="1">IFERROR(__xludf.DUMMYFUNCTION("""COMPUTED_VALUE"""),"QUILPUÉ")</f>
        <v>QUILPUÉ</v>
      </c>
    </row>
    <row r="4259" spans="1:4">
      <c r="A4259" s="7">
        <f ca="1">IFERROR(__xludf.DUMMYFUNCTION("""COMPUTED_VALUE"""),44390)</f>
        <v>44390</v>
      </c>
      <c r="B4259" s="8" t="str">
        <f ca="1">IFERROR(__xludf.DUMMYFUNCTION("""COMPUTED_VALUE"""),"-33.6498668, -70.9288586")</f>
        <v>-33.6498668, -70.9288586</v>
      </c>
      <c r="C4259" s="6" t="str">
        <f ca="1">IFERROR(__xludf.DUMMYFUNCTION("""COMPUTED_VALUE"""),"LA CONCEPCION 363")</f>
        <v>LA CONCEPCION 363</v>
      </c>
      <c r="D4259" s="6" t="str">
        <f ca="1">IFERROR(__xludf.DUMMYFUNCTION("""COMPUTED_VALUE"""),"TALAGANTE")</f>
        <v>TALAGANTE</v>
      </c>
    </row>
    <row r="4260" spans="1:4">
      <c r="A4260" s="7">
        <f ca="1">IFERROR(__xludf.DUMMYFUNCTION("""COMPUTED_VALUE"""),44390)</f>
        <v>44390</v>
      </c>
      <c r="B4260" s="8" t="str">
        <f ca="1">IFERROR(__xludf.DUMMYFUNCTION("""COMPUTED_VALUE"""),"-33.6786611, -70.9977125")</f>
        <v>-33.6786611, -70.9977125</v>
      </c>
      <c r="C4260" s="6" t="str">
        <f ca="1">IFERROR(__xludf.DUMMYFUNCTION("""COMPUTED_VALUE"""),"LOS CARRERA 786")</f>
        <v>LOS CARRERA 786</v>
      </c>
      <c r="D4260" s="6" t="str">
        <f ca="1">IFERROR(__xludf.DUMMYFUNCTION("""COMPUTED_VALUE"""),"EL MONTE")</f>
        <v>EL MONTE</v>
      </c>
    </row>
    <row r="4261" spans="1:4">
      <c r="A4261" s="7">
        <f ca="1">IFERROR(__xludf.DUMMYFUNCTION("""COMPUTED_VALUE"""),44390)</f>
        <v>44390</v>
      </c>
      <c r="B4261" s="8" t="str">
        <f ca="1">IFERROR(__xludf.DUMMYFUNCTION("""COMPUTED_VALUE"""),"-33.575107, -71.1863101")</f>
        <v>-33.575107, -71.1863101</v>
      </c>
      <c r="C4261" s="6" t="str">
        <f ca="1">IFERROR(__xludf.DUMMYFUNCTION("""COMPUTED_VALUE"""),"JUAN PABLO II 115")</f>
        <v>JUAN PABLO II 115</v>
      </c>
      <c r="D4261" s="6" t="str">
        <f ca="1">IFERROR(__xludf.DUMMYFUNCTION("""COMPUTED_VALUE"""),"MELIPILLA")</f>
        <v>MELIPILLA</v>
      </c>
    </row>
    <row r="4262" spans="1:4">
      <c r="A4262" s="7">
        <f ca="1">IFERROR(__xludf.DUMMYFUNCTION("""COMPUTED_VALUE"""),44390)</f>
        <v>44390</v>
      </c>
      <c r="B4262" s="8" t="str">
        <f ca="1">IFERROR(__xludf.DUMMYFUNCTION("""COMPUTED_VALUE"""),"-33571443,-71213587")</f>
        <v>-33571443,-71213587</v>
      </c>
      <c r="C4262" s="6" t="str">
        <f ca="1">IFERROR(__xludf.DUMMYFUNCTION("""COMPUTED_VALUE"""),"LAS PERDICES LOTE 37")</f>
        <v>LAS PERDICES LOTE 37</v>
      </c>
      <c r="D4262" s="6" t="str">
        <f ca="1">IFERROR(__xludf.DUMMYFUNCTION("""COMPUTED_VALUE"""),"MELIPILLA")</f>
        <v>MELIPILLA</v>
      </c>
    </row>
    <row r="4263" spans="1:4">
      <c r="A4263" s="7">
        <f ca="1">IFERROR(__xludf.DUMMYFUNCTION("""COMPUTED_VALUE"""),44390)</f>
        <v>44390</v>
      </c>
      <c r="B4263" s="8" t="str">
        <f ca="1">IFERROR(__xludf.DUMMYFUNCTION("""COMPUTED_VALUE"""),"-33589323.-71231589")</f>
        <v>-33589323.-71231589</v>
      </c>
      <c r="C4263" s="6" t="str">
        <f ca="1">IFERROR(__xludf.DUMMYFUNCTION("""COMPUTED_VALUE"""),"SANTA FILOMENA 627")</f>
        <v>SANTA FILOMENA 627</v>
      </c>
      <c r="D4263" s="6" t="str">
        <f ca="1">IFERROR(__xludf.DUMMYFUNCTION("""COMPUTED_VALUE"""),"MELIPILLA")</f>
        <v>MELIPILLA</v>
      </c>
    </row>
    <row r="4264" spans="1:4">
      <c r="A4264" s="7">
        <f ca="1">IFERROR(__xludf.DUMMYFUNCTION("""COMPUTED_VALUE"""),44390)</f>
        <v>44390</v>
      </c>
      <c r="B4264" s="6" t="str">
        <f ca="1">IFERROR(__xludf.DUMMYFUNCTION("""COMPUTED_VALUE"""),"-33.394513-71.130283")</f>
        <v>-33.394513-71.130283</v>
      </c>
      <c r="C4264" s="6" t="str">
        <f ca="1">IFERROR(__xludf.DUMMYFUNCTION("""COMPUTED_VALUE"""),"DOS 802")</f>
        <v>DOS 802</v>
      </c>
      <c r="D4264" s="6" t="str">
        <f ca="1">IFERROR(__xludf.DUMMYFUNCTION("""COMPUTED_VALUE"""),"CURACAVI")</f>
        <v>CURACAVI</v>
      </c>
    </row>
    <row r="4265" spans="1:4">
      <c r="A4265" s="7">
        <f ca="1">IFERROR(__xludf.DUMMYFUNCTION("""COMPUTED_VALUE"""),44390)</f>
        <v>44390</v>
      </c>
      <c r="B4265" s="6" t="str">
        <f ca="1">IFERROR(__xludf.DUMMYFUNCTION("""COMPUTED_VALUE"""),"-33.398564-71.129640")</f>
        <v>-33.398564-71.129640</v>
      </c>
      <c r="C4265" s="6" t="str">
        <f ca="1">IFERROR(__xludf.DUMMYFUNCTION("""COMPUTED_VALUE"""),"AV. GERMAN RIESCO 498")</f>
        <v>AV. GERMAN RIESCO 498</v>
      </c>
      <c r="D4265" s="6" t="str">
        <f ca="1">IFERROR(__xludf.DUMMYFUNCTION("""COMPUTED_VALUE"""),"CURACAVI")</f>
        <v>CURACAVI</v>
      </c>
    </row>
    <row r="4266" spans="1:4">
      <c r="A4266" s="7">
        <f ca="1">IFERROR(__xludf.DUMMYFUNCTION("""COMPUTED_VALUE"""),44390)</f>
        <v>44390</v>
      </c>
      <c r="B4266" s="6" t="str">
        <f ca="1">IFERROR(__xludf.DUMMYFUNCTION("""COMPUTED_VALUE"""),"-33.3973935-71.1255486")</f>
        <v>-33.3973935-71.1255486</v>
      </c>
      <c r="C4266" s="6" t="str">
        <f ca="1">IFERROR(__xludf.DUMMYFUNCTION("""COMPUTED_VALUE"""),"LUIS CRUCHAGA 577")</f>
        <v>LUIS CRUCHAGA 577</v>
      </c>
      <c r="D4266" s="6" t="str">
        <f ca="1">IFERROR(__xludf.DUMMYFUNCTION("""COMPUTED_VALUE"""),"CURACAVI")</f>
        <v>CURACAVI</v>
      </c>
    </row>
    <row r="4267" spans="1:4">
      <c r="A4267" s="7">
        <f ca="1">IFERROR(__xludf.DUMMYFUNCTION("""COMPUTED_VALUE"""),44390)</f>
        <v>44390</v>
      </c>
      <c r="B4267" s="6" t="str">
        <f ca="1">IFERROR(__xludf.DUMMYFUNCTION("""COMPUTED_VALUE"""),"-33.50734-71.14855")</f>
        <v>-33.50734-71.14855</v>
      </c>
      <c r="C4267" s="6" t="str">
        <f ca="1">IFERROR(__xludf.DUMMYFUNCTION("""COMPUTED_VALUE"""),"EL ROSARIO 1 SITIO E LT4")</f>
        <v>EL ROSARIO 1 SITIO E LT4</v>
      </c>
      <c r="D4267" s="6" t="str">
        <f ca="1">IFERROR(__xludf.DUMMYFUNCTION("""COMPUTED_VALUE"""),"MARIA PINTO")</f>
        <v>MARIA PINTO</v>
      </c>
    </row>
    <row r="4268" spans="1:4">
      <c r="A4268" s="7">
        <f ca="1">IFERROR(__xludf.DUMMYFUNCTION("""COMPUTED_VALUE"""),44390)</f>
        <v>44390</v>
      </c>
      <c r="B4268" s="6" t="str">
        <f ca="1">IFERROR(__xludf.DUMMYFUNCTION("""COMPUTED_VALUE"""),"-33.213603,-70.775388")</f>
        <v>-33.213603,-70.775388</v>
      </c>
      <c r="C4268" s="6" t="str">
        <f ca="1">IFERROR(__xludf.DUMMYFUNCTION("""COMPUTED_VALUE"""),"STA SARA PARCELA 34")</f>
        <v>STA SARA PARCELA 34</v>
      </c>
      <c r="D4268" s="6" t="str">
        <f ca="1">IFERROR(__xludf.DUMMYFUNCTION("""COMPUTED_VALUE"""),"LAMPA")</f>
        <v>LAMPA</v>
      </c>
    </row>
    <row r="4269" spans="1:4">
      <c r="A4269" s="7">
        <f ca="1">IFERROR(__xludf.DUMMYFUNCTION("""COMPUTED_VALUE"""),44390)</f>
        <v>44390</v>
      </c>
      <c r="B4269" s="6" t="str">
        <f ca="1">IFERROR(__xludf.DUMMYFUNCTION("""COMPUTED_VALUE"""),"-33.776442,-71.136019")</f>
        <v>-33.776442,-71.136019</v>
      </c>
      <c r="C4269" s="6" t="str">
        <f ca="1">IFERROR(__xludf.DUMMYFUNCTION("""COMPUTED_VALUE"""),"SECTOR SANTA ISABEL 5804")</f>
        <v>SECTOR SANTA ISABEL 5804</v>
      </c>
      <c r="D4269" s="6" t="str">
        <f ca="1">IFERROR(__xludf.DUMMYFUNCTION("""COMPUTED_VALUE"""),"MELIPILLA")</f>
        <v>MELIPILLA</v>
      </c>
    </row>
    <row r="4270" spans="1:4">
      <c r="A4270" s="7">
        <f ca="1">IFERROR(__xludf.DUMMYFUNCTION("""COMPUTED_VALUE"""),44390)</f>
        <v>44390</v>
      </c>
      <c r="B4270" s="6" t="str">
        <f ca="1">IFERROR(__xludf.DUMMYFUNCTION("""COMPUTED_VALUE"""),"-33.774748,-71.134153")</f>
        <v>-33.774748,-71.134153</v>
      </c>
      <c r="C4270" s="6" t="str">
        <f ca="1">IFERROR(__xludf.DUMMYFUNCTION("""COMPUTED_VALUE"""),"SECTOR LA ALFALFA B S/N")</f>
        <v>SECTOR LA ALFALFA B S/N</v>
      </c>
      <c r="D4270" s="6" t="str">
        <f ca="1">IFERROR(__xludf.DUMMYFUNCTION("""COMPUTED_VALUE"""),"MELIPILLA")</f>
        <v>MELIPILLA</v>
      </c>
    </row>
    <row r="4271" spans="1:4">
      <c r="A4271" s="7">
        <f ca="1">IFERROR(__xludf.DUMMYFUNCTION("""COMPUTED_VALUE"""),44390)</f>
        <v>44390</v>
      </c>
      <c r="B4271" s="6" t="str">
        <f ca="1">IFERROR(__xludf.DUMMYFUNCTION("""COMPUTED_VALUE"""),"-33.682178,-70.995725")</f>
        <v>-33.682178,-70.995725</v>
      </c>
      <c r="C4271" s="6" t="str">
        <f ca="1">IFERROR(__xludf.DUMMYFUNCTION("""COMPUTED_VALUE"""),"POBLACION HERMANOS CARRERA 8 CASA 8 ")</f>
        <v xml:space="preserve">POBLACION HERMANOS CARRERA 8 CASA 8 </v>
      </c>
      <c r="D4271" s="6" t="str">
        <f ca="1">IFERROR(__xludf.DUMMYFUNCTION("""COMPUTED_VALUE"""),"EL MONTE")</f>
        <v>EL MONTE</v>
      </c>
    </row>
    <row r="4272" spans="1:4">
      <c r="A4272" s="7">
        <f ca="1">IFERROR(__xludf.DUMMYFUNCTION("""COMPUTED_VALUE"""),44390)</f>
        <v>44390</v>
      </c>
      <c r="B4272" s="6" t="str">
        <f ca="1">IFERROR(__xludf.DUMMYFUNCTION("""COMPUTED_VALUE"""),"-33.676436,-70.990580")</f>
        <v>-33.676436,-70.990580</v>
      </c>
      <c r="C4272" s="6" t="str">
        <f ca="1">IFERROR(__xludf.DUMMYFUNCTION("""COMPUTED_VALUE"""),"CARLOS CROVETTO 362 ")</f>
        <v xml:space="preserve">CARLOS CROVETTO 362 </v>
      </c>
      <c r="D4272" s="6" t="str">
        <f ca="1">IFERROR(__xludf.DUMMYFUNCTION("""COMPUTED_VALUE"""),"EL MONTE")</f>
        <v>EL MONTE</v>
      </c>
    </row>
    <row r="4273" spans="1:4">
      <c r="A4273" s="7">
        <f ca="1">IFERROR(__xludf.DUMMYFUNCTION("""COMPUTED_VALUE"""),44390)</f>
        <v>44390</v>
      </c>
      <c r="B4273" s="8" t="str">
        <f ca="1">IFERROR(__xludf.DUMMYFUNCTION("""COMPUTED_VALUE"""),"-33.743233,-70.681160")</f>
        <v>-33.743233,-70.681160</v>
      </c>
      <c r="C4273" s="6" t="str">
        <f ca="1">IFERROR(__xludf.DUMMYFUNCTION("""COMPUTED_VALUE"""),"BIDERMILIA BOZÁN 885")</f>
        <v>BIDERMILIA BOZÁN 885</v>
      </c>
      <c r="D4273" s="6" t="str">
        <f ca="1">IFERROR(__xludf.DUMMYFUNCTION("""COMPUTED_VALUE"""),"BUIN")</f>
        <v>BUIN</v>
      </c>
    </row>
    <row r="4274" spans="1:4">
      <c r="A4274" s="7">
        <f ca="1">IFERROR(__xludf.DUMMYFUNCTION("""COMPUTED_VALUE"""),44390)</f>
        <v>44390</v>
      </c>
      <c r="B4274" s="6" t="str">
        <f ca="1">IFERROR(__xludf.DUMMYFUNCTION("""COMPUTED_VALUE"""),"-33.027720-71.433442")</f>
        <v>-33.027720-71.433442</v>
      </c>
      <c r="C4274" s="6" t="str">
        <f ca="1">IFERROR(__xludf.DUMMYFUNCTION("""COMPUTED_VALUE"""),"TERESA BORQUEZ 2318")</f>
        <v>TERESA BORQUEZ 2318</v>
      </c>
      <c r="D4274" s="6" t="str">
        <f ca="1">IFERROR(__xludf.DUMMYFUNCTION("""COMPUTED_VALUE"""),"QUILPUÉ")</f>
        <v>QUILPUÉ</v>
      </c>
    </row>
    <row r="4275" spans="1:4">
      <c r="A4275" s="7">
        <f ca="1">IFERROR(__xludf.DUMMYFUNCTION("""COMPUTED_VALUE"""),44390)</f>
        <v>44390</v>
      </c>
      <c r="B4275" s="6" t="str">
        <f ca="1">IFERROR(__xludf.DUMMYFUNCTION("""COMPUTED_VALUE"""),"-33.03173-71.25286")</f>
        <v>-33.03173-71.25286</v>
      </c>
      <c r="C4275" s="6" t="str">
        <f ca="1">IFERROR(__xludf.DUMMYFUNCTION("""COMPUTED_VALUE"""),"LAS MAGNOLIAS 1387")</f>
        <v>LAS MAGNOLIAS 1387</v>
      </c>
      <c r="D4275" s="6" t="str">
        <f ca="1">IFERROR(__xludf.DUMMYFUNCTION("""COMPUTED_VALUE"""),"QUILPUÉ")</f>
        <v>QUILPUÉ</v>
      </c>
    </row>
    <row r="4276" spans="1:4">
      <c r="A4276" s="7">
        <f ca="1">IFERROR(__xludf.DUMMYFUNCTION("""COMPUTED_VALUE"""),44390)</f>
        <v>44390</v>
      </c>
      <c r="B4276" s="6" t="str">
        <f ca="1">IFERROR(__xludf.DUMMYFUNCTION("""COMPUTED_VALUE"""),"-33.033896-71.404623")</f>
        <v>-33.033896-71.404623</v>
      </c>
      <c r="C4276" s="6" t="str">
        <f ca="1">IFERROR(__xludf.DUMMYFUNCTION("""COMPUTED_VALUE"""),"PJE SANTA MARTA 1114")</f>
        <v>PJE SANTA MARTA 1114</v>
      </c>
      <c r="D4276" s="6" t="str">
        <f ca="1">IFERROR(__xludf.DUMMYFUNCTION("""COMPUTED_VALUE"""),"QUILPUÉ")</f>
        <v>QUILPUÉ</v>
      </c>
    </row>
    <row r="4277" spans="1:4">
      <c r="A4277" s="7">
        <f ca="1">IFERROR(__xludf.DUMMYFUNCTION("""COMPUTED_VALUE"""),44390)</f>
        <v>44390</v>
      </c>
      <c r="B4277" s="6" t="str">
        <f ca="1">IFERROR(__xludf.DUMMYFUNCTION("""COMPUTED_VALUE"""),"-33.055240-71.418577")</f>
        <v>-33.055240-71.418577</v>
      </c>
      <c r="C4277" s="6" t="str">
        <f ca="1">IFERROR(__xludf.DUMMYFUNCTION("""COMPUTED_VALUE"""),"LUIS LEIGH 1412")</f>
        <v>LUIS LEIGH 1412</v>
      </c>
      <c r="D4277" s="6" t="str">
        <f ca="1">IFERROR(__xludf.DUMMYFUNCTION("""COMPUTED_VALUE"""),"QUILPUÉ")</f>
        <v>QUILPUÉ</v>
      </c>
    </row>
    <row r="4278" spans="1:4">
      <c r="A4278" s="7">
        <f ca="1">IFERROR(__xludf.DUMMYFUNCTION("""COMPUTED_VALUE"""),44390)</f>
        <v>44390</v>
      </c>
      <c r="B4278" s="6" t="str">
        <f ca="1">IFERROR(__xludf.DUMMYFUNCTION("""COMPUTED_VALUE"""),"-33.061118-71.403827")</f>
        <v>-33.061118-71.403827</v>
      </c>
      <c r="C4278" s="6" t="str">
        <f ca="1">IFERROR(__xludf.DUMMYFUNCTION("""COMPUTED_VALUE"""),"HOJAS SECAS 315")</f>
        <v>HOJAS SECAS 315</v>
      </c>
      <c r="D4278" s="6" t="str">
        <f ca="1">IFERROR(__xludf.DUMMYFUNCTION("""COMPUTED_VALUE"""),"QUILPUÉ")</f>
        <v>QUILPUÉ</v>
      </c>
    </row>
    <row r="4279" spans="1:4">
      <c r="A4279" s="7">
        <f ca="1">IFERROR(__xludf.DUMMYFUNCTION("""COMPUTED_VALUE"""),44390)</f>
        <v>44390</v>
      </c>
      <c r="B4279" s="6" t="str">
        <f ca="1">IFERROR(__xludf.DUMMYFUNCTION("""COMPUTED_VALUE"""),"-33.0310-71.4077")</f>
        <v>-33.0310-71.4077</v>
      </c>
      <c r="C4279" s="6" t="str">
        <f ca="1">IFERROR(__xludf.DUMMYFUNCTION("""COMPUTED_VALUE"""),"LINCOYAN 1337")</f>
        <v>LINCOYAN 1337</v>
      </c>
      <c r="D4279" s="6" t="str">
        <f ca="1">IFERROR(__xludf.DUMMYFUNCTION("""COMPUTED_VALUE"""),"QUILPUÉ")</f>
        <v>QUILPUÉ</v>
      </c>
    </row>
    <row r="4280" spans="1:4">
      <c r="A4280" s="7">
        <f ca="1">IFERROR(__xludf.DUMMYFUNCTION("""COMPUTED_VALUE"""),44390)</f>
        <v>44390</v>
      </c>
      <c r="B4280" s="6" t="str">
        <f ca="1">IFERROR(__xludf.DUMMYFUNCTION("""COMPUTED_VALUE"""),"-33.052516-71.407395")</f>
        <v>-33.052516-71.407395</v>
      </c>
      <c r="C4280" s="6" t="str">
        <f ca="1">IFERROR(__xludf.DUMMYFUNCTION("""COMPUTED_VALUE"""),"PJE E 566")</f>
        <v>PJE E 566</v>
      </c>
      <c r="D4280" s="6" t="str">
        <f ca="1">IFERROR(__xludf.DUMMYFUNCTION("""COMPUTED_VALUE"""),"QUILPUÉ")</f>
        <v>QUILPUÉ</v>
      </c>
    </row>
    <row r="4281" spans="1:4">
      <c r="A4281" s="7">
        <f ca="1">IFERROR(__xludf.DUMMYFUNCTION("""COMPUTED_VALUE"""),44391)</f>
        <v>44391</v>
      </c>
      <c r="B4281" s="8" t="str">
        <f ca="1">IFERROR(__xludf.DUMMYFUNCTION("""COMPUTED_VALUE"""),"-33.8022815, -71.3691374")</f>
        <v>-33.8022815, -71.3691374</v>
      </c>
      <c r="C4281" s="6" t="str">
        <f ca="1">IFERROR(__xludf.DUMMYFUNCTION("""COMPUTED_VALUE"""),"UNION DE CODIGUA")</f>
        <v>UNION DE CODIGUA</v>
      </c>
      <c r="D4281" s="6" t="str">
        <f ca="1">IFERROR(__xludf.DUMMYFUNCTION("""COMPUTED_VALUE"""),"MELIPILLA")</f>
        <v>MELIPILLA</v>
      </c>
    </row>
    <row r="4282" spans="1:4">
      <c r="A4282" s="7">
        <f ca="1">IFERROR(__xludf.DUMMYFUNCTION("""COMPUTED_VALUE"""),44391)</f>
        <v>44391</v>
      </c>
      <c r="B4282" s="8" t="str">
        <f ca="1">IFERROR(__xludf.DUMMYFUNCTION("""COMPUTED_VALUE"""),"-33.7236068, -71.1913655")</f>
        <v>-33.7236068, -71.1913655</v>
      </c>
      <c r="C4282" s="6" t="str">
        <f ca="1">IFERROR(__xludf.DUMMYFUNCTION("""COMPUTED_VALUE"""),"CARMEN BAJO S/N H-16")</f>
        <v>CARMEN BAJO S/N H-16</v>
      </c>
      <c r="D4282" s="6" t="str">
        <f ca="1">IFERROR(__xludf.DUMMYFUNCTION("""COMPUTED_VALUE"""),"MELIPILLA")</f>
        <v>MELIPILLA</v>
      </c>
    </row>
    <row r="4283" spans="1:4">
      <c r="A4283" s="7">
        <f ca="1">IFERROR(__xludf.DUMMYFUNCTION("""COMPUTED_VALUE"""),44391)</f>
        <v>44391</v>
      </c>
      <c r="B4283" s="8" t="str">
        <f ca="1">IFERROR(__xludf.DUMMYFUNCTION("""COMPUTED_VALUE"""),"-33.684561, -71.1994612")</f>
        <v>-33.684561, -71.1994612</v>
      </c>
      <c r="C4283" s="6" t="str">
        <f ca="1">IFERROR(__xludf.DUMMYFUNCTION("""COMPUTED_VALUE"""),"LAUTARO ALVIAL BENSEN 621")</f>
        <v>LAUTARO ALVIAL BENSEN 621</v>
      </c>
      <c r="D4283" s="6" t="str">
        <f ca="1">IFERROR(__xludf.DUMMYFUNCTION("""COMPUTED_VALUE"""),"MELIPILLA")</f>
        <v>MELIPILLA</v>
      </c>
    </row>
    <row r="4284" spans="1:4">
      <c r="A4284" s="7">
        <f ca="1">IFERROR(__xludf.DUMMYFUNCTION("""COMPUTED_VALUE"""),44391)</f>
        <v>44391</v>
      </c>
      <c r="B4284" s="6" t="str">
        <f ca="1">IFERROR(__xludf.DUMMYFUNCTION("""COMPUTED_VALUE"""),"-33.400530-71.125151")</f>
        <v>-33.400530-71.125151</v>
      </c>
      <c r="C4284" s="6" t="str">
        <f ca="1">IFERROR(__xludf.DUMMYFUNCTION("""COMPUTED_VALUE"""),"LOS PATRONCITOS 212")</f>
        <v>LOS PATRONCITOS 212</v>
      </c>
      <c r="D4284" s="6" t="str">
        <f ca="1">IFERROR(__xludf.DUMMYFUNCTION("""COMPUTED_VALUE"""),"CURACAVI")</f>
        <v>CURACAVI</v>
      </c>
    </row>
    <row r="4285" spans="1:4">
      <c r="A4285" s="7">
        <f ca="1">IFERROR(__xludf.DUMMYFUNCTION("""COMPUTED_VALUE"""),44391)</f>
        <v>44391</v>
      </c>
      <c r="B4285" s="6" t="str">
        <f ca="1">IFERROR(__xludf.DUMMYFUNCTION("""COMPUTED_VALUE"""),"-33.434491-71.145258")</f>
        <v>-33.434491-71.145258</v>
      </c>
      <c r="C4285" s="6" t="str">
        <f ca="1">IFERROR(__xludf.DUMMYFUNCTION("""COMPUTED_VALUE"""),"EL QUILLAY 1")</f>
        <v>EL QUILLAY 1</v>
      </c>
      <c r="D4285" s="6" t="str">
        <f ca="1">IFERROR(__xludf.DUMMYFUNCTION("""COMPUTED_VALUE"""),"CURACAVI")</f>
        <v>CURACAVI</v>
      </c>
    </row>
    <row r="4286" spans="1:4">
      <c r="A4286" s="7">
        <f ca="1">IFERROR(__xludf.DUMMYFUNCTION("""COMPUTED_VALUE"""),44391)</f>
        <v>44391</v>
      </c>
      <c r="B4286" s="6" t="str">
        <f ca="1">IFERROR(__xludf.DUMMYFUNCTION("""COMPUTED_VALUE"""),"-33.408329-71.139019")</f>
        <v>-33.408329-71.139019</v>
      </c>
      <c r="C4286" s="6" t="str">
        <f ca="1">IFERROR(__xludf.DUMMYFUNCTION("""COMPUTED_VALUE"""),"RODEMIL GALLARDO 243")</f>
        <v>RODEMIL GALLARDO 243</v>
      </c>
      <c r="D4286" s="6" t="str">
        <f ca="1">IFERROR(__xludf.DUMMYFUNCTION("""COMPUTED_VALUE"""),"CURACAVI")</f>
        <v>CURACAVI</v>
      </c>
    </row>
    <row r="4287" spans="1:4">
      <c r="A4287" s="7">
        <f ca="1">IFERROR(__xludf.DUMMYFUNCTION("""COMPUTED_VALUE"""),44391)</f>
        <v>44391</v>
      </c>
      <c r="B4287" s="6" t="str">
        <f ca="1">IFERROR(__xludf.DUMMYFUNCTION("""COMPUTED_VALUE"""),"-33.602202-70.867527")</f>
        <v>-33.602202-70.867527</v>
      </c>
      <c r="C4287" s="6" t="str">
        <f ca="1">IFERROR(__xludf.DUMMYFUNCTION("""COMPUTED_VALUE"""),"ROSALES 1855 CASA J")</f>
        <v>ROSALES 1855 CASA J</v>
      </c>
      <c r="D4287" s="6" t="str">
        <f ca="1">IFERROR(__xludf.DUMMYFUNCTION("""COMPUTED_VALUE"""),"PEÑAFLOR")</f>
        <v>PEÑAFLOR</v>
      </c>
    </row>
    <row r="4288" spans="1:4">
      <c r="A4288" s="7">
        <f ca="1">IFERROR(__xludf.DUMMYFUNCTION("""COMPUTED_VALUE"""),44391)</f>
        <v>44391</v>
      </c>
      <c r="B4288" s="6" t="str">
        <f ca="1">IFERROR(__xludf.DUMMYFUNCTION("""COMPUTED_VALUE"""),"-33.602202-70.867527")</f>
        <v>-33.602202-70.867527</v>
      </c>
      <c r="C4288" s="6" t="str">
        <f ca="1">IFERROR(__xludf.DUMMYFUNCTION("""COMPUTED_VALUE"""),"ROSALES 1855 CASA J")</f>
        <v>ROSALES 1855 CASA J</v>
      </c>
      <c r="D4288" s="6" t="str">
        <f ca="1">IFERROR(__xludf.DUMMYFUNCTION("""COMPUTED_VALUE"""),"PEÑAFLOR")</f>
        <v>PEÑAFLOR</v>
      </c>
    </row>
    <row r="4289" spans="1:4">
      <c r="A4289" s="7">
        <f ca="1">IFERROR(__xludf.DUMMYFUNCTION("""COMPUTED_VALUE"""),44391)</f>
        <v>44391</v>
      </c>
      <c r="B4289" s="6" t="str">
        <f ca="1">IFERROR(__xludf.DUMMYFUNCTION("""COMPUTED_VALUE"""),"-33.500621-70.996713")</f>
        <v>-33.500621-70.996713</v>
      </c>
      <c r="C4289" s="6" t="str">
        <f ca="1">IFERROR(__xludf.DUMMYFUNCTION("""COMPUTED_VALUE"""),"PATAGUILLA INTERIOR P/47")</f>
        <v>PATAGUILLA INTERIOR P/47</v>
      </c>
      <c r="D4289" s="6" t="str">
        <f ca="1">IFERROR(__xludf.DUMMYFUNCTION("""COMPUTED_VALUE"""),"CURACAVI")</f>
        <v>CURACAVI</v>
      </c>
    </row>
    <row r="4290" spans="1:4">
      <c r="A4290" s="7">
        <f ca="1">IFERROR(__xludf.DUMMYFUNCTION("""COMPUTED_VALUE"""),44391)</f>
        <v>44391</v>
      </c>
      <c r="B4290" s="6" t="str">
        <f ca="1">IFERROR(__xludf.DUMMYFUNCTION("""COMPUTED_VALUE"""),"-33.40818-71.12689")</f>
        <v>-33.40818-71.12689</v>
      </c>
      <c r="C4290" s="6" t="str">
        <f ca="1">IFERROR(__xludf.DUMMYFUNCTION("""COMPUTED_VALUE"""),"LOS PICAFLORES 1857 -101")</f>
        <v>LOS PICAFLORES 1857 -101</v>
      </c>
      <c r="D4290" s="6" t="str">
        <f ca="1">IFERROR(__xludf.DUMMYFUNCTION("""COMPUTED_VALUE"""),"CURACAVI")</f>
        <v>CURACAVI</v>
      </c>
    </row>
    <row r="4291" spans="1:4">
      <c r="A4291" s="7">
        <f ca="1">IFERROR(__xludf.DUMMYFUNCTION("""COMPUTED_VALUE"""),44391)</f>
        <v>44391</v>
      </c>
      <c r="B4291" s="6" t="str">
        <f ca="1">IFERROR(__xludf.DUMMYFUNCTION("""COMPUTED_VALUE"""),"-33.50744-71.14785")</f>
        <v>-33.50744-71.14785</v>
      </c>
      <c r="C4291" s="6" t="str">
        <f ca="1">IFERROR(__xludf.DUMMYFUNCTION("""COMPUTED_VALUE"""),"EL ROSARIO 27")</f>
        <v>EL ROSARIO 27</v>
      </c>
      <c r="D4291" s="6" t="str">
        <f ca="1">IFERROR(__xludf.DUMMYFUNCTION("""COMPUTED_VALUE"""),"MARIA PINTO")</f>
        <v>MARIA PINTO</v>
      </c>
    </row>
    <row r="4292" spans="1:4">
      <c r="A4292" s="7">
        <f ca="1">IFERROR(__xludf.DUMMYFUNCTION("""COMPUTED_VALUE"""),44391)</f>
        <v>44391</v>
      </c>
      <c r="B4292" s="6" t="str">
        <f ca="1">IFERROR(__xludf.DUMMYFUNCTION("""COMPUTED_VALUE"""),"-33.4711-71.10736")</f>
        <v>-33.4711-71.10736</v>
      </c>
      <c r="C4292" s="6" t="str">
        <f ca="1">IFERROR(__xludf.DUMMYFUNCTION("""COMPUTED_VALUE"""),"SANTA EMILIA 18")</f>
        <v>SANTA EMILIA 18</v>
      </c>
      <c r="D4292" s="6" t="str">
        <f ca="1">IFERROR(__xludf.DUMMYFUNCTION("""COMPUTED_VALUE"""),"MARIA PINTO")</f>
        <v>MARIA PINTO</v>
      </c>
    </row>
    <row r="4293" spans="1:4">
      <c r="A4293" s="7">
        <f ca="1">IFERROR(__xludf.DUMMYFUNCTION("""COMPUTED_VALUE"""),44391)</f>
        <v>44391</v>
      </c>
      <c r="B4293" s="6" t="str">
        <f ca="1">IFERROR(__xludf.DUMMYFUNCTION("""COMPUTED_VALUE"""),"-33.700176,-71.216620")</f>
        <v>-33.700176,-71.216620</v>
      </c>
      <c r="C4293" s="6" t="str">
        <f ca="1">IFERROR(__xludf.DUMMYFUNCTION("""COMPUTED_VALUE"""),"PASAJE PEDRO GUZMAN 1454")</f>
        <v>PASAJE PEDRO GUZMAN 1454</v>
      </c>
      <c r="D4293" s="6" t="str">
        <f ca="1">IFERROR(__xludf.DUMMYFUNCTION("""COMPUTED_VALUE"""),"MELIPILLA")</f>
        <v>MELIPILLA</v>
      </c>
    </row>
    <row r="4294" spans="1:4">
      <c r="A4294" s="7">
        <f ca="1">IFERROR(__xludf.DUMMYFUNCTION("""COMPUTED_VALUE"""),44391)</f>
        <v>44391</v>
      </c>
      <c r="B4294" s="6" t="str">
        <f ca="1">IFERROR(__xludf.DUMMYFUNCTION("""COMPUTED_VALUE"""),"-33.697538,-70.932331")</f>
        <v>-33.697538,-70.932331</v>
      </c>
      <c r="C4294" s="6" t="str">
        <f ca="1">IFERROR(__xludf.DUMMYFUNCTION("""COMPUTED_VALUE"""),"CAMINO AGUAS BUENAS 152 KM4")</f>
        <v>CAMINO AGUAS BUENAS 152 KM4</v>
      </c>
      <c r="D4294" s="6" t="str">
        <f ca="1">IFERROR(__xludf.DUMMYFUNCTION("""COMPUTED_VALUE"""),"TALAGANTE")</f>
        <v>TALAGANTE</v>
      </c>
    </row>
    <row r="4295" spans="1:4">
      <c r="A4295" s="7">
        <f ca="1">IFERROR(__xludf.DUMMYFUNCTION("""COMPUTED_VALUE"""),44391)</f>
        <v>44391</v>
      </c>
      <c r="B4295" s="8" t="str">
        <f ca="1">IFERROR(__xludf.DUMMYFUNCTION("""COMPUTED_VALUE"""),"-33.472303,-71.16149")</f>
        <v>-33.472303,-71.16149</v>
      </c>
      <c r="C4295" s="6" t="str">
        <f ca="1">IFERROR(__xludf.DUMMYFUNCTION("""COMPUTED_VALUE"""),"LOMAS DE CULIPRAN 526")</f>
        <v>LOMAS DE CULIPRAN 526</v>
      </c>
      <c r="D4295" s="6" t="str">
        <f ca="1">IFERROR(__xludf.DUMMYFUNCTION("""COMPUTED_VALUE"""),"MELIPILLA")</f>
        <v>MELIPILLA</v>
      </c>
    </row>
    <row r="4296" spans="1:4">
      <c r="A4296" s="7">
        <f ca="1">IFERROR(__xludf.DUMMYFUNCTION("""COMPUTED_VALUE"""),44391)</f>
        <v>44391</v>
      </c>
      <c r="B4296" s="8" t="str">
        <f ca="1">IFERROR(__xludf.DUMMYFUNCTION("""COMPUTED_VALUE"""),"-33.817353,-71.287216")</f>
        <v>-33.817353,-71.287216</v>
      </c>
      <c r="C4296" s="6" t="str">
        <f ca="1">IFERROR(__xludf.DUMMYFUNCTION("""COMPUTED_VALUE"""),"PARECELA 36 POPETA")</f>
        <v>PARECELA 36 POPETA</v>
      </c>
      <c r="D4296" s="6" t="str">
        <f ca="1">IFERROR(__xludf.DUMMYFUNCTION("""COMPUTED_VALUE"""),"MELIPILLA")</f>
        <v>MELIPILLA</v>
      </c>
    </row>
    <row r="4297" spans="1:4">
      <c r="A4297" s="7">
        <f ca="1">IFERROR(__xludf.DUMMYFUNCTION("""COMPUTED_VALUE"""),44391)</f>
        <v>44391</v>
      </c>
      <c r="B4297" s="6" t="str">
        <f ca="1">IFERROR(__xludf.DUMMYFUNCTION("""COMPUTED_VALUE"""),"-33.161895-71.317768")</f>
        <v>-33.161895-71.317768</v>
      </c>
      <c r="C4297" s="6" t="str">
        <f ca="1">IFERROR(__xludf.DUMMYFUNCTION("""COMPUTED_VALUE"""),"PJE UNO  PARCELA 40")</f>
        <v>PJE UNO  PARCELA 40</v>
      </c>
      <c r="D4297" s="6" t="str">
        <f ca="1">IFERROR(__xludf.DUMMYFUNCTION("""COMPUTED_VALUE"""),"QUILPUÉ")</f>
        <v>QUILPUÉ</v>
      </c>
    </row>
    <row r="4298" spans="1:4">
      <c r="A4298" s="7">
        <f ca="1">IFERROR(__xludf.DUMMYFUNCTION("""COMPUTED_VALUE"""),44391)</f>
        <v>44391</v>
      </c>
      <c r="B4298" s="6" t="str">
        <f ca="1">IFERROR(__xludf.DUMMYFUNCTION("""COMPUTED_VALUE"""),"-33.042121-71.471809")</f>
        <v>-33.042121-71.471809</v>
      </c>
      <c r="C4298" s="6" t="str">
        <f ca="1">IFERROR(__xludf.DUMMYFUNCTION("""COMPUTED_VALUE"""),"PJE TRES 01625")</f>
        <v>PJE TRES 01625</v>
      </c>
      <c r="D4298" s="6" t="str">
        <f ca="1">IFERROR(__xludf.DUMMYFUNCTION("""COMPUTED_VALUE"""),"QUILPUÉ")</f>
        <v>QUILPUÉ</v>
      </c>
    </row>
    <row r="4299" spans="1:4">
      <c r="A4299" s="7">
        <f ca="1">IFERROR(__xludf.DUMMYFUNCTION("""COMPUTED_VALUE"""),44391)</f>
        <v>44391</v>
      </c>
      <c r="B4299" s="6" t="str">
        <f ca="1">IFERROR(__xludf.DUMMYFUNCTION("""COMPUTED_VALUE"""),"-33.059159-71.428545")</f>
        <v>-33.059159-71.428545</v>
      </c>
      <c r="C4299" s="6" t="str">
        <f ca="1">IFERROR(__xludf.DUMMYFUNCTION("""COMPUTED_VALUE"""),"MARIBEL 1788")</f>
        <v>MARIBEL 1788</v>
      </c>
      <c r="D4299" s="6" t="str">
        <f ca="1">IFERROR(__xludf.DUMMYFUNCTION("""COMPUTED_VALUE"""),"QUILPUÉ")</f>
        <v>QUILPUÉ</v>
      </c>
    </row>
    <row r="4300" spans="1:4">
      <c r="A4300" s="7">
        <f ca="1">IFERROR(__xludf.DUMMYFUNCTION("""COMPUTED_VALUE"""),44391)</f>
        <v>44391</v>
      </c>
      <c r="B4300" s="6" t="str">
        <f ca="1">IFERROR(__xludf.DUMMYFUNCTION("""COMPUTED_VALUE"""),"-33.069603-71.421192")</f>
        <v>-33.069603-71.421192</v>
      </c>
      <c r="C4300" s="6" t="str">
        <f ca="1">IFERROR(__xludf.DUMMYFUNCTION("""COMPUTED_VALUE"""),"VALLE HERMOSO 2757")</f>
        <v>VALLE HERMOSO 2757</v>
      </c>
      <c r="D4300" s="6" t="str">
        <f ca="1">IFERROR(__xludf.DUMMYFUNCTION("""COMPUTED_VALUE"""),"QUILPUÉ")</f>
        <v>QUILPUÉ</v>
      </c>
    </row>
    <row r="4301" spans="1:4">
      <c r="A4301" s="7">
        <f ca="1">IFERROR(__xludf.DUMMYFUNCTION("""COMPUTED_VALUE"""),44391)</f>
        <v>44391</v>
      </c>
      <c r="B4301" s="6" t="str">
        <f ca="1">IFERROR(__xludf.DUMMYFUNCTION("""COMPUTED_VALUE"""),"-33.052226-71.424907")</f>
        <v>-33.052226-71.424907</v>
      </c>
      <c r="C4301" s="6" t="str">
        <f ca="1">IFERROR(__xludf.DUMMYFUNCTION("""COMPUTED_VALUE"""),"LO MOSCOSO 1125")</f>
        <v>LO MOSCOSO 1125</v>
      </c>
      <c r="D4301" s="6" t="str">
        <f ca="1">IFERROR(__xludf.DUMMYFUNCTION("""COMPUTED_VALUE"""),"QUILPUÉ")</f>
        <v>QUILPUÉ</v>
      </c>
    </row>
    <row r="4302" spans="1:4">
      <c r="A4302" s="7">
        <f ca="1">IFERROR(__xludf.DUMMYFUNCTION("""COMPUTED_VALUE"""),44391)</f>
        <v>44391</v>
      </c>
      <c r="B4302" s="6" t="str">
        <f ca="1">IFERROR(__xludf.DUMMYFUNCTION("""COMPUTED_VALUE"""),"-33.0458-71.4149")</f>
        <v>-33.0458-71.4149</v>
      </c>
      <c r="C4302" s="6" t="str">
        <f ca="1">IFERROR(__xludf.DUMMYFUNCTION("""COMPUTED_VALUE"""),"ISABEL DE CASTILLA 75")</f>
        <v>ISABEL DE CASTILLA 75</v>
      </c>
      <c r="D4302" s="6" t="str">
        <f ca="1">IFERROR(__xludf.DUMMYFUNCTION("""COMPUTED_VALUE"""),"QUILPUÉ")</f>
        <v>QUILPUÉ</v>
      </c>
    </row>
    <row r="4303" spans="1:4">
      <c r="A4303" s="7">
        <f ca="1">IFERROR(__xludf.DUMMYFUNCTION("""COMPUTED_VALUE"""),44391)</f>
        <v>44391</v>
      </c>
      <c r="B4303" s="6" t="str">
        <f ca="1">IFERROR(__xludf.DUMMYFUNCTION("""COMPUTED_VALUE"""),"-33.044807-71.438312")</f>
        <v>-33.044807-71.438312</v>
      </c>
      <c r="C4303" s="6" t="str">
        <f ca="1">IFERROR(__xludf.DUMMYFUNCTION("""COMPUTED_VALUE"""),"F FONCK 283")</f>
        <v>F FONCK 283</v>
      </c>
      <c r="D4303" s="6" t="str">
        <f ca="1">IFERROR(__xludf.DUMMYFUNCTION("""COMPUTED_VALUE"""),"QUILPUÉ")</f>
        <v>QUILPUÉ</v>
      </c>
    </row>
    <row r="4304" spans="1:4">
      <c r="A4304" s="7">
        <f ca="1">IFERROR(__xludf.DUMMYFUNCTION("""COMPUTED_VALUE"""),44391)</f>
        <v>44391</v>
      </c>
      <c r="B4304" s="6" t="str">
        <f ca="1">IFERROR(__xludf.DUMMYFUNCTION("""COMPUTED_VALUE"""),"-33.0718-1.4220")</f>
        <v>-33.0718-1.4220</v>
      </c>
      <c r="C4304" s="6" t="str">
        <f ca="1">IFERROR(__xludf.DUMMYFUNCTION("""COMPUTED_VALUE"""),"VALLE DEL HUASCO 2792")</f>
        <v>VALLE DEL HUASCO 2792</v>
      </c>
      <c r="D4304" s="6" t="str">
        <f ca="1">IFERROR(__xludf.DUMMYFUNCTION("""COMPUTED_VALUE"""),"QUILPUÉ")</f>
        <v>QUILPUÉ</v>
      </c>
    </row>
    <row r="4305" spans="1:4">
      <c r="A4305" s="7">
        <f ca="1">IFERROR(__xludf.DUMMYFUNCTION("""COMPUTED_VALUE"""),44392)</f>
        <v>44392</v>
      </c>
      <c r="B4305" s="8" t="str">
        <f ca="1">IFERROR(__xludf.DUMMYFUNCTION("""COMPUTED_VALUE"""),"-36.937244, -71.8536124")</f>
        <v>-36.937244, -71.8536124</v>
      </c>
      <c r="C4305" s="6" t="str">
        <f ca="1">IFERROR(__xludf.DUMMYFUNCTION("""COMPUTED_VALUE"""),"EL RODEO 808")</f>
        <v>EL RODEO 808</v>
      </c>
      <c r="D4305" s="6" t="str">
        <f ca="1">IFERROR(__xludf.DUMMYFUNCTION("""COMPUTED_VALUE"""),"PEÑAFLOR")</f>
        <v>PEÑAFLOR</v>
      </c>
    </row>
    <row r="4306" spans="1:4">
      <c r="A4306" s="7">
        <f ca="1">IFERROR(__xludf.DUMMYFUNCTION("""COMPUTED_VALUE"""),44392)</f>
        <v>44392</v>
      </c>
      <c r="B4306" s="6" t="str">
        <f ca="1">IFERROR(__xludf.DUMMYFUNCTION("""COMPUTED_VALUE"""),"-33.579852-70.804028")</f>
        <v>-33.579852-70.804028</v>
      </c>
      <c r="C4306" s="6" t="str">
        <f ca="1">IFERROR(__xludf.DUMMYFUNCTION("""COMPUTED_VALUE"""),"EL ROBLE 1640 VILLA EL CANELO")</f>
        <v>EL ROBLE 1640 VILLA EL CANELO</v>
      </c>
      <c r="D4306" s="6" t="str">
        <f ca="1">IFERROR(__xludf.DUMMYFUNCTION("""COMPUTED_VALUE"""),"PADRE HURTADO")</f>
        <v>PADRE HURTADO</v>
      </c>
    </row>
    <row r="4307" spans="1:4">
      <c r="A4307" s="7">
        <f ca="1">IFERROR(__xludf.DUMMYFUNCTION("""COMPUTED_VALUE"""),44392)</f>
        <v>44392</v>
      </c>
      <c r="B4307" s="6" t="str">
        <f ca="1">IFERROR(__xludf.DUMMYFUNCTION("""COMPUTED_VALUE"""),"-33.665293-71.317070")</f>
        <v>-33.665293-71.317070</v>
      </c>
      <c r="C4307" s="6" t="str">
        <f ca="1">IFERROR(__xludf.DUMMYFUNCTION("""COMPUTED_VALUE"""),"PJE 5 LAS CANELAS 37-D")</f>
        <v>PJE 5 LAS CANELAS 37-D</v>
      </c>
      <c r="D4307" s="6" t="str">
        <f ca="1">IFERROR(__xludf.DUMMYFUNCTION("""COMPUTED_VALUE"""),"MELIPILLA")</f>
        <v>MELIPILLA</v>
      </c>
    </row>
    <row r="4308" spans="1:4">
      <c r="A4308" s="7">
        <f ca="1">IFERROR(__xludf.DUMMYFUNCTION("""COMPUTED_VALUE"""),44392)</f>
        <v>44392</v>
      </c>
      <c r="B4308" s="6" t="str">
        <f ca="1">IFERROR(__xludf.DUMMYFUNCTION("""COMPUTED_VALUE"""),"-33.33937-71.12037")</f>
        <v>-33.33937-71.12037</v>
      </c>
      <c r="C4308" s="6" t="str">
        <f ca="1">IFERROR(__xludf.DUMMYFUNCTION("""COMPUTED_VALUE"""),"NUEVO AMANECER 1144")</f>
        <v>NUEVO AMANECER 1144</v>
      </c>
      <c r="D4308" s="6" t="str">
        <f ca="1">IFERROR(__xludf.DUMMYFUNCTION("""COMPUTED_VALUE"""),"CURACAVI")</f>
        <v>CURACAVI</v>
      </c>
    </row>
    <row r="4309" spans="1:4">
      <c r="A4309" s="7">
        <f ca="1">IFERROR(__xludf.DUMMYFUNCTION("""COMPUTED_VALUE"""),44392)</f>
        <v>44392</v>
      </c>
      <c r="B4309" s="6" t="str">
        <f ca="1">IFERROR(__xludf.DUMMYFUNCTION("""COMPUTED_VALUE"""),"-33.3952-71.12235")</f>
        <v>-33.3952-71.12235</v>
      </c>
      <c r="C4309" s="6" t="str">
        <f ca="1">IFERROR(__xludf.DUMMYFUNCTION("""COMPUTED_VALUE"""),"PASAJE VISTA ESPERANZA 1129")</f>
        <v>PASAJE VISTA ESPERANZA 1129</v>
      </c>
      <c r="D4309" s="6" t="str">
        <f ca="1">IFERROR(__xludf.DUMMYFUNCTION("""COMPUTED_VALUE"""),"CURACAVI")</f>
        <v>CURACAVI</v>
      </c>
    </row>
    <row r="4310" spans="1:4">
      <c r="A4310" s="7">
        <f ca="1">IFERROR(__xludf.DUMMYFUNCTION("""COMPUTED_VALUE"""),44392)</f>
        <v>44392</v>
      </c>
      <c r="B4310" s="6" t="str">
        <f ca="1">IFERROR(__xludf.DUMMYFUNCTION("""COMPUTED_VALUE"""),"-33.3939-71.12047")</f>
        <v>-33.3939-71.12047</v>
      </c>
      <c r="C4310" s="6" t="str">
        <f ca="1">IFERROR(__xludf.DUMMYFUNCTION("""COMPUTED_VALUE"""),"P.A NUEVO AMANECER 1133")</f>
        <v>P.A NUEVO AMANECER 1133</v>
      </c>
      <c r="D4310" s="6" t="str">
        <f ca="1">IFERROR(__xludf.DUMMYFUNCTION("""COMPUTED_VALUE"""),"CURACAVI")</f>
        <v>CURACAVI</v>
      </c>
    </row>
    <row r="4311" spans="1:4">
      <c r="A4311" s="7">
        <f ca="1">IFERROR(__xludf.DUMMYFUNCTION("""COMPUTED_VALUE"""),44392)</f>
        <v>44392</v>
      </c>
      <c r="B4311" s="6" t="str">
        <f ca="1">IFERROR(__xludf.DUMMYFUNCTION("""COMPUTED_VALUE"""),"-33.393302-71.120327")</f>
        <v>-33.393302-71.120327</v>
      </c>
      <c r="C4311" s="6" t="str">
        <f ca="1">IFERROR(__xludf.DUMMYFUNCTION("""COMPUTED_VALUE"""),"VISTA ESPERANZA 1176")</f>
        <v>VISTA ESPERANZA 1176</v>
      </c>
      <c r="D4311" s="6" t="str">
        <f ca="1">IFERROR(__xludf.DUMMYFUNCTION("""COMPUTED_VALUE"""),"CURACAVI")</f>
        <v>CURACAVI</v>
      </c>
    </row>
    <row r="4312" spans="1:4">
      <c r="A4312" s="7">
        <f ca="1">IFERROR(__xludf.DUMMYFUNCTION("""COMPUTED_VALUE"""),44392)</f>
        <v>44392</v>
      </c>
      <c r="B4312" s="6" t="str">
        <f ca="1">IFERROR(__xludf.DUMMYFUNCTION("""COMPUTED_VALUE"""),"-33.396194-71.130313")</f>
        <v>-33.396194-71.130313</v>
      </c>
      <c r="C4312" s="6" t="str">
        <f ca="1">IFERROR(__xludf.DUMMYFUNCTION("""COMPUTED_VALUE"""),"EDUCADOR EDMUNDO OÑATE 652")</f>
        <v>EDUCADOR EDMUNDO OÑATE 652</v>
      </c>
      <c r="D4312" s="6" t="str">
        <f ca="1">IFERROR(__xludf.DUMMYFUNCTION("""COMPUTED_VALUE"""),"CURACAVI")</f>
        <v>CURACAVI</v>
      </c>
    </row>
    <row r="4313" spans="1:4">
      <c r="A4313" s="7">
        <f ca="1">IFERROR(__xludf.DUMMYFUNCTION("""COMPUTED_VALUE"""),44392)</f>
        <v>44392</v>
      </c>
      <c r="B4313" s="6" t="str">
        <f ca="1">IFERROR(__xludf.DUMMYFUNCTION("""COMPUTED_VALUE"""),"-33.393378-71.127272")</f>
        <v>-33.393378-71.127272</v>
      </c>
      <c r="C4313" s="6" t="str">
        <f ca="1">IFERROR(__xludf.DUMMYFUNCTION("""COMPUTED_VALUE"""),"MANUEL LARRAIN S/N")</f>
        <v>MANUEL LARRAIN S/N</v>
      </c>
      <c r="D4313" s="6" t="str">
        <f ca="1">IFERROR(__xludf.DUMMYFUNCTION("""COMPUTED_VALUE"""),"CURACAVI")</f>
        <v>CURACAVI</v>
      </c>
    </row>
    <row r="4314" spans="1:4">
      <c r="A4314" s="7">
        <f ca="1">IFERROR(__xludf.DUMMYFUNCTION("""COMPUTED_VALUE"""),44392)</f>
        <v>44392</v>
      </c>
      <c r="B4314" s="6" t="str">
        <f ca="1">IFERROR(__xludf.DUMMYFUNCTION("""COMPUTED_VALUE"""),"-33.390926-71.129974")</f>
        <v>-33.390926-71.129974</v>
      </c>
      <c r="C4314" s="6" t="str">
        <f ca="1">IFERROR(__xludf.DUMMYFUNCTION("""COMPUTED_VALUE"""),"GERMAN RIESCO 1094-A")</f>
        <v>GERMAN RIESCO 1094-A</v>
      </c>
      <c r="D4314" s="6" t="str">
        <f ca="1">IFERROR(__xludf.DUMMYFUNCTION("""COMPUTED_VALUE"""),"CURACAVI")</f>
        <v>CURACAVI</v>
      </c>
    </row>
    <row r="4315" spans="1:4">
      <c r="A4315" s="7">
        <f ca="1">IFERROR(__xludf.DUMMYFUNCTION("""COMPUTED_VALUE"""),44392)</f>
        <v>44392</v>
      </c>
      <c r="B4315" s="6" t="str">
        <f ca="1">IFERROR(__xludf.DUMMYFUNCTION("""COMPUTED_VALUE"""),"-33.776426,-71.134665")</f>
        <v>-33.776426,-71.134665</v>
      </c>
      <c r="C4315" s="6" t="str">
        <f ca="1">IFERROR(__xludf.DUMMYFUNCTION("""COMPUTED_VALUE"""),"SECTOR LA ALFALFA S/N-CV12 PARCELA B")</f>
        <v>SECTOR LA ALFALFA S/N-CV12 PARCELA B</v>
      </c>
      <c r="D4315" s="6" t="str">
        <f ca="1">IFERROR(__xludf.DUMMYFUNCTION("""COMPUTED_VALUE"""),"MELIPILLA")</f>
        <v>MELIPILLA</v>
      </c>
    </row>
    <row r="4316" spans="1:4">
      <c r="A4316" s="7">
        <f ca="1">IFERROR(__xludf.DUMMYFUNCTION("""COMPUTED_VALUE"""),44392)</f>
        <v>44392</v>
      </c>
      <c r="B4316" s="6" t="str">
        <f ca="1">IFERROR(__xludf.DUMMYFUNCTION("""COMPUTED_VALUE"""),"-33.776925,-71.133941")</f>
        <v>-33.776925,-71.133941</v>
      </c>
      <c r="C4316" s="6" t="str">
        <f ca="1">IFERROR(__xludf.DUMMYFUNCTION("""COMPUTED_VALUE"""),"CHOLQUI S/N ")</f>
        <v xml:space="preserve">CHOLQUI S/N </v>
      </c>
      <c r="D4316" s="6" t="str">
        <f ca="1">IFERROR(__xludf.DUMMYFUNCTION("""COMPUTED_VALUE"""),"MELIPILLA")</f>
        <v>MELIPILLA</v>
      </c>
    </row>
    <row r="4317" spans="1:4">
      <c r="A4317" s="7">
        <f ca="1">IFERROR(__xludf.DUMMYFUNCTION("""COMPUTED_VALUE"""),44392)</f>
        <v>44392</v>
      </c>
      <c r="B4317" s="8" t="str">
        <f ca="1">IFERROR(__xludf.DUMMYFUNCTION("""COMPUTED_VALUE"""),"-33.801985,-71.289040")</f>
        <v>-33.801985,-71.289040</v>
      </c>
      <c r="C4317" s="6" t="str">
        <f ca="1">IFERROR(__xludf.DUMMYFUNCTION("""COMPUTED_VALUE"""),"POPETA PARCELA 183")</f>
        <v>POPETA PARCELA 183</v>
      </c>
      <c r="D4317" s="6" t="str">
        <f ca="1">IFERROR(__xludf.DUMMYFUNCTION("""COMPUTED_VALUE"""),"MELIPILLA")</f>
        <v>MELIPILLA</v>
      </c>
    </row>
    <row r="4318" spans="1:4">
      <c r="A4318" s="7">
        <f ca="1">IFERROR(__xludf.DUMMYFUNCTION("""COMPUTED_VALUE"""),44392)</f>
        <v>44392</v>
      </c>
      <c r="B4318" s="6" t="str">
        <f ca="1">IFERROR(__xludf.DUMMYFUNCTION("""COMPUTED_VALUE"""),"-33.040258-71.408746")</f>
        <v>-33.040258-71.408746</v>
      </c>
      <c r="C4318" s="6" t="str">
        <f ca="1">IFERROR(__xludf.DUMMYFUNCTION("""COMPUTED_VALUE"""),"E VALENCIA 876")</f>
        <v>E VALENCIA 876</v>
      </c>
      <c r="D4318" s="6" t="str">
        <f ca="1">IFERROR(__xludf.DUMMYFUNCTION("""COMPUTED_VALUE"""),"QUILPUÉ")</f>
        <v>QUILPUÉ</v>
      </c>
    </row>
    <row r="4319" spans="1:4">
      <c r="A4319" s="7">
        <f ca="1">IFERROR(__xludf.DUMMYFUNCTION("""COMPUTED_VALUE"""),44393)</f>
        <v>44393</v>
      </c>
      <c r="B4319" s="6" t="str">
        <f ca="1">IFERROR(__xludf.DUMMYFUNCTION("""COMPUTED_VALUE"""),"-33.396599-71.126460")</f>
        <v>-33.396599-71.126460</v>
      </c>
      <c r="C4319" s="6" t="str">
        <f ca="1">IFERROR(__xludf.DUMMYFUNCTION("""COMPUTED_VALUE"""),"MANUEL LARRAIN 652")</f>
        <v>MANUEL LARRAIN 652</v>
      </c>
      <c r="D4319" s="6" t="str">
        <f ca="1">IFERROR(__xludf.DUMMYFUNCTION("""COMPUTED_VALUE"""),"CURACAVI")</f>
        <v>CURACAVI</v>
      </c>
    </row>
    <row r="4320" spans="1:4">
      <c r="A4320" s="7">
        <f ca="1">IFERROR(__xludf.DUMMYFUNCTION("""COMPUTED_VALUE"""),44393)</f>
        <v>44393</v>
      </c>
      <c r="B4320" s="6" t="str">
        <f ca="1">IFERROR(__xludf.DUMMYFUNCTION("""COMPUTED_VALUE"""),"-33.396209-71.127378")</f>
        <v>-33.396209-71.127378</v>
      </c>
      <c r="C4320" s="6" t="str">
        <f ca="1">IFERROR(__xludf.DUMMYFUNCTION("""COMPUTED_VALUE"""),"MANUEL LARRAIN 631")</f>
        <v>MANUEL LARRAIN 631</v>
      </c>
      <c r="D4320" s="6" t="str">
        <f ca="1">IFERROR(__xludf.DUMMYFUNCTION("""COMPUTED_VALUE"""),"CURACAVI")</f>
        <v>CURACAVI</v>
      </c>
    </row>
    <row r="4321" spans="1:4">
      <c r="A4321" s="7">
        <f ca="1">IFERROR(__xludf.DUMMYFUNCTION("""COMPUTED_VALUE"""),44393)</f>
        <v>44393</v>
      </c>
      <c r="B4321" s="6" t="str">
        <f ca="1">IFERROR(__xludf.DUMMYFUNCTION("""COMPUTED_VALUE"""),"-33.390008-71.126699")</f>
        <v>-33.390008-71.126699</v>
      </c>
      <c r="C4321" s="6" t="str">
        <f ca="1">IFERROR(__xludf.DUMMYFUNCTION("""COMPUTED_VALUE"""),"LUCIA LOPEZ SAZO 1215")</f>
        <v>LUCIA LOPEZ SAZO 1215</v>
      </c>
      <c r="D4321" s="6" t="str">
        <f ca="1">IFERROR(__xludf.DUMMYFUNCTION("""COMPUTED_VALUE"""),"CURACAVI")</f>
        <v>CURACAVI</v>
      </c>
    </row>
    <row r="4322" spans="1:4">
      <c r="A4322" s="7">
        <f ca="1">IFERROR(__xludf.DUMMYFUNCTION("""COMPUTED_VALUE"""),44394)</f>
        <v>44394</v>
      </c>
      <c r="B4322" s="6" t="str">
        <f ca="1">IFERROR(__xludf.DUMMYFUNCTION("""COMPUTED_VALUE"""),"-33.432667-71.012798")</f>
        <v>-33.432667-71.012798</v>
      </c>
      <c r="C4322" s="6" t="str">
        <f ca="1">IFERROR(__xludf.DUMMYFUNCTION("""COMPUTED_VALUE"""),"LA AURORA S/N")</f>
        <v>LA AURORA S/N</v>
      </c>
      <c r="D4322" s="6" t="str">
        <f ca="1">IFERROR(__xludf.DUMMYFUNCTION("""COMPUTED_VALUE"""),"CURACAVI")</f>
        <v>CURACAVI</v>
      </c>
    </row>
    <row r="4323" spans="1:4">
      <c r="A4323" s="7">
        <f ca="1">IFERROR(__xludf.DUMMYFUNCTION("""COMPUTED_VALUE"""),44394)</f>
        <v>44394</v>
      </c>
      <c r="B4323" s="6" t="str">
        <f ca="1">IFERROR(__xludf.DUMMYFUNCTION("""COMPUTED_VALUE"""),"-33.667833,-71.223994")</f>
        <v>-33.667833,-71.223994</v>
      </c>
      <c r="C4323" s="6" t="str">
        <f ca="1">IFERROR(__xludf.DUMMYFUNCTION("""COMPUTED_VALUE"""),"JOSE MASSOUD S 24")</f>
        <v>JOSE MASSOUD S 24</v>
      </c>
      <c r="D4323" s="6" t="str">
        <f ca="1">IFERROR(__xludf.DUMMYFUNCTION("""COMPUTED_VALUE"""),"MELIPILLA")</f>
        <v>MELIPILLA</v>
      </c>
    </row>
    <row r="4324" spans="1:4">
      <c r="A4324" s="7">
        <f ca="1">IFERROR(__xludf.DUMMYFUNCTION("""COMPUTED_VALUE"""),44394)</f>
        <v>44394</v>
      </c>
      <c r="B4324" s="6" t="str">
        <f ca="1">IFERROR(__xludf.DUMMYFUNCTION("""COMPUTED_VALUE"""),"-33.677086,-70.991109")</f>
        <v>-33.677086,-70.991109</v>
      </c>
      <c r="C4324" s="6" t="str">
        <f ca="1">IFERROR(__xludf.DUMMYFUNCTION("""COMPUTED_VALUE"""),"JULIO TORRES 337 ")</f>
        <v xml:space="preserve">JULIO TORRES 337 </v>
      </c>
      <c r="D4324" s="6" t="str">
        <f ca="1">IFERROR(__xludf.DUMMYFUNCTION("""COMPUTED_VALUE"""),"EL MONTE")</f>
        <v>EL MONTE</v>
      </c>
    </row>
    <row r="4325" spans="1:4">
      <c r="A4325" s="7">
        <f ca="1">IFERROR(__xludf.DUMMYFUNCTION("""COMPUTED_VALUE"""),44394)</f>
        <v>44394</v>
      </c>
      <c r="B4325" s="6" t="str">
        <f ca="1">IFERROR(__xludf.DUMMYFUNCTION("""COMPUTED_VALUE"""),"-33.685784,-71.020421")</f>
        <v>-33.685784,-71.020421</v>
      </c>
      <c r="C4325" s="6" t="str">
        <f ca="1">IFERROR(__xludf.DUMMYFUNCTION("""COMPUTED_VALUE"""),"AVENIDA  CENTRAL  58 POBLACION VILLA  LO CHACON")</f>
        <v>AVENIDA  CENTRAL  58 POBLACION VILLA  LO CHACON</v>
      </c>
      <c r="D4325" s="6" t="str">
        <f ca="1">IFERROR(__xludf.DUMMYFUNCTION("""COMPUTED_VALUE"""),"EL MONTE")</f>
        <v>EL MONTE</v>
      </c>
    </row>
    <row r="4326" spans="1:4">
      <c r="A4326" s="7">
        <f ca="1">IFERROR(__xludf.DUMMYFUNCTION("""COMPUTED_VALUE"""),44396)</f>
        <v>44396</v>
      </c>
      <c r="B4326" s="8" t="str">
        <f ca="1">IFERROR(__xludf.DUMMYFUNCTION("""COMPUTED_VALUE"""),"-33.684659,-71.020225")</f>
        <v>-33.684659,-71.020225</v>
      </c>
      <c r="C4326" s="6" t="str">
        <f ca="1">IFERROR(__xludf.DUMMYFUNCTION("""COMPUTED_VALUE"""),"CALLE 11 DE  ABRIL 0121")</f>
        <v>CALLE 11 DE  ABRIL 0121</v>
      </c>
      <c r="D4326" s="6" t="str">
        <f ca="1">IFERROR(__xludf.DUMMYFUNCTION("""COMPUTED_VALUE"""),"EL MONTE")</f>
        <v>EL MONTE</v>
      </c>
    </row>
    <row r="4327" spans="1:4">
      <c r="A4327" s="7">
        <f ca="1">IFERROR(__xludf.DUMMYFUNCTION("""COMPUTED_VALUE"""),44396)</f>
        <v>44396</v>
      </c>
      <c r="B4327" s="8" t="str">
        <f ca="1">IFERROR(__xludf.DUMMYFUNCTION("""COMPUTED_VALUE"""),"-33.676447,-71.976753")</f>
        <v>-33.676447,-71.976753</v>
      </c>
      <c r="C4327" s="6" t="str">
        <f ca="1">IFERROR(__xludf.DUMMYFUNCTION("""COMPUTED_VALUE"""),"ELEUTERIO RAMIREZ")</f>
        <v>ELEUTERIO RAMIREZ</v>
      </c>
      <c r="D4327" s="6" t="str">
        <f ca="1">IFERROR(__xludf.DUMMYFUNCTION("""COMPUTED_VALUE"""),"EL MONTE")</f>
        <v>EL MONTE</v>
      </c>
    </row>
    <row r="4328" spans="1:4">
      <c r="A4328" s="7">
        <f ca="1">IFERROR(__xludf.DUMMYFUNCTION("""COMPUTED_VALUE"""),44396)</f>
        <v>44396</v>
      </c>
      <c r="B4328" s="8" t="str">
        <f ca="1">IFERROR(__xludf.DUMMYFUNCTION("""COMPUTED_VALUE"""),"-33.583369,-71.022095")</f>
        <v>-33.583369,-71.022095</v>
      </c>
      <c r="C4328" s="6" t="str">
        <f ca="1">IFERROR(__xludf.DUMMYFUNCTION("""COMPUTED_VALUE"""),"SANTA TERESA S/N")</f>
        <v>SANTA TERESA S/N</v>
      </c>
      <c r="D4328" s="6" t="str">
        <f ca="1">IFERROR(__xludf.DUMMYFUNCTION("""COMPUTED_VALUE"""),"MELIPILLA")</f>
        <v>MELIPILLA</v>
      </c>
    </row>
    <row r="4329" spans="1:4">
      <c r="A4329" s="7">
        <f ca="1">IFERROR(__xludf.DUMMYFUNCTION("""COMPUTED_VALUE"""),44396)</f>
        <v>44396</v>
      </c>
      <c r="B4329" s="6" t="str">
        <f ca="1">IFERROR(__xludf.DUMMYFUNCTION("""COMPUTED_VALUE"""),"-33.210572-70.684606")</f>
        <v>-33.210572-70.684606</v>
      </c>
      <c r="C4329" s="6" t="str">
        <f ca="1">IFERROR(__xludf.DUMMYFUNCTION("""COMPUTED_VALUE"""),"TAMARINDOO 0766. POB LUIS CRUZ MARTINEZ")</f>
        <v>TAMARINDOO 0766. POB LUIS CRUZ MARTINEZ</v>
      </c>
      <c r="D4329" s="6" t="str">
        <f ca="1">IFERROR(__xludf.DUMMYFUNCTION("""COMPUTED_VALUE"""),"COLINA")</f>
        <v>COLINA</v>
      </c>
    </row>
    <row r="4330" spans="1:4">
      <c r="A4330" s="7">
        <f ca="1">IFERROR(__xludf.DUMMYFUNCTION("""COMPUTED_VALUE"""),44396)</f>
        <v>44396</v>
      </c>
      <c r="B4330" s="6" t="str">
        <f ca="1">IFERROR(__xludf.DUMMYFUNCTION("""COMPUTED_VALUE"""),"-33.234466-70.812226")</f>
        <v>-33.234466-70.812226</v>
      </c>
      <c r="C4330" s="6" t="str">
        <f ca="1">IFERROR(__xludf.DUMMYFUNCTION("""COMPUTED_VALUE"""),"ARGENTINA 534 (ERRAZURIZ 165)")</f>
        <v>ARGENTINA 534 (ERRAZURIZ 165)</v>
      </c>
      <c r="D4330" s="6" t="str">
        <f ca="1">IFERROR(__xludf.DUMMYFUNCTION("""COMPUTED_VALUE"""),"LAMPA")</f>
        <v>LAMPA</v>
      </c>
    </row>
    <row r="4331" spans="1:4">
      <c r="A4331" s="7">
        <f ca="1">IFERROR(__xludf.DUMMYFUNCTION("""COMPUTED_VALUE"""),44396)</f>
        <v>44396</v>
      </c>
      <c r="B4331" s="6" t="str">
        <f ca="1">IFERROR(__xludf.DUMMYFUNCTION("""COMPUTED_VALUE"""),"-33.665943,-70.923777")</f>
        <v>-33.665943,-70.923777</v>
      </c>
      <c r="C4331" s="6" t="str">
        <f ca="1">IFERROR(__xludf.DUMMYFUNCTION("""COMPUTED_VALUE"""),"NUEVA 1178 ")</f>
        <v xml:space="preserve">NUEVA 1178 </v>
      </c>
      <c r="D4331" s="6" t="str">
        <f ca="1">IFERROR(__xludf.DUMMYFUNCTION("""COMPUTED_VALUE"""),"TALAGANTE")</f>
        <v>TALAGANTE</v>
      </c>
    </row>
    <row r="4332" spans="1:4">
      <c r="A4332" s="7">
        <f ca="1">IFERROR(__xludf.DUMMYFUNCTION("""COMPUTED_VALUE"""),44396)</f>
        <v>44396</v>
      </c>
      <c r="B4332" s="6" t="str">
        <f ca="1">IFERROR(__xludf.DUMMYFUNCTION("""COMPUTED_VALUE"""),"-33.695366,-70.858698")</f>
        <v>-33.695366,-70.858698</v>
      </c>
      <c r="C4332" s="6" t="str">
        <f ca="1">IFERROR(__xludf.DUMMYFUNCTION("""COMPUTED_VALUE"""),"CO LOS PERROS 1665 PARC 18 LOTE A-6")</f>
        <v>CO LOS PERROS 1665 PARC 18 LOTE A-6</v>
      </c>
      <c r="D4332" s="6" t="str">
        <f ca="1">IFERROR(__xludf.DUMMYFUNCTION("""COMPUTED_VALUE"""),"TALAGANTE")</f>
        <v>TALAGANTE</v>
      </c>
    </row>
    <row r="4333" spans="1:4">
      <c r="A4333" s="7">
        <f ca="1">IFERROR(__xludf.DUMMYFUNCTION("""COMPUTED_VALUE"""),44396)</f>
        <v>44396</v>
      </c>
      <c r="B4333" s="8" t="str">
        <f ca="1">IFERROR(__xludf.DUMMYFUNCTION("""COMPUTED_VALUE"""),"-33.164543,-70.790924")</f>
        <v>-33.164543,-70.790924</v>
      </c>
      <c r="C4333" s="6" t="str">
        <f ca="1">IFERROR(__xludf.DUMMYFUNCTION("""COMPUTED_VALUE"""),"LAS CIMAS 318")</f>
        <v>LAS CIMAS 318</v>
      </c>
      <c r="D4333" s="6" t="str">
        <f ca="1">IFERROR(__xludf.DUMMYFUNCTION("""COMPUTED_VALUE"""),"TIL TIL")</f>
        <v>TIL TIL</v>
      </c>
    </row>
    <row r="4334" spans="1:4">
      <c r="A4334" s="7">
        <f ca="1">IFERROR(__xludf.DUMMYFUNCTION("""COMPUTED_VALUE"""),44396)</f>
        <v>44396</v>
      </c>
      <c r="B4334" s="8" t="str">
        <f ca="1">IFERROR(__xludf.DUMMYFUNCTION("""COMPUTED_VALUE"""),"-33.801791,-71.215058")</f>
        <v>-33.801791,-71.215058</v>
      </c>
      <c r="C4334" s="6" t="str">
        <f ca="1">IFERROR(__xludf.DUMMYFUNCTION("""COMPUTED_VALUE"""),"CULIPRAN 66 ")</f>
        <v xml:space="preserve">CULIPRAN 66 </v>
      </c>
      <c r="D4334" s="6" t="str">
        <f ca="1">IFERROR(__xludf.DUMMYFUNCTION("""COMPUTED_VALUE"""),"MELIPILLA")</f>
        <v>MELIPILLA</v>
      </c>
    </row>
    <row r="4335" spans="1:4">
      <c r="A4335" s="7">
        <f ca="1">IFERROR(__xludf.DUMMYFUNCTION("""COMPUTED_VALUE"""),44396)</f>
        <v>44396</v>
      </c>
      <c r="B4335" s="6" t="str">
        <f ca="1">IFERROR(__xludf.DUMMYFUNCTION("""COMPUTED_VALUE"""),"-33.157129-71.345032")</f>
        <v>-33.157129-71.345032</v>
      </c>
      <c r="C4335" s="6" t="str">
        <f ca="1">IFERROR(__xludf.DUMMYFUNCTION("""COMPUTED_VALUE"""),"LOS ALMENDROS PARCELA 1")</f>
        <v>LOS ALMENDROS PARCELA 1</v>
      </c>
      <c r="D4335" s="6" t="str">
        <f ca="1">IFERROR(__xludf.DUMMYFUNCTION("""COMPUTED_VALUE"""),"QUILPUÉ")</f>
        <v>QUILPUÉ</v>
      </c>
    </row>
    <row r="4336" spans="1:4">
      <c r="A4336" s="7">
        <f ca="1">IFERROR(__xludf.DUMMYFUNCTION("""COMPUTED_VALUE"""),44397)</f>
        <v>44397</v>
      </c>
      <c r="B4336" s="8" t="str">
        <f ca="1">IFERROR(__xludf.DUMMYFUNCTION("""COMPUTED_VALUE"""),"-33.748387,-71.326264")</f>
        <v>-33.748387,-71.326264</v>
      </c>
      <c r="C4336" s="6" t="str">
        <f ca="1">IFERROR(__xludf.DUMMYFUNCTION("""COMPUTED_VALUE"""),"CODIGUA P 11")</f>
        <v>CODIGUA P 11</v>
      </c>
      <c r="D4336" s="6" t="str">
        <f ca="1">IFERROR(__xludf.DUMMYFUNCTION("""COMPUTED_VALUE"""),"MELIPILLA")</f>
        <v>MELIPILLA</v>
      </c>
    </row>
    <row r="4337" spans="1:4">
      <c r="A4337" s="7">
        <f ca="1">IFERROR(__xludf.DUMMYFUNCTION("""COMPUTED_VALUE"""),44397)</f>
        <v>44397</v>
      </c>
      <c r="B4337" s="8" t="str">
        <f ca="1">IFERROR(__xludf.DUMMYFUNCTION("""COMPUTED_VALUE"""),"-33.6785972,-70.9913624")</f>
        <v>-33.6785972,-70.9913624</v>
      </c>
      <c r="C4337" s="6" t="str">
        <f ca="1">IFERROR(__xludf.DUMMYFUNCTION("""COMPUTED_VALUE"""),"1 DE MAYO EL MONTE ")</f>
        <v xml:space="preserve">1 DE MAYO EL MONTE </v>
      </c>
      <c r="D4337" s="6" t="str">
        <f ca="1">IFERROR(__xludf.DUMMYFUNCTION("""COMPUTED_VALUE"""),"EL MONTE")</f>
        <v>EL MONTE</v>
      </c>
    </row>
    <row r="4338" spans="1:4">
      <c r="A4338" s="7">
        <f ca="1">IFERROR(__xludf.DUMMYFUNCTION("""COMPUTED_VALUE"""),44397)</f>
        <v>44397</v>
      </c>
      <c r="B4338" s="8" t="str">
        <f ca="1">IFERROR(__xludf.DUMMYFUNCTION("""COMPUTED_VALUE"""),"-33.563592,-71.790716")</f>
        <v>-33.563592,-71.790716</v>
      </c>
      <c r="C4338" s="6" t="str">
        <f ca="1">IFERROR(__xludf.DUMMYFUNCTION("""COMPUTED_VALUE"""),"PRIMERA AVENIDA 1085")</f>
        <v>PRIMERA AVENIDA 1085</v>
      </c>
      <c r="D4338" s="6" t="str">
        <f ca="1">IFERROR(__xludf.DUMMYFUNCTION("""COMPUTED_VALUE"""),"PADRE HURTADO")</f>
        <v>PADRE HURTADO</v>
      </c>
    </row>
    <row r="4339" spans="1:4">
      <c r="A4339" s="7">
        <f ca="1">IFERROR(__xludf.DUMMYFUNCTION("""COMPUTED_VALUE"""),44397)</f>
        <v>44397</v>
      </c>
      <c r="B4339" s="8" t="str">
        <f ca="1">IFERROR(__xludf.DUMMYFUNCTION("""COMPUTED_VALUE"""),"-33.661976,-70.665274")</f>
        <v>-33.661976,-70.665274</v>
      </c>
      <c r="C4339" s="6" t="str">
        <f ca="1">IFERROR(__xludf.DUMMYFUNCTION("""COMPUTED_VALUE"""),"LOS ARENEROS 17")</f>
        <v>LOS ARENEROS 17</v>
      </c>
      <c r="D4339" s="6" t="str">
        <f ca="1">IFERROR(__xludf.DUMMYFUNCTION("""COMPUTED_VALUE"""),"BUIN")</f>
        <v>BUIN</v>
      </c>
    </row>
    <row r="4340" spans="1:4">
      <c r="A4340" s="7">
        <f ca="1">IFERROR(__xludf.DUMMYFUNCTION("""COMPUTED_VALUE"""),44397)</f>
        <v>44397</v>
      </c>
      <c r="B4340" s="6" t="str">
        <f ca="1">IFERROR(__xludf.DUMMYFUNCTION("""COMPUTED_VALUE"""),"-33.698327-71.207214")</f>
        <v>-33.698327-71.207214</v>
      </c>
      <c r="C4340" s="6" t="str">
        <f ca="1">IFERROR(__xludf.DUMMYFUNCTION("""COMPUTED_VALUE"""),"1620 SANTA ANA (SECT PAR EL BAJO)")</f>
        <v>1620 SANTA ANA (SECT PAR EL BAJO)</v>
      </c>
      <c r="D4340" s="6" t="str">
        <f ca="1">IFERROR(__xludf.DUMMYFUNCTION("""COMPUTED_VALUE"""),"MELIPILLA")</f>
        <v>MELIPILLA</v>
      </c>
    </row>
    <row r="4341" spans="1:4">
      <c r="A4341" s="7">
        <f ca="1">IFERROR(__xludf.DUMMYFUNCTION("""COMPUTED_VALUE"""),44397)</f>
        <v>44397</v>
      </c>
      <c r="B4341" s="6" t="str">
        <f ca="1">IFERROR(__xludf.DUMMYFUNCTION("""COMPUTED_VALUE"""),"-33.404083-71.127143")</f>
        <v>-33.404083-71.127143</v>
      </c>
      <c r="C4341" s="6" t="str">
        <f ca="1">IFERROR(__xludf.DUMMYFUNCTION("""COMPUTED_VALUE"""),"MARIA AVILA REYES 150")</f>
        <v>MARIA AVILA REYES 150</v>
      </c>
      <c r="D4341" s="6" t="str">
        <f ca="1">IFERROR(__xludf.DUMMYFUNCTION("""COMPUTED_VALUE"""),"CURACAVI")</f>
        <v>CURACAVI</v>
      </c>
    </row>
    <row r="4342" spans="1:4">
      <c r="A4342" s="7">
        <f ca="1">IFERROR(__xludf.DUMMYFUNCTION("""COMPUTED_VALUE"""),44397)</f>
        <v>44397</v>
      </c>
      <c r="B4342" s="6" t="str">
        <f ca="1">IFERROR(__xludf.DUMMYFUNCTION("""COMPUTED_VALUE"""),"-33.407782-71.139172")</f>
        <v>-33.407782-71.139172</v>
      </c>
      <c r="C4342" s="6" t="str">
        <f ca="1">IFERROR(__xludf.DUMMYFUNCTION("""COMPUTED_VALUE"""),"FRANCISCO JOFRE 1103")</f>
        <v>FRANCISCO JOFRE 1103</v>
      </c>
      <c r="D4342" s="6" t="str">
        <f ca="1">IFERROR(__xludf.DUMMYFUNCTION("""COMPUTED_VALUE"""),"CURACAVI")</f>
        <v>CURACAVI</v>
      </c>
    </row>
    <row r="4343" spans="1:4">
      <c r="A4343" s="7">
        <f ca="1">IFERROR(__xludf.DUMMYFUNCTION("""COMPUTED_VALUE"""),44397)</f>
        <v>44397</v>
      </c>
      <c r="B4343" s="6" t="str">
        <f ca="1">IFERROR(__xludf.DUMMYFUNCTION("""COMPUTED_VALUE"""),"-33.645561,-71.015741")</f>
        <v>-33.645561,-71.015741</v>
      </c>
      <c r="C4343" s="6" t="str">
        <f ca="1">IFERROR(__xludf.DUMMYFUNCTION("""COMPUTED_VALUE"""),"CNO LA PUNTILLA S/N")</f>
        <v>CNO LA PUNTILLA S/N</v>
      </c>
      <c r="D4343" s="6" t="str">
        <f ca="1">IFERROR(__xludf.DUMMYFUNCTION("""COMPUTED_VALUE"""),"EL MONTE")</f>
        <v>EL MONTE</v>
      </c>
    </row>
    <row r="4344" spans="1:4">
      <c r="A4344" s="7">
        <f ca="1">IFERROR(__xludf.DUMMYFUNCTION("""COMPUTED_VALUE"""),44397)</f>
        <v>44397</v>
      </c>
      <c r="B4344" s="6" t="str">
        <f ca="1">IFERROR(__xludf.DUMMYFUNCTION("""COMPUTED_VALUE"""),"-33.582689,-70.812319")</f>
        <v>-33.582689,-70.812319</v>
      </c>
      <c r="C4344" s="6" t="str">
        <f ca="1">IFERROR(__xludf.DUMMYFUNCTION("""COMPUTED_VALUE"""),"MANZANA S/N VILLA CHILOE")</f>
        <v>MANZANA S/N VILLA CHILOE</v>
      </c>
      <c r="D4344" s="6" t="str">
        <f ca="1">IFERROR(__xludf.DUMMYFUNCTION("""COMPUTED_VALUE"""),"PADRE HURTADO")</f>
        <v>PADRE HURTADO</v>
      </c>
    </row>
    <row r="4345" spans="1:4">
      <c r="A4345" s="7">
        <f ca="1">IFERROR(__xludf.DUMMYFUNCTION("""COMPUTED_VALUE"""),44397)</f>
        <v>44397</v>
      </c>
      <c r="B4345" s="6" t="str">
        <f ca="1">IFERROR(__xludf.DUMMYFUNCTION("""COMPUTED_VALUE"""),"-33.688706,-71.206081")</f>
        <v>-33.688706,-71.206081</v>
      </c>
      <c r="C4345" s="6" t="str">
        <f ca="1">IFERROR(__xludf.DUMMYFUNCTION("""COMPUTED_VALUE"""),"LIBERTAD 110")</f>
        <v>LIBERTAD 110</v>
      </c>
      <c r="D4345" s="6" t="str">
        <f ca="1">IFERROR(__xludf.DUMMYFUNCTION("""COMPUTED_VALUE"""),"MELIPILLA")</f>
        <v>MELIPILLA</v>
      </c>
    </row>
    <row r="4346" spans="1:4">
      <c r="A4346" s="7">
        <f ca="1">IFERROR(__xludf.DUMMYFUNCTION("""COMPUTED_VALUE"""),44397)</f>
        <v>44397</v>
      </c>
      <c r="B4346" s="8" t="str">
        <f ca="1">IFERROR(__xludf.DUMMYFUNCTION("""COMPUTED_VALUE"""),"-33.576239,-71.185367")</f>
        <v>-33.576239,-71.185367</v>
      </c>
      <c r="C4346" s="6" t="str">
        <f ca="1">IFERROR(__xludf.DUMMYFUNCTION("""COMPUTED_VALUE"""),"SANTA GEMITA")</f>
        <v>SANTA GEMITA</v>
      </c>
      <c r="D4346" s="6" t="str">
        <f ca="1">IFERROR(__xludf.DUMMYFUNCTION("""COMPUTED_VALUE"""),"MELIPILLA")</f>
        <v>MELIPILLA</v>
      </c>
    </row>
    <row r="4347" spans="1:4">
      <c r="A4347" s="7">
        <f ca="1">IFERROR(__xludf.DUMMYFUNCTION("""COMPUTED_VALUE"""),44397)</f>
        <v>44397</v>
      </c>
      <c r="B4347" s="8" t="str">
        <f ca="1">IFERROR(__xludf.DUMMYFUNCTION("""COMPUTED_VALUE"""),"-33.802349,-71.214502")</f>
        <v>-33.802349,-71.214502</v>
      </c>
      <c r="C4347" s="6" t="str">
        <f ca="1">IFERROR(__xludf.DUMMYFUNCTION("""COMPUTED_VALUE"""),"CULIPRAN #66")</f>
        <v>CULIPRAN #66</v>
      </c>
      <c r="D4347" s="6" t="str">
        <f ca="1">IFERROR(__xludf.DUMMYFUNCTION("""COMPUTED_VALUE"""),"MELIPILLA")</f>
        <v>MELIPILLA</v>
      </c>
    </row>
    <row r="4348" spans="1:4">
      <c r="A4348" s="7">
        <f ca="1">IFERROR(__xludf.DUMMYFUNCTION("""COMPUTED_VALUE"""),44397)</f>
        <v>44397</v>
      </c>
      <c r="B4348" s="6" t="str">
        <f ca="1">IFERROR(__xludf.DUMMYFUNCTION("""COMPUTED_VALUE"""),"-33.055650-71.433440")</f>
        <v>-33.055650-71.433440</v>
      </c>
      <c r="C4348" s="6" t="str">
        <f ca="1">IFERROR(__xludf.DUMMYFUNCTION("""COMPUTED_VALUE"""),"DEL CANELO 1527")</f>
        <v>DEL CANELO 1527</v>
      </c>
      <c r="D4348" s="6" t="str">
        <f ca="1">IFERROR(__xludf.DUMMYFUNCTION("""COMPUTED_VALUE"""),"QUILPUÉ")</f>
        <v>QUILPUÉ</v>
      </c>
    </row>
    <row r="4349" spans="1:4">
      <c r="A4349" s="7">
        <f ca="1">IFERROR(__xludf.DUMMYFUNCTION("""COMPUTED_VALUE"""),44397)</f>
        <v>44397</v>
      </c>
      <c r="B4349" s="6" t="str">
        <f ca="1">IFERROR(__xludf.DUMMYFUNCTION("""COMPUTED_VALUE"""),"-33.046344-71.414936")</f>
        <v>-33.046344-71.414936</v>
      </c>
      <c r="C4349" s="6" t="str">
        <f ca="1">IFERROR(__xludf.DUMMYFUNCTION("""COMPUTED_VALUE"""),"LOS REYES 1250")</f>
        <v>LOS REYES 1250</v>
      </c>
      <c r="D4349" s="6" t="str">
        <f ca="1">IFERROR(__xludf.DUMMYFUNCTION("""COMPUTED_VALUE"""),"QUILPUÉ")</f>
        <v>QUILPUÉ</v>
      </c>
    </row>
    <row r="4350" spans="1:4">
      <c r="A4350" s="7">
        <f ca="1">IFERROR(__xludf.DUMMYFUNCTION("""COMPUTED_VALUE"""),44397)</f>
        <v>44397</v>
      </c>
      <c r="B4350" s="6" t="str">
        <f ca="1">IFERROR(__xludf.DUMMYFUNCTION("""COMPUTED_VALUE"""),"-33.03173-71.25288")</f>
        <v>-33.03173-71.25288</v>
      </c>
      <c r="C4350" s="6" t="str">
        <f ca="1">IFERROR(__xludf.DUMMYFUNCTION("""COMPUTED_VALUE"""),"LAS MAGNOLIAS 1389")</f>
        <v>LAS MAGNOLIAS 1389</v>
      </c>
      <c r="D4350" s="6" t="str">
        <f ca="1">IFERROR(__xludf.DUMMYFUNCTION("""COMPUTED_VALUE"""),"QUILPUÉ")</f>
        <v>QUILPUÉ</v>
      </c>
    </row>
    <row r="4351" spans="1:4">
      <c r="A4351" s="7">
        <f ca="1">IFERROR(__xludf.DUMMYFUNCTION("""COMPUTED_VALUE"""),44397)</f>
        <v>44397</v>
      </c>
      <c r="B4351" s="6" t="str">
        <f ca="1">IFERROR(__xludf.DUMMYFUNCTION("""COMPUTED_VALUE"""),"-33.059860-71.398696")</f>
        <v>-33.059860-71.398696</v>
      </c>
      <c r="C4351" s="6" t="str">
        <f ca="1">IFERROR(__xludf.DUMMYFUNCTION("""COMPUTED_VALUE"""),"PJE RIGEL 7")</f>
        <v>PJE RIGEL 7</v>
      </c>
      <c r="D4351" s="6" t="str">
        <f ca="1">IFERROR(__xludf.DUMMYFUNCTION("""COMPUTED_VALUE"""),"QUILPUÉ")</f>
        <v>QUILPUÉ</v>
      </c>
    </row>
    <row r="4352" spans="1:4">
      <c r="A4352" s="7">
        <f ca="1">IFERROR(__xludf.DUMMYFUNCTION("""COMPUTED_VALUE"""),44397)</f>
        <v>44397</v>
      </c>
      <c r="B4352" s="6" t="str">
        <f ca="1">IFERROR(__xludf.DUMMYFUNCTION("""COMPUTED_VALUE"""),"-33.039857-71.469713")</f>
        <v>-33.039857-71.469713</v>
      </c>
      <c r="C4352" s="6" t="str">
        <f ca="1">IFERROR(__xludf.DUMMYFUNCTION("""COMPUTED_VALUE"""),"DOS NUEVA CONDELL 01583")</f>
        <v>DOS NUEVA CONDELL 01583</v>
      </c>
      <c r="D4352" s="6" t="str">
        <f ca="1">IFERROR(__xludf.DUMMYFUNCTION("""COMPUTED_VALUE"""),"QUILPUÉ")</f>
        <v>QUILPUÉ</v>
      </c>
    </row>
    <row r="4353" spans="1:4">
      <c r="A4353" s="7">
        <f ca="1">IFERROR(__xludf.DUMMYFUNCTION("""COMPUTED_VALUE"""),44398)</f>
        <v>44398</v>
      </c>
      <c r="B4353" s="8" t="str">
        <f ca="1">IFERROR(__xludf.DUMMYFUNCTION("""COMPUTED_VALUE"""),".-33.4946921-71.168134")</f>
        <v>.-33.4946921-71.168134</v>
      </c>
      <c r="C4353" s="6" t="str">
        <f ca="1">IFERROR(__xludf.DUMMYFUNCTION("""COMPUTED_VALUE"""),"LAS MERCEDEZ S/N")</f>
        <v>LAS MERCEDEZ S/N</v>
      </c>
      <c r="D4353" s="6" t="str">
        <f ca="1">IFERROR(__xludf.DUMMYFUNCTION("""COMPUTED_VALUE"""),"MARIA PINTO")</f>
        <v>MARIA PINTO</v>
      </c>
    </row>
    <row r="4354" spans="1:4">
      <c r="A4354" s="7">
        <f ca="1">IFERROR(__xludf.DUMMYFUNCTION("""COMPUTED_VALUE"""),44398)</f>
        <v>44398</v>
      </c>
      <c r="B4354" s="8" t="str">
        <f ca="1">IFERROR(__xludf.DUMMYFUNCTION("""COMPUTED_VALUE"""),"-33.651236,-70.924056")</f>
        <v>-33.651236,-70.924056</v>
      </c>
      <c r="C4354" s="6" t="str">
        <f ca="1">IFERROR(__xludf.DUMMYFUNCTION("""COMPUTED_VALUE"""),"SANTANA 130 CASA 19")</f>
        <v>SANTANA 130 CASA 19</v>
      </c>
      <c r="D4354" s="6" t="str">
        <f ca="1">IFERROR(__xludf.DUMMYFUNCTION("""COMPUTED_VALUE"""),"TALAGANTE")</f>
        <v>TALAGANTE</v>
      </c>
    </row>
    <row r="4355" spans="1:4">
      <c r="A4355" s="7">
        <f ca="1">IFERROR(__xludf.DUMMYFUNCTION("""COMPUTED_VALUE"""),44398)</f>
        <v>44398</v>
      </c>
      <c r="B4355" s="8" t="str">
        <f ca="1">IFERROR(__xludf.DUMMYFUNCTION("""COMPUTED_VALUE"""),"-33.665477,-70.832854")</f>
        <v>-33.665477,-70.832854</v>
      </c>
      <c r="C4355" s="6" t="str">
        <f ca="1">IFERROR(__xludf.DUMMYFUNCTION("""COMPUTED_VALUE"""),"EL ROTO CHILENO SITIO 6")</f>
        <v>EL ROTO CHILENO SITIO 6</v>
      </c>
      <c r="D4355" s="6" t="str">
        <f ca="1">IFERROR(__xludf.DUMMYFUNCTION("""COMPUTED_VALUE"""),"TALAGANTE")</f>
        <v>TALAGANTE</v>
      </c>
    </row>
    <row r="4356" spans="1:4">
      <c r="A4356" s="7">
        <f ca="1">IFERROR(__xludf.DUMMYFUNCTION("""COMPUTED_VALUE"""),44398)</f>
        <v>44398</v>
      </c>
      <c r="B4356" s="8" t="str">
        <f ca="1">IFERROR(__xludf.DUMMYFUNCTION("""COMPUTED_VALUE"""),"-33.269219,-70.883352")</f>
        <v>-33.269219,-70.883352</v>
      </c>
      <c r="C4356" s="6" t="str">
        <f ca="1">IFERROR(__xludf.DUMMYFUNCTION("""COMPUTED_VALUE"""),"JUAN DE DIOS")</f>
        <v>JUAN DE DIOS</v>
      </c>
      <c r="D4356" s="6" t="str">
        <f ca="1">IFERROR(__xludf.DUMMYFUNCTION("""COMPUTED_VALUE"""),"LAMPA")</f>
        <v>LAMPA</v>
      </c>
    </row>
    <row r="4357" spans="1:4">
      <c r="A4357" s="7">
        <f ca="1">IFERROR(__xludf.DUMMYFUNCTION("""COMPUTED_VALUE"""),44398)</f>
        <v>44398</v>
      </c>
      <c r="B4357" s="6" t="str">
        <f ca="1">IFERROR(__xludf.DUMMYFUNCTION("""COMPUTED_VALUE"""),"-33.790924-70.782221")</f>
        <v>-33.790924-70.782221</v>
      </c>
      <c r="C4357" s="6" t="str">
        <f ca="1">IFERROR(__xludf.DUMMYFUNCTION("""COMPUTED_VALUE"""),"SANTA JULIA #13 VILUCO (SANTA JULIA 2, BUIN)")</f>
        <v>SANTA JULIA #13 VILUCO (SANTA JULIA 2, BUIN)</v>
      </c>
      <c r="D4357" s="6" t="str">
        <f ca="1">IFERROR(__xludf.DUMMYFUNCTION("""COMPUTED_VALUE"""),"BUIN")</f>
        <v>BUIN</v>
      </c>
    </row>
    <row r="4358" spans="1:4">
      <c r="A4358" s="7">
        <f ca="1">IFERROR(__xludf.DUMMYFUNCTION("""COMPUTED_VALUE"""),44398)</f>
        <v>44398</v>
      </c>
      <c r="B4358" s="6" t="str">
        <f ca="1">IFERROR(__xludf.DUMMYFUNCTION("""COMPUTED_VALUE"""),"-33.791895-70.780451")</f>
        <v>-33.791895-70.780451</v>
      </c>
      <c r="C4358" s="6" t="str">
        <f ca="1">IFERROR(__xludf.DUMMYFUNCTION("""COMPUTED_VALUE"""),"STA JULIA DE VILUCO SITIO 12 (AV VILUCO 4173)")</f>
        <v>STA JULIA DE VILUCO SITIO 12 (AV VILUCO 4173)</v>
      </c>
      <c r="D4358" s="6" t="str">
        <f ca="1">IFERROR(__xludf.DUMMYFUNCTION("""COMPUTED_VALUE"""),"BUIN")</f>
        <v>BUIN</v>
      </c>
    </row>
    <row r="4359" spans="1:4">
      <c r="A4359" s="7">
        <f ca="1">IFERROR(__xludf.DUMMYFUNCTION("""COMPUTED_VALUE"""),44398)</f>
        <v>44398</v>
      </c>
      <c r="B4359" s="6" t="str">
        <f ca="1">IFERROR(__xludf.DUMMYFUNCTION("""COMPUTED_VALUE"""),"-33.607147-70.866489")</f>
        <v>-33.607147-70.866489</v>
      </c>
      <c r="C4359" s="6" t="str">
        <f ca="1">IFERROR(__xludf.DUMMYFUNCTION("""COMPUTED_VALUE"""),"NUEVA FLORIDA 991")</f>
        <v>NUEVA FLORIDA 991</v>
      </c>
      <c r="D4359" s="6" t="str">
        <f ca="1">IFERROR(__xludf.DUMMYFUNCTION("""COMPUTED_VALUE"""),"PEÑAFLOR")</f>
        <v>PEÑAFLOR</v>
      </c>
    </row>
    <row r="4360" spans="1:4">
      <c r="A4360" s="7">
        <f ca="1">IFERROR(__xludf.DUMMYFUNCTION("""COMPUTED_VALUE"""),44398)</f>
        <v>44398</v>
      </c>
      <c r="B4360" s="6" t="str">
        <f ca="1">IFERROR(__xludf.DUMMYFUNCTION("""COMPUTED_VALUE"""),"-33.602331-70.894916")</f>
        <v>-33.602331-70.894916</v>
      </c>
      <c r="C4360" s="6" t="str">
        <f ca="1">IFERROR(__xludf.DUMMYFUNCTION("""COMPUTED_VALUE"""),"IRARRAZAVAL 307")</f>
        <v>IRARRAZAVAL 307</v>
      </c>
      <c r="D4360" s="6" t="str">
        <f ca="1">IFERROR(__xludf.DUMMYFUNCTION("""COMPUTED_VALUE"""),"PEÑAFLOR")</f>
        <v>PEÑAFLOR</v>
      </c>
    </row>
    <row r="4361" spans="1:4">
      <c r="A4361" s="7">
        <f ca="1">IFERROR(__xludf.DUMMYFUNCTION("""COMPUTED_VALUE"""),44398)</f>
        <v>44398</v>
      </c>
      <c r="B4361" s="6" t="str">
        <f ca="1">IFERROR(__xludf.DUMMYFUNCTION("""COMPUTED_VALUE"""),"-33.740942-70.738627")</f>
        <v>-33.740942-70.738627</v>
      </c>
      <c r="C4361" s="6" t="str">
        <f ca="1">IFERROR(__xludf.DUMMYFUNCTION("""COMPUTED_VALUE"""),"ORLANDO DE VALDIVIA N°75")</f>
        <v>ORLANDO DE VALDIVIA N°75</v>
      </c>
      <c r="D4361" s="6" t="str">
        <f ca="1">IFERROR(__xludf.DUMMYFUNCTION("""COMPUTED_VALUE"""),"BUIN")</f>
        <v>BUIN</v>
      </c>
    </row>
    <row r="4362" spans="1:4">
      <c r="A4362" s="7">
        <f ca="1">IFERROR(__xludf.DUMMYFUNCTION("""COMPUTED_VALUE"""),44398)</f>
        <v>44398</v>
      </c>
      <c r="B4362" s="6" t="str">
        <f ca="1">IFERROR(__xludf.DUMMYFUNCTION("""COMPUTED_VALUE"""),"-33.644910,-71.012817")</f>
        <v>-33.644910,-71.012817</v>
      </c>
      <c r="C4362" s="6" t="str">
        <f ca="1">IFERROR(__xludf.DUMMYFUNCTION("""COMPUTED_VALUE"""),"AV CENTRAL 50")</f>
        <v>AV CENTRAL 50</v>
      </c>
      <c r="D4362" s="6" t="str">
        <f ca="1">IFERROR(__xludf.DUMMYFUNCTION("""COMPUTED_VALUE"""),"EL MONTE")</f>
        <v>EL MONTE</v>
      </c>
    </row>
    <row r="4363" spans="1:4">
      <c r="A4363" s="7">
        <f ca="1">IFERROR(__xludf.DUMMYFUNCTION("""COMPUTED_VALUE"""),44398)</f>
        <v>44398</v>
      </c>
      <c r="B4363" s="6" t="str">
        <f ca="1">IFERROR(__xludf.DUMMYFUNCTION("""COMPUTED_VALUE"""),"-33.675829,-70.980067")</f>
        <v>-33.675829,-70.980067</v>
      </c>
      <c r="C4363" s="6" t="str">
        <f ca="1">IFERROR(__xludf.DUMMYFUNCTION("""COMPUTED_VALUE"""),"CA MIGUEL VALDES 196 ")</f>
        <v xml:space="preserve">CA MIGUEL VALDES 196 </v>
      </c>
      <c r="D4363" s="6" t="str">
        <f ca="1">IFERROR(__xludf.DUMMYFUNCTION("""COMPUTED_VALUE"""),"EL MONTE")</f>
        <v>EL MONTE</v>
      </c>
    </row>
    <row r="4364" spans="1:4">
      <c r="A4364" s="7">
        <f ca="1">IFERROR(__xludf.DUMMYFUNCTION("""COMPUTED_VALUE"""),44398)</f>
        <v>44398</v>
      </c>
      <c r="B4364" s="6" t="str">
        <f ca="1">IFERROR(__xludf.DUMMYFUNCTION("""COMPUTED_VALUE"""),"-33.487391,-71.144031")</f>
        <v>-33.487391,-71.144031</v>
      </c>
      <c r="C4364" s="6" t="str">
        <f ca="1">IFERROR(__xludf.DUMMYFUNCTION("""COMPUTED_VALUE"""),"EL REDIL S/N")</f>
        <v>EL REDIL S/N</v>
      </c>
      <c r="D4364" s="6" t="str">
        <f ca="1">IFERROR(__xludf.DUMMYFUNCTION("""COMPUTED_VALUE"""),"MARIA PINTO")</f>
        <v>MARIA PINTO</v>
      </c>
    </row>
    <row r="4365" spans="1:4">
      <c r="A4365" s="7">
        <f ca="1">IFERROR(__xludf.DUMMYFUNCTION("""COMPUTED_VALUE"""),44398)</f>
        <v>44398</v>
      </c>
      <c r="B4365" s="6" t="str">
        <f ca="1">IFERROR(__xludf.DUMMYFUNCTION("""COMPUTED_VALUE"""),"-33.487589,-71.143293")</f>
        <v>-33.487589,-71.143293</v>
      </c>
      <c r="C4365" s="6" t="str">
        <f ca="1">IFERROR(__xludf.DUMMYFUNCTION("""COMPUTED_VALUE"""),"EL BOSQUE 69")</f>
        <v>EL BOSQUE 69</v>
      </c>
      <c r="D4365" s="6" t="str">
        <f ca="1">IFERROR(__xludf.DUMMYFUNCTION("""COMPUTED_VALUE"""),"MARIA PINTO")</f>
        <v>MARIA PINTO</v>
      </c>
    </row>
    <row r="4366" spans="1:4">
      <c r="A4366" s="7">
        <f ca="1">IFERROR(__xludf.DUMMYFUNCTION("""COMPUTED_VALUE"""),44398)</f>
        <v>44398</v>
      </c>
      <c r="B4366" s="8" t="str">
        <f ca="1">IFERROR(__xludf.DUMMYFUNCTION("""COMPUTED_VALUE"""),"-33.653825,-70.905001")</f>
        <v>-33.653825,-70.905001</v>
      </c>
      <c r="C4366" s="6" t="str">
        <f ca="1">IFERROR(__xludf.DUMMYFUNCTION("""COMPUTED_VALUE"""),"UNO ORIENTE 633")</f>
        <v>UNO ORIENTE 633</v>
      </c>
      <c r="D4366" s="6" t="str">
        <f ca="1">IFERROR(__xludf.DUMMYFUNCTION("""COMPUTED_VALUE"""),"TALAGANTE")</f>
        <v>TALAGANTE</v>
      </c>
    </row>
    <row r="4367" spans="1:4">
      <c r="A4367" s="7">
        <f ca="1">IFERROR(__xludf.DUMMYFUNCTION("""COMPUTED_VALUE"""),44398)</f>
        <v>44398</v>
      </c>
      <c r="B4367" s="8" t="str">
        <f ca="1">IFERROR(__xludf.DUMMYFUNCTION("""COMPUTED_VALUE"""),"-33.656776,-70919487")</f>
        <v>-33.656776,-70919487</v>
      </c>
      <c r="C4367" s="6" t="str">
        <f ca="1">IFERROR(__xludf.DUMMYFUNCTION("""COMPUTED_VALUE"""),"MARCELA PAZ 510")</f>
        <v>MARCELA PAZ 510</v>
      </c>
      <c r="D4367" s="6" t="str">
        <f ca="1">IFERROR(__xludf.DUMMYFUNCTION("""COMPUTED_VALUE"""),"TALAGANTE")</f>
        <v>TALAGANTE</v>
      </c>
    </row>
    <row r="4368" spans="1:4">
      <c r="A4368" s="7">
        <f ca="1">IFERROR(__xludf.DUMMYFUNCTION("""COMPUTED_VALUE"""),44399)</f>
        <v>44399</v>
      </c>
      <c r="B4368" s="8" t="str">
        <f ca="1">IFERROR(__xludf.DUMMYFUNCTION("""COMPUTED_VALUE"""),"- 33.697245, -70.853412")</f>
        <v>- 33.697245, -70.853412</v>
      </c>
      <c r="C4368" s="6" t="str">
        <f ca="1">IFERROR(__xludf.DUMMYFUNCTION("""COMPUTED_VALUE"""),"El chacayal 1540")</f>
        <v>El chacayal 1540</v>
      </c>
      <c r="D4368" s="6" t="str">
        <f ca="1">IFERROR(__xludf.DUMMYFUNCTION("""COMPUTED_VALUE"""),"TALAGANTE")</f>
        <v>TALAGANTE</v>
      </c>
    </row>
    <row r="4369" spans="1:4">
      <c r="A4369" s="7">
        <f ca="1">IFERROR(__xludf.DUMMYFUNCTION("""COMPUTED_VALUE"""),44399)</f>
        <v>44399</v>
      </c>
      <c r="B4369" s="8" t="str">
        <f ca="1">IFERROR(__xludf.DUMMYFUNCTION("""COMPUTED_VALUE"""),"-33.591884,-71.223655")</f>
        <v>-33.591884,-71.223655</v>
      </c>
      <c r="C4369" s="6" t="str">
        <f ca="1">IFERROR(__xludf.DUMMYFUNCTION("""COMPUTED_VALUE"""),"SANTA FILOMENA S/N")</f>
        <v>SANTA FILOMENA S/N</v>
      </c>
      <c r="D4369" s="6" t="str">
        <f ca="1">IFERROR(__xludf.DUMMYFUNCTION("""COMPUTED_VALUE"""),"MELIPILLA")</f>
        <v>MELIPILLA</v>
      </c>
    </row>
    <row r="4370" spans="1:4">
      <c r="A4370" s="7">
        <f ca="1">IFERROR(__xludf.DUMMYFUNCTION("""COMPUTED_VALUE"""),44399)</f>
        <v>44399</v>
      </c>
      <c r="B4370" s="8" t="str">
        <f ca="1">IFERROR(__xludf.DUMMYFUNCTION("""COMPUTED_VALUE"""),"-33.768577,-71.520358")</f>
        <v>-33.768577,-71.520358</v>
      </c>
      <c r="C4370" s="6" t="str">
        <f ca="1">IFERROR(__xludf.DUMMYFUNCTION("""COMPUTED_VALUE"""),"ESTANCILLA 1420")</f>
        <v>ESTANCILLA 1420</v>
      </c>
      <c r="D4370" s="6" t="str">
        <f ca="1">IFERROR(__xludf.DUMMYFUNCTION("""COMPUTED_VALUE"""),"BUIN")</f>
        <v>BUIN</v>
      </c>
    </row>
    <row r="4371" spans="1:4">
      <c r="A4371" s="7">
        <f ca="1">IFERROR(__xludf.DUMMYFUNCTION("""COMPUTED_VALUE"""),44399)</f>
        <v>44399</v>
      </c>
      <c r="B4371" s="8" t="str">
        <f ca="1">IFERROR(__xludf.DUMMYFUNCTION("""COMPUTED_VALUE"""),"-33.768577,-71.520358")</f>
        <v>-33.768577,-71.520358</v>
      </c>
      <c r="C4371" s="6" t="str">
        <f ca="1">IFERROR(__xludf.DUMMYFUNCTION("""COMPUTED_VALUE"""),"ESTANCILLA 1420")</f>
        <v>ESTANCILLA 1420</v>
      </c>
      <c r="D4371" s="6" t="str">
        <f ca="1">IFERROR(__xludf.DUMMYFUNCTION("""COMPUTED_VALUE"""),"BUIN")</f>
        <v>BUIN</v>
      </c>
    </row>
    <row r="4372" spans="1:4">
      <c r="A4372" s="7">
        <f ca="1">IFERROR(__xludf.DUMMYFUNCTION("""COMPUTED_VALUE"""),44399)</f>
        <v>44399</v>
      </c>
      <c r="B4372" s="8" t="str">
        <f ca="1">IFERROR(__xludf.DUMMYFUNCTION("""COMPUTED_VALUE"""),"-33.6703163, -70.94623")</f>
        <v>-33.6703163, -70.94623</v>
      </c>
      <c r="C4372" s="6" t="str">
        <f ca="1">IFERROR(__xludf.DUMMYFUNCTION("""COMPUTED_VALUE"""),"Camino viejo 1661,")</f>
        <v>Camino viejo 1661,</v>
      </c>
      <c r="D4372" s="6" t="str">
        <f ca="1">IFERROR(__xludf.DUMMYFUNCTION("""COMPUTED_VALUE"""),"TALAGANTE")</f>
        <v>TALAGANTE</v>
      </c>
    </row>
    <row r="4373" spans="1:4">
      <c r="A4373" s="7">
        <f ca="1">IFERROR(__xludf.DUMMYFUNCTION("""COMPUTED_VALUE"""),44399)</f>
        <v>44399</v>
      </c>
      <c r="B4373" s="8" t="str">
        <f ca="1">IFERROR(__xludf.DUMMYFUNCTION("""COMPUTED_VALUE"""),"-33.662177,-71.834379")</f>
        <v>-33.662177,-71.834379</v>
      </c>
      <c r="C4373" s="6" t="str">
        <f ca="1">IFERROR(__xludf.DUMMYFUNCTION("""COMPUTED_VALUE"""),"CAMINO LONQUEN SUR SITIO 11")</f>
        <v>CAMINO LONQUEN SUR SITIO 11</v>
      </c>
      <c r="D4373" s="6" t="str">
        <f ca="1">IFERROR(__xludf.DUMMYFUNCTION("""COMPUTED_VALUE"""),"TALAGANTE")</f>
        <v>TALAGANTE</v>
      </c>
    </row>
    <row r="4374" spans="1:4">
      <c r="A4374" s="7">
        <f ca="1">IFERROR(__xludf.DUMMYFUNCTION("""COMPUTED_VALUE"""),44399)</f>
        <v>44399</v>
      </c>
      <c r="B4374" s="6" t="str">
        <f ca="1">IFERROR(__xludf.DUMMYFUNCTION("""COMPUTED_VALUE"""),"-33.407872-71.491129")</f>
        <v>-33.407872-71.491129</v>
      </c>
      <c r="C4374" s="6" t="str">
        <f ca="1">IFERROR(__xludf.DUMMYFUNCTION("""COMPUTED_VALUE"""),"EL VIÑADOR 141")</f>
        <v>EL VIÑADOR 141</v>
      </c>
      <c r="D4374" s="6" t="str">
        <f ca="1">IFERROR(__xludf.DUMMYFUNCTION("""COMPUTED_VALUE"""),"CURACAVI")</f>
        <v>CURACAVI</v>
      </c>
    </row>
    <row r="4375" spans="1:4">
      <c r="A4375" s="7">
        <f ca="1">IFERROR(__xludf.DUMMYFUNCTION("""COMPUTED_VALUE"""),44399)</f>
        <v>44399</v>
      </c>
      <c r="B4375" s="6" t="str">
        <f ca="1">IFERROR(__xludf.DUMMYFUNCTION("""COMPUTED_VALUE"""),"-33.391072-71.123176")</f>
        <v>-33.391072-71.123176</v>
      </c>
      <c r="C4375" s="6" t="str">
        <f ca="1">IFERROR(__xludf.DUMMYFUNCTION("""COMPUTED_VALUE"""),"ULISES LILLO 1122")</f>
        <v>ULISES LILLO 1122</v>
      </c>
      <c r="D4375" s="6" t="str">
        <f ca="1">IFERROR(__xludf.DUMMYFUNCTION("""COMPUTED_VALUE"""),"CURACAVI")</f>
        <v>CURACAVI</v>
      </c>
    </row>
    <row r="4376" spans="1:4">
      <c r="A4376" s="7">
        <f ca="1">IFERROR(__xludf.DUMMYFUNCTION("""COMPUTED_VALUE"""),44399)</f>
        <v>44399</v>
      </c>
      <c r="B4376" s="6" t="str">
        <f ca="1">IFERROR(__xludf.DUMMYFUNCTION("""COMPUTED_VALUE"""),"-33.292271-70.888733")</f>
        <v>-33.292271-70.888733</v>
      </c>
      <c r="C4376" s="6" t="str">
        <f ca="1">IFERROR(__xludf.DUMMYFUNCTION("""COMPUTED_VALUE"""),"COILEMU 1255 (COILEMU 52)")</f>
        <v>COILEMU 1255 (COILEMU 52)</v>
      </c>
      <c r="D4376" s="6" t="str">
        <f ca="1">IFERROR(__xludf.DUMMYFUNCTION("""COMPUTED_VALUE"""),"LAMPA")</f>
        <v>LAMPA</v>
      </c>
    </row>
    <row r="4377" spans="1:4">
      <c r="A4377" s="7">
        <f ca="1">IFERROR(__xludf.DUMMYFUNCTION("""COMPUTED_VALUE"""),44399)</f>
        <v>44399</v>
      </c>
      <c r="B4377" s="6" t="str">
        <f ca="1">IFERROR(__xludf.DUMMYFUNCTION("""COMPUTED_VALUE"""),"-33.389500-71.114776")</f>
        <v>-33.389500-71.114776</v>
      </c>
      <c r="C4377" s="6" t="str">
        <f ca="1">IFERROR(__xludf.DUMMYFUNCTION("""COMPUTED_VALUE"""),"MARGOT LOYOLA 1991")</f>
        <v>MARGOT LOYOLA 1991</v>
      </c>
      <c r="D4377" s="6" t="str">
        <f ca="1">IFERROR(__xludf.DUMMYFUNCTION("""COMPUTED_VALUE"""),"CURACAVI")</f>
        <v>CURACAVI</v>
      </c>
    </row>
    <row r="4378" spans="1:4">
      <c r="A4378" s="7">
        <f ca="1">IFERROR(__xludf.DUMMYFUNCTION("""COMPUTED_VALUE"""),44399)</f>
        <v>44399</v>
      </c>
      <c r="B4378" s="6" t="str">
        <f ca="1">IFERROR(__xludf.DUMMYFUNCTION("""COMPUTED_VALUE"""),"-33.406646-71.126948")</f>
        <v>-33.406646-71.126948</v>
      </c>
      <c r="C4378" s="6" t="str">
        <f ca="1">IFERROR(__xludf.DUMMYFUNCTION("""COMPUTED_VALUE"""),"EL PARRON 432")</f>
        <v>EL PARRON 432</v>
      </c>
      <c r="D4378" s="6" t="str">
        <f ca="1">IFERROR(__xludf.DUMMYFUNCTION("""COMPUTED_VALUE"""),"CURACAVI")</f>
        <v>CURACAVI</v>
      </c>
    </row>
    <row r="4379" spans="1:4">
      <c r="A4379" s="7">
        <f ca="1">IFERROR(__xludf.DUMMYFUNCTION("""COMPUTED_VALUE"""),44399)</f>
        <v>44399</v>
      </c>
      <c r="B4379" s="6" t="str">
        <f ca="1">IFERROR(__xludf.DUMMYFUNCTION("""COMPUTED_VALUE"""),"-33.687109,-71.024587")</f>
        <v>-33.687109,-71.024587</v>
      </c>
      <c r="C4379" s="6" t="str">
        <f ca="1">IFERROR(__xludf.DUMMYFUNCTION("""COMPUTED_VALUE"""),"LOS CASTAÑOS 19")</f>
        <v>LOS CASTAÑOS 19</v>
      </c>
      <c r="D4379" s="6" t="str">
        <f ca="1">IFERROR(__xludf.DUMMYFUNCTION("""COMPUTED_VALUE"""),"EL MONTE")</f>
        <v>EL MONTE</v>
      </c>
    </row>
    <row r="4380" spans="1:4">
      <c r="A4380" s="7">
        <f ca="1">IFERROR(__xludf.DUMMYFUNCTION("""COMPUTED_VALUE"""),44399)</f>
        <v>44399</v>
      </c>
      <c r="B4380" s="6" t="str">
        <f ca="1">IFERROR(__xludf.DUMMYFUNCTION("""COMPUTED_VALUE"""),"-33.651919,-71.068946")</f>
        <v>-33.651919,-71.068946</v>
      </c>
      <c r="C4380" s="6" t="str">
        <f ca="1">IFERROR(__xludf.DUMMYFUNCTION("""COMPUTED_VALUE"""),"LOS HUINGANES PARC 6")</f>
        <v>LOS HUINGANES PARC 6</v>
      </c>
      <c r="D4380" s="6" t="str">
        <f ca="1">IFERROR(__xludf.DUMMYFUNCTION("""COMPUTED_VALUE"""),"EL MONTE")</f>
        <v>EL MONTE</v>
      </c>
    </row>
    <row r="4381" spans="1:4">
      <c r="A4381" s="7">
        <f ca="1">IFERROR(__xludf.DUMMYFUNCTION("""COMPUTED_VALUE"""),44399)</f>
        <v>44399</v>
      </c>
      <c r="B4381" s="6" t="str">
        <f ca="1">IFERROR(__xludf.DUMMYFUNCTION("""COMPUTED_VALUE"""),"-33.680397,-71.228444")</f>
        <v>-33.680397,-71.228444</v>
      </c>
      <c r="C4381" s="6" t="str">
        <f ca="1">IFERROR(__xludf.DUMMYFUNCTION("""COMPUTED_VALUE"""),"LAS PATAGUAS 44")</f>
        <v>LAS PATAGUAS 44</v>
      </c>
      <c r="D4381" s="6" t="str">
        <f ca="1">IFERROR(__xludf.DUMMYFUNCTION("""COMPUTED_VALUE"""),"MELIPILLA")</f>
        <v>MELIPILLA</v>
      </c>
    </row>
    <row r="4382" spans="1:4">
      <c r="A4382" s="7">
        <f ca="1">IFERROR(__xludf.DUMMYFUNCTION("""COMPUTED_VALUE"""),44399)</f>
        <v>44399</v>
      </c>
      <c r="B4382" s="8" t="str">
        <f ca="1">IFERROR(__xludf.DUMMYFUNCTION("""COMPUTED_VALUE"""),"-33.665047,-70.837921")</f>
        <v>-33.665047,-70.837921</v>
      </c>
      <c r="C4382" s="6" t="str">
        <f ca="1">IFERROR(__xludf.DUMMYFUNCTION("""COMPUTED_VALUE"""),"CAMINO LONQUEN SUR VILLA 3 CASA 7")</f>
        <v>CAMINO LONQUEN SUR VILLA 3 CASA 7</v>
      </c>
      <c r="D4382" s="6" t="str">
        <f ca="1">IFERROR(__xludf.DUMMYFUNCTION("""COMPUTED_VALUE"""),"TALAGANTE")</f>
        <v>TALAGANTE</v>
      </c>
    </row>
    <row r="4383" spans="1:4">
      <c r="A4383" s="7">
        <f ca="1">IFERROR(__xludf.DUMMYFUNCTION("""COMPUTED_VALUE"""),44399)</f>
        <v>44399</v>
      </c>
      <c r="B4383" s="8" t="str">
        <f ca="1">IFERROR(__xludf.DUMMYFUNCTION("""COMPUTED_VALUE"""),"-33.798432,-71.278964")</f>
        <v>-33.798432,-71.278964</v>
      </c>
      <c r="C4383" s="6" t="str">
        <f ca="1">IFERROR(__xludf.DUMMYFUNCTION("""COMPUTED_VALUE"""),"PARCELA 169")</f>
        <v>PARCELA 169</v>
      </c>
      <c r="D4383" s="6" t="str">
        <f ca="1">IFERROR(__xludf.DUMMYFUNCTION("""COMPUTED_VALUE"""),"MELIPILLA")</f>
        <v>MELIPILLA</v>
      </c>
    </row>
    <row r="4384" spans="1:4">
      <c r="A4384" s="7">
        <f ca="1">IFERROR(__xludf.DUMMYFUNCTION("""COMPUTED_VALUE"""),44399)</f>
        <v>44399</v>
      </c>
      <c r="B4384" s="6" t="str">
        <f ca="1">IFERROR(__xludf.DUMMYFUNCTION("""COMPUTED_VALUE"""),"-33.046277-71.415109")</f>
        <v>-33.046277-71.415109</v>
      </c>
      <c r="C4384" s="6" t="str">
        <f ca="1">IFERROR(__xludf.DUMMYFUNCTION("""COMPUTED_VALUE"""),"LOS REYES 1270")</f>
        <v>LOS REYES 1270</v>
      </c>
      <c r="D4384" s="6" t="str">
        <f ca="1">IFERROR(__xludf.DUMMYFUNCTION("""COMPUTED_VALUE"""),"QUILPUÉ")</f>
        <v>QUILPUÉ</v>
      </c>
    </row>
    <row r="4385" spans="1:4">
      <c r="A4385" s="7">
        <f ca="1">IFERROR(__xludf.DUMMYFUNCTION("""COMPUTED_VALUE"""),44399)</f>
        <v>44399</v>
      </c>
      <c r="B4385" s="6" t="str">
        <f ca="1">IFERROR(__xludf.DUMMYFUNCTION("""COMPUTED_VALUE"""),"-33.059860-71.398696")</f>
        <v>-33.059860-71.398696</v>
      </c>
      <c r="C4385" s="6" t="str">
        <f ca="1">IFERROR(__xludf.DUMMYFUNCTION("""COMPUTED_VALUE"""),"PJE PROCYON 1042")</f>
        <v>PJE PROCYON 1042</v>
      </c>
      <c r="D4385" s="6" t="str">
        <f ca="1">IFERROR(__xludf.DUMMYFUNCTION("""COMPUTED_VALUE"""),"QUILPUÉ")</f>
        <v>QUILPUÉ</v>
      </c>
    </row>
    <row r="4386" spans="1:4">
      <c r="A4386" s="7">
        <f ca="1">IFERROR(__xludf.DUMMYFUNCTION("""COMPUTED_VALUE"""),44399)</f>
        <v>44399</v>
      </c>
      <c r="B4386" s="6" t="str">
        <f ca="1">IFERROR(__xludf.DUMMYFUNCTION("""COMPUTED_VALUE"""),"-33.072639-71.434438")</f>
        <v>-33.072639-71.434438</v>
      </c>
      <c r="C4386" s="6" t="str">
        <f ca="1">IFERROR(__xludf.DUMMYFUNCTION("""COMPUTED_VALUE"""),"ALTO MANQUEHUE 3191")</f>
        <v>ALTO MANQUEHUE 3191</v>
      </c>
      <c r="D4386" s="6" t="str">
        <f ca="1">IFERROR(__xludf.DUMMYFUNCTION("""COMPUTED_VALUE"""),"QUILPUÉ")</f>
        <v>QUILPUÉ</v>
      </c>
    </row>
    <row r="4387" spans="1:4">
      <c r="A4387" s="7">
        <f ca="1">IFERROR(__xludf.DUMMYFUNCTION("""COMPUTED_VALUE"""),44400)</f>
        <v>44400</v>
      </c>
      <c r="B4387" s="8" t="str">
        <f ca="1">IFERROR(__xludf.DUMMYFUNCTION("""COMPUTED_VALUE"""),"-33.685980,-71.027713")</f>
        <v>-33.685980,-71.027713</v>
      </c>
      <c r="C4387" s="6" t="str">
        <f ca="1">IFERROR(__xludf.DUMMYFUNCTION("""COMPUTED_VALUE"""),"LAGO CHUNGUERA 1360 A")</f>
        <v>LAGO CHUNGUERA 1360 A</v>
      </c>
      <c r="D4387" s="6" t="str">
        <f ca="1">IFERROR(__xludf.DUMMYFUNCTION("""COMPUTED_VALUE"""),"EL MONTE")</f>
        <v>EL MONTE</v>
      </c>
    </row>
    <row r="4388" spans="1:4">
      <c r="A4388" s="7">
        <f ca="1">IFERROR(__xludf.DUMMYFUNCTION("""COMPUTED_VALUE"""),44400)</f>
        <v>44400</v>
      </c>
      <c r="B4388" s="8" t="str">
        <f ca="1">IFERROR(__xludf.DUMMYFUNCTION("""COMPUTED_VALUE"""),"-33.692398.-71027109")</f>
        <v>-33.692398.-71027109</v>
      </c>
      <c r="C4388" s="6" t="str">
        <f ca="1">IFERROR(__xludf.DUMMYFUNCTION("""COMPUTED_VALUE"""),"SAN ANTONIO 149")</f>
        <v>SAN ANTONIO 149</v>
      </c>
      <c r="D4388" s="6" t="str">
        <f ca="1">IFERROR(__xludf.DUMMYFUNCTION("""COMPUTED_VALUE"""),"EL MONTE")</f>
        <v>EL MONTE</v>
      </c>
    </row>
    <row r="4389" spans="1:4">
      <c r="A4389" s="7">
        <f ca="1">IFERROR(__xludf.DUMMYFUNCTION("""COMPUTED_VALUE"""),44400)</f>
        <v>44400</v>
      </c>
      <c r="B4389" s="6" t="str">
        <f ca="1">IFERROR(__xludf.DUMMYFUNCTION("""COMPUTED_VALUE"""),"-33.411489-70.999595")</f>
        <v>-33.411489-70.999595</v>
      </c>
      <c r="C4389" s="6" t="str">
        <f ca="1">IFERROR(__xludf.DUMMYFUNCTION("""COMPUTED_VALUE"""),"LA AURORA S/N")</f>
        <v>LA AURORA S/N</v>
      </c>
      <c r="D4389" s="6" t="str">
        <f ca="1">IFERROR(__xludf.DUMMYFUNCTION("""COMPUTED_VALUE"""),"CURACAVI")</f>
        <v>CURACAVI</v>
      </c>
    </row>
    <row r="4390" spans="1:4">
      <c r="A4390" s="7">
        <f ca="1">IFERROR(__xludf.DUMMYFUNCTION("""COMPUTED_VALUE"""),44400)</f>
        <v>44400</v>
      </c>
      <c r="B4390" s="6" t="str">
        <f ca="1">IFERROR(__xludf.DUMMYFUNCTION("""COMPUTED_VALUE"""),"-33.396622-71.128210")</f>
        <v>-33.396622-71.128210</v>
      </c>
      <c r="C4390" s="6" t="str">
        <f ca="1">IFERROR(__xludf.DUMMYFUNCTION("""COMPUTED_VALUE"""),"PRESBITERO MORAGA 606")</f>
        <v>PRESBITERO MORAGA 606</v>
      </c>
      <c r="D4390" s="6" t="str">
        <f ca="1">IFERROR(__xludf.DUMMYFUNCTION("""COMPUTED_VALUE"""),"CURACAVI")</f>
        <v>CURACAVI</v>
      </c>
    </row>
    <row r="4391" spans="1:4">
      <c r="A4391" s="7">
        <f ca="1">IFERROR(__xludf.DUMMYFUNCTION("""COMPUTED_VALUE"""),44400)</f>
        <v>44400</v>
      </c>
      <c r="B4391" s="6" t="str">
        <f ca="1">IFERROR(__xludf.DUMMYFUNCTION("""COMPUTED_VALUE"""),"-33.407141-71.136427")</f>
        <v>-33.407141-71.136427</v>
      </c>
      <c r="C4391" s="6" t="str">
        <f ca="1">IFERROR(__xludf.DUMMYFUNCTION("""COMPUTED_VALUE"""),"LIDIA SILVIA MCVEY 250")</f>
        <v>LIDIA SILVIA MCVEY 250</v>
      </c>
      <c r="D4391" s="6" t="str">
        <f ca="1">IFERROR(__xludf.DUMMYFUNCTION("""COMPUTED_VALUE"""),"CURACAVI")</f>
        <v>CURACAVI</v>
      </c>
    </row>
    <row r="4392" spans="1:4">
      <c r="A4392" s="7">
        <f ca="1">IFERROR(__xludf.DUMMYFUNCTION("""COMPUTED_VALUE"""),44400)</f>
        <v>44400</v>
      </c>
      <c r="B4392" s="6" t="str">
        <f ca="1">IFERROR(__xludf.DUMMYFUNCTION("""COMPUTED_VALUE"""),"-33.674092,-70.987089")</f>
        <v>-33.674092,-70.987089</v>
      </c>
      <c r="C4392" s="6" t="str">
        <f ca="1">IFERROR(__xludf.DUMMYFUNCTION("""COMPUTED_VALUE"""),"LAS TINAJAS 335")</f>
        <v>LAS TINAJAS 335</v>
      </c>
      <c r="D4392" s="6" t="str">
        <f ca="1">IFERROR(__xludf.DUMMYFUNCTION("""COMPUTED_VALUE"""),"EL MONTE")</f>
        <v>EL MONTE</v>
      </c>
    </row>
    <row r="4393" spans="1:4">
      <c r="A4393" s="7">
        <f ca="1">IFERROR(__xludf.DUMMYFUNCTION("""COMPUTED_VALUE"""),44400)</f>
        <v>44400</v>
      </c>
      <c r="B4393" s="6" t="str">
        <f ca="1">IFERROR(__xludf.DUMMYFUNCTION("""COMPUTED_VALUE"""),"-33.699389,.71.053911")</f>
        <v>-33.699389,.71.053911</v>
      </c>
      <c r="C4393" s="6" t="str">
        <f ca="1">IFERROR(__xludf.DUMMYFUNCTION("""COMPUTED_VALUE"""),"VILLA LOS POETAS")</f>
        <v>VILLA LOS POETAS</v>
      </c>
      <c r="D4393" s="6" t="str">
        <f ca="1">IFERROR(__xludf.DUMMYFUNCTION("""COMPUTED_VALUE"""),"EL MONTE")</f>
        <v>EL MONTE</v>
      </c>
    </row>
    <row r="4394" spans="1:4">
      <c r="A4394" s="7">
        <f ca="1">IFERROR(__xludf.DUMMYFUNCTION("""COMPUTED_VALUE"""),44400)</f>
        <v>44400</v>
      </c>
      <c r="B4394" s="8" t="str">
        <f ca="1">IFERROR(__xludf.DUMMYFUNCTION("""COMPUTED_VALUE"""),"-33.629986,-70.767639")</f>
        <v>-33.629986,-70.767639</v>
      </c>
      <c r="C4394" s="6" t="str">
        <f ca="1">IFERROR(__xludf.DUMMYFUNCTION("""COMPUTED_VALUE"""),"EL CARMEN SN")</f>
        <v>EL CARMEN SN</v>
      </c>
      <c r="D4394" s="6" t="str">
        <f ca="1">IFERROR(__xludf.DUMMYFUNCTION("""COMPUTED_VALUE"""),"CALERA DE TANGO")</f>
        <v>CALERA DE TANGO</v>
      </c>
    </row>
    <row r="4395" spans="1:4">
      <c r="A4395" s="7">
        <f ca="1">IFERROR(__xludf.DUMMYFUNCTION("""COMPUTED_VALUE"""),44400)</f>
        <v>44400</v>
      </c>
      <c r="B4395" s="8" t="str">
        <f ca="1">IFERROR(__xludf.DUMMYFUNCTION("""COMPUTED_VALUE"""),"-33.677978,-70.943607")</f>
        <v>-33.677978,-70.943607</v>
      </c>
      <c r="C4395" s="6" t="str">
        <f ca="1">IFERROR(__xludf.DUMMYFUNCTION("""COMPUTED_VALUE"""),"TREBULCO 2619")</f>
        <v>TREBULCO 2619</v>
      </c>
      <c r="D4395" s="6" t="str">
        <f ca="1">IFERROR(__xludf.DUMMYFUNCTION("""COMPUTED_VALUE"""),"TALAGANTE")</f>
        <v>TALAGANTE</v>
      </c>
    </row>
    <row r="4396" spans="1:4">
      <c r="A4396" s="7">
        <f ca="1">IFERROR(__xludf.DUMMYFUNCTION("""COMPUTED_VALUE"""),44400)</f>
        <v>44400</v>
      </c>
      <c r="B4396" s="8" t="str">
        <f ca="1">IFERROR(__xludf.DUMMYFUNCTION("""COMPUTED_VALUE"""),"-33.634082,-70.886884")</f>
        <v>-33.634082,-70.886884</v>
      </c>
      <c r="C4396" s="6" t="str">
        <f ca="1">IFERROR(__xludf.DUMMYFUNCTION("""COMPUTED_VALUE"""),"CAMINO SAN GUILLERMO")</f>
        <v>CAMINO SAN GUILLERMO</v>
      </c>
      <c r="D4396" s="6" t="str">
        <f ca="1">IFERROR(__xludf.DUMMYFUNCTION("""COMPUTED_VALUE"""),"TALAGANTE")</f>
        <v>TALAGANTE</v>
      </c>
    </row>
    <row r="4397" spans="1:4">
      <c r="A4397" s="7">
        <f ca="1">IFERROR(__xludf.DUMMYFUNCTION("""COMPUTED_VALUE"""),44400)</f>
        <v>44400</v>
      </c>
      <c r="B4397" s="6" t="str">
        <f ca="1">IFERROR(__xludf.DUMMYFUNCTION("""COMPUTED_VALUE"""),"-33.059218-71.434375")</f>
        <v>-33.059218-71.434375</v>
      </c>
      <c r="C4397" s="6" t="str">
        <f ca="1">IFERROR(__xludf.DUMMYFUNCTION("""COMPUTED_VALUE"""),"LOS AROMOS 1910")</f>
        <v>LOS AROMOS 1910</v>
      </c>
      <c r="D4397" s="6" t="str">
        <f ca="1">IFERROR(__xludf.DUMMYFUNCTION("""COMPUTED_VALUE"""),"QUILPUÉ")</f>
        <v>QUILPUÉ</v>
      </c>
    </row>
    <row r="4398" spans="1:4">
      <c r="A4398" s="7">
        <f ca="1">IFERROR(__xludf.DUMMYFUNCTION("""COMPUTED_VALUE"""),44400)</f>
        <v>44400</v>
      </c>
      <c r="B4398" s="6" t="str">
        <f ca="1">IFERROR(__xludf.DUMMYFUNCTION("""COMPUTED_VALUE"""),"-33.031868-71.429894")</f>
        <v>-33.031868-71.429894</v>
      </c>
      <c r="C4398" s="6" t="str">
        <f ca="1">IFERROR(__xludf.DUMMYFUNCTION("""COMPUTED_VALUE"""),"SOR TERESA DE LOS ANDES 748")</f>
        <v>SOR TERESA DE LOS ANDES 748</v>
      </c>
      <c r="D4398" s="6" t="str">
        <f ca="1">IFERROR(__xludf.DUMMYFUNCTION("""COMPUTED_VALUE"""),"QUILPUÉ")</f>
        <v>QUILPUÉ</v>
      </c>
    </row>
    <row r="4399" spans="1:4">
      <c r="A4399" s="7">
        <f ca="1">IFERROR(__xludf.DUMMYFUNCTION("""COMPUTED_VALUE"""),44401)</f>
        <v>44401</v>
      </c>
      <c r="B4399" s="6" t="str">
        <f ca="1">IFERROR(__xludf.DUMMYFUNCTION("""COMPUTED_VALUE"""),"-33.682165,-71.220790")</f>
        <v>-33.682165,-71.220790</v>
      </c>
      <c r="C4399" s="6" t="str">
        <f ca="1">IFERROR(__xludf.DUMMYFUNCTION("""COMPUTED_VALUE"""),"CORINA BRAVO 1007 ")</f>
        <v xml:space="preserve">CORINA BRAVO 1007 </v>
      </c>
      <c r="D4399" s="6" t="str">
        <f ca="1">IFERROR(__xludf.DUMMYFUNCTION("""COMPUTED_VALUE"""),"MELIPILLA")</f>
        <v>MELIPILLA</v>
      </c>
    </row>
    <row r="4400" spans="1:4">
      <c r="A4400" s="7">
        <f ca="1">IFERROR(__xludf.DUMMYFUNCTION("""COMPUTED_VALUE"""),44403)</f>
        <v>44403</v>
      </c>
      <c r="B4400" s="8" t="str">
        <f ca="1">IFERROR(__xludf.DUMMYFUNCTION("""COMPUTED_VALUE"""),"-33.569819,.71.212246")</f>
        <v>-33.569819,.71.212246</v>
      </c>
      <c r="C4400" s="6" t="str">
        <f ca="1">IFERROR(__xludf.DUMMYFUNCTION("""COMPUTED_VALUE"""),"LOS MAQUIS 55")</f>
        <v>LOS MAQUIS 55</v>
      </c>
      <c r="D4400" s="6" t="str">
        <f ca="1">IFERROR(__xludf.DUMMYFUNCTION("""COMPUTED_VALUE"""),"MELIPILLA")</f>
        <v>MELIPILLA</v>
      </c>
    </row>
    <row r="4401" spans="1:4">
      <c r="A4401" s="7">
        <f ca="1">IFERROR(__xludf.DUMMYFUNCTION("""COMPUTED_VALUE"""),44403)</f>
        <v>44403</v>
      </c>
      <c r="B4401" s="6"/>
      <c r="C4401" s="6" t="str">
        <f ca="1">IFERROR(__xludf.DUMMYFUNCTION("""COMPUTED_VALUE"""),"AV SAN ANTONIO 0509")</f>
        <v>AV SAN ANTONIO 0509</v>
      </c>
      <c r="D4401" s="6" t="str">
        <f ca="1">IFERROR(__xludf.DUMMYFUNCTION("""COMPUTED_VALUE"""),"EL MONTE")</f>
        <v>EL MONTE</v>
      </c>
    </row>
    <row r="4402" spans="1:4">
      <c r="A4402" s="7">
        <f ca="1">IFERROR(__xludf.DUMMYFUNCTION("""COMPUTED_VALUE"""),44403)</f>
        <v>44403</v>
      </c>
      <c r="B4402" s="6" t="str">
        <f ca="1">IFERROR(__xludf.DUMMYFUNCTION("""COMPUTED_VALUE"""),"-33.625903,-71.230569")</f>
        <v>-33.625903,-71.230569</v>
      </c>
      <c r="C4402" s="6" t="str">
        <f ca="1">IFERROR(__xludf.DUMMYFUNCTION("""COMPUTED_VALUE"""),"RUMAY ALTO S/N")</f>
        <v>RUMAY ALTO S/N</v>
      </c>
      <c r="D4402" s="6" t="str">
        <f ca="1">IFERROR(__xludf.DUMMYFUNCTION("""COMPUTED_VALUE"""),"MELIPILLA")</f>
        <v>MELIPILLA</v>
      </c>
    </row>
    <row r="4403" spans="1:4">
      <c r="A4403" s="7">
        <f ca="1">IFERROR(__xludf.DUMMYFUNCTION("""COMPUTED_VALUE"""),44403)</f>
        <v>44403</v>
      </c>
      <c r="B4403" s="6" t="str">
        <f ca="1">IFERROR(__xludf.DUMMYFUNCTION("""COMPUTED_VALUE"""),"-33.688481,-71.227463")</f>
        <v>-33.688481,-71.227463</v>
      </c>
      <c r="C4403" s="6" t="str">
        <f ca="1">IFERROR(__xludf.DUMMYFUNCTION("""COMPUTED_VALUE"""),"PASAJE GERMAN FELIPE HERNANDEZ SILVA  778")</f>
        <v>PASAJE GERMAN FELIPE HERNANDEZ SILVA  778</v>
      </c>
      <c r="D4403" s="6" t="str">
        <f ca="1">IFERROR(__xludf.DUMMYFUNCTION("""COMPUTED_VALUE"""),"MELIPILLA")</f>
        <v>MELIPILLA</v>
      </c>
    </row>
    <row r="4404" spans="1:4">
      <c r="A4404" s="7">
        <f ca="1">IFERROR(__xludf.DUMMYFUNCTION("""COMPUTED_VALUE"""),44403)</f>
        <v>44403</v>
      </c>
      <c r="B4404" s="6" t="str">
        <f ca="1">IFERROR(__xludf.DUMMYFUNCTION("""COMPUTED_VALUE"""),"-33.688683,-71.227713")</f>
        <v>-33.688683,-71.227713</v>
      </c>
      <c r="C4404" s="6" t="str">
        <f ca="1">IFERROR(__xludf.DUMMYFUNCTION("""COMPUTED_VALUE"""),"PASAJE GERMAN HERNANDEZ 777")</f>
        <v>PASAJE GERMAN HERNANDEZ 777</v>
      </c>
      <c r="D4404" s="6" t="str">
        <f ca="1">IFERROR(__xludf.DUMMYFUNCTION("""COMPUTED_VALUE"""),"MELIPILLA")</f>
        <v>MELIPILLA</v>
      </c>
    </row>
    <row r="4405" spans="1:4">
      <c r="A4405" s="7">
        <f ca="1">IFERROR(__xludf.DUMMYFUNCTION("""COMPUTED_VALUE"""),44403)</f>
        <v>44403</v>
      </c>
      <c r="B4405" s="8" t="str">
        <f ca="1">IFERROR(__xludf.DUMMYFUNCTION("""COMPUTED_VALUE"""),"-33.689315,-70.913293")</f>
        <v>-33.689315,-70.913293</v>
      </c>
      <c r="C4405" s="6" t="str">
        <f ca="1">IFERROR(__xludf.DUMMYFUNCTION("""COMPUTED_VALUE"""),"CARAMPAGUE 980")</f>
        <v>CARAMPAGUE 980</v>
      </c>
      <c r="D4405" s="6" t="str">
        <f ca="1">IFERROR(__xludf.DUMMYFUNCTION("""COMPUTED_VALUE"""),"TALAGANTE")</f>
        <v>TALAGANTE</v>
      </c>
    </row>
    <row r="4406" spans="1:4">
      <c r="A4406" s="7">
        <f ca="1">IFERROR(__xludf.DUMMYFUNCTION("""COMPUTED_VALUE"""),44403)</f>
        <v>44403</v>
      </c>
      <c r="B4406" s="6" t="str">
        <f ca="1">IFERROR(__xludf.DUMMYFUNCTION("""COMPUTED_VALUE"""),"-33.055522-71448890")</f>
        <v>-33.055522-71448890</v>
      </c>
      <c r="C4406" s="6" t="str">
        <f ca="1">IFERROR(__xludf.DUMMYFUNCTION("""COMPUTED_VALUE"""),"BELLAVISTA 285")</f>
        <v>BELLAVISTA 285</v>
      </c>
      <c r="D4406" s="6" t="str">
        <f ca="1">IFERROR(__xludf.DUMMYFUNCTION("""COMPUTED_VALUE"""),"QUILPUÉ")</f>
        <v>QUILPUÉ</v>
      </c>
    </row>
    <row r="4407" spans="1:4">
      <c r="A4407" s="7">
        <f ca="1">IFERROR(__xludf.DUMMYFUNCTION("""COMPUTED_VALUE"""),44403)</f>
        <v>44403</v>
      </c>
      <c r="B4407" s="6" t="str">
        <f ca="1">IFERROR(__xludf.DUMMYFUNCTION("""COMPUTED_VALUE"""),"-33.057327-71.445509")</f>
        <v>-33.057327-71.445509</v>
      </c>
      <c r="C4407" s="6" t="str">
        <f ca="1">IFERROR(__xludf.DUMMYFUNCTION("""COMPUTED_VALUE"""),"PLACERES 545")</f>
        <v>PLACERES 545</v>
      </c>
      <c r="D4407" s="6" t="str">
        <f ca="1">IFERROR(__xludf.DUMMYFUNCTION("""COMPUTED_VALUE"""),"QUILPUÉ")</f>
        <v>QUILPUÉ</v>
      </c>
    </row>
    <row r="4408" spans="1:4">
      <c r="A4408" s="7">
        <f ca="1">IFERROR(__xludf.DUMMYFUNCTION("""COMPUTED_VALUE"""),44403)</f>
        <v>44403</v>
      </c>
      <c r="B4408" s="6" t="str">
        <f ca="1">IFERROR(__xludf.DUMMYFUNCTION("""COMPUTED_VALUE"""),"-33.049202-71.417735")</f>
        <v>-33.049202-71.417735</v>
      </c>
      <c r="C4408" s="6" t="str">
        <f ca="1">IFERROR(__xludf.DUMMYFUNCTION("""COMPUTED_VALUE"""),"AZTECA 319")</f>
        <v>AZTECA 319</v>
      </c>
      <c r="D4408" s="6" t="str">
        <f ca="1">IFERROR(__xludf.DUMMYFUNCTION("""COMPUTED_VALUE"""),"QUILPUÉ")</f>
        <v>QUILPUÉ</v>
      </c>
    </row>
    <row r="4409" spans="1:4">
      <c r="A4409" s="7">
        <f ca="1">IFERROR(__xludf.DUMMYFUNCTION("""COMPUTED_VALUE"""),44403)</f>
        <v>44403</v>
      </c>
      <c r="B4409" s="6" t="str">
        <f ca="1">IFERROR(__xludf.DUMMYFUNCTION("""COMPUTED_VALUE"""),"-33.059144-71.398855")</f>
        <v>-33.059144-71.398855</v>
      </c>
      <c r="C4409" s="6" t="str">
        <f ca="1">IFERROR(__xludf.DUMMYFUNCTION("""COMPUTED_VALUE"""),"PROCYON 1024")</f>
        <v>PROCYON 1024</v>
      </c>
      <c r="D4409" s="6" t="str">
        <f ca="1">IFERROR(__xludf.DUMMYFUNCTION("""COMPUTED_VALUE"""),"QUILPUÉ")</f>
        <v>QUILPUÉ</v>
      </c>
    </row>
    <row r="4410" spans="1:4">
      <c r="A4410" s="7">
        <f ca="1">IFERROR(__xludf.DUMMYFUNCTION("""COMPUTED_VALUE"""),44404)</f>
        <v>44404</v>
      </c>
      <c r="B4410" s="8" t="str">
        <f ca="1">IFERROR(__xludf.DUMMYFUNCTION("""COMPUTED_VALUE"""),"-33.678846,-70.991352")</f>
        <v>-33.678846,-70.991352</v>
      </c>
      <c r="C4410" s="6" t="str">
        <f ca="1">IFERROR(__xludf.DUMMYFUNCTION("""COMPUTED_VALUE"""),"UNO DE MAYO 257 ")</f>
        <v xml:space="preserve">UNO DE MAYO 257 </v>
      </c>
      <c r="D4410" s="6" t="str">
        <f ca="1">IFERROR(__xludf.DUMMYFUNCTION("""COMPUTED_VALUE"""),"EL MONTE")</f>
        <v>EL MONTE</v>
      </c>
    </row>
    <row r="4411" spans="1:4">
      <c r="A4411" s="7">
        <f ca="1">IFERROR(__xludf.DUMMYFUNCTION("""COMPUTED_VALUE"""),44404)</f>
        <v>44404</v>
      </c>
      <c r="B4411" s="6" t="str">
        <f ca="1">IFERROR(__xludf.DUMMYFUNCTION("""COMPUTED_VALUE"""),"-33.416010-71.156735")</f>
        <v>-33.416010-71.156735</v>
      </c>
      <c r="C4411" s="6" t="str">
        <f ca="1">IFERROR(__xludf.DUMMYFUNCTION("""COMPUTED_VALUE"""),"ONOFRE JARA 300")</f>
        <v>ONOFRE JARA 300</v>
      </c>
      <c r="D4411" s="6" t="str">
        <f ca="1">IFERROR(__xludf.DUMMYFUNCTION("""COMPUTED_VALUE"""),"CURACAVI")</f>
        <v>CURACAVI</v>
      </c>
    </row>
    <row r="4412" spans="1:4">
      <c r="A4412" s="7">
        <f ca="1">IFERROR(__xludf.DUMMYFUNCTION("""COMPUTED_VALUE"""),44404)</f>
        <v>44404</v>
      </c>
      <c r="B4412" s="6" t="str">
        <f ca="1">IFERROR(__xludf.DUMMYFUNCTION("""COMPUTED_VALUE"""),"-33.4309820-71.1430310")</f>
        <v>-33.4309820-71.1430310</v>
      </c>
      <c r="C4412" s="6" t="str">
        <f ca="1">IFERROR(__xludf.DUMMYFUNCTION("""COMPUTED_VALUE"""),"LO AGUILA 155")</f>
        <v>LO AGUILA 155</v>
      </c>
      <c r="D4412" s="6" t="str">
        <f ca="1">IFERROR(__xludf.DUMMYFUNCTION("""COMPUTED_VALUE"""),"CURACAVI")</f>
        <v>CURACAVI</v>
      </c>
    </row>
    <row r="4413" spans="1:4">
      <c r="A4413" s="7">
        <f ca="1">IFERROR(__xludf.DUMMYFUNCTION("""COMPUTED_VALUE"""),44404)</f>
        <v>44404</v>
      </c>
      <c r="B4413" s="6" t="str">
        <f ca="1">IFERROR(__xludf.DUMMYFUNCTION("""COMPUTED_VALUE"""),"-33.46009-71.03468")</f>
        <v>-33.46009-71.03468</v>
      </c>
      <c r="C4413" s="6" t="str">
        <f ca="1">IFERROR(__xludf.DUMMYFUNCTION("""COMPUTED_VALUE"""),"NANCY ARIAS 690")</f>
        <v>NANCY ARIAS 690</v>
      </c>
      <c r="D4413" s="6" t="str">
        <f ca="1">IFERROR(__xludf.DUMMYFUNCTION("""COMPUTED_VALUE"""),"CURACAVI")</f>
        <v>CURACAVI</v>
      </c>
    </row>
    <row r="4414" spans="1:4">
      <c r="A4414" s="7">
        <f ca="1">IFERROR(__xludf.DUMMYFUNCTION("""COMPUTED_VALUE"""),44404)</f>
        <v>44404</v>
      </c>
      <c r="B4414" s="6" t="str">
        <f ca="1">IFERROR(__xludf.DUMMYFUNCTION("""COMPUTED_VALUE"""),"-33.39344-71.1204")</f>
        <v>-33.39344-71.1204</v>
      </c>
      <c r="C4414" s="6" t="str">
        <f ca="1">IFERROR(__xludf.DUMMYFUNCTION("""COMPUTED_VALUE"""),"VISTA ESPERANZA 1164")</f>
        <v>VISTA ESPERANZA 1164</v>
      </c>
      <c r="D4414" s="6" t="str">
        <f ca="1">IFERROR(__xludf.DUMMYFUNCTION("""COMPUTED_VALUE"""),"CURACAVI")</f>
        <v>CURACAVI</v>
      </c>
    </row>
    <row r="4415" spans="1:4">
      <c r="A4415" s="7">
        <f ca="1">IFERROR(__xludf.DUMMYFUNCTION("""COMPUTED_VALUE"""),44404)</f>
        <v>44404</v>
      </c>
      <c r="B4415" s="6" t="str">
        <f ca="1">IFERROR(__xludf.DUMMYFUNCTION("""COMPUTED_VALUE"""),"-33.512694,-70826111")</f>
        <v>-33.512694,-70826111</v>
      </c>
      <c r="C4415" s="6" t="str">
        <f ca="1">IFERROR(__xludf.DUMMYFUNCTION("""COMPUTED_VALUE"""),"LOS CAMPESINOS S/N FUNDO EL TREBAL ST 12")</f>
        <v>LOS CAMPESINOS S/N FUNDO EL TREBAL ST 12</v>
      </c>
      <c r="D4415" s="6" t="str">
        <f ca="1">IFERROR(__xludf.DUMMYFUNCTION("""COMPUTED_VALUE"""),"PADRE HURTADO")</f>
        <v>PADRE HURTADO</v>
      </c>
    </row>
    <row r="4416" spans="1:4">
      <c r="A4416" s="7">
        <f ca="1">IFERROR(__xludf.DUMMYFUNCTION("""COMPUTED_VALUE"""),44404)</f>
        <v>44404</v>
      </c>
      <c r="B4416" s="8" t="str">
        <f ca="1">IFERROR(__xludf.DUMMYFUNCTION("""COMPUTED_VALUE"""),"-33.301265,-70.873188")</f>
        <v>-33.301265,-70.873188</v>
      </c>
      <c r="C4416" s="6" t="str">
        <f ca="1">IFERROR(__xludf.DUMMYFUNCTION("""COMPUTED_VALUE"""),"AVDA LA HACIENDA 3016")</f>
        <v>AVDA LA HACIENDA 3016</v>
      </c>
      <c r="D4416" s="6" t="str">
        <f ca="1">IFERROR(__xludf.DUMMYFUNCTION("""COMPUTED_VALUE"""),"LAMPA")</f>
        <v>LAMPA</v>
      </c>
    </row>
    <row r="4417" spans="1:4">
      <c r="A4417" s="7">
        <f ca="1">IFERROR(__xludf.DUMMYFUNCTION("""COMPUTED_VALUE"""),44404)</f>
        <v>44404</v>
      </c>
      <c r="B4417" s="6" t="str">
        <f ca="1">IFERROR(__xludf.DUMMYFUNCTION("""COMPUTED_VALUE"""),"-33.050113-71.419118")</f>
        <v>-33.050113-71.419118</v>
      </c>
      <c r="C4417" s="6" t="str">
        <f ca="1">IFERROR(__xludf.DUMMYFUNCTION("""COMPUTED_VALUE"""),"PJE VISCACHAS 2414")</f>
        <v>PJE VISCACHAS 2414</v>
      </c>
      <c r="D4417" s="6" t="str">
        <f ca="1">IFERROR(__xludf.DUMMYFUNCTION("""COMPUTED_VALUE"""),"QUILPUÉ")</f>
        <v>QUILPUÉ</v>
      </c>
    </row>
    <row r="4418" spans="1:4">
      <c r="A4418" s="7">
        <f ca="1">IFERROR(__xludf.DUMMYFUNCTION("""COMPUTED_VALUE"""),44404)</f>
        <v>44404</v>
      </c>
      <c r="B4418" s="6" t="str">
        <f ca="1">IFERROR(__xludf.DUMMYFUNCTION("""COMPUTED_VALUE"""),"-33.045848-71.415030")</f>
        <v>-33.045848-71.415030</v>
      </c>
      <c r="C4418" s="6" t="str">
        <f ca="1">IFERROR(__xludf.DUMMYFUNCTION("""COMPUTED_VALUE"""),"ISABEL DE CASTILLA 76")</f>
        <v>ISABEL DE CASTILLA 76</v>
      </c>
      <c r="D4418" s="6" t="str">
        <f ca="1">IFERROR(__xludf.DUMMYFUNCTION("""COMPUTED_VALUE"""),"QUILPUÉ")</f>
        <v>QUILPUÉ</v>
      </c>
    </row>
    <row r="4419" spans="1:4">
      <c r="A4419" s="7">
        <f ca="1">IFERROR(__xludf.DUMMYFUNCTION("""COMPUTED_VALUE"""),44404)</f>
        <v>44404</v>
      </c>
      <c r="B4419" s="6" t="str">
        <f ca="1">IFERROR(__xludf.DUMMYFUNCTION("""COMPUTED_VALUE"""),"-33.038786-71.444997")</f>
        <v>-33.038786-71.444997</v>
      </c>
      <c r="C4419" s="6" t="str">
        <f ca="1">IFERROR(__xludf.DUMMYFUNCTION("""COMPUTED_VALUE"""),"GARNADA 1133")</f>
        <v>GARNADA 1133</v>
      </c>
      <c r="D4419" s="6" t="str">
        <f ca="1">IFERROR(__xludf.DUMMYFUNCTION("""COMPUTED_VALUE"""),"QUILPUÉ")</f>
        <v>QUILPUÉ</v>
      </c>
    </row>
    <row r="4420" spans="1:4">
      <c r="A4420" s="7">
        <f ca="1">IFERROR(__xludf.DUMMYFUNCTION("""COMPUTED_VALUE"""),44404)</f>
        <v>44404</v>
      </c>
      <c r="B4420" s="6" t="str">
        <f ca="1">IFERROR(__xludf.DUMMYFUNCTION("""COMPUTED_VALUE"""),"-33.052344-71.423859")</f>
        <v>-33.052344-71.423859</v>
      </c>
      <c r="C4420" s="6" t="str">
        <f ca="1">IFERROR(__xludf.DUMMYFUNCTION("""COMPUTED_VALUE"""),"OVALLE 1160")</f>
        <v>OVALLE 1160</v>
      </c>
      <c r="D4420" s="6" t="str">
        <f ca="1">IFERROR(__xludf.DUMMYFUNCTION("""COMPUTED_VALUE"""),"QUILPUÉ")</f>
        <v>QUILPUÉ</v>
      </c>
    </row>
    <row r="4421" spans="1:4">
      <c r="A4421" s="7">
        <f ca="1">IFERROR(__xludf.DUMMYFUNCTION("""COMPUTED_VALUE"""),44404)</f>
        <v>44404</v>
      </c>
      <c r="B4421" s="6" t="str">
        <f ca="1">IFERROR(__xludf.DUMMYFUNCTION("""COMPUTED_VALUE"""),"-33.036103-71.428029")</f>
        <v>-33.036103-71.428029</v>
      </c>
      <c r="C4421" s="6" t="str">
        <f ca="1">IFERROR(__xludf.DUMMYFUNCTION("""COMPUTED_VALUE"""),"DAGOBERTO GODOY 2364")</f>
        <v>DAGOBERTO GODOY 2364</v>
      </c>
      <c r="D4421" s="6" t="str">
        <f ca="1">IFERROR(__xludf.DUMMYFUNCTION("""COMPUTED_VALUE"""),"QUILPUÉ")</f>
        <v>QUILPUÉ</v>
      </c>
    </row>
    <row r="4422" spans="1:4">
      <c r="A4422" s="7">
        <f ca="1">IFERROR(__xludf.DUMMYFUNCTION("""COMPUTED_VALUE"""),44404)</f>
        <v>44404</v>
      </c>
      <c r="B4422" s="6" t="str">
        <f ca="1">IFERROR(__xludf.DUMMYFUNCTION("""COMPUTED_VALUE"""),"-33.058.230-71.437586")</f>
        <v>-33.058.230-71.437586</v>
      </c>
      <c r="C4422" s="6" t="str">
        <f ca="1">IFERROR(__xludf.DUMMYFUNCTION("""COMPUTED_VALUE"""),"SUBERCASEAUX 1839")</f>
        <v>SUBERCASEAUX 1839</v>
      </c>
      <c r="D4422" s="6" t="str">
        <f ca="1">IFERROR(__xludf.DUMMYFUNCTION("""COMPUTED_VALUE"""),"QUILPUÉ")</f>
        <v>QUILPUÉ</v>
      </c>
    </row>
    <row r="4423" spans="1:4">
      <c r="A4423" s="7">
        <f ca="1">IFERROR(__xludf.DUMMYFUNCTION("""COMPUTED_VALUE"""),44404)</f>
        <v>44404</v>
      </c>
      <c r="B4423" s="6" t="str">
        <f ca="1">IFERROR(__xludf.DUMMYFUNCTION("""COMPUTED_VALUE"""),"-33.067008-71.414951")</f>
        <v>-33.067008-71.414951</v>
      </c>
      <c r="C4423" s="6" t="str">
        <f ca="1">IFERROR(__xludf.DUMMYFUNCTION("""COMPUTED_VALUE"""),"PJE LAGO CABURGA 2413")</f>
        <v>PJE LAGO CABURGA 2413</v>
      </c>
      <c r="D4423" s="6" t="str">
        <f ca="1">IFERROR(__xludf.DUMMYFUNCTION("""COMPUTED_VALUE"""),"QUILPUÉ")</f>
        <v>QUILPUÉ</v>
      </c>
    </row>
    <row r="4424" spans="1:4">
      <c r="A4424" s="7">
        <f ca="1">IFERROR(__xludf.DUMMYFUNCTION("""COMPUTED_VALUE"""),44405)</f>
        <v>44405</v>
      </c>
      <c r="B4424" s="8" t="str">
        <f ca="1">IFERROR(__xludf.DUMMYFUNCTION("""COMPUTED_VALUE"""),"-33.664747,.70,917365")</f>
        <v>-33.664747,.70,917365</v>
      </c>
      <c r="C4424" s="6" t="str">
        <f ca="1">IFERROR(__xludf.DUMMYFUNCTION("""COMPUTED_VALUE"""),"LOS TORNEROS 1359")</f>
        <v>LOS TORNEROS 1359</v>
      </c>
      <c r="D4424" s="6" t="str">
        <f ca="1">IFERROR(__xludf.DUMMYFUNCTION("""COMPUTED_VALUE"""),"TALAGANTE")</f>
        <v>TALAGANTE</v>
      </c>
    </row>
    <row r="4425" spans="1:4">
      <c r="A4425" s="7">
        <f ca="1">IFERROR(__xludf.DUMMYFUNCTION("""COMPUTED_VALUE"""),44405)</f>
        <v>44405</v>
      </c>
      <c r="B4425" s="6" t="str">
        <f ca="1">IFERROR(__xludf.DUMMYFUNCTION("""COMPUTED_VALUE"""),"-33.672650-71.234424")</f>
        <v>-33.672650-71.234424</v>
      </c>
      <c r="C4425" s="6" t="str">
        <f ca="1">IFERROR(__xludf.DUMMYFUNCTION("""COMPUTED_VALUE"""),"LOS SAUCES 2613")</f>
        <v>LOS SAUCES 2613</v>
      </c>
      <c r="D4425" s="6" t="str">
        <f ca="1">IFERROR(__xludf.DUMMYFUNCTION("""COMPUTED_VALUE"""),"MELIPILLA")</f>
        <v>MELIPILLA</v>
      </c>
    </row>
    <row r="4426" spans="1:4">
      <c r="A4426" s="7">
        <f ca="1">IFERROR(__xludf.DUMMYFUNCTION("""COMPUTED_VALUE"""),44405)</f>
        <v>44405</v>
      </c>
      <c r="B4426" s="6" t="str">
        <f ca="1">IFERROR(__xludf.DUMMYFUNCTION("""COMPUTED_VALUE"""),"-33.674855-71.174113")</f>
        <v>-33.674855-71.174113</v>
      </c>
      <c r="C4426" s="6" t="str">
        <f ca="1">IFERROR(__xludf.DUMMYFUNCTION("""COMPUTED_VALUE"""),"POLONIA 2085 VILLA RINCONADA ORIENTE")</f>
        <v>POLONIA 2085 VILLA RINCONADA ORIENTE</v>
      </c>
      <c r="D4426" s="6" t="str">
        <f ca="1">IFERROR(__xludf.DUMMYFUNCTION("""COMPUTED_VALUE"""),"MELIPILLA")</f>
        <v>MELIPILLA</v>
      </c>
    </row>
    <row r="4427" spans="1:4">
      <c r="A4427" s="7">
        <f ca="1">IFERROR(__xludf.DUMMYFUNCTION("""COMPUTED_VALUE"""),44405)</f>
        <v>44405</v>
      </c>
      <c r="B4427" s="6" t="str">
        <f ca="1">IFERROR(__xludf.DUMMYFUNCTION("""COMPUTED_VALUE"""),"-33.407092-71.126011")</f>
        <v>-33.407092-71.126011</v>
      </c>
      <c r="C4427" s="6" t="str">
        <f ca="1">IFERROR(__xludf.DUMMYFUNCTION("""COMPUTED_VALUE"""),"EL PARRO 433")</f>
        <v>EL PARRO 433</v>
      </c>
      <c r="D4427" s="6" t="str">
        <f ca="1">IFERROR(__xludf.DUMMYFUNCTION("""COMPUTED_VALUE"""),"CURACAVI")</f>
        <v>CURACAVI</v>
      </c>
    </row>
    <row r="4428" spans="1:4">
      <c r="A4428" s="7">
        <f ca="1">IFERROR(__xludf.DUMMYFUNCTION("""COMPUTED_VALUE"""),44405)</f>
        <v>44405</v>
      </c>
      <c r="B4428" s="6" t="str">
        <f ca="1">IFERROR(__xludf.DUMMYFUNCTION("""COMPUTED_VALUE"""),"-33.4407930-71.144553")</f>
        <v>-33.4407930-71.144553</v>
      </c>
      <c r="C4428" s="6" t="str">
        <f ca="1">IFERROR(__xludf.DUMMYFUNCTION("""COMPUTED_VALUE"""),"LO AGUILA 155")</f>
        <v>LO AGUILA 155</v>
      </c>
      <c r="D4428" s="6" t="str">
        <f ca="1">IFERROR(__xludf.DUMMYFUNCTION("""COMPUTED_VALUE"""),"CURACAVI")</f>
        <v>CURACAVI</v>
      </c>
    </row>
    <row r="4429" spans="1:4">
      <c r="A4429" s="7">
        <f ca="1">IFERROR(__xludf.DUMMYFUNCTION("""COMPUTED_VALUE"""),44405)</f>
        <v>44405</v>
      </c>
      <c r="B4429" s="6" t="str">
        <f ca="1">IFERROR(__xludf.DUMMYFUNCTION("""COMPUTED_VALUE"""),"-33.689218-71.220761")</f>
        <v>-33.689218-71.220761</v>
      </c>
      <c r="C4429" s="6" t="str">
        <f ca="1">IFERROR(__xludf.DUMMYFUNCTION("""COMPUTED_VALUE"""),"PJE LAS LILAS 1113")</f>
        <v>PJE LAS LILAS 1113</v>
      </c>
      <c r="D4429" s="6" t="str">
        <f ca="1">IFERROR(__xludf.DUMMYFUNCTION("""COMPUTED_VALUE"""),"MELIPILLA")</f>
        <v>MELIPILLA</v>
      </c>
    </row>
    <row r="4430" spans="1:4">
      <c r="A4430" s="7">
        <f ca="1">IFERROR(__xludf.DUMMYFUNCTION("""COMPUTED_VALUE"""),44405)</f>
        <v>44405</v>
      </c>
      <c r="B4430" s="6" t="str">
        <f ca="1">IFERROR(__xludf.DUMMYFUNCTION("""COMPUTED_VALUE"""),"-33.697946-71.222288")</f>
        <v>-33.697946-71.222288</v>
      </c>
      <c r="C4430" s="6" t="str">
        <f ca="1">IFERROR(__xludf.DUMMYFUNCTION("""COMPUTED_VALUE"""),"PATRIA VIEJA 915")</f>
        <v>PATRIA VIEJA 915</v>
      </c>
      <c r="D4430" s="6" t="str">
        <f ca="1">IFERROR(__xludf.DUMMYFUNCTION("""COMPUTED_VALUE"""),"MELIPILLA")</f>
        <v>MELIPILLA</v>
      </c>
    </row>
    <row r="4431" spans="1:4">
      <c r="A4431" s="7">
        <f ca="1">IFERROR(__xludf.DUMMYFUNCTION("""COMPUTED_VALUE"""),44405)</f>
        <v>44405</v>
      </c>
      <c r="B4431" s="6" t="str">
        <f ca="1">IFERROR(__xludf.DUMMYFUNCTION("""COMPUTED_VALUE"""),"-33.682808-71.194787")</f>
        <v>-33.682808-71.194787</v>
      </c>
      <c r="C4431" s="6" t="str">
        <f ca="1">IFERROR(__xludf.DUMMYFUNCTION("""COMPUTED_VALUE"""),"PJE FRANZ JOSEPH HAYDN 236")</f>
        <v>PJE FRANZ JOSEPH HAYDN 236</v>
      </c>
      <c r="D4431" s="6" t="str">
        <f ca="1">IFERROR(__xludf.DUMMYFUNCTION("""COMPUTED_VALUE"""),"MELIPILLA")</f>
        <v>MELIPILLA</v>
      </c>
    </row>
    <row r="4432" spans="1:4">
      <c r="A4432" s="7">
        <f ca="1">IFERROR(__xludf.DUMMYFUNCTION("""COMPUTED_VALUE"""),44405)</f>
        <v>44405</v>
      </c>
      <c r="B4432" s="6" t="str">
        <f ca="1">IFERROR(__xludf.DUMMYFUNCTION("""COMPUTED_VALUE"""),"-33.390926-71.074994")</f>
        <v>-33.390926-71.074994</v>
      </c>
      <c r="C4432" s="6" t="str">
        <f ca="1">IFERROR(__xludf.DUMMYFUNCTION("""COMPUTED_VALUE"""),"GERMAN RIESCO 1094")</f>
        <v>GERMAN RIESCO 1094</v>
      </c>
      <c r="D4432" s="6" t="str">
        <f ca="1">IFERROR(__xludf.DUMMYFUNCTION("""COMPUTED_VALUE"""),"CURACAVI")</f>
        <v>CURACAVI</v>
      </c>
    </row>
    <row r="4433" spans="1:4">
      <c r="A4433" s="7">
        <f ca="1">IFERROR(__xludf.DUMMYFUNCTION("""COMPUTED_VALUE"""),44405)</f>
        <v>44405</v>
      </c>
      <c r="B4433" s="6" t="str">
        <f ca="1">IFERROR(__xludf.DUMMYFUNCTION("""COMPUTED_VALUE"""),"-33.46251-71.02732")</f>
        <v>-33.46251-71.02732</v>
      </c>
      <c r="C4433" s="6" t="str">
        <f ca="1">IFERROR(__xludf.DUMMYFUNCTION("""COMPUTED_VALUE"""),"CUESTA VIEJA SITIO 3")</f>
        <v>CUESTA VIEJA SITIO 3</v>
      </c>
      <c r="D4433" s="6" t="str">
        <f ca="1">IFERROR(__xludf.DUMMYFUNCTION("""COMPUTED_VALUE"""),"CURACAVI")</f>
        <v>CURACAVI</v>
      </c>
    </row>
    <row r="4434" spans="1:4">
      <c r="A4434" s="7">
        <f ca="1">IFERROR(__xludf.DUMMYFUNCTION("""COMPUTED_VALUE"""),44405)</f>
        <v>44405</v>
      </c>
      <c r="B4434" s="6" t="str">
        <f ca="1">IFERROR(__xludf.DUMMYFUNCTION("""COMPUTED_VALUE"""),"-33.45801-71.02789")</f>
        <v>-33.45801-71.02789</v>
      </c>
      <c r="C4434" s="6" t="str">
        <f ca="1">IFERROR(__xludf.DUMMYFUNCTION("""COMPUTED_VALUE"""),"BATALLA DE SAN JUAN S/14")</f>
        <v>BATALLA DE SAN JUAN S/14</v>
      </c>
      <c r="D4434" s="6" t="str">
        <f ca="1">IFERROR(__xludf.DUMMYFUNCTION("""COMPUTED_VALUE"""),"CURACAVI")</f>
        <v>CURACAVI</v>
      </c>
    </row>
    <row r="4435" spans="1:4">
      <c r="A4435" s="7">
        <f ca="1">IFERROR(__xludf.DUMMYFUNCTION("""COMPUTED_VALUE"""),44405)</f>
        <v>44405</v>
      </c>
      <c r="B4435" s="6" t="str">
        <f ca="1">IFERROR(__xludf.DUMMYFUNCTION("""COMPUTED_VALUE"""),"-33.686250,-71.006614")</f>
        <v>-33.686250,-71.006614</v>
      </c>
      <c r="C4435" s="6" t="str">
        <f ca="1">IFERROR(__xludf.DUMMYFUNCTION("""COMPUTED_VALUE"""),"PJE LOS PENSAMIENTOS 882")</f>
        <v>PJE LOS PENSAMIENTOS 882</v>
      </c>
      <c r="D4435" s="6" t="str">
        <f ca="1">IFERROR(__xludf.DUMMYFUNCTION("""COMPUTED_VALUE"""),"EL MONTE")</f>
        <v>EL MONTE</v>
      </c>
    </row>
    <row r="4436" spans="1:4">
      <c r="A4436" s="7">
        <f ca="1">IFERROR(__xludf.DUMMYFUNCTION("""COMPUTED_VALUE"""),44405)</f>
        <v>44405</v>
      </c>
      <c r="B4436" s="6" t="str">
        <f ca="1">IFERROR(__xludf.DUMMYFUNCTION("""COMPUTED_VALUE"""),"-33.686349,-71.007397")</f>
        <v>-33.686349,-71.007397</v>
      </c>
      <c r="C4436" s="6" t="str">
        <f ca="1">IFERROR(__xludf.DUMMYFUNCTION("""COMPUTED_VALUE"""),"LAS PETUNIAS 893")</f>
        <v>LAS PETUNIAS 893</v>
      </c>
      <c r="D4436" s="6" t="str">
        <f ca="1">IFERROR(__xludf.DUMMYFUNCTION("""COMPUTED_VALUE"""),"EL MONTE")</f>
        <v>EL MONTE</v>
      </c>
    </row>
    <row r="4437" spans="1:4">
      <c r="A4437" s="7">
        <f ca="1">IFERROR(__xludf.DUMMYFUNCTION("""COMPUTED_VALUE"""),44405)</f>
        <v>44405</v>
      </c>
      <c r="B4437" s="6" t="str">
        <f ca="1">IFERROR(__xludf.DUMMYFUNCTION("""COMPUTED_VALUE"""),"-33.676969,-70.978907")</f>
        <v>-33.676969,-70.978907</v>
      </c>
      <c r="C4437" s="6" t="str">
        <f ca="1">IFERROR(__xludf.DUMMYFUNCTION("""COMPUTED_VALUE"""),"HUERTA 121 EL MONTE ")</f>
        <v xml:space="preserve">HUERTA 121 EL MONTE </v>
      </c>
      <c r="D4437" s="6" t="str">
        <f ca="1">IFERROR(__xludf.DUMMYFUNCTION("""COMPUTED_VALUE"""),"EL MONTE")</f>
        <v>EL MONTE</v>
      </c>
    </row>
    <row r="4438" spans="1:4">
      <c r="A4438" s="7">
        <f ca="1">IFERROR(__xludf.DUMMYFUNCTION("""COMPUTED_VALUE"""),44405)</f>
        <v>44405</v>
      </c>
      <c r="B4438" s="6" t="str">
        <f ca="1">IFERROR(__xludf.DUMMYFUNCTION("""COMPUTED_VALUE"""),"-33.684534,-71.022040")</f>
        <v>-33.684534,-71.022040</v>
      </c>
      <c r="C4438" s="6" t="str">
        <f ca="1">IFERROR(__xludf.DUMMYFUNCTION("""COMPUTED_VALUE"""),"V. LOS ALAMOS PJE LOS OLIVOS ")</f>
        <v xml:space="preserve">V. LOS ALAMOS PJE LOS OLIVOS </v>
      </c>
      <c r="D4438" s="6" t="str">
        <f ca="1">IFERROR(__xludf.DUMMYFUNCTION("""COMPUTED_VALUE"""),"EL MONTE")</f>
        <v>EL MONTE</v>
      </c>
    </row>
    <row r="4439" spans="1:4">
      <c r="A4439" s="7">
        <f ca="1">IFERROR(__xludf.DUMMYFUNCTION("""COMPUTED_VALUE"""),44405)</f>
        <v>44405</v>
      </c>
      <c r="B4439" s="6" t="str">
        <f ca="1">IFERROR(__xludf.DUMMYFUNCTION("""COMPUTED_VALUE"""),"-33.769016,-71.247178")</f>
        <v>-33.769016,-71.247178</v>
      </c>
      <c r="C4439" s="6" t="str">
        <f ca="1">IFERROR(__xludf.DUMMYFUNCTION("""COMPUTED_VALUE"""),"SECTOR CULIPRAN S/N")</f>
        <v>SECTOR CULIPRAN S/N</v>
      </c>
      <c r="D4439" s="6" t="str">
        <f ca="1">IFERROR(__xludf.DUMMYFUNCTION("""COMPUTED_VALUE"""),"MELIPILLA")</f>
        <v>MELIPILLA</v>
      </c>
    </row>
    <row r="4440" spans="1:4">
      <c r="A4440" s="7">
        <f ca="1">IFERROR(__xludf.DUMMYFUNCTION("""COMPUTED_VALUE"""),44405)</f>
        <v>44405</v>
      </c>
      <c r="B4440" s="8" t="str">
        <f ca="1">IFERROR(__xludf.DUMMYFUNCTION("""COMPUTED_VALUE"""),"-33.272706,-70.692472")</f>
        <v>-33.272706,-70.692472</v>
      </c>
      <c r="C4440" s="6" t="str">
        <f ca="1">IFERROR(__xludf.DUMMYFUNCTION("""COMPUTED_VALUE"""),"LOS ALMENDROS 8D, COLINA")</f>
        <v>LOS ALMENDROS 8D, COLINA</v>
      </c>
      <c r="D4440" s="6" t="str">
        <f ca="1">IFERROR(__xludf.DUMMYFUNCTION("""COMPUTED_VALUE"""),"COLINA")</f>
        <v>COLINA</v>
      </c>
    </row>
    <row r="4441" spans="1:4">
      <c r="A4441" s="7">
        <f ca="1">IFERROR(__xludf.DUMMYFUNCTION("""COMPUTED_VALUE"""),44405)</f>
        <v>44405</v>
      </c>
      <c r="B4441" s="8" t="str">
        <f ca="1">IFERROR(__xludf.DUMMYFUNCTION("""COMPUTED_VALUE"""),"-33.272706,-70.692472")</f>
        <v>-33.272706,-70.692472</v>
      </c>
      <c r="C4441" s="6" t="str">
        <f ca="1">IFERROR(__xludf.DUMMYFUNCTION("""COMPUTED_VALUE"""),"LOS ALMENDROS 8D, COLINA")</f>
        <v>LOS ALMENDROS 8D, COLINA</v>
      </c>
      <c r="D4441" s="6" t="str">
        <f ca="1">IFERROR(__xludf.DUMMYFUNCTION("""COMPUTED_VALUE"""),"COLINA")</f>
        <v>COLINA</v>
      </c>
    </row>
    <row r="4442" spans="1:4">
      <c r="A4442" s="7">
        <f ca="1">IFERROR(__xludf.DUMMYFUNCTION("""COMPUTED_VALUE"""),44405)</f>
        <v>44405</v>
      </c>
      <c r="B4442" s="6" t="str">
        <f ca="1">IFERROR(__xludf.DUMMYFUNCTION("""COMPUTED_VALUE"""),"-33.048155-71.416384")</f>
        <v>-33.048155-71.416384</v>
      </c>
      <c r="C4442" s="6" t="str">
        <f ca="1">IFERROR(__xludf.DUMMYFUNCTION("""COMPUTED_VALUE"""),"MAYAS 235")</f>
        <v>MAYAS 235</v>
      </c>
      <c r="D4442" s="6" t="str">
        <f ca="1">IFERROR(__xludf.DUMMYFUNCTION("""COMPUTED_VALUE"""),"QUILPUÉ")</f>
        <v>QUILPUÉ</v>
      </c>
    </row>
    <row r="4443" spans="1:4">
      <c r="A4443" s="7">
        <f ca="1">IFERROR(__xludf.DUMMYFUNCTION("""COMPUTED_VALUE"""),44405)</f>
        <v>44405</v>
      </c>
      <c r="B4443" s="6" t="str">
        <f ca="1">IFERROR(__xludf.DUMMYFUNCTION("""COMPUTED_VALUE"""),"-33.060471-71.447392")</f>
        <v>-33.060471-71.447392</v>
      </c>
      <c r="C4443" s="6" t="str">
        <f ca="1">IFERROR(__xludf.DUMMYFUNCTION("""COMPUTED_VALUE"""),"VALENTIN LETELIER 1930")</f>
        <v>VALENTIN LETELIER 1930</v>
      </c>
      <c r="D4443" s="6" t="str">
        <f ca="1">IFERROR(__xludf.DUMMYFUNCTION("""COMPUTED_VALUE"""),"QUILPUÉ")</f>
        <v>QUILPUÉ</v>
      </c>
    </row>
    <row r="4444" spans="1:4">
      <c r="A4444" s="7">
        <f ca="1">IFERROR(__xludf.DUMMYFUNCTION("""COMPUTED_VALUE"""),44405)</f>
        <v>44405</v>
      </c>
      <c r="B4444" s="6" t="str">
        <f ca="1">IFERROR(__xludf.DUMMYFUNCTION("""COMPUTED_VALUE"""),"-33.068914-71.414473")</f>
        <v>-33.068914-71.414473</v>
      </c>
      <c r="C4444" s="6" t="str">
        <f ca="1">IFERROR(__xludf.DUMMYFUNCTION("""COMPUTED_VALUE"""),"MARGA MARGA 3059")</f>
        <v>MARGA MARGA 3059</v>
      </c>
      <c r="D4444" s="6" t="str">
        <f ca="1">IFERROR(__xludf.DUMMYFUNCTION("""COMPUTED_VALUE"""),"QUILPUÉ")</f>
        <v>QUILPUÉ</v>
      </c>
    </row>
    <row r="4445" spans="1:4">
      <c r="A4445" s="7">
        <f ca="1">IFERROR(__xludf.DUMMYFUNCTION("""COMPUTED_VALUE"""),44406)</f>
        <v>44406</v>
      </c>
      <c r="B4445" s="6" t="str">
        <f ca="1">IFERROR(__xludf.DUMMYFUNCTION("""COMPUTED_VALUE"""),"-33.799799-71.241985")</f>
        <v>-33.799799-71.241985</v>
      </c>
      <c r="C4445" s="6" t="str">
        <f ca="1">IFERROR(__xludf.DUMMYFUNCTION("""COMPUTED_VALUE"""),"LAS CHILCAS 8")</f>
        <v>LAS CHILCAS 8</v>
      </c>
      <c r="D4445" s="6" t="str">
        <f ca="1">IFERROR(__xludf.DUMMYFUNCTION("""COMPUTED_VALUE"""),"MELIPILLA")</f>
        <v>MELIPILLA</v>
      </c>
    </row>
    <row r="4446" spans="1:4">
      <c r="A4446" s="7">
        <f ca="1">IFERROR(__xludf.DUMMYFUNCTION("""COMPUTED_VALUE"""),44406)</f>
        <v>44406</v>
      </c>
      <c r="B4446" s="6" t="str">
        <f ca="1">IFERROR(__xludf.DUMMYFUNCTION("""COMPUTED_VALUE"""),"-33.47278-71.11388")</f>
        <v>-33.47278-71.11388</v>
      </c>
      <c r="C4446" s="6" t="str">
        <f ca="1">IFERROR(__xludf.DUMMYFUNCTION("""COMPUTED_VALUE"""),"ENRIQUE BUDGE 20")</f>
        <v>ENRIQUE BUDGE 20</v>
      </c>
      <c r="D4446" s="6" t="str">
        <f ca="1">IFERROR(__xludf.DUMMYFUNCTION("""COMPUTED_VALUE"""),"MARIA PINTO")</f>
        <v>MARIA PINTO</v>
      </c>
    </row>
    <row r="4447" spans="1:4">
      <c r="A4447" s="7">
        <f ca="1">IFERROR(__xludf.DUMMYFUNCTION("""COMPUTED_VALUE"""),44406)</f>
        <v>44406</v>
      </c>
      <c r="B4447" s="6" t="str">
        <f ca="1">IFERROR(__xludf.DUMMYFUNCTION("""COMPUTED_VALUE"""),"-33.44698-71.02878")</f>
        <v>-33.44698-71.02878</v>
      </c>
      <c r="C4447" s="6" t="str">
        <f ca="1">IFERROR(__xludf.DUMMYFUNCTION("""COMPUTED_VALUE"""),"UNION CHILENA  P16")</f>
        <v>UNION CHILENA  P16</v>
      </c>
      <c r="D4447" s="6" t="str">
        <f ca="1">IFERROR(__xludf.DUMMYFUNCTION("""COMPUTED_VALUE"""),"CURACAVI")</f>
        <v>CURACAVI</v>
      </c>
    </row>
    <row r="4448" spans="1:4">
      <c r="A4448" s="7">
        <f ca="1">IFERROR(__xludf.DUMMYFUNCTION("""COMPUTED_VALUE"""),44406)</f>
        <v>44406</v>
      </c>
      <c r="B4448" s="6" t="str">
        <f ca="1">IFERROR(__xludf.DUMMYFUNCTION("""COMPUTED_VALUE"""),"-33.47083-71.10743")</f>
        <v>-33.47083-71.10743</v>
      </c>
      <c r="C4448" s="6" t="str">
        <f ca="1">IFERROR(__xludf.DUMMYFUNCTION("""COMPUTED_VALUE"""),"SANTA EMILIA 18")</f>
        <v>SANTA EMILIA 18</v>
      </c>
      <c r="D4448" s="6" t="str">
        <f ca="1">IFERROR(__xludf.DUMMYFUNCTION("""COMPUTED_VALUE"""),"MARIA PINTO")</f>
        <v>MARIA PINTO</v>
      </c>
    </row>
    <row r="4449" spans="1:4">
      <c r="A4449" s="7">
        <f ca="1">IFERROR(__xludf.DUMMYFUNCTION("""COMPUTED_VALUE"""),44406)</f>
        <v>44406</v>
      </c>
      <c r="B4449" s="6" t="str">
        <f ca="1">IFERROR(__xludf.DUMMYFUNCTION("""COMPUTED_VALUE"""),"-33.671501,-71.219286")</f>
        <v>-33.671501,-71.219286</v>
      </c>
      <c r="C4449" s="6" t="str">
        <f ca="1">IFERROR(__xludf.DUMMYFUNCTION("""COMPUTED_VALUE"""),"SANTA  JULIA S/N")</f>
        <v>SANTA  JULIA S/N</v>
      </c>
      <c r="D4449" s="6" t="str">
        <f ca="1">IFERROR(__xludf.DUMMYFUNCTION("""COMPUTED_VALUE"""),"MELIPILLA")</f>
        <v>MELIPILLA</v>
      </c>
    </row>
    <row r="4450" spans="1:4">
      <c r="A4450" s="7">
        <f ca="1">IFERROR(__xludf.DUMMYFUNCTION("""COMPUTED_VALUE"""),44406)</f>
        <v>44406</v>
      </c>
      <c r="B4450" s="6" t="str">
        <f ca="1">IFERROR(__xludf.DUMMYFUNCTION("""COMPUTED_VALUE"""),"-33.680349,-71.206408")</f>
        <v>-33.680349,-71.206408</v>
      </c>
      <c r="C4450" s="6" t="str">
        <f ca="1">IFERROR(__xludf.DUMMYFUNCTION("""COMPUTED_VALUE""")," PASAJE DOCTOR  H JARA 19")</f>
        <v xml:space="preserve"> PASAJE DOCTOR  H JARA 19</v>
      </c>
      <c r="D4450" s="6" t="str">
        <f ca="1">IFERROR(__xludf.DUMMYFUNCTION("""COMPUTED_VALUE"""),"MELIPILLA")</f>
        <v>MELIPILLA</v>
      </c>
    </row>
    <row r="4451" spans="1:4">
      <c r="A4451" s="7">
        <f ca="1">IFERROR(__xludf.DUMMYFUNCTION("""COMPUTED_VALUE"""),44406)</f>
        <v>44406</v>
      </c>
      <c r="B4451" s="6" t="str">
        <f ca="1">IFERROR(__xludf.DUMMYFUNCTION("""COMPUTED_VALUE"""),"-33.032.456-71.402812")</f>
        <v>-33.032.456-71.402812</v>
      </c>
      <c r="C4451" s="6" t="str">
        <f ca="1">IFERROR(__xludf.DUMMYFUNCTION("""COMPUTED_VALUE"""),"PASAJE ALONSO LENG 508")</f>
        <v>PASAJE ALONSO LENG 508</v>
      </c>
      <c r="D4451" s="6" t="str">
        <f ca="1">IFERROR(__xludf.DUMMYFUNCTION("""COMPUTED_VALUE"""),"QUILPUÉ")</f>
        <v>QUILPUÉ</v>
      </c>
    </row>
    <row r="4452" spans="1:4">
      <c r="A4452" s="7">
        <f ca="1">IFERROR(__xludf.DUMMYFUNCTION("""COMPUTED_VALUE"""),44406)</f>
        <v>44406</v>
      </c>
      <c r="B4452" s="6" t="str">
        <f ca="1">IFERROR(__xludf.DUMMYFUNCTION("""COMPUTED_VALUE"""),"-33.049146-71.465097")</f>
        <v>-33.049146-71.465097</v>
      </c>
      <c r="C4452" s="6" t="str">
        <f ca="1">IFERROR(__xludf.DUMMYFUNCTION("""COMPUTED_VALUE"""),"GALILEO 0780")</f>
        <v>GALILEO 0780</v>
      </c>
      <c r="D4452" s="6" t="str">
        <f ca="1">IFERROR(__xludf.DUMMYFUNCTION("""COMPUTED_VALUE"""),"QUILPUÉ")</f>
        <v>QUILPUÉ</v>
      </c>
    </row>
    <row r="4453" spans="1:4">
      <c r="A4453" s="7">
        <f ca="1">IFERROR(__xludf.DUMMYFUNCTION("""COMPUTED_VALUE"""),44406)</f>
        <v>44406</v>
      </c>
      <c r="B4453" s="6" t="str">
        <f ca="1">IFERROR(__xludf.DUMMYFUNCTION("""COMPUTED_VALUE"""),"-33.029660-71.409857")</f>
        <v>-33.029660-71.409857</v>
      </c>
      <c r="C4453" s="6" t="str">
        <f ca="1">IFERROR(__xludf.DUMMYFUNCTION("""COMPUTED_VALUE"""),"EL BELLOTO 1467 L/29 C/2")</f>
        <v>EL BELLOTO 1467 L/29 C/2</v>
      </c>
      <c r="D4453" s="6" t="str">
        <f ca="1">IFERROR(__xludf.DUMMYFUNCTION("""COMPUTED_VALUE"""),"QUILPUÉ")</f>
        <v>QUILPUÉ</v>
      </c>
    </row>
    <row r="4454" spans="1:4">
      <c r="A4454" s="7">
        <f ca="1">IFERROR(__xludf.DUMMYFUNCTION("""COMPUTED_VALUE"""),44406)</f>
        <v>44406</v>
      </c>
      <c r="B4454" s="6" t="str">
        <f ca="1">IFERROR(__xludf.DUMMYFUNCTION("""COMPUTED_VALUE"""),"-33.029426-71.409742")</f>
        <v>-33.029426-71.409742</v>
      </c>
      <c r="C4454" s="6" t="str">
        <f ca="1">IFERROR(__xludf.DUMMYFUNCTION("""COMPUTED_VALUE"""),"EL BELLOTO 1467 L/29 C/2")</f>
        <v>EL BELLOTO 1467 L/29 C/2</v>
      </c>
      <c r="D4454" s="6" t="str">
        <f ca="1">IFERROR(__xludf.DUMMYFUNCTION("""COMPUTED_VALUE"""),"QUILPUÉ")</f>
        <v>QUILPUÉ</v>
      </c>
    </row>
    <row r="4455" spans="1:4">
      <c r="A4455" s="7">
        <f ca="1">IFERROR(__xludf.DUMMYFUNCTION("""COMPUTED_VALUE"""),44407)</f>
        <v>44407</v>
      </c>
      <c r="B4455" s="8" t="str">
        <f ca="1">IFERROR(__xludf.DUMMYFUNCTION("""COMPUTED_VALUE"""),"-33.6861678,-70.951574")</f>
        <v>-33.6861678,-70.951574</v>
      </c>
      <c r="C4455" s="6" t="str">
        <f ca="1">IFERROR(__xludf.DUMMYFUNCTION("""COMPUTED_VALUE"""),"FEDERICO ERRAZURIZ 161 ")</f>
        <v xml:space="preserve">FEDERICO ERRAZURIZ 161 </v>
      </c>
      <c r="D4455" s="6" t="str">
        <f ca="1">IFERROR(__xludf.DUMMYFUNCTION("""COMPUTED_VALUE"""),"TALAGANTE")</f>
        <v>TALAGANTE</v>
      </c>
    </row>
    <row r="4456" spans="1:4">
      <c r="A4456" s="7">
        <f ca="1">IFERROR(__xludf.DUMMYFUNCTION("""COMPUTED_VALUE"""),44407)</f>
        <v>44407</v>
      </c>
      <c r="B4456" s="8" t="str">
        <f ca="1">IFERROR(__xludf.DUMMYFUNCTION("""COMPUTED_VALUE"""),"-33.511039,-71.264990")</f>
        <v>-33.511039,-71.264990</v>
      </c>
      <c r="C4456" s="6" t="str">
        <f ca="1">IFERROR(__xludf.DUMMYFUNCTION("""COMPUTED_VALUE"""),"BACACHE BAJO S/N ")</f>
        <v xml:space="preserve">BACACHE BAJO S/N </v>
      </c>
      <c r="D4456" s="6" t="str">
        <f ca="1">IFERROR(__xludf.DUMMYFUNCTION("""COMPUTED_VALUE"""),"MARIA PINTO")</f>
        <v>MARIA PINTO</v>
      </c>
    </row>
    <row r="4457" spans="1:4">
      <c r="A4457" s="7">
        <f ca="1">IFERROR(__xludf.DUMMYFUNCTION("""COMPUTED_VALUE"""),44407)</f>
        <v>44407</v>
      </c>
      <c r="B4457" s="6" t="str">
        <f ca="1">IFERROR(__xludf.DUMMYFUNCTION("""COMPUTED_VALUE"""),"-33.226127-70.808322")</f>
        <v>-33.226127-70.808322</v>
      </c>
      <c r="C4457" s="6" t="str">
        <f ca="1">IFERROR(__xludf.DUMMYFUNCTION("""COMPUTED_VALUE"""),"FRANCIA 1300 (FRANCIA M/71 S/27)")</f>
        <v>FRANCIA 1300 (FRANCIA M/71 S/27)</v>
      </c>
      <c r="D4457" s="6" t="str">
        <f ca="1">IFERROR(__xludf.DUMMYFUNCTION("""COMPUTED_VALUE"""),"LAMPA")</f>
        <v>LAMPA</v>
      </c>
    </row>
    <row r="4458" spans="1:4">
      <c r="A4458" s="7">
        <f ca="1">IFERROR(__xludf.DUMMYFUNCTION("""COMPUTED_VALUE"""),44407)</f>
        <v>44407</v>
      </c>
      <c r="B4458" s="6" t="str">
        <f ca="1">IFERROR(__xludf.DUMMYFUNCTION("""COMPUTED_VALUE"""),"-33.727711-70.740006")</f>
        <v>-33.727711-70.740006</v>
      </c>
      <c r="C4458" s="6" t="str">
        <f ca="1">IFERROR(__xludf.DUMMYFUNCTION("""COMPUTED_VALUE"""),"PJE NUEVE 381")</f>
        <v>PJE NUEVE 381</v>
      </c>
      <c r="D4458" s="6" t="str">
        <f ca="1">IFERROR(__xludf.DUMMYFUNCTION("""COMPUTED_VALUE"""),"BUIN")</f>
        <v>BUIN</v>
      </c>
    </row>
    <row r="4459" spans="1:4">
      <c r="A4459" s="7">
        <f ca="1">IFERROR(__xludf.DUMMYFUNCTION("""COMPUTED_VALUE"""),44407)</f>
        <v>44407</v>
      </c>
      <c r="B4459" s="6" t="str">
        <f ca="1">IFERROR(__xludf.DUMMYFUNCTION("""COMPUTED_VALUE"""),"-33.750768-70.674617")</f>
        <v>-33.750768-70.674617</v>
      </c>
      <c r="C4459" s="6" t="str">
        <f ca="1">IFERROR(__xludf.DUMMYFUNCTION("""COMPUTED_VALUE"""),"CRUZ DEL SUR 21")</f>
        <v>CRUZ DEL SUR 21</v>
      </c>
      <c r="D4459" s="6" t="str">
        <f ca="1">IFERROR(__xludf.DUMMYFUNCTION("""COMPUTED_VALUE"""),"BUIN")</f>
        <v>BUIN</v>
      </c>
    </row>
    <row r="4460" spans="1:4">
      <c r="A4460" s="7">
        <f ca="1">IFERROR(__xludf.DUMMYFUNCTION("""COMPUTED_VALUE"""),44407)</f>
        <v>44407</v>
      </c>
      <c r="B4460" s="6" t="str">
        <f ca="1">IFERROR(__xludf.DUMMYFUNCTION("""COMPUTED_VALUE"""),"-33.750707-70.674598")</f>
        <v>-33.750707-70.674598</v>
      </c>
      <c r="C4460" s="6" t="str">
        <f ca="1">IFERROR(__xludf.DUMMYFUNCTION("""COMPUTED_VALUE"""),"CRUS DEL SUR 21")</f>
        <v>CRUS DEL SUR 21</v>
      </c>
      <c r="D4460" s="6" t="str">
        <f ca="1">IFERROR(__xludf.DUMMYFUNCTION("""COMPUTED_VALUE"""),"BUIN")</f>
        <v>BUIN</v>
      </c>
    </row>
    <row r="4461" spans="1:4">
      <c r="A4461" s="7">
        <f ca="1">IFERROR(__xludf.DUMMYFUNCTION("""COMPUTED_VALUE"""),44407)</f>
        <v>44407</v>
      </c>
      <c r="B4461" s="6" t="str">
        <f ca="1">IFERROR(__xludf.DUMMYFUNCTION("""COMPUTED_VALUE"""),"-33.27523-70.78031")</f>
        <v>-33.27523-70.78031</v>
      </c>
      <c r="C4461" s="6" t="str">
        <f ca="1">IFERROR(__xludf.DUMMYFUNCTION("""COMPUTED_VALUE"""),"LOTEO SAN MARCOS P-28")</f>
        <v>LOTEO SAN MARCOS P-28</v>
      </c>
      <c r="D4461" s="6" t="str">
        <f ca="1">IFERROR(__xludf.DUMMYFUNCTION("""COMPUTED_VALUE"""),"LAMPA")</f>
        <v>LAMPA</v>
      </c>
    </row>
    <row r="4462" spans="1:4">
      <c r="A4462" s="7">
        <f ca="1">IFERROR(__xludf.DUMMYFUNCTION("""COMPUTED_VALUE"""),44407)</f>
        <v>44407</v>
      </c>
      <c r="B4462" s="6" t="str">
        <f ca="1">IFERROR(__xludf.DUMMYFUNCTION("""COMPUTED_VALUE"""),"-33.24336-70.77364")</f>
        <v>-33.24336-70.77364</v>
      </c>
      <c r="C4462" s="6" t="str">
        <f ca="1">IFERROR(__xludf.DUMMYFUNCTION("""COMPUTED_VALUE"""),"CAMINO INTERIOR PARCELA 4 B")</f>
        <v>CAMINO INTERIOR PARCELA 4 B</v>
      </c>
      <c r="D4462" s="6" t="str">
        <f ca="1">IFERROR(__xludf.DUMMYFUNCTION("""COMPUTED_VALUE"""),"LAMPA")</f>
        <v>LAMPA</v>
      </c>
    </row>
    <row r="4463" spans="1:4">
      <c r="A4463" s="7">
        <f ca="1">IFERROR(__xludf.DUMMYFUNCTION("""COMPUTED_VALUE"""),44407)</f>
        <v>44407</v>
      </c>
      <c r="B4463" s="6" t="str">
        <f ca="1">IFERROR(__xludf.DUMMYFUNCTION("""COMPUTED_VALUE"""),"-33.07581-70.77418")</f>
        <v>-33.07581-70.77418</v>
      </c>
      <c r="C4463" s="6" t="str">
        <f ca="1">IFERROR(__xludf.DUMMYFUNCTION("""COMPUTED_VALUE"""),"EDUARDO CAMPOS SITIO 20")</f>
        <v>EDUARDO CAMPOS SITIO 20</v>
      </c>
      <c r="D4463" s="6" t="str">
        <f ca="1">IFERROR(__xludf.DUMMYFUNCTION("""COMPUTED_VALUE"""),"LAMPA")</f>
        <v>LAMPA</v>
      </c>
    </row>
    <row r="4464" spans="1:4">
      <c r="A4464" s="7">
        <f ca="1">IFERROR(__xludf.DUMMYFUNCTION("""COMPUTED_VALUE"""),44407)</f>
        <v>44407</v>
      </c>
      <c r="B4464" s="6" t="str">
        <f ca="1">IFERROR(__xludf.DUMMYFUNCTION("""COMPUTED_VALUE"""),"-33.680119,-71.206129")</f>
        <v>-33.680119,-71.206129</v>
      </c>
      <c r="C4464" s="6" t="str">
        <f ca="1">IFERROR(__xludf.DUMMYFUNCTION("""COMPUTED_VALUE"""),"PASAJE DOCTOR H  JARA 35")</f>
        <v>PASAJE DOCTOR H  JARA 35</v>
      </c>
      <c r="D4464" s="6" t="str">
        <f ca="1">IFERROR(__xludf.DUMMYFUNCTION("""COMPUTED_VALUE"""),"MELIPILLA")</f>
        <v>MELIPILLA</v>
      </c>
    </row>
    <row r="4465" spans="1:4">
      <c r="A4465" s="7">
        <f ca="1">IFERROR(__xludf.DUMMYFUNCTION("""COMPUTED_VALUE"""),44407)</f>
        <v>44407</v>
      </c>
      <c r="B4465" s="8" t="str">
        <f ca="1">IFERROR(__xludf.DUMMYFUNCTION("""COMPUTED_VALUE"""),"-33.881656,-71.219002")</f>
        <v>-33.881656,-71.219002</v>
      </c>
      <c r="C4465" s="6" t="str">
        <f ca="1">IFERROR(__xludf.DUMMYFUNCTION("""COMPUTED_VALUE"""),"TANTEHUE SITIO #7")</f>
        <v>TANTEHUE SITIO #7</v>
      </c>
      <c r="D4465" s="6" t="str">
        <f ca="1">IFERROR(__xludf.DUMMYFUNCTION("""COMPUTED_VALUE"""),"MELIPILLA")</f>
        <v>MELIPILLA</v>
      </c>
    </row>
    <row r="4466" spans="1:4">
      <c r="A4466" s="7">
        <f ca="1">IFERROR(__xludf.DUMMYFUNCTION("""COMPUTED_VALUE"""),44407)</f>
        <v>44407</v>
      </c>
      <c r="B4466" s="8" t="str">
        <f ca="1">IFERROR(__xludf.DUMMYFUNCTION("""COMPUTED_VALUE"""),"-33.682716,-71.194587")</f>
        <v>-33.682716,-71.194587</v>
      </c>
      <c r="C4466" s="6" t="str">
        <f ca="1">IFERROR(__xludf.DUMMYFUNCTION("""COMPUTED_VALUE"""),"MOZART 232")</f>
        <v>MOZART 232</v>
      </c>
      <c r="D4466" s="6" t="str">
        <f ca="1">IFERROR(__xludf.DUMMYFUNCTION("""COMPUTED_VALUE"""),"MELIPILLA")</f>
        <v>MELIPILLA</v>
      </c>
    </row>
    <row r="4467" spans="1:4">
      <c r="A4467" s="7">
        <f ca="1">IFERROR(__xludf.DUMMYFUNCTION("""COMPUTED_VALUE"""),44407)</f>
        <v>44407</v>
      </c>
      <c r="B4467" s="6" t="str">
        <f ca="1">IFERROR(__xludf.DUMMYFUNCTION("""COMPUTED_VALUE"""),"-33.048332-71.416420")</f>
        <v>-33.048332-71.416420</v>
      </c>
      <c r="C4467" s="6" t="str">
        <f ca="1">IFERROR(__xludf.DUMMYFUNCTION("""COMPUTED_VALUE"""),"MAYAS 243")</f>
        <v>MAYAS 243</v>
      </c>
      <c r="D4467" s="6" t="str">
        <f ca="1">IFERROR(__xludf.DUMMYFUNCTION("""COMPUTED_VALUE"""),"QUILPUÉ")</f>
        <v>QUILPUÉ</v>
      </c>
    </row>
    <row r="4468" spans="1:4">
      <c r="A4468" s="7">
        <f ca="1">IFERROR(__xludf.DUMMYFUNCTION("""COMPUTED_VALUE"""),44407)</f>
        <v>44407</v>
      </c>
      <c r="B4468" s="6" t="str">
        <f ca="1">IFERROR(__xludf.DUMMYFUNCTION("""COMPUTED_VALUE"""),"-33.046714-71.417110")</f>
        <v>-33.046714-71.417110</v>
      </c>
      <c r="C4468" s="6" t="str">
        <f ca="1">IFERROR(__xludf.DUMMYFUNCTION("""COMPUTED_VALUE"""),"ALICANTE 115")</f>
        <v>ALICANTE 115</v>
      </c>
      <c r="D4468" s="6" t="str">
        <f ca="1">IFERROR(__xludf.DUMMYFUNCTION("""COMPUTED_VALUE"""),"QUILPUÉ")</f>
        <v>QUILPUÉ</v>
      </c>
    </row>
    <row r="4469" spans="1:4">
      <c r="A4469" s="7">
        <f ca="1">IFERROR(__xludf.DUMMYFUNCTION("""COMPUTED_VALUE"""),44408)</f>
        <v>44408</v>
      </c>
      <c r="B4469" s="6" t="str">
        <f ca="1">IFERROR(__xludf.DUMMYFUNCTION("""COMPUTED_VALUE"""),"-33.672508-70.988647")</f>
        <v>-33.672508-70.988647</v>
      </c>
      <c r="C4469" s="6" t="str">
        <f ca="1">IFERROR(__xludf.DUMMYFUNCTION("""COMPUTED_VALUE"""),"PJE LOS PERALES 640")</f>
        <v>PJE LOS PERALES 640</v>
      </c>
      <c r="D4469" s="6" t="str">
        <f ca="1">IFERROR(__xludf.DUMMYFUNCTION("""COMPUTED_VALUE"""),"EL MONTE")</f>
        <v>EL MONTE</v>
      </c>
    </row>
    <row r="4470" spans="1:4">
      <c r="A4470" s="7">
        <f ca="1">IFERROR(__xludf.DUMMYFUNCTION("""COMPUTED_VALUE"""),44408)</f>
        <v>44408</v>
      </c>
      <c r="B4470" s="6" t="str">
        <f ca="1">IFERROR(__xludf.DUMMYFUNCTION("""COMPUTED_VALUE"""),"-33.218368-70.680609")</f>
        <v>-33.218368-70.680609</v>
      </c>
      <c r="C4470" s="6" t="str">
        <f ca="1">IFERROR(__xludf.DUMMYFUNCTION("""COMPUTED_VALUE"""),"CALLE DEL ESTERO SUR 1182 CASA 29")</f>
        <v>CALLE DEL ESTERO SUR 1182 CASA 29</v>
      </c>
      <c r="D4470" s="6" t="str">
        <f ca="1">IFERROR(__xludf.DUMMYFUNCTION("""COMPUTED_VALUE"""),"COLINA")</f>
        <v>COLINA</v>
      </c>
    </row>
    <row r="4471" spans="1:4">
      <c r="A4471" s="7">
        <f ca="1">IFERROR(__xludf.DUMMYFUNCTION("""COMPUTED_VALUE"""),44408)</f>
        <v>44408</v>
      </c>
      <c r="B4471" s="6" t="str">
        <f ca="1">IFERROR(__xludf.DUMMYFUNCTION("""COMPUTED_VALUE"""),"-33.584396-70.811595")</f>
        <v>-33.584396-70.811595</v>
      </c>
      <c r="C4471" s="6" t="str">
        <f ca="1">IFERROR(__xludf.DUMMYFUNCTION("""COMPUTED_VALUE"""),"SAN IGNACIO 54")</f>
        <v>SAN IGNACIO 54</v>
      </c>
      <c r="D4471" s="6" t="str">
        <f ca="1">IFERROR(__xludf.DUMMYFUNCTION("""COMPUTED_VALUE"""),"PADRE HURTADO")</f>
        <v>PADRE HURTADO</v>
      </c>
    </row>
    <row r="4472" spans="1:4">
      <c r="A4472" s="7">
        <f ca="1">IFERROR(__xludf.DUMMYFUNCTION("""COMPUTED_VALUE"""),44410)</f>
        <v>44410</v>
      </c>
      <c r="B4472" s="8" t="str">
        <f ca="1">IFERROR(__xludf.DUMMYFUNCTION("""COMPUTED_VALUE"""),"-33.7617553,-70,736601")</f>
        <v>-33.7617553,-70,736601</v>
      </c>
      <c r="C4472" s="6" t="str">
        <f ca="1">IFERROR(__xludf.DUMMYFUNCTION("""COMPUTED_VALUE"""),"FLOR DE LOTO 345")</f>
        <v>FLOR DE LOTO 345</v>
      </c>
      <c r="D4472" s="6" t="str">
        <f ca="1">IFERROR(__xludf.DUMMYFUNCTION("""COMPUTED_VALUE"""),"BUIN")</f>
        <v>BUIN</v>
      </c>
    </row>
    <row r="4473" spans="1:4">
      <c r="A4473" s="7">
        <f ca="1">IFERROR(__xludf.DUMMYFUNCTION("""COMPUTED_VALUE"""),44410)</f>
        <v>44410</v>
      </c>
      <c r="B4473" s="8" t="str">
        <f ca="1">IFERROR(__xludf.DUMMYFUNCTION("""COMPUTED_VALUE"""),"-33.663790,-71.306535")</f>
        <v>-33.663790,-71.306535</v>
      </c>
      <c r="C4473" s="6" t="str">
        <f ca="1">IFERROR(__xludf.DUMMYFUNCTION("""COMPUTED_VALUE"""),"PUANGUE  S/N ")</f>
        <v xml:space="preserve">PUANGUE  S/N </v>
      </c>
      <c r="D4473" s="6" t="str">
        <f ca="1">IFERROR(__xludf.DUMMYFUNCTION("""COMPUTED_VALUE"""),"MELIPILLA")</f>
        <v>MELIPILLA</v>
      </c>
    </row>
    <row r="4474" spans="1:4">
      <c r="A4474" s="7">
        <f ca="1">IFERROR(__xludf.DUMMYFUNCTION("""COMPUTED_VALUE"""),44410)</f>
        <v>44410</v>
      </c>
      <c r="B4474" s="8" t="str">
        <f ca="1">IFERROR(__xludf.DUMMYFUNCTION("""COMPUTED_VALUE"""),"-33.666901,-70.833321")</f>
        <v>-33.666901,-70.833321</v>
      </c>
      <c r="C4474" s="6" t="str">
        <f ca="1">IFERROR(__xludf.DUMMYFUNCTION("""COMPUTED_VALUE"""),"EL ROTO CHILENO SITIO 6")</f>
        <v>EL ROTO CHILENO SITIO 6</v>
      </c>
      <c r="D4474" s="6" t="str">
        <f ca="1">IFERROR(__xludf.DUMMYFUNCTION("""COMPUTED_VALUE"""),"TALAGANTE")</f>
        <v>TALAGANTE</v>
      </c>
    </row>
    <row r="4475" spans="1:4">
      <c r="A4475" s="7">
        <f ca="1">IFERROR(__xludf.DUMMYFUNCTION("""COMPUTED_VALUE"""),44410)</f>
        <v>44410</v>
      </c>
      <c r="B4475" s="8" t="str">
        <f ca="1">IFERROR(__xludf.DUMMYFUNCTION("""COMPUTED_VALUE"""),"-33.666319,-70833150")</f>
        <v>-33.666319,-70833150</v>
      </c>
      <c r="C4475" s="6" t="str">
        <f ca="1">IFERROR(__xludf.DUMMYFUNCTION("""COMPUTED_VALUE"""),"EL ROTO CHILENO SITIO 6")</f>
        <v>EL ROTO CHILENO SITIO 6</v>
      </c>
      <c r="D4475" s="6" t="str">
        <f ca="1">IFERROR(__xludf.DUMMYFUNCTION("""COMPUTED_VALUE"""),"TALAGANTE")</f>
        <v>TALAGANTE</v>
      </c>
    </row>
    <row r="4476" spans="1:4">
      <c r="A4476" s="7">
        <f ca="1">IFERROR(__xludf.DUMMYFUNCTION("""COMPUTED_VALUE"""),44410)</f>
        <v>44410</v>
      </c>
      <c r="B4476" s="6" t="str">
        <f ca="1">IFERROR(__xludf.DUMMYFUNCTION("""COMPUTED_VALUE"""),"-33.393689-71.120169")</f>
        <v>-33.393689-71.120169</v>
      </c>
      <c r="C4476" s="6" t="str">
        <f ca="1">IFERROR(__xludf.DUMMYFUNCTION("""COMPUTED_VALUE"""),"NUEVO AMANECER 1156")</f>
        <v>NUEVO AMANECER 1156</v>
      </c>
      <c r="D4476" s="6" t="str">
        <f ca="1">IFERROR(__xludf.DUMMYFUNCTION("""COMPUTED_VALUE"""),"CURACAVI")</f>
        <v>CURACAVI</v>
      </c>
    </row>
    <row r="4477" spans="1:4">
      <c r="A4477" s="7">
        <f ca="1">IFERROR(__xludf.DUMMYFUNCTION("""COMPUTED_VALUE"""),44410)</f>
        <v>44410</v>
      </c>
      <c r="B4477" s="6"/>
      <c r="C4477" s="6" t="str">
        <f ca="1">IFERROR(__xludf.DUMMYFUNCTION("""COMPUTED_VALUE"""),"PUENTE DEL CANTO 844-C")</f>
        <v>PUENTE DEL CANTO 844-C</v>
      </c>
      <c r="D4477" s="6" t="str">
        <f ca="1">IFERROR(__xludf.DUMMYFUNCTION("""COMPUTED_VALUE"""),"EL MONTE")</f>
        <v>EL MONTE</v>
      </c>
    </row>
    <row r="4478" spans="1:4">
      <c r="A4478" s="7">
        <f ca="1">IFERROR(__xludf.DUMMYFUNCTION("""COMPUTED_VALUE"""),44410)</f>
        <v>44410</v>
      </c>
      <c r="B4478" s="8" t="str">
        <f ca="1">IFERROR(__xludf.DUMMYFUNCTION("""COMPUTED_VALUE"""),"-33.332663,-70.762847")</f>
        <v>-33.332663,-70.762847</v>
      </c>
      <c r="C4478" s="6" t="str">
        <f ca="1">IFERROR(__xludf.DUMMYFUNCTION("""COMPUTED_VALUE"""),"LA MONTAÑA SUR ")</f>
        <v xml:space="preserve">LA MONTAÑA SUR </v>
      </c>
      <c r="D4478" s="6" t="str">
        <f ca="1">IFERROR(__xludf.DUMMYFUNCTION("""COMPUTED_VALUE"""),"LAMPA")</f>
        <v>LAMPA</v>
      </c>
    </row>
    <row r="4479" spans="1:4">
      <c r="A4479" s="7">
        <f ca="1">IFERROR(__xludf.DUMMYFUNCTION("""COMPUTED_VALUE"""),44410)</f>
        <v>44410</v>
      </c>
      <c r="B4479" s="6" t="str">
        <f ca="1">IFERROR(__xludf.DUMMYFUNCTION("""COMPUTED_VALUE"""),"-33.051595-71.427833")</f>
        <v>-33.051595-71.427833</v>
      </c>
      <c r="C4479" s="6" t="str">
        <f ca="1">IFERROR(__xludf.DUMMYFUNCTION("""COMPUTED_VALUE"""),"MARGA MARGA 1151")</f>
        <v>MARGA MARGA 1151</v>
      </c>
      <c r="D4479" s="6" t="str">
        <f ca="1">IFERROR(__xludf.DUMMYFUNCTION("""COMPUTED_VALUE"""),"QUILPUÉ")</f>
        <v>QUILPUÉ</v>
      </c>
    </row>
    <row r="4480" spans="1:4">
      <c r="A4480" s="7">
        <f ca="1">IFERROR(__xludf.DUMMYFUNCTION("""COMPUTED_VALUE"""),44410)</f>
        <v>44410</v>
      </c>
      <c r="B4480" s="6" t="str">
        <f ca="1">IFERROR(__xludf.DUMMYFUNCTION("""COMPUTED_VALUE"""),"-33.061169-71.432664")</f>
        <v>-33.061169-71.432664</v>
      </c>
      <c r="C4480" s="6" t="str">
        <f ca="1">IFERROR(__xludf.DUMMYFUNCTION("""COMPUTED_VALUE"""),"SUBERCASEAUX 2190")</f>
        <v>SUBERCASEAUX 2190</v>
      </c>
      <c r="D4480" s="6" t="str">
        <f ca="1">IFERROR(__xludf.DUMMYFUNCTION("""COMPUTED_VALUE"""),"QUILPUÉ")</f>
        <v>QUILPUÉ</v>
      </c>
    </row>
    <row r="4481" spans="1:4">
      <c r="A4481" s="7">
        <f ca="1">IFERROR(__xludf.DUMMYFUNCTION("""COMPUTED_VALUE"""),44411)</f>
        <v>44411</v>
      </c>
      <c r="B4481" s="8" t="str">
        <f ca="1">IFERROR(__xludf.DUMMYFUNCTION("""COMPUTED_VALUE"""),"-33.568624, -71.219356")</f>
        <v>-33.568624, -71.219356</v>
      </c>
      <c r="C4481" s="6" t="str">
        <f ca="1">IFERROR(__xludf.DUMMYFUNCTION("""COMPUTED_VALUE"""),"El Quillay 236,")</f>
        <v>El Quillay 236,</v>
      </c>
      <c r="D4481" s="6" t="str">
        <f ca="1">IFERROR(__xludf.DUMMYFUNCTION("""COMPUTED_VALUE"""),"MELIPILLA")</f>
        <v>MELIPILLA</v>
      </c>
    </row>
    <row r="4482" spans="1:4">
      <c r="A4482" s="7">
        <f ca="1">IFERROR(__xludf.DUMMYFUNCTION("""COMPUTED_VALUE"""),44411)</f>
        <v>44411</v>
      </c>
      <c r="B4482" s="8" t="str">
        <f ca="1">IFERROR(__xludf.DUMMYFUNCTION("""COMPUTED_VALUE"""),"-33.679185, -71.228926")</f>
        <v>-33.679185, -71.228926</v>
      </c>
      <c r="C4482" s="6" t="str">
        <f ca="1">IFERROR(__xludf.DUMMYFUNCTION("""COMPUTED_VALUE"""),"Calderón Nahuel 1839,")</f>
        <v>Calderón Nahuel 1839,</v>
      </c>
      <c r="D4482" s="6" t="str">
        <f ca="1">IFERROR(__xludf.DUMMYFUNCTION("""COMPUTED_VALUE"""),"MELIPILLA")</f>
        <v>MELIPILLA</v>
      </c>
    </row>
    <row r="4483" spans="1:4">
      <c r="A4483" s="7">
        <f ca="1">IFERROR(__xludf.DUMMYFUNCTION("""COMPUTED_VALUE"""),44411)</f>
        <v>44411</v>
      </c>
      <c r="B4483" s="8" t="str">
        <f ca="1">IFERROR(__xludf.DUMMYFUNCTION("""COMPUTED_VALUE"""),"-33.667625,-70.833260")</f>
        <v>-33.667625,-70.833260</v>
      </c>
      <c r="C4483" s="6" t="str">
        <f ca="1">IFERROR(__xludf.DUMMYFUNCTION("""COMPUTED_VALUE"""),"EL ROTO CHILENO PARCELA 32")</f>
        <v>EL ROTO CHILENO PARCELA 32</v>
      </c>
      <c r="D4483" s="6" t="str">
        <f ca="1">IFERROR(__xludf.DUMMYFUNCTION("""COMPUTED_VALUE"""),"TALAGANTE")</f>
        <v>TALAGANTE</v>
      </c>
    </row>
    <row r="4484" spans="1:4">
      <c r="A4484" s="7">
        <f ca="1">IFERROR(__xludf.DUMMYFUNCTION("""COMPUTED_VALUE"""),44411)</f>
        <v>44411</v>
      </c>
      <c r="B4484" s="8" t="str">
        <f ca="1">IFERROR(__xludf.DUMMYFUNCTION("""COMPUTED_VALUE"""),"-33.667625,-70.833260")</f>
        <v>-33.667625,-70.833260</v>
      </c>
      <c r="C4484" s="6" t="str">
        <f ca="1">IFERROR(__xludf.DUMMYFUNCTION("""COMPUTED_VALUE"""),"EL ROTO CHILENO PARCELA 32")</f>
        <v>EL ROTO CHILENO PARCELA 32</v>
      </c>
      <c r="D4484" s="6" t="str">
        <f ca="1">IFERROR(__xludf.DUMMYFUNCTION("""COMPUTED_VALUE"""),"TALAGANTE")</f>
        <v>TALAGANTE</v>
      </c>
    </row>
    <row r="4485" spans="1:4">
      <c r="A4485" s="7">
        <f ca="1">IFERROR(__xludf.DUMMYFUNCTION("""COMPUTED_VALUE"""),44411)</f>
        <v>44411</v>
      </c>
      <c r="B4485" s="6" t="str">
        <f ca="1">IFERROR(__xludf.DUMMYFUNCTION("""COMPUTED_VALUE"""),"-33.407341-71.126654")</f>
        <v>-33.407341-71.126654</v>
      </c>
      <c r="C4485" s="6" t="str">
        <f ca="1">IFERROR(__xludf.DUMMYFUNCTION("""COMPUTED_VALUE"""),"FRANCISCO JOFRE 1844")</f>
        <v>FRANCISCO JOFRE 1844</v>
      </c>
      <c r="D4485" s="6" t="str">
        <f ca="1">IFERROR(__xludf.DUMMYFUNCTION("""COMPUTED_VALUE"""),"CURACAVI")</f>
        <v>CURACAVI</v>
      </c>
    </row>
    <row r="4486" spans="1:4">
      <c r="A4486" s="7">
        <f ca="1">IFERROR(__xludf.DUMMYFUNCTION("""COMPUTED_VALUE"""),44411)</f>
        <v>44411</v>
      </c>
      <c r="B4486" s="6" t="str">
        <f ca="1">IFERROR(__xludf.DUMMYFUNCTION("""COMPUTED_VALUE"""),"-33.404809-71.127080")</f>
        <v>-33.404809-71.127080</v>
      </c>
      <c r="C4486" s="6" t="str">
        <f ca="1">IFERROR(__xludf.DUMMYFUNCTION("""COMPUTED_VALUE"""),"PJE ALHUE 70")</f>
        <v>PJE ALHUE 70</v>
      </c>
      <c r="D4486" s="6" t="str">
        <f ca="1">IFERROR(__xludf.DUMMYFUNCTION("""COMPUTED_VALUE"""),"CURACAVI")</f>
        <v>CURACAVI</v>
      </c>
    </row>
    <row r="4487" spans="1:4">
      <c r="A4487" s="7">
        <f ca="1">IFERROR(__xludf.DUMMYFUNCTION("""COMPUTED_VALUE"""),44411)</f>
        <v>44411</v>
      </c>
      <c r="B4487" s="6" t="str">
        <f ca="1">IFERROR(__xludf.DUMMYFUNCTION("""COMPUTED_VALUE"""),"-33.419855-71.147918")</f>
        <v>-33.419855-71.147918</v>
      </c>
      <c r="C4487" s="6" t="str">
        <f ca="1">IFERROR(__xludf.DUMMYFUNCTION("""COMPUTED_VALUE"""),"CONDOMINIO ALTO LO AGUILA LOTE 7")</f>
        <v>CONDOMINIO ALTO LO AGUILA LOTE 7</v>
      </c>
      <c r="D4487" s="6" t="str">
        <f ca="1">IFERROR(__xludf.DUMMYFUNCTION("""COMPUTED_VALUE"""),"CURACAVI")</f>
        <v>CURACAVI</v>
      </c>
    </row>
    <row r="4488" spans="1:4">
      <c r="A4488" s="7">
        <f ca="1">IFERROR(__xludf.DUMMYFUNCTION("""COMPUTED_VALUE"""),44411)</f>
        <v>44411</v>
      </c>
      <c r="B4488" s="6" t="str">
        <f ca="1">IFERROR(__xludf.DUMMYFUNCTION("""COMPUTED_VALUE"""),"-33.679167,-70.945507")</f>
        <v>-33.679167,-70.945507</v>
      </c>
      <c r="C4488" s="6" t="str">
        <f ca="1">IFERROR(__xludf.DUMMYFUNCTION("""COMPUTED_VALUE"""),"TREBULCO 2832 BLOCK 2832 D-18")</f>
        <v>TREBULCO 2832 BLOCK 2832 D-18</v>
      </c>
      <c r="D4488" s="6" t="str">
        <f ca="1">IFERROR(__xludf.DUMMYFUNCTION("""COMPUTED_VALUE"""),"TALAGANTE")</f>
        <v>TALAGANTE</v>
      </c>
    </row>
    <row r="4489" spans="1:4">
      <c r="A4489" s="7">
        <f ca="1">IFERROR(__xludf.DUMMYFUNCTION("""COMPUTED_VALUE"""),44411)</f>
        <v>44411</v>
      </c>
      <c r="B4489" s="6" t="str">
        <f ca="1">IFERROR(__xludf.DUMMYFUNCTION("""COMPUTED_VALUE"""),"-33.663941,-70.916503")</f>
        <v>-33.663941,-70.916503</v>
      </c>
      <c r="C4489" s="6" t="str">
        <f ca="1">IFERROR(__xludf.DUMMYFUNCTION("""COMPUTED_VALUE"""),"LAS ACHIRAS 1342")</f>
        <v>LAS ACHIRAS 1342</v>
      </c>
      <c r="D4489" s="6" t="str">
        <f ca="1">IFERROR(__xludf.DUMMYFUNCTION("""COMPUTED_VALUE"""),"TALAGANTE")</f>
        <v>TALAGANTE</v>
      </c>
    </row>
    <row r="4490" spans="1:4">
      <c r="A4490" s="7">
        <f ca="1">IFERROR(__xludf.DUMMYFUNCTION("""COMPUTED_VALUE"""),44411)</f>
        <v>44411</v>
      </c>
      <c r="B4490" s="6" t="str">
        <f ca="1">IFERROR(__xludf.DUMMYFUNCTION("""COMPUTED_VALUE"""),"-33.045942-71.417251")</f>
        <v>-33.045942-71.417251</v>
      </c>
      <c r="C4490" s="6" t="str">
        <f ca="1">IFERROR(__xludf.DUMMYFUNCTION("""COMPUTED_VALUE"""),"LOS REYES 1467")</f>
        <v>LOS REYES 1467</v>
      </c>
      <c r="D4490" s="6" t="str">
        <f ca="1">IFERROR(__xludf.DUMMYFUNCTION("""COMPUTED_VALUE"""),"QUILPUÉ")</f>
        <v>QUILPUÉ</v>
      </c>
    </row>
    <row r="4491" spans="1:4">
      <c r="A4491" s="7">
        <f ca="1">IFERROR(__xludf.DUMMYFUNCTION("""COMPUTED_VALUE"""),44411)</f>
        <v>44411</v>
      </c>
      <c r="B4491" s="6" t="str">
        <f ca="1">IFERROR(__xludf.DUMMYFUNCTION("""COMPUTED_VALUE"""),"-33.043236-71.401053")</f>
        <v>-33.043236-71.401053</v>
      </c>
      <c r="C4491" s="6" t="str">
        <f ca="1">IFERROR(__xludf.DUMMYFUNCTION("""COMPUTED_VALUE"""),"CALLE UNION 352")</f>
        <v>CALLE UNION 352</v>
      </c>
      <c r="D4491" s="6" t="str">
        <f ca="1">IFERROR(__xludf.DUMMYFUNCTION("""COMPUTED_VALUE"""),"QUILPUÉ")</f>
        <v>QUILPUÉ</v>
      </c>
    </row>
    <row r="4492" spans="1:4">
      <c r="A4492" s="7">
        <f ca="1">IFERROR(__xludf.DUMMYFUNCTION("""COMPUTED_VALUE"""),44411)</f>
        <v>44411</v>
      </c>
      <c r="B4492" s="6" t="str">
        <f ca="1">IFERROR(__xludf.DUMMYFUNCTION("""COMPUTED_VALUE"""),"-33.040851-71.428286")</f>
        <v>-33.040851-71.428286</v>
      </c>
      <c r="C4492" s="6" t="str">
        <f ca="1">IFERROR(__xludf.DUMMYFUNCTION("""COMPUTED_VALUE"""),"VEINTISEIS DE OCTUBRE 288")</f>
        <v>VEINTISEIS DE OCTUBRE 288</v>
      </c>
      <c r="D4492" s="6" t="str">
        <f ca="1">IFERROR(__xludf.DUMMYFUNCTION("""COMPUTED_VALUE"""),"QUILPUÉ")</f>
        <v>QUILPUÉ</v>
      </c>
    </row>
    <row r="4493" spans="1:4">
      <c r="A4493" s="7">
        <f ca="1">IFERROR(__xludf.DUMMYFUNCTION("""COMPUTED_VALUE"""),44412)</f>
        <v>44412</v>
      </c>
      <c r="B4493" s="8" t="str">
        <f ca="1">IFERROR(__xludf.DUMMYFUNCTION("""COMPUTED_VALUE"""),"-33.607846,-71.229434")</f>
        <v>-33.607846,-71.229434</v>
      </c>
      <c r="C4493" s="6" t="str">
        <f ca="1">IFERROR(__xludf.DUMMYFUNCTION("""COMPUTED_VALUE"""),"TAGAL NORTE S/N")</f>
        <v>TAGAL NORTE S/N</v>
      </c>
      <c r="D4493" s="6" t="str">
        <f ca="1">IFERROR(__xludf.DUMMYFUNCTION("""COMPUTED_VALUE"""),"MELIPILLA")</f>
        <v>MELIPILLA</v>
      </c>
    </row>
    <row r="4494" spans="1:4">
      <c r="A4494" s="7">
        <f ca="1">IFERROR(__xludf.DUMMYFUNCTION("""COMPUTED_VALUE"""),44412)</f>
        <v>44412</v>
      </c>
      <c r="B4494" s="8" t="str">
        <f ca="1">IFERROR(__xludf.DUMMYFUNCTION("""COMPUTED_VALUE"""),"-33.195126,-70.683517")</f>
        <v>-33.195126,-70.683517</v>
      </c>
      <c r="C4494" s="6" t="str">
        <f ca="1">IFERROR(__xludf.DUMMYFUNCTION("""COMPUTED_VALUE"""),"PEHUEN 902")</f>
        <v>PEHUEN 902</v>
      </c>
      <c r="D4494" s="6" t="str">
        <f ca="1">IFERROR(__xludf.DUMMYFUNCTION("""COMPUTED_VALUE"""),"COLINA")</f>
        <v>COLINA</v>
      </c>
    </row>
    <row r="4495" spans="1:4">
      <c r="A4495" s="7">
        <f ca="1">IFERROR(__xludf.DUMMYFUNCTION("""COMPUTED_VALUE"""),44412)</f>
        <v>44412</v>
      </c>
      <c r="B4495" s="8" t="str">
        <f ca="1">IFERROR(__xludf.DUMMYFUNCTION("""COMPUTED_VALUE"""),"-33.77601, -70.794329")</f>
        <v>-33.77601, -70.794329</v>
      </c>
      <c r="C4495" s="6" t="str">
        <f ca="1">IFERROR(__xludf.DUMMYFUNCTION("""COMPUTED_VALUE"""),"San José norte 4746")</f>
        <v>San José norte 4746</v>
      </c>
      <c r="D4495" s="6" t="str">
        <f ca="1">IFERROR(__xludf.DUMMYFUNCTION("""COMPUTED_VALUE"""),"BUIN")</f>
        <v>BUIN</v>
      </c>
    </row>
    <row r="4496" spans="1:4">
      <c r="A4496" s="7">
        <f ca="1">IFERROR(__xludf.DUMMYFUNCTION("""COMPUTED_VALUE"""),44412)</f>
        <v>44412</v>
      </c>
      <c r="B4496" s="6" t="str">
        <f ca="1">IFERROR(__xludf.DUMMYFUNCTION("""COMPUTED_VALUE"""),"-33.132151-70.804428")</f>
        <v>-33.132151-70.804428</v>
      </c>
      <c r="C4496" s="6" t="str">
        <f ca="1">IFERROR(__xludf.DUMMYFUNCTION("""COMPUTED_VALUE"""),"LOS LINGUES 22")</f>
        <v>LOS LINGUES 22</v>
      </c>
      <c r="D4496" s="6" t="str">
        <f ca="1">IFERROR(__xludf.DUMMYFUNCTION("""COMPUTED_VALUE"""),"TIL TIL")</f>
        <v>TIL TIL</v>
      </c>
    </row>
    <row r="4497" spans="1:4">
      <c r="A4497" s="7">
        <f ca="1">IFERROR(__xludf.DUMMYFUNCTION("""COMPUTED_VALUE"""),44412)</f>
        <v>44412</v>
      </c>
      <c r="B4497" s="6" t="str">
        <f ca="1">IFERROR(__xludf.DUMMYFUNCTION("""COMPUTED_VALUE"""),"-33.40817-71.12668")</f>
        <v>-33.40817-71.12668</v>
      </c>
      <c r="C4497" s="6" t="str">
        <f ca="1">IFERROR(__xludf.DUMMYFUNCTION("""COMPUTED_VALUE"""),"LOS PICAFLORES 1865 CASA 203")</f>
        <v>LOS PICAFLORES 1865 CASA 203</v>
      </c>
      <c r="D4497" s="6" t="str">
        <f ca="1">IFERROR(__xludf.DUMMYFUNCTION("""COMPUTED_VALUE"""),"CURACAVI")</f>
        <v>CURACAVI</v>
      </c>
    </row>
    <row r="4498" spans="1:4">
      <c r="A4498" s="7">
        <f ca="1">IFERROR(__xludf.DUMMYFUNCTION("""COMPUTED_VALUE"""),44412)</f>
        <v>44412</v>
      </c>
      <c r="B4498" s="6" t="str">
        <f ca="1">IFERROR(__xludf.DUMMYFUNCTION("""COMPUTED_VALUE"""),"-33.46103-71.02355")</f>
        <v>-33.46103-71.02355</v>
      </c>
      <c r="C4498" s="6" t="str">
        <f ca="1">IFERROR(__xludf.DUMMYFUNCTION("""COMPUTED_VALUE"""),"BATALLA SAN JUAN S-2 L/6")</f>
        <v>BATALLA SAN JUAN S-2 L/6</v>
      </c>
      <c r="D4498" s="6" t="str">
        <f ca="1">IFERROR(__xludf.DUMMYFUNCTION("""COMPUTED_VALUE"""),"CURACAVI")</f>
        <v>CURACAVI</v>
      </c>
    </row>
    <row r="4499" spans="1:4">
      <c r="A4499" s="7">
        <f ca="1">IFERROR(__xludf.DUMMYFUNCTION("""COMPUTED_VALUE"""),44412)</f>
        <v>44412</v>
      </c>
      <c r="B4499" s="6" t="str">
        <f ca="1">IFERROR(__xludf.DUMMYFUNCTION("""COMPUTED_VALUE"""),"-33.45419-71.02506")</f>
        <v>-33.45419-71.02506</v>
      </c>
      <c r="C4499" s="6" t="str">
        <f ca="1">IFERROR(__xludf.DUMMYFUNCTION("""COMPUTED_VALUE"""),"UNION CHILENA S-36 L-2")</f>
        <v>UNION CHILENA S-36 L-2</v>
      </c>
      <c r="D4499" s="6" t="str">
        <f ca="1">IFERROR(__xludf.DUMMYFUNCTION("""COMPUTED_VALUE"""),"CURACAVI")</f>
        <v>CURACAVI</v>
      </c>
    </row>
    <row r="4500" spans="1:4">
      <c r="A4500" s="7">
        <f ca="1">IFERROR(__xludf.DUMMYFUNCTION("""COMPUTED_VALUE"""),44412)</f>
        <v>44412</v>
      </c>
      <c r="B4500" s="6" t="str">
        <f ca="1">IFERROR(__xludf.DUMMYFUNCTION("""COMPUTED_VALUE"""),"-33.658820.-70.913717")</f>
        <v>-33.658820.-70.913717</v>
      </c>
      <c r="C4500" s="6" t="str">
        <f ca="1">IFERROR(__xludf.DUMMYFUNCTION("""COMPUTED_VALUE"""),"AV BERNARDO O""HIGGINS 252")</f>
        <v>AV BERNARDO O"HIGGINS 252</v>
      </c>
      <c r="D4500" s="6" t="str">
        <f ca="1">IFERROR(__xludf.DUMMYFUNCTION("""COMPUTED_VALUE"""),"TALAGANTE")</f>
        <v>TALAGANTE</v>
      </c>
    </row>
    <row r="4501" spans="1:4">
      <c r="A4501" s="7">
        <f ca="1">IFERROR(__xludf.DUMMYFUNCTION("""COMPUTED_VALUE"""),44412)</f>
        <v>44412</v>
      </c>
      <c r="B4501" s="6" t="str">
        <f ca="1">IFERROR(__xludf.DUMMYFUNCTION("""COMPUTED_VALUE"""),"-33.045219-71.449456")</f>
        <v>-33.045219-71.449456</v>
      </c>
      <c r="C4501" s="6" t="str">
        <f ca="1">IFERROR(__xludf.DUMMYFUNCTION("""COMPUTED_VALUE"""),"BYERS 624")</f>
        <v>BYERS 624</v>
      </c>
      <c r="D4501" s="6" t="str">
        <f ca="1">IFERROR(__xludf.DUMMYFUNCTION("""COMPUTED_VALUE"""),"QUILPUÉ")</f>
        <v>QUILPUÉ</v>
      </c>
    </row>
    <row r="4502" spans="1:4">
      <c r="A4502" s="7">
        <f ca="1">IFERROR(__xludf.DUMMYFUNCTION("""COMPUTED_VALUE"""),44412)</f>
        <v>44412</v>
      </c>
      <c r="B4502" s="6" t="str">
        <f ca="1">IFERROR(__xludf.DUMMYFUNCTION("""COMPUTED_VALUE"""),"-33.060688-71.432549")</f>
        <v>-33.060688-71.432549</v>
      </c>
      <c r="C4502" s="6" t="str">
        <f ca="1">IFERROR(__xludf.DUMMYFUNCTION("""COMPUTED_VALUE"""),"SUBERCASEAUX 2196")</f>
        <v>SUBERCASEAUX 2196</v>
      </c>
      <c r="D4502" s="6" t="str">
        <f ca="1">IFERROR(__xludf.DUMMYFUNCTION("""COMPUTED_VALUE"""),"QUILPUÉ")</f>
        <v>QUILPUÉ</v>
      </c>
    </row>
    <row r="4503" spans="1:4">
      <c r="A4503" s="7">
        <f ca="1">IFERROR(__xludf.DUMMYFUNCTION("""COMPUTED_VALUE"""),44412)</f>
        <v>44412</v>
      </c>
      <c r="B4503" s="6" t="str">
        <f ca="1">IFERROR(__xludf.DUMMYFUNCTION("""COMPUTED_VALUE"""),"-33.052522-71.445905")</f>
        <v>-33.052522-71.445905</v>
      </c>
      <c r="C4503" s="6" t="str">
        <f ca="1">IFERROR(__xludf.DUMMYFUNCTION("""COMPUTED_VALUE"""),"MENA 1309")</f>
        <v>MENA 1309</v>
      </c>
      <c r="D4503" s="6" t="str">
        <f ca="1">IFERROR(__xludf.DUMMYFUNCTION("""COMPUTED_VALUE"""),"QUILPUÉ")</f>
        <v>QUILPUÉ</v>
      </c>
    </row>
    <row r="4504" spans="1:4">
      <c r="A4504" s="7">
        <f ca="1">IFERROR(__xludf.DUMMYFUNCTION("""COMPUTED_VALUE"""),44413)</f>
        <v>44413</v>
      </c>
      <c r="B4504" s="8" t="str">
        <f ca="1">IFERROR(__xludf.DUMMYFUNCTION("""COMPUTED_VALUE"""),"-33.568802,-71.216954")</f>
        <v>-33.568802,-71.216954</v>
      </c>
      <c r="C4504" s="6" t="str">
        <f ca="1">IFERROR(__xludf.DUMMYFUNCTION("""COMPUTED_VALUE"""),"PJE EL ALAMO 13 BOLLENAR")</f>
        <v>PJE EL ALAMO 13 BOLLENAR</v>
      </c>
      <c r="D4504" s="6" t="str">
        <f ca="1">IFERROR(__xludf.DUMMYFUNCTION("""COMPUTED_VALUE"""),"MELIPILLA")</f>
        <v>MELIPILLA</v>
      </c>
    </row>
    <row r="4505" spans="1:4">
      <c r="A4505" s="7">
        <f ca="1">IFERROR(__xludf.DUMMYFUNCTION("""COMPUTED_VALUE"""),44413)</f>
        <v>44413</v>
      </c>
      <c r="B4505" s="8" t="str">
        <f ca="1">IFERROR(__xludf.DUMMYFUNCTION("""COMPUTED_VALUE"""),"-33.579911,-70.812803")</f>
        <v>-33.579911,-70.812803</v>
      </c>
      <c r="C4505" s="6" t="str">
        <f ca="1">IFERROR(__xludf.DUMMYFUNCTION("""COMPUTED_VALUE"""),"CHILE S/N")</f>
        <v>CHILE S/N</v>
      </c>
      <c r="D4505" s="6" t="str">
        <f ca="1">IFERROR(__xludf.DUMMYFUNCTION("""COMPUTED_VALUE"""),"PADRE HURTADO")</f>
        <v>PADRE HURTADO</v>
      </c>
    </row>
    <row r="4506" spans="1:4">
      <c r="A4506" s="7">
        <f ca="1">IFERROR(__xludf.DUMMYFUNCTION("""COMPUTED_VALUE"""),44413)</f>
        <v>44413</v>
      </c>
      <c r="B4506" s="8" t="str">
        <f ca="1">IFERROR(__xludf.DUMMYFUNCTION("""COMPUTED_VALUE"""),"-33.817720,-71.270893")</f>
        <v>-33.817720,-71.270893</v>
      </c>
      <c r="C4506" s="6" t="str">
        <f ca="1">IFERROR(__xludf.DUMMYFUNCTION("""COMPUTED_VALUE"""),"CULIPAN S/N PC 259")</f>
        <v>CULIPAN S/N PC 259</v>
      </c>
      <c r="D4506" s="6" t="str">
        <f ca="1">IFERROR(__xludf.DUMMYFUNCTION("""COMPUTED_VALUE"""),"MELIPILLA")</f>
        <v>MELIPILLA</v>
      </c>
    </row>
    <row r="4507" spans="1:4">
      <c r="A4507" s="7">
        <f ca="1">IFERROR(__xludf.DUMMYFUNCTION("""COMPUTED_VALUE"""),44413)</f>
        <v>44413</v>
      </c>
      <c r="B4507" s="8" t="str">
        <f ca="1">IFERROR(__xludf.DUMMYFUNCTION("""COMPUTED_VALUE"""),"-33.523061-71.139185")</f>
        <v>-33.523061-71.139185</v>
      </c>
      <c r="C4507" s="6" t="str">
        <f ca="1">IFERROR(__xludf.DUMMYFUNCTION("""COMPUTED_VALUE"""),"BARACALDO S/N 5")</f>
        <v>BARACALDO S/N 5</v>
      </c>
      <c r="D4507" s="6" t="str">
        <f ca="1">IFERROR(__xludf.DUMMYFUNCTION("""COMPUTED_VALUE"""),"MARIA PINTO")</f>
        <v>MARIA PINTO</v>
      </c>
    </row>
    <row r="4508" spans="1:4">
      <c r="A4508" s="7">
        <f ca="1">IFERROR(__xludf.DUMMYFUNCTION("""COMPUTED_VALUE"""),44413)</f>
        <v>44413</v>
      </c>
      <c r="B4508" s="8" t="str">
        <f ca="1">IFERROR(__xludf.DUMMYFUNCTION("""COMPUTED_VALUE"""),"-33.652559-71.147367")</f>
        <v>-33.652559-71.147367</v>
      </c>
      <c r="C4508" s="6" t="str">
        <f ca="1">IFERROR(__xludf.DUMMYFUNCTION("""COMPUTED_VALUE"""),"PASAJE DOS 220")</f>
        <v>PASAJE DOS 220</v>
      </c>
      <c r="D4508" s="6" t="str">
        <f ca="1">IFERROR(__xludf.DUMMYFUNCTION("""COMPUTED_VALUE"""),"MELIPILLA")</f>
        <v>MELIPILLA</v>
      </c>
    </row>
    <row r="4509" spans="1:4">
      <c r="A4509" s="7">
        <f ca="1">IFERROR(__xludf.DUMMYFUNCTION("""COMPUTED_VALUE"""),44413)</f>
        <v>44413</v>
      </c>
      <c r="B4509" s="6" t="str">
        <f ca="1">IFERROR(__xludf.DUMMYFUNCTION("""COMPUTED_VALUE"""),"-33.61918-71.22483")</f>
        <v>-33.61918-71.22483</v>
      </c>
      <c r="C4509" s="6" t="str">
        <f ca="1">IFERROR(__xludf.DUMMYFUNCTION("""COMPUTED_VALUE"""),"SECTOR RUMAY LOTE 16")</f>
        <v>SECTOR RUMAY LOTE 16</v>
      </c>
      <c r="D4509" s="6" t="str">
        <f ca="1">IFERROR(__xludf.DUMMYFUNCTION("""COMPUTED_VALUE"""),"MELIPILLA")</f>
        <v>MELIPILLA</v>
      </c>
    </row>
    <row r="4510" spans="1:4">
      <c r="A4510" s="7">
        <f ca="1">IFERROR(__xludf.DUMMYFUNCTION("""COMPUTED_VALUE"""),44413)</f>
        <v>44413</v>
      </c>
      <c r="B4510" s="6" t="str">
        <f ca="1">IFERROR(__xludf.DUMMYFUNCTION("""COMPUTED_VALUE"""),"-33.63710-71.24455")</f>
        <v>-33.63710-71.24455</v>
      </c>
      <c r="C4510" s="6" t="str">
        <f ca="1">IFERROR(__xludf.DUMMYFUNCTION("""COMPUTED_VALUE"""),"BOLLENAR ORIENTE S/N")</f>
        <v>BOLLENAR ORIENTE S/N</v>
      </c>
      <c r="D4510" s="6" t="str">
        <f ca="1">IFERROR(__xludf.DUMMYFUNCTION("""COMPUTED_VALUE"""),"MELIPILLA")</f>
        <v>MELIPILLA</v>
      </c>
    </row>
    <row r="4511" spans="1:4">
      <c r="A4511" s="7">
        <f ca="1">IFERROR(__xludf.DUMMYFUNCTION("""COMPUTED_VALUE"""),44413)</f>
        <v>44413</v>
      </c>
      <c r="B4511" s="6" t="str">
        <f ca="1">IFERROR(__xludf.DUMMYFUNCTION("""COMPUTED_VALUE"""),"-33.209656-70.681208")</f>
        <v>-33.209656-70.681208</v>
      </c>
      <c r="C4511" s="6" t="str">
        <f ca="1">IFERROR(__xludf.DUMMYFUNCTION("""COMPUTED_VALUE"""),"MARCOS GOYCOLEA 120")</f>
        <v>MARCOS GOYCOLEA 120</v>
      </c>
      <c r="D4511" s="6" t="str">
        <f ca="1">IFERROR(__xludf.DUMMYFUNCTION("""COMPUTED_VALUE"""),"COLINA")</f>
        <v>COLINA</v>
      </c>
    </row>
    <row r="4512" spans="1:4">
      <c r="A4512" s="7">
        <f ca="1">IFERROR(__xludf.DUMMYFUNCTION("""COMPUTED_VALUE"""),44413)</f>
        <v>44413</v>
      </c>
      <c r="B4512" s="6" t="str">
        <f ca="1">IFERROR(__xludf.DUMMYFUNCTION("""COMPUTED_VALUE"""),"-33.560557,-70.783902")</f>
        <v>-33.560557,-70.783902</v>
      </c>
      <c r="C4512" s="6" t="str">
        <f ca="1">IFERROR(__xludf.DUMMYFUNCTION("""COMPUTED_VALUE"""),"PJE SARGENTO CANDELARIA 308")</f>
        <v>PJE SARGENTO CANDELARIA 308</v>
      </c>
      <c r="D4512" s="6" t="str">
        <f ca="1">IFERROR(__xludf.DUMMYFUNCTION("""COMPUTED_VALUE"""),"EL MONTE")</f>
        <v>EL MONTE</v>
      </c>
    </row>
    <row r="4513" spans="1:4">
      <c r="A4513" s="7">
        <f ca="1">IFERROR(__xludf.DUMMYFUNCTION("""COMPUTED_VALUE"""),44413)</f>
        <v>44413</v>
      </c>
      <c r="B4513" s="6" t="str">
        <f ca="1">IFERROR(__xludf.DUMMYFUNCTION("""COMPUTED_VALUE"""),"-33.683152,-71.002076")</f>
        <v>-33.683152,-71.002076</v>
      </c>
      <c r="C4513" s="6" t="str">
        <f ca="1">IFERROR(__xludf.DUMMYFUNCTION("""COMPUTED_VALUE"""),"CONDE DE LA CONQUISTA 28")</f>
        <v>CONDE DE LA CONQUISTA 28</v>
      </c>
      <c r="D4513" s="6" t="str">
        <f ca="1">IFERROR(__xludf.DUMMYFUNCTION("""COMPUTED_VALUE"""),"EL MONTE")</f>
        <v>EL MONTE</v>
      </c>
    </row>
    <row r="4514" spans="1:4">
      <c r="A4514" s="7">
        <f ca="1">IFERROR(__xludf.DUMMYFUNCTION("""COMPUTED_VALUE"""),44413)</f>
        <v>44413</v>
      </c>
      <c r="B4514" s="6" t="str">
        <f ca="1">IFERROR(__xludf.DUMMYFUNCTION("""COMPUTED_VALUE"""),"-33.271858,-70.698494")</f>
        <v>-33.271858,-70.698494</v>
      </c>
      <c r="C4514" s="6" t="str">
        <f ca="1">IFERROR(__xludf.DUMMYFUNCTION("""COMPUTED_VALUE"""),"CAMINO SANTA  LUISA  SITIO  2AB")</f>
        <v>CAMINO SANTA  LUISA  SITIO  2AB</v>
      </c>
      <c r="D4514" s="6" t="str">
        <f ca="1">IFERROR(__xludf.DUMMYFUNCTION("""COMPUTED_VALUE"""),"COLINA")</f>
        <v>COLINA</v>
      </c>
    </row>
    <row r="4515" spans="1:4">
      <c r="A4515" s="7">
        <f ca="1">IFERROR(__xludf.DUMMYFUNCTION("""COMPUTED_VALUE"""),44413)</f>
        <v>44413</v>
      </c>
      <c r="B4515" s="6" t="str">
        <f ca="1">IFERROR(__xludf.DUMMYFUNCTION("""COMPUTED_VALUE"""),"-33.060665-71.447655")</f>
        <v>-33.060665-71.447655</v>
      </c>
      <c r="C4515" s="6" t="str">
        <f ca="1">IFERROR(__xludf.DUMMYFUNCTION("""COMPUTED_VALUE"""),"LETELIER 1930")</f>
        <v>LETELIER 1930</v>
      </c>
      <c r="D4515" s="6" t="str">
        <f ca="1">IFERROR(__xludf.DUMMYFUNCTION("""COMPUTED_VALUE"""),"QUILPUÉ")</f>
        <v>QUILPUÉ</v>
      </c>
    </row>
    <row r="4516" spans="1:4">
      <c r="A4516" s="7">
        <f ca="1">IFERROR(__xludf.DUMMYFUNCTION("""COMPUTED_VALUE"""),44413)</f>
        <v>44413</v>
      </c>
      <c r="B4516" s="6" t="str">
        <f ca="1">IFERROR(__xludf.DUMMYFUNCTION("""COMPUTED_VALUE"""),"-33.066371-71.428440")</f>
        <v>-33.066371-71.428440</v>
      </c>
      <c r="C4516" s="6" t="str">
        <f ca="1">IFERROR(__xludf.DUMMYFUNCTION("""COMPUTED_VALUE"""),"TUCUQUERE 2673")</f>
        <v>TUCUQUERE 2673</v>
      </c>
      <c r="D4516" s="6" t="str">
        <f ca="1">IFERROR(__xludf.DUMMYFUNCTION("""COMPUTED_VALUE"""),"QUILPUÉ")</f>
        <v>QUILPUÉ</v>
      </c>
    </row>
    <row r="4517" spans="1:4">
      <c r="A4517" s="7">
        <f ca="1">IFERROR(__xludf.DUMMYFUNCTION("""COMPUTED_VALUE"""),44414)</f>
        <v>44414</v>
      </c>
      <c r="B4517" s="8" t="str">
        <f ca="1">IFERROR(__xludf.DUMMYFUNCTION("""COMPUTED_VALUE"""),"-33.699775,-71.21889")</f>
        <v>-33.699775,-71.21889</v>
      </c>
      <c r="C4517" s="6" t="str">
        <f ca="1">IFERROR(__xludf.DUMMYFUNCTION("""COMPUTED_VALUE"""),"PARDO S/N 1611")</f>
        <v>PARDO S/N 1611</v>
      </c>
      <c r="D4517" s="6" t="str">
        <f ca="1">IFERROR(__xludf.DUMMYFUNCTION("""COMPUTED_VALUE"""),"MELIPILLA")</f>
        <v>MELIPILLA</v>
      </c>
    </row>
    <row r="4518" spans="1:4">
      <c r="A4518" s="7">
        <f ca="1">IFERROR(__xludf.DUMMYFUNCTION("""COMPUTED_VALUE"""),44414)</f>
        <v>44414</v>
      </c>
      <c r="B4518" s="8" t="str">
        <f ca="1">IFERROR(__xludf.DUMMYFUNCTION("""COMPUTED_VALUE"""),"-33.698795,-71,2188798")</f>
        <v>-33.698795,-71,2188798</v>
      </c>
      <c r="C4518" s="6" t="str">
        <f ca="1">IFERROR(__xludf.DUMMYFUNCTION("""COMPUTED_VALUE"""),"PJE ORIENTE 1651")</f>
        <v>PJE ORIENTE 1651</v>
      </c>
      <c r="D4518" s="6" t="str">
        <f ca="1">IFERROR(__xludf.DUMMYFUNCTION("""COMPUTED_VALUE"""),"MELIPILLA")</f>
        <v>MELIPILLA</v>
      </c>
    </row>
    <row r="4519" spans="1:4">
      <c r="A4519" s="7">
        <f ca="1">IFERROR(__xludf.DUMMYFUNCTION("""COMPUTED_VALUE"""),44414)</f>
        <v>44414</v>
      </c>
      <c r="B4519" s="8" t="str">
        <f ca="1">IFERROR(__xludf.DUMMYFUNCTION("""COMPUTED_VALUE"""),"-33.693597,-71.221246")</f>
        <v>-33.693597,-71.221246</v>
      </c>
      <c r="C4519" s="6" t="str">
        <f ca="1">IFERROR(__xludf.DUMMYFUNCTION("""COMPUTED_VALUE"""),"CARRERAS 949")</f>
        <v>CARRERAS 949</v>
      </c>
      <c r="D4519" s="6" t="str">
        <f ca="1">IFERROR(__xludf.DUMMYFUNCTION("""COMPUTED_VALUE"""),"MELIPILLA")</f>
        <v>MELIPILLA</v>
      </c>
    </row>
    <row r="4520" spans="1:4">
      <c r="A4520" s="7">
        <f ca="1">IFERROR(__xludf.DUMMYFUNCTION("""COMPUTED_VALUE"""),44414)</f>
        <v>44414</v>
      </c>
      <c r="B4520" s="6" t="str">
        <f ca="1">IFERROR(__xludf.DUMMYFUNCTION("""COMPUTED_VALUE"""),"-33.390836-71.125684")</f>
        <v>-33.390836-71.125684</v>
      </c>
      <c r="C4520" s="6" t="str">
        <f ca="1">IFERROR(__xludf.DUMMYFUNCTION("""COMPUTED_VALUE"""),"LOS BOLDOS 1122")</f>
        <v>LOS BOLDOS 1122</v>
      </c>
      <c r="D4520" s="6" t="str">
        <f ca="1">IFERROR(__xludf.DUMMYFUNCTION("""COMPUTED_VALUE"""),"CURACAVI")</f>
        <v>CURACAVI</v>
      </c>
    </row>
    <row r="4521" spans="1:4">
      <c r="A4521" s="7">
        <f ca="1">IFERROR(__xludf.DUMMYFUNCTION("""COMPUTED_VALUE"""),44414)</f>
        <v>44414</v>
      </c>
      <c r="B4521" s="6" t="str">
        <f ca="1">IFERROR(__xludf.DUMMYFUNCTION("""COMPUTED_VALUE"""),"-33.405132-71.129584")</f>
        <v>-33.405132-71.129584</v>
      </c>
      <c r="C4521" s="6" t="str">
        <f ca="1">IFERROR(__xludf.DUMMYFUNCTION("""COMPUTED_VALUE"""),"LA ANUNCIACION 1828")</f>
        <v>LA ANUNCIACION 1828</v>
      </c>
      <c r="D4521" s="6" t="str">
        <f ca="1">IFERROR(__xludf.DUMMYFUNCTION("""COMPUTED_VALUE"""),"CURACAVI")</f>
        <v>CURACAVI</v>
      </c>
    </row>
    <row r="4522" spans="1:4">
      <c r="A4522" s="7">
        <f ca="1">IFERROR(__xludf.DUMMYFUNCTION("""COMPUTED_VALUE"""),44414)</f>
        <v>44414</v>
      </c>
      <c r="B4522" s="6" t="str">
        <f ca="1">IFERROR(__xludf.DUMMYFUNCTION("""COMPUTED_VALUE"""),"-33.392164-71.122487")</f>
        <v>-33.392164-71.122487</v>
      </c>
      <c r="C4522" s="6" t="str">
        <f ca="1">IFERROR(__xludf.DUMMYFUNCTION("""COMPUTED_VALUE"""),"MARIANO EGAÑA 2152")</f>
        <v>MARIANO EGAÑA 2152</v>
      </c>
      <c r="D4522" s="6" t="str">
        <f ca="1">IFERROR(__xludf.DUMMYFUNCTION("""COMPUTED_VALUE"""),"CURACAVI")</f>
        <v>CURACAVI</v>
      </c>
    </row>
    <row r="4523" spans="1:4">
      <c r="A4523" s="7">
        <f ca="1">IFERROR(__xludf.DUMMYFUNCTION("""COMPUTED_VALUE"""),44414)</f>
        <v>44414</v>
      </c>
      <c r="B4523" s="6" t="str">
        <f ca="1">IFERROR(__xludf.DUMMYFUNCTION("""COMPUTED_VALUE"""),"-33.391148-71.129443")</f>
        <v>-33.391148-71.129443</v>
      </c>
      <c r="C4523" s="6" t="str">
        <f ca="1">IFERROR(__xludf.DUMMYFUNCTION("""COMPUTED_VALUE"""),"GERMAN RIESCO 1094")</f>
        <v>GERMAN RIESCO 1094</v>
      </c>
      <c r="D4523" s="6" t="str">
        <f ca="1">IFERROR(__xludf.DUMMYFUNCTION("""COMPUTED_VALUE"""),"CURACAVI")</f>
        <v>CURACAVI</v>
      </c>
    </row>
    <row r="4524" spans="1:4">
      <c r="A4524" s="7">
        <f ca="1">IFERROR(__xludf.DUMMYFUNCTION("""COMPUTED_VALUE"""),44414)</f>
        <v>44414</v>
      </c>
      <c r="B4524" s="6" t="str">
        <f ca="1">IFERROR(__xludf.DUMMYFUNCTION("""COMPUTED_VALUE"""),"-33.683008,-71.001828")</f>
        <v>-33.683008,-71.001828</v>
      </c>
      <c r="C4524" s="6" t="str">
        <f ca="1">IFERROR(__xludf.DUMMYFUNCTION("""COMPUTED_VALUE"""),"CONDE DE LA CONQUISTA 16")</f>
        <v>CONDE DE LA CONQUISTA 16</v>
      </c>
      <c r="D4524" s="6" t="str">
        <f ca="1">IFERROR(__xludf.DUMMYFUNCTION("""COMPUTED_VALUE"""),"EL MONTE")</f>
        <v>EL MONTE</v>
      </c>
    </row>
    <row r="4525" spans="1:4">
      <c r="A4525" s="7">
        <f ca="1">IFERROR(__xludf.DUMMYFUNCTION("""COMPUTED_VALUE"""),44414)</f>
        <v>44414</v>
      </c>
      <c r="B4525" s="6" t="str">
        <f ca="1">IFERROR(__xludf.DUMMYFUNCTION("""COMPUTED_VALUE"""),"-33.689753,-71.035149")</f>
        <v>-33.689753,-71.035149</v>
      </c>
      <c r="C4525" s="6" t="str">
        <f ca="1">IFERROR(__xludf.DUMMYFUNCTION("""COMPUTED_VALUE"""),"PJE SALVADOR 093")</f>
        <v>PJE SALVADOR 093</v>
      </c>
      <c r="D4525" s="6" t="str">
        <f ca="1">IFERROR(__xludf.DUMMYFUNCTION("""COMPUTED_VALUE"""),"EL MONTE")</f>
        <v>EL MONTE</v>
      </c>
    </row>
    <row r="4526" spans="1:4">
      <c r="A4526" s="7">
        <f ca="1">IFERROR(__xludf.DUMMYFUNCTION("""COMPUTED_VALUE"""),44414)</f>
        <v>44414</v>
      </c>
      <c r="B4526" s="6" t="str">
        <f ca="1">IFERROR(__xludf.DUMMYFUNCTION("""COMPUTED_VALUE"""),"-33.689753,-71.035149")</f>
        <v>-33.689753,-71.035149</v>
      </c>
      <c r="C4526" s="6" t="str">
        <f ca="1">IFERROR(__xludf.DUMMYFUNCTION("""COMPUTED_VALUE"""),"PJE SALVADOR 093")</f>
        <v>PJE SALVADOR 093</v>
      </c>
      <c r="D4526" s="6" t="str">
        <f ca="1">IFERROR(__xludf.DUMMYFUNCTION("""COMPUTED_VALUE"""),"EL MONTE")</f>
        <v>EL MONTE</v>
      </c>
    </row>
    <row r="4527" spans="1:4">
      <c r="A4527" s="7">
        <f ca="1">IFERROR(__xludf.DUMMYFUNCTION("""COMPUTED_VALUE"""),44414)</f>
        <v>44414</v>
      </c>
      <c r="B4527" s="6" t="str">
        <f ca="1">IFERROR(__xludf.DUMMYFUNCTION("""COMPUTED_VALUE"""),"-33.675516,-70.998.782")</f>
        <v>-33.675516,-70.998.782</v>
      </c>
      <c r="C4527" s="6" t="str">
        <f ca="1">IFERROR(__xludf.DUMMYFUNCTION("""COMPUTED_VALUE"""),"MICHIMALONCO 854")</f>
        <v>MICHIMALONCO 854</v>
      </c>
      <c r="D4527" s="6" t="str">
        <f ca="1">IFERROR(__xludf.DUMMYFUNCTION("""COMPUTED_VALUE"""),"EL MONTE")</f>
        <v>EL MONTE</v>
      </c>
    </row>
    <row r="4528" spans="1:4">
      <c r="A4528" s="7">
        <f ca="1">IFERROR(__xludf.DUMMYFUNCTION("""COMPUTED_VALUE"""),44414)</f>
        <v>44414</v>
      </c>
      <c r="B4528" s="6" t="str">
        <f ca="1">IFERROR(__xludf.DUMMYFUNCTION("""COMPUTED_VALUE"""),"-33.566798,-71.221932")</f>
        <v>-33.566798,-71.221932</v>
      </c>
      <c r="C4528" s="6" t="str">
        <f ca="1">IFERROR(__xludf.DUMMYFUNCTION("""COMPUTED_VALUE"""),"BOLLENAR S/N LOTE 21 CALLE  TRICAHUE N°361")</f>
        <v>BOLLENAR S/N LOTE 21 CALLE  TRICAHUE N°361</v>
      </c>
      <c r="D4528" s="6" t="str">
        <f ca="1">IFERROR(__xludf.DUMMYFUNCTION("""COMPUTED_VALUE"""),"MELIPILLA")</f>
        <v>MELIPILLA</v>
      </c>
    </row>
    <row r="4529" spans="1:4">
      <c r="A4529" s="7">
        <f ca="1">IFERROR(__xludf.DUMMYFUNCTION("""COMPUTED_VALUE"""),44414)</f>
        <v>44414</v>
      </c>
      <c r="B4529" s="6" t="str">
        <f ca="1">IFERROR(__xludf.DUMMYFUNCTION("""COMPUTED_VALUE"""),"-33.650881,-71.151034")</f>
        <v>-33.650881,-71.151034</v>
      </c>
      <c r="C4529" s="6" t="str">
        <f ca="1">IFERROR(__xludf.DUMMYFUNCTION("""COMPUTED_VALUE"""),"SAN ANTONIO  335 POAMIRE")</f>
        <v>SAN ANTONIO  335 POAMIRE</v>
      </c>
      <c r="D4529" s="6" t="str">
        <f ca="1">IFERROR(__xludf.DUMMYFUNCTION("""COMPUTED_VALUE"""),"MELIPILLA")</f>
        <v>MELIPILLA</v>
      </c>
    </row>
    <row r="4530" spans="1:4">
      <c r="A4530" s="7">
        <f ca="1">IFERROR(__xludf.DUMMYFUNCTION("""COMPUTED_VALUE"""),44414)</f>
        <v>44414</v>
      </c>
      <c r="B4530" s="6" t="str">
        <f ca="1">IFERROR(__xludf.DUMMYFUNCTION("""COMPUTED_VALUE"""),"-33.682746,-71.003925")</f>
        <v>-33.682746,-71.003925</v>
      </c>
      <c r="C4530" s="6" t="str">
        <f ca="1">IFERROR(__xludf.DUMMYFUNCTION("""COMPUTED_VALUE"""),"PASAJE VOLCANLONQUIMAY 847 F ")</f>
        <v xml:space="preserve">PASAJE VOLCANLONQUIMAY 847 F </v>
      </c>
      <c r="D4530" s="6" t="str">
        <f ca="1">IFERROR(__xludf.DUMMYFUNCTION("""COMPUTED_VALUE"""),"EL MONTE")</f>
        <v>EL MONTE</v>
      </c>
    </row>
    <row r="4531" spans="1:4">
      <c r="A4531" s="7">
        <f ca="1">IFERROR(__xludf.DUMMYFUNCTION("""COMPUTED_VALUE"""),44414)</f>
        <v>44414</v>
      </c>
      <c r="B4531" s="6" t="str">
        <f ca="1">IFERROR(__xludf.DUMMYFUNCTION("""COMPUTED_VALUE"""),"-33.676155,-70.990428")</f>
        <v>-33.676155,-70.990428</v>
      </c>
      <c r="C4531" s="6" t="str">
        <f ca="1">IFERROR(__xludf.DUMMYFUNCTION("""COMPUTED_VALUE"""),"CARLOS CROVETTO 369 ")</f>
        <v xml:space="preserve">CARLOS CROVETTO 369 </v>
      </c>
      <c r="D4531" s="6" t="str">
        <f ca="1">IFERROR(__xludf.DUMMYFUNCTION("""COMPUTED_VALUE"""),"EL MONTE")</f>
        <v>EL MONTE</v>
      </c>
    </row>
    <row r="4532" spans="1:4">
      <c r="A4532" s="7">
        <f ca="1">IFERROR(__xludf.DUMMYFUNCTION("""COMPUTED_VALUE"""),44414)</f>
        <v>44414</v>
      </c>
      <c r="B4532" s="8" t="str">
        <f ca="1">IFERROR(__xludf.DUMMYFUNCTION("""COMPUTED_VALUE"""),"-33.914833,-71440094")</f>
        <v>-33.914833,-71440094</v>
      </c>
      <c r="C4532" s="6" t="str">
        <f ca="1">IFERROR(__xludf.DUMMYFUNCTION("""COMPUTED_VALUE"""),"El YALI")</f>
        <v>El YALI</v>
      </c>
      <c r="D4532" s="6" t="str">
        <f ca="1">IFERROR(__xludf.DUMMYFUNCTION("""COMPUTED_VALUE"""),"MELIPILLA")</f>
        <v>MELIPILLA</v>
      </c>
    </row>
    <row r="4533" spans="1:4">
      <c r="A4533" s="7">
        <f ca="1">IFERROR(__xludf.DUMMYFUNCTION("""COMPUTED_VALUE"""),44414)</f>
        <v>44414</v>
      </c>
      <c r="B4533" s="8" t="str">
        <f ca="1">IFERROR(__xludf.DUMMYFUNCTION("""COMPUTED_VALUE"""),"-33.909570,-71.413695")</f>
        <v>-33.909570,-71.413695</v>
      </c>
      <c r="C4533" s="6" t="str">
        <f ca="1">IFERROR(__xludf.DUMMYFUNCTION("""COMPUTED_VALUE"""),"LONGOVILO/PARCELA 1")</f>
        <v>LONGOVILO/PARCELA 1</v>
      </c>
      <c r="D4533" s="6" t="str">
        <f ca="1">IFERROR(__xludf.DUMMYFUNCTION("""COMPUTED_VALUE"""),"MELIPILLA")</f>
        <v>MELIPILLA</v>
      </c>
    </row>
    <row r="4534" spans="1:4">
      <c r="A4534" s="7">
        <f ca="1">IFERROR(__xludf.DUMMYFUNCTION("""COMPUTED_VALUE"""),44414)</f>
        <v>44414</v>
      </c>
      <c r="B4534" s="6" t="str">
        <f ca="1">IFERROR(__xludf.DUMMYFUNCTION("""COMPUTED_VALUE"""),"-33.042472-71.471425")</f>
        <v>-33.042472-71.471425</v>
      </c>
      <c r="C4534" s="6" t="str">
        <f ca="1">IFERROR(__xludf.DUMMYFUNCTION("""COMPUTED_VALUE"""),"SAN PABLO 01490")</f>
        <v>SAN PABLO 01490</v>
      </c>
      <c r="D4534" s="6" t="str">
        <f ca="1">IFERROR(__xludf.DUMMYFUNCTION("""COMPUTED_VALUE"""),"QUILPUÉ")</f>
        <v>QUILPUÉ</v>
      </c>
    </row>
    <row r="4535" spans="1:4">
      <c r="A4535" s="7">
        <f ca="1">IFERROR(__xludf.DUMMYFUNCTION("""COMPUTED_VALUE"""),44415)</f>
        <v>44415</v>
      </c>
      <c r="B4535" s="6" t="str">
        <f ca="1">IFERROR(__xludf.DUMMYFUNCTION("""COMPUTED_VALUE"""),"-33.228882,-70.805433")</f>
        <v>-33.228882,-70.805433</v>
      </c>
      <c r="C4535" s="6" t="str">
        <f ca="1">IFERROR(__xludf.DUMMYFUNCTION("""COMPUTED_VALUE"""),"JUAN MOISANAVE 940")</f>
        <v>JUAN MOISANAVE 940</v>
      </c>
      <c r="D4535" s="6" t="str">
        <f ca="1">IFERROR(__xludf.DUMMYFUNCTION("""COMPUTED_VALUE"""),"LAMPA")</f>
        <v>LAMPA</v>
      </c>
    </row>
    <row r="4536" spans="1:4">
      <c r="A4536" s="7">
        <f ca="1">IFERROR(__xludf.DUMMYFUNCTION("""COMPUTED_VALUE"""),44415)</f>
        <v>44415</v>
      </c>
      <c r="B4536" s="6" t="str">
        <f ca="1">IFERROR(__xludf.DUMMYFUNCTION("""COMPUTED_VALUE"""),"-33.675426,-70.999.298")</f>
        <v>-33.675426,-70.999.298</v>
      </c>
      <c r="C4536" s="6" t="str">
        <f ca="1">IFERROR(__xludf.DUMMYFUNCTION("""COMPUTED_VALUE"""),"GALVARINO 839")</f>
        <v>GALVARINO 839</v>
      </c>
      <c r="D4536" s="6" t="str">
        <f ca="1">IFERROR(__xludf.DUMMYFUNCTION("""COMPUTED_VALUE"""),"EL MONTE")</f>
        <v>EL MONTE</v>
      </c>
    </row>
    <row r="4537" spans="1:4">
      <c r="A4537" s="7">
        <f ca="1">IFERROR(__xludf.DUMMYFUNCTION("""COMPUTED_VALUE"""),44415)</f>
        <v>44415</v>
      </c>
      <c r="B4537" s="6" t="str">
        <f ca="1">IFERROR(__xludf.DUMMYFUNCTION("""COMPUTED_VALUE"""),"-33.651200,-71.152074")</f>
        <v>-33.651200,-71.152074</v>
      </c>
      <c r="C4537" s="6" t="str">
        <f ca="1">IFERROR(__xludf.DUMMYFUNCTION("""COMPUTED_VALUE"""),"CA BERNARDO O""HIGGINS 280 ")</f>
        <v xml:space="preserve">CA BERNARDO O"HIGGINS 280 </v>
      </c>
      <c r="D4537" s="6" t="str">
        <f ca="1">IFERROR(__xludf.DUMMYFUNCTION("""COMPUTED_VALUE"""),"MELIPILLA")</f>
        <v>MELIPILLA</v>
      </c>
    </row>
    <row r="4538" spans="1:4">
      <c r="A4538" s="7">
        <f ca="1">IFERROR(__xludf.DUMMYFUNCTION("""COMPUTED_VALUE"""),44415)</f>
        <v>44415</v>
      </c>
      <c r="B4538" s="6" t="str">
        <f ca="1">IFERROR(__xludf.DUMMYFUNCTION("""COMPUTED_VALUE"""),"-33.233962,-70.805118")</f>
        <v>-33.233962,-70.805118</v>
      </c>
      <c r="C4538" s="6" t="str">
        <f ca="1">IFERROR(__xludf.DUMMYFUNCTION("""COMPUTED_VALUE"""),"PEDRO  MONTT 842 INTERIOR SITIO 3")</f>
        <v>PEDRO  MONTT 842 INTERIOR SITIO 3</v>
      </c>
      <c r="D4538" s="6" t="str">
        <f ca="1">IFERROR(__xludf.DUMMYFUNCTION("""COMPUTED_VALUE"""),"LAMPA")</f>
        <v>LAMPA</v>
      </c>
    </row>
    <row r="4539" spans="1:4">
      <c r="A4539" s="7">
        <f ca="1">IFERROR(__xludf.DUMMYFUNCTION("""COMPUTED_VALUE"""),44417)</f>
        <v>44417</v>
      </c>
      <c r="B4539" s="6" t="str">
        <f ca="1">IFERROR(__xludf.DUMMYFUNCTION("""COMPUTED_VALUE"""),"-33.402108-71.130963")</f>
        <v>-33.402108-71.130963</v>
      </c>
      <c r="C4539" s="6" t="str">
        <f ca="1">IFERROR(__xludf.DUMMYFUNCTION("""COMPUTED_VALUE"""),"WILLIAM REBOLLEDO 1810")</f>
        <v>WILLIAM REBOLLEDO 1810</v>
      </c>
      <c r="D4539" s="6" t="str">
        <f ca="1">IFERROR(__xludf.DUMMYFUNCTION("""COMPUTED_VALUE"""),"CURACAVI")</f>
        <v>CURACAVI</v>
      </c>
    </row>
    <row r="4540" spans="1:4">
      <c r="A4540" s="7">
        <f ca="1">IFERROR(__xludf.DUMMYFUNCTION("""COMPUTED_VALUE"""),44417)</f>
        <v>44417</v>
      </c>
      <c r="B4540" s="6" t="str">
        <f ca="1">IFERROR(__xludf.DUMMYFUNCTION("""COMPUTED_VALUE"""),"-33.146523-70.797595")</f>
        <v>-33.146523-70.797595</v>
      </c>
      <c r="C4540" s="6" t="str">
        <f ca="1">IFERROR(__xludf.DUMMYFUNCTION("""COMPUTED_VALUE"""),"CALLE UNO 450")</f>
        <v>CALLE UNO 450</v>
      </c>
      <c r="D4540" s="6" t="str">
        <f ca="1">IFERROR(__xludf.DUMMYFUNCTION("""COMPUTED_VALUE"""),"TIL TIL")</f>
        <v>TIL TIL</v>
      </c>
    </row>
    <row r="4541" spans="1:4">
      <c r="A4541" s="7">
        <f ca="1">IFERROR(__xludf.DUMMYFUNCTION("""COMPUTED_VALUE"""),44417)</f>
        <v>44417</v>
      </c>
      <c r="B4541" s="6" t="str">
        <f ca="1">IFERROR(__xludf.DUMMYFUNCTION("""COMPUTED_VALUE"""),"-33.45875-71.02685")</f>
        <v>-33.45875-71.02685</v>
      </c>
      <c r="C4541" s="6" t="str">
        <f ca="1">IFERROR(__xludf.DUMMYFUNCTION("""COMPUTED_VALUE"""),"BATALLA SAN JUAN SITIO 9")</f>
        <v>BATALLA SAN JUAN SITIO 9</v>
      </c>
      <c r="D4541" s="6" t="str">
        <f ca="1">IFERROR(__xludf.DUMMYFUNCTION("""COMPUTED_VALUE"""),"CURACAVI")</f>
        <v>CURACAVI</v>
      </c>
    </row>
    <row r="4542" spans="1:4">
      <c r="A4542" s="7">
        <f ca="1">IFERROR(__xludf.DUMMYFUNCTION("""COMPUTED_VALUE"""),44417)</f>
        <v>44417</v>
      </c>
      <c r="B4542" s="6" t="str">
        <f ca="1">IFERROR(__xludf.DUMMYFUNCTION("""COMPUTED_VALUE"""),"-33.45852-71.02745")</f>
        <v>-33.45852-71.02745</v>
      </c>
      <c r="C4542" s="6" t="str">
        <f ca="1">IFERROR(__xludf.DUMMYFUNCTION("""COMPUTED_VALUE"""),"CUESTA BARRIGA S/N")</f>
        <v>CUESTA BARRIGA S/N</v>
      </c>
      <c r="D4542" s="6" t="str">
        <f ca="1">IFERROR(__xludf.DUMMYFUNCTION("""COMPUTED_VALUE"""),"CURACAVI")</f>
        <v>CURACAVI</v>
      </c>
    </row>
    <row r="4543" spans="1:4">
      <c r="A4543" s="7">
        <f ca="1">IFERROR(__xludf.DUMMYFUNCTION("""COMPUTED_VALUE"""),44417)</f>
        <v>44417</v>
      </c>
      <c r="B4543" s="6" t="str">
        <f ca="1">IFERROR(__xludf.DUMMYFUNCTION("""COMPUTED_VALUE"""),"-33.680327,-71.206245")</f>
        <v>-33.680327,-71.206245</v>
      </c>
      <c r="C4543" s="6" t="str">
        <f ca="1">IFERROR(__xludf.DUMMYFUNCTION("""COMPUTED_VALUE"""),"PASAJE DOCTOR  H JARA 7")</f>
        <v>PASAJE DOCTOR  H JARA 7</v>
      </c>
      <c r="D4543" s="6" t="str">
        <f ca="1">IFERROR(__xludf.DUMMYFUNCTION("""COMPUTED_VALUE"""),"MELIPILLA")</f>
        <v>MELIPILLA</v>
      </c>
    </row>
    <row r="4544" spans="1:4">
      <c r="A4544" s="7">
        <f ca="1">IFERROR(__xludf.DUMMYFUNCTION("""COMPUTED_VALUE"""),44417)</f>
        <v>44417</v>
      </c>
      <c r="B4544" s="8" t="str">
        <f ca="1">IFERROR(__xludf.DUMMYFUNCTION("""COMPUTED_VALUE"""),"-33.696465,-71.222588")</f>
        <v>-33.696465,-71.222588</v>
      </c>
      <c r="C4544" s="6" t="str">
        <f ca="1">IFERROR(__xludf.DUMMYFUNCTION("""COMPUTED_VALUE"""),"CARLOS WOOD")</f>
        <v>CARLOS WOOD</v>
      </c>
      <c r="D4544" s="6" t="str">
        <f ca="1">IFERROR(__xludf.DUMMYFUNCTION("""COMPUTED_VALUE"""),"MELIPILLA")</f>
        <v>MELIPILLA</v>
      </c>
    </row>
    <row r="4545" spans="1:4">
      <c r="A4545" s="7">
        <f ca="1">IFERROR(__xludf.DUMMYFUNCTION("""COMPUTED_VALUE"""),44417)</f>
        <v>44417</v>
      </c>
      <c r="B4545" s="8" t="str">
        <f ca="1">IFERROR(__xludf.DUMMYFUNCTION("""COMPUTED_VALUE"""),"33.64617,-71.282366")</f>
        <v>33.64617,-71.282366</v>
      </c>
      <c r="C4545" s="6" t="str">
        <f ca="1">IFERROR(__xludf.DUMMYFUNCTION("""COMPUTED_VALUE"""),"STA ROSA ESMERALDA")</f>
        <v>STA ROSA ESMERALDA</v>
      </c>
      <c r="D4545" s="6" t="str">
        <f ca="1">IFERROR(__xludf.DUMMYFUNCTION("""COMPUTED_VALUE"""),"MELIPILLA")</f>
        <v>MELIPILLA</v>
      </c>
    </row>
    <row r="4546" spans="1:4">
      <c r="A4546" s="7">
        <f ca="1">IFERROR(__xludf.DUMMYFUNCTION("""COMPUTED_VALUE"""),44418)</f>
        <v>44418</v>
      </c>
      <c r="B4546" s="8" t="str">
        <f ca="1">IFERROR(__xludf.DUMMYFUNCTION("""COMPUTED_VALUE"""),"-33.637687,-70.876665")</f>
        <v>-33.637687,-70.876665</v>
      </c>
      <c r="C4546" s="6" t="str">
        <f ca="1">IFERROR(__xludf.DUMMYFUNCTION("""COMPUTED_VALUE"""),"AMERICA 3238")</f>
        <v>AMERICA 3238</v>
      </c>
      <c r="D4546" s="6" t="str">
        <f ca="1">IFERROR(__xludf.DUMMYFUNCTION("""COMPUTED_VALUE"""),"TALAGANTE")</f>
        <v>TALAGANTE</v>
      </c>
    </row>
    <row r="4547" spans="1:4">
      <c r="A4547" s="7">
        <f ca="1">IFERROR(__xludf.DUMMYFUNCTION("""COMPUTED_VALUE"""),44418)</f>
        <v>44418</v>
      </c>
      <c r="B4547" s="8" t="str">
        <f ca="1">IFERROR(__xludf.DUMMYFUNCTION("""COMPUTED_VALUE"""),"-33510753,-71.264581")</f>
        <v>-33510753,-71.264581</v>
      </c>
      <c r="C4547" s="6" t="str">
        <f ca="1">IFERROR(__xludf.DUMMYFUNCTION("""COMPUTED_VALUE"""),"IBACACHE BAJO S/N")</f>
        <v>IBACACHE BAJO S/N</v>
      </c>
      <c r="D4547" s="6" t="str">
        <f ca="1">IFERROR(__xludf.DUMMYFUNCTION("""COMPUTED_VALUE"""),"MARIA PINTO")</f>
        <v>MARIA PINTO</v>
      </c>
    </row>
    <row r="4548" spans="1:4">
      <c r="A4548" s="7">
        <f ca="1">IFERROR(__xludf.DUMMYFUNCTION("""COMPUTED_VALUE"""),44418)</f>
        <v>44418</v>
      </c>
      <c r="B4548" s="8" t="str">
        <f ca="1">IFERROR(__xludf.DUMMYFUNCTION("""COMPUTED_VALUE"""),"-33.511229,-71.264738")</f>
        <v>-33.511229,-71.264738</v>
      </c>
      <c r="C4548" s="6" t="str">
        <f ca="1">IFERROR(__xludf.DUMMYFUNCTION("""COMPUTED_VALUE"""),"IBACACHE BAJO S/N")</f>
        <v>IBACACHE BAJO S/N</v>
      </c>
      <c r="D4548" s="6" t="str">
        <f ca="1">IFERROR(__xludf.DUMMYFUNCTION("""COMPUTED_VALUE"""),"MARIA PINTO")</f>
        <v>MARIA PINTO</v>
      </c>
    </row>
    <row r="4549" spans="1:4">
      <c r="A4549" s="7">
        <f ca="1">IFERROR(__xludf.DUMMYFUNCTION("""COMPUTED_VALUE"""),44418)</f>
        <v>44418</v>
      </c>
      <c r="B4549" s="8" t="str">
        <f ca="1">IFERROR(__xludf.DUMMYFUNCTION("""COMPUTED_VALUE"""),"-33.681026,-71.223704")</f>
        <v>-33.681026,-71.223704</v>
      </c>
      <c r="C4549" s="6" t="str">
        <f ca="1">IFERROR(__xludf.DUMMYFUNCTION("""COMPUTED_VALUE"""),"LAS ARAUCARIAS")</f>
        <v>LAS ARAUCARIAS</v>
      </c>
      <c r="D4549" s="6" t="str">
        <f ca="1">IFERROR(__xludf.DUMMYFUNCTION("""COMPUTED_VALUE"""),"MELIPILLA")</f>
        <v>MELIPILLA</v>
      </c>
    </row>
    <row r="4550" spans="1:4">
      <c r="A4550" s="7">
        <f ca="1">IFERROR(__xludf.DUMMYFUNCTION("""COMPUTED_VALUE"""),44418)</f>
        <v>44418</v>
      </c>
      <c r="B4550" s="6" t="str">
        <f ca="1">IFERROR(__xludf.DUMMYFUNCTION("""COMPUTED_VALUE"""),"-33.299045-70.879433")</f>
        <v>-33.299045-70.879433</v>
      </c>
      <c r="C4550" s="6" t="str">
        <f ca="1">IFERROR(__xludf.DUMMYFUNCTION("""COMPUTED_VALUE"""),"CAMINO LAS FLORES 1008 CASA 52")</f>
        <v>CAMINO LAS FLORES 1008 CASA 52</v>
      </c>
      <c r="D4550" s="6" t="str">
        <f ca="1">IFERROR(__xludf.DUMMYFUNCTION("""COMPUTED_VALUE"""),"LAMPA")</f>
        <v>LAMPA</v>
      </c>
    </row>
    <row r="4551" spans="1:4">
      <c r="A4551" s="7">
        <f ca="1">IFERROR(__xludf.DUMMYFUNCTION("""COMPUTED_VALUE"""),44418)</f>
        <v>44418</v>
      </c>
      <c r="B4551" s="6" t="str">
        <f ca="1">IFERROR(__xludf.DUMMYFUNCTION("""COMPUTED_VALUE"""),"-33.407097-71.128832")</f>
        <v>-33.407097-71.128832</v>
      </c>
      <c r="C4551" s="6" t="str">
        <f ca="1">IFERROR(__xludf.DUMMYFUNCTION("""COMPUTED_VALUE"""),"PJE UNO 1793")</f>
        <v>PJE UNO 1793</v>
      </c>
      <c r="D4551" s="6" t="str">
        <f ca="1">IFERROR(__xludf.DUMMYFUNCTION("""COMPUTED_VALUE"""),"CURACAVI")</f>
        <v>CURACAVI</v>
      </c>
    </row>
    <row r="4552" spans="1:4">
      <c r="A4552" s="7">
        <f ca="1">IFERROR(__xludf.DUMMYFUNCTION("""COMPUTED_VALUE"""),44418)</f>
        <v>44418</v>
      </c>
      <c r="B4552" s="6" t="str">
        <f ca="1">IFERROR(__xludf.DUMMYFUNCTION("""COMPUTED_VALUE"""),"-33.410834-71.144309")</f>
        <v>-33.410834-71.144309</v>
      </c>
      <c r="C4552" s="6" t="str">
        <f ca="1">IFERROR(__xludf.DUMMYFUNCTION("""COMPUTED_VALUE"""),"LOS AROMOS 310")</f>
        <v>LOS AROMOS 310</v>
      </c>
      <c r="D4552" s="6" t="str">
        <f ca="1">IFERROR(__xludf.DUMMYFUNCTION("""COMPUTED_VALUE"""),"CURACAVI")</f>
        <v>CURACAVI</v>
      </c>
    </row>
    <row r="4553" spans="1:4">
      <c r="A4553" s="7">
        <f ca="1">IFERROR(__xludf.DUMMYFUNCTION("""COMPUTED_VALUE"""),44418)</f>
        <v>44418</v>
      </c>
      <c r="B4553" s="6" t="str">
        <f ca="1">IFERROR(__xludf.DUMMYFUNCTION("""COMPUTED_VALUE"""),"-33.543421-70.900107")</f>
        <v>-33.543421-70.900107</v>
      </c>
      <c r="C4553" s="6" t="str">
        <f ca="1">IFERROR(__xludf.DUMMYFUNCTION("""COMPUTED_VALUE"""),"LAS VIOLETAS 46 PARCELA 15")</f>
        <v>LAS VIOLETAS 46 PARCELA 15</v>
      </c>
      <c r="D4553" s="6" t="str">
        <f ca="1">IFERROR(__xludf.DUMMYFUNCTION("""COMPUTED_VALUE"""),"PADRE HURTADO")</f>
        <v>PADRE HURTADO</v>
      </c>
    </row>
    <row r="4554" spans="1:4">
      <c r="A4554" s="7">
        <f ca="1">IFERROR(__xludf.DUMMYFUNCTION("""COMPUTED_VALUE"""),44418)</f>
        <v>44418</v>
      </c>
      <c r="B4554" s="6" t="str">
        <f ca="1">IFERROR(__xludf.DUMMYFUNCTION("""COMPUTED_VALUE"""),"-33.088807,-70.929972")</f>
        <v>-33.088807,-70.929972</v>
      </c>
      <c r="C4554" s="6" t="str">
        <f ca="1">IFERROR(__xludf.DUMMYFUNCTION("""COMPUTED_VALUE"""),"VOLCAN  SNA  JOSE N °11")</f>
        <v>VOLCAN  SNA  JOSE N °11</v>
      </c>
      <c r="D4554" s="6" t="str">
        <f ca="1">IFERROR(__xludf.DUMMYFUNCTION("""COMPUTED_VALUE"""),"TIL TIL")</f>
        <v>TIL TIL</v>
      </c>
    </row>
    <row r="4555" spans="1:4">
      <c r="A4555" s="7">
        <f ca="1">IFERROR(__xludf.DUMMYFUNCTION("""COMPUTED_VALUE"""),44418)</f>
        <v>44418</v>
      </c>
      <c r="B4555" s="6" t="str">
        <f ca="1">IFERROR(__xludf.DUMMYFUNCTION("""COMPUTED_VALUE"""),"-33.685706,-71.225850")</f>
        <v>-33.685706,-71.225850</v>
      </c>
      <c r="C4555" s="6" t="str">
        <f ca="1">IFERROR(__xludf.DUMMYFUNCTION("""COMPUTED_VALUE"""),"BERTA DE LA CRUZ 488")</f>
        <v>BERTA DE LA CRUZ 488</v>
      </c>
      <c r="D4555" s="6" t="str">
        <f ca="1">IFERROR(__xludf.DUMMYFUNCTION("""COMPUTED_VALUE"""),"MELIPILLA")</f>
        <v>MELIPILLA</v>
      </c>
    </row>
    <row r="4556" spans="1:4">
      <c r="A4556" s="7">
        <f ca="1">IFERROR(__xludf.DUMMYFUNCTION("""COMPUTED_VALUE"""),44418)</f>
        <v>44418</v>
      </c>
      <c r="B4556" s="6" t="str">
        <f ca="1">IFERROR(__xludf.DUMMYFUNCTION("""COMPUTED_VALUE"""),"-33.685548,-71.021468")</f>
        <v>-33.685548,-71.021468</v>
      </c>
      <c r="C4556" s="6" t="str">
        <f ca="1">IFERROR(__xludf.DUMMYFUNCTION("""COMPUTED_VALUE"""),"LOS  SAUCES 80 EL MONTE EL PAICO")</f>
        <v>LOS  SAUCES 80 EL MONTE EL PAICO</v>
      </c>
      <c r="D4556" s="6" t="str">
        <f ca="1">IFERROR(__xludf.DUMMYFUNCTION("""COMPUTED_VALUE"""),"EL MONTE")</f>
        <v>EL MONTE</v>
      </c>
    </row>
    <row r="4557" spans="1:4">
      <c r="A4557" s="7">
        <f ca="1">IFERROR(__xludf.DUMMYFUNCTION("""COMPUTED_VALUE"""),44418)</f>
        <v>44418</v>
      </c>
      <c r="B4557" s="8" t="str">
        <f ca="1">IFERROR(__xludf.DUMMYFUNCTION("""COMPUTED_VALUE"""),"-33.39056,-70.5527")</f>
        <v>-33.39056,-70.5527</v>
      </c>
      <c r="C4557" s="6" t="str">
        <f ca="1">IFERROR(__xludf.DUMMYFUNCTION("""COMPUTED_VALUE"""),"SAMUEL SANTANA 130")</f>
        <v>SAMUEL SANTANA 130</v>
      </c>
      <c r="D4557" s="6" t="str">
        <f ca="1">IFERROR(__xludf.DUMMYFUNCTION("""COMPUTED_VALUE"""),"TALAGANTE")</f>
        <v>TALAGANTE</v>
      </c>
    </row>
    <row r="4558" spans="1:4">
      <c r="A4558" s="7">
        <f ca="1">IFERROR(__xludf.DUMMYFUNCTION("""COMPUTED_VALUE"""),44418)</f>
        <v>44418</v>
      </c>
      <c r="B4558" s="8" t="str">
        <f ca="1">IFERROR(__xludf.DUMMYFUNCTION("""COMPUTED_VALUE"""),"-33.41130,71,11407")</f>
        <v>-33.41130,71,11407</v>
      </c>
      <c r="C4558" s="6" t="str">
        <f ca="1">IFERROR(__xludf.DUMMYFUNCTION("""COMPUTED_VALUE"""),"SAN MIGUEL 0734")</f>
        <v>SAN MIGUEL 0734</v>
      </c>
      <c r="D4558" s="6" t="str">
        <f ca="1">IFERROR(__xludf.DUMMYFUNCTION("""COMPUTED_VALUE"""),"MELIPILLA")</f>
        <v>MELIPILLA</v>
      </c>
    </row>
    <row r="4559" spans="1:4">
      <c r="A4559" s="7">
        <f ca="1">IFERROR(__xludf.DUMMYFUNCTION("""COMPUTED_VALUE"""),44418)</f>
        <v>44418</v>
      </c>
      <c r="B4559" s="6" t="str">
        <f ca="1">IFERROR(__xludf.DUMMYFUNCTION("""COMPUTED_VALUE"""),"-33.039381-71.404617")</f>
        <v>-33.039381-71.404617</v>
      </c>
      <c r="C4559" s="6" t="str">
        <f ca="1">IFERROR(__xludf.DUMMYFUNCTION("""COMPUTED_VALUE"""),"RAFAEL FABRES 1533")</f>
        <v>RAFAEL FABRES 1533</v>
      </c>
      <c r="D4559" s="6" t="str">
        <f ca="1">IFERROR(__xludf.DUMMYFUNCTION("""COMPUTED_VALUE"""),"QUILPUÉ")</f>
        <v>QUILPUÉ</v>
      </c>
    </row>
    <row r="4560" spans="1:4">
      <c r="A4560" s="7">
        <f ca="1">IFERROR(__xludf.DUMMYFUNCTION("""COMPUTED_VALUE"""),44419)</f>
        <v>44419</v>
      </c>
      <c r="B4560" s="8" t="str">
        <f ca="1">IFERROR(__xludf.DUMMYFUNCTION("""COMPUTED_VALUE"""),"-33.675031-71.178475")</f>
        <v>-33.675031-71.178475</v>
      </c>
      <c r="C4560" s="6" t="str">
        <f ca="1">IFERROR(__xludf.DUMMYFUNCTION("""COMPUTED_VALUE"""),"AV SUECIA 142")</f>
        <v>AV SUECIA 142</v>
      </c>
      <c r="D4560" s="6" t="str">
        <f ca="1">IFERROR(__xludf.DUMMYFUNCTION("""COMPUTED_VALUE"""),"MELIPILLA")</f>
        <v>MELIPILLA</v>
      </c>
    </row>
    <row r="4561" spans="1:4">
      <c r="A4561" s="7">
        <f ca="1">IFERROR(__xludf.DUMMYFUNCTION("""COMPUTED_VALUE"""),44419)</f>
        <v>44419</v>
      </c>
      <c r="B4561" s="8" t="str">
        <f ca="1">IFERROR(__xludf.DUMMYFUNCTION("""COMPUTED_VALUE"""),"-33.6791348-71.2291748")</f>
        <v>-33.6791348-71.2291748</v>
      </c>
      <c r="C4561" s="6" t="str">
        <f ca="1">IFERROR(__xludf.DUMMYFUNCTION("""COMPUTED_VALUE"""),"CUSTODIO CALDERON 1847")</f>
        <v>CUSTODIO CALDERON 1847</v>
      </c>
      <c r="D4561" s="6" t="str">
        <f ca="1">IFERROR(__xludf.DUMMYFUNCTION("""COMPUTED_VALUE"""),"MELIPILLA")</f>
        <v>MELIPILLA</v>
      </c>
    </row>
    <row r="4562" spans="1:4">
      <c r="A4562" s="7">
        <f ca="1">IFERROR(__xludf.DUMMYFUNCTION("""COMPUTED_VALUE"""),44419)</f>
        <v>44419</v>
      </c>
      <c r="B4562" s="8" t="str">
        <f ca="1">IFERROR(__xludf.DUMMYFUNCTION("""COMPUTED_VALUE"""),"-33.648854-71.150727")</f>
        <v>-33.648854-71.150727</v>
      </c>
      <c r="C4562" s="6" t="str">
        <f ca="1">IFERROR(__xludf.DUMMYFUNCTION("""COMPUTED_VALUE"""),"SAN ANTONIO 371")</f>
        <v>SAN ANTONIO 371</v>
      </c>
      <c r="D4562" s="6" t="str">
        <f ca="1">IFERROR(__xludf.DUMMYFUNCTION("""COMPUTED_VALUE"""),"MELIPILLA")</f>
        <v>MELIPILLA</v>
      </c>
    </row>
    <row r="4563" spans="1:4">
      <c r="A4563" s="7">
        <f ca="1">IFERROR(__xludf.DUMMYFUNCTION("""COMPUTED_VALUE"""),44419)</f>
        <v>44419</v>
      </c>
      <c r="B4563" s="6" t="str">
        <f ca="1">IFERROR(__xludf.DUMMYFUNCTION("""COMPUTED_VALUE"""),"-33.81346-70.85159")</f>
        <v>-33.81346-70.85159</v>
      </c>
      <c r="C4563" s="6" t="str">
        <f ca="1">IFERROR(__xludf.DUMMYFUNCTION("""COMPUTED_VALUE"""),"LAS PATAGUAS 28")</f>
        <v>LAS PATAGUAS 28</v>
      </c>
      <c r="D4563" s="6" t="str">
        <f ca="1">IFERROR(__xludf.DUMMYFUNCTION("""COMPUTED_VALUE"""),"BUIN")</f>
        <v>BUIN</v>
      </c>
    </row>
    <row r="4564" spans="1:4">
      <c r="A4564" s="7">
        <f ca="1">IFERROR(__xludf.DUMMYFUNCTION("""COMPUTED_VALUE"""),44419)</f>
        <v>44419</v>
      </c>
      <c r="B4564" s="6" t="str">
        <f ca="1">IFERROR(__xludf.DUMMYFUNCTION("""COMPUTED_VALUE"""),"-33.81346-70.85159")</f>
        <v>-33.81346-70.85159</v>
      </c>
      <c r="C4564" s="6" t="str">
        <f ca="1">IFERROR(__xludf.DUMMYFUNCTION("""COMPUTED_VALUE"""),"LAS PATAGUAS 28")</f>
        <v>LAS PATAGUAS 28</v>
      </c>
      <c r="D4564" s="6" t="str">
        <f ca="1">IFERROR(__xludf.DUMMYFUNCTION("""COMPUTED_VALUE"""),"BUIN")</f>
        <v>BUIN</v>
      </c>
    </row>
    <row r="4565" spans="1:4">
      <c r="A4565" s="7">
        <f ca="1">IFERROR(__xludf.DUMMYFUNCTION("""COMPUTED_VALUE"""),44419)</f>
        <v>44419</v>
      </c>
      <c r="B4565" s="6" t="str">
        <f ca="1">IFERROR(__xludf.DUMMYFUNCTION("""COMPUTED_VALUE"""),"-33.81346-70.85159")</f>
        <v>-33.81346-70.85159</v>
      </c>
      <c r="C4565" s="6" t="str">
        <f ca="1">IFERROR(__xludf.DUMMYFUNCTION("""COMPUTED_VALUE"""),"LAS PATAGUAS 28")</f>
        <v>LAS PATAGUAS 28</v>
      </c>
      <c r="D4565" s="6" t="str">
        <f ca="1">IFERROR(__xludf.DUMMYFUNCTION("""COMPUTED_VALUE"""),"BUIN")</f>
        <v>BUIN</v>
      </c>
    </row>
    <row r="4566" spans="1:4">
      <c r="A4566" s="7">
        <f ca="1">IFERROR(__xludf.DUMMYFUNCTION("""COMPUTED_VALUE"""),44419)</f>
        <v>44419</v>
      </c>
      <c r="B4566" s="6" t="str">
        <f ca="1">IFERROR(__xludf.DUMMYFUNCTION("""COMPUTED_VALUE"""),"-33.650948,-71.152768")</f>
        <v>-33.650948,-71.152768</v>
      </c>
      <c r="C4566" s="6" t="str">
        <f ca="1">IFERROR(__xludf.DUMMYFUNCTION("""COMPUTED_VALUE"""),"BERNARDO O""HIGGINS 211 POMAIRE")</f>
        <v>BERNARDO O"HIGGINS 211 POMAIRE</v>
      </c>
      <c r="D4566" s="6" t="str">
        <f ca="1">IFERROR(__xludf.DUMMYFUNCTION("""COMPUTED_VALUE"""),"MELIPILLA")</f>
        <v>MELIPILLA</v>
      </c>
    </row>
    <row r="4567" spans="1:4">
      <c r="A4567" s="7">
        <f ca="1">IFERROR(__xludf.DUMMYFUNCTION("""COMPUTED_VALUE"""),44419)</f>
        <v>44419</v>
      </c>
      <c r="B4567" s="6" t="str">
        <f ca="1">IFERROR(__xludf.DUMMYFUNCTION("""COMPUTED_VALUE"""),"-33.701290,-70.959805")</f>
        <v>-33.701290,-70.959805</v>
      </c>
      <c r="C4567" s="6" t="str">
        <f ca="1">IFERROR(__xludf.DUMMYFUNCTION("""COMPUTED_VALUE"""),"CAMINO LA PALMA S/N")</f>
        <v>CAMINO LA PALMA S/N</v>
      </c>
      <c r="D4567" s="6" t="str">
        <f ca="1">IFERROR(__xludf.DUMMYFUNCTION("""COMPUTED_VALUE"""),"TALAGANTE")</f>
        <v>TALAGANTE</v>
      </c>
    </row>
    <row r="4568" spans="1:4">
      <c r="A4568" s="7">
        <f ca="1">IFERROR(__xludf.DUMMYFUNCTION("""COMPUTED_VALUE"""),44419)</f>
        <v>44419</v>
      </c>
      <c r="B4568" s="6" t="str">
        <f ca="1">IFERROR(__xludf.DUMMYFUNCTION("""COMPUTED_VALUE"""),"-33.036027-71.428554")</f>
        <v>-33.036027-71.428554</v>
      </c>
      <c r="C4568" s="6" t="str">
        <f ca="1">IFERROR(__xludf.DUMMYFUNCTION("""COMPUTED_VALUE"""),"D GODOY 2317")</f>
        <v>D GODOY 2317</v>
      </c>
      <c r="D4568" s="6" t="str">
        <f ca="1">IFERROR(__xludf.DUMMYFUNCTION("""COMPUTED_VALUE"""),"QUILPUÉ")</f>
        <v>QUILPUÉ</v>
      </c>
    </row>
    <row r="4569" spans="1:4">
      <c r="A4569" s="7">
        <f ca="1">IFERROR(__xludf.DUMMYFUNCTION("""COMPUTED_VALUE"""),44419)</f>
        <v>44419</v>
      </c>
      <c r="B4569" s="6" t="str">
        <f ca="1">IFERROR(__xludf.DUMMYFUNCTION("""COMPUTED_VALUE"""),"-33.045828-71.462462")</f>
        <v>-33.045828-71.462462</v>
      </c>
      <c r="C4569" s="6" t="str">
        <f ca="1">IFERROR(__xludf.DUMMYFUNCTION("""COMPUTED_VALUE"""),"FIGUEROA LARRAIN 0756")</f>
        <v>FIGUEROA LARRAIN 0756</v>
      </c>
      <c r="D4569" s="6" t="str">
        <f ca="1">IFERROR(__xludf.DUMMYFUNCTION("""COMPUTED_VALUE"""),"QUILPUÉ")</f>
        <v>QUILPUÉ</v>
      </c>
    </row>
    <row r="4570" spans="1:4">
      <c r="A4570" s="7">
        <f ca="1">IFERROR(__xludf.DUMMYFUNCTION("""COMPUTED_VALUE"""),44420)</f>
        <v>44420</v>
      </c>
      <c r="B4570" s="8" t="str">
        <f ca="1">IFERROR(__xludf.DUMMYFUNCTION("""COMPUTED_VALUE"""),"-33.295775,-70.872045")</f>
        <v>-33.295775,-70.872045</v>
      </c>
      <c r="C4570" s="6" t="str">
        <f ca="1">IFERROR(__xludf.DUMMYFUNCTION("""COMPUTED_VALUE"""),"EL CLAVEL PTE 2412")</f>
        <v>EL CLAVEL PTE 2412</v>
      </c>
      <c r="D4570" s="6" t="str">
        <f ca="1">IFERROR(__xludf.DUMMYFUNCTION("""COMPUTED_VALUE"""),"LAMPA")</f>
        <v>LAMPA</v>
      </c>
    </row>
    <row r="4571" spans="1:4">
      <c r="A4571" s="7">
        <f ca="1">IFERROR(__xludf.DUMMYFUNCTION("""COMPUTED_VALUE"""),44420)</f>
        <v>44420</v>
      </c>
      <c r="B4571" s="8" t="str">
        <f ca="1">IFERROR(__xludf.DUMMYFUNCTION("""COMPUTED_VALUE"""),"-33.675987,-71.214934")</f>
        <v>-33.675987,-71.214934</v>
      </c>
      <c r="C4571" s="6" t="str">
        <f ca="1">IFERROR(__xludf.DUMMYFUNCTION("""COMPUTED_VALUE"""),"JUAN BATISTA 138")</f>
        <v>JUAN BATISTA 138</v>
      </c>
      <c r="D4571" s="6" t="str">
        <f ca="1">IFERROR(__xludf.DUMMYFUNCTION("""COMPUTED_VALUE"""),"MELIPILLA")</f>
        <v>MELIPILLA</v>
      </c>
    </row>
    <row r="4572" spans="1:4">
      <c r="A4572" s="7">
        <f ca="1">IFERROR(__xludf.DUMMYFUNCTION("""COMPUTED_VALUE"""),44420)</f>
        <v>44420</v>
      </c>
      <c r="B4572" s="8" t="str">
        <f ca="1">IFERROR(__xludf.DUMMYFUNCTION("""COMPUTED_VALUE"""),"-33,607717,-71.2200925")</f>
        <v>-33,607717,-71.2200925</v>
      </c>
      <c r="C4572" s="6" t="str">
        <f ca="1">IFERROR(__xludf.DUMMYFUNCTION("""COMPUTED_VALUE"""),"AMERICA 3230")</f>
        <v>AMERICA 3230</v>
      </c>
      <c r="D4572" s="6" t="str">
        <f ca="1">IFERROR(__xludf.DUMMYFUNCTION("""COMPUTED_VALUE"""),"MELIPILLA")</f>
        <v>MELIPILLA</v>
      </c>
    </row>
    <row r="4573" spans="1:4">
      <c r="A4573" s="7">
        <f ca="1">IFERROR(__xludf.DUMMYFUNCTION("""COMPUTED_VALUE"""),44420)</f>
        <v>44420</v>
      </c>
      <c r="B4573" s="6" t="str">
        <f ca="1">IFERROR(__xludf.DUMMYFUNCTION("""COMPUTED_VALUE"""),"-33.393716-71.126513")</f>
        <v>-33.393716-71.126513</v>
      </c>
      <c r="C4573" s="6" t="str">
        <f ca="1">IFERROR(__xludf.DUMMYFUNCTION("""COMPUTED_VALUE"""),"CUATRO NORTE, N°2046")</f>
        <v>CUATRO NORTE, N°2046</v>
      </c>
      <c r="D4573" s="6" t="str">
        <f ca="1">IFERROR(__xludf.DUMMYFUNCTION("""COMPUTED_VALUE"""),"CURACAVI")</f>
        <v>CURACAVI</v>
      </c>
    </row>
    <row r="4574" spans="1:4">
      <c r="A4574" s="7">
        <f ca="1">IFERROR(__xludf.DUMMYFUNCTION("""COMPUTED_VALUE"""),44420)</f>
        <v>44420</v>
      </c>
      <c r="B4574" s="6" t="str">
        <f ca="1">IFERROR(__xludf.DUMMYFUNCTION("""COMPUTED_VALUE"""),"-33.406296-71.129297")</f>
        <v>-33.406296-71.129297</v>
      </c>
      <c r="C4574" s="6" t="str">
        <f ca="1">IFERROR(__xludf.DUMMYFUNCTION("""COMPUTED_VALUE"""),"PJE- STA ISABEL # 1898")</f>
        <v>PJE- STA ISABEL # 1898</v>
      </c>
      <c r="D4574" s="6" t="str">
        <f ca="1">IFERROR(__xludf.DUMMYFUNCTION("""COMPUTED_VALUE"""),"CURACAVI")</f>
        <v>CURACAVI</v>
      </c>
    </row>
    <row r="4575" spans="1:4">
      <c r="A4575" s="7">
        <f ca="1">IFERROR(__xludf.DUMMYFUNCTION("""COMPUTED_VALUE"""),44420)</f>
        <v>44420</v>
      </c>
      <c r="B4575" s="6" t="str">
        <f ca="1">IFERROR(__xludf.DUMMYFUNCTION("""COMPUTED_VALUE"""),"-33.433586-71.165369")</f>
        <v>-33.433586-71.165369</v>
      </c>
      <c r="C4575" s="6" t="str">
        <f ca="1">IFERROR(__xludf.DUMMYFUNCTION("""COMPUTED_VALUE"""),"LOS CAPACHOS LOTE A B")</f>
        <v>LOS CAPACHOS LOTE A B</v>
      </c>
      <c r="D4575" s="6" t="str">
        <f ca="1">IFERROR(__xludf.DUMMYFUNCTION("""COMPUTED_VALUE"""),"CURACAVI")</f>
        <v>CURACAVI</v>
      </c>
    </row>
    <row r="4576" spans="1:4">
      <c r="A4576" s="7">
        <f ca="1">IFERROR(__xludf.DUMMYFUNCTION("""COMPUTED_VALUE"""),44420)</f>
        <v>44420</v>
      </c>
      <c r="B4576" s="6" t="str">
        <f ca="1">IFERROR(__xludf.DUMMYFUNCTION("""COMPUTED_VALUE"""),"-33.393555-71.120310")</f>
        <v>-33.393555-71.120310</v>
      </c>
      <c r="C4576" s="6" t="str">
        <f ca="1">IFERROR(__xludf.DUMMYFUNCTION("""COMPUTED_VALUE"""),"PJE NUEVO AMANECER 1160")</f>
        <v>PJE NUEVO AMANECER 1160</v>
      </c>
      <c r="D4576" s="6" t="str">
        <f ca="1">IFERROR(__xludf.DUMMYFUNCTION("""COMPUTED_VALUE"""),"CURACAVI")</f>
        <v>CURACAVI</v>
      </c>
    </row>
    <row r="4577" spans="1:4">
      <c r="A4577" s="7">
        <f ca="1">IFERROR(__xludf.DUMMYFUNCTION("""COMPUTED_VALUE"""),44420)</f>
        <v>44420</v>
      </c>
      <c r="B4577" s="6" t="str">
        <f ca="1">IFERROR(__xludf.DUMMYFUNCTION("""COMPUTED_VALUE"""),"-33.406986-71.139280")</f>
        <v>-33.406986-71.139280</v>
      </c>
      <c r="C4577" s="6" t="str">
        <f ca="1">IFERROR(__xludf.DUMMYFUNCTION("""COMPUTED_VALUE"""),"PJE ROSA AVILES 1111")</f>
        <v>PJE ROSA AVILES 1111</v>
      </c>
      <c r="D4577" s="6" t="str">
        <f ca="1">IFERROR(__xludf.DUMMYFUNCTION("""COMPUTED_VALUE"""),"CURACAVI")</f>
        <v>CURACAVI</v>
      </c>
    </row>
    <row r="4578" spans="1:4">
      <c r="A4578" s="7">
        <f ca="1">IFERROR(__xludf.DUMMYFUNCTION("""COMPUTED_VALUE"""),44420)</f>
        <v>44420</v>
      </c>
      <c r="B4578" s="6" t="str">
        <f ca="1">IFERROR(__xludf.DUMMYFUNCTION("""COMPUTED_VALUE"""),"-33.369733-71.167023")</f>
        <v>-33.369733-71.167023</v>
      </c>
      <c r="C4578" s="6" t="str">
        <f ca="1">IFERROR(__xludf.DUMMYFUNCTION("""COMPUTED_VALUE"""),"EL LLANO 8 E")</f>
        <v>EL LLANO 8 E</v>
      </c>
      <c r="D4578" s="6" t="str">
        <f ca="1">IFERROR(__xludf.DUMMYFUNCTION("""COMPUTED_VALUE"""),"CURACAVI")</f>
        <v>CURACAVI</v>
      </c>
    </row>
    <row r="4579" spans="1:4">
      <c r="A4579" s="7">
        <f ca="1">IFERROR(__xludf.DUMMYFUNCTION("""COMPUTED_VALUE"""),44420)</f>
        <v>44420</v>
      </c>
      <c r="B4579" s="6" t="str">
        <f ca="1">IFERROR(__xludf.DUMMYFUNCTION("""COMPUTED_VALUE"""),"-33.673343,-70.986054")</f>
        <v>-33.673343,-70.986054</v>
      </c>
      <c r="C4579" s="6" t="str">
        <f ca="1">IFERROR(__xludf.DUMMYFUNCTION("""COMPUTED_VALUE"""),"PA GOMEZ RAMIREZ 433 LA UNION ")</f>
        <v xml:space="preserve">PA GOMEZ RAMIREZ 433 LA UNION </v>
      </c>
      <c r="D4579" s="6" t="str">
        <f ca="1">IFERROR(__xludf.DUMMYFUNCTION("""COMPUTED_VALUE"""),"EL MONTE")</f>
        <v>EL MONTE</v>
      </c>
    </row>
    <row r="4580" spans="1:4">
      <c r="A4580" s="7">
        <f ca="1">IFERROR(__xludf.DUMMYFUNCTION("""COMPUTED_VALUE"""),44420)</f>
        <v>44420</v>
      </c>
      <c r="B4580" s="6" t="str">
        <f ca="1">IFERROR(__xludf.DUMMYFUNCTION("""COMPUTED_VALUE"""),"-33.682241,-71.188843")</f>
        <v>-33.682241,-71.188843</v>
      </c>
      <c r="C4580" s="6" t="str">
        <f ca="1">IFERROR(__xludf.DUMMYFUNCTION("""COMPUTED_VALUE"""),"PROFESOR  EDUIARDO MALLEA  LLANOS 0939")</f>
        <v>PROFESOR  EDUIARDO MALLEA  LLANOS 0939</v>
      </c>
      <c r="D4580" s="6" t="str">
        <f ca="1">IFERROR(__xludf.DUMMYFUNCTION("""COMPUTED_VALUE"""),"MELIPILLA")</f>
        <v>MELIPILLA</v>
      </c>
    </row>
    <row r="4581" spans="1:4">
      <c r="A4581" s="7">
        <f ca="1">IFERROR(__xludf.DUMMYFUNCTION("""COMPUTED_VALUE"""),44420)</f>
        <v>44420</v>
      </c>
      <c r="B4581" s="8" t="str">
        <f ca="1">IFERROR(__xludf.DUMMYFUNCTION("""COMPUTED_VALUE"""),"-33.632074,-70.764312")</f>
        <v>-33.632074,-70.764312</v>
      </c>
      <c r="C4581" s="6" t="str">
        <f ca="1">IFERROR(__xludf.DUMMYFUNCTION("""COMPUTED_VALUE"""),"LOS CIPRESES 75")</f>
        <v>LOS CIPRESES 75</v>
      </c>
      <c r="D4581" s="6" t="str">
        <f ca="1">IFERROR(__xludf.DUMMYFUNCTION("""COMPUTED_VALUE"""),"CALERA DE TANGO")</f>
        <v>CALERA DE TANGO</v>
      </c>
    </row>
    <row r="4582" spans="1:4">
      <c r="A4582" s="7">
        <f ca="1">IFERROR(__xludf.DUMMYFUNCTION("""COMPUTED_VALUE"""),44420)</f>
        <v>44420</v>
      </c>
      <c r="B4582" s="6" t="str">
        <f ca="1">IFERROR(__xludf.DUMMYFUNCTION("""COMPUTED_VALUE"""),"-33.047903-71.452071")</f>
        <v>-33.047903-71.452071</v>
      </c>
      <c r="C4582" s="6" t="str">
        <f ca="1">IFERROR(__xludf.DUMMYFUNCTION("""COMPUTED_VALUE"""),"SANTA MARIA 1010")</f>
        <v>SANTA MARIA 1010</v>
      </c>
      <c r="D4582" s="6" t="str">
        <f ca="1">IFERROR(__xludf.DUMMYFUNCTION("""COMPUTED_VALUE"""),"QUILPUÉ")</f>
        <v>QUILPUÉ</v>
      </c>
    </row>
    <row r="4583" spans="1:4">
      <c r="A4583" s="7">
        <f ca="1">IFERROR(__xludf.DUMMYFUNCTION("""COMPUTED_VALUE"""),44420)</f>
        <v>44420</v>
      </c>
      <c r="B4583" s="6" t="str">
        <f ca="1">IFERROR(__xludf.DUMMYFUNCTION("""COMPUTED_VALUE"""),"-33.046839-71.416188")</f>
        <v>-33.046839-71.416188</v>
      </c>
      <c r="C4583" s="6" t="str">
        <f ca="1">IFERROR(__xludf.DUMMYFUNCTION("""COMPUTED_VALUE"""),"ALICANTE 1377")</f>
        <v>ALICANTE 1377</v>
      </c>
      <c r="D4583" s="6" t="str">
        <f ca="1">IFERROR(__xludf.DUMMYFUNCTION("""COMPUTED_VALUE"""),"QUILPUÉ")</f>
        <v>QUILPUÉ</v>
      </c>
    </row>
    <row r="4584" spans="1:4">
      <c r="A4584" s="7">
        <f ca="1">IFERROR(__xludf.DUMMYFUNCTION("""COMPUTED_VALUE"""),44421)</f>
        <v>44421</v>
      </c>
      <c r="B4584" s="8" t="str">
        <f ca="1">IFERROR(__xludf.DUMMYFUNCTION("""COMPUTED_VALUE"""),"-33.6068756,-71.2192422")</f>
        <v>-33.6068756,-71.2192422</v>
      </c>
      <c r="C4584" s="6" t="str">
        <f ca="1">IFERROR(__xludf.DUMMYFUNCTION("""COMPUTED_VALUE"""),"RUTA 6 ")</f>
        <v xml:space="preserve">RUTA 6 </v>
      </c>
      <c r="D4584" s="6" t="str">
        <f ca="1">IFERROR(__xludf.DUMMYFUNCTION("""COMPUTED_VALUE"""),"MELIPILLA")</f>
        <v>MELIPILLA</v>
      </c>
    </row>
    <row r="4585" spans="1:4">
      <c r="A4585" s="7">
        <f ca="1">IFERROR(__xludf.DUMMYFUNCTION("""COMPUTED_VALUE"""),44421)</f>
        <v>44421</v>
      </c>
      <c r="B4585" s="8" t="str">
        <f ca="1">IFERROR(__xludf.DUMMYFUNCTION("""COMPUTED_VALUE"""),"-33.560219, -70.652755")</f>
        <v>-33.560219, -70.652755</v>
      </c>
      <c r="C4585" s="6" t="str">
        <f ca="1">IFERROR(__xludf.DUMMYFUNCTION("""COMPUTED_VALUE"""),"EL ROTO CHILENO ")</f>
        <v xml:space="preserve">EL ROTO CHILENO </v>
      </c>
      <c r="D4585" s="6" t="str">
        <f ca="1">IFERROR(__xludf.DUMMYFUNCTION("""COMPUTED_VALUE"""),"TALAGANTE")</f>
        <v>TALAGANTE</v>
      </c>
    </row>
    <row r="4586" spans="1:4">
      <c r="A4586" s="7">
        <f ca="1">IFERROR(__xludf.DUMMYFUNCTION("""COMPUTED_VALUE"""),44421)</f>
        <v>44421</v>
      </c>
      <c r="B4586" s="8" t="str">
        <f ca="1">IFERROR(__xludf.DUMMYFUNCTION("""COMPUTED_VALUE"""),"-33,607717,-71.2200925")</f>
        <v>-33,607717,-71.2200925</v>
      </c>
      <c r="C4586" s="6" t="str">
        <f ca="1">IFERROR(__xludf.DUMMYFUNCTION("""COMPUTED_VALUE"""),"LAS PERDICES S/N ST30 ")</f>
        <v xml:space="preserve">LAS PERDICES S/N ST30 </v>
      </c>
      <c r="D4586" s="6" t="str">
        <f ca="1">IFERROR(__xludf.DUMMYFUNCTION("""COMPUTED_VALUE"""),"MELIPILLA")</f>
        <v>MELIPILLA</v>
      </c>
    </row>
    <row r="4587" spans="1:4">
      <c r="A4587" s="7">
        <f ca="1">IFERROR(__xludf.DUMMYFUNCTION("""COMPUTED_VALUE"""),44421)</f>
        <v>44421</v>
      </c>
      <c r="B4587" s="8" t="str">
        <f ca="1">IFERROR(__xludf.DUMMYFUNCTION("""COMPUTED_VALUE"""),"-33,822465,-71.406106")</f>
        <v>-33,822465,-71.406106</v>
      </c>
      <c r="C4587" s="6" t="str">
        <f ca="1">IFERROR(__xludf.DUMMYFUNCTION("""COMPUTED_VALUE"""),"UNION DE CODIGUA N9 ")</f>
        <v xml:space="preserve">UNION DE CODIGUA N9 </v>
      </c>
      <c r="D4587" s="6" t="str">
        <f ca="1">IFERROR(__xludf.DUMMYFUNCTION("""COMPUTED_VALUE"""),"MELIPILLA")</f>
        <v>MELIPILLA</v>
      </c>
    </row>
    <row r="4588" spans="1:4">
      <c r="A4588" s="7">
        <f ca="1">IFERROR(__xludf.DUMMYFUNCTION("""COMPUTED_VALUE"""),44421)</f>
        <v>44421</v>
      </c>
      <c r="B4588" s="8" t="str">
        <f ca="1">IFERROR(__xludf.DUMMYFUNCTION("""COMPUTED_VALUE"""),"-33.611802, -70.758641")</f>
        <v>-33.611802, -70.758641</v>
      </c>
      <c r="C4588" s="6" t="str">
        <f ca="1">IFERROR(__xludf.DUMMYFUNCTION("""COMPUTED_VALUE"""),"CHILENO PAR 32 ")</f>
        <v xml:space="preserve">CHILENO PAR 32 </v>
      </c>
      <c r="D4588" s="6" t="str">
        <f ca="1">IFERROR(__xludf.DUMMYFUNCTION("""COMPUTED_VALUE"""),"TALAGANTE")</f>
        <v>TALAGANTE</v>
      </c>
    </row>
    <row r="4589" spans="1:4">
      <c r="A4589" s="7">
        <f ca="1">IFERROR(__xludf.DUMMYFUNCTION("""COMPUTED_VALUE"""),44421)</f>
        <v>44421</v>
      </c>
      <c r="B4589" s="8" t="str">
        <f ca="1">IFERROR(__xludf.DUMMYFUNCTION("""COMPUTED_VALUE"""),"-33.109863,-70.292822")</f>
        <v>-33.109863,-70.292822</v>
      </c>
      <c r="C4589" s="6" t="str">
        <f ca="1">IFERROR(__xludf.DUMMYFUNCTION("""COMPUTED_VALUE"""),"ALPARROBO 4476 ")</f>
        <v xml:space="preserve">ALPARROBO 4476 </v>
      </c>
      <c r="D4589" s="6" t="str">
        <f ca="1">IFERROR(__xludf.DUMMYFUNCTION("""COMPUTED_VALUE"""),"ISLA DE MAIPO")</f>
        <v>ISLA DE MAIPO</v>
      </c>
    </row>
    <row r="4590" spans="1:4">
      <c r="A4590" s="7">
        <f ca="1">IFERROR(__xludf.DUMMYFUNCTION("""COMPUTED_VALUE"""),44421)</f>
        <v>44421</v>
      </c>
      <c r="B4590" s="6" t="str">
        <f ca="1">IFERROR(__xludf.DUMMYFUNCTION("""COMPUTED_VALUE"""),"-33.7999256-70.769453")</f>
        <v>-33.7999256-70.769453</v>
      </c>
      <c r="C4590" s="6" t="str">
        <f ca="1">IFERROR(__xludf.DUMMYFUNCTION("""COMPUTED_VALUE"""),"LAS DELICIAS 18 A")</f>
        <v>LAS DELICIAS 18 A</v>
      </c>
      <c r="D4590" s="6" t="str">
        <f ca="1">IFERROR(__xludf.DUMMYFUNCTION("""COMPUTED_VALUE"""),"BUIN")</f>
        <v>BUIN</v>
      </c>
    </row>
    <row r="4591" spans="1:4">
      <c r="A4591" s="7">
        <f ca="1">IFERROR(__xludf.DUMMYFUNCTION("""COMPUTED_VALUE"""),44421)</f>
        <v>44421</v>
      </c>
      <c r="B4591" s="6" t="str">
        <f ca="1">IFERROR(__xludf.DUMMYFUNCTION("""COMPUTED_VALUE"""),"-33.51631-71.12324")</f>
        <v>-33.51631-71.12324</v>
      </c>
      <c r="C4591" s="6" t="str">
        <f ca="1">IFERROR(__xludf.DUMMYFUNCTION("""COMPUTED_VALUE"""),"EDUARDO GARAY 63")</f>
        <v>EDUARDO GARAY 63</v>
      </c>
      <c r="D4591" s="6" t="str">
        <f ca="1">IFERROR(__xludf.DUMMYFUNCTION("""COMPUTED_VALUE"""),"MARIA PINTO")</f>
        <v>MARIA PINTO</v>
      </c>
    </row>
    <row r="4592" spans="1:4">
      <c r="A4592" s="7">
        <f ca="1">IFERROR(__xludf.DUMMYFUNCTION("""COMPUTED_VALUE"""),44421)</f>
        <v>44421</v>
      </c>
      <c r="B4592" s="6" t="str">
        <f ca="1">IFERROR(__xludf.DUMMYFUNCTION("""COMPUTED_VALUE"""),"-33.51631-71.12224")</f>
        <v>-33.51631-71.12224</v>
      </c>
      <c r="C4592" s="6" t="str">
        <f ca="1">IFERROR(__xludf.DUMMYFUNCTION("""COMPUTED_VALUE"""),"EDUARDO GARAY 63")</f>
        <v>EDUARDO GARAY 63</v>
      </c>
      <c r="D4592" s="6" t="str">
        <f ca="1">IFERROR(__xludf.DUMMYFUNCTION("""COMPUTED_VALUE"""),"MARIA PINTO")</f>
        <v>MARIA PINTO</v>
      </c>
    </row>
    <row r="4593" spans="1:4">
      <c r="A4593" s="7">
        <f ca="1">IFERROR(__xludf.DUMMYFUNCTION("""COMPUTED_VALUE"""),44421)</f>
        <v>44421</v>
      </c>
      <c r="B4593" s="6" t="str">
        <f ca="1">IFERROR(__xludf.DUMMYFUNCTION("""COMPUTED_VALUE"""),"-33.46711-71.10944")</f>
        <v>-33.46711-71.10944</v>
      </c>
      <c r="C4593" s="6" t="str">
        <f ca="1">IFERROR(__xludf.DUMMYFUNCTION("""COMPUTED_VALUE"""),"VISTA VALLE 9")</f>
        <v>VISTA VALLE 9</v>
      </c>
      <c r="D4593" s="6" t="str">
        <f ca="1">IFERROR(__xludf.DUMMYFUNCTION("""COMPUTED_VALUE"""),"MARIA PINTO")</f>
        <v>MARIA PINTO</v>
      </c>
    </row>
    <row r="4594" spans="1:4">
      <c r="A4594" s="7">
        <f ca="1">IFERROR(__xludf.DUMMYFUNCTION("""COMPUTED_VALUE"""),44421)</f>
        <v>44421</v>
      </c>
      <c r="B4594" s="6" t="str">
        <f ca="1">IFERROR(__xludf.DUMMYFUNCTION("""COMPUTED_VALUE"""),"-33.48918-71.06828")</f>
        <v>-33.48918-71.06828</v>
      </c>
      <c r="C4594" s="6" t="str">
        <f ca="1">IFERROR(__xludf.DUMMYFUNCTION("""COMPUTED_VALUE"""),"ISLA ROJAS 12")</f>
        <v>ISLA ROJAS 12</v>
      </c>
      <c r="D4594" s="6" t="str">
        <f ca="1">IFERROR(__xludf.DUMMYFUNCTION("""COMPUTED_VALUE"""),"MARIA PINTO")</f>
        <v>MARIA PINTO</v>
      </c>
    </row>
    <row r="4595" spans="1:4">
      <c r="A4595" s="7">
        <f ca="1">IFERROR(__xludf.DUMMYFUNCTION("""COMPUTED_VALUE"""),44421)</f>
        <v>44421</v>
      </c>
      <c r="B4595" s="6" t="str">
        <f ca="1">IFERROR(__xludf.DUMMYFUNCTION("""COMPUTED_VALUE"""),"-33.571739-70.803280")</f>
        <v>-33.571739-70.803280</v>
      </c>
      <c r="C4595" s="6" t="str">
        <f ca="1">IFERROR(__xludf.DUMMYFUNCTION("""COMPUTED_VALUE"""),"VALENCIA 1697")</f>
        <v>VALENCIA 1697</v>
      </c>
      <c r="D4595" s="6" t="str">
        <f ca="1">IFERROR(__xludf.DUMMYFUNCTION("""COMPUTED_VALUE"""),"PADRE HURTADO")</f>
        <v>PADRE HURTADO</v>
      </c>
    </row>
    <row r="4596" spans="1:4">
      <c r="A4596" s="7">
        <f ca="1">IFERROR(__xludf.DUMMYFUNCTION("""COMPUTED_VALUE"""),44421)</f>
        <v>44421</v>
      </c>
      <c r="B4596" s="6" t="str">
        <f ca="1">IFERROR(__xludf.DUMMYFUNCTION("""COMPUTED_VALUE"""),"-33.674592,-70.976529")</f>
        <v>-33.674592,-70.976529</v>
      </c>
      <c r="C4596" s="6" t="str">
        <f ca="1">IFERROR(__xludf.DUMMYFUNCTION("""COMPUTED_VALUE"""),"ISABEL RIQUELME 247")</f>
        <v>ISABEL RIQUELME 247</v>
      </c>
      <c r="D4596" s="6" t="str">
        <f ca="1">IFERROR(__xludf.DUMMYFUNCTION("""COMPUTED_VALUE"""),"EL MONTE")</f>
        <v>EL MONTE</v>
      </c>
    </row>
    <row r="4597" spans="1:4">
      <c r="A4597" s="7">
        <f ca="1">IFERROR(__xludf.DUMMYFUNCTION("""COMPUTED_VALUE"""),44421)</f>
        <v>44421</v>
      </c>
      <c r="B4597" s="6" t="str">
        <f ca="1">IFERROR(__xludf.DUMMYFUNCTION("""COMPUTED_VALUE"""),"-32.891685,-70.811739")</f>
        <v>-32.891685,-70.811739</v>
      </c>
      <c r="C4597" s="6" t="str">
        <f ca="1">IFERROR(__xludf.DUMMYFUNCTION("""COMPUTED_VALUE"""),"LOTE A 3  FUNDO LAS BLANCAS ")</f>
        <v xml:space="preserve">LOTE A 3  FUNDO LAS BLANCAS </v>
      </c>
      <c r="D4597" s="6" t="str">
        <f ca="1">IFERROR(__xludf.DUMMYFUNCTION("""COMPUTED_VALUE"""),"TIL TIL")</f>
        <v>TIL TIL</v>
      </c>
    </row>
    <row r="4598" spans="1:4">
      <c r="A4598" s="7">
        <f ca="1">IFERROR(__xludf.DUMMYFUNCTION("""COMPUTED_VALUE"""),44421)</f>
        <v>44421</v>
      </c>
      <c r="B4598" s="8" t="str">
        <f ca="1">IFERROR(__xludf.DUMMYFUNCTION("""COMPUTED_VALUE"""),"-33.721659,-71.211820")</f>
        <v>-33.721659,-71.211820</v>
      </c>
      <c r="C4598" s="6" t="str">
        <f ca="1">IFERROR(__xludf.DUMMYFUNCTION("""COMPUTED_VALUE"""),"CHOCALAN SITIO 9")</f>
        <v>CHOCALAN SITIO 9</v>
      </c>
      <c r="D4598" s="6" t="str">
        <f ca="1">IFERROR(__xludf.DUMMYFUNCTION("""COMPUTED_VALUE"""),"MELIPILLA")</f>
        <v>MELIPILLA</v>
      </c>
    </row>
    <row r="4599" spans="1:4">
      <c r="A4599" s="7">
        <f ca="1">IFERROR(__xludf.DUMMYFUNCTION("""COMPUTED_VALUE"""),44421)</f>
        <v>44421</v>
      </c>
      <c r="B4599" s="8" t="str">
        <f ca="1">IFERROR(__xludf.DUMMYFUNCTION("""COMPUTED_VALUE"""),"-33.298664,-70.884247")</f>
        <v>-33.298664,-70.884247</v>
      </c>
      <c r="C4599" s="6" t="str">
        <f ca="1">IFERROR(__xludf.DUMMYFUNCTION("""COMPUTED_VALUE"""),"HACIENDA ALTA")</f>
        <v>HACIENDA ALTA</v>
      </c>
      <c r="D4599" s="6" t="str">
        <f ca="1">IFERROR(__xludf.DUMMYFUNCTION("""COMPUTED_VALUE"""),"LAMPA")</f>
        <v>LAMPA</v>
      </c>
    </row>
    <row r="4600" spans="1:4">
      <c r="A4600" s="7">
        <f ca="1">IFERROR(__xludf.DUMMYFUNCTION("""COMPUTED_VALUE"""),44422)</f>
        <v>44422</v>
      </c>
      <c r="B4600" s="8" t="str">
        <f ca="1">IFERROR(__xludf.DUMMYFUNCTION("""COMPUTED_VALUE"""),"-33.659313,-70.922066")</f>
        <v>-33.659313,-70.922066</v>
      </c>
      <c r="C4600" s="6" t="str">
        <f ca="1">IFERROR(__xludf.DUMMYFUNCTION("""COMPUTED_VALUE"""),"CALLE 18 DE SEPTIEMBRE")</f>
        <v>CALLE 18 DE SEPTIEMBRE</v>
      </c>
      <c r="D4600" s="6" t="str">
        <f ca="1">IFERROR(__xludf.DUMMYFUNCTION("""COMPUTED_VALUE"""),"TALAGANTE")</f>
        <v>TALAGANTE</v>
      </c>
    </row>
    <row r="4601" spans="1:4">
      <c r="A4601" s="7">
        <f ca="1">IFERROR(__xludf.DUMMYFUNCTION("""COMPUTED_VALUE"""),44422)</f>
        <v>44422</v>
      </c>
      <c r="B4601" s="8" t="str">
        <f ca="1">IFERROR(__xludf.DUMMYFUNCTION("""COMPUTED_VALUE"""),"-33.710289,-71.859293")</f>
        <v>-33.710289,-71.859293</v>
      </c>
      <c r="C4601" s="6" t="str">
        <f ca="1">IFERROR(__xludf.DUMMYFUNCTION("""COMPUTED_VALUE"""),"PADRE ALBERTO HURTADO 45")</f>
        <v>PADRE ALBERTO HURTADO 45</v>
      </c>
      <c r="D4601" s="6" t="str">
        <f ca="1">IFERROR(__xludf.DUMMYFUNCTION("""COMPUTED_VALUE"""),"TALAGANTE")</f>
        <v>TALAGANTE</v>
      </c>
    </row>
    <row r="4602" spans="1:4">
      <c r="A4602" s="7">
        <f ca="1">IFERROR(__xludf.DUMMYFUNCTION("""COMPUTED_VALUE"""),44422)</f>
        <v>44422</v>
      </c>
      <c r="B4602" s="6" t="str">
        <f ca="1">IFERROR(__xludf.DUMMYFUNCTION("""COMPUTED_VALUE"""),"-33.408485-71.127401")</f>
        <v>-33.408485-71.127401</v>
      </c>
      <c r="C4602" s="6" t="str">
        <f ca="1">IFERROR(__xludf.DUMMYFUNCTION("""COMPUTED_VALUE"""),"LOS TIUQUES 611")</f>
        <v>LOS TIUQUES 611</v>
      </c>
      <c r="D4602" s="6" t="str">
        <f ca="1">IFERROR(__xludf.DUMMYFUNCTION("""COMPUTED_VALUE"""),"CURACAVI")</f>
        <v>CURACAVI</v>
      </c>
    </row>
    <row r="4603" spans="1:4">
      <c r="A4603" s="7">
        <f ca="1">IFERROR(__xludf.DUMMYFUNCTION("""COMPUTED_VALUE"""),44422)</f>
        <v>44422</v>
      </c>
      <c r="B4603" s="6" t="str">
        <f ca="1">IFERROR(__xludf.DUMMYFUNCTION("""COMPUTED_VALUE"""),"-33.405142-70.986050")</f>
        <v>-33.405142-70.986050</v>
      </c>
      <c r="C4603" s="6" t="str">
        <f ca="1">IFERROR(__xludf.DUMMYFUNCTION("""COMPUTED_VALUE"""),"LA AURORA S/N")</f>
        <v>LA AURORA S/N</v>
      </c>
      <c r="D4603" s="6" t="str">
        <f ca="1">IFERROR(__xludf.DUMMYFUNCTION("""COMPUTED_VALUE"""),"CURACAVI")</f>
        <v>CURACAVI</v>
      </c>
    </row>
    <row r="4604" spans="1:4">
      <c r="A4604" s="7">
        <f ca="1">IFERROR(__xludf.DUMMYFUNCTION("""COMPUTED_VALUE"""),44422)</f>
        <v>44422</v>
      </c>
      <c r="B4604" s="6" t="str">
        <f ca="1">IFERROR(__xludf.DUMMYFUNCTION("""COMPUTED_VALUE"""),"-33.681810.- 71.002069")</f>
        <v>-33.681810.- 71.002069</v>
      </c>
      <c r="C4604" s="6" t="str">
        <f ca="1">IFERROR(__xludf.DUMMYFUNCTION("""COMPUTED_VALUE"""),"CASA COLORADA 50")</f>
        <v>CASA COLORADA 50</v>
      </c>
      <c r="D4604" s="6" t="str">
        <f ca="1">IFERROR(__xludf.DUMMYFUNCTION("""COMPUTED_VALUE"""),"EL MONTE")</f>
        <v>EL MONTE</v>
      </c>
    </row>
    <row r="4605" spans="1:4">
      <c r="A4605" s="7">
        <f ca="1">IFERROR(__xludf.DUMMYFUNCTION("""COMPUTED_VALUE"""),44424)</f>
        <v>44424</v>
      </c>
      <c r="B4605" s="8" t="str">
        <f ca="1">IFERROR(__xludf.DUMMYFUNCTION("""COMPUTED_VALUE"""),"-33.7331028,-709050318")</f>
        <v>-33.7331028,-709050318</v>
      </c>
      <c r="C4605" s="6" t="str">
        <f ca="1">IFERROR(__xludf.DUMMYFUNCTION("""COMPUTED_VALUE"""),"PJE ESTERO GACITUA 1101")</f>
        <v>PJE ESTERO GACITUA 1101</v>
      </c>
      <c r="D4605" s="6" t="str">
        <f ca="1">IFERROR(__xludf.DUMMYFUNCTION("""COMPUTED_VALUE"""),"ISLA DE MAIPO")</f>
        <v>ISLA DE MAIPO</v>
      </c>
    </row>
    <row r="4606" spans="1:4">
      <c r="A4606" s="7">
        <f ca="1">IFERROR(__xludf.DUMMYFUNCTION("""COMPUTED_VALUE"""),44424)</f>
        <v>44424</v>
      </c>
      <c r="B4606" s="8" t="str">
        <f ca="1">IFERROR(__xludf.DUMMYFUNCTION("""COMPUTED_VALUE"""),"-33.749156,-70.871410")</f>
        <v>-33.749156,-70.871410</v>
      </c>
      <c r="C4606" s="6" t="str">
        <f ca="1">IFERROR(__xludf.DUMMYFUNCTION("""COMPUTED_VALUE"""),"THOMPSON 1173")</f>
        <v>THOMPSON 1173</v>
      </c>
      <c r="D4606" s="6" t="str">
        <f ca="1">IFERROR(__xludf.DUMMYFUNCTION("""COMPUTED_VALUE"""),"ISLA DE MAIPO")</f>
        <v>ISLA DE MAIPO</v>
      </c>
    </row>
    <row r="4607" spans="1:4">
      <c r="A4607" s="7">
        <f ca="1">IFERROR(__xludf.DUMMYFUNCTION("""COMPUTED_VALUE"""),44424)</f>
        <v>44424</v>
      </c>
      <c r="B4607" s="8" t="str">
        <f ca="1">IFERROR(__xludf.DUMMYFUNCTION("""COMPUTED_VALUE"""),"-33.770644,-70882870")</f>
        <v>-33.770644,-70882870</v>
      </c>
      <c r="C4607" s="6" t="str">
        <f ca="1">IFERROR(__xludf.DUMMYFUNCTION("""COMPUTED_VALUE"""),"18624209-2")</f>
        <v>18624209-2</v>
      </c>
      <c r="D4607" s="6" t="str">
        <f ca="1">IFERROR(__xludf.DUMMYFUNCTION("""COMPUTED_VALUE"""),"ISLA DE MAIPO")</f>
        <v>ISLA DE MAIPO</v>
      </c>
    </row>
    <row r="4608" spans="1:4">
      <c r="A4608" s="7">
        <f ca="1">IFERROR(__xludf.DUMMYFUNCTION("""COMPUTED_VALUE"""),44424)</f>
        <v>44424</v>
      </c>
      <c r="B4608" s="8" t="str">
        <f ca="1">IFERROR(__xludf.DUMMYFUNCTION("""COMPUTED_VALUE"""),"-33-747841,-70.869134")</f>
        <v>-33-747841,-70.869134</v>
      </c>
      <c r="C4608" s="6" t="str">
        <f ca="1">IFERROR(__xludf.DUMMYFUNCTION("""COMPUTED_VALUE"""),"LA VENDIMIA")</f>
        <v>LA VENDIMIA</v>
      </c>
      <c r="D4608" s="6" t="str">
        <f ca="1">IFERROR(__xludf.DUMMYFUNCTION("""COMPUTED_VALUE"""),"ISLA DE MAIPO")</f>
        <v>ISLA DE MAIPO</v>
      </c>
    </row>
    <row r="4609" spans="1:4">
      <c r="A4609" s="7">
        <f ca="1">IFERROR(__xludf.DUMMYFUNCTION("""COMPUTED_VALUE"""),44424)</f>
        <v>44424</v>
      </c>
      <c r="B4609" s="6" t="str">
        <f ca="1">IFERROR(__xludf.DUMMYFUNCTION("""COMPUTED_VALUE"""),"-33.372334-71.168504")</f>
        <v>-33.372334-71.168504</v>
      </c>
      <c r="C4609" s="6" t="str">
        <f ca="1">IFERROR(__xludf.DUMMYFUNCTION("""COMPUTED_VALUE"""),"EL LLANO LOTE 6")</f>
        <v>EL LLANO LOTE 6</v>
      </c>
      <c r="D4609" s="6" t="str">
        <f ca="1">IFERROR(__xludf.DUMMYFUNCTION("""COMPUTED_VALUE"""),"CURACAVI")</f>
        <v>CURACAVI</v>
      </c>
    </row>
    <row r="4610" spans="1:4">
      <c r="A4610" s="7">
        <f ca="1">IFERROR(__xludf.DUMMYFUNCTION("""COMPUTED_VALUE"""),44424)</f>
        <v>44424</v>
      </c>
      <c r="B4610" s="6" t="str">
        <f ca="1">IFERROR(__xludf.DUMMYFUNCTION("""COMPUTED_VALUE"""),"-33.372334-71.168508")</f>
        <v>-33.372334-71.168508</v>
      </c>
      <c r="C4610" s="6" t="str">
        <f ca="1">IFERROR(__xludf.DUMMYFUNCTION("""COMPUTED_VALUE"""),"EL LLANO LOTE 5")</f>
        <v>EL LLANO LOTE 5</v>
      </c>
      <c r="D4610" s="6" t="str">
        <f ca="1">IFERROR(__xludf.DUMMYFUNCTION("""COMPUTED_VALUE"""),"CURACAVI")</f>
        <v>CURACAVI</v>
      </c>
    </row>
    <row r="4611" spans="1:4">
      <c r="A4611" s="7">
        <f ca="1">IFERROR(__xludf.DUMMYFUNCTION("""COMPUTED_VALUE"""),44424)</f>
        <v>44424</v>
      </c>
      <c r="B4611" s="6" t="str">
        <f ca="1">IFERROR(__xludf.DUMMYFUNCTION("""COMPUTED_VALUE"""),"-33.44605-71.02854")</f>
        <v>-33.44605-71.02854</v>
      </c>
      <c r="C4611" s="6" t="str">
        <f ca="1">IFERROR(__xludf.DUMMYFUNCTION("""COMPUTED_VALUE"""),"UNION CHILENA S/N SITIO 13")</f>
        <v>UNION CHILENA S/N SITIO 13</v>
      </c>
      <c r="D4611" s="6" t="str">
        <f ca="1">IFERROR(__xludf.DUMMYFUNCTION("""COMPUTED_VALUE"""),"CURACAVI")</f>
        <v>CURACAVI</v>
      </c>
    </row>
    <row r="4612" spans="1:4">
      <c r="A4612" s="7">
        <f ca="1">IFERROR(__xludf.DUMMYFUNCTION("""COMPUTED_VALUE"""),44424)</f>
        <v>44424</v>
      </c>
      <c r="B4612" s="6" t="str">
        <f ca="1">IFERROR(__xludf.DUMMYFUNCTION("""COMPUTED_VALUE"""),"-33.43328-71.14561")</f>
        <v>-33.43328-71.14561</v>
      </c>
      <c r="C4612" s="6" t="str">
        <f ca="1">IFERROR(__xludf.DUMMYFUNCTION("""COMPUTED_VALUE"""),"LO AGUILA LOTE 1")</f>
        <v>LO AGUILA LOTE 1</v>
      </c>
      <c r="D4612" s="6" t="str">
        <f ca="1">IFERROR(__xludf.DUMMYFUNCTION("""COMPUTED_VALUE"""),"CURACAVI")</f>
        <v>CURACAVI</v>
      </c>
    </row>
    <row r="4613" spans="1:4">
      <c r="A4613" s="7">
        <f ca="1">IFERROR(__xludf.DUMMYFUNCTION("""COMPUTED_VALUE"""),44424)</f>
        <v>44424</v>
      </c>
      <c r="B4613" s="6" t="str">
        <f ca="1">IFERROR(__xludf.DUMMYFUNCTION("""COMPUTED_VALUE"""),"-33.892224,-70.811864")</f>
        <v>-33.892224,-70.811864</v>
      </c>
      <c r="C4613" s="6" t="str">
        <f ca="1">IFERROR(__xludf.DUMMYFUNCTION("""COMPUTED_VALUE"""),"LOTE A 3  FUNDO LAS BLANCAS ")</f>
        <v xml:space="preserve">LOTE A 3  FUNDO LAS BLANCAS </v>
      </c>
      <c r="D4613" s="6" t="str">
        <f ca="1">IFERROR(__xludf.DUMMYFUNCTION("""COMPUTED_VALUE"""),"TIL TIL")</f>
        <v>TIL TIL</v>
      </c>
    </row>
    <row r="4614" spans="1:4">
      <c r="A4614" s="7">
        <f ca="1">IFERROR(__xludf.DUMMYFUNCTION("""COMPUTED_VALUE"""),44424)</f>
        <v>44424</v>
      </c>
      <c r="B4614" s="6" t="str">
        <f ca="1">IFERROR(__xludf.DUMMYFUNCTION("""COMPUTED_VALUE"""),"-33.334470,-70.770392")</f>
        <v>-33.334470,-70.770392</v>
      </c>
      <c r="C4614" s="6" t="str">
        <f ca="1">IFERROR(__xludf.DUMMYFUNCTION("""COMPUTED_VALUE"""),"PASAJE PARQUE NACIONAL LOS CIPRESES 4808")</f>
        <v>PASAJE PARQUE NACIONAL LOS CIPRESES 4808</v>
      </c>
      <c r="D4614" s="6" t="str">
        <f ca="1">IFERROR(__xludf.DUMMYFUNCTION("""COMPUTED_VALUE"""),"LAMPA")</f>
        <v>LAMPA</v>
      </c>
    </row>
    <row r="4615" spans="1:4">
      <c r="A4615" s="7">
        <f ca="1">IFERROR(__xludf.DUMMYFUNCTION("""COMPUTED_VALUE"""),44425)</f>
        <v>44425</v>
      </c>
      <c r="B4615" s="8" t="str">
        <f ca="1">IFERROR(__xludf.DUMMYFUNCTION("""COMPUTED_VALUE"""),"-33.780385,-70.883029")</f>
        <v>-33.780385,-70.883029</v>
      </c>
      <c r="C4615" s="6" t="str">
        <f ca="1">IFERROR(__xludf.DUMMYFUNCTION("""COMPUTED_VALUE"""),"LOS CARDENALES 793 ")</f>
        <v xml:space="preserve">LOS CARDENALES 793 </v>
      </c>
      <c r="D4615" s="6" t="str">
        <f ca="1">IFERROR(__xludf.DUMMYFUNCTION("""COMPUTED_VALUE"""),"ISLA DE MAIPO")</f>
        <v>ISLA DE MAIPO</v>
      </c>
    </row>
    <row r="4616" spans="1:4">
      <c r="A4616" s="7">
        <f ca="1">IFERROR(__xludf.DUMMYFUNCTION("""COMPUTED_VALUE"""),44425)</f>
        <v>44425</v>
      </c>
      <c r="B4616" s="8" t="str">
        <f ca="1">IFERROR(__xludf.DUMMYFUNCTION("""COMPUTED_VALUE"""),"-33.785341,-70.886076")</f>
        <v>-33.785341,-70.886076</v>
      </c>
      <c r="C4616" s="6" t="str">
        <f ca="1">IFERROR(__xludf.DUMMYFUNCTION("""COMPUTED_VALUE"""),"EL ROMERO 1865")</f>
        <v>EL ROMERO 1865</v>
      </c>
      <c r="D4616" s="6" t="str">
        <f ca="1">IFERROR(__xludf.DUMMYFUNCTION("""COMPUTED_VALUE"""),"ISLA DE MAIPO")</f>
        <v>ISLA DE MAIPO</v>
      </c>
    </row>
    <row r="4617" spans="1:4">
      <c r="A4617" s="7">
        <f ca="1">IFERROR(__xludf.DUMMYFUNCTION("""COMPUTED_VALUE"""),44425)</f>
        <v>44425</v>
      </c>
      <c r="B4617" s="8" t="str">
        <f ca="1">IFERROR(__xludf.DUMMYFUNCTION("""COMPUTED_VALUE"""),"-33.743377,-70.869176")</f>
        <v>-33.743377,-70.869176</v>
      </c>
      <c r="C4617" s="6" t="str">
        <f ca="1">IFERROR(__xludf.DUMMYFUNCTION("""COMPUTED_VALUE"""),"AV MICHELLET BACHELET 408")</f>
        <v>AV MICHELLET BACHELET 408</v>
      </c>
      <c r="D4617" s="6" t="str">
        <f ca="1">IFERROR(__xludf.DUMMYFUNCTION("""COMPUTED_VALUE"""),"ISLA DE MAIPO")</f>
        <v>ISLA DE MAIPO</v>
      </c>
    </row>
    <row r="4618" spans="1:4">
      <c r="A4618" s="7">
        <f ca="1">IFERROR(__xludf.DUMMYFUNCTION("""COMPUTED_VALUE"""),44425)</f>
        <v>44425</v>
      </c>
      <c r="B4618" s="8" t="str">
        <f ca="1">IFERROR(__xludf.DUMMYFUNCTION("""COMPUTED_VALUE"""),"-33.741566,-70.869539")</f>
        <v>-33.741566,-70.869539</v>
      </c>
      <c r="C4618" s="6" t="str">
        <f ca="1">IFERROR(__xludf.DUMMYFUNCTION("""COMPUTED_VALUE"""),"MARIO SASSANINI 516")</f>
        <v>MARIO SASSANINI 516</v>
      </c>
      <c r="D4618" s="6" t="str">
        <f ca="1">IFERROR(__xludf.DUMMYFUNCTION("""COMPUTED_VALUE"""),"ISLA DE MAIPO")</f>
        <v>ISLA DE MAIPO</v>
      </c>
    </row>
    <row r="4619" spans="1:4">
      <c r="A4619" s="7">
        <f ca="1">IFERROR(__xludf.DUMMYFUNCTION("""COMPUTED_VALUE"""),44425)</f>
        <v>44425</v>
      </c>
      <c r="B4619" s="6" t="str">
        <f ca="1">IFERROR(__xludf.DUMMYFUNCTION("""COMPUTED_VALUE"""),"-33.6081195-70.8876748")</f>
        <v>-33.6081195-70.8876748</v>
      </c>
      <c r="C4619" s="6" t="str">
        <f ca="1">IFERROR(__xludf.DUMMYFUNCTION("""COMPUTED_VALUE"""),"PJE CECILIA 275")</f>
        <v>PJE CECILIA 275</v>
      </c>
      <c r="D4619" s="6" t="str">
        <f ca="1">IFERROR(__xludf.DUMMYFUNCTION("""COMPUTED_VALUE"""),"PEÑAFLOR")</f>
        <v>PEÑAFLOR</v>
      </c>
    </row>
    <row r="4620" spans="1:4">
      <c r="A4620" s="7">
        <f ca="1">IFERROR(__xludf.DUMMYFUNCTION("""COMPUTED_VALUE"""),44425)</f>
        <v>44425</v>
      </c>
      <c r="B4620" s="6" t="str">
        <f ca="1">IFERROR(__xludf.DUMMYFUNCTION("""COMPUTED_VALUE"""),"-33.78902-71.26193")</f>
        <v>-33.78902-71.26193</v>
      </c>
      <c r="C4620" s="6" t="str">
        <f ca="1">IFERROR(__xludf.DUMMYFUNCTION("""COMPUTED_VALUE"""),"CALLE LAS PALMERAS S/N")</f>
        <v>CALLE LAS PALMERAS S/N</v>
      </c>
      <c r="D4620" s="6" t="str">
        <f ca="1">IFERROR(__xludf.DUMMYFUNCTION("""COMPUTED_VALUE"""),"MELIPILLA")</f>
        <v>MELIPILLA</v>
      </c>
    </row>
    <row r="4621" spans="1:4">
      <c r="A4621" s="7">
        <f ca="1">IFERROR(__xludf.DUMMYFUNCTION("""COMPUTED_VALUE"""),44425)</f>
        <v>44425</v>
      </c>
      <c r="B4621" s="6" t="str">
        <f ca="1">IFERROR(__xludf.DUMMYFUNCTION("""COMPUTED_VALUE"""),"-33.78902-71.26193")</f>
        <v>-33.78902-71.26193</v>
      </c>
      <c r="C4621" s="6" t="str">
        <f ca="1">IFERROR(__xludf.DUMMYFUNCTION("""COMPUTED_VALUE"""),"CALLE LAS PALMERAS S/N")</f>
        <v>CALLE LAS PALMERAS S/N</v>
      </c>
      <c r="D4621" s="6" t="str">
        <f ca="1">IFERROR(__xludf.DUMMYFUNCTION("""COMPUTED_VALUE"""),"MELIPILLA")</f>
        <v>MELIPILLA</v>
      </c>
    </row>
    <row r="4622" spans="1:4">
      <c r="A4622" s="7">
        <f ca="1">IFERROR(__xludf.DUMMYFUNCTION("""COMPUTED_VALUE"""),44425)</f>
        <v>44425</v>
      </c>
      <c r="B4622" s="6" t="str">
        <f ca="1">IFERROR(__xludf.DUMMYFUNCTION("""COMPUTED_VALUE"""),"-33.6253-71.2711")</f>
        <v>-33.6253-71.2711</v>
      </c>
      <c r="C4622" s="6" t="str">
        <f ca="1">IFERROR(__xludf.DUMMYFUNCTION("""COMPUTED_VALUE"""),"SAN MIGUEL S/N")</f>
        <v>SAN MIGUEL S/N</v>
      </c>
      <c r="D4622" s="6" t="str">
        <f ca="1">IFERROR(__xludf.DUMMYFUNCTION("""COMPUTED_VALUE"""),"MELIPILLA")</f>
        <v>MELIPILLA</v>
      </c>
    </row>
    <row r="4623" spans="1:4">
      <c r="A4623" s="7">
        <f ca="1">IFERROR(__xludf.DUMMYFUNCTION("""COMPUTED_VALUE"""),44425)</f>
        <v>44425</v>
      </c>
      <c r="B4623" s="6" t="str">
        <f ca="1">IFERROR(__xludf.DUMMYFUNCTION("""COMPUTED_VALUE"""),"-33.799829-70.770155")</f>
        <v>-33.799829-70.770155</v>
      </c>
      <c r="C4623" s="6" t="str">
        <f ca="1">IFERROR(__xludf.DUMMYFUNCTION("""COMPUTED_VALUE"""),"LAS DELICIAS S/N")</f>
        <v>LAS DELICIAS S/N</v>
      </c>
      <c r="D4623" s="6" t="str">
        <f ca="1">IFERROR(__xludf.DUMMYFUNCTION("""COMPUTED_VALUE"""),"BUIN")</f>
        <v>BUIN</v>
      </c>
    </row>
    <row r="4624" spans="1:4">
      <c r="A4624" s="7">
        <f ca="1">IFERROR(__xludf.DUMMYFUNCTION("""COMPUTED_VALUE"""),44425)</f>
        <v>44425</v>
      </c>
      <c r="B4624" s="6" t="str">
        <f ca="1">IFERROR(__xludf.DUMMYFUNCTION("""COMPUTED_VALUE"""),"-33.799251-70.769572")</f>
        <v>-33.799251-70.769572</v>
      </c>
      <c r="C4624" s="6" t="str">
        <f ca="1">IFERROR(__xludf.DUMMYFUNCTION("""COMPUTED_VALUE"""),"LAS DELICIAS SITIO 18 A")</f>
        <v>LAS DELICIAS SITIO 18 A</v>
      </c>
      <c r="D4624" s="6" t="str">
        <f ca="1">IFERROR(__xludf.DUMMYFUNCTION("""COMPUTED_VALUE"""),"BUIN")</f>
        <v>BUIN</v>
      </c>
    </row>
    <row r="4625" spans="1:4">
      <c r="A4625" s="7">
        <f ca="1">IFERROR(__xludf.DUMMYFUNCTION("""COMPUTED_VALUE"""),44425)</f>
        <v>44425</v>
      </c>
      <c r="B4625" s="6" t="str">
        <f ca="1">IFERROR(__xludf.DUMMYFUNCTION("""COMPUTED_VALUE"""),"-33.689687,-741.031.222")</f>
        <v>-33.689687,-741.031.222</v>
      </c>
      <c r="C4625" s="6" t="str">
        <f ca="1">IFERROR(__xludf.DUMMYFUNCTION("""COMPUTED_VALUE"""),"EL CARMEN 081 ")</f>
        <v xml:space="preserve">EL CARMEN 081 </v>
      </c>
      <c r="D4625" s="6" t="str">
        <f ca="1">IFERROR(__xludf.DUMMYFUNCTION("""COMPUTED_VALUE"""),"EL MONTE")</f>
        <v>EL MONTE</v>
      </c>
    </row>
    <row r="4626" spans="1:4">
      <c r="A4626" s="7">
        <f ca="1">IFERROR(__xludf.DUMMYFUNCTION("""COMPUTED_VALUE"""),44425)</f>
        <v>44425</v>
      </c>
      <c r="B4626" s="6" t="str">
        <f ca="1">IFERROR(__xludf.DUMMYFUNCTION("""COMPUTED_VALUE"""),"-33.701394,-70.960036")</f>
        <v>-33.701394,-70.960036</v>
      </c>
      <c r="C4626" s="6" t="str">
        <f ca="1">IFERROR(__xludf.DUMMYFUNCTION("""COMPUTED_VALUE"""),"CAMINO LA PALMA S/N")</f>
        <v>CAMINO LA PALMA S/N</v>
      </c>
      <c r="D4626" s="6" t="str">
        <f ca="1">IFERROR(__xludf.DUMMYFUNCTION("""COMPUTED_VALUE"""),"TALAGANTE")</f>
        <v>TALAGANTE</v>
      </c>
    </row>
    <row r="4627" spans="1:4">
      <c r="A4627" s="7">
        <f ca="1">IFERROR(__xludf.DUMMYFUNCTION("""COMPUTED_VALUE"""),44425)</f>
        <v>44425</v>
      </c>
      <c r="B4627" s="8" t="str">
        <f ca="1">IFERROR(__xludf.DUMMYFUNCTION("""COMPUTED_VALUE"""),"-33.909215,-71.413136")</f>
        <v>-33.909215,-71.413136</v>
      </c>
      <c r="C4627" s="6" t="str">
        <f ca="1">IFERROR(__xludf.DUMMYFUNCTION("""COMPUTED_VALUE"""),"LONGOVILO/PARCELA 1")</f>
        <v>LONGOVILO/PARCELA 1</v>
      </c>
      <c r="D4627" s="6" t="str">
        <f ca="1">IFERROR(__xludf.DUMMYFUNCTION("""COMPUTED_VALUE"""),"MELIPILLA")</f>
        <v>MELIPILLA</v>
      </c>
    </row>
    <row r="4628" spans="1:4">
      <c r="A4628" s="7">
        <f ca="1">IFERROR(__xludf.DUMMYFUNCTION("""COMPUTED_VALUE"""),44425)</f>
        <v>44425</v>
      </c>
      <c r="B4628" s="8" t="str">
        <f ca="1">IFERROR(__xludf.DUMMYFUNCTION("""COMPUTED_VALUE"""),"-33.686616,-71.194022")</f>
        <v>-33.686616,-71.194022</v>
      </c>
      <c r="C4628" s="6" t="str">
        <f ca="1">IFERROR(__xludf.DUMMYFUNCTION("""COMPUTED_VALUE"""),"SAN MIGUEL 0780")</f>
        <v>SAN MIGUEL 0780</v>
      </c>
      <c r="D4628" s="6" t="str">
        <f ca="1">IFERROR(__xludf.DUMMYFUNCTION("""COMPUTED_VALUE"""),"MELIPILLA")</f>
        <v>MELIPILLA</v>
      </c>
    </row>
    <row r="4629" spans="1:4">
      <c r="A4629" s="7">
        <f ca="1">IFERROR(__xludf.DUMMYFUNCTION("""COMPUTED_VALUE"""),44426)</f>
        <v>44426</v>
      </c>
      <c r="B4629" s="8" t="str">
        <f ca="1">IFERROR(__xludf.DUMMYFUNCTION("""COMPUTED_VALUE"""),"-33.747879,-70.870458")</f>
        <v>-33.747879,-70.870458</v>
      </c>
      <c r="C4629" s="6" t="str">
        <f ca="1">IFERROR(__xludf.DUMMYFUNCTION("""COMPUTED_VALUE"""),"LAS FRUTAS 3190 ")</f>
        <v xml:space="preserve">LAS FRUTAS 3190 </v>
      </c>
      <c r="D4629" s="6" t="str">
        <f ca="1">IFERROR(__xludf.DUMMYFUNCTION("""COMPUTED_VALUE"""),"ISLA DE MAIPO")</f>
        <v>ISLA DE MAIPO</v>
      </c>
    </row>
    <row r="4630" spans="1:4">
      <c r="A4630" s="7">
        <f ca="1">IFERROR(__xludf.DUMMYFUNCTION("""COMPUTED_VALUE"""),44426)</f>
        <v>44426</v>
      </c>
      <c r="B4630" s="8" t="str">
        <f ca="1">IFERROR(__xludf.DUMMYFUNCTION("""COMPUTED_VALUE"""),"-33.783884,-70.889247")</f>
        <v>-33.783884,-70.889247</v>
      </c>
      <c r="C4630" s="6" t="str">
        <f ca="1">IFERROR(__xludf.DUMMYFUNCTION("""COMPUTED_VALUE"""),"JUAN FRESNOS 635")</f>
        <v>JUAN FRESNOS 635</v>
      </c>
      <c r="D4630" s="6" t="str">
        <f ca="1">IFERROR(__xludf.DUMMYFUNCTION("""COMPUTED_VALUE"""),"ISLA DE MAIPO")</f>
        <v>ISLA DE MAIPO</v>
      </c>
    </row>
    <row r="4631" spans="1:4">
      <c r="A4631" s="7">
        <f ca="1">IFERROR(__xludf.DUMMYFUNCTION("""COMPUTED_VALUE"""),44426)</f>
        <v>44426</v>
      </c>
      <c r="B4631" s="8" t="str">
        <f ca="1">IFERROR(__xludf.DUMMYFUNCTION("""COMPUTED_VALUE"""),"-33.744416,-70.900420")</f>
        <v>-33.744416,-70.900420</v>
      </c>
      <c r="C4631" s="6" t="str">
        <f ca="1">IFERROR(__xludf.DUMMYFUNCTION("""COMPUTED_VALUE"""),"EL COLONIAL 272 ")</f>
        <v xml:space="preserve">EL COLONIAL 272 </v>
      </c>
      <c r="D4631" s="6" t="str">
        <f ca="1">IFERROR(__xludf.DUMMYFUNCTION("""COMPUTED_VALUE"""),"ISLA DE MAIPO")</f>
        <v>ISLA DE MAIPO</v>
      </c>
    </row>
    <row r="4632" spans="1:4">
      <c r="A4632" s="7">
        <f ca="1">IFERROR(__xludf.DUMMYFUNCTION("""COMPUTED_VALUE"""),44426)</f>
        <v>44426</v>
      </c>
      <c r="B4632" s="8" t="str">
        <f ca="1">IFERROR(__xludf.DUMMYFUNCTION("""COMPUTED_VALUE"""),"-33.749546,-70.870963")</f>
        <v>-33.749546,-70.870963</v>
      </c>
      <c r="C4632" s="6" t="str">
        <f ca="1">IFERROR(__xludf.DUMMYFUNCTION("""COMPUTED_VALUE"""),"LAS FRUTAS 3355")</f>
        <v>LAS FRUTAS 3355</v>
      </c>
      <c r="D4632" s="6" t="str">
        <f ca="1">IFERROR(__xludf.DUMMYFUNCTION("""COMPUTED_VALUE"""),"ISLA DE MAIPO")</f>
        <v>ISLA DE MAIPO</v>
      </c>
    </row>
    <row r="4633" spans="1:4">
      <c r="A4633" s="7">
        <f ca="1">IFERROR(__xludf.DUMMYFUNCTION("""COMPUTED_VALUE"""),44426)</f>
        <v>44426</v>
      </c>
      <c r="B4633" s="8" t="str">
        <f ca="1">IFERROR(__xludf.DUMMYFUNCTION("""COMPUTED_VALUE"""),"-33.747866,-70.868608")</f>
        <v>-33.747866,-70.868608</v>
      </c>
      <c r="C4633" s="6" t="str">
        <f ca="1">IFERROR(__xludf.DUMMYFUNCTION("""COMPUTED_VALUE"""),"LA VENDIMIA 802")</f>
        <v>LA VENDIMIA 802</v>
      </c>
      <c r="D4633" s="6" t="str">
        <f ca="1">IFERROR(__xludf.DUMMYFUNCTION("""COMPUTED_VALUE"""),"ISLA DE MAIPO")</f>
        <v>ISLA DE MAIPO</v>
      </c>
    </row>
    <row r="4634" spans="1:4">
      <c r="A4634" s="7">
        <f ca="1">IFERROR(__xludf.DUMMYFUNCTION("""COMPUTED_VALUE"""),44426)</f>
        <v>44426</v>
      </c>
      <c r="B4634" s="8" t="str">
        <f ca="1">IFERROR(__xludf.DUMMYFUNCTION("""COMPUTED_VALUE"""),"-33.652362-71.154368")</f>
        <v>-33.652362-71.154368</v>
      </c>
      <c r="C4634" s="6" t="str">
        <f ca="1">IFERROR(__xludf.DUMMYFUNCTION("""COMPUTED_VALUE"""),"BAUTISTA SALINAS 595")</f>
        <v>BAUTISTA SALINAS 595</v>
      </c>
      <c r="D4634" s="6" t="str">
        <f ca="1">IFERROR(__xludf.DUMMYFUNCTION("""COMPUTED_VALUE"""),"MELIPILLA")</f>
        <v>MELIPILLA</v>
      </c>
    </row>
    <row r="4635" spans="1:4">
      <c r="A4635" s="7">
        <f ca="1">IFERROR(__xludf.DUMMYFUNCTION("""COMPUTED_VALUE"""),44426)</f>
        <v>44426</v>
      </c>
      <c r="B4635" s="6" t="str">
        <f ca="1">IFERROR(__xludf.DUMMYFUNCTION("""COMPUTED_VALUE"""),"-33.682989,-071.002240")</f>
        <v>-33.682989,-071.002240</v>
      </c>
      <c r="C4635" s="6" t="str">
        <f ca="1">IFERROR(__xludf.DUMMYFUNCTION("""COMPUTED_VALUE"""),"CONDE DE LA CONQUISTA 22")</f>
        <v>CONDE DE LA CONQUISTA 22</v>
      </c>
      <c r="D4635" s="6" t="str">
        <f ca="1">IFERROR(__xludf.DUMMYFUNCTION("""COMPUTED_VALUE"""),"EL MONTE")</f>
        <v>EL MONTE</v>
      </c>
    </row>
    <row r="4636" spans="1:4">
      <c r="A4636" s="7">
        <f ca="1">IFERROR(__xludf.DUMMYFUNCTION("""COMPUTED_VALUE"""),44426)</f>
        <v>44426</v>
      </c>
      <c r="B4636" s="6" t="str">
        <f ca="1">IFERROR(__xludf.DUMMYFUNCTION("""COMPUTED_VALUE"""),"-33.338066,-70.817734")</f>
        <v>-33.338066,-70.817734</v>
      </c>
      <c r="C4636" s="6" t="str">
        <f ca="1">IFERROR(__xludf.DUMMYFUNCTION("""COMPUTED_VALUE"""),"CAMINO INTERIOR LOTE 19 MIRAFLORES ")</f>
        <v xml:space="preserve">CAMINO INTERIOR LOTE 19 MIRAFLORES </v>
      </c>
      <c r="D4636" s="6" t="str">
        <f ca="1">IFERROR(__xludf.DUMMYFUNCTION("""COMPUTED_VALUE"""),"LAMPA")</f>
        <v>LAMPA</v>
      </c>
    </row>
    <row r="4637" spans="1:4">
      <c r="A4637" s="7">
        <f ca="1">IFERROR(__xludf.DUMMYFUNCTION("""COMPUTED_VALUE"""),44426)</f>
        <v>44426</v>
      </c>
      <c r="B4637" s="6" t="str">
        <f ca="1">IFERROR(__xludf.DUMMYFUNCTION("""COMPUTED_VALUE"""),"-33.647428,-71.147773")</f>
        <v>-33.647428,-71.147773</v>
      </c>
      <c r="C4637" s="6" t="str">
        <f ca="1">IFERROR(__xludf.DUMMYFUNCTION("""COMPUTED_VALUE"""),"EL CARMEN  205 C POMAIRE ")</f>
        <v xml:space="preserve">EL CARMEN  205 C POMAIRE </v>
      </c>
      <c r="D4637" s="6" t="str">
        <f ca="1">IFERROR(__xludf.DUMMYFUNCTION("""COMPUTED_VALUE"""),"MELIPILLA")</f>
        <v>MELIPILLA</v>
      </c>
    </row>
    <row r="4638" spans="1:4">
      <c r="A4638" s="7">
        <f ca="1">IFERROR(__xludf.DUMMYFUNCTION("""COMPUTED_VALUE"""),44427)</f>
        <v>44427</v>
      </c>
      <c r="B4638" s="8" t="str">
        <f ca="1">IFERROR(__xludf.DUMMYFUNCTION("""COMPUTED_VALUE"""),"-33.744835, -70.898475")</f>
        <v>-33.744835, -70.898475</v>
      </c>
      <c r="C4638" s="6" t="str">
        <f ca="1">IFERROR(__xludf.DUMMYFUNCTION("""COMPUTED_VALUE"""),"los españoles 439,")</f>
        <v>los españoles 439,</v>
      </c>
      <c r="D4638" s="6" t="str">
        <f ca="1">IFERROR(__xludf.DUMMYFUNCTION("""COMPUTED_VALUE"""),"ISLA DE MAIPO")</f>
        <v>ISLA DE MAIPO</v>
      </c>
    </row>
    <row r="4639" spans="1:4">
      <c r="A4639" s="7">
        <f ca="1">IFERROR(__xludf.DUMMYFUNCTION("""COMPUTED_VALUE"""),44427)</f>
        <v>44427</v>
      </c>
      <c r="B4639" s="8" t="str">
        <f ca="1">IFERROR(__xludf.DUMMYFUNCTION("""COMPUTED_VALUE"""),"-33.744835, -70.898475")</f>
        <v>-33.744835, -70.898475</v>
      </c>
      <c r="C4639" s="6" t="str">
        <f ca="1">IFERROR(__xludf.DUMMYFUNCTION("""COMPUTED_VALUE"""),"los españoles 439,")</f>
        <v>los españoles 439,</v>
      </c>
      <c r="D4639" s="6" t="str">
        <f ca="1">IFERROR(__xludf.DUMMYFUNCTION("""COMPUTED_VALUE"""),"ISLA DE MAIPO")</f>
        <v>ISLA DE MAIPO</v>
      </c>
    </row>
    <row r="4640" spans="1:4">
      <c r="A4640" s="7">
        <f ca="1">IFERROR(__xludf.DUMMYFUNCTION("""COMPUTED_VALUE"""),44427)</f>
        <v>44427</v>
      </c>
      <c r="B4640" s="8" t="str">
        <f ca="1">IFERROR(__xludf.DUMMYFUNCTION("""COMPUTED_VALUE"""),"-33.744652,-70.867354")</f>
        <v>-33.744652,-70.867354</v>
      </c>
      <c r="C4640" s="6" t="str">
        <f ca="1">IFERROR(__xludf.DUMMYFUNCTION("""COMPUTED_VALUE"""),"TITO JIMENEZ 211")</f>
        <v>TITO JIMENEZ 211</v>
      </c>
      <c r="D4640" s="6" t="str">
        <f ca="1">IFERROR(__xludf.DUMMYFUNCTION("""COMPUTED_VALUE"""),"ISLA DE MAIPO")</f>
        <v>ISLA DE MAIPO</v>
      </c>
    </row>
    <row r="4641" spans="1:4">
      <c r="A4641" s="7">
        <f ca="1">IFERROR(__xludf.DUMMYFUNCTION("""COMPUTED_VALUE"""),44427)</f>
        <v>44427</v>
      </c>
      <c r="B4641" s="8" t="str">
        <f ca="1">IFERROR(__xludf.DUMMYFUNCTION("""COMPUTED_VALUE"""),"-33.744777,-70.867105")</f>
        <v>-33.744777,-70.867105</v>
      </c>
      <c r="C4641" s="6" t="str">
        <f ca="1">IFERROR(__xludf.DUMMYFUNCTION("""COMPUTED_VALUE"""),"TITO JIMENEZ 165")</f>
        <v>TITO JIMENEZ 165</v>
      </c>
      <c r="D4641" s="6" t="str">
        <f ca="1">IFERROR(__xludf.DUMMYFUNCTION("""COMPUTED_VALUE"""),"ISLA DE MAIPO")</f>
        <v>ISLA DE MAIPO</v>
      </c>
    </row>
    <row r="4642" spans="1:4">
      <c r="A4642" s="7">
        <f ca="1">IFERROR(__xludf.DUMMYFUNCTION("""COMPUTED_VALUE"""),44427)</f>
        <v>44427</v>
      </c>
      <c r="B4642" s="8" t="str">
        <f ca="1">IFERROR(__xludf.DUMMYFUNCTION("""COMPUTED_VALUE"""),"-33.784552, -70.891527")</f>
        <v>-33.784552, -70.891527</v>
      </c>
      <c r="C4642" s="6" t="str">
        <f ca="1">IFERROR(__xludf.DUMMYFUNCTION("""COMPUTED_VALUE"""),"JUAN FRANCISCO FRESNO 402")</f>
        <v>JUAN FRANCISCO FRESNO 402</v>
      </c>
      <c r="D4642" s="6" t="str">
        <f ca="1">IFERROR(__xludf.DUMMYFUNCTION("""COMPUTED_VALUE"""),"ISLA DE MAIPO")</f>
        <v>ISLA DE MAIPO</v>
      </c>
    </row>
    <row r="4643" spans="1:4">
      <c r="A4643" s="7">
        <f ca="1">IFERROR(__xludf.DUMMYFUNCTION("""COMPUTED_VALUE"""),44427)</f>
        <v>44427</v>
      </c>
      <c r="B4643" s="8" t="str">
        <f ca="1">IFERROR(__xludf.DUMMYFUNCTION("""COMPUTED_VALUE"""),"-33.785226,-70.885977")</f>
        <v>-33.785226,-70.885977</v>
      </c>
      <c r="C4643" s="6" t="str">
        <f ca="1">IFERROR(__xludf.DUMMYFUNCTION("""COMPUTED_VALUE"""),"EL ROMERO 1865")</f>
        <v>EL ROMERO 1865</v>
      </c>
      <c r="D4643" s="6" t="str">
        <f ca="1">IFERROR(__xludf.DUMMYFUNCTION("""COMPUTED_VALUE"""),"ISLA DE MAIPO")</f>
        <v>ISLA DE MAIPO</v>
      </c>
    </row>
    <row r="4644" spans="1:4">
      <c r="A4644" s="7">
        <f ca="1">IFERROR(__xludf.DUMMYFUNCTION("""COMPUTED_VALUE"""),44427)</f>
        <v>44427</v>
      </c>
      <c r="B4644" s="8" t="str">
        <f ca="1">IFERROR(__xludf.DUMMYFUNCTION("""COMPUTED_VALUE"""),"-33.735762,-70.862273")</f>
        <v>-33.735762,-70.862273</v>
      </c>
      <c r="C4644" s="6" t="str">
        <f ca="1">IFERROR(__xludf.DUMMYFUNCTION("""COMPUTED_VALUE"""),"RIO MAIPO 4415")</f>
        <v>RIO MAIPO 4415</v>
      </c>
      <c r="D4644" s="6" t="str">
        <f ca="1">IFERROR(__xludf.DUMMYFUNCTION("""COMPUTED_VALUE"""),"ISLA DE MAIPO")</f>
        <v>ISLA DE MAIPO</v>
      </c>
    </row>
    <row r="4645" spans="1:4">
      <c r="A4645" s="7">
        <f ca="1">IFERROR(__xludf.DUMMYFUNCTION("""COMPUTED_VALUE"""),44427)</f>
        <v>44427</v>
      </c>
      <c r="B4645" s="6" t="str">
        <f ca="1">IFERROR(__xludf.DUMMYFUNCTION("""COMPUTED_VALUE"""),"-33.72211-70.737055")</f>
        <v>-33.72211-70.737055</v>
      </c>
      <c r="C4645" s="6" t="str">
        <f ca="1">IFERROR(__xludf.DUMMYFUNCTION("""COMPUTED_VALUE"""),"PA ANIBAL VALDES 195")</f>
        <v>PA ANIBAL VALDES 195</v>
      </c>
      <c r="D4645" s="6" t="str">
        <f ca="1">IFERROR(__xludf.DUMMYFUNCTION("""COMPUTED_VALUE"""),"BUIN")</f>
        <v>BUIN</v>
      </c>
    </row>
    <row r="4646" spans="1:4">
      <c r="A4646" s="7">
        <f ca="1">IFERROR(__xludf.DUMMYFUNCTION("""COMPUTED_VALUE"""),44427)</f>
        <v>44427</v>
      </c>
      <c r="B4646" s="6" t="str">
        <f ca="1">IFERROR(__xludf.DUMMYFUNCTION("""COMPUTED_VALUE"""),"-33.678880,-71.00.354")</f>
        <v>-33.678880,-71.00.354</v>
      </c>
      <c r="C4646" s="6" t="str">
        <f ca="1">IFERROR(__xludf.DUMMYFUNCTION("""COMPUTED_VALUE"""),"EL ALAMO 877 ")</f>
        <v xml:space="preserve">EL ALAMO 877 </v>
      </c>
      <c r="D4646" s="6" t="str">
        <f ca="1">IFERROR(__xludf.DUMMYFUNCTION("""COMPUTED_VALUE"""),"EL MONTE")</f>
        <v>EL MONTE</v>
      </c>
    </row>
    <row r="4647" spans="1:4">
      <c r="A4647" s="7">
        <f ca="1">IFERROR(__xludf.DUMMYFUNCTION("""COMPUTED_VALUE"""),44427)</f>
        <v>44427</v>
      </c>
      <c r="B4647" s="6" t="str">
        <f ca="1">IFERROR(__xludf.DUMMYFUNCTION("""COMPUTED_VALUE"""),"-33.575610,-71.150878")</f>
        <v>-33.575610,-71.150878</v>
      </c>
      <c r="C4647" s="6" t="str">
        <f ca="1">IFERROR(__xludf.DUMMYFUNCTION("""COMPUTED_VALUE"""),"VIÑA EL CAMPECINO ")</f>
        <v xml:space="preserve">VIÑA EL CAMPECINO </v>
      </c>
      <c r="D4647" s="6" t="str">
        <f ca="1">IFERROR(__xludf.DUMMYFUNCTION("""COMPUTED_VALUE"""),"MELIPILLA")</f>
        <v>MELIPILLA</v>
      </c>
    </row>
    <row r="4648" spans="1:4">
      <c r="A4648" s="7">
        <f ca="1">IFERROR(__xludf.DUMMYFUNCTION("""COMPUTED_VALUE"""),44427)</f>
        <v>44427</v>
      </c>
      <c r="B4648" s="6" t="str">
        <f ca="1">IFERROR(__xludf.DUMMYFUNCTION("""COMPUTED_VALUE"""),"-33.682056,-71.003154")</f>
        <v>-33.682056,-71.003154</v>
      </c>
      <c r="C4648" s="6" t="str">
        <f ca="1">IFERROR(__xludf.DUMMYFUNCTION("""COMPUTED_VALUE"""),"PARLAMENTO DE PICAVI 846-D")</f>
        <v>PARLAMENTO DE PICAVI 846-D</v>
      </c>
      <c r="D4648" s="6" t="str">
        <f ca="1">IFERROR(__xludf.DUMMYFUNCTION("""COMPUTED_VALUE"""),"EL MONTE")</f>
        <v>EL MONTE</v>
      </c>
    </row>
    <row r="4649" spans="1:4">
      <c r="A4649" s="7">
        <f ca="1">IFERROR(__xludf.DUMMYFUNCTION("""COMPUTED_VALUE"""),44427)</f>
        <v>44427</v>
      </c>
      <c r="B4649" s="6" t="str">
        <f ca="1">IFERROR(__xludf.DUMMYFUNCTION("""COMPUTED_VALUE"""),"-33.666378,-71004427")</f>
        <v>-33.666378,-71004427</v>
      </c>
      <c r="C4649" s="6" t="str">
        <f ca="1">IFERROR(__xludf.DUMMYFUNCTION("""COMPUTED_VALUE"""),"SECTOR EL MONTE BLANCO PARC 5")</f>
        <v>SECTOR EL MONTE BLANCO PARC 5</v>
      </c>
      <c r="D4649" s="6" t="str">
        <f ca="1">IFERROR(__xludf.DUMMYFUNCTION("""COMPUTED_VALUE"""),"EL MONTE")</f>
        <v>EL MONTE</v>
      </c>
    </row>
    <row r="4650" spans="1:4">
      <c r="A4650" s="7">
        <f ca="1">IFERROR(__xludf.DUMMYFUNCTION("""COMPUTED_VALUE"""),44427)</f>
        <v>44427</v>
      </c>
      <c r="B4650" s="6" t="str">
        <f ca="1">IFERROR(__xludf.DUMMYFUNCTION("""COMPUTED_VALUE"""),"-33.666378,-71004428")</f>
        <v>-33.666378,-71004428</v>
      </c>
      <c r="C4650" s="6" t="str">
        <f ca="1">IFERROR(__xludf.DUMMYFUNCTION("""COMPUTED_VALUE"""),"SECTOR EL MONTE BLANCO PARC 5")</f>
        <v>SECTOR EL MONTE BLANCO PARC 5</v>
      </c>
      <c r="D4650" s="6" t="str">
        <f ca="1">IFERROR(__xludf.DUMMYFUNCTION("""COMPUTED_VALUE"""),"EL MONTE")</f>
        <v>EL MONTE</v>
      </c>
    </row>
    <row r="4651" spans="1:4">
      <c r="A4651" s="7">
        <f ca="1">IFERROR(__xludf.DUMMYFUNCTION("""COMPUTED_VALUE"""),44427)</f>
        <v>44427</v>
      </c>
      <c r="B4651" s="8" t="str">
        <f ca="1">IFERROR(__xludf.DUMMYFUNCTION("""COMPUTED_VALUE"""),"-33.794679,-71.296518")</f>
        <v>-33.794679,-71.296518</v>
      </c>
      <c r="C4651" s="6" t="str">
        <f ca="1">IFERROR(__xludf.DUMMYFUNCTION("""COMPUTED_VALUE"""),"MANDINGA 18")</f>
        <v>MANDINGA 18</v>
      </c>
      <c r="D4651" s="6" t="str">
        <f ca="1">IFERROR(__xludf.DUMMYFUNCTION("""COMPUTED_VALUE"""),"MELIPILLA")</f>
        <v>MELIPILLA</v>
      </c>
    </row>
    <row r="4652" spans="1:4">
      <c r="A4652" s="7">
        <f ca="1">IFERROR(__xludf.DUMMYFUNCTION("""COMPUTED_VALUE"""),44428)</f>
        <v>44428</v>
      </c>
      <c r="B4652" s="8" t="str">
        <f ca="1">IFERROR(__xludf.DUMMYFUNCTION("""COMPUTED_VALUE"""),"-33.745789, -70.898594")</f>
        <v>-33.745789, -70.898594</v>
      </c>
      <c r="C4652" s="6" t="str">
        <f ca="1">IFERROR(__xludf.DUMMYFUNCTION("""COMPUTED_VALUE"""),"LOS PENSAMIENTOS 1391")</f>
        <v>LOS PENSAMIENTOS 1391</v>
      </c>
      <c r="D4652" s="6" t="str">
        <f ca="1">IFERROR(__xludf.DUMMYFUNCTION("""COMPUTED_VALUE"""),"ISLA DE MAIPO")</f>
        <v>ISLA DE MAIPO</v>
      </c>
    </row>
    <row r="4653" spans="1:4">
      <c r="A4653" s="7">
        <f ca="1">IFERROR(__xludf.DUMMYFUNCTION("""COMPUTED_VALUE"""),44428)</f>
        <v>44428</v>
      </c>
      <c r="B4653" s="8" t="str">
        <f ca="1">IFERROR(__xludf.DUMMYFUNCTION("""COMPUTED_VALUE"""),"-33.742120,-70.8673089")</f>
        <v>-33.742120,-70.8673089</v>
      </c>
      <c r="C4653" s="6" t="str">
        <f ca="1">IFERROR(__xludf.DUMMYFUNCTION("""COMPUTED_VALUE"""),"HERRERA 332")</f>
        <v>HERRERA 332</v>
      </c>
      <c r="D4653" s="6" t="str">
        <f ca="1">IFERROR(__xludf.DUMMYFUNCTION("""COMPUTED_VALUE"""),"ISLA DE MAIPO")</f>
        <v>ISLA DE MAIPO</v>
      </c>
    </row>
    <row r="4654" spans="1:4">
      <c r="A4654" s="7">
        <f ca="1">IFERROR(__xludf.DUMMYFUNCTION("""COMPUTED_VALUE"""),44428)</f>
        <v>44428</v>
      </c>
      <c r="B4654" s="8" t="str">
        <f ca="1">IFERROR(__xludf.DUMMYFUNCTION("""COMPUTED_VALUE"""),"-33.735505,-70.861735")</f>
        <v>-33.735505,-70.861735</v>
      </c>
      <c r="C4654" s="6" t="str">
        <f ca="1">IFERROR(__xludf.DUMMYFUNCTION("""COMPUTED_VALUE"""),"EL MAITEN 243")</f>
        <v>EL MAITEN 243</v>
      </c>
      <c r="D4654" s="6" t="str">
        <f ca="1">IFERROR(__xludf.DUMMYFUNCTION("""COMPUTED_VALUE"""),"ISLA DE MAIPO")</f>
        <v>ISLA DE MAIPO</v>
      </c>
    </row>
    <row r="4655" spans="1:4">
      <c r="A4655" s="7">
        <f ca="1">IFERROR(__xludf.DUMMYFUNCTION("""COMPUTED_VALUE"""),44428)</f>
        <v>44428</v>
      </c>
      <c r="B4655" s="8" t="str">
        <f ca="1">IFERROR(__xludf.DUMMYFUNCTION("""COMPUTED_VALUE"""),"-33.740979-70.863924")</f>
        <v>-33.740979-70.863924</v>
      </c>
      <c r="C4655" s="6" t="str">
        <f ca="1">IFERROR(__xludf.DUMMYFUNCTION("""COMPUTED_VALUE"""),"HERMOSA 161")</f>
        <v>HERMOSA 161</v>
      </c>
      <c r="D4655" s="6" t="str">
        <f ca="1">IFERROR(__xludf.DUMMYFUNCTION("""COMPUTED_VALUE"""),"ISLA DE MAIPO")</f>
        <v>ISLA DE MAIPO</v>
      </c>
    </row>
    <row r="4656" spans="1:4">
      <c r="A4656" s="7">
        <f ca="1">IFERROR(__xludf.DUMMYFUNCTION("""COMPUTED_VALUE"""),44428)</f>
        <v>44428</v>
      </c>
      <c r="B4656" s="8" t="str">
        <f ca="1">IFERROR(__xludf.DUMMYFUNCTION("""COMPUTED_VALUE"""),"-33.744165,-70.900561")</f>
        <v>-33.744165,-70.900561</v>
      </c>
      <c r="C4656" s="6" t="str">
        <f ca="1">IFERROR(__xludf.DUMMYFUNCTION("""COMPUTED_VALUE"""),"LOS CONQUISTADORES 672")</f>
        <v>LOS CONQUISTADORES 672</v>
      </c>
      <c r="D4656" s="6" t="str">
        <f ca="1">IFERROR(__xludf.DUMMYFUNCTION("""COMPUTED_VALUE"""),"ISLA DE MAIPO")</f>
        <v>ISLA DE MAIPO</v>
      </c>
    </row>
    <row r="4657" spans="1:4">
      <c r="A4657" s="7">
        <f ca="1">IFERROR(__xludf.DUMMYFUNCTION("""COMPUTED_VALUE"""),44428)</f>
        <v>44428</v>
      </c>
      <c r="B4657" s="8" t="str">
        <f ca="1">IFERROR(__xludf.DUMMYFUNCTION("""COMPUTED_VALUE"""),"-33.710324,-70.854706")</f>
        <v>-33.710324,-70.854706</v>
      </c>
      <c r="C4657" s="6" t="str">
        <f ca="1">IFERROR(__xludf.DUMMYFUNCTION("""COMPUTED_VALUE"""),"VICTOR JARA 41")</f>
        <v>VICTOR JARA 41</v>
      </c>
      <c r="D4657" s="6" t="str">
        <f ca="1">IFERROR(__xludf.DUMMYFUNCTION("""COMPUTED_VALUE"""),"TALAGANTE")</f>
        <v>TALAGANTE</v>
      </c>
    </row>
    <row r="4658" spans="1:4">
      <c r="A4658" s="7">
        <f ca="1">IFERROR(__xludf.DUMMYFUNCTION("""COMPUTED_VALUE"""),44428)</f>
        <v>44428</v>
      </c>
      <c r="B4658" s="6" t="str">
        <f ca="1">IFERROR(__xludf.DUMMYFUNCTION("""COMPUTED_VALUE"""),"-33.382819-71.127255")</f>
        <v>-33.382819-71.127255</v>
      </c>
      <c r="C4658" s="6" t="str">
        <f ca="1">IFERROR(__xludf.DUMMYFUNCTION("""COMPUTED_VALUE"""),"CUYUNCAVI ABAJO P-188")</f>
        <v>CUYUNCAVI ABAJO P-188</v>
      </c>
      <c r="D4658" s="6" t="str">
        <f ca="1">IFERROR(__xludf.DUMMYFUNCTION("""COMPUTED_VALUE"""),"CURACAVI")</f>
        <v>CURACAVI</v>
      </c>
    </row>
    <row r="4659" spans="1:4">
      <c r="A4659" s="7">
        <f ca="1">IFERROR(__xludf.DUMMYFUNCTION("""COMPUTED_VALUE"""),44428)</f>
        <v>44428</v>
      </c>
      <c r="B4659" s="6" t="str">
        <f ca="1">IFERROR(__xludf.DUMMYFUNCTION("""COMPUTED_VALUE"""),"-33.684946,-71.023784")</f>
        <v>-33.684946,-71.023784</v>
      </c>
      <c r="C4659" s="6" t="str">
        <f ca="1">IFERROR(__xludf.DUMMYFUNCTION("""COMPUTED_VALUE"""),"LOS CASTAÑOS 197")</f>
        <v>LOS CASTAÑOS 197</v>
      </c>
      <c r="D4659" s="6" t="str">
        <f ca="1">IFERROR(__xludf.DUMMYFUNCTION("""COMPUTED_VALUE"""),"EL MONTE")</f>
        <v>EL MONTE</v>
      </c>
    </row>
    <row r="4660" spans="1:4">
      <c r="A4660" s="7">
        <f ca="1">IFERROR(__xludf.DUMMYFUNCTION("""COMPUTED_VALUE"""),44428)</f>
        <v>44428</v>
      </c>
      <c r="B4660" s="6" t="str">
        <f ca="1">IFERROR(__xludf.DUMMYFUNCTION("""COMPUTED_VALUE"""),"-33.790802,-71.2779833")</f>
        <v>-33.790802,-71.2779833</v>
      </c>
      <c r="C4660" s="6" t="str">
        <f ca="1">IFERROR(__xludf.DUMMYFUNCTION("""COMPUTED_VALUE"""),"CULIPRAN 274 -B ")</f>
        <v xml:space="preserve">CULIPRAN 274 -B </v>
      </c>
      <c r="D4660" s="6" t="str">
        <f ca="1">IFERROR(__xludf.DUMMYFUNCTION("""COMPUTED_VALUE"""),"MELIPILLA")</f>
        <v>MELIPILLA</v>
      </c>
    </row>
    <row r="4661" spans="1:4">
      <c r="A4661" s="7">
        <f ca="1">IFERROR(__xludf.DUMMYFUNCTION("""COMPUTED_VALUE"""),44428)</f>
        <v>44428</v>
      </c>
      <c r="B4661" s="8" t="str">
        <f ca="1">IFERROR(__xludf.DUMMYFUNCTION("""COMPUTED_VALUE"""),"-33.672165,-70.939247")</f>
        <v>-33.672165,-70.939247</v>
      </c>
      <c r="C4661" s="6" t="str">
        <f ca="1">IFERROR(__xludf.DUMMYFUNCTION("""COMPUTED_VALUE"""),"JOSE BRANCOLI 933")</f>
        <v>JOSE BRANCOLI 933</v>
      </c>
      <c r="D4661" s="6" t="str">
        <f ca="1">IFERROR(__xludf.DUMMYFUNCTION("""COMPUTED_VALUE"""),"TALAGANTE")</f>
        <v>TALAGANTE</v>
      </c>
    </row>
    <row r="4662" spans="1:4">
      <c r="A4662" s="7">
        <f ca="1">IFERROR(__xludf.DUMMYFUNCTION("""COMPUTED_VALUE"""),44428)</f>
        <v>44428</v>
      </c>
      <c r="B4662" s="8" t="str">
        <f ca="1">IFERROR(__xludf.DUMMYFUNCTION("""COMPUTED_VALUE"""),"-33.694846,-70.858263")</f>
        <v>-33.694846,-70.858263</v>
      </c>
      <c r="C4662" s="6" t="str">
        <f ca="1">IFERROR(__xludf.DUMMYFUNCTION("""COMPUTED_VALUE"""),"CAMINO LOS PARRO C15")</f>
        <v>CAMINO LOS PARRO C15</v>
      </c>
      <c r="D4662" s="6" t="str">
        <f ca="1">IFERROR(__xludf.DUMMYFUNCTION("""COMPUTED_VALUE"""),"TALAGANTE")</f>
        <v>TALAGANTE</v>
      </c>
    </row>
    <row r="4663" spans="1:4">
      <c r="A4663" s="7">
        <f ca="1">IFERROR(__xludf.DUMMYFUNCTION("""COMPUTED_VALUE"""),44428)</f>
        <v>44428</v>
      </c>
      <c r="B4663" s="6" t="str">
        <f ca="1">IFERROR(__xludf.DUMMYFUNCTION("""COMPUTED_VALUE"""),"-33.035404-71.478002")</f>
        <v>-33.035404-71.478002</v>
      </c>
      <c r="C4663" s="6" t="str">
        <f ca="1">IFERROR(__xludf.DUMMYFUNCTION("""COMPUTED_VALUE"""),"JARDIN P HONDO 593  A-4")</f>
        <v>JARDIN P HONDO 593  A-4</v>
      </c>
      <c r="D4663" s="6" t="str">
        <f ca="1">IFERROR(__xludf.DUMMYFUNCTION("""COMPUTED_VALUE"""),"QUILPUÉ")</f>
        <v>QUILPUÉ</v>
      </c>
    </row>
    <row r="4664" spans="1:4">
      <c r="A4664" s="7">
        <f ca="1">IFERROR(__xludf.DUMMYFUNCTION("""COMPUTED_VALUE"""),44428)</f>
        <v>44428</v>
      </c>
      <c r="B4664" s="6" t="str">
        <f ca="1">IFERROR(__xludf.DUMMYFUNCTION("""COMPUTED_VALUE"""),"-33.055635-71.424511")</f>
        <v>-33.055635-71.424511</v>
      </c>
      <c r="C4664" s="6" t="str">
        <f ca="1">IFERROR(__xludf.DUMMYFUNCTION("""COMPUTED_VALUE"""),"LAS HORTENCIAS 1443")</f>
        <v>LAS HORTENCIAS 1443</v>
      </c>
      <c r="D4664" s="6" t="str">
        <f ca="1">IFERROR(__xludf.DUMMYFUNCTION("""COMPUTED_VALUE"""),"QUILPUÉ")</f>
        <v>QUILPUÉ</v>
      </c>
    </row>
    <row r="4665" spans="1:4">
      <c r="A4665" s="7">
        <f ca="1">IFERROR(__xludf.DUMMYFUNCTION("""COMPUTED_VALUE"""),44429)</f>
        <v>44429</v>
      </c>
      <c r="B4665" s="6" t="str">
        <f ca="1">IFERROR(__xludf.DUMMYFUNCTION("""COMPUTED_VALUE"""),"-33.568518,-71.153862")</f>
        <v>-33.568518,-71.153862</v>
      </c>
      <c r="C4665" s="6" t="str">
        <f ca="1">IFERROR(__xludf.DUMMYFUNCTION("""COMPUTED_VALUE"""),"PARC. 42 SAN RAMON")</f>
        <v>PARC. 42 SAN RAMON</v>
      </c>
      <c r="D4665" s="6" t="str">
        <f ca="1">IFERROR(__xludf.DUMMYFUNCTION("""COMPUTED_VALUE"""),"MELIPILLA")</f>
        <v>MELIPILLA</v>
      </c>
    </row>
    <row r="4666" spans="1:4">
      <c r="A4666" s="7">
        <f ca="1">IFERROR(__xludf.DUMMYFUNCTION("""COMPUTED_VALUE"""),44431)</f>
        <v>44431</v>
      </c>
      <c r="B4666" s="8" t="str">
        <f ca="1">IFERROR(__xludf.DUMMYFUNCTION("""COMPUTED_VALUE"""),"-33.733282,-70.865273")</f>
        <v>-33.733282,-70.865273</v>
      </c>
      <c r="C4666" s="6" t="str">
        <f ca="1">IFERROR(__xludf.DUMMYFUNCTION("""COMPUTED_VALUE"""),"ENRIQUE ALCALDE 492")</f>
        <v>ENRIQUE ALCALDE 492</v>
      </c>
      <c r="D4666" s="6" t="str">
        <f ca="1">IFERROR(__xludf.DUMMYFUNCTION("""COMPUTED_VALUE"""),"ISLA DE MAIPO")</f>
        <v>ISLA DE MAIPO</v>
      </c>
    </row>
    <row r="4667" spans="1:4">
      <c r="A4667" s="7">
        <f ca="1">IFERROR(__xludf.DUMMYFUNCTION("""COMPUTED_VALUE"""),44431)</f>
        <v>44431</v>
      </c>
      <c r="B4667" s="8" t="str">
        <f ca="1">IFERROR(__xludf.DUMMYFUNCTION("""COMPUTED_VALUE"""),"-33.735884,-70.913405")</f>
        <v>-33.735884,-70.913405</v>
      </c>
      <c r="C4667" s="6" t="str">
        <f ca="1">IFERROR(__xludf.DUMMYFUNCTION("""COMPUTED_VALUE"""),"SAN LUIS 37")</f>
        <v>SAN LUIS 37</v>
      </c>
      <c r="D4667" s="6" t="str">
        <f ca="1">IFERROR(__xludf.DUMMYFUNCTION("""COMPUTED_VALUE"""),"ISLA DE MAIPO")</f>
        <v>ISLA DE MAIPO</v>
      </c>
    </row>
    <row r="4668" spans="1:4">
      <c r="A4668" s="7">
        <f ca="1">IFERROR(__xludf.DUMMYFUNCTION("""COMPUTED_VALUE"""),44431)</f>
        <v>44431</v>
      </c>
      <c r="B4668" s="8" t="str">
        <f ca="1">IFERROR(__xludf.DUMMYFUNCTION("""COMPUTED_VALUE"""),"-33.738874,-70.864116")</f>
        <v>-33.738874,-70.864116</v>
      </c>
      <c r="C4668" s="6" t="str">
        <f ca="1">IFERROR(__xludf.DUMMYFUNCTION("""COMPUTED_VALUE"""),"ALBORADA 188")</f>
        <v>ALBORADA 188</v>
      </c>
      <c r="D4668" s="6" t="str">
        <f ca="1">IFERROR(__xludf.DUMMYFUNCTION("""COMPUTED_VALUE"""),"ISLA DE MAIPO")</f>
        <v>ISLA DE MAIPO</v>
      </c>
    </row>
    <row r="4669" spans="1:4">
      <c r="A4669" s="7">
        <f ca="1">IFERROR(__xludf.DUMMYFUNCTION("""COMPUTED_VALUE"""),44431)</f>
        <v>44431</v>
      </c>
      <c r="B4669" s="6" t="str">
        <f ca="1">IFERROR(__xludf.DUMMYFUNCTION("""COMPUTED_VALUE"""),"-33.3909144-71.1242308")</f>
        <v>-33.3909144-71.1242308</v>
      </c>
      <c r="C4669" s="6" t="str">
        <f ca="1">IFERROR(__xludf.DUMMYFUNCTION("""COMPUTED_VALUE"""),"LOS ESPINOS 1124")</f>
        <v>LOS ESPINOS 1124</v>
      </c>
      <c r="D4669" s="6" t="str">
        <f ca="1">IFERROR(__xludf.DUMMYFUNCTION("""COMPUTED_VALUE"""),"CURACAVI")</f>
        <v>CURACAVI</v>
      </c>
    </row>
    <row r="4670" spans="1:4">
      <c r="A4670" s="7">
        <f ca="1">IFERROR(__xludf.DUMMYFUNCTION("""COMPUTED_VALUE"""),44431)</f>
        <v>44431</v>
      </c>
      <c r="B4670" s="6" t="str">
        <f ca="1">IFERROR(__xludf.DUMMYFUNCTION("""COMPUTED_VALUE"""),"-33.4072297-71.1291182")</f>
        <v>-33.4072297-71.1291182</v>
      </c>
      <c r="C4670" s="6" t="str">
        <f ca="1">IFERROR(__xludf.DUMMYFUNCTION("""COMPUTED_VALUE"""),"PJE SAN JOSE DE LA DEHESA 154")</f>
        <v>PJE SAN JOSE DE LA DEHESA 154</v>
      </c>
      <c r="D4670" s="6" t="str">
        <f ca="1">IFERROR(__xludf.DUMMYFUNCTION("""COMPUTED_VALUE"""),"CURACAVI")</f>
        <v>CURACAVI</v>
      </c>
    </row>
    <row r="4671" spans="1:4">
      <c r="A4671" s="7">
        <f ca="1">IFERROR(__xludf.DUMMYFUNCTION("""COMPUTED_VALUE"""),44431)</f>
        <v>44431</v>
      </c>
      <c r="B4671" s="6" t="str">
        <f ca="1">IFERROR(__xludf.DUMMYFUNCTION("""COMPUTED_VALUE"""),"-33.373243-71.136313")</f>
        <v>-33.373243-71.136313</v>
      </c>
      <c r="C4671" s="6" t="str">
        <f ca="1">IFERROR(__xludf.DUMMYFUNCTION("""COMPUTED_VALUE"""),"LOS MAQUIS PARCELA 47")</f>
        <v>LOS MAQUIS PARCELA 47</v>
      </c>
      <c r="D4671" s="6" t="str">
        <f ca="1">IFERROR(__xludf.DUMMYFUNCTION("""COMPUTED_VALUE"""),"CURACAVI")</f>
        <v>CURACAVI</v>
      </c>
    </row>
    <row r="4672" spans="1:4">
      <c r="A4672" s="7">
        <f ca="1">IFERROR(__xludf.DUMMYFUNCTION("""COMPUTED_VALUE"""),44431)</f>
        <v>44431</v>
      </c>
      <c r="B4672" s="6" t="str">
        <f ca="1">IFERROR(__xludf.DUMMYFUNCTION("""COMPUTED_VALUE"""),"-33.898841,-71.451761")</f>
        <v>-33.898841,-71.451761</v>
      </c>
      <c r="C4672" s="6" t="str">
        <f ca="1">IFERROR(__xludf.DUMMYFUNCTION("""COMPUTED_VALUE"""),"HERMOSILLA  S/N SAN PEDRO ")</f>
        <v xml:space="preserve">HERMOSILLA  S/N SAN PEDRO </v>
      </c>
      <c r="D4672" s="6" t="str">
        <f ca="1">IFERROR(__xludf.DUMMYFUNCTION("""COMPUTED_VALUE"""),"SAN PEDRO")</f>
        <v>SAN PEDRO</v>
      </c>
    </row>
    <row r="4673" spans="1:4">
      <c r="A4673" s="7">
        <f ca="1">IFERROR(__xludf.DUMMYFUNCTION("""COMPUTED_VALUE"""),44431)</f>
        <v>44431</v>
      </c>
      <c r="B4673" s="6" t="str">
        <f ca="1">IFERROR(__xludf.DUMMYFUNCTION("""COMPUTED_VALUE"""),"-33.768757,-71.269287")</f>
        <v>-33.768757,-71.269287</v>
      </c>
      <c r="C4673" s="6" t="str">
        <f ca="1">IFERROR(__xludf.DUMMYFUNCTION("""COMPUTED_VALUE"""),"EUROPA ORIENTE S/N ")</f>
        <v xml:space="preserve">EUROPA ORIENTE S/N </v>
      </c>
      <c r="D4673" s="6" t="str">
        <f ca="1">IFERROR(__xludf.DUMMYFUNCTION("""COMPUTED_VALUE"""),"MELIPILLA")</f>
        <v>MELIPILLA</v>
      </c>
    </row>
    <row r="4674" spans="1:4">
      <c r="A4674" s="7">
        <f ca="1">IFERROR(__xludf.DUMMYFUNCTION("""COMPUTED_VALUE"""),44431)</f>
        <v>44431</v>
      </c>
      <c r="B4674" s="8" t="str">
        <f ca="1">IFERROR(__xludf.DUMMYFUNCTION("""COMPUTED_VALUE"""),"-33.665857,-70.919694")</f>
        <v>-33.665857,-70.919694</v>
      </c>
      <c r="C4674" s="6" t="str">
        <f ca="1">IFERROR(__xludf.DUMMYFUNCTION("""COMPUTED_VALUE"""),"DIEZ 1346")</f>
        <v>DIEZ 1346</v>
      </c>
      <c r="D4674" s="6" t="str">
        <f ca="1">IFERROR(__xludf.DUMMYFUNCTION("""COMPUTED_VALUE"""),"TALAGANTE")</f>
        <v>TALAGANTE</v>
      </c>
    </row>
    <row r="4675" spans="1:4">
      <c r="A4675" s="7">
        <f ca="1">IFERROR(__xludf.DUMMYFUNCTION("""COMPUTED_VALUE"""),44432)</f>
        <v>44432</v>
      </c>
      <c r="B4675" s="8" t="str">
        <f ca="1">IFERROR(__xludf.DUMMYFUNCTION("""COMPUTED_VALUE"""),"-33.744843,-70.898339")</f>
        <v>-33.744843,-70.898339</v>
      </c>
      <c r="C4675" s="6" t="str">
        <f ca="1">IFERROR(__xludf.DUMMYFUNCTION("""COMPUTED_VALUE"""),"LOS PENSAMIENTOS 1391")</f>
        <v>LOS PENSAMIENTOS 1391</v>
      </c>
      <c r="D4675" s="6" t="str">
        <f ca="1">IFERROR(__xludf.DUMMYFUNCTION("""COMPUTED_VALUE"""),"ISLA DE MAIPO")</f>
        <v>ISLA DE MAIPO</v>
      </c>
    </row>
    <row r="4676" spans="1:4">
      <c r="A4676" s="7">
        <f ca="1">IFERROR(__xludf.DUMMYFUNCTION("""COMPUTED_VALUE"""),44432)</f>
        <v>44432</v>
      </c>
      <c r="B4676" s="8" t="str">
        <f ca="1">IFERROR(__xludf.DUMMYFUNCTION("""COMPUTED_VALUE"""),"-33.736027,-70.862505")</f>
        <v>-33.736027,-70.862505</v>
      </c>
      <c r="C4676" s="6" t="str">
        <f ca="1">IFERROR(__xludf.DUMMYFUNCTION("""COMPUTED_VALUE"""),"RIO MAIPO 4383")</f>
        <v>RIO MAIPO 4383</v>
      </c>
      <c r="D4676" s="6" t="str">
        <f ca="1">IFERROR(__xludf.DUMMYFUNCTION("""COMPUTED_VALUE"""),"ISLA DE MAIPO")</f>
        <v>ISLA DE MAIPO</v>
      </c>
    </row>
    <row r="4677" spans="1:4">
      <c r="A4677" s="7">
        <f ca="1">IFERROR(__xludf.DUMMYFUNCTION("""COMPUTED_VALUE"""),44432)</f>
        <v>44432</v>
      </c>
      <c r="B4677" s="8" t="str">
        <f ca="1">IFERROR(__xludf.DUMMYFUNCTION("""COMPUTED_VALUE"""),"-33.733628,-70.865697")</f>
        <v>-33.733628,-70.865697</v>
      </c>
      <c r="C4677" s="6" t="str">
        <f ca="1">IFERROR(__xludf.DUMMYFUNCTION("""COMPUTED_VALUE"""),"PJE EL SAUCE 4456 ")</f>
        <v xml:space="preserve">PJE EL SAUCE 4456 </v>
      </c>
      <c r="D4677" s="6" t="str">
        <f ca="1">IFERROR(__xludf.DUMMYFUNCTION("""COMPUTED_VALUE"""),"ISLA DE MAIPO")</f>
        <v>ISLA DE MAIPO</v>
      </c>
    </row>
    <row r="4678" spans="1:4">
      <c r="A4678" s="7">
        <f ca="1">IFERROR(__xludf.DUMMYFUNCTION("""COMPUTED_VALUE"""),44432)</f>
        <v>44432</v>
      </c>
      <c r="B4678" s="8" t="str">
        <f ca="1">IFERROR(__xludf.DUMMYFUNCTION("""COMPUTED_VALUE"""),"-33.744339,-70.900283")</f>
        <v>-33.744339,-70.900283</v>
      </c>
      <c r="C4678" s="6" t="str">
        <f ca="1">IFERROR(__xludf.DUMMYFUNCTION("""COMPUTED_VALUE"""),"EL COLONIAL 281")</f>
        <v>EL COLONIAL 281</v>
      </c>
      <c r="D4678" s="6" t="str">
        <f ca="1">IFERROR(__xludf.DUMMYFUNCTION("""COMPUTED_VALUE"""),"ISLA DE MAIPO")</f>
        <v>ISLA DE MAIPO</v>
      </c>
    </row>
    <row r="4679" spans="1:4">
      <c r="A4679" s="7">
        <f ca="1">IFERROR(__xludf.DUMMYFUNCTION("""COMPUTED_VALUE"""),44432)</f>
        <v>44432</v>
      </c>
      <c r="B4679" s="8" t="str">
        <f ca="1">IFERROR(__xludf.DUMMYFUNCTION("""COMPUTED_VALUE"""),"-33.734169,-70.866279")</f>
        <v>-33.734169,-70.866279</v>
      </c>
      <c r="C4679" s="6" t="str">
        <f ca="1">IFERROR(__xludf.DUMMYFUNCTION("""COMPUTED_VALUE"""),"PJE ESTEREO GALILUA")</f>
        <v>PJE ESTEREO GALILUA</v>
      </c>
      <c r="D4679" s="6" t="str">
        <f ca="1">IFERROR(__xludf.DUMMYFUNCTION("""COMPUTED_VALUE"""),"ISLA DE MAIPO")</f>
        <v>ISLA DE MAIPO</v>
      </c>
    </row>
    <row r="4680" spans="1:4">
      <c r="A4680" s="7">
        <f ca="1">IFERROR(__xludf.DUMMYFUNCTION("""COMPUTED_VALUE"""),44432)</f>
        <v>44432</v>
      </c>
      <c r="B4680" s="6" t="str">
        <f ca="1">IFERROR(__xludf.DUMMYFUNCTION("""COMPUTED_VALUE"""),"-33.584610-70.810077")</f>
        <v>-33.584610-70.810077</v>
      </c>
      <c r="C4680" s="6" t="str">
        <f ca="1">IFERROR(__xludf.DUMMYFUNCTION("""COMPUTED_VALUE"""),"SAN IGNACIO 52")</f>
        <v>SAN IGNACIO 52</v>
      </c>
      <c r="D4680" s="6" t="str">
        <f ca="1">IFERROR(__xludf.DUMMYFUNCTION("""COMPUTED_VALUE"""),"PADRE HURTADO")</f>
        <v>PADRE HURTADO</v>
      </c>
    </row>
    <row r="4681" spans="1:4">
      <c r="A4681" s="7">
        <f ca="1">IFERROR(__xludf.DUMMYFUNCTION("""COMPUTED_VALUE"""),44432)</f>
        <v>44432</v>
      </c>
      <c r="B4681" s="6" t="str">
        <f ca="1">IFERROR(__xludf.DUMMYFUNCTION("""COMPUTED_VALUE"""),"-33.37732-71.10721")</f>
        <v>-33.37732-71.10721</v>
      </c>
      <c r="C4681" s="6" t="str">
        <f ca="1">IFERROR(__xludf.DUMMYFUNCTION("""COMPUTED_VALUE"""),"FUNDO CUYUNCAVI S/N LOTE 61")</f>
        <v>FUNDO CUYUNCAVI S/N LOTE 61</v>
      </c>
      <c r="D4681" s="6" t="str">
        <f ca="1">IFERROR(__xludf.DUMMYFUNCTION("""COMPUTED_VALUE"""),"CURACAVI")</f>
        <v>CURACAVI</v>
      </c>
    </row>
    <row r="4682" spans="1:4">
      <c r="A4682" s="7">
        <f ca="1">IFERROR(__xludf.DUMMYFUNCTION("""COMPUTED_VALUE"""),44432)</f>
        <v>44432</v>
      </c>
      <c r="B4682" s="6" t="str">
        <f ca="1">IFERROR(__xludf.DUMMYFUNCTION("""COMPUTED_VALUE"""),"-33.499841,-71.000725")</f>
        <v>-33.499841,-71.000725</v>
      </c>
      <c r="C4682" s="6" t="str">
        <f ca="1">IFERROR(__xludf.DUMMYFUNCTION("""COMPUTED_VALUE"""),"LA PATAQUILLA 47")</f>
        <v>LA PATAQUILLA 47</v>
      </c>
      <c r="D4682" s="6" t="str">
        <f ca="1">IFERROR(__xludf.DUMMYFUNCTION("""COMPUTED_VALUE"""),"CURACAVI")</f>
        <v>CURACAVI</v>
      </c>
    </row>
    <row r="4683" spans="1:4">
      <c r="A4683" s="7">
        <f ca="1">IFERROR(__xludf.DUMMYFUNCTION("""COMPUTED_VALUE"""),44432)</f>
        <v>44432</v>
      </c>
      <c r="B4683" s="8" t="str">
        <f ca="1">IFERROR(__xludf.DUMMYFUNCTION("""COMPUTED_VALUE"""),"-33.240463,-70.680933")</f>
        <v>-33.240463,-70.680933</v>
      </c>
      <c r="C4683" s="6" t="str">
        <f ca="1">IFERROR(__xludf.DUMMYFUNCTION("""COMPUTED_VALUE"""),"PARRONAL 1220")</f>
        <v>PARRONAL 1220</v>
      </c>
      <c r="D4683" s="6" t="str">
        <f ca="1">IFERROR(__xludf.DUMMYFUNCTION("""COMPUTED_VALUE"""),"COLINA")</f>
        <v>COLINA</v>
      </c>
    </row>
    <row r="4684" spans="1:4">
      <c r="A4684" s="7">
        <f ca="1">IFERROR(__xludf.DUMMYFUNCTION("""COMPUTED_VALUE"""),44433)</f>
        <v>44433</v>
      </c>
      <c r="B4684" s="8" t="str">
        <f ca="1">IFERROR(__xludf.DUMMYFUNCTION("""COMPUTED_VALUE"""),"-33.748763,-70.865255")</f>
        <v>-33.748763,-70.865255</v>
      </c>
      <c r="C4684" s="6" t="str">
        <f ca="1">IFERROR(__xludf.DUMMYFUNCTION("""COMPUTED_VALUE"""),"LAS TORTOLAS 116")</f>
        <v>LAS TORTOLAS 116</v>
      </c>
      <c r="D4684" s="6" t="str">
        <f ca="1">IFERROR(__xludf.DUMMYFUNCTION("""COMPUTED_VALUE"""),"ISLA DE MAIPO")</f>
        <v>ISLA DE MAIPO</v>
      </c>
    </row>
    <row r="4685" spans="1:4">
      <c r="A4685" s="7">
        <f ca="1">IFERROR(__xludf.DUMMYFUNCTION("""COMPUTED_VALUE"""),44433)</f>
        <v>44433</v>
      </c>
      <c r="B4685" s="8" t="str">
        <f ca="1">IFERROR(__xludf.DUMMYFUNCTION("""COMPUTED_VALUE"""),"-33.7342213, -70.86620")</f>
        <v>-33.7342213, -70.86620</v>
      </c>
      <c r="C4685" s="6" t="str">
        <f ca="1">IFERROR(__xludf.DUMMYFUNCTION("""COMPUTED_VALUE"""),"estero gacitua 726,")</f>
        <v>estero gacitua 726,</v>
      </c>
      <c r="D4685" s="6" t="str">
        <f ca="1">IFERROR(__xludf.DUMMYFUNCTION("""COMPUTED_VALUE"""),"ISLA DE MAIPO")</f>
        <v>ISLA DE MAIPO</v>
      </c>
    </row>
    <row r="4686" spans="1:4">
      <c r="A4686" s="7">
        <f ca="1">IFERROR(__xludf.DUMMYFUNCTION("""COMPUTED_VALUE"""),44433)</f>
        <v>44433</v>
      </c>
      <c r="B4686" s="8" t="str">
        <f ca="1">IFERROR(__xludf.DUMMYFUNCTION("""COMPUTED_VALUE"""),"-33.738874,-70.864348")</f>
        <v>-33.738874,-70.864348</v>
      </c>
      <c r="C4686" s="6" t="str">
        <f ca="1">IFERROR(__xludf.DUMMYFUNCTION("""COMPUTED_VALUE"""),"ALBORADA 188")</f>
        <v>ALBORADA 188</v>
      </c>
      <c r="D4686" s="6" t="str">
        <f ca="1">IFERROR(__xludf.DUMMYFUNCTION("""COMPUTED_VALUE"""),"ISLA DE MAIPO")</f>
        <v>ISLA DE MAIPO</v>
      </c>
    </row>
    <row r="4687" spans="1:4">
      <c r="A4687" s="7">
        <f ca="1">IFERROR(__xludf.DUMMYFUNCTION("""COMPUTED_VALUE"""),44433)</f>
        <v>44433</v>
      </c>
      <c r="B4687" s="8" t="str">
        <f ca="1">IFERROR(__xludf.DUMMYFUNCTION("""COMPUTED_VALUE"""),"-33.735825,-70.861593")</f>
        <v>-33.735825,-70.861593</v>
      </c>
      <c r="C4687" s="6" t="str">
        <f ca="1">IFERROR(__xludf.DUMMYFUNCTION("""COMPUTED_VALUE"""),"EL MAITEN 234")</f>
        <v>EL MAITEN 234</v>
      </c>
      <c r="D4687" s="6" t="str">
        <f ca="1">IFERROR(__xludf.DUMMYFUNCTION("""COMPUTED_VALUE"""),"ISLA DE MAIPO")</f>
        <v>ISLA DE MAIPO</v>
      </c>
    </row>
    <row r="4688" spans="1:4">
      <c r="A4688" s="7">
        <f ca="1">IFERROR(__xludf.DUMMYFUNCTION("""COMPUTED_VALUE"""),44433)</f>
        <v>44433</v>
      </c>
      <c r="B4688" s="6" t="str">
        <f ca="1">IFERROR(__xludf.DUMMYFUNCTION("""COMPUTED_VALUE"""),"-33.372204-71.137727")</f>
        <v>-33.372204-71.137727</v>
      </c>
      <c r="C4688" s="6" t="str">
        <f ca="1">IFERROR(__xludf.DUMMYFUNCTION("""COMPUTED_VALUE"""),"HIJUELA DEL CAMPO S/N")</f>
        <v>HIJUELA DEL CAMPO S/N</v>
      </c>
      <c r="D4688" s="6" t="str">
        <f ca="1">IFERROR(__xludf.DUMMYFUNCTION("""COMPUTED_VALUE"""),"CURACAVI")</f>
        <v>CURACAVI</v>
      </c>
    </row>
    <row r="4689" spans="1:4">
      <c r="A4689" s="7">
        <f ca="1">IFERROR(__xludf.DUMMYFUNCTION("""COMPUTED_VALUE"""),44433)</f>
        <v>44433</v>
      </c>
      <c r="B4689" s="6" t="str">
        <f ca="1">IFERROR(__xludf.DUMMYFUNCTION("""COMPUTED_VALUE"""),"-33.405216-71.127729")</f>
        <v>-33.405216-71.127729</v>
      </c>
      <c r="C4689" s="6" t="str">
        <f ca="1">IFERROR(__xludf.DUMMYFUNCTION("""COMPUTED_VALUE"""),"LEPE 67")</f>
        <v>LEPE 67</v>
      </c>
      <c r="D4689" s="6" t="str">
        <f ca="1">IFERROR(__xludf.DUMMYFUNCTION("""COMPUTED_VALUE"""),"CURACAVI")</f>
        <v>CURACAVI</v>
      </c>
    </row>
    <row r="4690" spans="1:4">
      <c r="A4690" s="7">
        <f ca="1">IFERROR(__xludf.DUMMYFUNCTION("""COMPUTED_VALUE"""),44433)</f>
        <v>44433</v>
      </c>
      <c r="B4690" s="6" t="str">
        <f ca="1">IFERROR(__xludf.DUMMYFUNCTION("""COMPUTED_VALUE"""),"-33.798301-70.766921")</f>
        <v>-33.798301-70.766921</v>
      </c>
      <c r="C4690" s="6" t="str">
        <f ca="1">IFERROR(__xludf.DUMMYFUNCTION("""COMPUTED_VALUE"""),"LAS DELICIAS 510")</f>
        <v>LAS DELICIAS 510</v>
      </c>
      <c r="D4690" s="6" t="str">
        <f ca="1">IFERROR(__xludf.DUMMYFUNCTION("""COMPUTED_VALUE"""),"BUIN")</f>
        <v>BUIN</v>
      </c>
    </row>
    <row r="4691" spans="1:4">
      <c r="A4691" s="7">
        <f ca="1">IFERROR(__xludf.DUMMYFUNCTION("""COMPUTED_VALUE"""),44433)</f>
        <v>44433</v>
      </c>
      <c r="B4691" s="6" t="str">
        <f ca="1">IFERROR(__xludf.DUMMYFUNCTION("""COMPUTED_VALUE"""),"-33.767920,-71.282316")</f>
        <v>-33.767920,-71.282316</v>
      </c>
      <c r="C4691" s="6" t="str">
        <f ca="1">IFERROR(__xludf.DUMMYFUNCTION("""COMPUTED_VALUE"""),"CO VECINAL S/N CV1 SAN MANUEL ")</f>
        <v xml:space="preserve">CO VECINAL S/N CV1 SAN MANUEL </v>
      </c>
      <c r="D4691" s="6" t="str">
        <f ca="1">IFERROR(__xludf.DUMMYFUNCTION("""COMPUTED_VALUE"""),"MELIPILLA")</f>
        <v>MELIPILLA</v>
      </c>
    </row>
    <row r="4692" spans="1:4">
      <c r="A4692" s="7">
        <f ca="1">IFERROR(__xludf.DUMMYFUNCTION("""COMPUTED_VALUE"""),44433)</f>
        <v>44433</v>
      </c>
      <c r="B4692" s="8" t="str">
        <f ca="1">IFERROR(__xludf.DUMMYFUNCTION("""COMPUTED_VALUE"""),"-33.692871,-70.939835")</f>
        <v>-33.692871,-70.939835</v>
      </c>
      <c r="C4692" s="6" t="str">
        <f ca="1">IFERROR(__xludf.DUMMYFUNCTION("""COMPUTED_VALUE"""),"JAIME GUZMAN ")</f>
        <v xml:space="preserve">JAIME GUZMAN </v>
      </c>
      <c r="D4692" s="6" t="str">
        <f ca="1">IFERROR(__xludf.DUMMYFUNCTION("""COMPUTED_VALUE"""),"TALAGANTE")</f>
        <v>TALAGANTE</v>
      </c>
    </row>
    <row r="4693" spans="1:4">
      <c r="A4693" s="7">
        <f ca="1">IFERROR(__xludf.DUMMYFUNCTION("""COMPUTED_VALUE"""),44433)</f>
        <v>44433</v>
      </c>
      <c r="B4693" s="8" t="str">
        <f ca="1">IFERROR(__xludf.DUMMYFUNCTION("""COMPUTED_VALUE"""),"-33.596378,-70.874046")</f>
        <v>-33.596378,-70.874046</v>
      </c>
      <c r="C4693" s="6" t="str">
        <f ca="1">IFERROR(__xludf.DUMMYFUNCTION("""COMPUTED_VALUE"""),"PAJARITOS 2164")</f>
        <v>PAJARITOS 2164</v>
      </c>
      <c r="D4693" s="6" t="str">
        <f ca="1">IFERROR(__xludf.DUMMYFUNCTION("""COMPUTED_VALUE"""),"PEÑAFLOR")</f>
        <v>PEÑAFLOR</v>
      </c>
    </row>
    <row r="4694" spans="1:4">
      <c r="A4694" s="7">
        <f ca="1">IFERROR(__xludf.DUMMYFUNCTION("""COMPUTED_VALUE"""),44434)</f>
        <v>44434</v>
      </c>
      <c r="B4694" s="8" t="str">
        <f ca="1">IFERROR(__xludf.DUMMYFUNCTION("""COMPUTED_VALUE"""),"-33.578157,-71.182276")</f>
        <v>-33.578157,-71.182276</v>
      </c>
      <c r="C4694" s="6" t="str">
        <f ca="1">IFERROR(__xludf.DUMMYFUNCTION("""COMPUTED_VALUE"""),"STA LUCIA L2")</f>
        <v>STA LUCIA L2</v>
      </c>
      <c r="D4694" s="6" t="str">
        <f ca="1">IFERROR(__xludf.DUMMYFUNCTION("""COMPUTED_VALUE"""),"MELIPILLA")</f>
        <v>MELIPILLA</v>
      </c>
    </row>
    <row r="4695" spans="1:4">
      <c r="A4695" s="7">
        <f ca="1">IFERROR(__xludf.DUMMYFUNCTION("""COMPUTED_VALUE"""),44434)</f>
        <v>44434</v>
      </c>
      <c r="B4695" s="8" t="str">
        <f ca="1">IFERROR(__xludf.DUMMYFUNCTION("""COMPUTED_VALUE"""),"-33.5767206,-70.183109")</f>
        <v>-33.5767206,-70.183109</v>
      </c>
      <c r="C4695" s="6" t="str">
        <f ca="1">IFERROR(__xludf.DUMMYFUNCTION("""COMPUTED_VALUE"""),"STA LUCIA ")</f>
        <v xml:space="preserve">STA LUCIA </v>
      </c>
      <c r="D4695" s="6" t="str">
        <f ca="1">IFERROR(__xludf.DUMMYFUNCTION("""COMPUTED_VALUE"""),"MELIPILLA")</f>
        <v>MELIPILLA</v>
      </c>
    </row>
    <row r="4696" spans="1:4">
      <c r="A4696" s="7">
        <f ca="1">IFERROR(__xludf.DUMMYFUNCTION("""COMPUTED_VALUE"""),44434)</f>
        <v>44434</v>
      </c>
      <c r="B4696" s="8" t="str">
        <f ca="1">IFERROR(__xludf.DUMMYFUNCTION("""COMPUTED_VALUE"""),"-33.743345,-70.869099")</f>
        <v>-33.743345,-70.869099</v>
      </c>
      <c r="C4696" s="6" t="str">
        <f ca="1">IFERROR(__xludf.DUMMYFUNCTION("""COMPUTED_VALUE"""),"MICHELLET BACHELET 400")</f>
        <v>MICHELLET BACHELET 400</v>
      </c>
      <c r="D4696" s="6" t="str">
        <f ca="1">IFERROR(__xludf.DUMMYFUNCTION("""COMPUTED_VALUE"""),"ISLA DE MAIPO")</f>
        <v>ISLA DE MAIPO</v>
      </c>
    </row>
    <row r="4697" spans="1:4">
      <c r="A4697" s="7">
        <f ca="1">IFERROR(__xludf.DUMMYFUNCTION("""COMPUTED_VALUE"""),44434)</f>
        <v>44434</v>
      </c>
      <c r="B4697" s="8" t="str">
        <f ca="1">IFERROR(__xludf.DUMMYFUNCTION("""COMPUTED_VALUE"""),"-33.7415541,-70.867876")</f>
        <v>-33.7415541,-70.867876</v>
      </c>
      <c r="C4697" s="6" t="str">
        <f ca="1">IFERROR(__xludf.DUMMYFUNCTION("""COMPUTED_VALUE"""),"VECINAL CONTRERAS 300")</f>
        <v>VECINAL CONTRERAS 300</v>
      </c>
      <c r="D4697" s="6" t="str">
        <f ca="1">IFERROR(__xludf.DUMMYFUNCTION("""COMPUTED_VALUE"""),"ISLA DE MAIPO")</f>
        <v>ISLA DE MAIPO</v>
      </c>
    </row>
    <row r="4698" spans="1:4">
      <c r="A4698" s="7">
        <f ca="1">IFERROR(__xludf.DUMMYFUNCTION("""COMPUTED_VALUE"""),44434)</f>
        <v>44434</v>
      </c>
      <c r="B4698" s="8" t="str">
        <f ca="1">IFERROR(__xludf.DUMMYFUNCTION("""COMPUTED_VALUE"""),"-33.7522413,-70.823318")</f>
        <v>-33.7522413,-70.823318</v>
      </c>
      <c r="C4698" s="6" t="str">
        <f ca="1">IFERROR(__xludf.DUMMYFUNCTION("""COMPUTED_VALUE"""),"LOS MUÑECOS 420 A")</f>
        <v>LOS MUÑECOS 420 A</v>
      </c>
      <c r="D4698" s="6" t="str">
        <f ca="1">IFERROR(__xludf.DUMMYFUNCTION("""COMPUTED_VALUE"""),"ISLA DE MAIPO")</f>
        <v>ISLA DE MAIPO</v>
      </c>
    </row>
    <row r="4699" spans="1:4">
      <c r="A4699" s="7">
        <f ca="1">IFERROR(__xludf.DUMMYFUNCTION("""COMPUTED_VALUE"""),44434)</f>
        <v>44434</v>
      </c>
      <c r="B4699" s="6" t="str">
        <f ca="1">IFERROR(__xludf.DUMMYFUNCTION("""COMPUTED_VALUE"""),"-33.51639-71.12331")</f>
        <v>-33.51639-71.12331</v>
      </c>
      <c r="C4699" s="6" t="str">
        <f ca="1">IFERROR(__xludf.DUMMYFUNCTION("""COMPUTED_VALUE"""),"ALCALDE EDUARDO GARAY 63")</f>
        <v>ALCALDE EDUARDO GARAY 63</v>
      </c>
      <c r="D4699" s="6" t="str">
        <f ca="1">IFERROR(__xludf.DUMMYFUNCTION("""COMPUTED_VALUE"""),"MARIA PINTO")</f>
        <v>MARIA PINTO</v>
      </c>
    </row>
    <row r="4700" spans="1:4">
      <c r="A4700" s="7">
        <f ca="1">IFERROR(__xludf.DUMMYFUNCTION("""COMPUTED_VALUE"""),44434)</f>
        <v>44434</v>
      </c>
      <c r="B4700" s="6" t="str">
        <f ca="1">IFERROR(__xludf.DUMMYFUNCTION("""COMPUTED_VALUE"""),"-33.52184-71.13949")</f>
        <v>-33.52184-71.13949</v>
      </c>
      <c r="C4700" s="6" t="str">
        <f ca="1">IFERROR(__xludf.DUMMYFUNCTION("""COMPUTED_VALUE"""),"BARACALDO S/N")</f>
        <v>BARACALDO S/N</v>
      </c>
      <c r="D4700" s="6" t="str">
        <f ca="1">IFERROR(__xludf.DUMMYFUNCTION("""COMPUTED_VALUE"""),"MARIA PINTO")</f>
        <v>MARIA PINTO</v>
      </c>
    </row>
    <row r="4701" spans="1:4">
      <c r="A4701" s="7">
        <f ca="1">IFERROR(__xludf.DUMMYFUNCTION("""COMPUTED_VALUE"""),44434)</f>
        <v>44434</v>
      </c>
      <c r="B4701" s="6" t="str">
        <f ca="1">IFERROR(__xludf.DUMMYFUNCTION("""COMPUTED_VALUE"""),"-33.52184-71.13949")</f>
        <v>-33.52184-71.13949</v>
      </c>
      <c r="C4701" s="6" t="str">
        <f ca="1">IFERROR(__xludf.DUMMYFUNCTION("""COMPUTED_VALUE"""),"BARACALDO S/N")</f>
        <v>BARACALDO S/N</v>
      </c>
      <c r="D4701" s="6" t="str">
        <f ca="1">IFERROR(__xludf.DUMMYFUNCTION("""COMPUTED_VALUE"""),"MARIA PINTO")</f>
        <v>MARIA PINTO</v>
      </c>
    </row>
    <row r="4702" spans="1:4">
      <c r="A4702" s="7">
        <f ca="1">IFERROR(__xludf.DUMMYFUNCTION("""COMPUTED_VALUE"""),44434)</f>
        <v>44434</v>
      </c>
      <c r="B4702" s="6" t="str">
        <f ca="1">IFERROR(__xludf.DUMMYFUNCTION("""COMPUTED_VALUE"""),"-33.893680,-71.456588")</f>
        <v>-33.893680,-71.456588</v>
      </c>
      <c r="C4702" s="6" t="str">
        <f ca="1">IFERROR(__xludf.DUMMYFUNCTION("""COMPUTED_VALUE"""),"HERMOSILLA  120")</f>
        <v>HERMOSILLA  120</v>
      </c>
      <c r="D4702" s="6" t="str">
        <f ca="1">IFERROR(__xludf.DUMMYFUNCTION("""COMPUTED_VALUE"""),"SAN PEDRO")</f>
        <v>SAN PEDRO</v>
      </c>
    </row>
    <row r="4703" spans="1:4">
      <c r="A4703" s="7">
        <f ca="1">IFERROR(__xludf.DUMMYFUNCTION("""COMPUTED_VALUE"""),44434)</f>
        <v>44434</v>
      </c>
      <c r="B4703" s="6" t="str">
        <f ca="1">IFERROR(__xludf.DUMMYFUNCTION("""COMPUTED_VALUE"""),"-33.893680,-71.456588")</f>
        <v>-33.893680,-71.456588</v>
      </c>
      <c r="C4703" s="6" t="str">
        <f ca="1">IFERROR(__xludf.DUMMYFUNCTION("""COMPUTED_VALUE"""),"HERMOSILLA  120")</f>
        <v>HERMOSILLA  120</v>
      </c>
      <c r="D4703" s="6" t="str">
        <f ca="1">IFERROR(__xludf.DUMMYFUNCTION("""COMPUTED_VALUE"""),"SAN PEDRO")</f>
        <v>SAN PEDRO</v>
      </c>
    </row>
    <row r="4704" spans="1:4">
      <c r="A4704" s="7">
        <f ca="1">IFERROR(__xludf.DUMMYFUNCTION("""COMPUTED_VALUE"""),44434)</f>
        <v>44434</v>
      </c>
      <c r="B4704" s="8" t="str">
        <f ca="1">IFERROR(__xludf.DUMMYFUNCTION("""COMPUTED_VALUE"""),"-33.652380,-70.904549")</f>
        <v>-33.652380,-70.904549</v>
      </c>
      <c r="C4704" s="6" t="str">
        <f ca="1">IFERROR(__xludf.DUMMYFUNCTION("""COMPUTED_VALUE"""),"PJE UNO 587 ")</f>
        <v xml:space="preserve">PJE UNO 587 </v>
      </c>
      <c r="D4704" s="6" t="str">
        <f ca="1">IFERROR(__xludf.DUMMYFUNCTION("""COMPUTED_VALUE"""),"TALAGANTE")</f>
        <v>TALAGANTE</v>
      </c>
    </row>
    <row r="4705" spans="1:4">
      <c r="A4705" s="7">
        <f ca="1">IFERROR(__xludf.DUMMYFUNCTION("""COMPUTED_VALUE"""),44434)</f>
        <v>44434</v>
      </c>
      <c r="B4705" s="8" t="str">
        <f ca="1">IFERROR(__xludf.DUMMYFUNCTION("""COMPUTED_VALUE"""),"-33.631382,-70.778854")</f>
        <v>-33.631382,-70.778854</v>
      </c>
      <c r="C4705" s="6" t="str">
        <f ca="1">IFERROR(__xludf.DUMMYFUNCTION("""COMPUTED_VALUE"""),"LICANRAY 147")</f>
        <v>LICANRAY 147</v>
      </c>
      <c r="D4705" s="6" t="str">
        <f ca="1">IFERROR(__xludf.DUMMYFUNCTION("""COMPUTED_VALUE"""),"CALERA DE TANGO")</f>
        <v>CALERA DE TANGO</v>
      </c>
    </row>
    <row r="4706" spans="1:4">
      <c r="A4706" s="7">
        <f ca="1">IFERROR(__xludf.DUMMYFUNCTION("""COMPUTED_VALUE"""),44434)</f>
        <v>44434</v>
      </c>
      <c r="B4706" s="8" t="str">
        <f ca="1">IFERROR(__xludf.DUMMYFUNCTION("""COMPUTED_VALUE"""),"-33.583930,-70.817730")</f>
        <v>-33.583930,-70.817730</v>
      </c>
      <c r="C4706" s="6" t="str">
        <f ca="1">IFERROR(__xludf.DUMMYFUNCTION("""COMPUTED_VALUE"""),"LOS LAURELES")</f>
        <v>LOS LAURELES</v>
      </c>
      <c r="D4706" s="6" t="str">
        <f ca="1">IFERROR(__xludf.DUMMYFUNCTION("""COMPUTED_VALUE"""),"PADRE HURTADO")</f>
        <v>PADRE HURTADO</v>
      </c>
    </row>
    <row r="4707" spans="1:4">
      <c r="A4707" s="7">
        <f ca="1">IFERROR(__xludf.DUMMYFUNCTION("""COMPUTED_VALUE"""),44435)</f>
        <v>44435</v>
      </c>
      <c r="B4707" s="8" t="str">
        <f ca="1">IFERROR(__xludf.DUMMYFUNCTION("""COMPUTED_VALUE"""),"-33.751863,-70.916775")</f>
        <v>-33.751863,-70.916775</v>
      </c>
      <c r="C4707" s="6" t="str">
        <f ca="1">IFERROR(__xludf.DUMMYFUNCTION("""COMPUTED_VALUE"""),"SANTELICES PARCELA 8")</f>
        <v>SANTELICES PARCELA 8</v>
      </c>
      <c r="D4707" s="6" t="str">
        <f ca="1">IFERROR(__xludf.DUMMYFUNCTION("""COMPUTED_VALUE"""),"ISLA DE MAIPO")</f>
        <v>ISLA DE MAIPO</v>
      </c>
    </row>
    <row r="4708" spans="1:4">
      <c r="A4708" s="7">
        <f ca="1">IFERROR(__xludf.DUMMYFUNCTION("""COMPUTED_VALUE"""),44435)</f>
        <v>44435</v>
      </c>
      <c r="B4708" s="8" t="str">
        <f ca="1">IFERROR(__xludf.DUMMYFUNCTION("""COMPUTED_VALUE"""),"-33.735324,-70.861848")</f>
        <v>-33.735324,-70.861848</v>
      </c>
      <c r="C4708" s="6" t="str">
        <f ca="1">IFERROR(__xludf.DUMMYFUNCTION("""COMPUTED_VALUE"""),"RIO NEGRO 4459")</f>
        <v>RIO NEGRO 4459</v>
      </c>
      <c r="D4708" s="6" t="str">
        <f ca="1">IFERROR(__xludf.DUMMYFUNCTION("""COMPUTED_VALUE"""),"ISLA DE MAIPO")</f>
        <v>ISLA DE MAIPO</v>
      </c>
    </row>
    <row r="4709" spans="1:4">
      <c r="A4709" s="7">
        <f ca="1">IFERROR(__xludf.DUMMYFUNCTION("""COMPUTED_VALUE"""),44435)</f>
        <v>44435</v>
      </c>
      <c r="B4709" s="8" t="str">
        <f ca="1">IFERROR(__xludf.DUMMYFUNCTION("""COMPUTED_VALUE"""),"-33.749753,-70.863474")</f>
        <v>-33.749753,-70.863474</v>
      </c>
      <c r="C4709" s="6" t="str">
        <f ca="1">IFERROR(__xludf.DUMMYFUNCTION("""COMPUTED_VALUE"""),"LAS PERDICES 257")</f>
        <v>LAS PERDICES 257</v>
      </c>
      <c r="D4709" s="6" t="str">
        <f ca="1">IFERROR(__xludf.DUMMYFUNCTION("""COMPUTED_VALUE"""),"ISLA DE MAIPO")</f>
        <v>ISLA DE MAIPO</v>
      </c>
    </row>
    <row r="4710" spans="1:4">
      <c r="A4710" s="7">
        <f ca="1">IFERROR(__xludf.DUMMYFUNCTION("""COMPUTED_VALUE"""),44435)</f>
        <v>44435</v>
      </c>
      <c r="B4710" s="8" t="str">
        <f ca="1">IFERROR(__xludf.DUMMYFUNCTION("""COMPUTED_VALUE"""),"-33.735336,-70.862628")</f>
        <v>-33.735336,-70.862628</v>
      </c>
      <c r="C4710" s="6" t="str">
        <f ca="1">IFERROR(__xludf.DUMMYFUNCTION("""COMPUTED_VALUE"""),"EL MAITEN 348")</f>
        <v>EL MAITEN 348</v>
      </c>
      <c r="D4710" s="6" t="str">
        <f ca="1">IFERROR(__xludf.DUMMYFUNCTION("""COMPUTED_VALUE"""),"ISLA DE MAIPO")</f>
        <v>ISLA DE MAIPO</v>
      </c>
    </row>
    <row r="4711" spans="1:4">
      <c r="A4711" s="7">
        <f ca="1">IFERROR(__xludf.DUMMYFUNCTION("""COMPUTED_VALUE"""),44435)</f>
        <v>44435</v>
      </c>
      <c r="B4711" s="8" t="str">
        <f ca="1">IFERROR(__xludf.DUMMYFUNCTION("""COMPUTED_VALUE"""),"-33.741883,-70.866796")</f>
        <v>-33.741883,-70.866796</v>
      </c>
      <c r="C4711" s="6" t="str">
        <f ca="1">IFERROR(__xludf.DUMMYFUNCTION("""COMPUTED_VALUE"""),"STA MARGARITA 374")</f>
        <v>STA MARGARITA 374</v>
      </c>
      <c r="D4711" s="6" t="str">
        <f ca="1">IFERROR(__xludf.DUMMYFUNCTION("""COMPUTED_VALUE"""),"ISLA DE MAIPO")</f>
        <v>ISLA DE MAIPO</v>
      </c>
    </row>
    <row r="4712" spans="1:4">
      <c r="A4712" s="7">
        <f ca="1">IFERROR(__xludf.DUMMYFUNCTION("""COMPUTED_VALUE"""),44435)</f>
        <v>44435</v>
      </c>
      <c r="B4712" s="8" t="str">
        <f ca="1">IFERROR(__xludf.DUMMYFUNCTION("""COMPUTED_VALUE"""),"-33.7147964,-70.867778")</f>
        <v>-33.7147964,-70.867778</v>
      </c>
      <c r="C4712" s="6" t="str">
        <f ca="1">IFERROR(__xludf.DUMMYFUNCTION("""COMPUTED_VALUE"""),"PJE LA UVA 914")</f>
        <v>PJE LA UVA 914</v>
      </c>
      <c r="D4712" s="6" t="str">
        <f ca="1">IFERROR(__xludf.DUMMYFUNCTION("""COMPUTED_VALUE"""),"ISLA DE MAIPO")</f>
        <v>ISLA DE MAIPO</v>
      </c>
    </row>
    <row r="4713" spans="1:4">
      <c r="A4713" s="7">
        <f ca="1">IFERROR(__xludf.DUMMYFUNCTION("""COMPUTED_VALUE"""),44435)</f>
        <v>44435</v>
      </c>
      <c r="B4713" s="6" t="str">
        <f ca="1">IFERROR(__xludf.DUMMYFUNCTION("""COMPUTED_VALUE"""),"-33.52191-71.13944")</f>
        <v>-33.52191-71.13944</v>
      </c>
      <c r="C4713" s="6" t="str">
        <f ca="1">IFERROR(__xludf.DUMMYFUNCTION("""COMPUTED_VALUE"""),"SANTA EMILIA S/N")</f>
        <v>SANTA EMILIA S/N</v>
      </c>
      <c r="D4713" s="6" t="str">
        <f ca="1">IFERROR(__xludf.DUMMYFUNCTION("""COMPUTED_VALUE"""),"MARIA PINTO")</f>
        <v>MARIA PINTO</v>
      </c>
    </row>
    <row r="4714" spans="1:4">
      <c r="A4714" s="7">
        <f ca="1">IFERROR(__xludf.DUMMYFUNCTION("""COMPUTED_VALUE"""),44435)</f>
        <v>44435</v>
      </c>
      <c r="B4714" s="6" t="str">
        <f ca="1">IFERROR(__xludf.DUMMYFUNCTION("""COMPUTED_VALUE"""),"-33.52191-71.13944")</f>
        <v>-33.52191-71.13944</v>
      </c>
      <c r="C4714" s="6" t="str">
        <f ca="1">IFERROR(__xludf.DUMMYFUNCTION("""COMPUTED_VALUE"""),"SANTA EMILIA S/N")</f>
        <v>SANTA EMILIA S/N</v>
      </c>
      <c r="D4714" s="6" t="str">
        <f ca="1">IFERROR(__xludf.DUMMYFUNCTION("""COMPUTED_VALUE"""),"MARIA PINTO")</f>
        <v>MARIA PINTO</v>
      </c>
    </row>
    <row r="4715" spans="1:4">
      <c r="A4715" s="7">
        <f ca="1">IFERROR(__xludf.DUMMYFUNCTION("""COMPUTED_VALUE"""),44435)</f>
        <v>44435</v>
      </c>
      <c r="B4715" s="6" t="str">
        <f ca="1">IFERROR(__xludf.DUMMYFUNCTION("""COMPUTED_VALUE"""),"-33.420039-71.148454")</f>
        <v>-33.420039-71.148454</v>
      </c>
      <c r="C4715" s="6" t="str">
        <f ca="1">IFERROR(__xludf.DUMMYFUNCTION("""COMPUTED_VALUE"""),"LO AGUILA SUR LOTE 11")</f>
        <v>LO AGUILA SUR LOTE 11</v>
      </c>
      <c r="D4715" s="6" t="str">
        <f ca="1">IFERROR(__xludf.DUMMYFUNCTION("""COMPUTED_VALUE"""),"CURACAVI")</f>
        <v>CURACAVI</v>
      </c>
    </row>
    <row r="4716" spans="1:4">
      <c r="A4716" s="7">
        <f ca="1">IFERROR(__xludf.DUMMYFUNCTION("""COMPUTED_VALUE"""),44435)</f>
        <v>44435</v>
      </c>
      <c r="B4716" s="6" t="str">
        <f ca="1">IFERROR(__xludf.DUMMYFUNCTION("""COMPUTED_VALUE"""),"-33.390603-71.125954")</f>
        <v>-33.390603-71.125954</v>
      </c>
      <c r="C4716" s="6" t="str">
        <f ca="1">IFERROR(__xludf.DUMMYFUNCTION("""COMPUTED_VALUE"""),"INDEPENDENCIA 2015")</f>
        <v>INDEPENDENCIA 2015</v>
      </c>
      <c r="D4716" s="6" t="str">
        <f ca="1">IFERROR(__xludf.DUMMYFUNCTION("""COMPUTED_VALUE"""),"CURACAVI")</f>
        <v>CURACAVI</v>
      </c>
    </row>
    <row r="4717" spans="1:4">
      <c r="A4717" s="7">
        <f ca="1">IFERROR(__xludf.DUMMYFUNCTION("""COMPUTED_VALUE"""),44435)</f>
        <v>44435</v>
      </c>
      <c r="B4717" s="6" t="str">
        <f ca="1">IFERROR(__xludf.DUMMYFUNCTION("""COMPUTED_VALUE"""),"-33.893680,-71.456588")</f>
        <v>-33.893680,-71.456588</v>
      </c>
      <c r="C4717" s="6" t="str">
        <f ca="1">IFERROR(__xludf.DUMMYFUNCTION("""COMPUTED_VALUE"""),"HERMOSILLA 120 ")</f>
        <v xml:space="preserve">HERMOSILLA 120 </v>
      </c>
      <c r="D4717" s="6" t="str">
        <f ca="1">IFERROR(__xludf.DUMMYFUNCTION("""COMPUTED_VALUE"""),"SAN PEDRO")</f>
        <v>SAN PEDRO</v>
      </c>
    </row>
    <row r="4718" spans="1:4">
      <c r="A4718" s="7">
        <f ca="1">IFERROR(__xludf.DUMMYFUNCTION("""COMPUTED_VALUE"""),44435)</f>
        <v>44435</v>
      </c>
      <c r="B4718" s="6" t="str">
        <f ca="1">IFERROR(__xludf.DUMMYFUNCTION("""COMPUTED_VALUE"""),"-33.893680,-71.456588")</f>
        <v>-33.893680,-71.456588</v>
      </c>
      <c r="C4718" s="6" t="str">
        <f ca="1">IFERROR(__xludf.DUMMYFUNCTION("""COMPUTED_VALUE"""),"HERMOSILLA 120 ")</f>
        <v xml:space="preserve">HERMOSILLA 120 </v>
      </c>
      <c r="D4718" s="6" t="str">
        <f ca="1">IFERROR(__xludf.DUMMYFUNCTION("""COMPUTED_VALUE"""),"SAN PEDRO")</f>
        <v>SAN PEDRO</v>
      </c>
    </row>
    <row r="4719" spans="1:4">
      <c r="A4719" s="7">
        <f ca="1">IFERROR(__xludf.DUMMYFUNCTION("""COMPUTED_VALUE"""),44435)</f>
        <v>44435</v>
      </c>
      <c r="B4719" s="8" t="str">
        <f ca="1">IFERROR(__xludf.DUMMYFUNCTION("""COMPUTED_VALUE"""),"-33.690828,-70.850662")</f>
        <v>-33.690828,-70.850662</v>
      </c>
      <c r="C4719" s="6" t="str">
        <f ca="1">IFERROR(__xludf.DUMMYFUNCTION("""COMPUTED_VALUE"""),"CAMINO A PAPAGALLO 2")</f>
        <v>CAMINO A PAPAGALLO 2</v>
      </c>
      <c r="D4719" s="6" t="str">
        <f ca="1">IFERROR(__xludf.DUMMYFUNCTION("""COMPUTED_VALUE"""),"TALAGANTE")</f>
        <v>TALAGANTE</v>
      </c>
    </row>
    <row r="4720" spans="1:4">
      <c r="A4720" s="7">
        <f ca="1">IFERROR(__xludf.DUMMYFUNCTION("""COMPUTED_VALUE"""),44435)</f>
        <v>44435</v>
      </c>
      <c r="B4720" s="8" t="str">
        <f ca="1">IFERROR(__xludf.DUMMYFUNCTION("""COMPUTED_VALUE"""),"-33.690614,-70.85692")</f>
        <v>-33.690614,-70.85692</v>
      </c>
      <c r="C4720" s="6" t="str">
        <f ca="1">IFERROR(__xludf.DUMMYFUNCTION("""COMPUTED_VALUE"""),"PARCELA N3")</f>
        <v>PARCELA N3</v>
      </c>
      <c r="D4720" s="6" t="str">
        <f ca="1">IFERROR(__xludf.DUMMYFUNCTION("""COMPUTED_VALUE"""),"TALAGANTE")</f>
        <v>TALAGANTE</v>
      </c>
    </row>
    <row r="4721" spans="1:4">
      <c r="A4721" s="7">
        <f ca="1">IFERROR(__xludf.DUMMYFUNCTION("""COMPUTED_VALUE"""),44436)</f>
        <v>44436</v>
      </c>
      <c r="B4721" s="6" t="str">
        <f ca="1">IFERROR(__xludf.DUMMYFUNCTION("""COMPUTED_VALUE"""),"-33.576619,-70.748698")</f>
        <v>-33.576619,-70.748698</v>
      </c>
      <c r="C4721" s="6" t="str">
        <f ca="1">IFERROR(__xludf.DUMMYFUNCTION("""COMPUTED_VALUE"""),"PJE CHENA 307")</f>
        <v>PJE CHENA 307</v>
      </c>
      <c r="D4721" s="6" t="str">
        <f ca="1">IFERROR(__xludf.DUMMYFUNCTION("""COMPUTED_VALUE"""),"EL MONTE")</f>
        <v>EL MONTE</v>
      </c>
    </row>
    <row r="4722" spans="1:4">
      <c r="A4722" s="7">
        <f ca="1">IFERROR(__xludf.DUMMYFUNCTION("""COMPUTED_VALUE"""),44436)</f>
        <v>44436</v>
      </c>
      <c r="B4722" s="6" t="str">
        <f ca="1">IFERROR(__xludf.DUMMYFUNCTION("""COMPUTED_VALUE"""),"-33.893680,-71.456588")</f>
        <v>-33.893680,-71.456588</v>
      </c>
      <c r="C4722" s="6" t="str">
        <f ca="1">IFERROR(__xludf.DUMMYFUNCTION("""COMPUTED_VALUE"""),"FCO HERMOSILLA S/N ")</f>
        <v xml:space="preserve">FCO HERMOSILLA S/N </v>
      </c>
      <c r="D4722" s="6" t="str">
        <f ca="1">IFERROR(__xludf.DUMMYFUNCTION("""COMPUTED_VALUE"""),"SAN PEDRO")</f>
        <v>SAN PEDRO</v>
      </c>
    </row>
    <row r="4723" spans="1:4">
      <c r="A4723" s="7">
        <f ca="1">IFERROR(__xludf.DUMMYFUNCTION("""COMPUTED_VALUE"""),44438)</f>
        <v>44438</v>
      </c>
      <c r="B4723" s="8" t="str">
        <f ca="1">IFERROR(__xludf.DUMMYFUNCTION("""COMPUTED_VALUE"""),"-33.751534,-70.916432")</f>
        <v>-33.751534,-70.916432</v>
      </c>
      <c r="C4723" s="6" t="str">
        <f ca="1">IFERROR(__xludf.DUMMYFUNCTION("""COMPUTED_VALUE"""),"SANTELICES  PARC 8 ")</f>
        <v xml:space="preserve">SANTELICES  PARC 8 </v>
      </c>
      <c r="D4723" s="6" t="str">
        <f ca="1">IFERROR(__xludf.DUMMYFUNCTION("""COMPUTED_VALUE"""),"ISLA DE MAIPO")</f>
        <v>ISLA DE MAIPO</v>
      </c>
    </row>
    <row r="4724" spans="1:4">
      <c r="A4724" s="7">
        <f ca="1">IFERROR(__xludf.DUMMYFUNCTION("""COMPUTED_VALUE"""),44438)</f>
        <v>44438</v>
      </c>
      <c r="B4724" s="8" t="str">
        <f ca="1">IFERROR(__xludf.DUMMYFUNCTION("""COMPUTED_VALUE"""),"-33.756154,-70.867199")</f>
        <v>-33.756154,-70.867199</v>
      </c>
      <c r="C4724" s="6" t="str">
        <f ca="1">IFERROR(__xludf.DUMMYFUNCTION("""COMPUTED_VALUE"""),"OLEA 5079  ")</f>
        <v xml:space="preserve">OLEA 5079  </v>
      </c>
      <c r="D4724" s="6" t="str">
        <f ca="1">IFERROR(__xludf.DUMMYFUNCTION("""COMPUTED_VALUE"""),"ISLA DE MAIPO")</f>
        <v>ISLA DE MAIPO</v>
      </c>
    </row>
    <row r="4725" spans="1:4">
      <c r="A4725" s="7">
        <f ca="1">IFERROR(__xludf.DUMMYFUNCTION("""COMPUTED_VALUE"""),44438)</f>
        <v>44438</v>
      </c>
      <c r="B4725" s="8" t="str">
        <f ca="1">IFERROR(__xludf.DUMMYFUNCTION("""COMPUTED_VALUE"""),"-33.744550,-70.8976655")</f>
        <v>-33.744550,-70.8976655</v>
      </c>
      <c r="C4725" s="6" t="str">
        <f ca="1">IFERROR(__xludf.DUMMYFUNCTION("""COMPUTED_VALUE"""),"LA GUERRA 1010")</f>
        <v>LA GUERRA 1010</v>
      </c>
      <c r="D4725" s="6" t="str">
        <f ca="1">IFERROR(__xludf.DUMMYFUNCTION("""COMPUTED_VALUE"""),"ISLA DE MAIPO")</f>
        <v>ISLA DE MAIPO</v>
      </c>
    </row>
    <row r="4726" spans="1:4">
      <c r="A4726" s="7">
        <f ca="1">IFERROR(__xludf.DUMMYFUNCTION("""COMPUTED_VALUE"""),44438)</f>
        <v>44438</v>
      </c>
      <c r="B4726" s="8" t="str">
        <f ca="1">IFERROR(__xludf.DUMMYFUNCTION("""COMPUTED_VALUE"""),"-33.785628,-70.557695")</f>
        <v>-33.785628,-70.557695</v>
      </c>
      <c r="C4726" s="6" t="str">
        <f ca="1">IFERROR(__xludf.DUMMYFUNCTION("""COMPUTED_VALUE"""),"SAN MARTIRIAN 89")</f>
        <v>SAN MARTIRIAN 89</v>
      </c>
      <c r="D4726" s="6" t="str">
        <f ca="1">IFERROR(__xludf.DUMMYFUNCTION("""COMPUTED_VALUE"""),"ISLA DE MAIPO")</f>
        <v>ISLA DE MAIPO</v>
      </c>
    </row>
    <row r="4727" spans="1:4">
      <c r="A4727" s="7">
        <f ca="1">IFERROR(__xludf.DUMMYFUNCTION("""COMPUTED_VALUE"""),44438)</f>
        <v>44438</v>
      </c>
      <c r="B4727" s="8" t="str">
        <f ca="1">IFERROR(__xludf.DUMMYFUNCTION("""COMPUTED_VALUE"""),"-33.785628,-70.557695")</f>
        <v>-33.785628,-70.557695</v>
      </c>
      <c r="C4727" s="6" t="str">
        <f ca="1">IFERROR(__xludf.DUMMYFUNCTION("""COMPUTED_VALUE"""),"SAN MARTIRIAN 89")</f>
        <v>SAN MARTIRIAN 89</v>
      </c>
      <c r="D4727" s="6" t="str">
        <f ca="1">IFERROR(__xludf.DUMMYFUNCTION("""COMPUTED_VALUE"""),"ISLA DE MAIPO")</f>
        <v>ISLA DE MAIPO</v>
      </c>
    </row>
    <row r="4728" spans="1:4">
      <c r="A4728" s="7">
        <f ca="1">IFERROR(__xludf.DUMMYFUNCTION("""COMPUTED_VALUE"""),44438)</f>
        <v>44438</v>
      </c>
      <c r="B4728" s="8" t="str">
        <f ca="1">IFERROR(__xludf.DUMMYFUNCTION("""COMPUTED_VALUE"""),"-33.785628,-70.557695")</f>
        <v>-33.785628,-70.557695</v>
      </c>
      <c r="C4728" s="6" t="str">
        <f ca="1">IFERROR(__xludf.DUMMYFUNCTION("""COMPUTED_VALUE"""),"SAN MARTIRIAN 89")</f>
        <v>SAN MARTIRIAN 89</v>
      </c>
      <c r="D4728" s="6" t="str">
        <f ca="1">IFERROR(__xludf.DUMMYFUNCTION("""COMPUTED_VALUE"""),"ISLA DE MAIPO")</f>
        <v>ISLA DE MAIPO</v>
      </c>
    </row>
    <row r="4729" spans="1:4">
      <c r="A4729" s="7">
        <f ca="1">IFERROR(__xludf.DUMMYFUNCTION("""COMPUTED_VALUE"""),44438)</f>
        <v>44438</v>
      </c>
      <c r="B4729" s="8" t="str">
        <f ca="1">IFERROR(__xludf.DUMMYFUNCTION("""COMPUTED_VALUE"""),"-33.665477,-70.832854")</f>
        <v>-33.665477,-70.832854</v>
      </c>
      <c r="C4729" s="6" t="str">
        <f ca="1">IFERROR(__xludf.DUMMYFUNCTION("""COMPUTED_VALUE"""),"OLEA 5079  ")</f>
        <v xml:space="preserve">OLEA 5079  </v>
      </c>
      <c r="D4729" s="6" t="str">
        <f ca="1">IFERROR(__xludf.DUMMYFUNCTION("""COMPUTED_VALUE"""),"ISLA DE MAIPO")</f>
        <v>ISLA DE MAIPO</v>
      </c>
    </row>
    <row r="4730" spans="1:4">
      <c r="A4730" s="7">
        <f ca="1">IFERROR(__xludf.DUMMYFUNCTION("""COMPUTED_VALUE"""),44438)</f>
        <v>44438</v>
      </c>
      <c r="B4730" s="6" t="str">
        <f ca="1">IFERROR(__xludf.DUMMYFUNCTION("""COMPUTED_VALUE"""),"-33.2863-70.87561")</f>
        <v>-33.2863-70.87561</v>
      </c>
      <c r="C4730" s="6" t="str">
        <f ca="1">IFERROR(__xludf.DUMMYFUNCTION("""COMPUTED_VALUE"""),"PJE LAGO CALAFQUEN 1228")</f>
        <v>PJE LAGO CALAFQUEN 1228</v>
      </c>
      <c r="D4730" s="6" t="str">
        <f ca="1">IFERROR(__xludf.DUMMYFUNCTION("""COMPUTED_VALUE"""),"LAMPA")</f>
        <v>LAMPA</v>
      </c>
    </row>
    <row r="4731" spans="1:4">
      <c r="A4731" s="7">
        <f ca="1">IFERROR(__xludf.DUMMYFUNCTION("""COMPUTED_VALUE"""),44438)</f>
        <v>44438</v>
      </c>
      <c r="B4731" s="6" t="str">
        <f ca="1">IFERROR(__xludf.DUMMYFUNCTION("""COMPUTED_VALUE"""),"-33.886994,-71.470104")</f>
        <v>-33.886994,-71.470104</v>
      </c>
      <c r="C4731" s="6" t="str">
        <f ca="1">IFERROR(__xludf.DUMMYFUNCTION("""COMPUTED_VALUE"""),"LINGO LINGO S/N")</f>
        <v>LINGO LINGO S/N</v>
      </c>
      <c r="D4731" s="6" t="str">
        <f ca="1">IFERROR(__xludf.DUMMYFUNCTION("""COMPUTED_VALUE"""),"SAN PEDRO")</f>
        <v>SAN PEDRO</v>
      </c>
    </row>
    <row r="4732" spans="1:4">
      <c r="A4732" s="7">
        <f ca="1">IFERROR(__xludf.DUMMYFUNCTION("""COMPUTED_VALUE"""),44439)</f>
        <v>44439</v>
      </c>
      <c r="B4732" s="8" t="str">
        <f ca="1">IFERROR(__xludf.DUMMYFUNCTION("""COMPUTED_VALUE"""),"-33.7365744,-71.020926")</f>
        <v>-33.7365744,-71.020926</v>
      </c>
      <c r="C4732" s="6" t="str">
        <f ca="1">IFERROR(__xludf.DUMMYFUNCTION("""COMPUTED_VALUE"""),"LAS ACACIAS SITIO 45")</f>
        <v>LAS ACACIAS SITIO 45</v>
      </c>
      <c r="D4732" s="6" t="str">
        <f ca="1">IFERROR(__xludf.DUMMYFUNCTION("""COMPUTED_VALUE"""),"ISLA DE MAIPO")</f>
        <v>ISLA DE MAIPO</v>
      </c>
    </row>
    <row r="4733" spans="1:4">
      <c r="A4733" s="7">
        <f ca="1">IFERROR(__xludf.DUMMYFUNCTION("""COMPUTED_VALUE"""),44439)</f>
        <v>44439</v>
      </c>
      <c r="B4733" s="8" t="str">
        <f ca="1">IFERROR(__xludf.DUMMYFUNCTION("""COMPUTED_VALUE"""),"-33.784810,-70.894789")</f>
        <v>-33.784810,-70.894789</v>
      </c>
      <c r="C4733" s="6" t="str">
        <f ca="1">IFERROR(__xludf.DUMMYFUNCTION("""COMPUTED_VALUE"""),"SAN MARTIRIAN ")</f>
        <v xml:space="preserve">SAN MARTIRIAN </v>
      </c>
      <c r="D4733" s="6" t="str">
        <f ca="1">IFERROR(__xludf.DUMMYFUNCTION("""COMPUTED_VALUE"""),"ISLA DE MAIPO")</f>
        <v>ISLA DE MAIPO</v>
      </c>
    </row>
    <row r="4734" spans="1:4">
      <c r="A4734" s="7">
        <f ca="1">IFERROR(__xludf.DUMMYFUNCTION("""COMPUTED_VALUE"""),44439)</f>
        <v>44439</v>
      </c>
      <c r="B4734" s="8" t="str">
        <f ca="1">IFERROR(__xludf.DUMMYFUNCTION("""COMPUTED_VALUE"""),"-33.745934,-70898380")</f>
        <v>-33.745934,-70898380</v>
      </c>
      <c r="C4734" s="6" t="str">
        <f ca="1">IFERROR(__xludf.DUMMYFUNCTION("""COMPUTED_VALUE"""),"LOS PERFUMES 1245")</f>
        <v>LOS PERFUMES 1245</v>
      </c>
      <c r="D4734" s="6" t="str">
        <f ca="1">IFERROR(__xludf.DUMMYFUNCTION("""COMPUTED_VALUE"""),"ISLA DE MAIPO")</f>
        <v>ISLA DE MAIPO</v>
      </c>
    </row>
    <row r="4735" spans="1:4">
      <c r="A4735" s="7">
        <f ca="1">IFERROR(__xludf.DUMMYFUNCTION("""COMPUTED_VALUE"""),44439)</f>
        <v>44439</v>
      </c>
      <c r="B4735" s="8" t="str">
        <f ca="1">IFERROR(__xludf.DUMMYFUNCTION("""COMPUTED_VALUE"""),"-33.735065,-71.016814")</f>
        <v>-33.735065,-71.016814</v>
      </c>
      <c r="C4735" s="6" t="str">
        <f ca="1">IFERROR(__xludf.DUMMYFUNCTION("""COMPUTED_VALUE"""),"LA TURBINA 2")</f>
        <v>LA TURBINA 2</v>
      </c>
      <c r="D4735" s="6" t="str">
        <f ca="1">IFERROR(__xludf.DUMMYFUNCTION("""COMPUTED_VALUE"""),"ISLA DE MAIPO")</f>
        <v>ISLA DE MAIPO</v>
      </c>
    </row>
    <row r="4736" spans="1:4">
      <c r="A4736" s="7">
        <f ca="1">IFERROR(__xludf.DUMMYFUNCTION("""COMPUTED_VALUE"""),44439)</f>
        <v>44439</v>
      </c>
      <c r="B4736" s="8" t="str">
        <f ca="1">IFERROR(__xludf.DUMMYFUNCTION("""COMPUTED_VALUE"""),"-33.784323,-70.895052")</f>
        <v>-33.784323,-70.895052</v>
      </c>
      <c r="C4736" s="6" t="str">
        <f ca="1">IFERROR(__xludf.DUMMYFUNCTION("""COMPUTED_VALUE"""),"SAN MARTIN 1875 ")</f>
        <v xml:space="preserve">SAN MARTIN 1875 </v>
      </c>
      <c r="D4736" s="6" t="str">
        <f ca="1">IFERROR(__xludf.DUMMYFUNCTION("""COMPUTED_VALUE"""),"ISLA DE MAIPO")</f>
        <v>ISLA DE MAIPO</v>
      </c>
    </row>
    <row r="4737" spans="1:4">
      <c r="A4737" s="7">
        <f ca="1">IFERROR(__xludf.DUMMYFUNCTION("""COMPUTED_VALUE"""),44439)</f>
        <v>44439</v>
      </c>
      <c r="B4737" s="8" t="str">
        <f ca="1">IFERROR(__xludf.DUMMYFUNCTION("""COMPUTED_VALUE"""),"-33.742869,-70.869759")</f>
        <v>-33.742869,-70.869759</v>
      </c>
      <c r="C4737" s="6" t="str">
        <f ca="1">IFERROR(__xludf.DUMMYFUNCTION("""COMPUTED_VALUE"""),"JOSE MACIEL ZUÑIGA 427")</f>
        <v>JOSE MACIEL ZUÑIGA 427</v>
      </c>
      <c r="D4737" s="6" t="str">
        <f ca="1">IFERROR(__xludf.DUMMYFUNCTION("""COMPUTED_VALUE"""),"ISLA DE MAIPO")</f>
        <v>ISLA DE MAIPO</v>
      </c>
    </row>
    <row r="4738" spans="1:4">
      <c r="A4738" s="7">
        <f ca="1">IFERROR(__xludf.DUMMYFUNCTION("""COMPUTED_VALUE"""),44439)</f>
        <v>44439</v>
      </c>
      <c r="B4738" s="8" t="str">
        <f ca="1">IFERROR(__xludf.DUMMYFUNCTION("""COMPUTED_VALUE"""),"-33.719922,-9123732")</f>
        <v>-33.719922,-9123732</v>
      </c>
      <c r="C4738" s="6" t="str">
        <f ca="1">IFERROR(__xludf.DUMMYFUNCTION("""COMPUTED_VALUE"""),"PSJ DOS 524")</f>
        <v>PSJ DOS 524</v>
      </c>
      <c r="D4738" s="6" t="str">
        <f ca="1">IFERROR(__xludf.DUMMYFUNCTION("""COMPUTED_VALUE"""),"ISLA DE MAIPO")</f>
        <v>ISLA DE MAIPO</v>
      </c>
    </row>
    <row r="4739" spans="1:4">
      <c r="A4739" s="7">
        <f ca="1">IFERROR(__xludf.DUMMYFUNCTION("""COMPUTED_VALUE"""),44439)</f>
        <v>44439</v>
      </c>
      <c r="B4739" s="8" t="str">
        <f ca="1">IFERROR(__xludf.DUMMYFUNCTION("""COMPUTED_VALUE"""),"-33.747777,-70867649")</f>
        <v>-33.747777,-70867649</v>
      </c>
      <c r="C4739" s="6" t="str">
        <f ca="1">IFERROR(__xludf.DUMMYFUNCTION("""COMPUTED_VALUE"""),"LA UVA 906")</f>
        <v>LA UVA 906</v>
      </c>
      <c r="D4739" s="6" t="str">
        <f ca="1">IFERROR(__xludf.DUMMYFUNCTION("""COMPUTED_VALUE"""),"ISLA DE MAIPO")</f>
        <v>ISLA DE MAIPO</v>
      </c>
    </row>
    <row r="4740" spans="1:4">
      <c r="A4740" s="7">
        <f ca="1">IFERROR(__xludf.DUMMYFUNCTION("""COMPUTED_VALUE"""),44439)</f>
        <v>44439</v>
      </c>
      <c r="B4740" s="6" t="str">
        <f ca="1">IFERROR(__xludf.DUMMYFUNCTION("""COMPUTED_VALUE"""),"-33.4076542-71.1385917")</f>
        <v>-33.4076542-71.1385917</v>
      </c>
      <c r="C4740" s="6" t="str">
        <f ca="1">IFERROR(__xludf.DUMMYFUNCTION("""COMPUTED_VALUE"""),"SAN JOSE DE LA DEHESA 165")</f>
        <v>SAN JOSE DE LA DEHESA 165</v>
      </c>
      <c r="D4740" s="6" t="str">
        <f ca="1">IFERROR(__xludf.DUMMYFUNCTION("""COMPUTED_VALUE"""),"CURACAVI")</f>
        <v>CURACAVI</v>
      </c>
    </row>
    <row r="4741" spans="1:4">
      <c r="A4741" s="7">
        <f ca="1">IFERROR(__xludf.DUMMYFUNCTION("""COMPUTED_VALUE"""),44439)</f>
        <v>44439</v>
      </c>
      <c r="B4741" s="6" t="str">
        <f ca="1">IFERROR(__xludf.DUMMYFUNCTION("""COMPUTED_VALUE"""),"-33.4039351-71.1277924")</f>
        <v>-33.4039351-71.1277924</v>
      </c>
      <c r="C4741" s="6" t="str">
        <f ca="1">IFERROR(__xludf.DUMMYFUNCTION("""COMPUTED_VALUE"""),"MANUEL FIGUEROA PONCE 135")</f>
        <v>MANUEL FIGUEROA PONCE 135</v>
      </c>
      <c r="D4741" s="6" t="str">
        <f ca="1">IFERROR(__xludf.DUMMYFUNCTION("""COMPUTED_VALUE"""),"CURACAVI")</f>
        <v>CURACAVI</v>
      </c>
    </row>
    <row r="4742" spans="1:4">
      <c r="A4742" s="7">
        <f ca="1">IFERROR(__xludf.DUMMYFUNCTION("""COMPUTED_VALUE"""),44439)</f>
        <v>44439</v>
      </c>
      <c r="B4742" s="6" t="str">
        <f ca="1">IFERROR(__xludf.DUMMYFUNCTION("""COMPUTED_VALUE"""),"-33.23583-70.80579")</f>
        <v>-33.23583-70.80579</v>
      </c>
      <c r="C4742" s="6" t="str">
        <f ca="1">IFERROR(__xludf.DUMMYFUNCTION("""COMPUTED_VALUE"""),"ARTURO PRAT M/8 S/9")</f>
        <v>ARTURO PRAT M/8 S/9</v>
      </c>
      <c r="D4742" s="6" t="str">
        <f ca="1">IFERROR(__xludf.DUMMYFUNCTION("""COMPUTED_VALUE"""),"LAMPA")</f>
        <v>LAMPA</v>
      </c>
    </row>
    <row r="4743" spans="1:4">
      <c r="A4743" s="7">
        <f ca="1">IFERROR(__xludf.DUMMYFUNCTION("""COMPUTED_VALUE"""),44439)</f>
        <v>44439</v>
      </c>
      <c r="B4743" s="6" t="str">
        <f ca="1">IFERROR(__xludf.DUMMYFUNCTION("""COMPUTED_VALUE"""),"-33.864276,-71.487793")</f>
        <v>-33.864276,-71.487793</v>
      </c>
      <c r="C4743" s="6" t="str">
        <f ca="1">IFERROR(__xludf.DUMMYFUNCTION("""COMPUTED_VALUE"""),"LO ENCANADO S/N -CV4 ")</f>
        <v xml:space="preserve">LO ENCANADO S/N -CV4 </v>
      </c>
      <c r="D4743" s="6" t="str">
        <f ca="1">IFERROR(__xludf.DUMMYFUNCTION("""COMPUTED_VALUE"""),"SAN PEDRO")</f>
        <v>SAN PEDRO</v>
      </c>
    </row>
    <row r="4744" spans="1:4">
      <c r="A4744" s="7">
        <f ca="1">IFERROR(__xludf.DUMMYFUNCTION("""COMPUTED_VALUE"""),44439)</f>
        <v>44439</v>
      </c>
      <c r="B4744" s="8" t="str">
        <f ca="1">IFERROR(__xludf.DUMMYFUNCTION("""COMPUTED_VALUE"""),"-33.606290,-70.878579")</f>
        <v>-33.606290,-70.878579</v>
      </c>
      <c r="C4744" s="6" t="str">
        <f ca="1">IFERROR(__xludf.DUMMYFUNCTION("""COMPUTED_VALUE"""),"FRANCISCO BILBAO 913")</f>
        <v>FRANCISCO BILBAO 913</v>
      </c>
      <c r="D4744" s="6" t="str">
        <f ca="1">IFERROR(__xludf.DUMMYFUNCTION("""COMPUTED_VALUE"""),"PEÑAFLOR")</f>
        <v>PEÑAFLOR</v>
      </c>
    </row>
    <row r="4745" spans="1:4">
      <c r="A4745" s="7">
        <f ca="1">IFERROR(__xludf.DUMMYFUNCTION("""COMPUTED_VALUE"""),44440)</f>
        <v>44440</v>
      </c>
      <c r="B4745" s="8" t="str">
        <f ca="1">IFERROR(__xludf.DUMMYFUNCTION("""COMPUTED_VALUE"""),"-33.785192,-70.893492")</f>
        <v>-33.785192,-70.893492</v>
      </c>
      <c r="C4745" s="6" t="str">
        <f ca="1">IFERROR(__xludf.DUMMYFUNCTION("""COMPUTED_VALUE"""),"SAN MARTIN 236")</f>
        <v>SAN MARTIN 236</v>
      </c>
      <c r="D4745" s="6" t="str">
        <f ca="1">IFERROR(__xludf.DUMMYFUNCTION("""COMPUTED_VALUE"""),"ISLA DE MAIPO")</f>
        <v>ISLA DE MAIPO</v>
      </c>
    </row>
    <row r="4746" spans="1:4">
      <c r="A4746" s="7">
        <f ca="1">IFERROR(__xludf.DUMMYFUNCTION("""COMPUTED_VALUE"""),44440)</f>
        <v>44440</v>
      </c>
      <c r="B4746" s="8" t="str">
        <f ca="1">IFERROR(__xludf.DUMMYFUNCTION("""COMPUTED_VALUE"""),"-33.652063,-71.154526")</f>
        <v>-33.652063,-71.154526</v>
      </c>
      <c r="C4746" s="6" t="str">
        <f ca="1">IFERROR(__xludf.DUMMYFUNCTION("""COMPUTED_VALUE"""),"BARROS BURGOS 085")</f>
        <v>BARROS BURGOS 085</v>
      </c>
      <c r="D4746" s="6" t="str">
        <f ca="1">IFERROR(__xludf.DUMMYFUNCTION("""COMPUTED_VALUE"""),"MELIPILLA")</f>
        <v>MELIPILLA</v>
      </c>
    </row>
    <row r="4747" spans="1:4">
      <c r="A4747" s="7">
        <f ca="1">IFERROR(__xludf.DUMMYFUNCTION("""COMPUTED_VALUE"""),44440)</f>
        <v>44440</v>
      </c>
      <c r="B4747" s="8" t="str">
        <f ca="1">IFERROR(__xludf.DUMMYFUNCTION("""COMPUTED_VALUE"""),"-33.680475,-71.204886")</f>
        <v>-33.680475,-71.204886</v>
      </c>
      <c r="C4747" s="6" t="str">
        <f ca="1">IFERROR(__xludf.DUMMYFUNCTION("""COMPUTED_VALUE"""),"WALDO SANCHEZ")</f>
        <v>WALDO SANCHEZ</v>
      </c>
      <c r="D4747" s="6" t="str">
        <f ca="1">IFERROR(__xludf.DUMMYFUNCTION("""COMPUTED_VALUE"""),"MELIPILLA")</f>
        <v>MELIPILLA</v>
      </c>
    </row>
    <row r="4748" spans="1:4">
      <c r="A4748" s="7">
        <f ca="1">IFERROR(__xludf.DUMMYFUNCTION("""COMPUTED_VALUE"""),44440)</f>
        <v>44440</v>
      </c>
      <c r="B4748" s="8" t="str">
        <f ca="1">IFERROR(__xludf.DUMMYFUNCTION("""COMPUTED_VALUE"""),"-33.785900,-70.889185")</f>
        <v>-33.785900,-70.889185</v>
      </c>
      <c r="C4748" s="6" t="str">
        <f ca="1">IFERROR(__xludf.DUMMYFUNCTION("""COMPUTED_VALUE"""),"SAN MARTIN616")</f>
        <v>SAN MARTIN616</v>
      </c>
      <c r="D4748" s="6" t="str">
        <f ca="1">IFERROR(__xludf.DUMMYFUNCTION("""COMPUTED_VALUE"""),"ISLA DE MAIPO")</f>
        <v>ISLA DE MAIPO</v>
      </c>
    </row>
    <row r="4749" spans="1:4">
      <c r="A4749" s="7">
        <f ca="1">IFERROR(__xludf.DUMMYFUNCTION("""COMPUTED_VALUE"""),44440)</f>
        <v>44440</v>
      </c>
      <c r="B4749" s="8" t="str">
        <f ca="1">IFERROR(__xludf.DUMMYFUNCTION("""COMPUTED_VALUE"""),"-33.734232,-70.865923")</f>
        <v>-33.734232,-70.865923</v>
      </c>
      <c r="C4749" s="6" t="str">
        <f ca="1">IFERROR(__xludf.DUMMYFUNCTION("""COMPUTED_VALUE"""),"ESTERO GACITUO 702")</f>
        <v>ESTERO GACITUO 702</v>
      </c>
      <c r="D4749" s="6" t="str">
        <f ca="1">IFERROR(__xludf.DUMMYFUNCTION("""COMPUTED_VALUE"""),"ISLA DE MAIPO")</f>
        <v>ISLA DE MAIPO</v>
      </c>
    </row>
    <row r="4750" spans="1:4">
      <c r="A4750" s="7">
        <f ca="1">IFERROR(__xludf.DUMMYFUNCTION("""COMPUTED_VALUE"""),44440)</f>
        <v>44440</v>
      </c>
      <c r="B4750" s="6" t="str">
        <f ca="1">IFERROR(__xludf.DUMMYFUNCTION("""COMPUTED_VALUE"""),"-33.44564-71.02949")</f>
        <v>-33.44564-71.02949</v>
      </c>
      <c r="C4750" s="6" t="str">
        <f ca="1">IFERROR(__xludf.DUMMYFUNCTION("""COMPUTED_VALUE"""),"UNION CHILENA S-12")</f>
        <v>UNION CHILENA S-12</v>
      </c>
      <c r="D4750" s="6" t="str">
        <f ca="1">IFERROR(__xludf.DUMMYFUNCTION("""COMPUTED_VALUE"""),"CURACAVI")</f>
        <v>CURACAVI</v>
      </c>
    </row>
    <row r="4751" spans="1:4">
      <c r="A4751" s="7">
        <f ca="1">IFERROR(__xludf.DUMMYFUNCTION("""COMPUTED_VALUE"""),44440)</f>
        <v>44440</v>
      </c>
      <c r="B4751" s="6" t="str">
        <f ca="1">IFERROR(__xludf.DUMMYFUNCTION("""COMPUTED_VALUE"""),"-33.45186-71.02681")</f>
        <v>-33.45186-71.02681</v>
      </c>
      <c r="C4751" s="6" t="str">
        <f ca="1">IFERROR(__xludf.DUMMYFUNCTION("""COMPUTED_VALUE"""),"UNION CHILENA PC 28 LT 2")</f>
        <v>UNION CHILENA PC 28 LT 2</v>
      </c>
      <c r="D4751" s="6" t="str">
        <f ca="1">IFERROR(__xludf.DUMMYFUNCTION("""COMPUTED_VALUE"""),"CURACAVI")</f>
        <v>CURACAVI</v>
      </c>
    </row>
    <row r="4752" spans="1:4">
      <c r="A4752" s="7">
        <f ca="1">IFERROR(__xludf.DUMMYFUNCTION("""COMPUTED_VALUE"""),44440)</f>
        <v>44440</v>
      </c>
      <c r="B4752" s="6" t="str">
        <f ca="1">IFERROR(__xludf.DUMMYFUNCTION("""COMPUTED_VALUE"""),"-33.51326-71.12479")</f>
        <v>-33.51326-71.12479</v>
      </c>
      <c r="C4752" s="6" t="str">
        <f ca="1">IFERROR(__xludf.DUMMYFUNCTION("""COMPUTED_VALUE"""),"ALCALDE EDUARDO GARAY 428")</f>
        <v>ALCALDE EDUARDO GARAY 428</v>
      </c>
      <c r="D4752" s="6" t="str">
        <f ca="1">IFERROR(__xludf.DUMMYFUNCTION("""COMPUTED_VALUE"""),"MARIA PINTO")</f>
        <v>MARIA PINTO</v>
      </c>
    </row>
    <row r="4753" spans="1:4">
      <c r="A4753" s="7">
        <f ca="1">IFERROR(__xludf.DUMMYFUNCTION("""COMPUTED_VALUE"""),44440)</f>
        <v>44440</v>
      </c>
      <c r="B4753" s="6" t="str">
        <f ca="1">IFERROR(__xludf.DUMMYFUNCTION("""COMPUTED_VALUE"""),"-33.416747-71.003139")</f>
        <v>-33.416747-71.003139</v>
      </c>
      <c r="C4753" s="6" t="str">
        <f ca="1">IFERROR(__xludf.DUMMYFUNCTION("""COMPUTED_VALUE"""),"LA AURORA S/N")</f>
        <v>LA AURORA S/N</v>
      </c>
      <c r="D4753" s="6" t="str">
        <f ca="1">IFERROR(__xludf.DUMMYFUNCTION("""COMPUTED_VALUE"""),"CURACAVI")</f>
        <v>CURACAVI</v>
      </c>
    </row>
    <row r="4754" spans="1:4">
      <c r="A4754" s="7">
        <f ca="1">IFERROR(__xludf.DUMMYFUNCTION("""COMPUTED_VALUE"""),44440)</f>
        <v>44440</v>
      </c>
      <c r="B4754" s="6" t="str">
        <f ca="1">IFERROR(__xludf.DUMMYFUNCTION("""COMPUTED_VALUE"""),"-33.371776-71.137168")</f>
        <v>-33.371776-71.137168</v>
      </c>
      <c r="C4754" s="6" t="str">
        <f ca="1">IFERROR(__xludf.DUMMYFUNCTION("""COMPUTED_VALUE"""),"HIJUELA DEL CAMPO S/N")</f>
        <v>HIJUELA DEL CAMPO S/N</v>
      </c>
      <c r="D4754" s="6" t="str">
        <f ca="1">IFERROR(__xludf.DUMMYFUNCTION("""COMPUTED_VALUE"""),"CURACAVI")</f>
        <v>CURACAVI</v>
      </c>
    </row>
    <row r="4755" spans="1:4">
      <c r="A4755" s="7">
        <f ca="1">IFERROR(__xludf.DUMMYFUNCTION("""COMPUTED_VALUE"""),44440)</f>
        <v>44440</v>
      </c>
      <c r="B4755" s="6" t="str">
        <f ca="1">IFERROR(__xludf.DUMMYFUNCTION("""COMPUTED_VALUE"""),"-33.663865,-70.931405")</f>
        <v>-33.663865,-70.931405</v>
      </c>
      <c r="C4755" s="6" t="str">
        <f ca="1">IFERROR(__xludf.DUMMYFUNCTION("""COMPUTED_VALUE"""),"ENRIQUE ALCALDE 1272")</f>
        <v>ENRIQUE ALCALDE 1272</v>
      </c>
      <c r="D4755" s="6" t="str">
        <f ca="1">IFERROR(__xludf.DUMMYFUNCTION("""COMPUTED_VALUE"""),"TALAGANTE")</f>
        <v>TALAGANTE</v>
      </c>
    </row>
    <row r="4756" spans="1:4">
      <c r="A4756" s="7">
        <f ca="1">IFERROR(__xludf.DUMMYFUNCTION("""COMPUTED_VALUE"""),44440)</f>
        <v>44440</v>
      </c>
      <c r="B4756" s="8" t="str">
        <f ca="1">IFERROR(__xludf.DUMMYFUNCTION("""COMPUTED_VALUE"""),"-33.690828,-70.850662")</f>
        <v>-33.690828,-70.850662</v>
      </c>
      <c r="C4756" s="6" t="str">
        <f ca="1">IFERROR(__xludf.DUMMYFUNCTION("""COMPUTED_VALUE"""),"EL PAPAGALLO PARCELA 2")</f>
        <v>EL PAPAGALLO PARCELA 2</v>
      </c>
      <c r="D4756" s="6" t="str">
        <f ca="1">IFERROR(__xludf.DUMMYFUNCTION("""COMPUTED_VALUE"""),"TALAGANTE")</f>
        <v>TALAGANTE</v>
      </c>
    </row>
    <row r="4757" spans="1:4">
      <c r="A4757" s="7">
        <f ca="1">IFERROR(__xludf.DUMMYFUNCTION("""COMPUTED_VALUE"""),44440)</f>
        <v>44440</v>
      </c>
      <c r="B4757" s="8" t="str">
        <f ca="1">IFERROR(__xludf.DUMMYFUNCTION("""COMPUTED_VALUE"""),"-33.667796,-70.925520")</f>
        <v>-33.667796,-70.925520</v>
      </c>
      <c r="C4757" s="6" t="str">
        <f ca="1">IFERROR(__xludf.DUMMYFUNCTION("""COMPUTED_VALUE"""),"JUANA CANALES 1200")</f>
        <v>JUANA CANALES 1200</v>
      </c>
      <c r="D4757" s="6" t="str">
        <f ca="1">IFERROR(__xludf.DUMMYFUNCTION("""COMPUTED_VALUE"""),"TALAGANTE")</f>
        <v>TALAGANTE</v>
      </c>
    </row>
    <row r="4758" spans="1:4">
      <c r="A4758" s="7">
        <f ca="1">IFERROR(__xludf.DUMMYFUNCTION("""COMPUTED_VALUE"""),44441)</f>
        <v>44441</v>
      </c>
      <c r="B4758" s="8" t="str">
        <f ca="1">IFERROR(__xludf.DUMMYFUNCTION("""COMPUTED_VALUE"""),"-33.748415,-70.895404")</f>
        <v>-33.748415,-70.895404</v>
      </c>
      <c r="C4758" s="6" t="str">
        <f ca="1">IFERROR(__xludf.DUMMYFUNCTION("""COMPUTED_VALUE"""),"EJERCITO LIBERTADOR 92 ")</f>
        <v xml:space="preserve">EJERCITO LIBERTADOR 92 </v>
      </c>
      <c r="D4758" s="6" t="str">
        <f ca="1">IFERROR(__xludf.DUMMYFUNCTION("""COMPUTED_VALUE"""),"ISLA DE MAIPO")</f>
        <v>ISLA DE MAIPO</v>
      </c>
    </row>
    <row r="4759" spans="1:4">
      <c r="A4759" s="7">
        <f ca="1">IFERROR(__xludf.DUMMYFUNCTION("""COMPUTED_VALUE"""),44441)</f>
        <v>44441</v>
      </c>
      <c r="B4759" s="8" t="str">
        <f ca="1">IFERROR(__xludf.DUMMYFUNCTION("""COMPUTED_VALUE"""),"-33.770975,-70.882508")</f>
        <v>-33.770975,-70.882508</v>
      </c>
      <c r="C4759" s="6" t="str">
        <f ca="1">IFERROR(__xludf.DUMMYFUNCTION("""COMPUTED_VALUE"""),"OLEA 2501 ")</f>
        <v xml:space="preserve">OLEA 2501 </v>
      </c>
      <c r="D4759" s="6" t="str">
        <f ca="1">IFERROR(__xludf.DUMMYFUNCTION("""COMPUTED_VALUE"""),"ISLA DE MAIPO")</f>
        <v>ISLA DE MAIPO</v>
      </c>
    </row>
    <row r="4760" spans="1:4">
      <c r="A4760" s="7">
        <f ca="1">IFERROR(__xludf.DUMMYFUNCTION("""COMPUTED_VALUE"""),44441)</f>
        <v>44441</v>
      </c>
      <c r="B4760" s="8" t="str">
        <f ca="1">IFERROR(__xludf.DUMMYFUNCTION("""COMPUTED_VALUE"""),"-33.734445,-70.860601")</f>
        <v>-33.734445,-70.860601</v>
      </c>
      <c r="C4760" s="6" t="str">
        <f ca="1">IFERROR(__xludf.DUMMYFUNCTION("""COMPUTED_VALUE"""),"SANTA INES 245")</f>
        <v>SANTA INES 245</v>
      </c>
      <c r="D4760" s="6" t="str">
        <f ca="1">IFERROR(__xludf.DUMMYFUNCTION("""COMPUTED_VALUE"""),"ISLA DE MAIPO")</f>
        <v>ISLA DE MAIPO</v>
      </c>
    </row>
    <row r="4761" spans="1:4">
      <c r="A4761" s="7">
        <f ca="1">IFERROR(__xludf.DUMMYFUNCTION("""COMPUTED_VALUE"""),44441)</f>
        <v>44441</v>
      </c>
      <c r="B4761" s="8" t="str">
        <f ca="1">IFERROR(__xludf.DUMMYFUNCTION("""COMPUTED_VALUE"""),"-33.747613,-70.870835")</f>
        <v>-33.747613,-70.870835</v>
      </c>
      <c r="C4761" s="6" t="str">
        <f ca="1">IFERROR(__xludf.DUMMYFUNCTION("""COMPUTED_VALUE"""),"EL PERAL 297")</f>
        <v>EL PERAL 297</v>
      </c>
      <c r="D4761" s="6" t="str">
        <f ca="1">IFERROR(__xludf.DUMMYFUNCTION("""COMPUTED_VALUE"""),"ISLA DE MAIPO")</f>
        <v>ISLA DE MAIPO</v>
      </c>
    </row>
    <row r="4762" spans="1:4">
      <c r="A4762" s="7">
        <f ca="1">IFERROR(__xludf.DUMMYFUNCTION("""COMPUTED_VALUE"""),44441)</f>
        <v>44441</v>
      </c>
      <c r="B4762" s="8" t="str">
        <f ca="1">IFERROR(__xludf.DUMMYFUNCTION("""COMPUTED_VALUE"""),"-33.774053,-70.895861")</f>
        <v>-33.774053,-70.895861</v>
      </c>
      <c r="C4762" s="6" t="str">
        <f ca="1">IFERROR(__xludf.DUMMYFUNCTION("""COMPUTED_VALUE"""),"Olea 2501 villita arriba sitio 1a")</f>
        <v>Olea 2501 villita arriba sitio 1a</v>
      </c>
      <c r="D4762" s="6" t="str">
        <f ca="1">IFERROR(__xludf.DUMMYFUNCTION("""COMPUTED_VALUE"""),"ISLA DE MAIPO")</f>
        <v>ISLA DE MAIPO</v>
      </c>
    </row>
    <row r="4763" spans="1:4">
      <c r="A4763" s="7">
        <f ca="1">IFERROR(__xludf.DUMMYFUNCTION("""COMPUTED_VALUE"""),44441)</f>
        <v>44441</v>
      </c>
      <c r="B4763" s="8" t="str">
        <f ca="1">IFERROR(__xludf.DUMMYFUNCTION("""COMPUTED_VALUE"""),"-33.7543793, -70.894245")</f>
        <v>-33.7543793, -70.894245</v>
      </c>
      <c r="C4763" s="6" t="str">
        <f ca="1">IFERROR(__xludf.DUMMYFUNCTION("""COMPUTED_VALUE"""),"LILLO 300")</f>
        <v>LILLO 300</v>
      </c>
      <c r="D4763" s="6" t="str">
        <f ca="1">IFERROR(__xludf.DUMMYFUNCTION("""COMPUTED_VALUE"""),"ISLA DE MAIPO")</f>
        <v>ISLA DE MAIPO</v>
      </c>
    </row>
    <row r="4764" spans="1:4">
      <c r="A4764" s="7">
        <f ca="1">IFERROR(__xludf.DUMMYFUNCTION("""COMPUTED_VALUE"""),44441)</f>
        <v>44441</v>
      </c>
      <c r="B4764" s="8" t="str">
        <f ca="1">IFERROR(__xludf.DUMMYFUNCTION("""COMPUTED_VALUE"""),"-33.7362309, -71.020902")</f>
        <v>-33.7362309, -71.020902</v>
      </c>
      <c r="C4764" s="6" t="str">
        <f ca="1">IFERROR(__xludf.DUMMYFUNCTION("""COMPUTED_VALUE"""),"Los Acacios 45,")</f>
        <v>Los Acacios 45,</v>
      </c>
      <c r="D4764" s="6" t="str">
        <f ca="1">IFERROR(__xludf.DUMMYFUNCTION("""COMPUTED_VALUE"""),"ISLA DE MAIPO")</f>
        <v>ISLA DE MAIPO</v>
      </c>
    </row>
    <row r="4765" spans="1:4">
      <c r="A4765" s="7">
        <f ca="1">IFERROR(__xludf.DUMMYFUNCTION("""COMPUTED_VALUE"""),44441)</f>
        <v>44441</v>
      </c>
      <c r="B4765" s="8" t="str">
        <f ca="1">IFERROR(__xludf.DUMMYFUNCTION("""COMPUTED_VALUE"""),"-33.7362309, -71.020902")</f>
        <v>-33.7362309, -71.020902</v>
      </c>
      <c r="C4765" s="6" t="str">
        <f ca="1">IFERROR(__xludf.DUMMYFUNCTION("""COMPUTED_VALUE"""),"Los Acacios 45,")</f>
        <v>Los Acacios 45,</v>
      </c>
      <c r="D4765" s="6" t="str">
        <f ca="1">IFERROR(__xludf.DUMMYFUNCTION("""COMPUTED_VALUE"""),"ISLA DE MAIPO")</f>
        <v>ISLA DE MAIPO</v>
      </c>
    </row>
    <row r="4766" spans="1:4">
      <c r="A4766" s="7">
        <f ca="1">IFERROR(__xludf.DUMMYFUNCTION("""COMPUTED_VALUE"""),44441)</f>
        <v>44441</v>
      </c>
      <c r="B4766" s="8" t="str">
        <f ca="1">IFERROR(__xludf.DUMMYFUNCTION("""COMPUTED_VALUE"""),"-33.7386034, -70.858483")</f>
        <v>-33.7386034, -70.858483</v>
      </c>
      <c r="C4766" s="6" t="str">
        <f ca="1">IFERROR(__xludf.DUMMYFUNCTION("""COMPUTED_VALUE"""),"El tatio 132")</f>
        <v>El tatio 132</v>
      </c>
      <c r="D4766" s="6" t="str">
        <f ca="1">IFERROR(__xludf.DUMMYFUNCTION("""COMPUTED_VALUE"""),"ISLA DE MAIPO")</f>
        <v>ISLA DE MAIPO</v>
      </c>
    </row>
    <row r="4767" spans="1:4">
      <c r="A4767" s="7">
        <f ca="1">IFERROR(__xludf.DUMMYFUNCTION("""COMPUTED_VALUE"""),44441)</f>
        <v>44441</v>
      </c>
      <c r="B4767" s="8" t="str">
        <f ca="1">IFERROR(__xludf.DUMMYFUNCTION("""COMPUTED_VALUE"""),"-33.7386034, -70.858483")</f>
        <v>-33.7386034, -70.858483</v>
      </c>
      <c r="C4767" s="6" t="str">
        <f ca="1">IFERROR(__xludf.DUMMYFUNCTION("""COMPUTED_VALUE"""),"El tatio 132")</f>
        <v>El tatio 132</v>
      </c>
      <c r="D4767" s="6" t="str">
        <f ca="1">IFERROR(__xludf.DUMMYFUNCTION("""COMPUTED_VALUE"""),"ISLA DE MAIPO")</f>
        <v>ISLA DE MAIPO</v>
      </c>
    </row>
    <row r="4768" spans="1:4">
      <c r="A4768" s="7">
        <f ca="1">IFERROR(__xludf.DUMMYFUNCTION("""COMPUTED_VALUE"""),44441)</f>
        <v>44441</v>
      </c>
      <c r="B4768" s="8" t="str">
        <f ca="1">IFERROR(__xludf.DUMMYFUNCTION("""COMPUTED_VALUE"""),"-33.775983, -70.868423")</f>
        <v>-33.775983, -70.868423</v>
      </c>
      <c r="C4768" s="6" t="str">
        <f ca="1">IFERROR(__xludf.DUMMYFUNCTION("""COMPUTED_VALUE"""),"Calle olea 4977")</f>
        <v>Calle olea 4977</v>
      </c>
      <c r="D4768" s="6" t="str">
        <f ca="1">IFERROR(__xludf.DUMMYFUNCTION("""COMPUTED_VALUE"""),"ISLA DE MAIPO")</f>
        <v>ISLA DE MAIPO</v>
      </c>
    </row>
    <row r="4769" spans="1:4">
      <c r="A4769" s="7">
        <f ca="1">IFERROR(__xludf.DUMMYFUNCTION("""COMPUTED_VALUE"""),44441)</f>
        <v>44441</v>
      </c>
      <c r="B4769" s="6" t="str">
        <f ca="1">IFERROR(__xludf.DUMMYFUNCTION("""COMPUTED_VALUE"""),"-33.647415,-71.149906")</f>
        <v>-33.647415,-71.149906</v>
      </c>
      <c r="C4769" s="6" t="str">
        <f ca="1">IFERROR(__xludf.DUMMYFUNCTION("""COMPUTED_VALUE"""),"ROBERTO BRAVO  531")</f>
        <v>ROBERTO BRAVO  531</v>
      </c>
      <c r="D4769" s="6" t="str">
        <f ca="1">IFERROR(__xludf.DUMMYFUNCTION("""COMPUTED_VALUE"""),"MELIPILLA")</f>
        <v>MELIPILLA</v>
      </c>
    </row>
    <row r="4770" spans="1:4">
      <c r="A4770" s="7">
        <f ca="1">IFERROR(__xludf.DUMMYFUNCTION("""COMPUTED_VALUE"""),44441)</f>
        <v>44441</v>
      </c>
      <c r="B4770" s="8" t="str">
        <f ca="1">IFERROR(__xludf.DUMMYFUNCTION("""COMPUTED_VALUE"""),"-33.695910,-71.220711")</f>
        <v>-33.695910,-71.220711</v>
      </c>
      <c r="C4770" s="6" t="str">
        <f ca="1">IFERROR(__xludf.DUMMYFUNCTION("""COMPUTED_VALUE"""),"BULNES 943")</f>
        <v>BULNES 943</v>
      </c>
      <c r="D4770" s="6" t="str">
        <f ca="1">IFERROR(__xludf.DUMMYFUNCTION("""COMPUTED_VALUE"""),"MELIPILLA")</f>
        <v>MELIPILLA</v>
      </c>
    </row>
    <row r="4771" spans="1:4">
      <c r="A4771" s="7">
        <f ca="1">IFERROR(__xludf.DUMMYFUNCTION("""COMPUTED_VALUE"""),44442)</f>
        <v>44442</v>
      </c>
      <c r="B4771" s="8" t="str">
        <f ca="1">IFERROR(__xludf.DUMMYFUNCTION("""COMPUTED_VALUE"""),"-33.749935, -70.863154")</f>
        <v>-33.749935, -70.863154</v>
      </c>
      <c r="C4771" s="6" t="str">
        <f ca="1">IFERROR(__xludf.DUMMYFUNCTION("""COMPUTED_VALUE"""),"Las codornices 3046,")</f>
        <v>Las codornices 3046,</v>
      </c>
      <c r="D4771" s="6" t="str">
        <f ca="1">IFERROR(__xludf.DUMMYFUNCTION("""COMPUTED_VALUE"""),"ISLA DE MAIPO")</f>
        <v>ISLA DE MAIPO</v>
      </c>
    </row>
    <row r="4772" spans="1:4">
      <c r="A4772" s="7">
        <f ca="1">IFERROR(__xludf.DUMMYFUNCTION("""COMPUTED_VALUE"""),44442)</f>
        <v>44442</v>
      </c>
      <c r="B4772" s="8" t="str">
        <f ca="1">IFERROR(__xludf.DUMMYFUNCTION("""COMPUTED_VALUE"""),"-33.7448922, -70.870565")</f>
        <v>-33.7448922, -70.870565</v>
      </c>
      <c r="C4772" s="6" t="str">
        <f ca="1">IFERROR(__xludf.DUMMYFUNCTION("""COMPUTED_VALUE"""),"Pasaje hugo corvalan 460,")</f>
        <v>Pasaje hugo corvalan 460,</v>
      </c>
      <c r="D4772" s="6" t="str">
        <f ca="1">IFERROR(__xludf.DUMMYFUNCTION("""COMPUTED_VALUE"""),"ISLA DE MAIPO")</f>
        <v>ISLA DE MAIPO</v>
      </c>
    </row>
    <row r="4773" spans="1:4">
      <c r="A4773" s="7">
        <f ca="1">IFERROR(__xludf.DUMMYFUNCTION("""COMPUTED_VALUE"""),44442)</f>
        <v>44442</v>
      </c>
      <c r="B4773" s="8" t="str">
        <f ca="1">IFERROR(__xludf.DUMMYFUNCTION("""COMPUTED_VALUE"""),"-33.7351338, -71.019984")</f>
        <v>-33.7351338, -71.019984</v>
      </c>
      <c r="C4773" s="6" t="str">
        <f ca="1">IFERROR(__xludf.DUMMYFUNCTION("""COMPUTED_VALUE"""),"Los Acacios 35,")</f>
        <v>Los Acacios 35,</v>
      </c>
      <c r="D4773" s="6" t="str">
        <f ca="1">IFERROR(__xludf.DUMMYFUNCTION("""COMPUTED_VALUE"""),"ISLA DE MAIPO")</f>
        <v>ISLA DE MAIPO</v>
      </c>
    </row>
    <row r="4774" spans="1:4">
      <c r="A4774" s="7">
        <f ca="1">IFERROR(__xludf.DUMMYFUNCTION("""COMPUTED_VALUE"""),44442)</f>
        <v>44442</v>
      </c>
      <c r="B4774" s="8" t="str">
        <f ca="1">IFERROR(__xludf.DUMMYFUNCTION("""COMPUTED_VALUE"""),"-33.7471277, -70.869699")</f>
        <v>-33.7471277, -70.869699</v>
      </c>
      <c r="C4774" s="6" t="str">
        <f ca="1">IFERROR(__xludf.DUMMYFUNCTION("""COMPUTED_VALUE"""),"Los kiwis 21")</f>
        <v>Los kiwis 21</v>
      </c>
      <c r="D4774" s="6" t="str">
        <f ca="1">IFERROR(__xludf.DUMMYFUNCTION("""COMPUTED_VALUE"""),"ISLA DE MAIPO")</f>
        <v>ISLA DE MAIPO</v>
      </c>
    </row>
    <row r="4775" spans="1:4">
      <c r="A4775" s="7">
        <f ca="1">IFERROR(__xludf.DUMMYFUNCTION("""COMPUTED_VALUE"""),44442)</f>
        <v>44442</v>
      </c>
      <c r="B4775" s="8" t="str">
        <f ca="1">IFERROR(__xludf.DUMMYFUNCTION("""COMPUTED_VALUE"""),"-33.765697, -71.019435")</f>
        <v>-33.765697, -71.019435</v>
      </c>
      <c r="C4775" s="6" t="str">
        <f ca="1">IFERROR(__xludf.DUMMYFUNCTION("""COMPUTED_VALUE"""),"SAn Antonio 45,")</f>
        <v>SAn Antonio 45,</v>
      </c>
      <c r="D4775" s="6" t="str">
        <f ca="1">IFERROR(__xludf.DUMMYFUNCTION("""COMPUTED_VALUE"""),"ISLA DE MAIPO")</f>
        <v>ISLA DE MAIPO</v>
      </c>
    </row>
    <row r="4776" spans="1:4">
      <c r="A4776" s="7">
        <f ca="1">IFERROR(__xludf.DUMMYFUNCTION("""COMPUTED_VALUE"""),44442)</f>
        <v>44442</v>
      </c>
      <c r="B4776" s="6" t="str">
        <f ca="1">IFERROR(__xludf.DUMMYFUNCTION("""COMPUTED_VALUE"""),"-33.780829,-70794023")</f>
        <v>-33.780829,-70794023</v>
      </c>
      <c r="C4776" s="6" t="str">
        <f ca="1">IFERROR(__xludf.DUMMYFUNCTION("""COMPUTED_VALUE"""),"LAS ACACIAS 5890")</f>
        <v>LAS ACACIAS 5890</v>
      </c>
      <c r="D4776" s="6" t="str">
        <f ca="1">IFERROR(__xludf.DUMMYFUNCTION("""COMPUTED_VALUE"""),"BUIN")</f>
        <v>BUIN</v>
      </c>
    </row>
    <row r="4777" spans="1:4">
      <c r="A4777" s="7">
        <f ca="1">IFERROR(__xludf.DUMMYFUNCTION("""COMPUTED_VALUE"""),44442)</f>
        <v>44442</v>
      </c>
      <c r="B4777" s="6" t="str">
        <f ca="1">IFERROR(__xludf.DUMMYFUNCTION("""COMPUTED_VALUE"""),"-33.680172,-71.205470")</f>
        <v>-33.680172,-71.205470</v>
      </c>
      <c r="C4777" s="6" t="str">
        <f ca="1">IFERROR(__xludf.DUMMYFUNCTION("""COMPUTED_VALUE"""),"PASAJE DOCTOR  H JARA  44")</f>
        <v>PASAJE DOCTOR  H JARA  44</v>
      </c>
      <c r="D4777" s="6" t="str">
        <f ca="1">IFERROR(__xludf.DUMMYFUNCTION("""COMPUTED_VALUE"""),"MELIPILLA")</f>
        <v>MELIPILLA</v>
      </c>
    </row>
    <row r="4778" spans="1:4">
      <c r="A4778" s="7">
        <f ca="1">IFERROR(__xludf.DUMMYFUNCTION("""COMPUTED_VALUE"""),44442)</f>
        <v>44442</v>
      </c>
      <c r="B4778" s="8" t="str">
        <f ca="1">IFERROR(__xludf.DUMMYFUNCTION("""COMPUTED_VALUE"""),"-33.687621,-70.850910")</f>
        <v>-33.687621,-70.850910</v>
      </c>
      <c r="C4778" s="6" t="str">
        <f ca="1">IFERROR(__xludf.DUMMYFUNCTION("""COMPUTED_VALUE"""),"LOS PERNOS 317")</f>
        <v>LOS PERNOS 317</v>
      </c>
      <c r="D4778" s="6" t="str">
        <f ca="1">IFERROR(__xludf.DUMMYFUNCTION("""COMPUTED_VALUE"""),"TALAGANTE")</f>
        <v>TALAGANTE</v>
      </c>
    </row>
    <row r="4779" spans="1:4">
      <c r="A4779" s="7">
        <f ca="1">IFERROR(__xludf.DUMMYFUNCTION("""COMPUTED_VALUE"""),44442)</f>
        <v>44442</v>
      </c>
      <c r="B4779" s="8" t="str">
        <f ca="1">IFERROR(__xludf.DUMMYFUNCTION("""COMPUTED_VALUE"""),"-33.676399,-70.947288")</f>
        <v>-33.676399,-70.947288</v>
      </c>
      <c r="C4779" s="6" t="str">
        <f ca="1">IFERROR(__xludf.DUMMYFUNCTION("""COMPUTED_VALUE"""),"GUACOLDA 2912")</f>
        <v>GUACOLDA 2912</v>
      </c>
      <c r="D4779" s="6" t="str">
        <f ca="1">IFERROR(__xludf.DUMMYFUNCTION("""COMPUTED_VALUE"""),"TALAGANTE")</f>
        <v>TALAGANTE</v>
      </c>
    </row>
    <row r="4780" spans="1:4">
      <c r="A4780" s="7">
        <f ca="1">IFERROR(__xludf.DUMMYFUNCTION("""COMPUTED_VALUE"""),44443)</f>
        <v>44443</v>
      </c>
      <c r="B4780" s="6" t="str">
        <f ca="1">IFERROR(__xludf.DUMMYFUNCTION("""COMPUTED_VALUE"""),"-33.4309820-71.1430310")</f>
        <v>-33.4309820-71.1430310</v>
      </c>
      <c r="C4780" s="6" t="str">
        <f ca="1">IFERROR(__xludf.DUMMYFUNCTION("""COMPUTED_VALUE"""),"LO AGUILA 155")</f>
        <v>LO AGUILA 155</v>
      </c>
      <c r="D4780" s="6" t="str">
        <f ca="1">IFERROR(__xludf.DUMMYFUNCTION("""COMPUTED_VALUE"""),"CURACAVI")</f>
        <v>CURACAVI</v>
      </c>
    </row>
    <row r="4781" spans="1:4">
      <c r="A4781" s="7">
        <f ca="1">IFERROR(__xludf.DUMMYFUNCTION("""COMPUTED_VALUE"""),44443)</f>
        <v>44443</v>
      </c>
      <c r="B4781" s="6" t="str">
        <f ca="1">IFERROR(__xludf.DUMMYFUNCTION("""COMPUTED_VALUE"""),"-33.373228-71.138308")</f>
        <v>-33.373228-71.138308</v>
      </c>
      <c r="C4781" s="6" t="str">
        <f ca="1">IFERROR(__xludf.DUMMYFUNCTION("""COMPUTED_VALUE"""),"LOS MAQUIS PARCELA 47")</f>
        <v>LOS MAQUIS PARCELA 47</v>
      </c>
      <c r="D4781" s="6" t="str">
        <f ca="1">IFERROR(__xludf.DUMMYFUNCTION("""COMPUTED_VALUE"""),"CURACAVI")</f>
        <v>CURACAVI</v>
      </c>
    </row>
    <row r="4782" spans="1:4">
      <c r="A4782" s="7">
        <f ca="1">IFERROR(__xludf.DUMMYFUNCTION("""COMPUTED_VALUE"""),44443)</f>
        <v>44443</v>
      </c>
      <c r="B4782" s="6" t="str">
        <f ca="1">IFERROR(__xludf.DUMMYFUNCTION("""COMPUTED_VALUE"""),"-33.499910,-71.000871")</f>
        <v>-33.499910,-71.000871</v>
      </c>
      <c r="C4782" s="6" t="str">
        <f ca="1">IFERROR(__xludf.DUMMYFUNCTION("""COMPUTED_VALUE"""),"LA PATAQUILLA 47 LOTE 2 B ")</f>
        <v xml:space="preserve">LA PATAQUILLA 47 LOTE 2 B </v>
      </c>
      <c r="D4782" s="6" t="str">
        <f ca="1">IFERROR(__xludf.DUMMYFUNCTION("""COMPUTED_VALUE"""),"CURACAVI")</f>
        <v>CURACAVI</v>
      </c>
    </row>
    <row r="4783" spans="1:4">
      <c r="A4783" s="7">
        <f ca="1">IFERROR(__xludf.DUMMYFUNCTION("""COMPUTED_VALUE"""),44445)</f>
        <v>44445</v>
      </c>
      <c r="B4783" s="8" t="str">
        <f ca="1">IFERROR(__xludf.DUMMYFUNCTION("""COMPUTED_VALUE"""),"-33.771277, -70.869699")</f>
        <v>-33.771277, -70.869699</v>
      </c>
      <c r="C4783" s="6" t="str">
        <f ca="1">IFERROR(__xludf.DUMMYFUNCTION("""COMPUTED_VALUE"""),"Olea 2501 lote 3")</f>
        <v>Olea 2501 lote 3</v>
      </c>
      <c r="D4783" s="6" t="str">
        <f ca="1">IFERROR(__xludf.DUMMYFUNCTION("""COMPUTED_VALUE"""),"ISLA DE MAIPO")</f>
        <v>ISLA DE MAIPO</v>
      </c>
    </row>
    <row r="4784" spans="1:4">
      <c r="A4784" s="7">
        <f ca="1">IFERROR(__xludf.DUMMYFUNCTION("""COMPUTED_VALUE"""),44445)</f>
        <v>44445</v>
      </c>
      <c r="B4784" s="8" t="str">
        <f ca="1">IFERROR(__xludf.DUMMYFUNCTION("""COMPUTED_VALUE"""),"-33.7847873, -70.894099")</f>
        <v>-33.7847873, -70.894099</v>
      </c>
      <c r="C4784" s="6" t="str">
        <f ca="1">IFERROR(__xludf.DUMMYFUNCTION("""COMPUTED_VALUE"""),"san martirian 155,")</f>
        <v>san martirian 155,</v>
      </c>
      <c r="D4784" s="6" t="str">
        <f ca="1">IFERROR(__xludf.DUMMYFUNCTION("""COMPUTED_VALUE"""),"ISLA DE MAIPO")</f>
        <v>ISLA DE MAIPO</v>
      </c>
    </row>
    <row r="4785" spans="1:4">
      <c r="A4785" s="7">
        <f ca="1">IFERROR(__xludf.DUMMYFUNCTION("""COMPUTED_VALUE"""),44445)</f>
        <v>44445</v>
      </c>
      <c r="B4785" s="8" t="str">
        <f ca="1">IFERROR(__xludf.DUMMYFUNCTION("""COMPUTED_VALUE"""),"-33.785584, -70.889038")</f>
        <v>-33.785584, -70.889038</v>
      </c>
      <c r="C4785" s="6" t="str">
        <f ca="1">IFERROR(__xludf.DUMMYFUNCTION("""COMPUTED_VALUE"""),"San martirian 646,")</f>
        <v>San martirian 646,</v>
      </c>
      <c r="D4785" s="6" t="str">
        <f ca="1">IFERROR(__xludf.DUMMYFUNCTION("""COMPUTED_VALUE"""),"ISLA DE MAIPO")</f>
        <v>ISLA DE MAIPO</v>
      </c>
    </row>
    <row r="4786" spans="1:4">
      <c r="A4786" s="7">
        <f ca="1">IFERROR(__xludf.DUMMYFUNCTION("""COMPUTED_VALUE"""),44445)</f>
        <v>44445</v>
      </c>
      <c r="B4786" s="8" t="str">
        <f ca="1">IFERROR(__xludf.DUMMYFUNCTION("""COMPUTED_VALUE"""),"-33.747477, -70.870945")</f>
        <v>-33.747477, -70.870945</v>
      </c>
      <c r="C4786" s="6" t="str">
        <f ca="1">IFERROR(__xludf.DUMMYFUNCTION("""COMPUTED_VALUE"""),"Pasaje dos 492 isla")</f>
        <v>Pasaje dos 492 isla</v>
      </c>
      <c r="D4786" s="6" t="str">
        <f ca="1">IFERROR(__xludf.DUMMYFUNCTION("""COMPUTED_VALUE"""),"ISLA DE MAIPO")</f>
        <v>ISLA DE MAIPO</v>
      </c>
    </row>
    <row r="4787" spans="1:4">
      <c r="A4787" s="7">
        <f ca="1">IFERROR(__xludf.DUMMYFUNCTION("""COMPUTED_VALUE"""),44445)</f>
        <v>44445</v>
      </c>
      <c r="B4787" s="8" t="str">
        <f ca="1">IFERROR(__xludf.DUMMYFUNCTION("""COMPUTED_VALUE"""),"-33.748463, -70.870729")</f>
        <v>-33.748463, -70.870729</v>
      </c>
      <c r="C4787" s="6" t="str">
        <f ca="1">IFERROR(__xludf.DUMMYFUNCTION("""COMPUTED_VALUE"""),"Las frutas 3240,")</f>
        <v>Las frutas 3240,</v>
      </c>
      <c r="D4787" s="6" t="str">
        <f ca="1">IFERROR(__xludf.DUMMYFUNCTION("""COMPUTED_VALUE"""),"ISLA DE MAIPO")</f>
        <v>ISLA DE MAIPO</v>
      </c>
    </row>
    <row r="4788" spans="1:4">
      <c r="A4788" s="7">
        <f ca="1">IFERROR(__xludf.DUMMYFUNCTION("""COMPUTED_VALUE"""),44445)</f>
        <v>44445</v>
      </c>
      <c r="B4788" s="8" t="str">
        <f ca="1">IFERROR(__xludf.DUMMYFUNCTION("""COMPUTED_VALUE"""),"-33.750383, -70.9004117")</f>
        <v>-33.750383, -70.9004117</v>
      </c>
      <c r="C4788" s="6" t="str">
        <f ca="1">IFERROR(__xludf.DUMMYFUNCTION("""COMPUTED_VALUE"""),"El tatio 153")</f>
        <v>El tatio 153</v>
      </c>
      <c r="D4788" s="6" t="str">
        <f ca="1">IFERROR(__xludf.DUMMYFUNCTION("""COMPUTED_VALUE"""),"ISLA DE MAIPO")</f>
        <v>ISLA DE MAIPO</v>
      </c>
    </row>
    <row r="4789" spans="1:4">
      <c r="A4789" s="7">
        <f ca="1">IFERROR(__xludf.DUMMYFUNCTION("""COMPUTED_VALUE"""),44445)</f>
        <v>44445</v>
      </c>
      <c r="B4789" s="6" t="str">
        <f ca="1">IFERROR(__xludf.DUMMYFUNCTION("""COMPUTED_VALUE"""),"-33.411309-71.042523")</f>
        <v>-33.411309-71.042523</v>
      </c>
      <c r="C4789" s="6" t="str">
        <f ca="1">IFERROR(__xludf.DUMMYFUNCTION("""COMPUTED_VALUE"""),"LOLENCO S/N S/25 L/6")</f>
        <v>LOLENCO S/N S/25 L/6</v>
      </c>
      <c r="D4789" s="6" t="str">
        <f ca="1">IFERROR(__xludf.DUMMYFUNCTION("""COMPUTED_VALUE"""),"CURACAVI")</f>
        <v>CURACAVI</v>
      </c>
    </row>
    <row r="4790" spans="1:4">
      <c r="A4790" s="7">
        <f ca="1">IFERROR(__xludf.DUMMYFUNCTION("""COMPUTED_VALUE"""),44445)</f>
        <v>44445</v>
      </c>
      <c r="B4790" s="6" t="str">
        <f ca="1">IFERROR(__xludf.DUMMYFUNCTION("""COMPUTED_VALUE"""),"-33.426932-71.043113")</f>
        <v>-33.426932-71.043113</v>
      </c>
      <c r="C4790" s="6" t="str">
        <f ca="1">IFERROR(__xludf.DUMMYFUNCTION("""COMPUTED_VALUE"""),"CUESTA BARRIGA S/N PARCELA 20")</f>
        <v>CUESTA BARRIGA S/N PARCELA 20</v>
      </c>
      <c r="D4790" s="6" t="str">
        <f ca="1">IFERROR(__xludf.DUMMYFUNCTION("""COMPUTED_VALUE"""),"CURACAVI")</f>
        <v>CURACAVI</v>
      </c>
    </row>
    <row r="4791" spans="1:4">
      <c r="A4791" s="7">
        <f ca="1">IFERROR(__xludf.DUMMYFUNCTION("""COMPUTED_VALUE"""),44445)</f>
        <v>44445</v>
      </c>
      <c r="B4791" s="6" t="str">
        <f ca="1">IFERROR(__xludf.DUMMYFUNCTION("""COMPUTED_VALUE"""),"-33.756571,-70811964")</f>
        <v>-33.756571,-70811964</v>
      </c>
      <c r="C4791" s="6" t="str">
        <f ca="1">IFERROR(__xludf.DUMMYFUNCTION("""COMPUTED_VALUE"""),"LA ESTANCILLA SITIO 12")</f>
        <v>LA ESTANCILLA SITIO 12</v>
      </c>
      <c r="D4791" s="6" t="str">
        <f ca="1">IFERROR(__xludf.DUMMYFUNCTION("""COMPUTED_VALUE"""),"BUIN")</f>
        <v>BUIN</v>
      </c>
    </row>
    <row r="4792" spans="1:4">
      <c r="A4792" s="7">
        <f ca="1">IFERROR(__xludf.DUMMYFUNCTION("""COMPUTED_VALUE"""),44445)</f>
        <v>44445</v>
      </c>
      <c r="B4792" s="6" t="str">
        <f ca="1">IFERROR(__xludf.DUMMYFUNCTION("""COMPUTED_VALUE"""),"-33.323626,-70.766067")</f>
        <v>-33.323626,-70.766067</v>
      </c>
      <c r="C4792" s="6" t="str">
        <f ca="1">IFERROR(__xludf.DUMMYFUNCTION("""COMPUTED_VALUE"""),"BLANCA ESTELA")</f>
        <v>BLANCA ESTELA</v>
      </c>
      <c r="D4792" s="6" t="str">
        <f ca="1">IFERROR(__xludf.DUMMYFUNCTION("""COMPUTED_VALUE"""),"EL MONTE")</f>
        <v>EL MONTE</v>
      </c>
    </row>
    <row r="4793" spans="1:4">
      <c r="A4793" s="7">
        <f ca="1">IFERROR(__xludf.DUMMYFUNCTION("""COMPUTED_VALUE"""),44446)</f>
        <v>44446</v>
      </c>
      <c r="B4793" s="8" t="str">
        <f ca="1">IFERROR(__xludf.DUMMYFUNCTION("""COMPUTED_VALUE"""),"-33.6899932,-71.1887254")</f>
        <v>-33.6899932,-71.1887254</v>
      </c>
      <c r="C4793" s="6" t="str">
        <f ca="1">IFERROR(__xludf.DUMMYFUNCTION("""COMPUTED_VALUE"""),"EL BAJO 26")</f>
        <v>EL BAJO 26</v>
      </c>
      <c r="D4793" s="6" t="str">
        <f ca="1">IFERROR(__xludf.DUMMYFUNCTION("""COMPUTED_VALUE"""),"MELIPILLA")</f>
        <v>MELIPILLA</v>
      </c>
    </row>
    <row r="4794" spans="1:4">
      <c r="A4794" s="7">
        <f ca="1">IFERROR(__xludf.DUMMYFUNCTION("""COMPUTED_VALUE"""),44446)</f>
        <v>44446</v>
      </c>
      <c r="B4794" s="8" t="str">
        <f ca="1">IFERROR(__xludf.DUMMYFUNCTION("""COMPUTED_VALUE"""),"-33.740435,-70.864617")</f>
        <v>-33.740435,-70.864617</v>
      </c>
      <c r="C4794" s="6" t="str">
        <f ca="1">IFERROR(__xludf.DUMMYFUNCTION("""COMPUTED_VALUE"""),"VISTA HERMOSA ")</f>
        <v xml:space="preserve">VISTA HERMOSA </v>
      </c>
      <c r="D4794" s="6" t="str">
        <f ca="1">IFERROR(__xludf.DUMMYFUNCTION("""COMPUTED_VALUE"""),"ISLA DE MAIPO")</f>
        <v>ISLA DE MAIPO</v>
      </c>
    </row>
    <row r="4795" spans="1:4">
      <c r="A4795" s="7">
        <f ca="1">IFERROR(__xludf.DUMMYFUNCTION("""COMPUTED_VALUE"""),44446)</f>
        <v>44446</v>
      </c>
      <c r="B4795" s="8" t="str">
        <f ca="1">IFERROR(__xludf.DUMMYFUNCTION("""COMPUTED_VALUE"""),"-33.742840-70.869740")</f>
        <v>-33.742840-70.869740</v>
      </c>
      <c r="C4795" s="6" t="str">
        <f ca="1">IFERROR(__xludf.DUMMYFUNCTION("""COMPUTED_VALUE"""),"MACIEL ZUÑIGA")</f>
        <v>MACIEL ZUÑIGA</v>
      </c>
      <c r="D4795" s="6" t="str">
        <f ca="1">IFERROR(__xludf.DUMMYFUNCTION("""COMPUTED_VALUE"""),"ISLA DE MAIPO")</f>
        <v>ISLA DE MAIPO</v>
      </c>
    </row>
    <row r="4796" spans="1:4">
      <c r="A4796" s="7">
        <f ca="1">IFERROR(__xludf.DUMMYFUNCTION("""COMPUTED_VALUE"""),44446)</f>
        <v>44446</v>
      </c>
      <c r="B4796" s="8" t="str">
        <f ca="1">IFERROR(__xludf.DUMMYFUNCTION("""COMPUTED_VALUE"""),"-33.785192,-70.893160")</f>
        <v>-33.785192,-70.893160</v>
      </c>
      <c r="C4796" s="6" t="str">
        <f ca="1">IFERROR(__xludf.DUMMYFUNCTION("""COMPUTED_VALUE"""),"SAN MARTIRIAN 112")</f>
        <v>SAN MARTIRIAN 112</v>
      </c>
      <c r="D4796" s="6" t="str">
        <f ca="1">IFERROR(__xludf.DUMMYFUNCTION("""COMPUTED_VALUE"""),"ISLA DE MAIPO")</f>
        <v>ISLA DE MAIPO</v>
      </c>
    </row>
    <row r="4797" spans="1:4">
      <c r="A4797" s="7">
        <f ca="1">IFERROR(__xludf.DUMMYFUNCTION("""COMPUTED_VALUE"""),44446)</f>
        <v>44446</v>
      </c>
      <c r="B4797" s="8" t="str">
        <f ca="1">IFERROR(__xludf.DUMMYFUNCTION("""COMPUTED_VALUE"""),"-33.739219,-70.866681")</f>
        <v>-33.739219,-70.866681</v>
      </c>
      <c r="C4797" s="6" t="str">
        <f ca="1">IFERROR(__xludf.DUMMYFUNCTION("""COMPUTED_VALUE"""),"VISTA HERMOSA 439")</f>
        <v>VISTA HERMOSA 439</v>
      </c>
      <c r="D4797" s="6" t="str">
        <f ca="1">IFERROR(__xludf.DUMMYFUNCTION("""COMPUTED_VALUE"""),"ISLA DE MAIPO")</f>
        <v>ISLA DE MAIPO</v>
      </c>
    </row>
    <row r="4798" spans="1:4">
      <c r="A4798" s="7">
        <f ca="1">IFERROR(__xludf.DUMMYFUNCTION("""COMPUTED_VALUE"""),44446)</f>
        <v>44446</v>
      </c>
      <c r="B4798" s="8" t="str">
        <f ca="1">IFERROR(__xludf.DUMMYFUNCTION("""COMPUTED_VALUE"""),"-33.662564,-70.931226")</f>
        <v>-33.662564,-70.931226</v>
      </c>
      <c r="C4798" s="6" t="str">
        <f ca="1">IFERROR(__xludf.DUMMYFUNCTION("""COMPUTED_VALUE"""),"EYZAGUIRRE 616")</f>
        <v>EYZAGUIRRE 616</v>
      </c>
      <c r="D4798" s="6" t="str">
        <f ca="1">IFERROR(__xludf.DUMMYFUNCTION("""COMPUTED_VALUE"""),"TALAGANTE")</f>
        <v>TALAGANTE</v>
      </c>
    </row>
    <row r="4799" spans="1:4">
      <c r="A4799" s="7">
        <f ca="1">IFERROR(__xludf.DUMMYFUNCTION("""COMPUTED_VALUE"""),44446)</f>
        <v>44446</v>
      </c>
      <c r="B4799" s="6" t="str">
        <f ca="1">IFERROR(__xludf.DUMMYFUNCTION("""COMPUTED_VALUE"""),"-33.3947513-71.2478929")</f>
        <v>-33.3947513-71.2478929</v>
      </c>
      <c r="C4799" s="6" t="str">
        <f ca="1">IFERROR(__xludf.DUMMYFUNCTION("""COMPUTED_VALUE"""),"LAS VERTIENTES 16")</f>
        <v>LAS VERTIENTES 16</v>
      </c>
      <c r="D4799" s="6" t="str">
        <f ca="1">IFERROR(__xludf.DUMMYFUNCTION("""COMPUTED_VALUE"""),"CURACAVI")</f>
        <v>CURACAVI</v>
      </c>
    </row>
    <row r="4800" spans="1:4">
      <c r="A4800" s="7">
        <f ca="1">IFERROR(__xludf.DUMMYFUNCTION("""COMPUTED_VALUE"""),44446)</f>
        <v>44446</v>
      </c>
      <c r="B4800" s="6" t="str">
        <f ca="1">IFERROR(__xludf.DUMMYFUNCTION("""COMPUTED_VALUE"""),"-33.408036-71.127781")</f>
        <v>-33.408036-71.127781</v>
      </c>
      <c r="C4800" s="6" t="str">
        <f ca="1">IFERROR(__xludf.DUMMYFUNCTION("""COMPUTED_VALUE"""),"LOS PICAFLORES 1814")</f>
        <v>LOS PICAFLORES 1814</v>
      </c>
      <c r="D4800" s="6" t="str">
        <f ca="1">IFERROR(__xludf.DUMMYFUNCTION("""COMPUTED_VALUE"""),"CURACAVI")</f>
        <v>CURACAVI</v>
      </c>
    </row>
    <row r="4801" spans="1:4">
      <c r="A4801" s="7">
        <f ca="1">IFERROR(__xludf.DUMMYFUNCTION("""COMPUTED_VALUE"""),44446)</f>
        <v>44446</v>
      </c>
      <c r="B4801" s="6" t="str">
        <f ca="1">IFERROR(__xludf.DUMMYFUNCTION("""COMPUTED_VALUE"""),"-33.405462-71.129702")</f>
        <v>-33.405462-71.129702</v>
      </c>
      <c r="C4801" s="6" t="str">
        <f ca="1">IFERROR(__xludf.DUMMYFUNCTION("""COMPUTED_VALUE"""),"ANUNCIACION 1816")</f>
        <v>ANUNCIACION 1816</v>
      </c>
      <c r="D4801" s="6" t="str">
        <f ca="1">IFERROR(__xludf.DUMMYFUNCTION("""COMPUTED_VALUE"""),"CURACAVI")</f>
        <v>CURACAVI</v>
      </c>
    </row>
    <row r="4802" spans="1:4">
      <c r="A4802" s="7">
        <f ca="1">IFERROR(__xludf.DUMMYFUNCTION("""COMPUTED_VALUE"""),44446)</f>
        <v>44446</v>
      </c>
      <c r="B4802" s="6" t="str">
        <f ca="1">IFERROR(__xludf.DUMMYFUNCTION("""COMPUTED_VALUE"""),"-33.23633-70.80426")</f>
        <v>-33.23633-70.80426</v>
      </c>
      <c r="C4802" s="6" t="str">
        <f ca="1">IFERROR(__xludf.DUMMYFUNCTION("""COMPUTED_VALUE"""),"AV ESPAÑA 2818")</f>
        <v>AV ESPAÑA 2818</v>
      </c>
      <c r="D4802" s="6" t="str">
        <f ca="1">IFERROR(__xludf.DUMMYFUNCTION("""COMPUTED_VALUE"""),"LAMPA")</f>
        <v>LAMPA</v>
      </c>
    </row>
    <row r="4803" spans="1:4">
      <c r="A4803" s="7">
        <f ca="1">IFERROR(__xludf.DUMMYFUNCTION("""COMPUTED_VALUE"""),44446)</f>
        <v>44446</v>
      </c>
      <c r="B4803" s="6" t="str">
        <f ca="1">IFERROR(__xludf.DUMMYFUNCTION("""COMPUTED_VALUE"""),"-33.24556-70.8192")</f>
        <v>-33.24556-70.8192</v>
      </c>
      <c r="C4803" s="6" t="str">
        <f ca="1">IFERROR(__xludf.DUMMYFUNCTION("""COMPUTED_VALUE"""),"LOS BOLDOS 163")</f>
        <v>LOS BOLDOS 163</v>
      </c>
      <c r="D4803" s="6" t="str">
        <f ca="1">IFERROR(__xludf.DUMMYFUNCTION("""COMPUTED_VALUE"""),"LAMPA")</f>
        <v>LAMPA</v>
      </c>
    </row>
    <row r="4804" spans="1:4">
      <c r="A4804" s="7">
        <f ca="1">IFERROR(__xludf.DUMMYFUNCTION("""COMPUTED_VALUE"""),44446)</f>
        <v>44446</v>
      </c>
      <c r="B4804" s="6" t="str">
        <f ca="1">IFERROR(__xludf.DUMMYFUNCTION("""COMPUTED_VALUE"""),"-33.698017,-71.054152")</f>
        <v>-33.698017,-71.054152</v>
      </c>
      <c r="C4804" s="6" t="str">
        <f ca="1">IFERROR(__xludf.DUMMYFUNCTION("""COMPUTED_VALUE"""),"PASAJE N ICANOR PARRA SANDOVAL 1865")</f>
        <v>PASAJE N ICANOR PARRA SANDOVAL 1865</v>
      </c>
      <c r="D4804" s="6" t="str">
        <f ca="1">IFERROR(__xludf.DUMMYFUNCTION("""COMPUTED_VALUE"""),"EL MONTE")</f>
        <v>EL MONTE</v>
      </c>
    </row>
    <row r="4805" spans="1:4">
      <c r="A4805" s="7">
        <f ca="1">IFERROR(__xludf.DUMMYFUNCTION("""COMPUTED_VALUE"""),44446)</f>
        <v>44446</v>
      </c>
      <c r="B4805" s="8" t="str">
        <f ca="1">IFERROR(__xludf.DUMMYFUNCTION("""COMPUTED_VALUE"""),"-33.566514,-70.797355")</f>
        <v>-33.566514,-70.797355</v>
      </c>
      <c r="C4805" s="6" t="str">
        <f ca="1">IFERROR(__xludf.DUMMYFUNCTION("""COMPUTED_VALUE"""),"Manuel Rodriguez 937")</f>
        <v>Manuel Rodriguez 937</v>
      </c>
      <c r="D4805" s="6" t="str">
        <f ca="1">IFERROR(__xludf.DUMMYFUNCTION("""COMPUTED_VALUE"""),"PADRE HURTADO")</f>
        <v>PADRE HURTADO</v>
      </c>
    </row>
    <row r="4806" spans="1:4">
      <c r="A4806" s="7">
        <f ca="1">IFERROR(__xludf.DUMMYFUNCTION("""COMPUTED_VALUE"""),44446)</f>
        <v>44446</v>
      </c>
      <c r="B4806" s="8" t="str">
        <f ca="1">IFERROR(__xludf.DUMMYFUNCTION("""COMPUTED_VALUE"""),"-33.611153,-70.885603")</f>
        <v>-33.611153,-70.885603</v>
      </c>
      <c r="C4806" s="6" t="str">
        <f ca="1">IFERROR(__xludf.DUMMYFUNCTION("""COMPUTED_VALUE"""),"VICUÑA MACKENNA 2596 CASA - A")</f>
        <v>VICUÑA MACKENNA 2596 CASA - A</v>
      </c>
      <c r="D4806" s="6" t="str">
        <f ca="1">IFERROR(__xludf.DUMMYFUNCTION("""COMPUTED_VALUE"""),"PEÑAFLOR")</f>
        <v>PEÑAFLOR</v>
      </c>
    </row>
    <row r="4807" spans="1:4">
      <c r="A4807" s="7">
        <f ca="1">IFERROR(__xludf.DUMMYFUNCTION("""COMPUTED_VALUE"""),44446)</f>
        <v>44446</v>
      </c>
      <c r="B4807" s="6" t="str">
        <f ca="1">IFERROR(__xludf.DUMMYFUNCTION("""COMPUTED_VALUE"""),"-33.055158-71.446727")</f>
        <v>-33.055158-71.446727</v>
      </c>
      <c r="C4807" s="6" t="str">
        <f ca="1">IFERROR(__xludf.DUMMYFUNCTION("""COMPUTED_VALUE"""),"PJE VILLA ROSITA 1552")</f>
        <v>PJE VILLA ROSITA 1552</v>
      </c>
      <c r="D4807" s="6" t="str">
        <f ca="1">IFERROR(__xludf.DUMMYFUNCTION("""COMPUTED_VALUE"""),"QUILPUÉ")</f>
        <v>QUILPUÉ</v>
      </c>
    </row>
    <row r="4808" spans="1:4">
      <c r="A4808" s="7">
        <f ca="1">IFERROR(__xludf.DUMMYFUNCTION("""COMPUTED_VALUE"""),44446)</f>
        <v>44446</v>
      </c>
      <c r="B4808" s="6" t="str">
        <f ca="1">IFERROR(__xludf.DUMMYFUNCTION("""COMPUTED_VALUE"""),"-33.056842-71.423334")</f>
        <v>-33.056842-71.423334</v>
      </c>
      <c r="C4808" s="6" t="str">
        <f ca="1">IFERROR(__xludf.DUMMYFUNCTION("""COMPUTED_VALUE"""),"LOS LIRIOS 2258")</f>
        <v>LOS LIRIOS 2258</v>
      </c>
      <c r="D4808" s="6" t="str">
        <f ca="1">IFERROR(__xludf.DUMMYFUNCTION("""COMPUTED_VALUE"""),"QUILPUÉ")</f>
        <v>QUILPUÉ</v>
      </c>
    </row>
    <row r="4809" spans="1:4">
      <c r="A4809" s="7">
        <f ca="1">IFERROR(__xludf.DUMMYFUNCTION("""COMPUTED_VALUE"""),44447)</f>
        <v>44447</v>
      </c>
      <c r="B4809" s="8" t="str">
        <f ca="1">IFERROR(__xludf.DUMMYFUNCTION("""COMPUTED_VALUE"""),"-33.735477,-70861761")</f>
        <v>-33.735477,-70861761</v>
      </c>
      <c r="C4809" s="6" t="str">
        <f ca="1">IFERROR(__xludf.DUMMYFUNCTION("""COMPUTED_VALUE"""),"RIO MAIPO 4458")</f>
        <v>RIO MAIPO 4458</v>
      </c>
      <c r="D4809" s="6" t="str">
        <f ca="1">IFERROR(__xludf.DUMMYFUNCTION("""COMPUTED_VALUE"""),"ISLA DE MAIPO")</f>
        <v>ISLA DE MAIPO</v>
      </c>
    </row>
    <row r="4810" spans="1:4">
      <c r="A4810" s="7">
        <f ca="1">IFERROR(__xludf.DUMMYFUNCTION("""COMPUTED_VALUE"""),44447)</f>
        <v>44447</v>
      </c>
      <c r="B4810" s="8" t="str">
        <f ca="1">IFERROR(__xludf.DUMMYFUNCTION("""COMPUTED_VALUE"""),"-33.785192,-70.893160")</f>
        <v>-33.785192,-70.893160</v>
      </c>
      <c r="C4810" s="6" t="str">
        <f ca="1">IFERROR(__xludf.DUMMYFUNCTION("""COMPUTED_VALUE"""),"SAN MARTIN 236")</f>
        <v>SAN MARTIN 236</v>
      </c>
      <c r="D4810" s="6" t="str">
        <f ca="1">IFERROR(__xludf.DUMMYFUNCTION("""COMPUTED_VALUE"""),"ISLA DE MAIPO")</f>
        <v>ISLA DE MAIPO</v>
      </c>
    </row>
    <row r="4811" spans="1:4">
      <c r="A4811" s="7">
        <f ca="1">IFERROR(__xludf.DUMMYFUNCTION("""COMPUTED_VALUE"""),44447)</f>
        <v>44447</v>
      </c>
      <c r="B4811" s="8" t="str">
        <f ca="1">IFERROR(__xludf.DUMMYFUNCTION("""COMPUTED_VALUE"""),"-33.735787,-70.862237")</f>
        <v>-33.735787,-70.862237</v>
      </c>
      <c r="C4811" s="6" t="str">
        <f ca="1">IFERROR(__xludf.DUMMYFUNCTION("""COMPUTED_VALUE"""),"RIO MAIPO 4407 ")</f>
        <v xml:space="preserve">RIO MAIPO 4407 </v>
      </c>
      <c r="D4811" s="6" t="str">
        <f ca="1">IFERROR(__xludf.DUMMYFUNCTION("""COMPUTED_VALUE"""),"ISLA DE MAIPO")</f>
        <v>ISLA DE MAIPO</v>
      </c>
    </row>
    <row r="4812" spans="1:4">
      <c r="A4812" s="7">
        <f ca="1">IFERROR(__xludf.DUMMYFUNCTION("""COMPUTED_VALUE"""),44447)</f>
        <v>44447</v>
      </c>
      <c r="B4812" s="8" t="str">
        <f ca="1">IFERROR(__xludf.DUMMYFUNCTION("""COMPUTED_VALUE"""),"-33.744628,-70.871223")</f>
        <v>-33.744628,-70.871223</v>
      </c>
      <c r="C4812" s="6" t="str">
        <f ca="1">IFERROR(__xludf.DUMMYFUNCTION("""COMPUTED_VALUE"""),"PASAJE DOS 500")</f>
        <v>PASAJE DOS 500</v>
      </c>
      <c r="D4812" s="6" t="str">
        <f ca="1">IFERROR(__xludf.DUMMYFUNCTION("""COMPUTED_VALUE"""),"ISLA DE MAIPO")</f>
        <v>ISLA DE MAIPO</v>
      </c>
    </row>
    <row r="4813" spans="1:4">
      <c r="A4813" s="7">
        <f ca="1">IFERROR(__xludf.DUMMYFUNCTION("""COMPUTED_VALUE"""),44447)</f>
        <v>44447</v>
      </c>
      <c r="B4813" s="8" t="str">
        <f ca="1">IFERROR(__xludf.DUMMYFUNCTION("""COMPUTED_VALUE"""),"-33.784625,-70.892839")</f>
        <v>-33.784625,-70.892839</v>
      </c>
      <c r="C4813" s="6" t="str">
        <f ca="1">IFERROR(__xludf.DUMMYFUNCTION("""COMPUTED_VALUE"""),"SAN MARTIN 257")</f>
        <v>SAN MARTIN 257</v>
      </c>
      <c r="D4813" s="6" t="str">
        <f ca="1">IFERROR(__xludf.DUMMYFUNCTION("""COMPUTED_VALUE"""),"ISLA DE MAIPO")</f>
        <v>ISLA DE MAIPO</v>
      </c>
    </row>
    <row r="4814" spans="1:4">
      <c r="A4814" s="7">
        <f ca="1">IFERROR(__xludf.DUMMYFUNCTION("""COMPUTED_VALUE"""),44447)</f>
        <v>44447</v>
      </c>
      <c r="B4814" s="8" t="str">
        <f ca="1">IFERROR(__xludf.DUMMYFUNCTION("""COMPUTED_VALUE"""),"-33.735164,-70.862265")</f>
        <v>-33.735164,-70.862265</v>
      </c>
      <c r="C4814" s="6" t="str">
        <f ca="1">IFERROR(__xludf.DUMMYFUNCTION("""COMPUTED_VALUE"""),"CERRO LONQUEN 331")</f>
        <v>CERRO LONQUEN 331</v>
      </c>
      <c r="D4814" s="6" t="str">
        <f ca="1">IFERROR(__xludf.DUMMYFUNCTION("""COMPUTED_VALUE"""),"ISLA DE MAIPO")</f>
        <v>ISLA DE MAIPO</v>
      </c>
    </row>
    <row r="4815" spans="1:4">
      <c r="A4815" s="7">
        <f ca="1">IFERROR(__xludf.DUMMYFUNCTION("""COMPUTED_VALUE"""),44447)</f>
        <v>44447</v>
      </c>
      <c r="B4815" s="8" t="str">
        <f ca="1">IFERROR(__xludf.DUMMYFUNCTION("""COMPUTED_VALUE"""),"-33.757638,-70.868029")</f>
        <v>-33.757638,-70.868029</v>
      </c>
      <c r="C4815" s="6" t="str">
        <f ca="1">IFERROR(__xludf.DUMMYFUNCTION("""COMPUTED_VALUE"""),"CALLE OLEA 4977")</f>
        <v>CALLE OLEA 4977</v>
      </c>
      <c r="D4815" s="6" t="str">
        <f ca="1">IFERROR(__xludf.DUMMYFUNCTION("""COMPUTED_VALUE"""),"ISLA DE MAIPO")</f>
        <v>ISLA DE MAIPO</v>
      </c>
    </row>
    <row r="4816" spans="1:4">
      <c r="A4816" s="7">
        <f ca="1">IFERROR(__xludf.DUMMYFUNCTION("""COMPUTED_VALUE"""),44447)</f>
        <v>44447</v>
      </c>
      <c r="B4816" s="6" t="str">
        <f ca="1">IFERROR(__xludf.DUMMYFUNCTION("""COMPUTED_VALUE"""),"-33.6343527-70.3514852")</f>
        <v>-33.6343527-70.3514852</v>
      </c>
      <c r="C4816" s="6" t="str">
        <f ca="1">IFERROR(__xludf.DUMMYFUNCTION("""COMPUTED_VALUE"""),"CALLE COMERCIO 19070")</f>
        <v>CALLE COMERCIO 19070</v>
      </c>
      <c r="D4816" s="6" t="str">
        <f ca="1">IFERROR(__xludf.DUMMYFUNCTION("""COMPUTED_VALUE"""),"SAN JOSE DE MAIPO")</f>
        <v>SAN JOSE DE MAIPO</v>
      </c>
    </row>
    <row r="4817" spans="1:4">
      <c r="A4817" s="7">
        <f ca="1">IFERROR(__xludf.DUMMYFUNCTION("""COMPUTED_VALUE"""),44447)</f>
        <v>44447</v>
      </c>
      <c r="B4817" s="6" t="str">
        <f ca="1">IFERROR(__xludf.DUMMYFUNCTION("""COMPUTED_VALUE"""),"-33.6343758-70.3513251")</f>
        <v>-33.6343758-70.3513251</v>
      </c>
      <c r="C4817" s="6" t="str">
        <f ca="1">IFERROR(__xludf.DUMMYFUNCTION("""COMPUTED_VALUE"""),"CALLE COMERCIO 19070")</f>
        <v>CALLE COMERCIO 19070</v>
      </c>
      <c r="D4817" s="6" t="str">
        <f ca="1">IFERROR(__xludf.DUMMYFUNCTION("""COMPUTED_VALUE"""),"SAN JOSE DE MAIPO")</f>
        <v>SAN JOSE DE MAIPO</v>
      </c>
    </row>
    <row r="4818" spans="1:4">
      <c r="A4818" s="7">
        <f ca="1">IFERROR(__xludf.DUMMYFUNCTION("""COMPUTED_VALUE"""),44447)</f>
        <v>44447</v>
      </c>
      <c r="B4818" s="6" t="str">
        <f ca="1">IFERROR(__xludf.DUMMYFUNCTION("""COMPUTED_VALUE"""),"-33.44527-71.02933")</f>
        <v>-33.44527-71.02933</v>
      </c>
      <c r="C4818" s="6" t="str">
        <f ca="1">IFERROR(__xludf.DUMMYFUNCTION("""COMPUTED_VALUE"""),"UNION CHILENA S-12 B")</f>
        <v>UNION CHILENA S-12 B</v>
      </c>
      <c r="D4818" s="6" t="str">
        <f ca="1">IFERROR(__xludf.DUMMYFUNCTION("""COMPUTED_VALUE"""),"CURACAVI")</f>
        <v>CURACAVI</v>
      </c>
    </row>
    <row r="4819" spans="1:4">
      <c r="A4819" s="7">
        <f ca="1">IFERROR(__xludf.DUMMYFUNCTION("""COMPUTED_VALUE"""),44447)</f>
        <v>44447</v>
      </c>
      <c r="B4819" s="6" t="str">
        <f ca="1">IFERROR(__xludf.DUMMYFUNCTION("""COMPUTED_VALUE"""),"-33.44728-71.04001")</f>
        <v>-33.44728-71.04001</v>
      </c>
      <c r="C4819" s="6" t="str">
        <f ca="1">IFERROR(__xludf.DUMMYFUNCTION("""COMPUTED_VALUE"""),"UNION CHILENA C-2 P-16")</f>
        <v>UNION CHILENA C-2 P-16</v>
      </c>
      <c r="D4819" s="6" t="str">
        <f ca="1">IFERROR(__xludf.DUMMYFUNCTION("""COMPUTED_VALUE"""),"CURACAVI")</f>
        <v>CURACAVI</v>
      </c>
    </row>
    <row r="4820" spans="1:4">
      <c r="A4820" s="7">
        <f ca="1">IFERROR(__xludf.DUMMYFUNCTION("""COMPUTED_VALUE"""),44447)</f>
        <v>44447</v>
      </c>
      <c r="B4820" s="6" t="str">
        <f ca="1">IFERROR(__xludf.DUMMYFUNCTION("""COMPUTED_VALUE"""),"-33.892803,-71.455505")</f>
        <v>-33.892803,-71.455505</v>
      </c>
      <c r="C4820" s="6" t="str">
        <f ca="1">IFERROR(__xludf.DUMMYFUNCTION("""COMPUTED_VALUE"""),"POBLACION CRUZ ROJA 39")</f>
        <v>POBLACION CRUZ ROJA 39</v>
      </c>
      <c r="D4820" s="6" t="str">
        <f ca="1">IFERROR(__xludf.DUMMYFUNCTION("""COMPUTED_VALUE"""),"SAN PEDRO")</f>
        <v>SAN PEDRO</v>
      </c>
    </row>
    <row r="4821" spans="1:4">
      <c r="A4821" s="7">
        <f ca="1">IFERROR(__xludf.DUMMYFUNCTION("""COMPUTED_VALUE"""),44447)</f>
        <v>44447</v>
      </c>
      <c r="B4821" s="8" t="str">
        <f ca="1">IFERROR(__xludf.DUMMYFUNCTION("""COMPUTED_VALUE"""),"-33.603485,-70881534")</f>
        <v>-33.603485,-70881534</v>
      </c>
      <c r="C4821" s="6" t="str">
        <f ca="1">IFERROR(__xludf.DUMMYFUNCTION("""COMPUTED_VALUE"""),"6 ORIENTE NUMERO 655")</f>
        <v>6 ORIENTE NUMERO 655</v>
      </c>
      <c r="D4821" s="6" t="str">
        <f ca="1">IFERROR(__xludf.DUMMYFUNCTION("""COMPUTED_VALUE"""),"PEÑAFLOR")</f>
        <v>PEÑAFLOR</v>
      </c>
    </row>
    <row r="4822" spans="1:4">
      <c r="A4822" s="7">
        <f ca="1">IFERROR(__xludf.DUMMYFUNCTION("""COMPUTED_VALUE"""),44447)</f>
        <v>44447</v>
      </c>
      <c r="B4822" s="8" t="str">
        <f ca="1">IFERROR(__xludf.DUMMYFUNCTION("""COMPUTED_VALUE"""),"-33.676147,-70.947087")</f>
        <v>-33.676147,-70.947087</v>
      </c>
      <c r="C4822" s="6" t="str">
        <f ca="1">IFERROR(__xludf.DUMMYFUNCTION("""COMPUTED_VALUE"""),"GUACOLDA 1014")</f>
        <v>GUACOLDA 1014</v>
      </c>
      <c r="D4822" s="6" t="str">
        <f ca="1">IFERROR(__xludf.DUMMYFUNCTION("""COMPUTED_VALUE"""),"TALAGANTE")</f>
        <v>TALAGANTE</v>
      </c>
    </row>
    <row r="4823" spans="1:4">
      <c r="A4823" s="7">
        <f ca="1">IFERROR(__xludf.DUMMYFUNCTION("""COMPUTED_VALUE"""),44448)</f>
        <v>44448</v>
      </c>
      <c r="B4823" s="8" t="str">
        <f ca="1">IFERROR(__xludf.DUMMYFUNCTION("""COMPUTED_VALUE"""),"-33.749051,-70.8944978")</f>
        <v>-33.749051,-70.8944978</v>
      </c>
      <c r="C4823" s="6" t="str">
        <f ca="1">IFERROR(__xludf.DUMMYFUNCTION("""COMPUTED_VALUE"""),"EL ROBLE 050 ")</f>
        <v xml:space="preserve">EL ROBLE 050 </v>
      </c>
      <c r="D4823" s="6" t="str">
        <f ca="1">IFERROR(__xludf.DUMMYFUNCTION("""COMPUTED_VALUE"""),"ISLA DE MAIPO")</f>
        <v>ISLA DE MAIPO</v>
      </c>
    </row>
    <row r="4824" spans="1:4">
      <c r="A4824" s="7">
        <f ca="1">IFERROR(__xludf.DUMMYFUNCTION("""COMPUTED_VALUE"""),44448)</f>
        <v>44448</v>
      </c>
      <c r="B4824" s="8" t="str">
        <f ca="1">IFERROR(__xludf.DUMMYFUNCTION("""COMPUTED_VALUE"""),"-33.109332,-70123938")</f>
        <v>-33.109332,-70123938</v>
      </c>
      <c r="C4824" s="6" t="str">
        <f ca="1">IFERROR(__xludf.DUMMYFUNCTION("""COMPUTED_VALUE"""),"LAS SULTAMINAS 406")</f>
        <v>LAS SULTAMINAS 406</v>
      </c>
      <c r="D4824" s="6" t="str">
        <f ca="1">IFERROR(__xludf.DUMMYFUNCTION("""COMPUTED_VALUE"""),"ISLA DE MAIPO")</f>
        <v>ISLA DE MAIPO</v>
      </c>
    </row>
    <row r="4825" spans="1:4">
      <c r="A4825" s="7">
        <f ca="1">IFERROR(__xludf.DUMMYFUNCTION("""COMPUTED_VALUE"""),44448)</f>
        <v>44448</v>
      </c>
      <c r="B4825" s="8" t="str">
        <f ca="1">IFERROR(__xludf.DUMMYFUNCTION("""COMPUTED_VALUE"""),"-33.785145,-70.892708")</f>
        <v>-33.785145,-70.892708</v>
      </c>
      <c r="C4825" s="6" t="str">
        <f ca="1">IFERROR(__xludf.DUMMYFUNCTION("""COMPUTED_VALUE"""),"SAN MARTIRIAN ")</f>
        <v xml:space="preserve">SAN MARTIRIAN </v>
      </c>
      <c r="D4825" s="6" t="str">
        <f ca="1">IFERROR(__xludf.DUMMYFUNCTION("""COMPUTED_VALUE"""),"ISLA DE MAIPO")</f>
        <v>ISLA DE MAIPO</v>
      </c>
    </row>
    <row r="4826" spans="1:4">
      <c r="A4826" s="7">
        <f ca="1">IFERROR(__xludf.DUMMYFUNCTION("""COMPUTED_VALUE"""),44448)</f>
        <v>44448</v>
      </c>
      <c r="B4826" s="8" t="str">
        <f ca="1">IFERROR(__xludf.DUMMYFUNCTION("""COMPUTED_VALUE"""),"-33.7354307,-70.8634163")</f>
        <v>-33.7354307,-70.8634163</v>
      </c>
      <c r="C4826" s="6" t="str">
        <f ca="1">IFERROR(__xludf.DUMMYFUNCTION("""COMPUTED_VALUE"""),"EL MAÑIO 411")</f>
        <v>EL MAÑIO 411</v>
      </c>
      <c r="D4826" s="6" t="str">
        <f ca="1">IFERROR(__xludf.DUMMYFUNCTION("""COMPUTED_VALUE"""),"ISLA DE MAIPO")</f>
        <v>ISLA DE MAIPO</v>
      </c>
    </row>
    <row r="4827" spans="1:4">
      <c r="A4827" s="7">
        <f ca="1">IFERROR(__xludf.DUMMYFUNCTION("""COMPUTED_VALUE"""),44448)</f>
        <v>44448</v>
      </c>
      <c r="B4827" s="8" t="str">
        <f ca="1">IFERROR(__xludf.DUMMYFUNCTION("""COMPUTED_VALUE"""),"-33.785145,-70.892708")</f>
        <v>-33.785145,-70.892708</v>
      </c>
      <c r="C4827" s="6" t="str">
        <f ca="1">IFERROR(__xludf.DUMMYFUNCTION("""COMPUTED_VALUE"""),"SAN MARTIRIAN ")</f>
        <v xml:space="preserve">SAN MARTIRIAN </v>
      </c>
      <c r="D4827" s="6" t="str">
        <f ca="1">IFERROR(__xludf.DUMMYFUNCTION("""COMPUTED_VALUE"""),"ISLA DE MAIPO")</f>
        <v>ISLA DE MAIPO</v>
      </c>
    </row>
    <row r="4828" spans="1:4">
      <c r="A4828" s="7">
        <f ca="1">IFERROR(__xludf.DUMMYFUNCTION("""COMPUTED_VALUE"""),44448)</f>
        <v>44448</v>
      </c>
      <c r="B4828" s="8" t="str">
        <f ca="1">IFERROR(__xludf.DUMMYFUNCTION("""COMPUTED_VALUE"""),"-33.735934,-71.020541")</f>
        <v>-33.735934,-71.020541</v>
      </c>
      <c r="C4828" s="6" t="str">
        <f ca="1">IFERROR(__xludf.DUMMYFUNCTION("""COMPUTED_VALUE"""),"SAN A DE NALTAGUA 45")</f>
        <v>SAN A DE NALTAGUA 45</v>
      </c>
      <c r="D4828" s="6" t="str">
        <f ca="1">IFERROR(__xludf.DUMMYFUNCTION("""COMPUTED_VALUE"""),"ISLA DE MAIPO")</f>
        <v>ISLA DE MAIPO</v>
      </c>
    </row>
    <row r="4829" spans="1:4">
      <c r="A4829" s="7">
        <f ca="1">IFERROR(__xludf.DUMMYFUNCTION("""COMPUTED_VALUE"""),44448)</f>
        <v>44448</v>
      </c>
      <c r="B4829" s="6" t="str">
        <f ca="1">IFERROR(__xludf.DUMMYFUNCTION("""COMPUTED_VALUE"""),"-33.48916-71.0683")</f>
        <v>-33.48916-71.0683</v>
      </c>
      <c r="C4829" s="6" t="str">
        <f ca="1">IFERROR(__xludf.DUMMYFUNCTION("""COMPUTED_VALUE"""),"ISLA DE ROJAS 12")</f>
        <v>ISLA DE ROJAS 12</v>
      </c>
      <c r="D4829" s="6" t="str">
        <f ca="1">IFERROR(__xludf.DUMMYFUNCTION("""COMPUTED_VALUE"""),"MARIA PINTO")</f>
        <v>MARIA PINTO</v>
      </c>
    </row>
    <row r="4830" spans="1:4">
      <c r="A4830" s="7">
        <f ca="1">IFERROR(__xludf.DUMMYFUNCTION("""COMPUTED_VALUE"""),44448)</f>
        <v>44448</v>
      </c>
      <c r="B4830" s="6" t="str">
        <f ca="1">IFERROR(__xludf.DUMMYFUNCTION("""COMPUTED_VALUE"""),"-33.5167-71.1167")</f>
        <v>-33.5167-71.1167</v>
      </c>
      <c r="C4830" s="6" t="str">
        <f ca="1">IFERROR(__xludf.DUMMYFUNCTION("""COMPUTED_VALUE"""),"FUNDO SANTA RITA S/N")</f>
        <v>FUNDO SANTA RITA S/N</v>
      </c>
      <c r="D4830" s="6" t="str">
        <f ca="1">IFERROR(__xludf.DUMMYFUNCTION("""COMPUTED_VALUE"""),"CURACAVI")</f>
        <v>CURACAVI</v>
      </c>
    </row>
    <row r="4831" spans="1:4">
      <c r="A4831" s="7">
        <f ca="1">IFERROR(__xludf.DUMMYFUNCTION("""COMPUTED_VALUE"""),44448)</f>
        <v>44448</v>
      </c>
      <c r="B4831" s="6" t="str">
        <f ca="1">IFERROR(__xludf.DUMMYFUNCTION("""COMPUTED_VALUE"""),"-33.5167-71.1167")</f>
        <v>-33.5167-71.1167</v>
      </c>
      <c r="C4831" s="6" t="str">
        <f ca="1">IFERROR(__xludf.DUMMYFUNCTION("""COMPUTED_VALUE"""),"FUNDO SANTA RITA S/N")</f>
        <v>FUNDO SANTA RITA S/N</v>
      </c>
      <c r="D4831" s="6" t="str">
        <f ca="1">IFERROR(__xludf.DUMMYFUNCTION("""COMPUTED_VALUE"""),"CURACAVI")</f>
        <v>CURACAVI</v>
      </c>
    </row>
    <row r="4832" spans="1:4">
      <c r="A4832" s="7">
        <f ca="1">IFERROR(__xludf.DUMMYFUNCTION("""COMPUTED_VALUE"""),44448)</f>
        <v>44448</v>
      </c>
      <c r="B4832" s="6" t="str">
        <f ca="1">IFERROR(__xludf.DUMMYFUNCTION("""COMPUTED_VALUE"""),"-33.827878,-71.490864")</f>
        <v>-33.827878,-71.490864</v>
      </c>
      <c r="C4832" s="6" t="str">
        <f ca="1">IFERROR(__xludf.DUMMYFUNCTION("""COMPUTED_VALUE"""),"SANTA JULIA S/N")</f>
        <v>SANTA JULIA S/N</v>
      </c>
      <c r="D4832" s="6" t="str">
        <f ca="1">IFERROR(__xludf.DUMMYFUNCTION("""COMPUTED_VALUE"""),"SAN PEDRO")</f>
        <v>SAN PEDRO</v>
      </c>
    </row>
    <row r="4833" spans="1:4">
      <c r="A4833" s="7">
        <f ca="1">IFERROR(__xludf.DUMMYFUNCTION("""COMPUTED_VALUE"""),44448)</f>
        <v>44448</v>
      </c>
      <c r="B4833" s="8" t="str">
        <f ca="1">IFERROR(__xludf.DUMMYFUNCTION("""COMPUTED_VALUE"""),"-33.598139,-70867379")</f>
        <v>-33.598139,-70867379</v>
      </c>
      <c r="C4833" s="6" t="str">
        <f ca="1">IFERROR(__xludf.DUMMYFUNCTION("""COMPUTED_VALUE"""),"LAS HORTENSIAS 1646")</f>
        <v>LAS HORTENSIAS 1646</v>
      </c>
      <c r="D4833" s="6" t="str">
        <f ca="1">IFERROR(__xludf.DUMMYFUNCTION("""COMPUTED_VALUE"""),"PEÑAFLOR")</f>
        <v>PEÑAFLOR</v>
      </c>
    </row>
    <row r="4834" spans="1:4">
      <c r="A4834" s="7">
        <f ca="1">IFERROR(__xludf.DUMMYFUNCTION("""COMPUTED_VALUE"""),44448)</f>
        <v>44448</v>
      </c>
      <c r="B4834" s="8" t="str">
        <f ca="1">IFERROR(__xludf.DUMMYFUNCTION("""COMPUTED_VALUE"""),"-33.602467,-70.866388")</f>
        <v>-33.602467,-70.866388</v>
      </c>
      <c r="C4834" s="6" t="str">
        <f ca="1">IFERROR(__xludf.DUMMYFUNCTION("""COMPUTED_VALUE"""),"PASAJE BACH 1253")</f>
        <v>PASAJE BACH 1253</v>
      </c>
      <c r="D4834" s="6" t="str">
        <f ca="1">IFERROR(__xludf.DUMMYFUNCTION("""COMPUTED_VALUE"""),"PEÑAFLOR")</f>
        <v>PEÑAFLOR</v>
      </c>
    </row>
    <row r="4835" spans="1:4">
      <c r="A4835" s="7">
        <f ca="1">IFERROR(__xludf.DUMMYFUNCTION("""COMPUTED_VALUE"""),44449)</f>
        <v>44449</v>
      </c>
      <c r="B4835" s="8" t="str">
        <f ca="1">IFERROR(__xludf.DUMMYFUNCTION("""COMPUTED_VALUE"""),"-33.7325535,-70.9095477")</f>
        <v>-33.7325535,-70.9095477</v>
      </c>
      <c r="C4835" s="6" t="str">
        <f ca="1">IFERROR(__xludf.DUMMYFUNCTION("""COMPUTED_VALUE"""),"LA HIPUERA 910")</f>
        <v>LA HIPUERA 910</v>
      </c>
      <c r="D4835" s="6" t="str">
        <f ca="1">IFERROR(__xludf.DUMMYFUNCTION("""COMPUTED_VALUE"""),"ISLA DE MAIPO")</f>
        <v>ISLA DE MAIPO</v>
      </c>
    </row>
    <row r="4836" spans="1:4">
      <c r="A4836" s="7">
        <f ca="1">IFERROR(__xludf.DUMMYFUNCTION("""COMPUTED_VALUE"""),44449)</f>
        <v>44449</v>
      </c>
      <c r="B4836" s="8" t="str">
        <f ca="1">IFERROR(__xludf.DUMMYFUNCTION("""COMPUTED_VALUE"""),"-33.688069,-71.225748")</f>
        <v>-33.688069,-71.225748</v>
      </c>
      <c r="C4836" s="6" t="str">
        <f ca="1">IFERROR(__xludf.DUMMYFUNCTION("""COMPUTED_VALUE"""),"PJE BEGONIA 1223")</f>
        <v>PJE BEGONIA 1223</v>
      </c>
      <c r="D4836" s="6" t="str">
        <f ca="1">IFERROR(__xludf.DUMMYFUNCTION("""COMPUTED_VALUE"""),"ISLA DE MAIPO")</f>
        <v>ISLA DE MAIPO</v>
      </c>
    </row>
    <row r="4837" spans="1:4">
      <c r="A4837" s="7">
        <f ca="1">IFERROR(__xludf.DUMMYFUNCTION("""COMPUTED_VALUE"""),44449)</f>
        <v>44449</v>
      </c>
      <c r="B4837" s="8" t="str">
        <f ca="1">IFERROR(__xludf.DUMMYFUNCTION("""COMPUTED_VALUE"""),"-33.88892,-70.122022")</f>
        <v>-33.88892,-70.122022</v>
      </c>
      <c r="C4837" s="6" t="str">
        <f ca="1">IFERROR(__xludf.DUMMYFUNCTION("""COMPUTED_VALUE"""),"SAN MARTIRIAN 329")</f>
        <v>SAN MARTIRIAN 329</v>
      </c>
      <c r="D4837" s="6" t="str">
        <f ca="1">IFERROR(__xludf.DUMMYFUNCTION("""COMPUTED_VALUE"""),"ISLA DE MAIPO")</f>
        <v>ISLA DE MAIPO</v>
      </c>
    </row>
    <row r="4838" spans="1:4">
      <c r="A4838" s="7">
        <f ca="1">IFERROR(__xludf.DUMMYFUNCTION("""COMPUTED_VALUE"""),44449)</f>
        <v>44449</v>
      </c>
      <c r="B4838" s="8" t="str">
        <f ca="1">IFERROR(__xludf.DUMMYFUNCTION("""COMPUTED_VALUE"""),"-33.7358113,-71.0234473")</f>
        <v>-33.7358113,-71.0234473</v>
      </c>
      <c r="C4838" s="6" t="str">
        <f ca="1">IFERROR(__xludf.DUMMYFUNCTION("""COMPUTED_VALUE"""),"SAN ANTONIO DE NATALHUA 1A")</f>
        <v>SAN ANTONIO DE NATALHUA 1A</v>
      </c>
      <c r="D4838" s="6" t="str">
        <f ca="1">IFERROR(__xludf.DUMMYFUNCTION("""COMPUTED_VALUE"""),"ISLA DE MAIPO")</f>
        <v>ISLA DE MAIPO</v>
      </c>
    </row>
    <row r="4839" spans="1:4">
      <c r="A4839" s="7">
        <f ca="1">IFERROR(__xludf.DUMMYFUNCTION("""COMPUTED_VALUE"""),44449)</f>
        <v>44449</v>
      </c>
      <c r="B4839" s="8" t="str">
        <f ca="1">IFERROR(__xludf.DUMMYFUNCTION("""COMPUTED_VALUE"""),"-33.7336620,-71.019744")</f>
        <v>-33.7336620,-71.019744</v>
      </c>
      <c r="C4839" s="6" t="str">
        <f ca="1">IFERROR(__xludf.DUMMYFUNCTION("""COMPUTED_VALUE"""),"LAS ACACIAS  45")</f>
        <v>LAS ACACIAS  45</v>
      </c>
      <c r="D4839" s="6" t="str">
        <f ca="1">IFERROR(__xludf.DUMMYFUNCTION("""COMPUTED_VALUE"""),"ISLA DE MAIPO")</f>
        <v>ISLA DE MAIPO</v>
      </c>
    </row>
    <row r="4840" spans="1:4">
      <c r="A4840" s="7">
        <f ca="1">IFERROR(__xludf.DUMMYFUNCTION("""COMPUTED_VALUE"""),44449)</f>
        <v>44449</v>
      </c>
      <c r="B4840" s="8" t="str">
        <f ca="1">IFERROR(__xludf.DUMMYFUNCTION("""COMPUTED_VALUE"""),"-33.759610,-70.896883")</f>
        <v>-33.759610,-70.896883</v>
      </c>
      <c r="C4840" s="6" t="str">
        <f ca="1">IFERROR(__xludf.DUMMYFUNCTION("""COMPUTED_VALUE"""),"PARAISO NORTE 86")</f>
        <v>PARAISO NORTE 86</v>
      </c>
      <c r="D4840" s="6" t="str">
        <f ca="1">IFERROR(__xludf.DUMMYFUNCTION("""COMPUTED_VALUE"""),"ISLA DE MAIPO")</f>
        <v>ISLA DE MAIPO</v>
      </c>
    </row>
    <row r="4841" spans="1:4">
      <c r="A4841" s="7">
        <f ca="1">IFERROR(__xludf.DUMMYFUNCTION("""COMPUTED_VALUE"""),44449)</f>
        <v>44449</v>
      </c>
      <c r="B4841" s="8" t="str">
        <f ca="1">IFERROR(__xludf.DUMMYFUNCTION("""COMPUTED_VALUE"""),"-33.687756,-71.225996")</f>
        <v>-33.687756,-71.225996</v>
      </c>
      <c r="C4841" s="6" t="str">
        <f ca="1">IFERROR(__xludf.DUMMYFUNCTION("""COMPUTED_VALUE"""),"PJE BEGONIA 1223")</f>
        <v>PJE BEGONIA 1223</v>
      </c>
      <c r="D4841" s="6" t="str">
        <f ca="1">IFERROR(__xludf.DUMMYFUNCTION("""COMPUTED_VALUE"""),"ISLA DE MAIPO")</f>
        <v>ISLA DE MAIPO</v>
      </c>
    </row>
    <row r="4842" spans="1:4">
      <c r="A4842" s="7">
        <f ca="1">IFERROR(__xludf.DUMMYFUNCTION("""COMPUTED_VALUE"""),44449)</f>
        <v>44449</v>
      </c>
      <c r="B4842" s="8" t="str">
        <f ca="1">IFERROR(__xludf.DUMMYFUNCTION("""COMPUTED_VALUE"""),"-33.712463,-71.006238")</f>
        <v>-33.712463,-71.006238</v>
      </c>
      <c r="C4842" s="6" t="str">
        <f ca="1">IFERROR(__xludf.DUMMYFUNCTION("""COMPUTED_VALUE"""),"LA MANEZA S/N ")</f>
        <v xml:space="preserve">LA MANEZA S/N </v>
      </c>
      <c r="D4842" s="6" t="str">
        <f ca="1">IFERROR(__xludf.DUMMYFUNCTION("""COMPUTED_VALUE"""),"EL MONTE")</f>
        <v>EL MONTE</v>
      </c>
    </row>
    <row r="4843" spans="1:4">
      <c r="A4843" s="7">
        <f ca="1">IFERROR(__xludf.DUMMYFUNCTION("""COMPUTED_VALUE"""),44449)</f>
        <v>44449</v>
      </c>
      <c r="B4843" s="8" t="str">
        <f ca="1">IFERROR(__xludf.DUMMYFUNCTION("""COMPUTED_VALUE"""),"-33.712463,-71.006238")</f>
        <v>-33.712463,-71.006238</v>
      </c>
      <c r="C4843" s="6" t="str">
        <f ca="1">IFERROR(__xludf.DUMMYFUNCTION("""COMPUTED_VALUE"""),"LA MANEZA S/N ")</f>
        <v xml:space="preserve">LA MANEZA S/N </v>
      </c>
      <c r="D4843" s="6" t="str">
        <f ca="1">IFERROR(__xludf.DUMMYFUNCTION("""COMPUTED_VALUE"""),"EL MONTE")</f>
        <v>EL MONTE</v>
      </c>
    </row>
    <row r="4844" spans="1:4">
      <c r="A4844" s="7">
        <f ca="1">IFERROR(__xludf.DUMMYFUNCTION("""COMPUTED_VALUE"""),44449)</f>
        <v>44449</v>
      </c>
      <c r="B4844" s="8" t="str">
        <f ca="1">IFERROR(__xludf.DUMMYFUNCTION("""COMPUTED_VALUE"""),"-33.700635,-71.846224")</f>
        <v>-33.700635,-71.846224</v>
      </c>
      <c r="C4844" s="6" t="str">
        <f ca="1">IFERROR(__xludf.DUMMYFUNCTION("""COMPUTED_VALUE"""),"EL TRIUNFADOR S/N")</f>
        <v>EL TRIUNFADOR S/N</v>
      </c>
      <c r="D4844" s="6" t="str">
        <f ca="1">IFERROR(__xludf.DUMMYFUNCTION("""COMPUTED_VALUE"""),"TALAGANTE")</f>
        <v>TALAGANTE</v>
      </c>
    </row>
    <row r="4845" spans="1:4">
      <c r="A4845" s="7">
        <f ca="1">IFERROR(__xludf.DUMMYFUNCTION("""COMPUTED_VALUE"""),44449)</f>
        <v>44449</v>
      </c>
      <c r="B4845" s="6" t="str">
        <f ca="1">IFERROR(__xludf.DUMMYFUNCTION("""COMPUTED_VALUE"""),"-33.33878-70.81646")</f>
        <v>-33.33878-70.81646</v>
      </c>
      <c r="C4845" s="6" t="str">
        <f ca="1">IFERROR(__xludf.DUMMYFUNCTION("""COMPUTED_VALUE"""),"MIRAFLORES P-36 S/21")</f>
        <v>MIRAFLORES P-36 S/21</v>
      </c>
      <c r="D4845" s="6" t="str">
        <f ca="1">IFERROR(__xludf.DUMMYFUNCTION("""COMPUTED_VALUE"""),"LAMPA")</f>
        <v>LAMPA</v>
      </c>
    </row>
    <row r="4846" spans="1:4">
      <c r="A4846" s="7">
        <f ca="1">IFERROR(__xludf.DUMMYFUNCTION("""COMPUTED_VALUE"""),44449)</f>
        <v>44449</v>
      </c>
      <c r="B4846" s="6" t="str">
        <f ca="1">IFERROR(__xludf.DUMMYFUNCTION("""COMPUTED_VALUE"""),"-33.588016-70.391007")</f>
        <v>-33.588016-70.391007</v>
      </c>
      <c r="C4846" s="6" t="str">
        <f ca="1">IFERROR(__xludf.DUMMYFUNCTION("""COMPUTED_VALUE"""),"LOS OLMOS 11478")</f>
        <v>LOS OLMOS 11478</v>
      </c>
      <c r="D4846" s="6" t="str">
        <f ca="1">IFERROR(__xludf.DUMMYFUNCTION("""COMPUTED_VALUE"""),"SAN JOSE DE MAIPO")</f>
        <v>SAN JOSE DE MAIPO</v>
      </c>
    </row>
    <row r="4847" spans="1:4">
      <c r="A4847" s="7">
        <f ca="1">IFERROR(__xludf.DUMMYFUNCTION("""COMPUTED_VALUE"""),44449)</f>
        <v>44449</v>
      </c>
      <c r="B4847" s="6" t="str">
        <f ca="1">IFERROR(__xludf.DUMMYFUNCTION("""COMPUTED_VALUE"""),"-33.604302-70.352856")</f>
        <v>-33.604302-70.352856</v>
      </c>
      <c r="C4847" s="6" t="str">
        <f ca="1">IFERROR(__xludf.DUMMYFUNCTION("""COMPUTED_VALUE"""),"LOS PEUMOS 17505")</f>
        <v>LOS PEUMOS 17505</v>
      </c>
      <c r="D4847" s="6" t="str">
        <f ca="1">IFERROR(__xludf.DUMMYFUNCTION("""COMPUTED_VALUE"""),"SAN JOSE DE MAIPO")</f>
        <v>SAN JOSE DE MAIPO</v>
      </c>
    </row>
    <row r="4848" spans="1:4">
      <c r="A4848" s="7">
        <f ca="1">IFERROR(__xludf.DUMMYFUNCTION("""COMPUTED_VALUE"""),44449)</f>
        <v>44449</v>
      </c>
      <c r="B4848" s="6" t="str">
        <f ca="1">IFERROR(__xludf.DUMMYFUNCTION("""COMPUTED_VALUE"""),"-33.405139-71.056884")</f>
        <v>-33.405139-71.056884</v>
      </c>
      <c r="C4848" s="6" t="str">
        <f ca="1">IFERROR(__xludf.DUMMYFUNCTION("""COMPUTED_VALUE"""),"LOS BOSQUES DE MIRAFLORES PARCELA 86")</f>
        <v>LOS BOSQUES DE MIRAFLORES PARCELA 86</v>
      </c>
      <c r="D4848" s="6" t="str">
        <f ca="1">IFERROR(__xludf.DUMMYFUNCTION("""COMPUTED_VALUE"""),"CURACAVI")</f>
        <v>CURACAVI</v>
      </c>
    </row>
    <row r="4849" spans="1:4">
      <c r="A4849" s="7">
        <f ca="1">IFERROR(__xludf.DUMMYFUNCTION("""COMPUTED_VALUE"""),44449)</f>
        <v>44449</v>
      </c>
      <c r="B4849" s="6" t="str">
        <f ca="1">IFERROR(__xludf.DUMMYFUNCTION("""COMPUTED_VALUE"""),"-33.405139-71.056884")</f>
        <v>-33.405139-71.056884</v>
      </c>
      <c r="C4849" s="6" t="str">
        <f ca="1">IFERROR(__xludf.DUMMYFUNCTION("""COMPUTED_VALUE"""),"LOS BOSQUES DE MIRAFLORES PARCELA 86")</f>
        <v>LOS BOSQUES DE MIRAFLORES PARCELA 86</v>
      </c>
      <c r="D4849" s="6" t="str">
        <f ca="1">IFERROR(__xludf.DUMMYFUNCTION("""COMPUTED_VALUE"""),"CURACAVI")</f>
        <v>CURACAVI</v>
      </c>
    </row>
    <row r="4850" spans="1:4">
      <c r="A4850" s="7">
        <f ca="1">IFERROR(__xludf.DUMMYFUNCTION("""COMPUTED_VALUE"""),44449)</f>
        <v>44449</v>
      </c>
      <c r="B4850" s="6" t="str">
        <f ca="1">IFERROR(__xludf.DUMMYFUNCTION("""COMPUTED_VALUE"""),"-33.408211-71.080842")</f>
        <v>-33.408211-71.080842</v>
      </c>
      <c r="C4850" s="6" t="str">
        <f ca="1">IFERROR(__xludf.DUMMYFUNCTION("""COMPUTED_VALUE"""),"CUYUNCAVI ABAJO 188 B")</f>
        <v>CUYUNCAVI ABAJO 188 B</v>
      </c>
      <c r="D4850" s="6" t="str">
        <f ca="1">IFERROR(__xludf.DUMMYFUNCTION("""COMPUTED_VALUE"""),"CURACAVI")</f>
        <v>CURACAVI</v>
      </c>
    </row>
    <row r="4851" spans="1:4">
      <c r="A4851" s="7">
        <f ca="1">IFERROR(__xludf.DUMMYFUNCTION("""COMPUTED_VALUE"""),44449)</f>
        <v>44449</v>
      </c>
      <c r="B4851" s="6" t="str">
        <f ca="1">IFERROR(__xludf.DUMMYFUNCTION("""COMPUTED_VALUE"""),"-33.408211-71.080842")</f>
        <v>-33.408211-71.080842</v>
      </c>
      <c r="C4851" s="6" t="str">
        <f ca="1">IFERROR(__xludf.DUMMYFUNCTION("""COMPUTED_VALUE"""),"CUYUNCAVI ABAJO 188 B")</f>
        <v>CUYUNCAVI ABAJO 188 B</v>
      </c>
      <c r="D4851" s="6" t="str">
        <f ca="1">IFERROR(__xludf.DUMMYFUNCTION("""COMPUTED_VALUE"""),"CURACAVI")</f>
        <v>CURACAVI</v>
      </c>
    </row>
    <row r="4852" spans="1:4">
      <c r="A4852" s="7">
        <f ca="1">IFERROR(__xludf.DUMMYFUNCTION("""COMPUTED_VALUE"""),44449)</f>
        <v>44449</v>
      </c>
      <c r="B4852" s="6" t="str">
        <f ca="1">IFERROR(__xludf.DUMMYFUNCTION("""COMPUTED_VALUE"""),"-33.66119-76.91901")</f>
        <v>-33.66119-76.91901</v>
      </c>
      <c r="C4852" s="6" t="str">
        <f ca="1">IFERROR(__xludf.DUMMYFUNCTION("""COMPUTED_VALUE"""),"ESMERALDA 294")</f>
        <v>ESMERALDA 294</v>
      </c>
      <c r="D4852" s="6" t="str">
        <f ca="1">IFERROR(__xludf.DUMMYFUNCTION("""COMPUTED_VALUE"""),"TALAGANTE")</f>
        <v>TALAGANTE</v>
      </c>
    </row>
    <row r="4853" spans="1:4">
      <c r="A4853" s="7">
        <f ca="1">IFERROR(__xludf.DUMMYFUNCTION("""COMPUTED_VALUE"""),44449)</f>
        <v>44449</v>
      </c>
      <c r="B4853" s="6" t="str">
        <f ca="1">IFERROR(__xludf.DUMMYFUNCTION("""COMPUTED_VALUE"""),"-33.701290,-70.959805")</f>
        <v>-33.701290,-70.959805</v>
      </c>
      <c r="C4853" s="6" t="str">
        <f ca="1">IFERROR(__xludf.DUMMYFUNCTION("""COMPUTED_VALUE"""),"CAMINO LA PALMA S/N")</f>
        <v>CAMINO LA PALMA S/N</v>
      </c>
      <c r="D4853" s="6" t="str">
        <f ca="1">IFERROR(__xludf.DUMMYFUNCTION("""COMPUTED_VALUE"""),"TALAGANTE")</f>
        <v>TALAGANTE</v>
      </c>
    </row>
    <row r="4854" spans="1:4">
      <c r="A4854" s="7">
        <f ca="1">IFERROR(__xludf.DUMMYFUNCTION("""COMPUTED_VALUE"""),44449)</f>
        <v>44449</v>
      </c>
      <c r="B4854" s="8" t="str">
        <f ca="1">IFERROR(__xludf.DUMMYFUNCTION("""COMPUTED_VALUE"""),"-33.570511,-70.787300")</f>
        <v>-33.570511,-70.787300</v>
      </c>
      <c r="C4854" s="6" t="str">
        <f ca="1">IFERROR(__xludf.DUMMYFUNCTION("""COMPUTED_VALUE"""),"TERCERA AVENIDA 1854")</f>
        <v>TERCERA AVENIDA 1854</v>
      </c>
      <c r="D4854" s="6" t="str">
        <f ca="1">IFERROR(__xludf.DUMMYFUNCTION("""COMPUTED_VALUE"""),"PADRE HURTADO")</f>
        <v>PADRE HURTADO</v>
      </c>
    </row>
    <row r="4855" spans="1:4">
      <c r="A4855" s="7">
        <f ca="1">IFERROR(__xludf.DUMMYFUNCTION("""COMPUTED_VALUE"""),44449)</f>
        <v>44449</v>
      </c>
      <c r="B4855" s="8" t="str">
        <f ca="1">IFERROR(__xludf.DUMMYFUNCTION("""COMPUTED_VALUE"""),"-33.673861,-70.837259")</f>
        <v>-33.673861,-70.837259</v>
      </c>
      <c r="C4855" s="6" t="str">
        <f ca="1">IFERROR(__xludf.DUMMYFUNCTION("""COMPUTED_VALUE"""),"EL OLIVETO 3992")</f>
        <v>EL OLIVETO 3992</v>
      </c>
      <c r="D4855" s="6" t="str">
        <f ca="1">IFERROR(__xludf.DUMMYFUNCTION("""COMPUTED_VALUE"""),"TALAGANTE")</f>
        <v>TALAGANTE</v>
      </c>
    </row>
    <row r="4856" spans="1:4">
      <c r="A4856" s="7">
        <f ca="1">IFERROR(__xludf.DUMMYFUNCTION("""COMPUTED_VALUE"""),44449)</f>
        <v>44449</v>
      </c>
      <c r="B4856" s="8" t="str">
        <f ca="1">IFERROR(__xludf.DUMMYFUNCTION("""COMPUTED_VALUE"""),"-33.757510,-71.315280")</f>
        <v>-33.757510,-71.315280</v>
      </c>
      <c r="C4856" s="6" t="str">
        <f ca="1">IFERROR(__xludf.DUMMYFUNCTION("""COMPUTED_VALUE"""),"EL ESFUERZO, CODIGUA")</f>
        <v>EL ESFUERZO, CODIGUA</v>
      </c>
      <c r="D4856" s="6" t="str">
        <f ca="1">IFERROR(__xludf.DUMMYFUNCTION("""COMPUTED_VALUE"""),"MELIPILLA")</f>
        <v>MELIPILLA</v>
      </c>
    </row>
    <row r="4857" spans="1:4">
      <c r="A4857" s="7">
        <f ca="1">IFERROR(__xludf.DUMMYFUNCTION("""COMPUTED_VALUE"""),44449)</f>
        <v>44449</v>
      </c>
      <c r="B4857" s="6" t="str">
        <f ca="1">IFERROR(__xludf.DUMMYFUNCTION("""COMPUTED_VALUE"""),"-33.046011-71.430456")</f>
        <v>-33.046011-71.430456</v>
      </c>
      <c r="C4857" s="6" t="str">
        <f ca="1">IFERROR(__xludf.DUMMYFUNCTION("""COMPUTED_VALUE"""),"PEYRONNET 674")</f>
        <v>PEYRONNET 674</v>
      </c>
      <c r="D4857" s="6" t="str">
        <f ca="1">IFERROR(__xludf.DUMMYFUNCTION("""COMPUTED_VALUE"""),"QUILPUÉ")</f>
        <v>QUILPUÉ</v>
      </c>
    </row>
    <row r="4858" spans="1:4">
      <c r="A4858" s="7">
        <f ca="1">IFERROR(__xludf.DUMMYFUNCTION("""COMPUTED_VALUE"""),44450)</f>
        <v>44450</v>
      </c>
      <c r="B4858" s="6" t="str">
        <f ca="1">IFERROR(__xludf.DUMMYFUNCTION("""COMPUTED_VALUE"""),"-33.723149-70.741435")</f>
        <v>-33.723149-70.741435</v>
      </c>
      <c r="C4858" s="6" t="str">
        <f ca="1">IFERROR(__xludf.DUMMYFUNCTION("""COMPUTED_VALUE"""),"PRESIDENTE FEDERICO ERRAZURIZ 1021")</f>
        <v>PRESIDENTE FEDERICO ERRAZURIZ 1021</v>
      </c>
      <c r="D4858" s="6" t="str">
        <f ca="1">IFERROR(__xludf.DUMMYFUNCTION("""COMPUTED_VALUE"""),"BUIN")</f>
        <v>BUIN</v>
      </c>
    </row>
    <row r="4859" spans="1:4">
      <c r="A4859" s="7">
        <f ca="1">IFERROR(__xludf.DUMMYFUNCTION("""COMPUTED_VALUE"""),44450)</f>
        <v>44450</v>
      </c>
      <c r="B4859" s="6" t="str">
        <f ca="1">IFERROR(__xludf.DUMMYFUNCTION("""COMPUTED_VALUE"""),"-33.409490-71.136131")</f>
        <v>-33.409490-71.136131</v>
      </c>
      <c r="C4859" s="6" t="str">
        <f ca="1">IFERROR(__xludf.DUMMYFUNCTION("""COMPUTED_VALUE"""),"AV AMBROSIO OHIGGINS 1310 C")</f>
        <v>AV AMBROSIO OHIGGINS 1310 C</v>
      </c>
      <c r="D4859" s="6" t="str">
        <f ca="1">IFERROR(__xludf.DUMMYFUNCTION("""COMPUTED_VALUE"""),"CURACAVI")</f>
        <v>CURACAVI</v>
      </c>
    </row>
    <row r="4860" spans="1:4">
      <c r="A4860" s="7">
        <f ca="1">IFERROR(__xludf.DUMMYFUNCTION("""COMPUTED_VALUE"""),44450)</f>
        <v>44450</v>
      </c>
      <c r="B4860" s="6" t="str">
        <f ca="1">IFERROR(__xludf.DUMMYFUNCTION("""COMPUTED_VALUE"""),"-33.406902-71.134246")</f>
        <v>-33.406902-71.134246</v>
      </c>
      <c r="C4860" s="6" t="str">
        <f ca="1">IFERROR(__xludf.DUMMYFUNCTION("""COMPUTED_VALUE"""),"AV AMBROSIO OHIGGINS 1310")</f>
        <v>AV AMBROSIO OHIGGINS 1310</v>
      </c>
      <c r="D4860" s="6" t="str">
        <f ca="1">IFERROR(__xludf.DUMMYFUNCTION("""COMPUTED_VALUE"""),"CURACAVI")</f>
        <v>CURACAVI</v>
      </c>
    </row>
    <row r="4861" spans="1:4">
      <c r="A4861" s="7">
        <f ca="1">IFERROR(__xludf.DUMMYFUNCTION("""COMPUTED_VALUE"""),44452)</f>
        <v>44452</v>
      </c>
      <c r="B4861" s="8" t="str">
        <f ca="1">IFERROR(__xludf.DUMMYFUNCTION("""COMPUTED_VALUE"""),"-33.730974,-70.917255")</f>
        <v>-33.730974,-70.917255</v>
      </c>
      <c r="C4861" s="6" t="str">
        <f ca="1">IFERROR(__xludf.DUMMYFUNCTION("""COMPUTED_VALUE"""),"JAIMES GUZMAN 3575")</f>
        <v>JAIMES GUZMAN 3575</v>
      </c>
      <c r="D4861" s="6" t="str">
        <f ca="1">IFERROR(__xludf.DUMMYFUNCTION("""COMPUTED_VALUE"""),"ISLA DE MAIPO")</f>
        <v>ISLA DE MAIPO</v>
      </c>
    </row>
    <row r="4862" spans="1:4">
      <c r="A4862" s="7">
        <f ca="1">IFERROR(__xludf.DUMMYFUNCTION("""COMPUTED_VALUE"""),44452)</f>
        <v>44452</v>
      </c>
      <c r="B4862" s="8" t="str">
        <f ca="1">IFERROR(__xludf.DUMMYFUNCTION("""COMPUTED_VALUE"""),"-33.730191,-70.917659")</f>
        <v>-33.730191,-70.917659</v>
      </c>
      <c r="C4862" s="6" t="str">
        <f ca="1">IFERROR(__xludf.DUMMYFUNCTION("""COMPUTED_VALUE"""),"JAIMES GUZMAN 3096")</f>
        <v>JAIMES GUZMAN 3096</v>
      </c>
      <c r="D4862" s="6" t="str">
        <f ca="1">IFERROR(__xludf.DUMMYFUNCTION("""COMPUTED_VALUE"""),"ISLA DE MAIPO")</f>
        <v>ISLA DE MAIPO</v>
      </c>
    </row>
    <row r="4863" spans="1:4">
      <c r="A4863" s="7">
        <f ca="1">IFERROR(__xludf.DUMMYFUNCTION("""COMPUTED_VALUE"""),44452)</f>
        <v>44452</v>
      </c>
      <c r="B4863" s="6" t="str">
        <f ca="1">IFERROR(__xludf.DUMMYFUNCTION("""COMPUTED_VALUE"""),"-33.864073,-71487844")</f>
        <v>-33.864073,-71487844</v>
      </c>
      <c r="C4863" s="6" t="str">
        <f ca="1">IFERROR(__xludf.DUMMYFUNCTION("""COMPUTED_VALUE"""),"LO ENCANADA S/N ")</f>
        <v xml:space="preserve">LO ENCANADA S/N </v>
      </c>
      <c r="D4863" s="6" t="str">
        <f ca="1">IFERROR(__xludf.DUMMYFUNCTION("""COMPUTED_VALUE"""),"SAN PEDRO")</f>
        <v>SAN PEDRO</v>
      </c>
    </row>
    <row r="4864" spans="1:4">
      <c r="A4864" s="7">
        <f ca="1">IFERROR(__xludf.DUMMYFUNCTION("""COMPUTED_VALUE"""),44452)</f>
        <v>44452</v>
      </c>
      <c r="B4864" s="8" t="str">
        <f ca="1">IFERROR(__xludf.DUMMYFUNCTION("""COMPUTED_VALUE"""),"-33.583972,-70.817836")</f>
        <v>-33.583972,-70.817836</v>
      </c>
      <c r="C4864" s="6" t="str">
        <f ca="1">IFERROR(__xludf.DUMMYFUNCTION("""COMPUTED_VALUE"""),"LOS LAURELES SITIO 5, VILLA EL COPIHUES")</f>
        <v>LOS LAURELES SITIO 5, VILLA EL COPIHUES</v>
      </c>
      <c r="D4864" s="6" t="str">
        <f ca="1">IFERROR(__xludf.DUMMYFUNCTION("""COMPUTED_VALUE"""),"PADRE HURTADO")</f>
        <v>PADRE HURTADO</v>
      </c>
    </row>
    <row r="4865" spans="1:4">
      <c r="A4865" s="7">
        <f ca="1">IFERROR(__xludf.DUMMYFUNCTION("""COMPUTED_VALUE"""),44452)</f>
        <v>44452</v>
      </c>
      <c r="B4865" s="8" t="str">
        <f ca="1">IFERROR(__xludf.DUMMYFUNCTION("""COMPUTED_VALUE"""),"-33.663814.-70.921226")</f>
        <v>-33.663814.-70.921226</v>
      </c>
      <c r="C4865" s="6" t="str">
        <f ca="1">IFERROR(__xludf.DUMMYFUNCTION("""COMPUTED_VALUE"""),"ARTURO PRAT. A. ALVARADO 602")</f>
        <v>ARTURO PRAT. A. ALVARADO 602</v>
      </c>
      <c r="D4865" s="6" t="str">
        <f ca="1">IFERROR(__xludf.DUMMYFUNCTION("""COMPUTED_VALUE"""),"TALAGANTE")</f>
        <v>TALAGANTE</v>
      </c>
    </row>
    <row r="4866" spans="1:4">
      <c r="A4866" s="7">
        <f ca="1">IFERROR(__xludf.DUMMYFUNCTION("""COMPUTED_VALUE"""),44453)</f>
        <v>44453</v>
      </c>
      <c r="B4866" s="8" t="str">
        <f ca="1">IFERROR(__xludf.DUMMYFUNCTION("""COMPUTED_VALUE"""),"-33.788269,-70.893217")</f>
        <v>-33.788269,-70.893217</v>
      </c>
      <c r="C4866" s="6" t="str">
        <f ca="1">IFERROR(__xludf.DUMMYFUNCTION("""COMPUTED_VALUE"""),"TORRE LAS MERCEDEZ 2565")</f>
        <v>TORRE LAS MERCEDEZ 2565</v>
      </c>
      <c r="D4866" s="6" t="str">
        <f ca="1">IFERROR(__xludf.DUMMYFUNCTION("""COMPUTED_VALUE"""),"ISLA DE MAIPO")</f>
        <v>ISLA DE MAIPO</v>
      </c>
    </row>
    <row r="4867" spans="1:4">
      <c r="A4867" s="7">
        <f ca="1">IFERROR(__xludf.DUMMYFUNCTION("""COMPUTED_VALUE"""),44453)</f>
        <v>44453</v>
      </c>
      <c r="B4867" s="8" t="str">
        <f ca="1">IFERROR(__xludf.DUMMYFUNCTION("""COMPUTED_VALUE"""),"-33.7341057,-71.0198890")</f>
        <v>-33.7341057,-71.0198890</v>
      </c>
      <c r="C4867" s="6" t="str">
        <f ca="1">IFERROR(__xludf.DUMMYFUNCTION("""COMPUTED_VALUE"""),"PRINCIPAL S/N")</f>
        <v>PRINCIPAL S/N</v>
      </c>
      <c r="D4867" s="6" t="str">
        <f ca="1">IFERROR(__xludf.DUMMYFUNCTION("""COMPUTED_VALUE"""),"ISLA DE MAIPO")</f>
        <v>ISLA DE MAIPO</v>
      </c>
    </row>
    <row r="4868" spans="1:4">
      <c r="A4868" s="7">
        <f ca="1">IFERROR(__xludf.DUMMYFUNCTION("""COMPUTED_VALUE"""),44453)</f>
        <v>44453</v>
      </c>
      <c r="B4868" s="8" t="str">
        <f ca="1">IFERROR(__xludf.DUMMYFUNCTION("""COMPUTED_VALUE"""),"-33.742462,-70.598839")</f>
        <v>-33.742462,-70.598839</v>
      </c>
      <c r="C4868" s="6" t="str">
        <f ca="1">IFERROR(__xludf.DUMMYFUNCTION("""COMPUTED_VALUE"""),"SAN FRANCISCO 1294")</f>
        <v>SAN FRANCISCO 1294</v>
      </c>
      <c r="D4868" s="6" t="str">
        <f ca="1">IFERROR(__xludf.DUMMYFUNCTION("""COMPUTED_VALUE"""),"ISLA DE MAIPO")</f>
        <v>ISLA DE MAIPO</v>
      </c>
    </row>
    <row r="4869" spans="1:4">
      <c r="A4869" s="7">
        <f ca="1">IFERROR(__xludf.DUMMYFUNCTION("""COMPUTED_VALUE"""),44453)</f>
        <v>44453</v>
      </c>
      <c r="B4869" s="8" t="str">
        <f ca="1">IFERROR(__xludf.DUMMYFUNCTION("""COMPUTED_VALUE"""),"-33.734064,-70.866110")</f>
        <v>-33.734064,-70.866110</v>
      </c>
      <c r="C4869" s="6" t="str">
        <f ca="1">IFERROR(__xludf.DUMMYFUNCTION("""COMPUTED_VALUE"""),"GACITUA 710")</f>
        <v>GACITUA 710</v>
      </c>
      <c r="D4869" s="6" t="str">
        <f ca="1">IFERROR(__xludf.DUMMYFUNCTION("""COMPUTED_VALUE"""),"ISLA DE MAIPO")</f>
        <v>ISLA DE MAIPO</v>
      </c>
    </row>
    <row r="4870" spans="1:4">
      <c r="A4870" s="7">
        <f ca="1">IFERROR(__xludf.DUMMYFUNCTION("""COMPUTED_VALUE"""),44453)</f>
        <v>44453</v>
      </c>
      <c r="B4870" s="8" t="str">
        <f ca="1">IFERROR(__xludf.DUMMYFUNCTION("""COMPUTED_VALUE"""),"-33.739154,-70.866182")</f>
        <v>-33.739154,-70.866182</v>
      </c>
      <c r="C4870" s="6" t="str">
        <f ca="1">IFERROR(__xludf.DUMMYFUNCTION("""COMPUTED_VALUE"""),"ENRIQUE ALCALDE 422")</f>
        <v>ENRIQUE ALCALDE 422</v>
      </c>
      <c r="D4870" s="6" t="str">
        <f ca="1">IFERROR(__xludf.DUMMYFUNCTION("""COMPUTED_VALUE"""),"ISLA DE MAIPO")</f>
        <v>ISLA DE MAIPO</v>
      </c>
    </row>
    <row r="4871" spans="1:4">
      <c r="A4871" s="7">
        <f ca="1">IFERROR(__xludf.DUMMYFUNCTION("""COMPUTED_VALUE"""),44453)</f>
        <v>44453</v>
      </c>
      <c r="B4871" s="6" t="str">
        <f ca="1">IFERROR(__xludf.DUMMYFUNCTION("""COMPUTED_VALUE"""),"-33.6042437-70.352249")</f>
        <v>-33.6042437-70.352249</v>
      </c>
      <c r="C4871" s="6" t="str">
        <f ca="1">IFERROR(__xludf.DUMMYFUNCTION("""COMPUTED_VALUE"""),"LOS PEUMOS 15527")</f>
        <v>LOS PEUMOS 15527</v>
      </c>
      <c r="D4871" s="6" t="str">
        <f ca="1">IFERROR(__xludf.DUMMYFUNCTION("""COMPUTED_VALUE"""),"SAN JOSE DE MAIPO")</f>
        <v>SAN JOSE DE MAIPO</v>
      </c>
    </row>
    <row r="4872" spans="1:4">
      <c r="A4872" s="7">
        <f ca="1">IFERROR(__xludf.DUMMYFUNCTION("""COMPUTED_VALUE"""),44453)</f>
        <v>44453</v>
      </c>
      <c r="B4872" s="6" t="str">
        <f ca="1">IFERROR(__xludf.DUMMYFUNCTION("""COMPUTED_VALUE"""),"-33.6042437-70.352249")</f>
        <v>-33.6042437-70.352249</v>
      </c>
      <c r="C4872" s="6" t="str">
        <f ca="1">IFERROR(__xludf.DUMMYFUNCTION("""COMPUTED_VALUE"""),"LOS PEUMOS 15527")</f>
        <v>LOS PEUMOS 15527</v>
      </c>
      <c r="D4872" s="6" t="str">
        <f ca="1">IFERROR(__xludf.DUMMYFUNCTION("""COMPUTED_VALUE"""),"SAN JOSE DE MAIPO")</f>
        <v>SAN JOSE DE MAIPO</v>
      </c>
    </row>
    <row r="4873" spans="1:4">
      <c r="A4873" s="7">
        <f ca="1">IFERROR(__xludf.DUMMYFUNCTION("""COMPUTED_VALUE"""),44453)</f>
        <v>44453</v>
      </c>
      <c r="B4873" s="6" t="str">
        <f ca="1">IFERROR(__xludf.DUMMYFUNCTION("""COMPUTED_VALUE"""),"-33.6045925-70.3516845")</f>
        <v>-33.6045925-70.3516845</v>
      </c>
      <c r="C4873" s="6" t="str">
        <f ca="1">IFERROR(__xludf.DUMMYFUNCTION("""COMPUTED_VALUE"""),"LOS PEUMOS 17505")</f>
        <v>LOS PEUMOS 17505</v>
      </c>
      <c r="D4873" s="6" t="str">
        <f ca="1">IFERROR(__xludf.DUMMYFUNCTION("""COMPUTED_VALUE"""),"SAN JOSE DE MAIPO")</f>
        <v>SAN JOSE DE MAIPO</v>
      </c>
    </row>
    <row r="4874" spans="1:4">
      <c r="A4874" s="7">
        <f ca="1">IFERROR(__xludf.DUMMYFUNCTION("""COMPUTED_VALUE"""),44453)</f>
        <v>44453</v>
      </c>
      <c r="B4874" s="6" t="str">
        <f ca="1">IFERROR(__xludf.DUMMYFUNCTION("""COMPUTED_VALUE"""),"-33.6045924-70.3516845")</f>
        <v>-33.6045924-70.3516845</v>
      </c>
      <c r="C4874" s="6" t="str">
        <f ca="1">IFERROR(__xludf.DUMMYFUNCTION("""COMPUTED_VALUE"""),"LOS PEUMOS 17505")</f>
        <v>LOS PEUMOS 17505</v>
      </c>
      <c r="D4874" s="6" t="str">
        <f ca="1">IFERROR(__xludf.DUMMYFUNCTION("""COMPUTED_VALUE"""),"SAN JOSE DE MAIPO")</f>
        <v>SAN JOSE DE MAIPO</v>
      </c>
    </row>
    <row r="4875" spans="1:4">
      <c r="A4875" s="7">
        <f ca="1">IFERROR(__xludf.DUMMYFUNCTION("""COMPUTED_VALUE"""),44453)</f>
        <v>44453</v>
      </c>
      <c r="B4875" s="6" t="str">
        <f ca="1">IFERROR(__xludf.DUMMYFUNCTION("""COMPUTED_VALUE"""),"-33.63808-70.35404")</f>
        <v>-33.63808-70.35404</v>
      </c>
      <c r="C4875" s="6" t="str">
        <f ca="1">IFERROR(__xludf.DUMMYFUNCTION("""COMPUTED_VALUE"""),"DEL RIO 19492")</f>
        <v>DEL RIO 19492</v>
      </c>
      <c r="D4875" s="6" t="str">
        <f ca="1">IFERROR(__xludf.DUMMYFUNCTION("""COMPUTED_VALUE"""),"SAN JOSE DE MAIPO")</f>
        <v>SAN JOSE DE MAIPO</v>
      </c>
    </row>
    <row r="4876" spans="1:4">
      <c r="A4876" s="7">
        <f ca="1">IFERROR(__xludf.DUMMYFUNCTION("""COMPUTED_VALUE"""),44453)</f>
        <v>44453</v>
      </c>
      <c r="B4876" s="6" t="str">
        <f ca="1">IFERROR(__xludf.DUMMYFUNCTION("""COMPUTED_VALUE"""),"-33.584524-70.810362")</f>
        <v>-33.584524-70.810362</v>
      </c>
      <c r="C4876" s="6" t="str">
        <f ca="1">IFERROR(__xludf.DUMMYFUNCTION("""COMPUTED_VALUE"""),"SAN IGNACIO 54")</f>
        <v>SAN IGNACIO 54</v>
      </c>
      <c r="D4876" s="6" t="str">
        <f ca="1">IFERROR(__xludf.DUMMYFUNCTION("""COMPUTED_VALUE"""),"PADRE HURTADO")</f>
        <v>PADRE HURTADO</v>
      </c>
    </row>
    <row r="4877" spans="1:4">
      <c r="A4877" s="7">
        <f ca="1">IFERROR(__xludf.DUMMYFUNCTION("""COMPUTED_VALUE"""),44453)</f>
        <v>44453</v>
      </c>
      <c r="B4877" s="6" t="str">
        <f ca="1">IFERROR(__xludf.DUMMYFUNCTION("""COMPUTED_VALUE"""),"-33.584777-70.810409")</f>
        <v>-33.584777-70.810409</v>
      </c>
      <c r="C4877" s="6" t="str">
        <f ca="1">IFERROR(__xludf.DUMMYFUNCTION("""COMPUTED_VALUE"""),"SAN IGNACIO 53")</f>
        <v>SAN IGNACIO 53</v>
      </c>
      <c r="D4877" s="6" t="str">
        <f ca="1">IFERROR(__xludf.DUMMYFUNCTION("""COMPUTED_VALUE"""),"PADRE HURTADO")</f>
        <v>PADRE HURTADO</v>
      </c>
    </row>
    <row r="4878" spans="1:4">
      <c r="A4878" s="7">
        <f ca="1">IFERROR(__xludf.DUMMYFUNCTION("""COMPUTED_VALUE"""),44453)</f>
        <v>44453</v>
      </c>
      <c r="B4878" s="6" t="str">
        <f ca="1">IFERROR(__xludf.DUMMYFUNCTION("""COMPUTED_VALUE"""),"-33.873798,-71.484835")</f>
        <v>-33.873798,-71.484835</v>
      </c>
      <c r="C4878" s="6" t="str">
        <f ca="1">IFERROR(__xludf.DUMMYFUNCTION("""COMPUTED_VALUE"""),"CO QUILAMUTA S/N")</f>
        <v>CO QUILAMUTA S/N</v>
      </c>
      <c r="D4878" s="6" t="str">
        <f ca="1">IFERROR(__xludf.DUMMYFUNCTION("""COMPUTED_VALUE"""),"SAN PEDRO")</f>
        <v>SAN PEDRO</v>
      </c>
    </row>
    <row r="4879" spans="1:4">
      <c r="A4879" s="7">
        <f ca="1">IFERROR(__xludf.DUMMYFUNCTION("""COMPUTED_VALUE"""),44453)</f>
        <v>44453</v>
      </c>
      <c r="B4879" s="6" t="str">
        <f ca="1">IFERROR(__xludf.DUMMYFUNCTION("""COMPUTED_VALUE"""),"-33.892149,-71.462678")</f>
        <v>-33.892149,-71.462678</v>
      </c>
      <c r="C4879" s="6" t="str">
        <f ca="1">IFERROR(__xludf.DUMMYFUNCTION("""COMPUTED_VALUE"""),"CAMINO LA MINA  S/N")</f>
        <v>CAMINO LA MINA  S/N</v>
      </c>
      <c r="D4879" s="6" t="str">
        <f ca="1">IFERROR(__xludf.DUMMYFUNCTION("""COMPUTED_VALUE"""),"SAN PEDRO")</f>
        <v>SAN PEDRO</v>
      </c>
    </row>
    <row r="4880" spans="1:4">
      <c r="A4880" s="7">
        <f ca="1">IFERROR(__xludf.DUMMYFUNCTION("""COMPUTED_VALUE"""),44453)</f>
        <v>44453</v>
      </c>
      <c r="B4880" s="8" t="str">
        <f ca="1">IFERROR(__xludf.DUMMYFUNCTION("""COMPUTED_VALUE"""),"-33.754230.-70.826743")</f>
        <v>-33.754230.-70.826743</v>
      </c>
      <c r="C4880" s="6" t="str">
        <f ca="1">IFERROR(__xludf.DUMMYFUNCTION("""COMPUTED_VALUE"""),"EL MAICILLO 4261")</f>
        <v>EL MAICILLO 4261</v>
      </c>
      <c r="D4880" s="6" t="str">
        <f ca="1">IFERROR(__xludf.DUMMYFUNCTION("""COMPUTED_VALUE"""),"ISLA DE MAIPO")</f>
        <v>ISLA DE MAIPO</v>
      </c>
    </row>
    <row r="4881" spans="1:4">
      <c r="A4881" s="7">
        <f ca="1">IFERROR(__xludf.DUMMYFUNCTION("""COMPUTED_VALUE"""),44453)</f>
        <v>44453</v>
      </c>
      <c r="B4881" s="8" t="str">
        <f ca="1">IFERROR(__xludf.DUMMYFUNCTION("""COMPUTED_VALUE"""),"-33.690652.-70.85678")</f>
        <v>-33.690652.-70.85678</v>
      </c>
      <c r="C4881" s="6" t="str">
        <f ca="1">IFERROR(__xludf.DUMMYFUNCTION("""COMPUTED_VALUE"""),"PAPAGALLO 3")</f>
        <v>PAPAGALLO 3</v>
      </c>
      <c r="D4881" s="6" t="str">
        <f ca="1">IFERROR(__xludf.DUMMYFUNCTION("""COMPUTED_VALUE"""),"TALAGANTE")</f>
        <v>TALAGANTE</v>
      </c>
    </row>
    <row r="4882" spans="1:4">
      <c r="A4882" s="7">
        <f ca="1">IFERROR(__xludf.DUMMYFUNCTION("""COMPUTED_VALUE"""),44453)</f>
        <v>44453</v>
      </c>
      <c r="B4882" s="8" t="str">
        <f ca="1">IFERROR(__xludf.DUMMYFUNCTION("""COMPUTED_VALUE"""),"-33.241920,-70.785690")</f>
        <v>-33.241920,-70.785690</v>
      </c>
      <c r="C4882" s="6" t="str">
        <f ca="1">IFERROR(__xludf.DUMMYFUNCTION("""COMPUTED_VALUE"""),"LICANRAY 2")</f>
        <v>LICANRAY 2</v>
      </c>
      <c r="D4882" s="6" t="str">
        <f ca="1">IFERROR(__xludf.DUMMYFUNCTION("""COMPUTED_VALUE"""),"LAMPA")</f>
        <v>LAMPA</v>
      </c>
    </row>
    <row r="4883" spans="1:4">
      <c r="A4883" s="7">
        <f ca="1">IFERROR(__xludf.DUMMYFUNCTION("""COMPUTED_VALUE"""),44454)</f>
        <v>44454</v>
      </c>
      <c r="B4883" s="8" t="str">
        <f ca="1">IFERROR(__xludf.DUMMYFUNCTION("""COMPUTED_VALUE"""),"-33.733348,-70.9050627")</f>
        <v>-33.733348,-70.9050627</v>
      </c>
      <c r="C4883" s="6" t="str">
        <f ca="1">IFERROR(__xludf.DUMMYFUNCTION("""COMPUTED_VALUE"""),"PJE GACITUA 1101 LOTE 9")</f>
        <v>PJE GACITUA 1101 LOTE 9</v>
      </c>
      <c r="D4883" s="6" t="str">
        <f ca="1">IFERROR(__xludf.DUMMYFUNCTION("""COMPUTED_VALUE"""),"ISLA DE MAIPO")</f>
        <v>ISLA DE MAIPO</v>
      </c>
    </row>
    <row r="4884" spans="1:4">
      <c r="A4884" s="7">
        <f ca="1">IFERROR(__xludf.DUMMYFUNCTION("""COMPUTED_VALUE"""),44454)</f>
        <v>44454</v>
      </c>
      <c r="B4884" s="8" t="str">
        <f ca="1">IFERROR(__xludf.DUMMYFUNCTION("""COMPUTED_VALUE"""),"-33.741584,-70.867908")</f>
        <v>-33.741584,-70.867908</v>
      </c>
      <c r="C4884" s="6" t="str">
        <f ca="1">IFERROR(__xludf.DUMMYFUNCTION("""COMPUTED_VALUE"""),"CONTRERAS 30D LOTE 1B ")</f>
        <v xml:space="preserve">CONTRERAS 30D LOTE 1B </v>
      </c>
      <c r="D4884" s="6" t="str">
        <f ca="1">IFERROR(__xludf.DUMMYFUNCTION("""COMPUTED_VALUE"""),"ISLA DE MAIPO")</f>
        <v>ISLA DE MAIPO</v>
      </c>
    </row>
    <row r="4885" spans="1:4">
      <c r="A4885" s="7">
        <f ca="1">IFERROR(__xludf.DUMMYFUNCTION("""COMPUTED_VALUE"""),44454)</f>
        <v>44454</v>
      </c>
      <c r="B4885" s="8" t="str">
        <f ca="1">IFERROR(__xludf.DUMMYFUNCTION("""COMPUTED_VALUE"""),"-33.732698,-70.904890")</f>
        <v>-33.732698,-70.904890</v>
      </c>
      <c r="C4885" s="6" t="str">
        <f ca="1">IFERROR(__xludf.DUMMYFUNCTION("""COMPUTED_VALUE"""),"GACITUA 1101 LOTE 7")</f>
        <v>GACITUA 1101 LOTE 7</v>
      </c>
      <c r="D4885" s="6" t="str">
        <f ca="1">IFERROR(__xludf.DUMMYFUNCTION("""COMPUTED_VALUE"""),"ISLA DE MAIPO")</f>
        <v>ISLA DE MAIPO</v>
      </c>
    </row>
    <row r="4886" spans="1:4">
      <c r="A4886" s="7">
        <f ca="1">IFERROR(__xludf.DUMMYFUNCTION("""COMPUTED_VALUE"""),44454)</f>
        <v>44454</v>
      </c>
      <c r="B4886" s="8" t="str">
        <f ca="1">IFERROR(__xludf.DUMMYFUNCTION("""COMPUTED_VALUE"""),"-33.745330,-70.868071")</f>
        <v>-33.745330,-70.868071</v>
      </c>
      <c r="C4886" s="6" t="str">
        <f ca="1">IFERROR(__xludf.DUMMYFUNCTION("""COMPUTED_VALUE"""),"ALBERTO MOREIRA")</f>
        <v>ALBERTO MOREIRA</v>
      </c>
      <c r="D4886" s="6" t="str">
        <f ca="1">IFERROR(__xludf.DUMMYFUNCTION("""COMPUTED_VALUE"""),"ISLA DE MAIPO")</f>
        <v>ISLA DE MAIPO</v>
      </c>
    </row>
    <row r="4887" spans="1:4">
      <c r="A4887" s="7">
        <f ca="1">IFERROR(__xludf.DUMMYFUNCTION("""COMPUTED_VALUE"""),44454)</f>
        <v>44454</v>
      </c>
      <c r="B4887" s="8" t="str">
        <f ca="1">IFERROR(__xludf.DUMMYFUNCTION("""COMPUTED_VALUE"""),"-33.767613,.70.879200")</f>
        <v>-33.767613,.70.879200</v>
      </c>
      <c r="C4887" s="6" t="str">
        <f ca="1">IFERROR(__xludf.DUMMYFUNCTION("""COMPUTED_VALUE"""),"LORENSO 3005 ")</f>
        <v xml:space="preserve">LORENSO 3005 </v>
      </c>
      <c r="D4887" s="6" t="str">
        <f ca="1">IFERROR(__xludf.DUMMYFUNCTION("""COMPUTED_VALUE"""),"ISLA DE MAIPO")</f>
        <v>ISLA DE MAIPO</v>
      </c>
    </row>
    <row r="4888" spans="1:4">
      <c r="A4888" s="7">
        <f ca="1">IFERROR(__xludf.DUMMYFUNCTION("""COMPUTED_VALUE"""),44454)</f>
        <v>44454</v>
      </c>
      <c r="B4888" s="8" t="str">
        <f ca="1">IFERROR(__xludf.DUMMYFUNCTION("""COMPUTED_VALUE"""),"-33.741545,-70.867884")</f>
        <v>-33.741545,-70.867884</v>
      </c>
      <c r="C4888" s="6" t="str">
        <f ca="1">IFERROR(__xludf.DUMMYFUNCTION("""COMPUTED_VALUE"""),"CONTRERAS 300")</f>
        <v>CONTRERAS 300</v>
      </c>
      <c r="D4888" s="6" t="str">
        <f ca="1">IFERROR(__xludf.DUMMYFUNCTION("""COMPUTED_VALUE"""),"ISLA DE MAIPO")</f>
        <v>ISLA DE MAIPO</v>
      </c>
    </row>
    <row r="4889" spans="1:4">
      <c r="A4889" s="7">
        <f ca="1">IFERROR(__xludf.DUMMYFUNCTION("""COMPUTED_VALUE"""),44454)</f>
        <v>44454</v>
      </c>
      <c r="B4889" s="8" t="str">
        <f ca="1">IFERROR(__xludf.DUMMYFUNCTION("""COMPUTED_VALUE"""),"-33.754385,-70.826368")</f>
        <v>-33.754385,-70.826368</v>
      </c>
      <c r="C4889" s="6" t="str">
        <f ca="1">IFERROR(__xludf.DUMMYFUNCTION("""COMPUTED_VALUE"""),"EL MAICILLO 4219")</f>
        <v>EL MAICILLO 4219</v>
      </c>
      <c r="D4889" s="6" t="str">
        <f ca="1">IFERROR(__xludf.DUMMYFUNCTION("""COMPUTED_VALUE"""),"ISLA DE MAIPO")</f>
        <v>ISLA DE MAIPO</v>
      </c>
    </row>
    <row r="4890" spans="1:4">
      <c r="A4890" s="7">
        <f ca="1">IFERROR(__xludf.DUMMYFUNCTION("""COMPUTED_VALUE"""),44454)</f>
        <v>44454</v>
      </c>
      <c r="B4890" s="8" t="str">
        <f ca="1">IFERROR(__xludf.DUMMYFUNCTION("""COMPUTED_VALUE"""),"-33.767740,-70.879341")</f>
        <v>-33.767740,-70.879341</v>
      </c>
      <c r="C4890" s="6" t="str">
        <f ca="1">IFERROR(__xludf.DUMMYFUNCTION("""COMPUTED_VALUE"""),"SAN LORENZO 2960 ")</f>
        <v xml:space="preserve">SAN LORENZO 2960 </v>
      </c>
      <c r="D4890" s="6" t="str">
        <f ca="1">IFERROR(__xludf.DUMMYFUNCTION("""COMPUTED_VALUE"""),"ISLA DE MAIPO")</f>
        <v>ISLA DE MAIPO</v>
      </c>
    </row>
    <row r="4891" spans="1:4">
      <c r="A4891" s="7">
        <f ca="1">IFERROR(__xludf.DUMMYFUNCTION("""COMPUTED_VALUE"""),44454)</f>
        <v>44454</v>
      </c>
      <c r="B4891" s="8" t="str">
        <f ca="1">IFERROR(__xludf.DUMMYFUNCTION("""COMPUTED_VALUE"""),"-33.748422,-70.871015")</f>
        <v>-33.748422,-70.871015</v>
      </c>
      <c r="C4891" s="6" t="str">
        <f ca="1">IFERROR(__xludf.DUMMYFUNCTION("""COMPUTED_VALUE"""),"EL CUARTEL 367")</f>
        <v>EL CUARTEL 367</v>
      </c>
      <c r="D4891" s="6" t="str">
        <f ca="1">IFERROR(__xludf.DUMMYFUNCTION("""COMPUTED_VALUE"""),"ISLA DE MAIPO")</f>
        <v>ISLA DE MAIPO</v>
      </c>
    </row>
    <row r="4892" spans="1:4">
      <c r="A4892" s="7">
        <f ca="1">IFERROR(__xludf.DUMMYFUNCTION("""COMPUTED_VALUE"""),44454)</f>
        <v>44454</v>
      </c>
      <c r="B4892" s="6" t="str">
        <f ca="1">IFERROR(__xludf.DUMMYFUNCTION("""COMPUTED_VALUE"""),"-33.423269-71.138115")</f>
        <v>-33.423269-71.138115</v>
      </c>
      <c r="C4892" s="6" t="str">
        <f ca="1">IFERROR(__xludf.DUMMYFUNCTION("""COMPUTED_VALUE"""),"LO AGUILA S/N  PARC 34")</f>
        <v>LO AGUILA S/N  PARC 34</v>
      </c>
      <c r="D4892" s="6" t="str">
        <f ca="1">IFERROR(__xludf.DUMMYFUNCTION("""COMPUTED_VALUE"""),"CURACAVI")</f>
        <v>CURACAVI</v>
      </c>
    </row>
    <row r="4893" spans="1:4">
      <c r="A4893" s="7">
        <f ca="1">IFERROR(__xludf.DUMMYFUNCTION("""COMPUTED_VALUE"""),44454)</f>
        <v>44454</v>
      </c>
      <c r="B4893" s="6" t="str">
        <f ca="1">IFERROR(__xludf.DUMMYFUNCTION("""COMPUTED_VALUE"""),"-33.405000-71.133672")</f>
        <v>-33.405000-71.133672</v>
      </c>
      <c r="C4893" s="6" t="str">
        <f ca="1">IFERROR(__xludf.DUMMYFUNCTION("""COMPUTED_VALUE"""),"TENIENTE BERNARDO ESCOBAR 75")</f>
        <v>TENIENTE BERNARDO ESCOBAR 75</v>
      </c>
      <c r="D4893" s="6" t="str">
        <f ca="1">IFERROR(__xludf.DUMMYFUNCTION("""COMPUTED_VALUE"""),"CURACAVI")</f>
        <v>CURACAVI</v>
      </c>
    </row>
    <row r="4894" spans="1:4">
      <c r="A4894" s="7">
        <f ca="1">IFERROR(__xludf.DUMMYFUNCTION("""COMPUTED_VALUE"""),44454)</f>
        <v>44454</v>
      </c>
      <c r="B4894" s="6" t="str">
        <f ca="1">IFERROR(__xludf.DUMMYFUNCTION("""COMPUTED_VALUE"""),"-33.392839-71.126327")</f>
        <v>-33.392839-71.126327</v>
      </c>
      <c r="C4894" s="6" t="str">
        <f ca="1">IFERROR(__xludf.DUMMYFUNCTION("""COMPUTED_VALUE"""),"JOSE FRANCISCO VERGARA 2176")</f>
        <v>JOSE FRANCISCO VERGARA 2176</v>
      </c>
      <c r="D4894" s="6" t="str">
        <f ca="1">IFERROR(__xludf.DUMMYFUNCTION("""COMPUTED_VALUE"""),"CURACAVI")</f>
        <v>CURACAVI</v>
      </c>
    </row>
    <row r="4895" spans="1:4">
      <c r="A4895" s="7">
        <f ca="1">IFERROR(__xludf.DUMMYFUNCTION("""COMPUTED_VALUE"""),44454)</f>
        <v>44454</v>
      </c>
      <c r="B4895" s="8" t="str">
        <f ca="1">IFERROR(__xludf.DUMMYFUNCTION("""COMPUTED_VALUE"""),"-33.753048,-70.825953")</f>
        <v>-33.753048,-70.825953</v>
      </c>
      <c r="C4895" s="6" t="str">
        <f ca="1">IFERROR(__xludf.DUMMYFUNCTION("""COMPUTED_VALUE"""),"EL MAICILLO 4592")</f>
        <v>EL MAICILLO 4592</v>
      </c>
      <c r="D4895" s="6" t="str">
        <f ca="1">IFERROR(__xludf.DUMMYFUNCTION("""COMPUTED_VALUE"""),"ISLA DE MAIPO")</f>
        <v>ISLA DE MAIPO</v>
      </c>
    </row>
    <row r="4896" spans="1:4">
      <c r="A4896" s="7">
        <f ca="1">IFERROR(__xludf.DUMMYFUNCTION("""COMPUTED_VALUE"""),44454)</f>
        <v>44454</v>
      </c>
      <c r="B4896" s="8" t="str">
        <f ca="1">IFERROR(__xludf.DUMMYFUNCTION("""COMPUTED_VALUE"""),"-33.741772,-70.897163")</f>
        <v>-33.741772,-70.897163</v>
      </c>
      <c r="C4896" s="6" t="str">
        <f ca="1">IFERROR(__xludf.DUMMYFUNCTION("""COMPUTED_VALUE"""),"SAN PATRICIO 1427")</f>
        <v>SAN PATRICIO 1427</v>
      </c>
      <c r="D4896" s="6" t="str">
        <f ca="1">IFERROR(__xludf.DUMMYFUNCTION("""COMPUTED_VALUE"""),"ISLA DE MAIPO")</f>
        <v>ISLA DE MAIPO</v>
      </c>
    </row>
    <row r="4897" spans="1:4">
      <c r="A4897" s="7">
        <f ca="1">IFERROR(__xludf.DUMMYFUNCTION("""COMPUTED_VALUE"""),44454)</f>
        <v>44454</v>
      </c>
      <c r="B4897" s="8" t="str">
        <f ca="1">IFERROR(__xludf.DUMMYFUNCTION("""COMPUTED_VALUE"""),"-33.753304,-70.904884")</f>
        <v>-33.753304,-70.904884</v>
      </c>
      <c r="C4897" s="6" t="str">
        <f ca="1">IFERROR(__xludf.DUMMYFUNCTION("""COMPUTED_VALUE"""),"SANTELICES 868")</f>
        <v>SANTELICES 868</v>
      </c>
      <c r="D4897" s="6" t="str">
        <f ca="1">IFERROR(__xludf.DUMMYFUNCTION("""COMPUTED_VALUE"""),"ISLA DE MAIPO")</f>
        <v>ISLA DE MAIPO</v>
      </c>
    </row>
    <row r="4898" spans="1:4">
      <c r="A4898" s="7">
        <f ca="1">IFERROR(__xludf.DUMMYFUNCTION("""COMPUTED_VALUE"""),44454)</f>
        <v>44454</v>
      </c>
      <c r="B4898" s="8" t="str">
        <f ca="1">IFERROR(__xludf.DUMMYFUNCTION("""COMPUTED_VALUE"""),"-33.741127,-70.898178")</f>
        <v>-33.741127,-70.898178</v>
      </c>
      <c r="C4898" s="6" t="str">
        <f ca="1">IFERROR(__xludf.DUMMYFUNCTION("""COMPUTED_VALUE"""),"SAN FRANCISCO 561")</f>
        <v>SAN FRANCISCO 561</v>
      </c>
      <c r="D4898" s="6" t="str">
        <f ca="1">IFERROR(__xludf.DUMMYFUNCTION("""COMPUTED_VALUE"""),"ISLA DE MAIPO")</f>
        <v>ISLA DE MAIPO</v>
      </c>
    </row>
    <row r="4899" spans="1:4">
      <c r="A4899" s="7">
        <f ca="1">IFERROR(__xludf.DUMMYFUNCTION("""COMPUTED_VALUE"""),44455)</f>
        <v>44455</v>
      </c>
      <c r="B4899" s="6" t="str">
        <f ca="1">IFERROR(__xludf.DUMMYFUNCTION("""COMPUTED_VALUE"""),"-33.6653016-70.3494964")</f>
        <v>-33.6653016-70.3494964</v>
      </c>
      <c r="C4899" s="6" t="str">
        <f ca="1">IFERROR(__xludf.DUMMYFUNCTION("""COMPUTED_VALUE"""),"CAMINO EL VOLCAN 22900")</f>
        <v>CAMINO EL VOLCAN 22900</v>
      </c>
      <c r="D4899" s="6" t="str">
        <f ca="1">IFERROR(__xludf.DUMMYFUNCTION("""COMPUTED_VALUE"""),"SAN JOSE DE MAIPO")</f>
        <v>SAN JOSE DE MAIPO</v>
      </c>
    </row>
    <row r="4900" spans="1:4">
      <c r="A4900" s="7">
        <f ca="1">IFERROR(__xludf.DUMMYFUNCTION("""COMPUTED_VALUE"""),44455)</f>
        <v>44455</v>
      </c>
      <c r="B4900" s="6" t="str">
        <f ca="1">IFERROR(__xludf.DUMMYFUNCTION("""COMPUTED_VALUE"""),"-33.6436183-70.353284")</f>
        <v>-33.6436183-70.353284</v>
      </c>
      <c r="C4900" s="6" t="str">
        <f ca="1">IFERROR(__xludf.DUMMYFUNCTION("""COMPUTED_VALUE"""),"UNO 055")</f>
        <v>UNO 055</v>
      </c>
      <c r="D4900" s="6" t="str">
        <f ca="1">IFERROR(__xludf.DUMMYFUNCTION("""COMPUTED_VALUE"""),"SAN JOSE DE MAIPO")</f>
        <v>SAN JOSE DE MAIPO</v>
      </c>
    </row>
    <row r="4901" spans="1:4">
      <c r="A4901" s="7">
        <f ca="1">IFERROR(__xludf.DUMMYFUNCTION("""COMPUTED_VALUE"""),44455)</f>
        <v>44455</v>
      </c>
      <c r="B4901" s="6" t="str">
        <f ca="1">IFERROR(__xludf.DUMMYFUNCTION("""COMPUTED_VALUE"""),"-33.741429,-70.915843")</f>
        <v>-33.741429,-70.915843</v>
      </c>
      <c r="C4901" s="6" t="str">
        <f ca="1">IFERROR(__xludf.DUMMYFUNCTION("""COMPUTED_VALUE"""),"SAN LUIS 167")</f>
        <v>SAN LUIS 167</v>
      </c>
      <c r="D4901" s="6" t="str">
        <f ca="1">IFERROR(__xludf.DUMMYFUNCTION("""COMPUTED_VALUE"""),"ISLA DE MAIPO")</f>
        <v>ISLA DE MAIPO</v>
      </c>
    </row>
    <row r="4902" spans="1:4">
      <c r="A4902" s="7">
        <f ca="1">IFERROR(__xludf.DUMMYFUNCTION("""COMPUTED_VALUE"""),44455)</f>
        <v>44455</v>
      </c>
      <c r="B4902" s="6" t="str">
        <f ca="1">IFERROR(__xludf.DUMMYFUNCTION("""COMPUTED_VALUE"""),"-33.686781,-71.208338")</f>
        <v>-33.686781,-71.208338</v>
      </c>
      <c r="C4902" s="6" t="str">
        <f ca="1">IFERROR(__xludf.DUMMYFUNCTION("""COMPUTED_VALUE"""),"ALCALDE 502")</f>
        <v>ALCALDE 502</v>
      </c>
      <c r="D4902" s="6" t="str">
        <f ca="1">IFERROR(__xludf.DUMMYFUNCTION("""COMPUTED_VALUE"""),"MELIPILLA")</f>
        <v>MELIPILLA</v>
      </c>
    </row>
    <row r="4903" spans="1:4">
      <c r="A4903" s="7">
        <f ca="1">IFERROR(__xludf.DUMMYFUNCTION("""COMPUTED_VALUE"""),44455)</f>
        <v>44455</v>
      </c>
      <c r="B4903" s="8" t="str">
        <f ca="1">IFERROR(__xludf.DUMMYFUNCTION("""COMPUTED_VALUE"""),"-33.754594,-70.827342")</f>
        <v>-33.754594,-70.827342</v>
      </c>
      <c r="C4903" s="6" t="str">
        <f ca="1">IFERROR(__xludf.DUMMYFUNCTION("""COMPUTED_VALUE"""),"EL MAISILLO 4334")</f>
        <v>EL MAISILLO 4334</v>
      </c>
      <c r="D4903" s="6" t="str">
        <f ca="1">IFERROR(__xludf.DUMMYFUNCTION("""COMPUTED_VALUE"""),"ISLA DE MAIPO")</f>
        <v>ISLA DE MAIPO</v>
      </c>
    </row>
    <row r="4904" spans="1:4">
      <c r="A4904" s="7">
        <f ca="1">IFERROR(__xludf.DUMMYFUNCTION("""COMPUTED_VALUE"""),44455)</f>
        <v>44455</v>
      </c>
      <c r="B4904" s="8" t="str">
        <f ca="1">IFERROR(__xludf.DUMMYFUNCTION("""COMPUTED_VALUE"""),"-33.655537,-70.827277")</f>
        <v>-33.655537,-70.827277</v>
      </c>
      <c r="C4904" s="6" t="str">
        <f ca="1">IFERROR(__xludf.DUMMYFUNCTION("""COMPUTED_VALUE"""),"UNO NORTE 7180")</f>
        <v>UNO NORTE 7180</v>
      </c>
      <c r="D4904" s="6" t="str">
        <f ca="1">IFERROR(__xludf.DUMMYFUNCTION("""COMPUTED_VALUE"""),"TALAGANTE")</f>
        <v>TALAGANTE</v>
      </c>
    </row>
    <row r="4905" spans="1:4">
      <c r="A4905" s="7">
        <f ca="1">IFERROR(__xludf.DUMMYFUNCTION("""COMPUTED_VALUE"""),44459)</f>
        <v>44459</v>
      </c>
      <c r="B4905" s="8" t="str">
        <f ca="1">IFERROR(__xludf.DUMMYFUNCTION("""COMPUTED_VALUE"""),"-33.767724,-70.579105")</f>
        <v>-33.767724,-70.579105</v>
      </c>
      <c r="C4905" s="6" t="str">
        <f ca="1">IFERROR(__xludf.DUMMYFUNCTION("""COMPUTED_VALUE"""),"SAN LORENZO 2990")</f>
        <v>SAN LORENZO 2990</v>
      </c>
      <c r="D4905" s="6" t="str">
        <f ca="1">IFERROR(__xludf.DUMMYFUNCTION("""COMPUTED_VALUE"""),"ISLA DE MAIPO")</f>
        <v>ISLA DE MAIPO</v>
      </c>
    </row>
    <row r="4906" spans="1:4">
      <c r="A4906" s="7">
        <f ca="1">IFERROR(__xludf.DUMMYFUNCTION("""COMPUTED_VALUE"""),44459)</f>
        <v>44459</v>
      </c>
      <c r="B4906" s="8" t="str">
        <f ca="1">IFERROR(__xludf.DUMMYFUNCTION("""COMPUTED_VALUE"""),"-33.779238,-70.904122")</f>
        <v>-33.779238,-70.904122</v>
      </c>
      <c r="C4906" s="6" t="str">
        <f ca="1">IFERROR(__xludf.DUMMYFUNCTION("""COMPUTED_VALUE"""),"GALVEZ 2476")</f>
        <v>GALVEZ 2476</v>
      </c>
      <c r="D4906" s="6" t="str">
        <f ca="1">IFERROR(__xludf.DUMMYFUNCTION("""COMPUTED_VALUE"""),"ISLA DE MAIPO")</f>
        <v>ISLA DE MAIPO</v>
      </c>
    </row>
    <row r="4907" spans="1:4">
      <c r="A4907" s="7">
        <f ca="1">IFERROR(__xludf.DUMMYFUNCTION("""COMPUTED_VALUE"""),44459)</f>
        <v>44459</v>
      </c>
      <c r="B4907" s="8" t="str">
        <f ca="1">IFERROR(__xludf.DUMMYFUNCTION("""COMPUTED_VALUE"""),"-33.783885,-70.890484")</f>
        <v>-33.783885,-70.890484</v>
      </c>
      <c r="C4907" s="6" t="str">
        <f ca="1">IFERROR(__xludf.DUMMYFUNCTION("""COMPUTED_VALUE"""),"FRESNO 508")</f>
        <v>FRESNO 508</v>
      </c>
      <c r="D4907" s="6" t="str">
        <f ca="1">IFERROR(__xludf.DUMMYFUNCTION("""COMPUTED_VALUE"""),"ISLA DE MAIPO")</f>
        <v>ISLA DE MAIPO</v>
      </c>
    </row>
    <row r="4908" spans="1:4">
      <c r="A4908" s="7">
        <f ca="1">IFERROR(__xludf.DUMMYFUNCTION("""COMPUTED_VALUE"""),44459)</f>
        <v>44459</v>
      </c>
      <c r="B4908" s="8" t="str">
        <f ca="1">IFERROR(__xludf.DUMMYFUNCTION("""COMPUTED_VALUE"""),"-33.734296,-70.904497")</f>
        <v>-33.734296,-70.904497</v>
      </c>
      <c r="C4908" s="6" t="str">
        <f ca="1">IFERROR(__xludf.DUMMYFUNCTION("""COMPUTED_VALUE"""),"GUILLERMO ALCALDE 1445")</f>
        <v>GUILLERMO ALCALDE 1445</v>
      </c>
      <c r="D4908" s="6" t="str">
        <f ca="1">IFERROR(__xludf.DUMMYFUNCTION("""COMPUTED_VALUE"""),"ISLA DE MAIPO")</f>
        <v>ISLA DE MAIPO</v>
      </c>
    </row>
    <row r="4909" spans="1:4">
      <c r="A4909" s="7">
        <f ca="1">IFERROR(__xludf.DUMMYFUNCTION("""COMPUTED_VALUE"""),44459)</f>
        <v>44459</v>
      </c>
      <c r="B4909" s="6" t="str">
        <f ca="1">IFERROR(__xludf.DUMMYFUNCTION("""COMPUTED_VALUE"""),"-33.49162-71.15002")</f>
        <v>-33.49162-71.15002</v>
      </c>
      <c r="C4909" s="6" t="str">
        <f ca="1">IFERROR(__xludf.DUMMYFUNCTION("""COMPUTED_VALUE"""),"EL LUCHADOR 5")</f>
        <v>EL LUCHADOR 5</v>
      </c>
      <c r="D4909" s="6" t="str">
        <f ca="1">IFERROR(__xludf.DUMMYFUNCTION("""COMPUTED_VALUE"""),"MARIA PINTO")</f>
        <v>MARIA PINTO</v>
      </c>
    </row>
    <row r="4910" spans="1:4">
      <c r="A4910" s="7">
        <f ca="1">IFERROR(__xludf.DUMMYFUNCTION("""COMPUTED_VALUE"""),44459)</f>
        <v>44459</v>
      </c>
      <c r="B4910" s="6" t="str">
        <f ca="1">IFERROR(__xludf.DUMMYFUNCTION("""COMPUTED_VALUE"""),"-33.49162-71.15002")</f>
        <v>-33.49162-71.15002</v>
      </c>
      <c r="C4910" s="6" t="str">
        <f ca="1">IFERROR(__xludf.DUMMYFUNCTION("""COMPUTED_VALUE"""),"EL LUCHADOR 6")</f>
        <v>EL LUCHADOR 6</v>
      </c>
      <c r="D4910" s="6" t="str">
        <f ca="1">IFERROR(__xludf.DUMMYFUNCTION("""COMPUTED_VALUE"""),"MARIA PINTO")</f>
        <v>MARIA PINTO</v>
      </c>
    </row>
    <row r="4911" spans="1:4">
      <c r="A4911" s="7">
        <f ca="1">IFERROR(__xludf.DUMMYFUNCTION("""COMPUTED_VALUE"""),44459)</f>
        <v>44459</v>
      </c>
      <c r="B4911" s="6" t="str">
        <f ca="1">IFERROR(__xludf.DUMMYFUNCTION("""COMPUTED_VALUE"""),"-33.49162-71.15002")</f>
        <v>-33.49162-71.15002</v>
      </c>
      <c r="C4911" s="6" t="str">
        <f ca="1">IFERROR(__xludf.DUMMYFUNCTION("""COMPUTED_VALUE"""),"EL LUCHADOR 7")</f>
        <v>EL LUCHADOR 7</v>
      </c>
      <c r="D4911" s="6" t="str">
        <f ca="1">IFERROR(__xludf.DUMMYFUNCTION("""COMPUTED_VALUE"""),"MARIA PINTO")</f>
        <v>MARIA PINTO</v>
      </c>
    </row>
    <row r="4912" spans="1:4">
      <c r="A4912" s="7">
        <f ca="1">IFERROR(__xludf.DUMMYFUNCTION("""COMPUTED_VALUE"""),44459)</f>
        <v>44459</v>
      </c>
      <c r="B4912" s="6" t="str">
        <f ca="1">IFERROR(__xludf.DUMMYFUNCTION("""COMPUTED_VALUE"""),"-33.280484,-70.681193")</f>
        <v>-33.280484,-70.681193</v>
      </c>
      <c r="C4912" s="6" t="str">
        <f ca="1">IFERROR(__xludf.DUMMYFUNCTION("""COMPUTED_VALUE"""),"CAMINO LOS INGLESES S/N PARC 12 LOTE 1 SIT A-4")</f>
        <v>CAMINO LOS INGLESES S/N PARC 12 LOTE 1 SIT A-4</v>
      </c>
      <c r="D4912" s="6" t="str">
        <f ca="1">IFERROR(__xludf.DUMMYFUNCTION("""COMPUTED_VALUE"""),"COLINA")</f>
        <v>COLINA</v>
      </c>
    </row>
    <row r="4913" spans="1:4">
      <c r="A4913" s="7">
        <f ca="1">IFERROR(__xludf.DUMMYFUNCTION("""COMPUTED_VALUE"""),44460)</f>
        <v>44460</v>
      </c>
      <c r="B4913" s="8" t="str">
        <f ca="1">IFERROR(__xludf.DUMMYFUNCTION("""COMPUTED_VALUE"""),"-33.7350097,-70.8631431")</f>
        <v>-33.7350097,-70.8631431</v>
      </c>
      <c r="C4913" s="6" t="str">
        <f ca="1">IFERROR(__xludf.DUMMYFUNCTION("""COMPUTED_VALUE"""),"EL MAITEN 412")</f>
        <v>EL MAITEN 412</v>
      </c>
      <c r="D4913" s="6" t="str">
        <f ca="1">IFERROR(__xludf.DUMMYFUNCTION("""COMPUTED_VALUE"""),"ISLA DE MAIPO")</f>
        <v>ISLA DE MAIPO</v>
      </c>
    </row>
    <row r="4914" spans="1:4">
      <c r="A4914" s="7">
        <f ca="1">IFERROR(__xludf.DUMMYFUNCTION("""COMPUTED_VALUE"""),44460)</f>
        <v>44460</v>
      </c>
      <c r="B4914" s="8" t="str">
        <f ca="1">IFERROR(__xludf.DUMMYFUNCTION("""COMPUTED_VALUE"""),"-33.733569,-70.863563")</f>
        <v>-33.733569,-70.863563</v>
      </c>
      <c r="C4914" s="6" t="str">
        <f ca="1">IFERROR(__xludf.DUMMYFUNCTION("""COMPUTED_VALUE"""),"SANTA INES 519")</f>
        <v>SANTA INES 519</v>
      </c>
      <c r="D4914" s="6" t="str">
        <f ca="1">IFERROR(__xludf.DUMMYFUNCTION("""COMPUTED_VALUE"""),"ISLA DE MAIPO")</f>
        <v>ISLA DE MAIPO</v>
      </c>
    </row>
    <row r="4915" spans="1:4">
      <c r="A4915" s="7">
        <f ca="1">IFERROR(__xludf.DUMMYFUNCTION("""COMPUTED_VALUE"""),44460)</f>
        <v>44460</v>
      </c>
      <c r="B4915" s="8" t="str">
        <f ca="1">IFERROR(__xludf.DUMMYFUNCTION("""COMPUTED_VALUE"""),"-33.733334,-70.907772")</f>
        <v>-33.733334,-70.907772</v>
      </c>
      <c r="C4915" s="6" t="str">
        <f ca="1">IFERROR(__xludf.DUMMYFUNCTION("""COMPUTED_VALUE"""),"LA HIGUERA 1110")</f>
        <v>LA HIGUERA 1110</v>
      </c>
      <c r="D4915" s="6" t="str">
        <f ca="1">IFERROR(__xludf.DUMMYFUNCTION("""COMPUTED_VALUE"""),"ISLA DE MAIPO")</f>
        <v>ISLA DE MAIPO</v>
      </c>
    </row>
    <row r="4916" spans="1:4">
      <c r="A4916" s="7">
        <f ca="1">IFERROR(__xludf.DUMMYFUNCTION("""COMPUTED_VALUE"""),44460)</f>
        <v>44460</v>
      </c>
      <c r="B4916" s="8" t="str">
        <f ca="1">IFERROR(__xludf.DUMMYFUNCTION("""COMPUTED_VALUE"""),"-33.7338160,-71.0203118")</f>
        <v>-33.7338160,-71.0203118</v>
      </c>
      <c r="C4916" s="6" t="str">
        <f ca="1">IFERROR(__xludf.DUMMYFUNCTION("""COMPUTED_VALUE"""),"PRINCIPAL S/N")</f>
        <v>PRINCIPAL S/N</v>
      </c>
      <c r="D4916" s="6" t="str">
        <f ca="1">IFERROR(__xludf.DUMMYFUNCTION("""COMPUTED_VALUE"""),"ISLA DE MAIPO")</f>
        <v>ISLA DE MAIPO</v>
      </c>
    </row>
    <row r="4917" spans="1:4">
      <c r="A4917" s="7">
        <f ca="1">IFERROR(__xludf.DUMMYFUNCTION("""COMPUTED_VALUE"""),44460)</f>
        <v>44460</v>
      </c>
      <c r="B4917" s="8" t="str">
        <f ca="1">IFERROR(__xludf.DUMMYFUNCTION("""COMPUTED_VALUE"""),"-33.737984,-70.867721")</f>
        <v>-33.737984,-70.867721</v>
      </c>
      <c r="C4917" s="6" t="str">
        <f ca="1">IFERROR(__xludf.DUMMYFUNCTION("""COMPUTED_VALUE"""),"SIETE 4425")</f>
        <v>SIETE 4425</v>
      </c>
      <c r="D4917" s="6" t="str">
        <f ca="1">IFERROR(__xludf.DUMMYFUNCTION("""COMPUTED_VALUE"""),"ISLA DE MAIPO")</f>
        <v>ISLA DE MAIPO</v>
      </c>
    </row>
    <row r="4918" spans="1:4">
      <c r="A4918" s="7">
        <f ca="1">IFERROR(__xludf.DUMMYFUNCTION("""COMPUTED_VALUE"""),44460)</f>
        <v>44460</v>
      </c>
      <c r="B4918" s="8" t="str">
        <f ca="1">IFERROR(__xludf.DUMMYFUNCTION("""COMPUTED_VALUE"""),"-33.737984,-70.867721")</f>
        <v>-33.737984,-70.867721</v>
      </c>
      <c r="C4918" s="6" t="str">
        <f ca="1">IFERROR(__xludf.DUMMYFUNCTION("""COMPUTED_VALUE"""),"SIETE 4425")</f>
        <v>SIETE 4425</v>
      </c>
      <c r="D4918" s="6" t="str">
        <f ca="1">IFERROR(__xludf.DUMMYFUNCTION("""COMPUTED_VALUE"""),"ISLA DE MAIPO")</f>
        <v>ISLA DE MAIPO</v>
      </c>
    </row>
    <row r="4919" spans="1:4">
      <c r="A4919" s="7">
        <f ca="1">IFERROR(__xludf.DUMMYFUNCTION("""COMPUTED_VALUE"""),44460)</f>
        <v>44460</v>
      </c>
      <c r="B4919" s="6" t="str">
        <f ca="1">IFERROR(__xludf.DUMMYFUNCTION("""COMPUTED_VALUE"""),"-33.45178-71.02671")</f>
        <v>-33.45178-71.02671</v>
      </c>
      <c r="C4919" s="6" t="str">
        <f ca="1">IFERROR(__xludf.DUMMYFUNCTION("""COMPUTED_VALUE"""),"UNION CHILENA PARC 8")</f>
        <v>UNION CHILENA PARC 8</v>
      </c>
      <c r="D4919" s="6" t="str">
        <f ca="1">IFERROR(__xludf.DUMMYFUNCTION("""COMPUTED_VALUE"""),"CURACAVI")</f>
        <v>CURACAVI</v>
      </c>
    </row>
    <row r="4920" spans="1:4">
      <c r="A4920" s="7">
        <f ca="1">IFERROR(__xludf.DUMMYFUNCTION("""COMPUTED_VALUE"""),44460)</f>
        <v>44460</v>
      </c>
      <c r="B4920" s="6" t="str">
        <f ca="1">IFERROR(__xludf.DUMMYFUNCTION("""COMPUTED_VALUE"""),"-33.47209-71.1067")</f>
        <v>-33.47209-71.1067</v>
      </c>
      <c r="C4920" s="6" t="str">
        <f ca="1">IFERROR(__xludf.DUMMYFUNCTION("""COMPUTED_VALUE"""),"SANTA EMILIA S/N")</f>
        <v>SANTA EMILIA S/N</v>
      </c>
      <c r="D4920" s="6" t="str">
        <f ca="1">IFERROR(__xludf.DUMMYFUNCTION("""COMPUTED_VALUE"""),"MARIA PINTO")</f>
        <v>MARIA PINTO</v>
      </c>
    </row>
    <row r="4921" spans="1:4">
      <c r="A4921" s="7">
        <f ca="1">IFERROR(__xludf.DUMMYFUNCTION("""COMPUTED_VALUE"""),44460)</f>
        <v>44460</v>
      </c>
      <c r="B4921" s="6" t="str">
        <f ca="1">IFERROR(__xludf.DUMMYFUNCTION("""COMPUTED_VALUE"""),"-33.434597-71.026833")</f>
        <v>-33.434597-71.026833</v>
      </c>
      <c r="C4921" s="6" t="str">
        <f ca="1">IFERROR(__xludf.DUMMYFUNCTION("""COMPUTED_VALUE"""),"UNION SAN JOSE S/N 6/D")</f>
        <v>UNION SAN JOSE S/N 6/D</v>
      </c>
      <c r="D4921" s="6" t="str">
        <f ca="1">IFERROR(__xludf.DUMMYFUNCTION("""COMPUTED_VALUE"""),"CURACAVI")</f>
        <v>CURACAVI</v>
      </c>
    </row>
    <row r="4922" spans="1:4">
      <c r="A4922" s="7">
        <f ca="1">IFERROR(__xludf.DUMMYFUNCTION("""COMPUTED_VALUE"""),44460)</f>
        <v>44460</v>
      </c>
      <c r="B4922" s="6" t="str">
        <f ca="1">IFERROR(__xludf.DUMMYFUNCTION("""COMPUTED_VALUE"""),"-33.6386864-70.3472482")</f>
        <v>-33.6386864-70.3472482</v>
      </c>
      <c r="C4922" s="6" t="str">
        <f ca="1">IFERROR(__xludf.DUMMYFUNCTION("""COMPUTED_VALUE"""),"AV. CEMENTERIO 19081")</f>
        <v>AV. CEMENTERIO 19081</v>
      </c>
      <c r="D4922" s="6" t="str">
        <f ca="1">IFERROR(__xludf.DUMMYFUNCTION("""COMPUTED_VALUE"""),"SAN JOSE DE MAIPO")</f>
        <v>SAN JOSE DE MAIPO</v>
      </c>
    </row>
    <row r="4923" spans="1:4">
      <c r="A4923" s="7">
        <f ca="1">IFERROR(__xludf.DUMMYFUNCTION("""COMPUTED_VALUE"""),44460)</f>
        <v>44460</v>
      </c>
      <c r="B4923" s="6" t="str">
        <f ca="1">IFERROR(__xludf.DUMMYFUNCTION("""COMPUTED_VALUE"""),"-33.6043652-70.3525067")</f>
        <v>-33.6043652-70.3525067</v>
      </c>
      <c r="C4923" s="6" t="str">
        <f ca="1">IFERROR(__xludf.DUMMYFUNCTION("""COMPUTED_VALUE"""),"LOS PEUMOS 17405")</f>
        <v>LOS PEUMOS 17405</v>
      </c>
      <c r="D4923" s="6" t="str">
        <f ca="1">IFERROR(__xludf.DUMMYFUNCTION("""COMPUTED_VALUE"""),"SAN JOSE DE MAIPO")</f>
        <v>SAN JOSE DE MAIPO</v>
      </c>
    </row>
    <row r="4924" spans="1:4">
      <c r="A4924" s="7">
        <f ca="1">IFERROR(__xludf.DUMMYFUNCTION("""COMPUTED_VALUE"""),44460)</f>
        <v>44460</v>
      </c>
      <c r="B4924" s="6" t="str">
        <f ca="1">IFERROR(__xludf.DUMMYFUNCTION("""COMPUTED_VALUE"""),"-33.887071,-71.469788")</f>
        <v>-33.887071,-71.469788</v>
      </c>
      <c r="C4924" s="6" t="str">
        <f ca="1">IFERROR(__xludf.DUMMYFUNCTION("""COMPUTED_VALUE"""),"LINGO LINGO S/N")</f>
        <v>LINGO LINGO S/N</v>
      </c>
      <c r="D4924" s="6" t="str">
        <f ca="1">IFERROR(__xludf.DUMMYFUNCTION("""COMPUTED_VALUE"""),"SAN PEDRO")</f>
        <v>SAN PEDRO</v>
      </c>
    </row>
    <row r="4925" spans="1:4">
      <c r="A4925" s="7">
        <f ca="1">IFERROR(__xludf.DUMMYFUNCTION("""COMPUTED_VALUE"""),44460)</f>
        <v>44460</v>
      </c>
      <c r="B4925" s="6" t="str">
        <f ca="1">IFERROR(__xludf.DUMMYFUNCTION("""COMPUTED_VALUE"""),"-33.892713,-71.457721")</f>
        <v>-33.892713,-71.457721</v>
      </c>
      <c r="C4925" s="6" t="str">
        <f ca="1">IFERROR(__xludf.DUMMYFUNCTION("""COMPUTED_VALUE"""),"SAN PEDRO  S/N")</f>
        <v>SAN PEDRO  S/N</v>
      </c>
      <c r="D4925" s="6" t="str">
        <f ca="1">IFERROR(__xludf.DUMMYFUNCTION("""COMPUTED_VALUE"""),"SAN PEDRO")</f>
        <v>SAN PEDRO</v>
      </c>
    </row>
    <row r="4926" spans="1:4">
      <c r="A4926" s="7">
        <f ca="1">IFERROR(__xludf.DUMMYFUNCTION("""COMPUTED_VALUE"""),44461)</f>
        <v>44461</v>
      </c>
      <c r="B4926" s="8" t="str">
        <f ca="1">IFERROR(__xludf.DUMMYFUNCTION("""COMPUTED_VALUE"""),"-33.733570,-70.907331")</f>
        <v>-33.733570,-70.907331</v>
      </c>
      <c r="C4926" s="6" t="str">
        <f ca="1">IFERROR(__xludf.DUMMYFUNCTION("""COMPUTED_VALUE"""),"LA HIGUERA 1170")</f>
        <v>LA HIGUERA 1170</v>
      </c>
      <c r="D4926" s="6" t="str">
        <f ca="1">IFERROR(__xludf.DUMMYFUNCTION("""COMPUTED_VALUE"""),"ISLA DE MAIPO")</f>
        <v>ISLA DE MAIPO</v>
      </c>
    </row>
    <row r="4927" spans="1:4">
      <c r="A4927" s="7">
        <f ca="1">IFERROR(__xludf.DUMMYFUNCTION("""COMPUTED_VALUE"""),44461)</f>
        <v>44461</v>
      </c>
      <c r="B4927" s="8" t="str">
        <f ca="1">IFERROR(__xludf.DUMMYFUNCTION("""COMPUTED_VALUE"""),"-33.7834642,-70.8923644")</f>
        <v>-33.7834642,-70.8923644</v>
      </c>
      <c r="C4927" s="6" t="str">
        <f ca="1">IFERROR(__xludf.DUMMYFUNCTION("""COMPUTED_VALUE"""),"J.F FRESNOS 356")</f>
        <v>J.F FRESNOS 356</v>
      </c>
      <c r="D4927" s="6" t="str">
        <f ca="1">IFERROR(__xludf.DUMMYFUNCTION("""COMPUTED_VALUE"""),"ISLA DE MAIPO")</f>
        <v>ISLA DE MAIPO</v>
      </c>
    </row>
    <row r="4928" spans="1:4">
      <c r="A4928" s="7">
        <f ca="1">IFERROR(__xludf.DUMMYFUNCTION("""COMPUTED_VALUE"""),44461)</f>
        <v>44461</v>
      </c>
      <c r="B4928" s="8" t="str">
        <f ca="1">IFERROR(__xludf.DUMMYFUNCTION("""COMPUTED_VALUE"""),"-33.7473079,-70.8964541")</f>
        <v>-33.7473079,-70.8964541</v>
      </c>
      <c r="C4928" s="6" t="str">
        <f ca="1">IFERROR(__xludf.DUMMYFUNCTION("""COMPUTED_VALUE"""),"ARMIJO 694")</f>
        <v>ARMIJO 694</v>
      </c>
      <c r="D4928" s="6" t="str">
        <f ca="1">IFERROR(__xludf.DUMMYFUNCTION("""COMPUTED_VALUE"""),"ISLA DE MAIPO")</f>
        <v>ISLA DE MAIPO</v>
      </c>
    </row>
    <row r="4929" spans="1:4">
      <c r="A4929" s="7">
        <f ca="1">IFERROR(__xludf.DUMMYFUNCTION("""COMPUTED_VALUE"""),44461)</f>
        <v>44461</v>
      </c>
      <c r="B4929" s="8" t="str">
        <f ca="1">IFERROR(__xludf.DUMMYFUNCTION("""COMPUTED_VALUE"""),"-33.781617,-70.883359")</f>
        <v>-33.781617,-70.883359</v>
      </c>
      <c r="C4929" s="6" t="str">
        <f ca="1">IFERROR(__xludf.DUMMYFUNCTION("""COMPUTED_VALUE"""),"LAS MERCEDES 1339 A")</f>
        <v>LAS MERCEDES 1339 A</v>
      </c>
      <c r="D4929" s="6" t="str">
        <f ca="1">IFERROR(__xludf.DUMMYFUNCTION("""COMPUTED_VALUE"""),"ISLA DE MAIPO")</f>
        <v>ISLA DE MAIPO</v>
      </c>
    </row>
    <row r="4930" spans="1:4">
      <c r="A4930" s="7">
        <f ca="1">IFERROR(__xludf.DUMMYFUNCTION("""COMPUTED_VALUE"""),44461)</f>
        <v>44461</v>
      </c>
      <c r="B4930" s="6" t="str">
        <f ca="1">IFERROR(__xludf.DUMMYFUNCTION("""COMPUTED_VALUE"""),"-33.77369-71.27523")</f>
        <v>-33.77369-71.27523</v>
      </c>
      <c r="C4930" s="6" t="str">
        <f ca="1">IFERROR(__xludf.DUMMYFUNCTION("""COMPUTED_VALUE"""),"EUROPA ORIENTE 8 LOTE B")</f>
        <v>EUROPA ORIENTE 8 LOTE B</v>
      </c>
      <c r="D4930" s="6" t="str">
        <f ca="1">IFERROR(__xludf.DUMMYFUNCTION("""COMPUTED_VALUE"""),"MELIPILLA")</f>
        <v>MELIPILLA</v>
      </c>
    </row>
    <row r="4931" spans="1:4">
      <c r="A4931" s="7">
        <f ca="1">IFERROR(__xludf.DUMMYFUNCTION("""COMPUTED_VALUE"""),44461)</f>
        <v>44461</v>
      </c>
      <c r="B4931" s="6" t="str">
        <f ca="1">IFERROR(__xludf.DUMMYFUNCTION("""COMPUTED_VALUE"""),"-33.77369-71.27523")</f>
        <v>-33.77369-71.27523</v>
      </c>
      <c r="C4931" s="6" t="str">
        <f ca="1">IFERROR(__xludf.DUMMYFUNCTION("""COMPUTED_VALUE"""),"EUROPA ORIENTE 8 LOTE B")</f>
        <v>EUROPA ORIENTE 8 LOTE B</v>
      </c>
      <c r="D4931" s="6" t="str">
        <f ca="1">IFERROR(__xludf.DUMMYFUNCTION("""COMPUTED_VALUE"""),"MELIPILLA")</f>
        <v>MELIPILLA</v>
      </c>
    </row>
    <row r="4932" spans="1:4">
      <c r="A4932" s="7">
        <f ca="1">IFERROR(__xludf.DUMMYFUNCTION("""COMPUTED_VALUE"""),44461)</f>
        <v>44461</v>
      </c>
      <c r="B4932" s="6" t="str">
        <f ca="1">IFERROR(__xludf.DUMMYFUNCTION("""COMPUTED_VALUE"""),"-33.67307-71.20866")</f>
        <v>-33.67307-71.20866</v>
      </c>
      <c r="C4932" s="6" t="str">
        <f ca="1">IFERROR(__xludf.DUMMYFUNCTION("""COMPUTED_VALUE"""),"OSTALAZAS 381")</f>
        <v>OSTALAZAS 381</v>
      </c>
      <c r="D4932" s="6" t="str">
        <f ca="1">IFERROR(__xludf.DUMMYFUNCTION("""COMPUTED_VALUE"""),"MELIPILLA")</f>
        <v>MELIPILLA</v>
      </c>
    </row>
    <row r="4933" spans="1:4">
      <c r="A4933" s="7">
        <f ca="1">IFERROR(__xludf.DUMMYFUNCTION("""COMPUTED_VALUE"""),44461)</f>
        <v>44461</v>
      </c>
      <c r="B4933" s="6" t="str">
        <f ca="1">IFERROR(__xludf.DUMMYFUNCTION("""COMPUTED_VALUE"""),"-33.6048066-70.3431983")</f>
        <v>-33.6048066-70.3431983</v>
      </c>
      <c r="C4933" s="6" t="str">
        <f ca="1">IFERROR(__xludf.DUMMYFUNCTION("""COMPUTED_VALUE"""),"CAMINO EL VOLCAN 15469")</f>
        <v>CAMINO EL VOLCAN 15469</v>
      </c>
      <c r="D4933" s="6" t="str">
        <f ca="1">IFERROR(__xludf.DUMMYFUNCTION("""COMPUTED_VALUE"""),"SAN JOSE DE MAIPO")</f>
        <v>SAN JOSE DE MAIPO</v>
      </c>
    </row>
    <row r="4934" spans="1:4">
      <c r="A4934" s="7">
        <f ca="1">IFERROR(__xludf.DUMMYFUNCTION("""COMPUTED_VALUE"""),44461)</f>
        <v>44461</v>
      </c>
      <c r="B4934" s="6" t="str">
        <f ca="1">IFERROR(__xludf.DUMMYFUNCTION("""COMPUTED_VALUE"""),"-33.6042423-70.3522958")</f>
        <v>-33.6042423-70.3522958</v>
      </c>
      <c r="C4934" s="6" t="str">
        <f ca="1">IFERROR(__xludf.DUMMYFUNCTION("""COMPUTED_VALUE"""),"CAMINO LOS PEUMOS 17505")</f>
        <v>CAMINO LOS PEUMOS 17505</v>
      </c>
      <c r="D4934" s="6" t="str">
        <f ca="1">IFERROR(__xludf.DUMMYFUNCTION("""COMPUTED_VALUE"""),"SAN JOSE DE MAIPO")</f>
        <v>SAN JOSE DE MAIPO</v>
      </c>
    </row>
    <row r="4935" spans="1:4">
      <c r="A4935" s="7">
        <f ca="1">IFERROR(__xludf.DUMMYFUNCTION("""COMPUTED_VALUE"""),44461)</f>
        <v>44461</v>
      </c>
      <c r="B4935" s="6" t="str">
        <f ca="1">IFERROR(__xludf.DUMMYFUNCTION("""COMPUTED_VALUE"""),"-33.648463,-71.148945")</f>
        <v>-33.648463,-71.148945</v>
      </c>
      <c r="C4935" s="6" t="str">
        <f ca="1">IFERROR(__xludf.DUMMYFUNCTION("""COMPUTED_VALUE"""),"ROBERTO BRAVO S/N-CV52 POMAIRE")</f>
        <v>ROBERTO BRAVO S/N-CV52 POMAIRE</v>
      </c>
      <c r="D4935" s="6" t="str">
        <f ca="1">IFERROR(__xludf.DUMMYFUNCTION("""COMPUTED_VALUE"""),"MELIPILLA")</f>
        <v>MELIPILLA</v>
      </c>
    </row>
    <row r="4936" spans="1:4">
      <c r="A4936" s="7">
        <f ca="1">IFERROR(__xludf.DUMMYFUNCTION("""COMPUTED_VALUE"""),44461)</f>
        <v>44461</v>
      </c>
      <c r="B4936" s="8" t="str">
        <f ca="1">IFERROR(__xludf.DUMMYFUNCTION("""COMPUTED_VALUE"""),"-33.514851,-71.083154")</f>
        <v>-33.514851,-71.083154</v>
      </c>
      <c r="C4936" s="6" t="str">
        <f ca="1">IFERROR(__xludf.DUMMYFUNCTION("""COMPUTED_VALUE"""),"PARCELA NUMERO 7, SECTOR RANCHILLO")</f>
        <v>PARCELA NUMERO 7, SECTOR RANCHILLO</v>
      </c>
      <c r="D4936" s="6" t="str">
        <f ca="1">IFERROR(__xludf.DUMMYFUNCTION("""COMPUTED_VALUE"""),"MARIA PINTO")</f>
        <v>MARIA PINTO</v>
      </c>
    </row>
    <row r="4937" spans="1:4">
      <c r="A4937" s="7">
        <f ca="1">IFERROR(__xludf.DUMMYFUNCTION("""COMPUTED_VALUE"""),44461)</f>
        <v>44461</v>
      </c>
      <c r="B4937" s="8" t="str">
        <f ca="1">IFERROR(__xludf.DUMMYFUNCTION("""COMPUTED_VALUE"""),"-33.676611,-71.236071")</f>
        <v>-33.676611,-71.236071</v>
      </c>
      <c r="C4937" s="6" t="str">
        <f ca="1">IFERROR(__xludf.DUMMYFUNCTION("""COMPUTED_VALUE"""),"HUMBERTO VALENZUELA 2527")</f>
        <v>HUMBERTO VALENZUELA 2527</v>
      </c>
      <c r="D4937" s="6" t="str">
        <f ca="1">IFERROR(__xludf.DUMMYFUNCTION("""COMPUTED_VALUE"""),"MELIPILLA")</f>
        <v>MELIPILLA</v>
      </c>
    </row>
    <row r="4938" spans="1:4">
      <c r="A4938" s="7">
        <f ca="1">IFERROR(__xludf.DUMMYFUNCTION("""COMPUTED_VALUE"""),44462)</f>
        <v>44462</v>
      </c>
      <c r="B4938" s="8" t="str">
        <f ca="1">IFERROR(__xludf.DUMMYFUNCTION("""COMPUTED_VALUE"""),"-33.733375,-70.907313")</f>
        <v>-33.733375,-70.907313</v>
      </c>
      <c r="C4938" s="6" t="str">
        <f ca="1">IFERROR(__xludf.DUMMYFUNCTION("""COMPUTED_VALUE"""),"LA HIGUERA 1145")</f>
        <v>LA HIGUERA 1145</v>
      </c>
      <c r="D4938" s="6" t="str">
        <f ca="1">IFERROR(__xludf.DUMMYFUNCTION("""COMPUTED_VALUE"""),"ISLA DE MAIPO")</f>
        <v>ISLA DE MAIPO</v>
      </c>
    </row>
    <row r="4939" spans="1:4">
      <c r="A4939" s="7">
        <f ca="1">IFERROR(__xludf.DUMMYFUNCTION("""COMPUTED_VALUE"""),44462)</f>
        <v>44462</v>
      </c>
      <c r="B4939" s="8" t="str">
        <f ca="1">IFERROR(__xludf.DUMMYFUNCTION("""COMPUTED_VALUE"""),"-33.746886,-70.898374")</f>
        <v>-33.746886,-70.898374</v>
      </c>
      <c r="C4939" s="6" t="str">
        <f ca="1">IFERROR(__xludf.DUMMYFUNCTION("""COMPUTED_VALUE"""),"PJE CUATRO 839")</f>
        <v>PJE CUATRO 839</v>
      </c>
      <c r="D4939" s="6" t="str">
        <f ca="1">IFERROR(__xludf.DUMMYFUNCTION("""COMPUTED_VALUE"""),"ISLA DE MAIPO")</f>
        <v>ISLA DE MAIPO</v>
      </c>
    </row>
    <row r="4940" spans="1:4">
      <c r="A4940" s="7">
        <f ca="1">IFERROR(__xludf.DUMMYFUNCTION("""COMPUTED_VALUE"""),44462)</f>
        <v>44462</v>
      </c>
      <c r="B4940" s="8" t="str">
        <f ca="1">IFERROR(__xludf.DUMMYFUNCTION("""COMPUTED_VALUE"""),"-33.7497850,-70.8710280")</f>
        <v>-33.7497850,-70.8710280</v>
      </c>
      <c r="C4940" s="6" t="str">
        <f ca="1">IFERROR(__xludf.DUMMYFUNCTION("""COMPUTED_VALUE"""),"LAS FRUTAS 3375")</f>
        <v>LAS FRUTAS 3375</v>
      </c>
      <c r="D4940" s="6" t="str">
        <f ca="1">IFERROR(__xludf.DUMMYFUNCTION("""COMPUTED_VALUE"""),"ISLA DE MAIPO")</f>
        <v>ISLA DE MAIPO</v>
      </c>
    </row>
    <row r="4941" spans="1:4">
      <c r="A4941" s="7">
        <f ca="1">IFERROR(__xludf.DUMMYFUNCTION("""COMPUTED_VALUE"""),44462)</f>
        <v>44462</v>
      </c>
      <c r="B4941" s="8" t="str">
        <f ca="1">IFERROR(__xludf.DUMMYFUNCTION("""COMPUTED_VALUE"""),"-33.650595,-70.901835 ")</f>
        <v xml:space="preserve">-33.650595,-70.901835 </v>
      </c>
      <c r="C4941" s="6" t="str">
        <f ca="1">IFERROR(__xludf.DUMMYFUNCTION("""COMPUTED_VALUE"""),"PASAJE 14  560 ")</f>
        <v xml:space="preserve">PASAJE 14  560 </v>
      </c>
      <c r="D4941" s="6" t="str">
        <f ca="1">IFERROR(__xludf.DUMMYFUNCTION("""COMPUTED_VALUE"""),"TALAGANTE")</f>
        <v>TALAGANTE</v>
      </c>
    </row>
    <row r="4942" spans="1:4">
      <c r="A4942" s="7">
        <f ca="1">IFERROR(__xludf.DUMMYFUNCTION("""COMPUTED_VALUE"""),44462)</f>
        <v>44462</v>
      </c>
      <c r="B4942" s="6" t="str">
        <f ca="1">IFERROR(__xludf.DUMMYFUNCTION("""COMPUTED_VALUE"""),"-33.422470-71.043275")</f>
        <v>-33.422470-71.043275</v>
      </c>
      <c r="C4942" s="6" t="str">
        <f ca="1">IFERROR(__xludf.DUMMYFUNCTION("""COMPUTED_VALUE"""),"ASENTAMIENTO SAN JOSE S/N")</f>
        <v>ASENTAMIENTO SAN JOSE S/N</v>
      </c>
      <c r="D4942" s="6" t="str">
        <f ca="1">IFERROR(__xludf.DUMMYFUNCTION("""COMPUTED_VALUE"""),"CURACAVI")</f>
        <v>CURACAVI</v>
      </c>
    </row>
    <row r="4943" spans="1:4">
      <c r="A4943" s="7">
        <f ca="1">IFERROR(__xludf.DUMMYFUNCTION("""COMPUTED_VALUE"""),44462)</f>
        <v>44462</v>
      </c>
      <c r="B4943" s="6" t="str">
        <f ca="1">IFERROR(__xludf.DUMMYFUNCTION("""COMPUTED_VALUE"""),"-33.421952-71.138386")</f>
        <v>-33.421952-71.138386</v>
      </c>
      <c r="C4943" s="6" t="str">
        <f ca="1">IFERROR(__xludf.DUMMYFUNCTION("""COMPUTED_VALUE"""),"LO AGUILA 37")</f>
        <v>LO AGUILA 37</v>
      </c>
      <c r="D4943" s="6" t="str">
        <f ca="1">IFERROR(__xludf.DUMMYFUNCTION("""COMPUTED_VALUE"""),"CURACAVI")</f>
        <v>CURACAVI</v>
      </c>
    </row>
    <row r="4944" spans="1:4">
      <c r="A4944" s="7">
        <f ca="1">IFERROR(__xludf.DUMMYFUNCTION("""COMPUTED_VALUE"""),44462)</f>
        <v>44462</v>
      </c>
      <c r="B4944" s="6" t="str">
        <f ca="1">IFERROR(__xludf.DUMMYFUNCTION("""COMPUTED_VALUE"""),"-33.422152-71.138683")</f>
        <v>-33.422152-71.138683</v>
      </c>
      <c r="C4944" s="6" t="str">
        <f ca="1">IFERROR(__xludf.DUMMYFUNCTION("""COMPUTED_VALUE"""),"LO AGUILA SUR PARCELA 27")</f>
        <v>LO AGUILA SUR PARCELA 27</v>
      </c>
      <c r="D4944" s="6" t="str">
        <f ca="1">IFERROR(__xludf.DUMMYFUNCTION("""COMPUTED_VALUE"""),"CURACAVI")</f>
        <v>CURACAVI</v>
      </c>
    </row>
    <row r="4945" spans="1:4">
      <c r="A4945" s="7">
        <f ca="1">IFERROR(__xludf.DUMMYFUNCTION("""COMPUTED_VALUE"""),44462)</f>
        <v>44462</v>
      </c>
      <c r="B4945" s="6" t="str">
        <f ca="1">IFERROR(__xludf.DUMMYFUNCTION("""COMPUTED_VALUE"""),"-33.6051068-70.351704")</f>
        <v>-33.6051068-70.351704</v>
      </c>
      <c r="C4945" s="6" t="str">
        <f ca="1">IFERROR(__xludf.DUMMYFUNCTION("""COMPUTED_VALUE"""),"LOS PEUMOS 15355")</f>
        <v>LOS PEUMOS 15355</v>
      </c>
      <c r="D4945" s="6" t="str">
        <f ca="1">IFERROR(__xludf.DUMMYFUNCTION("""COMPUTED_VALUE"""),"SAN JOSE DE MAIPO")</f>
        <v>SAN JOSE DE MAIPO</v>
      </c>
    </row>
    <row r="4946" spans="1:4">
      <c r="A4946" s="7">
        <f ca="1">IFERROR(__xludf.DUMMYFUNCTION("""COMPUTED_VALUE"""),44462)</f>
        <v>44462</v>
      </c>
      <c r="B4946" s="6" t="str">
        <f ca="1">IFERROR(__xludf.DUMMYFUNCTION("""COMPUTED_VALUE"""),"-33.6051068-70.351704")</f>
        <v>-33.6051068-70.351704</v>
      </c>
      <c r="C4946" s="6" t="str">
        <f ca="1">IFERROR(__xludf.DUMMYFUNCTION("""COMPUTED_VALUE"""),"LOS PEUMOS 15355 A")</f>
        <v>LOS PEUMOS 15355 A</v>
      </c>
      <c r="D4946" s="6" t="str">
        <f ca="1">IFERROR(__xludf.DUMMYFUNCTION("""COMPUTED_VALUE"""),"SAN JOSE DE MAIPO")</f>
        <v>SAN JOSE DE MAIPO</v>
      </c>
    </row>
    <row r="4947" spans="1:4">
      <c r="A4947" s="7">
        <f ca="1">IFERROR(__xludf.DUMMYFUNCTION("""COMPUTED_VALUE"""),44462)</f>
        <v>44462</v>
      </c>
      <c r="B4947" s="6" t="str">
        <f ca="1">IFERROR(__xludf.DUMMYFUNCTION("""COMPUTED_VALUE"""),"-33.28796-70.87755")</f>
        <v>-33.28796-70.87755</v>
      </c>
      <c r="C4947" s="6" t="str">
        <f ca="1">IFERROR(__xludf.DUMMYFUNCTION("""COMPUTED_VALUE"""),"LAGO PEÑUELA 1232")</f>
        <v>LAGO PEÑUELA 1232</v>
      </c>
      <c r="D4947" s="6" t="str">
        <f ca="1">IFERROR(__xludf.DUMMYFUNCTION("""COMPUTED_VALUE"""),"LAMPA")</f>
        <v>LAMPA</v>
      </c>
    </row>
    <row r="4948" spans="1:4">
      <c r="A4948" s="7">
        <f ca="1">IFERROR(__xludf.DUMMYFUNCTION("""COMPUTED_VALUE"""),44462)</f>
        <v>44462</v>
      </c>
      <c r="B4948" s="6" t="str">
        <f ca="1">IFERROR(__xludf.DUMMYFUNCTION("""COMPUTED_VALUE"""),"-33.29408-70.85313")</f>
        <v>-33.29408-70.85313</v>
      </c>
      <c r="C4948" s="6" t="str">
        <f ca="1">IFERROR(__xludf.DUMMYFUNCTION("""COMPUTED_VALUE"""),"CAMINO INTERIOR LA HIGUERA SITIO 10 P/29")</f>
        <v>CAMINO INTERIOR LA HIGUERA SITIO 10 P/29</v>
      </c>
      <c r="D4948" s="6" t="str">
        <f ca="1">IFERROR(__xludf.DUMMYFUNCTION("""COMPUTED_VALUE"""),"LAMPA")</f>
        <v>LAMPA</v>
      </c>
    </row>
    <row r="4949" spans="1:4">
      <c r="A4949" s="7">
        <f ca="1">IFERROR(__xludf.DUMMYFUNCTION("""COMPUTED_VALUE"""),44462)</f>
        <v>44462</v>
      </c>
      <c r="B4949" s="6" t="str">
        <f ca="1">IFERROR(__xludf.DUMMYFUNCTION("""COMPUTED_VALUE"""),"-33.957372,-71.476259")</f>
        <v>-33.957372,-71.476259</v>
      </c>
      <c r="C4949" s="6" t="str">
        <f ca="1">IFERROR(__xludf.DUMMYFUNCTION("""COMPUTED_VALUE"""),"PATAGUILLA S/N ")</f>
        <v xml:space="preserve">PATAGUILLA S/N </v>
      </c>
      <c r="D4949" s="6" t="str">
        <f ca="1">IFERROR(__xludf.DUMMYFUNCTION("""COMPUTED_VALUE"""),"SAN PEDRO")</f>
        <v>SAN PEDRO</v>
      </c>
    </row>
    <row r="4950" spans="1:4">
      <c r="A4950" s="7">
        <f ca="1">IFERROR(__xludf.DUMMYFUNCTION("""COMPUTED_VALUE"""),44462)</f>
        <v>44462</v>
      </c>
      <c r="B4950" s="6" t="str">
        <f ca="1">IFERROR(__xludf.DUMMYFUNCTION("""COMPUTED_VALUE"""),"-33.889287,-71.470966")</f>
        <v>-33.889287,-71.470966</v>
      </c>
      <c r="C4950" s="6" t="str">
        <f ca="1">IFERROR(__xludf.DUMMYFUNCTION("""COMPUTED_VALUE"""),"LINGO LINGO S/N")</f>
        <v>LINGO LINGO S/N</v>
      </c>
      <c r="D4950" s="6" t="str">
        <f ca="1">IFERROR(__xludf.DUMMYFUNCTION("""COMPUTED_VALUE"""),"SAN PEDRO")</f>
        <v>SAN PEDRO</v>
      </c>
    </row>
    <row r="4951" spans="1:4">
      <c r="A4951" s="7">
        <f ca="1">IFERROR(__xludf.DUMMYFUNCTION("""COMPUTED_VALUE"""),44462)</f>
        <v>44462</v>
      </c>
      <c r="B4951" s="8" t="str">
        <f ca="1">IFERROR(__xludf.DUMMYFUNCTION("""COMPUTED_VALUE"""),"-33.603205,-70.886627")</f>
        <v>-33.603205,-70.886627</v>
      </c>
      <c r="C4951" s="6" t="str">
        <f ca="1">IFERROR(__xludf.DUMMYFUNCTION("""COMPUTED_VALUE"""),"PASAJE PONIENTE 846")</f>
        <v>PASAJE PONIENTE 846</v>
      </c>
      <c r="D4951" s="6" t="str">
        <f ca="1">IFERROR(__xludf.DUMMYFUNCTION("""COMPUTED_VALUE"""),"PEÑAFLOR")</f>
        <v>PEÑAFLOR</v>
      </c>
    </row>
    <row r="4952" spans="1:4">
      <c r="A4952" s="7">
        <f ca="1">IFERROR(__xludf.DUMMYFUNCTION("""COMPUTED_VALUE"""),44462)</f>
        <v>44462</v>
      </c>
      <c r="B4952" s="8" t="str">
        <f ca="1">IFERROR(__xludf.DUMMYFUNCTION("""COMPUTED_VALUE"""),"-33.611684,-70.865496")</f>
        <v>-33.611684,-70.865496</v>
      </c>
      <c r="C4952" s="6" t="str">
        <f ca="1">IFERROR(__xludf.DUMMYFUNCTION("""COMPUTED_VALUE"""),"CALLE 2, 1033 MALLOCO")</f>
        <v>CALLE 2, 1033 MALLOCO</v>
      </c>
      <c r="D4952" s="6" t="str">
        <f ca="1">IFERROR(__xludf.DUMMYFUNCTION("""COMPUTED_VALUE"""),"PEÑAFLOR")</f>
        <v>PEÑAFLOR</v>
      </c>
    </row>
    <row r="4953" spans="1:4">
      <c r="A4953" s="7">
        <f ca="1">IFERROR(__xludf.DUMMYFUNCTION("""COMPUTED_VALUE"""),44463)</f>
        <v>44463</v>
      </c>
      <c r="B4953" s="8" t="str">
        <f ca="1">IFERROR(__xludf.DUMMYFUNCTION("""COMPUTED_VALUE"""),"-33.785276,-70.893636")</f>
        <v>-33.785276,-70.893636</v>
      </c>
      <c r="C4953" s="6" t="str">
        <f ca="1">IFERROR(__xludf.DUMMYFUNCTION("""COMPUTED_VALUE"""),"SAN MARTIRIAM 236 ")</f>
        <v xml:space="preserve">SAN MARTIRIAM 236 </v>
      </c>
      <c r="D4953" s="6" t="str">
        <f ca="1">IFERROR(__xludf.DUMMYFUNCTION("""COMPUTED_VALUE"""),"ISLA DE MAIPO")</f>
        <v>ISLA DE MAIPO</v>
      </c>
    </row>
    <row r="4954" spans="1:4">
      <c r="A4954" s="7">
        <f ca="1">IFERROR(__xludf.DUMMYFUNCTION("""COMPUTED_VALUE"""),44463)</f>
        <v>44463</v>
      </c>
      <c r="B4954" s="8" t="str">
        <f ca="1">IFERROR(__xludf.DUMMYFUNCTION("""COMPUTED_VALUE"""),"-33.737043,-70.860164")</f>
        <v>-33.737043,-70.860164</v>
      </c>
      <c r="C4954" s="6" t="str">
        <f ca="1">IFERROR(__xludf.DUMMYFUNCTION("""COMPUTED_VALUE"""),"EL MAITEN 59 ")</f>
        <v xml:space="preserve">EL MAITEN 59 </v>
      </c>
      <c r="D4954" s="6" t="str">
        <f ca="1">IFERROR(__xludf.DUMMYFUNCTION("""COMPUTED_VALUE"""),"ISLA DE MAIPO")</f>
        <v>ISLA DE MAIPO</v>
      </c>
    </row>
    <row r="4955" spans="1:4">
      <c r="A4955" s="7">
        <f ca="1">IFERROR(__xludf.DUMMYFUNCTION("""COMPUTED_VALUE"""),44463)</f>
        <v>44463</v>
      </c>
      <c r="B4955" s="6" t="str">
        <f ca="1">IFERROR(__xludf.DUMMYFUNCTION("""COMPUTED_VALUE"""),"-33.65579-70.34389")</f>
        <v>-33.65579-70.34389</v>
      </c>
      <c r="C4955" s="6" t="str">
        <f ca="1">IFERROR(__xludf.DUMMYFUNCTION("""COMPUTED_VALUE"""),"LAGUNILLAS 2981")</f>
        <v>LAGUNILLAS 2981</v>
      </c>
      <c r="D4955" s="6" t="str">
        <f ca="1">IFERROR(__xludf.DUMMYFUNCTION("""COMPUTED_VALUE"""),"SAN JOSE DE MAIPO")</f>
        <v>SAN JOSE DE MAIPO</v>
      </c>
    </row>
    <row r="4956" spans="1:4">
      <c r="A4956" s="7">
        <f ca="1">IFERROR(__xludf.DUMMYFUNCTION("""COMPUTED_VALUE"""),44463)</f>
        <v>44463</v>
      </c>
      <c r="B4956" s="6" t="str">
        <f ca="1">IFERROR(__xludf.DUMMYFUNCTION("""COMPUTED_VALUE"""),"-33.6411475-70.3469367")</f>
        <v>-33.6411475-70.3469367</v>
      </c>
      <c r="C4956" s="6" t="str">
        <f ca="1">IFERROR(__xludf.DUMMYFUNCTION("""COMPUTED_VALUE"""),"LAS ACACIAS 574")</f>
        <v>LAS ACACIAS 574</v>
      </c>
      <c r="D4956" s="6" t="str">
        <f ca="1">IFERROR(__xludf.DUMMYFUNCTION("""COMPUTED_VALUE"""),"SAN JOSE DE MAIPO")</f>
        <v>SAN JOSE DE MAIPO</v>
      </c>
    </row>
    <row r="4957" spans="1:4">
      <c r="A4957" s="7">
        <f ca="1">IFERROR(__xludf.DUMMYFUNCTION("""COMPUTED_VALUE"""),44463)</f>
        <v>44463</v>
      </c>
      <c r="B4957" s="6" t="str">
        <f ca="1">IFERROR(__xludf.DUMMYFUNCTION("""COMPUTED_VALUE"""),"-33.398680-71.049483")</f>
        <v>-33.398680-71.049483</v>
      </c>
      <c r="C4957" s="6" t="str">
        <f ca="1">IFERROR(__xludf.DUMMYFUNCTION("""COMPUTED_VALUE"""),"LOS BOSQUE MIRAFLORES PARC 41")</f>
        <v>LOS BOSQUE MIRAFLORES PARC 41</v>
      </c>
      <c r="D4957" s="6" t="str">
        <f ca="1">IFERROR(__xludf.DUMMYFUNCTION("""COMPUTED_VALUE"""),"CURACAVI")</f>
        <v>CURACAVI</v>
      </c>
    </row>
    <row r="4958" spans="1:4">
      <c r="A4958" s="7">
        <f ca="1">IFERROR(__xludf.DUMMYFUNCTION("""COMPUTED_VALUE"""),44463)</f>
        <v>44463</v>
      </c>
      <c r="B4958" s="6" t="str">
        <f ca="1">IFERROR(__xludf.DUMMYFUNCTION("""COMPUTED_VALUE"""),"-33.398680-71.049483")</f>
        <v>-33.398680-71.049483</v>
      </c>
      <c r="C4958" s="6" t="str">
        <f ca="1">IFERROR(__xludf.DUMMYFUNCTION("""COMPUTED_VALUE"""),"LOS BOSQUE MIRAFLORES PARC 41")</f>
        <v>LOS BOSQUE MIRAFLORES PARC 41</v>
      </c>
      <c r="D4958" s="6" t="str">
        <f ca="1">IFERROR(__xludf.DUMMYFUNCTION("""COMPUTED_VALUE"""),"CURACAVI")</f>
        <v>CURACAVI</v>
      </c>
    </row>
    <row r="4959" spans="1:4">
      <c r="A4959" s="7">
        <f ca="1">IFERROR(__xludf.DUMMYFUNCTION("""COMPUTED_VALUE"""),44463)</f>
        <v>44463</v>
      </c>
      <c r="B4959" s="6" t="str">
        <f ca="1">IFERROR(__xludf.DUMMYFUNCTION("""COMPUTED_VALUE"""),"-33.372277-71.137853")</f>
        <v>-33.372277-71.137853</v>
      </c>
      <c r="C4959" s="6" t="str">
        <f ca="1">IFERROR(__xludf.DUMMYFUNCTION("""COMPUTED_VALUE"""),"HIJUELA DEL CAMPO S/N")</f>
        <v>HIJUELA DEL CAMPO S/N</v>
      </c>
      <c r="D4959" s="6" t="str">
        <f ca="1">IFERROR(__xludf.DUMMYFUNCTION("""COMPUTED_VALUE"""),"CURACAVI")</f>
        <v>CURACAVI</v>
      </c>
    </row>
    <row r="4960" spans="1:4">
      <c r="A4960" s="7">
        <f ca="1">IFERROR(__xludf.DUMMYFUNCTION("""COMPUTED_VALUE"""),44463)</f>
        <v>44463</v>
      </c>
      <c r="B4960" s="6" t="str">
        <f ca="1">IFERROR(__xludf.DUMMYFUNCTION("""COMPUTED_VALUE"""),"-33.422367-71.138725")</f>
        <v>-33.422367-71.138725</v>
      </c>
      <c r="C4960" s="6" t="str">
        <f ca="1">IFERROR(__xludf.DUMMYFUNCTION("""COMPUTED_VALUE"""),"LO AGUILA S/N  PARC 27")</f>
        <v>LO AGUILA S/N  PARC 27</v>
      </c>
      <c r="D4960" s="6" t="str">
        <f ca="1">IFERROR(__xludf.DUMMYFUNCTION("""COMPUTED_VALUE"""),"CURACAVI")</f>
        <v>CURACAVI</v>
      </c>
    </row>
    <row r="4961" spans="1:4">
      <c r="A4961" s="7">
        <f ca="1">IFERROR(__xludf.DUMMYFUNCTION("""COMPUTED_VALUE"""),44463)</f>
        <v>44463</v>
      </c>
      <c r="B4961" s="6" t="str">
        <f ca="1">IFERROR(__xludf.DUMMYFUNCTION("""COMPUTED_VALUE"""),"-33.674624,-71.176632")</f>
        <v>-33.674624,-71.176632</v>
      </c>
      <c r="C4961" s="6" t="str">
        <f ca="1">IFERROR(__xludf.DUMMYFUNCTION("""COMPUTED_VALUE"""),"SUEZIA 131")</f>
        <v>SUEZIA 131</v>
      </c>
      <c r="D4961" s="6" t="str">
        <f ca="1">IFERROR(__xludf.DUMMYFUNCTION("""COMPUTED_VALUE"""),"MELIPILLA")</f>
        <v>MELIPILLA</v>
      </c>
    </row>
    <row r="4962" spans="1:4">
      <c r="A4962" s="7">
        <f ca="1">IFERROR(__xludf.DUMMYFUNCTION("""COMPUTED_VALUE"""),44463)</f>
        <v>44463</v>
      </c>
      <c r="B4962" s="6" t="str">
        <f ca="1">IFERROR(__xludf.DUMMYFUNCTION("""COMPUTED_VALUE"""),"-33.889211,-71.470410")</f>
        <v>-33.889211,-71.470410</v>
      </c>
      <c r="C4962" s="6" t="str">
        <f ca="1">IFERROR(__xludf.DUMMYFUNCTION("""COMPUTED_VALUE"""),"LINGO LINGO S/N")</f>
        <v>LINGO LINGO S/N</v>
      </c>
      <c r="D4962" s="6" t="str">
        <f ca="1">IFERROR(__xludf.DUMMYFUNCTION("""COMPUTED_VALUE"""),"SAN PEDRO")</f>
        <v>SAN PEDRO</v>
      </c>
    </row>
    <row r="4963" spans="1:4">
      <c r="A4963" s="7">
        <f ca="1">IFERROR(__xludf.DUMMYFUNCTION("""COMPUTED_VALUE"""),44463)</f>
        <v>44463</v>
      </c>
      <c r="B4963" s="8" t="str">
        <f ca="1">IFERROR(__xludf.DUMMYFUNCTION("""COMPUTED_VALUE"""),"-33.567904,-70810698")</f>
        <v>-33.567904,-70810698</v>
      </c>
      <c r="C4963" s="6" t="str">
        <f ca="1">IFERROR(__xludf.DUMMYFUNCTION("""COMPUTED_VALUE"""),"ANDALUCIA 1895")</f>
        <v>ANDALUCIA 1895</v>
      </c>
      <c r="D4963" s="6" t="str">
        <f ca="1">IFERROR(__xludf.DUMMYFUNCTION("""COMPUTED_VALUE"""),"PADRE HURTADO")</f>
        <v>PADRE HURTADO</v>
      </c>
    </row>
    <row r="4964" spans="1:4">
      <c r="A4964" s="7">
        <f ca="1">IFERROR(__xludf.DUMMYFUNCTION("""COMPUTED_VALUE"""),44463)</f>
        <v>44463</v>
      </c>
      <c r="B4964" s="8" t="str">
        <f ca="1">IFERROR(__xludf.DUMMYFUNCTION("""COMPUTED_VALUE"""),"-33.607865,-70.868263")</f>
        <v>-33.607865,-70.868263</v>
      </c>
      <c r="C4964" s="6" t="str">
        <f ca="1">IFERROR(__xludf.DUMMYFUNCTION("""COMPUTED_VALUE"""),"DIEGO VELASQUEZ 833")</f>
        <v>DIEGO VELASQUEZ 833</v>
      </c>
      <c r="D4964" s="6" t="str">
        <f ca="1">IFERROR(__xludf.DUMMYFUNCTION("""COMPUTED_VALUE"""),"PEÑAFLOR")</f>
        <v>PEÑAFLOR</v>
      </c>
    </row>
    <row r="4965" spans="1:4">
      <c r="A4965" s="7">
        <f ca="1">IFERROR(__xludf.DUMMYFUNCTION("""COMPUTED_VALUE"""),44464)</f>
        <v>44464</v>
      </c>
      <c r="B4965" s="6" t="str">
        <f ca="1">IFERROR(__xludf.DUMMYFUNCTION("""COMPUTED_VALUE"""),"-33.584119-70.800020")</f>
        <v>-33.584119-70.800020</v>
      </c>
      <c r="C4965" s="6" t="str">
        <f ca="1">IFERROR(__xludf.DUMMYFUNCTION("""COMPUTED_VALUE"""),"SAN IGNACIO 52")</f>
        <v>SAN IGNACIO 52</v>
      </c>
      <c r="D4965" s="6" t="str">
        <f ca="1">IFERROR(__xludf.DUMMYFUNCTION("""COMPUTED_VALUE"""),"PADRE HURTADO")</f>
        <v>PADRE HURTADO</v>
      </c>
    </row>
    <row r="4966" spans="1:4">
      <c r="A4966" s="7">
        <f ca="1">IFERROR(__xludf.DUMMYFUNCTION("""COMPUTED_VALUE"""),44464)</f>
        <v>44464</v>
      </c>
      <c r="B4966" s="6" t="str">
        <f ca="1">IFERROR(__xludf.DUMMYFUNCTION("""COMPUTED_VALUE"""),"-33.902679,-71.469948")</f>
        <v>-33.902679,-71.469948</v>
      </c>
      <c r="C4966" s="6" t="str">
        <f ca="1">IFERROR(__xludf.DUMMYFUNCTION("""COMPUTED_VALUE"""),"CAMINO LA MINA SITIO 10")</f>
        <v>CAMINO LA MINA SITIO 10</v>
      </c>
      <c r="D4966" s="6" t="str">
        <f ca="1">IFERROR(__xludf.DUMMYFUNCTION("""COMPUTED_VALUE"""),"SAN PEDRO")</f>
        <v>SAN PEDRO</v>
      </c>
    </row>
    <row r="4967" spans="1:4">
      <c r="A4967" s="7">
        <f ca="1">IFERROR(__xludf.DUMMYFUNCTION("""COMPUTED_VALUE"""),44464)</f>
        <v>44464</v>
      </c>
      <c r="B4967" s="6" t="str">
        <f ca="1">IFERROR(__xludf.DUMMYFUNCTION("""COMPUTED_VALUE"""),"-33.899871,-71.448239")</f>
        <v>-33.899871,-71.448239</v>
      </c>
      <c r="C4967" s="6" t="str">
        <f ca="1">IFERROR(__xludf.DUMMYFUNCTION("""COMPUTED_VALUE"""),"SAN PEDRO 19")</f>
        <v>SAN PEDRO 19</v>
      </c>
      <c r="D4967" s="6" t="str">
        <f ca="1">IFERROR(__xludf.DUMMYFUNCTION("""COMPUTED_VALUE"""),"SAN PEDRO")</f>
        <v>SAN PEDRO</v>
      </c>
    </row>
    <row r="4968" spans="1:4">
      <c r="A4968" s="7">
        <f ca="1">IFERROR(__xludf.DUMMYFUNCTION("""COMPUTED_VALUE"""),44465)</f>
        <v>44465</v>
      </c>
      <c r="B4968" s="6" t="str">
        <f ca="1">IFERROR(__xludf.DUMMYFUNCTION("""COMPUTED_VALUE"""),"-33.674540,-70.986149")</f>
        <v>-33.674540,-70.986149</v>
      </c>
      <c r="C4968" s="6" t="str">
        <f ca="1">IFERROR(__xludf.DUMMYFUNCTION("""COMPUTED_VALUE"""),"SAN MIGUEL 639")</f>
        <v>SAN MIGUEL 639</v>
      </c>
      <c r="D4968" s="6" t="str">
        <f ca="1">IFERROR(__xludf.DUMMYFUNCTION("""COMPUTED_VALUE"""),"EL MONTE")</f>
        <v>EL MONTE</v>
      </c>
    </row>
    <row r="4969" spans="1:4">
      <c r="A4969" s="7">
        <f ca="1">IFERROR(__xludf.DUMMYFUNCTION("""COMPUTED_VALUE"""),44466)</f>
        <v>44466</v>
      </c>
      <c r="B4969" s="8" t="str">
        <f ca="1">IFERROR(__xludf.DUMMYFUNCTION("""COMPUTED_VALUE"""),"-33.742892,-70.870554")</f>
        <v>-33.742892,-70.870554</v>
      </c>
      <c r="C4969" s="6" t="str">
        <f ca="1">IFERROR(__xludf.DUMMYFUNCTION("""COMPUTED_VALUE"""),"MICHELLE BACHELET 541 ")</f>
        <v xml:space="preserve">MICHELLE BACHELET 541 </v>
      </c>
      <c r="D4969" s="6" t="str">
        <f ca="1">IFERROR(__xludf.DUMMYFUNCTION("""COMPUTED_VALUE"""),"ISLA DE MAIPO")</f>
        <v>ISLA DE MAIPO</v>
      </c>
    </row>
    <row r="4970" spans="1:4">
      <c r="A4970" s="7">
        <f ca="1">IFERROR(__xludf.DUMMYFUNCTION("""COMPUTED_VALUE"""),44466)</f>
        <v>44466</v>
      </c>
      <c r="B4970" s="8" t="str">
        <f ca="1">IFERROR(__xludf.DUMMYFUNCTION("""COMPUTED_VALUE"""),"-33.744418,-70.866160")</f>
        <v>-33.744418,-70.866160</v>
      </c>
      <c r="C4970" s="6" t="str">
        <f ca="1">IFERROR(__xludf.DUMMYFUNCTION("""COMPUTED_VALUE"""),"ARMANDO GARRIDO 148")</f>
        <v>ARMANDO GARRIDO 148</v>
      </c>
      <c r="D4970" s="6" t="str">
        <f ca="1">IFERROR(__xludf.DUMMYFUNCTION("""COMPUTED_VALUE"""),"ISLA DE MAIPO")</f>
        <v>ISLA DE MAIPO</v>
      </c>
    </row>
    <row r="4971" spans="1:4">
      <c r="A4971" s="7">
        <f ca="1">IFERROR(__xludf.DUMMYFUNCTION("""COMPUTED_VALUE"""),44466)</f>
        <v>44466</v>
      </c>
      <c r="B4971" s="8" t="str">
        <f ca="1">IFERROR(__xludf.DUMMYFUNCTION("""COMPUTED_VALUE"""),"-33.767753,-70.878901")</f>
        <v>-33.767753,-70.878901</v>
      </c>
      <c r="C4971" s="6" t="str">
        <f ca="1">IFERROR(__xludf.DUMMYFUNCTION("""COMPUTED_VALUE"""),"SAN LORENZO 3005")</f>
        <v>SAN LORENZO 3005</v>
      </c>
      <c r="D4971" s="6" t="str">
        <f ca="1">IFERROR(__xludf.DUMMYFUNCTION("""COMPUTED_VALUE"""),"ISLA DE MAIPO")</f>
        <v>ISLA DE MAIPO</v>
      </c>
    </row>
    <row r="4972" spans="1:4">
      <c r="A4972" s="7">
        <f ca="1">IFERROR(__xludf.DUMMYFUNCTION("""COMPUTED_VALUE"""),44466)</f>
        <v>44466</v>
      </c>
      <c r="B4972" s="8" t="str">
        <f ca="1">IFERROR(__xludf.DUMMYFUNCTION("""COMPUTED_VALUE"""),"-33.743864,-70.870110")</f>
        <v>-33.743864,-70.870110</v>
      </c>
      <c r="C4972" s="6" t="str">
        <f ca="1">IFERROR(__xludf.DUMMYFUNCTION("""COMPUTED_VALUE"""),"POETA OLEGARIO MENDEZ")</f>
        <v>POETA OLEGARIO MENDEZ</v>
      </c>
      <c r="D4972" s="6" t="str">
        <f ca="1">IFERROR(__xludf.DUMMYFUNCTION("""COMPUTED_VALUE"""),"ISLA DE MAIPO")</f>
        <v>ISLA DE MAIPO</v>
      </c>
    </row>
    <row r="4973" spans="1:4">
      <c r="A4973" s="7">
        <f ca="1">IFERROR(__xludf.DUMMYFUNCTION("""COMPUTED_VALUE"""),44466)</f>
        <v>44466</v>
      </c>
      <c r="B4973" s="8" t="str">
        <f ca="1">IFERROR(__xludf.DUMMYFUNCTION("""COMPUTED_VALUE"""),"-33.783322,-70.894655")</f>
        <v>-33.783322,-70.894655</v>
      </c>
      <c r="C4973" s="6" t="str">
        <f ca="1">IFERROR(__xludf.DUMMYFUNCTION("""COMPUTED_VALUE"""),"FRANCISCO FRESNO 108")</f>
        <v>FRANCISCO FRESNO 108</v>
      </c>
      <c r="D4973" s="6" t="str">
        <f ca="1">IFERROR(__xludf.DUMMYFUNCTION("""COMPUTED_VALUE"""),"ISLA DE MAIPO")</f>
        <v>ISLA DE MAIPO</v>
      </c>
    </row>
    <row r="4974" spans="1:4">
      <c r="A4974" s="7">
        <f ca="1">IFERROR(__xludf.DUMMYFUNCTION("""COMPUTED_VALUE"""),44466)</f>
        <v>44466</v>
      </c>
      <c r="B4974" s="6" t="str">
        <f ca="1">IFERROR(__xludf.DUMMYFUNCTION("""COMPUTED_VALUE"""),"-33.603949-70.3534")</f>
        <v>-33.603949-70.3534</v>
      </c>
      <c r="C4974" s="6" t="str">
        <f ca="1">IFERROR(__xludf.DUMMYFUNCTION("""COMPUTED_VALUE"""),"CAMINO GUAYACAN S/N")</f>
        <v>CAMINO GUAYACAN S/N</v>
      </c>
      <c r="D4974" s="6" t="str">
        <f ca="1">IFERROR(__xludf.DUMMYFUNCTION("""COMPUTED_VALUE"""),"SAN JOSE DE MAIPO")</f>
        <v>SAN JOSE DE MAIPO</v>
      </c>
    </row>
    <row r="4975" spans="1:4">
      <c r="A4975" s="7">
        <f ca="1">IFERROR(__xludf.DUMMYFUNCTION("""COMPUTED_VALUE"""),44466)</f>
        <v>44466</v>
      </c>
      <c r="B4975" s="6" t="str">
        <f ca="1">IFERROR(__xludf.DUMMYFUNCTION("""COMPUTED_VALUE"""),"-33.604718-70.352451")</f>
        <v>-33.604718-70.352451</v>
      </c>
      <c r="C4975" s="6" t="str">
        <f ca="1">IFERROR(__xludf.DUMMYFUNCTION("""COMPUTED_VALUE"""),"CAMINO GUAYACAN S/N")</f>
        <v>CAMINO GUAYACAN S/N</v>
      </c>
      <c r="D4975" s="6" t="str">
        <f ca="1">IFERROR(__xludf.DUMMYFUNCTION("""COMPUTED_VALUE"""),"SAN JOSE DE MAIPO")</f>
        <v>SAN JOSE DE MAIPO</v>
      </c>
    </row>
    <row r="4976" spans="1:4">
      <c r="A4976" s="7">
        <f ca="1">IFERROR(__xludf.DUMMYFUNCTION("""COMPUTED_VALUE"""),44466)</f>
        <v>44466</v>
      </c>
      <c r="B4976" s="6" t="str">
        <f ca="1">IFERROR(__xludf.DUMMYFUNCTION("""COMPUTED_VALUE"""),"-33.679042-70.980320")</f>
        <v>-33.679042-70.980320</v>
      </c>
      <c r="C4976" s="6" t="str">
        <f ca="1">IFERROR(__xludf.DUMMYFUNCTION("""COMPUTED_VALUE"""),"MANUEL RODRIGUEZ 320")</f>
        <v>MANUEL RODRIGUEZ 320</v>
      </c>
      <c r="D4976" s="6" t="str">
        <f ca="1">IFERROR(__xludf.DUMMYFUNCTION("""COMPUTED_VALUE"""),"EL MONTE")</f>
        <v>EL MONTE</v>
      </c>
    </row>
    <row r="4977" spans="1:4">
      <c r="A4977" s="7">
        <f ca="1">IFERROR(__xludf.DUMMYFUNCTION("""COMPUTED_VALUE"""),44466)</f>
        <v>44466</v>
      </c>
      <c r="B4977" s="6" t="str">
        <f ca="1">IFERROR(__xludf.DUMMYFUNCTION("""COMPUTED_VALUE"""),"-33.684150-71.013285")</f>
        <v>-33.684150-71.013285</v>
      </c>
      <c r="C4977" s="6" t="str">
        <f ca="1">IFERROR(__xludf.DUMMYFUNCTION("""COMPUTED_VALUE"""),"LOS LIBERTADORES 993")</f>
        <v>LOS LIBERTADORES 993</v>
      </c>
      <c r="D4977" s="6" t="str">
        <f ca="1">IFERROR(__xludf.DUMMYFUNCTION("""COMPUTED_VALUE"""),"EL MONTE")</f>
        <v>EL MONTE</v>
      </c>
    </row>
    <row r="4978" spans="1:4">
      <c r="A4978" s="7">
        <f ca="1">IFERROR(__xludf.DUMMYFUNCTION("""COMPUTED_VALUE"""),44466)</f>
        <v>44466</v>
      </c>
      <c r="B4978" s="6" t="str">
        <f ca="1">IFERROR(__xludf.DUMMYFUNCTION("""COMPUTED_VALUE"""),"-33.633587,-70.889569")</f>
        <v>-33.633587,-70.889569</v>
      </c>
      <c r="C4978" s="6" t="str">
        <f ca="1">IFERROR(__xludf.DUMMYFUNCTION("""COMPUTED_VALUE"""),"SANTA ISABEL 649")</f>
        <v>SANTA ISABEL 649</v>
      </c>
      <c r="D4978" s="6" t="str">
        <f ca="1">IFERROR(__xludf.DUMMYFUNCTION("""COMPUTED_VALUE"""),"TALAGANTE")</f>
        <v>TALAGANTE</v>
      </c>
    </row>
    <row r="4979" spans="1:4">
      <c r="A4979" s="7">
        <f ca="1">IFERROR(__xludf.DUMMYFUNCTION("""COMPUTED_VALUE"""),44466)</f>
        <v>44466</v>
      </c>
      <c r="B4979" s="8" t="str">
        <f ca="1">IFERROR(__xludf.DUMMYFUNCTION("""COMPUTED_VALUE"""),"-33.598443,-70.867514")</f>
        <v>-33.598443,-70.867514</v>
      </c>
      <c r="C4979" s="6" t="str">
        <f ca="1">IFERROR(__xludf.DUMMYFUNCTION("""COMPUTED_VALUE"""),"PASAJE TRES 2284")</f>
        <v>PASAJE TRES 2284</v>
      </c>
      <c r="D4979" s="6" t="str">
        <f ca="1">IFERROR(__xludf.DUMMYFUNCTION("""COMPUTED_VALUE"""),"PEÑAFLOR")</f>
        <v>PEÑAFLOR</v>
      </c>
    </row>
    <row r="4980" spans="1:4">
      <c r="A4980" s="7">
        <f ca="1">IFERROR(__xludf.DUMMYFUNCTION("""COMPUTED_VALUE"""),44466)</f>
        <v>44466</v>
      </c>
      <c r="B4980" s="8" t="str">
        <f ca="1">IFERROR(__xludf.DUMMYFUNCTION("""COMPUTED_VALUE"""),"-33.698413,-71.220810")</f>
        <v>-33.698413,-71.220810</v>
      </c>
      <c r="C4980" s="6" t="str">
        <f ca="1">IFERROR(__xludf.DUMMYFUNCTION("""COMPUTED_VALUE"""),"MIRAFLORES P.BELLA E 954")</f>
        <v>MIRAFLORES P.BELLA E 954</v>
      </c>
      <c r="D4980" s="6" t="str">
        <f ca="1">IFERROR(__xludf.DUMMYFUNCTION("""COMPUTED_VALUE"""),"MELIPILLA")</f>
        <v>MELIPILLA</v>
      </c>
    </row>
    <row r="4981" spans="1:4">
      <c r="A4981" s="7">
        <f ca="1">IFERROR(__xludf.DUMMYFUNCTION("""COMPUTED_VALUE"""),44467)</f>
        <v>44467</v>
      </c>
      <c r="B4981" s="8" t="str">
        <f ca="1">IFERROR(__xludf.DUMMYFUNCTION("""COMPUTED_VALUE"""),"-33.6498047,-70.9289025")</f>
        <v>-33.6498047,-70.9289025</v>
      </c>
      <c r="C4981" s="6" t="str">
        <f ca="1">IFERROR(__xludf.DUMMYFUNCTION("""COMPUTED_VALUE"""),"LA CONCEPCION 363")</f>
        <v>LA CONCEPCION 363</v>
      </c>
      <c r="D4981" s="6" t="str">
        <f ca="1">IFERROR(__xludf.DUMMYFUNCTION("""COMPUTED_VALUE"""),"TALAGANTE")</f>
        <v>TALAGANTE</v>
      </c>
    </row>
    <row r="4982" spans="1:4">
      <c r="A4982" s="7">
        <f ca="1">IFERROR(__xludf.DUMMYFUNCTION("""COMPUTED_VALUE"""),44467)</f>
        <v>44467</v>
      </c>
      <c r="B4982" s="8" t="str">
        <f ca="1">IFERROR(__xludf.DUMMYFUNCTION("""COMPUTED_VALUE"""),"-33.738940,-70.020263")</f>
        <v>-33.738940,-70.020263</v>
      </c>
      <c r="C4982" s="6" t="str">
        <f ca="1">IFERROR(__xludf.DUMMYFUNCTION("""COMPUTED_VALUE"""),"LOS ACACIOS P 56")</f>
        <v>LOS ACACIOS P 56</v>
      </c>
      <c r="D4982" s="6" t="str">
        <f ca="1">IFERROR(__xludf.DUMMYFUNCTION("""COMPUTED_VALUE"""),"ISLA DE MAIPO")</f>
        <v>ISLA DE MAIPO</v>
      </c>
    </row>
    <row r="4983" spans="1:4">
      <c r="A4983" s="7">
        <f ca="1">IFERROR(__xludf.DUMMYFUNCTION("""COMPUTED_VALUE"""),44467)</f>
        <v>44467</v>
      </c>
      <c r="B4983" s="8" t="str">
        <f ca="1">IFERROR(__xludf.DUMMYFUNCTION("""COMPUTED_VALUE"""),"-33.742637,-70870345")</f>
        <v>-33.742637,-70870345</v>
      </c>
      <c r="C4983" s="6" t="str">
        <f ca="1">IFERROR(__xludf.DUMMYFUNCTION("""COMPUTED_VALUE"""),"JOSE MACIEL ZUÑIGA 533")</f>
        <v>JOSE MACIEL ZUÑIGA 533</v>
      </c>
      <c r="D4983" s="6" t="str">
        <f ca="1">IFERROR(__xludf.DUMMYFUNCTION("""COMPUTED_VALUE"""),"ISLA DE MAIPO")</f>
        <v>ISLA DE MAIPO</v>
      </c>
    </row>
    <row r="4984" spans="1:4">
      <c r="A4984" s="7">
        <f ca="1">IFERROR(__xludf.DUMMYFUNCTION("""COMPUTED_VALUE"""),44467)</f>
        <v>44467</v>
      </c>
      <c r="B4984" s="8" t="str">
        <f ca="1">IFERROR(__xludf.DUMMYFUNCTION("""COMPUTED_VALUE"""),"-33.746126,-70.900983")</f>
        <v>-33.746126,-70.900983</v>
      </c>
      <c r="C4984" s="6" t="str">
        <f ca="1">IFERROR(__xludf.DUMMYFUNCTION("""COMPUTED_VALUE"""),"YERBAS BUENAS 416")</f>
        <v>YERBAS BUENAS 416</v>
      </c>
      <c r="D4984" s="6" t="str">
        <f ca="1">IFERROR(__xludf.DUMMYFUNCTION("""COMPUTED_VALUE"""),"ISLA DE MAIPO")</f>
        <v>ISLA DE MAIPO</v>
      </c>
    </row>
    <row r="4985" spans="1:4">
      <c r="A4985" s="7">
        <f ca="1">IFERROR(__xludf.DUMMYFUNCTION("""COMPUTED_VALUE"""),44467)</f>
        <v>44467</v>
      </c>
      <c r="B4985" s="8" t="str">
        <f ca="1">IFERROR(__xludf.DUMMYFUNCTION("""COMPUTED_VALUE"""),"-33.736422,-70.019666")</f>
        <v>-33.736422,-70.019666</v>
      </c>
      <c r="C4985" s="6" t="str">
        <f ca="1">IFERROR(__xludf.DUMMYFUNCTION("""COMPUTED_VALUE"""),"LAS ACACIOS 45")</f>
        <v>LAS ACACIOS 45</v>
      </c>
      <c r="D4985" s="6" t="str">
        <f ca="1">IFERROR(__xludf.DUMMYFUNCTION("""COMPUTED_VALUE"""),"ISLA DE MAIPO")</f>
        <v>ISLA DE MAIPO</v>
      </c>
    </row>
    <row r="4986" spans="1:4">
      <c r="A4986" s="7">
        <f ca="1">IFERROR(__xludf.DUMMYFUNCTION("""COMPUTED_VALUE"""),44467)</f>
        <v>44467</v>
      </c>
      <c r="B4986" s="8" t="str">
        <f ca="1">IFERROR(__xludf.DUMMYFUNCTION("""COMPUTED_VALUE"""),"-33.753077,-70887669")</f>
        <v>-33.753077,-70887669</v>
      </c>
      <c r="C4986" s="6" t="str">
        <f ca="1">IFERROR(__xludf.DUMMYFUNCTION("""COMPUTED_VALUE"""),"PASAJE VIÑEDO 612")</f>
        <v>PASAJE VIÑEDO 612</v>
      </c>
      <c r="D4986" s="6" t="str">
        <f ca="1">IFERROR(__xludf.DUMMYFUNCTION("""COMPUTED_VALUE"""),"ISLA DE MAIPO")</f>
        <v>ISLA DE MAIPO</v>
      </c>
    </row>
    <row r="4987" spans="1:4">
      <c r="A4987" s="7">
        <f ca="1">IFERROR(__xludf.DUMMYFUNCTION("""COMPUTED_VALUE"""),44467)</f>
        <v>44467</v>
      </c>
      <c r="B4987" s="8" t="str">
        <f ca="1">IFERROR(__xludf.DUMMYFUNCTION("""COMPUTED_VALUE"""),"-33.743776,-70870032")</f>
        <v>-33.743776,-70870032</v>
      </c>
      <c r="C4987" s="6" t="str">
        <f ca="1">IFERROR(__xludf.DUMMYFUNCTION("""COMPUTED_VALUE"""),"POETA OLEGARIO BUSTOS")</f>
        <v>POETA OLEGARIO BUSTOS</v>
      </c>
      <c r="D4987" s="6" t="str">
        <f ca="1">IFERROR(__xludf.DUMMYFUNCTION("""COMPUTED_VALUE"""),"ISLA DE MAIPO")</f>
        <v>ISLA DE MAIPO</v>
      </c>
    </row>
    <row r="4988" spans="1:4">
      <c r="A4988" s="7">
        <f ca="1">IFERROR(__xludf.DUMMYFUNCTION("""COMPUTED_VALUE"""),44467)</f>
        <v>44467</v>
      </c>
      <c r="B4988" s="8" t="str">
        <f ca="1">IFERROR(__xludf.DUMMYFUNCTION("""COMPUTED_VALUE"""),"-33.749837,-70.863695")</f>
        <v>-33.749837,-70.863695</v>
      </c>
      <c r="C4988" s="6" t="str">
        <f ca="1">IFERROR(__xludf.DUMMYFUNCTION("""COMPUTED_VALUE"""),"LAS PERDICES 285")</f>
        <v>LAS PERDICES 285</v>
      </c>
      <c r="D4988" s="6" t="str">
        <f ca="1">IFERROR(__xludf.DUMMYFUNCTION("""COMPUTED_VALUE"""),"ISLA DE MAIPO")</f>
        <v>ISLA DE MAIPO</v>
      </c>
    </row>
    <row r="4989" spans="1:4">
      <c r="A4989" s="7">
        <f ca="1">IFERROR(__xludf.DUMMYFUNCTION("""COMPUTED_VALUE"""),44467)</f>
        <v>44467</v>
      </c>
      <c r="B4989" s="6" t="str">
        <f ca="1">IFERROR(__xludf.DUMMYFUNCTION("""COMPUTED_VALUE"""),"-33.09354-70.681268")</f>
        <v>-33.09354-70.681268</v>
      </c>
      <c r="C4989" s="6" t="str">
        <f ca="1">IFERROR(__xludf.DUMMYFUNCTION("""COMPUTED_VALUE"""),"MARCOS GOYCOLEA 414")</f>
        <v>MARCOS GOYCOLEA 414</v>
      </c>
      <c r="D4989" s="6" t="str">
        <f ca="1">IFERROR(__xludf.DUMMYFUNCTION("""COMPUTED_VALUE"""),"COLINA")</f>
        <v>COLINA</v>
      </c>
    </row>
    <row r="4990" spans="1:4">
      <c r="A4990" s="7">
        <f ca="1">IFERROR(__xludf.DUMMYFUNCTION("""COMPUTED_VALUE"""),44467)</f>
        <v>44467</v>
      </c>
      <c r="B4990" s="6" t="str">
        <f ca="1">IFERROR(__xludf.DUMMYFUNCTION("""COMPUTED_VALUE"""),"-33.634433-70.353083")</f>
        <v>-33.634433-70.353083</v>
      </c>
      <c r="C4990" s="6" t="str">
        <f ca="1">IFERROR(__xludf.DUMMYFUNCTION("""COMPUTED_VALUE"""),"LOS DURMIENTES 0162")</f>
        <v>LOS DURMIENTES 0162</v>
      </c>
      <c r="D4990" s="6" t="str">
        <f ca="1">IFERROR(__xludf.DUMMYFUNCTION("""COMPUTED_VALUE"""),"SAN JOSE DE MAIPO")</f>
        <v>SAN JOSE DE MAIPO</v>
      </c>
    </row>
    <row r="4991" spans="1:4">
      <c r="A4991" s="7">
        <f ca="1">IFERROR(__xludf.DUMMYFUNCTION("""COMPUTED_VALUE"""),44467)</f>
        <v>44467</v>
      </c>
      <c r="B4991" s="6" t="str">
        <f ca="1">IFERROR(__xludf.DUMMYFUNCTION("""COMPUTED_VALUE"""),"-33.646527-70.347591")</f>
        <v>-33.646527-70.347591</v>
      </c>
      <c r="C4991" s="6" t="str">
        <f ca="1">IFERROR(__xludf.DUMMYFUNCTION("""COMPUTED_VALUE"""),"AV. EL CARMEN 20168")</f>
        <v>AV. EL CARMEN 20168</v>
      </c>
      <c r="D4991" s="6" t="str">
        <f ca="1">IFERROR(__xludf.DUMMYFUNCTION("""COMPUTED_VALUE"""),"SAN JOSE DE MAIPO")</f>
        <v>SAN JOSE DE MAIPO</v>
      </c>
    </row>
    <row r="4992" spans="1:4">
      <c r="A4992" s="7">
        <f ca="1">IFERROR(__xludf.DUMMYFUNCTION("""COMPUTED_VALUE"""),44467)</f>
        <v>44467</v>
      </c>
      <c r="B4992" s="6" t="str">
        <f ca="1">IFERROR(__xludf.DUMMYFUNCTION("""COMPUTED_VALUE"""),"-33.581126-70.789951")</f>
        <v>-33.581126-70.789951</v>
      </c>
      <c r="C4992" s="6" t="str">
        <f ca="1">IFERROR(__xludf.DUMMYFUNCTION("""COMPUTED_VALUE"""),"SEGUNDA TRANSVERSAL 907")</f>
        <v>SEGUNDA TRANSVERSAL 907</v>
      </c>
      <c r="D4992" s="6" t="str">
        <f ca="1">IFERROR(__xludf.DUMMYFUNCTION("""COMPUTED_VALUE"""),"PADRE HURTADO")</f>
        <v>PADRE HURTADO</v>
      </c>
    </row>
    <row r="4993" spans="1:4">
      <c r="A4993" s="7">
        <f ca="1">IFERROR(__xludf.DUMMYFUNCTION("""COMPUTED_VALUE"""),44467)</f>
        <v>44467</v>
      </c>
      <c r="B4993" s="6" t="str">
        <f ca="1">IFERROR(__xludf.DUMMYFUNCTION("""COMPUTED_VALUE"""),"-33.597217-71.047382")</f>
        <v>-33.597217-71.047382</v>
      </c>
      <c r="C4993" s="6" t="str">
        <f ca="1">IFERROR(__xludf.DUMMYFUNCTION("""COMPUTED_VALUE"""),"VIÑA CAMPESINO S/N")</f>
        <v>VIÑA CAMPESINO S/N</v>
      </c>
      <c r="D4993" s="6" t="str">
        <f ca="1">IFERROR(__xludf.DUMMYFUNCTION("""COMPUTED_VALUE"""),"MELIPILLA")</f>
        <v>MELIPILLA</v>
      </c>
    </row>
    <row r="4994" spans="1:4">
      <c r="A4994" s="7">
        <f ca="1">IFERROR(__xludf.DUMMYFUNCTION("""COMPUTED_VALUE"""),44467)</f>
        <v>44467</v>
      </c>
      <c r="B4994" s="6" t="str">
        <f ca="1">IFERROR(__xludf.DUMMYFUNCTION("""COMPUTED_VALUE"""),"-33.49412-71.06329")</f>
        <v>-33.49412-71.06329</v>
      </c>
      <c r="C4994" s="6" t="str">
        <f ca="1">IFERROR(__xludf.DUMMYFUNCTION("""COMPUTED_VALUE"""),"CANCHA DE PIEDRA S/N")</f>
        <v>CANCHA DE PIEDRA S/N</v>
      </c>
      <c r="D4994" s="6" t="str">
        <f ca="1">IFERROR(__xludf.DUMMYFUNCTION("""COMPUTED_VALUE"""),"MARIA PINTO")</f>
        <v>MARIA PINTO</v>
      </c>
    </row>
    <row r="4995" spans="1:4">
      <c r="A4995" s="7">
        <f ca="1">IFERROR(__xludf.DUMMYFUNCTION("""COMPUTED_VALUE"""),44467)</f>
        <v>44467</v>
      </c>
      <c r="B4995" s="6" t="str">
        <f ca="1">IFERROR(__xludf.DUMMYFUNCTION("""COMPUTED_VALUE"""),"-33.4917-71.19092")</f>
        <v>-33.4917-71.19092</v>
      </c>
      <c r="C4995" s="6" t="str">
        <f ca="1">IFERROR(__xludf.DUMMYFUNCTION("""COMPUTED_VALUE"""),"LAS MERCEDES S/N PARC 31")</f>
        <v>LAS MERCEDES S/N PARC 31</v>
      </c>
      <c r="D4995" s="6" t="str">
        <f ca="1">IFERROR(__xludf.DUMMYFUNCTION("""COMPUTED_VALUE"""),"MARIA PINTO")</f>
        <v>MARIA PINTO</v>
      </c>
    </row>
    <row r="4996" spans="1:4">
      <c r="A4996" s="7">
        <f ca="1">IFERROR(__xludf.DUMMYFUNCTION("""COMPUTED_VALUE"""),44467)</f>
        <v>44467</v>
      </c>
      <c r="B4996" s="6" t="str">
        <f ca="1">IFERROR(__xludf.DUMMYFUNCTION("""COMPUTED_VALUE"""),"-33.648544,-71.148653")</f>
        <v>-33.648544,-71.148653</v>
      </c>
      <c r="C4996" s="6" t="str">
        <f ca="1">IFERROR(__xludf.DUMMYFUNCTION("""COMPUTED_VALUE"""),"ROBERTO BRAVO S/N -CV51 POMAIRE")</f>
        <v>ROBERTO BRAVO S/N -CV51 POMAIRE</v>
      </c>
      <c r="D4996" s="6" t="str">
        <f ca="1">IFERROR(__xludf.DUMMYFUNCTION("""COMPUTED_VALUE"""),"MELIPILLA")</f>
        <v>MELIPILLA</v>
      </c>
    </row>
    <row r="4997" spans="1:4">
      <c r="A4997" s="7">
        <f ca="1">IFERROR(__xludf.DUMMYFUNCTION("""COMPUTED_VALUE"""),44467)</f>
        <v>44467</v>
      </c>
      <c r="B4997" s="6" t="str">
        <f ca="1">IFERROR(__xludf.DUMMYFUNCTION("""COMPUTED_VALUE"""),"-33.695862,-71.216005")</f>
        <v>-33.695862,-71.216005</v>
      </c>
      <c r="C4997" s="6" t="str">
        <f ca="1">IFERROR(__xludf.DUMMYFUNCTION("""COMPUTED_VALUE"""),"ORTUZAR 1280 N 3003919")</f>
        <v>ORTUZAR 1280 N 3003919</v>
      </c>
      <c r="D4997" s="6" t="str">
        <f ca="1">IFERROR(__xludf.DUMMYFUNCTION("""COMPUTED_VALUE"""),"MELIPILLA")</f>
        <v>MELIPILLA</v>
      </c>
    </row>
    <row r="4998" spans="1:4">
      <c r="A4998" s="7">
        <f ca="1">IFERROR(__xludf.DUMMYFUNCTION("""COMPUTED_VALUE"""),44468)</f>
        <v>44468</v>
      </c>
      <c r="B4998" s="8" t="str">
        <f ca="1">IFERROR(__xludf.DUMMYFUNCTION("""COMPUTED_VALUE"""),"-33.755566,-70.826761")</f>
        <v>-33.755566,-70.826761</v>
      </c>
      <c r="C4998" s="6" t="str">
        <f ca="1">IFERROR(__xludf.DUMMYFUNCTION("""COMPUTED_VALUE"""),"EL MAICILLO 4261")</f>
        <v>EL MAICILLO 4261</v>
      </c>
      <c r="D4998" s="6" t="str">
        <f ca="1">IFERROR(__xludf.DUMMYFUNCTION("""COMPUTED_VALUE"""),"ISLA DE MAIPO")</f>
        <v>ISLA DE MAIPO</v>
      </c>
    </row>
    <row r="4999" spans="1:4">
      <c r="A4999" s="7">
        <f ca="1">IFERROR(__xludf.DUMMYFUNCTION("""COMPUTED_VALUE"""),44468)</f>
        <v>44468</v>
      </c>
      <c r="B4999" s="8" t="str">
        <f ca="1">IFERROR(__xludf.DUMMYFUNCTION("""COMPUTED_VALUE"""),"-33.745146-70.866929")</f>
        <v>-33.745146-70.866929</v>
      </c>
      <c r="C4999" s="6" t="str">
        <f ca="1">IFERROR(__xludf.DUMMYFUNCTION("""COMPUTED_VALUE"""),"PAJASE CINCO 171 ")</f>
        <v xml:space="preserve">PAJASE CINCO 171 </v>
      </c>
      <c r="D4999" s="6" t="str">
        <f ca="1">IFERROR(__xludf.DUMMYFUNCTION("""COMPUTED_VALUE"""),"ISLA DE MAIPO")</f>
        <v>ISLA DE MAIPO</v>
      </c>
    </row>
    <row r="5000" spans="1:4">
      <c r="A5000" s="7">
        <f ca="1">IFERROR(__xludf.DUMMYFUNCTION("""COMPUTED_VALUE"""),44468)</f>
        <v>44468</v>
      </c>
      <c r="B5000" s="8" t="str">
        <f ca="1">IFERROR(__xludf.DUMMYFUNCTION("""COMPUTED_VALUE"""),"-33.755247,-70.8271240")</f>
        <v>-33.755247,-70.8271240</v>
      </c>
      <c r="C5000" s="6" t="str">
        <f ca="1">IFERROR(__xludf.DUMMYFUNCTION("""COMPUTED_VALUE"""),"EL MAICILLO 4333")</f>
        <v>EL MAICILLO 4333</v>
      </c>
      <c r="D5000" s="6" t="str">
        <f ca="1">IFERROR(__xludf.DUMMYFUNCTION("""COMPUTED_VALUE"""),"ISLA DE MAIPO")</f>
        <v>ISLA DE MAIPO</v>
      </c>
    </row>
    <row r="5001" spans="1:4">
      <c r="A5001" s="7">
        <f ca="1">IFERROR(__xludf.DUMMYFUNCTION("""COMPUTED_VALUE"""),44468)</f>
        <v>44468</v>
      </c>
      <c r="B5001" s="8" t="str">
        <f ca="1">IFERROR(__xludf.DUMMYFUNCTION("""COMPUTED_VALUE"""),"-33.750366, -70.900851")</f>
        <v>-33.750366, -70.900851</v>
      </c>
      <c r="C5001" s="6" t="str">
        <f ca="1">IFERROR(__xludf.DUMMYFUNCTION("""COMPUTED_VALUE"""),"Salar de atacama 140")</f>
        <v>Salar de atacama 140</v>
      </c>
      <c r="D5001" s="6" t="str">
        <f ca="1">IFERROR(__xludf.DUMMYFUNCTION("""COMPUTED_VALUE"""),"ISLA DE MAIPO")</f>
        <v>ISLA DE MAIPO</v>
      </c>
    </row>
    <row r="5002" spans="1:4">
      <c r="A5002" s="7">
        <f ca="1">IFERROR(__xludf.DUMMYFUNCTION("""COMPUTED_VALUE"""),44468)</f>
        <v>44468</v>
      </c>
      <c r="B5002" s="8" t="str">
        <f ca="1">IFERROR(__xludf.DUMMYFUNCTION("""COMPUTED_VALUE"""),"-33.742819,-70.863439")</f>
        <v>-33.742819,-70.863439</v>
      </c>
      <c r="C5002" s="6" t="str">
        <f ca="1">IFERROR(__xludf.DUMMYFUNCTION("""COMPUTED_VALUE"""),"BALMACEDA 3873")</f>
        <v>BALMACEDA 3873</v>
      </c>
      <c r="D5002" s="6" t="str">
        <f ca="1">IFERROR(__xludf.DUMMYFUNCTION("""COMPUTED_VALUE"""),"ISLA DE MAIPO")</f>
        <v>ISLA DE MAIPO</v>
      </c>
    </row>
    <row r="5003" spans="1:4">
      <c r="A5003" s="7">
        <f ca="1">IFERROR(__xludf.DUMMYFUNCTION("""COMPUTED_VALUE"""),44468)</f>
        <v>44468</v>
      </c>
      <c r="B5003" s="6" t="str">
        <f ca="1">IFERROR(__xludf.DUMMYFUNCTION("""COMPUTED_VALUE"""),"-33.3013-70.88142")</f>
        <v>-33.3013-70.88142</v>
      </c>
      <c r="C5003" s="6" t="str">
        <f ca="1">IFERROR(__xludf.DUMMYFUNCTION("""COMPUTED_VALUE"""),"CAMINO LAS FLORES 940")</f>
        <v>CAMINO LAS FLORES 940</v>
      </c>
      <c r="D5003" s="6" t="str">
        <f ca="1">IFERROR(__xludf.DUMMYFUNCTION("""COMPUTED_VALUE"""),"LAMPA")</f>
        <v>LAMPA</v>
      </c>
    </row>
    <row r="5004" spans="1:4">
      <c r="A5004" s="7">
        <f ca="1">IFERROR(__xludf.DUMMYFUNCTION("""COMPUTED_VALUE"""),44468)</f>
        <v>44468</v>
      </c>
      <c r="B5004" s="6" t="str">
        <f ca="1">IFERROR(__xludf.DUMMYFUNCTION("""COMPUTED_VALUE"""),"-33.23021-70.80618")</f>
        <v>-33.23021-70.80618</v>
      </c>
      <c r="C5004" s="6" t="str">
        <f ca="1">IFERROR(__xludf.DUMMYFUNCTION("""COMPUTED_VALUE"""),"ECUADOR 750")</f>
        <v>ECUADOR 750</v>
      </c>
      <c r="D5004" s="6" t="str">
        <f ca="1">IFERROR(__xludf.DUMMYFUNCTION("""COMPUTED_VALUE"""),"LAMPA")</f>
        <v>LAMPA</v>
      </c>
    </row>
    <row r="5005" spans="1:4">
      <c r="A5005" s="7">
        <f ca="1">IFERROR(__xludf.DUMMYFUNCTION("""COMPUTED_VALUE"""),44468)</f>
        <v>44468</v>
      </c>
      <c r="B5005" s="6" t="str">
        <f ca="1">IFERROR(__xludf.DUMMYFUNCTION("""COMPUTED_VALUE"""),"-33.635150-70.350603")</f>
        <v>-33.635150-70.350603</v>
      </c>
      <c r="C5005" s="6" t="str">
        <f ca="1">IFERROR(__xludf.DUMMYFUNCTION("""COMPUTED_VALUE"""),"EL ESFUERZO 0841")</f>
        <v>EL ESFUERZO 0841</v>
      </c>
      <c r="D5005" s="6" t="str">
        <f ca="1">IFERROR(__xludf.DUMMYFUNCTION("""COMPUTED_VALUE"""),"SAN JOSE DE MAIPO")</f>
        <v>SAN JOSE DE MAIPO</v>
      </c>
    </row>
    <row r="5006" spans="1:4">
      <c r="A5006" s="7">
        <f ca="1">IFERROR(__xludf.DUMMYFUNCTION("""COMPUTED_VALUE"""),44468)</f>
        <v>44468</v>
      </c>
      <c r="B5006" s="6" t="str">
        <f ca="1">IFERROR(__xludf.DUMMYFUNCTION("""COMPUTED_VALUE"""),"-33.635876-70.351521")</f>
        <v>-33.635876-70.351521</v>
      </c>
      <c r="C5006" s="6" t="str">
        <f ca="1">IFERROR(__xludf.DUMMYFUNCTION("""COMPUTED_VALUE"""),"EL ESFUERZO 19080")</f>
        <v>EL ESFUERZO 19080</v>
      </c>
      <c r="D5006" s="6" t="str">
        <f ca="1">IFERROR(__xludf.DUMMYFUNCTION("""COMPUTED_VALUE"""),"SAN JOSE DE MAIPO")</f>
        <v>SAN JOSE DE MAIPO</v>
      </c>
    </row>
    <row r="5007" spans="1:4">
      <c r="A5007" s="7">
        <f ca="1">IFERROR(__xludf.DUMMYFUNCTION("""COMPUTED_VALUE"""),44468)</f>
        <v>44468</v>
      </c>
      <c r="B5007" s="6" t="str">
        <f ca="1">IFERROR(__xludf.DUMMYFUNCTION("""COMPUTED_VALUE"""),"-33.273252,-070854850")</f>
        <v>-33.273252,-070854850</v>
      </c>
      <c r="C5007" s="6" t="str">
        <f ca="1">IFERROR(__xludf.DUMMYFUNCTION("""COMPUTED_VALUE"""),"LOS VARGAS SITIO 8")</f>
        <v>LOS VARGAS SITIO 8</v>
      </c>
      <c r="D5007" s="6" t="str">
        <f ca="1">IFERROR(__xludf.DUMMYFUNCTION("""COMPUTED_VALUE"""),"LAMPA")</f>
        <v>LAMPA</v>
      </c>
    </row>
    <row r="5008" spans="1:4">
      <c r="A5008" s="7">
        <f ca="1">IFERROR(__xludf.DUMMYFUNCTION("""COMPUTED_VALUE"""),44468)</f>
        <v>44468</v>
      </c>
      <c r="B5008" s="6" t="str">
        <f ca="1">IFERROR(__xludf.DUMMYFUNCTION("""COMPUTED_VALUE"""),"-33.744862,-70.898468")</f>
        <v>-33.744862,-70.898468</v>
      </c>
      <c r="C5008" s="6" t="str">
        <f ca="1">IFERROR(__xludf.DUMMYFUNCTION("""COMPUTED_VALUE"""),"LOS ESPAÑOLES 433 PORTAL LO GUERRA")</f>
        <v>LOS ESPAÑOLES 433 PORTAL LO GUERRA</v>
      </c>
      <c r="D5008" s="6" t="str">
        <f ca="1">IFERROR(__xludf.DUMMYFUNCTION("""COMPUTED_VALUE"""),"ISLA DE MAIPO")</f>
        <v>ISLA DE MAIPO</v>
      </c>
    </row>
    <row r="5009" spans="1:4">
      <c r="A5009" s="7">
        <f ca="1">IFERROR(__xludf.DUMMYFUNCTION("""COMPUTED_VALUE"""),44468)</f>
        <v>44468</v>
      </c>
      <c r="B5009" s="6" t="str">
        <f ca="1">IFERROR(__xludf.DUMMYFUNCTION("""COMPUTED_VALUE"""),"-33.052193-71.433083")</f>
        <v>-33.052193-71.433083</v>
      </c>
      <c r="C5009" s="6" t="str">
        <f ca="1">IFERROR(__xludf.DUMMYFUNCTION("""COMPUTED_VALUE"""),"SAN MARTIN 1265")</f>
        <v>SAN MARTIN 1265</v>
      </c>
      <c r="D5009" s="6" t="str">
        <f ca="1">IFERROR(__xludf.DUMMYFUNCTION("""COMPUTED_VALUE"""),"QUILPUÉ")</f>
        <v>QUILPUÉ</v>
      </c>
    </row>
    <row r="5010" spans="1:4">
      <c r="A5010" s="7">
        <f ca="1">IFERROR(__xludf.DUMMYFUNCTION("""COMPUTED_VALUE"""),44468)</f>
        <v>44468</v>
      </c>
      <c r="B5010" s="6" t="str">
        <f ca="1">IFERROR(__xludf.DUMMYFUNCTION("""COMPUTED_VALUE"""),"-33.055214-71.437749")</f>
        <v>-33.055214-71.437749</v>
      </c>
      <c r="C5010" s="6" t="str">
        <f ca="1">IFERROR(__xludf.DUMMYFUNCTION("""COMPUTED_VALUE"""),"GABRIEL GONZALEZ VIDELA 1157")</f>
        <v>GABRIEL GONZALEZ VIDELA 1157</v>
      </c>
      <c r="D5010" s="6" t="str">
        <f ca="1">IFERROR(__xludf.DUMMYFUNCTION("""COMPUTED_VALUE"""),"QUILPUÉ")</f>
        <v>QUILPUÉ</v>
      </c>
    </row>
    <row r="5011" spans="1:4">
      <c r="A5011" s="7">
        <f ca="1">IFERROR(__xludf.DUMMYFUNCTION("""COMPUTED_VALUE"""),44469)</f>
        <v>44469</v>
      </c>
      <c r="B5011" s="8" t="str">
        <f ca="1">IFERROR(__xludf.DUMMYFUNCTION("""COMPUTED_VALUE"""),"-33.749184,-70.868435")</f>
        <v>-33.749184,-70.868435</v>
      </c>
      <c r="C5011" s="6" t="str">
        <f ca="1">IFERROR(__xludf.DUMMYFUNCTION("""COMPUTED_VALUE"""),"EL MAITEN 609")</f>
        <v>EL MAITEN 609</v>
      </c>
      <c r="D5011" s="6" t="str">
        <f ca="1">IFERROR(__xludf.DUMMYFUNCTION("""COMPUTED_VALUE"""),"ISLA DE MAIPO")</f>
        <v>ISLA DE MAIPO</v>
      </c>
    </row>
    <row r="5012" spans="1:4">
      <c r="A5012" s="7">
        <f ca="1">IFERROR(__xludf.DUMMYFUNCTION("""COMPUTED_VALUE"""),44469)</f>
        <v>44469</v>
      </c>
      <c r="B5012" s="8" t="str">
        <f ca="1">IFERROR(__xludf.DUMMYFUNCTION("""COMPUTED_VALUE"""),"-33.748127,-70.869712")</f>
        <v>-33.748127,-70.869712</v>
      </c>
      <c r="C5012" s="6" t="str">
        <f ca="1">IFERROR(__xludf.DUMMYFUNCTION("""COMPUTED_VALUE"""),"PARRONAL 0173")</f>
        <v>PARRONAL 0173</v>
      </c>
      <c r="D5012" s="6" t="str">
        <f ca="1">IFERROR(__xludf.DUMMYFUNCTION("""COMPUTED_VALUE"""),"ISLA DE MAIPO")</f>
        <v>ISLA DE MAIPO</v>
      </c>
    </row>
    <row r="5013" spans="1:4">
      <c r="A5013" s="7">
        <f ca="1">IFERROR(__xludf.DUMMYFUNCTION("""COMPUTED_VALUE"""),44469)</f>
        <v>44469</v>
      </c>
      <c r="B5013" s="6" t="str">
        <f ca="1">IFERROR(__xludf.DUMMYFUNCTION("""COMPUTED_VALUE"""),"-33.43215-71.03092")</f>
        <v>-33.43215-71.03092</v>
      </c>
      <c r="C5013" s="6" t="str">
        <f ca="1">IFERROR(__xludf.DUMMYFUNCTION("""COMPUTED_VALUE"""),"UNION SAN JOSE S14 C 3")</f>
        <v>UNION SAN JOSE S14 C 3</v>
      </c>
      <c r="D5013" s="6" t="str">
        <f ca="1">IFERROR(__xludf.DUMMYFUNCTION("""COMPUTED_VALUE"""),"CURACAVI")</f>
        <v>CURACAVI</v>
      </c>
    </row>
    <row r="5014" spans="1:4">
      <c r="A5014" s="7">
        <f ca="1">IFERROR(__xludf.DUMMYFUNCTION("""COMPUTED_VALUE"""),44469)</f>
        <v>44469</v>
      </c>
      <c r="B5014" s="6" t="str">
        <f ca="1">IFERROR(__xludf.DUMMYFUNCTION("""COMPUTED_VALUE"""),"-33.49154-71.19085")</f>
        <v>-33.49154-71.19085</v>
      </c>
      <c r="C5014" s="6" t="str">
        <f ca="1">IFERROR(__xludf.DUMMYFUNCTION("""COMPUTED_VALUE"""),"LAS PARCELAS 31 L1")</f>
        <v>LAS PARCELAS 31 L1</v>
      </c>
      <c r="D5014" s="6" t="str">
        <f ca="1">IFERROR(__xludf.DUMMYFUNCTION("""COMPUTED_VALUE"""),"MARIA PINTO")</f>
        <v>MARIA PINTO</v>
      </c>
    </row>
    <row r="5015" spans="1:4">
      <c r="A5015" s="7">
        <f ca="1">IFERROR(__xludf.DUMMYFUNCTION("""COMPUTED_VALUE"""),44469)</f>
        <v>44469</v>
      </c>
      <c r="B5015" s="6" t="str">
        <f ca="1">IFERROR(__xludf.DUMMYFUNCTION("""COMPUTED_VALUE"""),"-33.48818-71.1452")</f>
        <v>-33.48818-71.1452</v>
      </c>
      <c r="C5015" s="6" t="str">
        <f ca="1">IFERROR(__xludf.DUMMYFUNCTION("""COMPUTED_VALUE"""),"EL LUCHADOR 61")</f>
        <v>EL LUCHADOR 61</v>
      </c>
      <c r="D5015" s="6" t="str">
        <f ca="1">IFERROR(__xludf.DUMMYFUNCTION("""COMPUTED_VALUE"""),"MARIA PINTO")</f>
        <v>MARIA PINTO</v>
      </c>
    </row>
    <row r="5016" spans="1:4">
      <c r="A5016" s="7">
        <f ca="1">IFERROR(__xludf.DUMMYFUNCTION("""COMPUTED_VALUE"""),44469)</f>
        <v>44469</v>
      </c>
      <c r="B5016" s="6" t="str">
        <f ca="1">IFERROR(__xludf.DUMMYFUNCTION("""COMPUTED_VALUE"""),"-33.656031-70.345013")</f>
        <v>-33.656031-70.345013</v>
      </c>
      <c r="C5016" s="6" t="str">
        <f ca="1">IFERROR(__xludf.DUMMYFUNCTION("""COMPUTED_VALUE"""),"SANTA MARIA DEL ESTERO 54")</f>
        <v>SANTA MARIA DEL ESTERO 54</v>
      </c>
      <c r="D5016" s="6" t="str">
        <f ca="1">IFERROR(__xludf.DUMMYFUNCTION("""COMPUTED_VALUE"""),"SAN JOSE DE MAIPO")</f>
        <v>SAN JOSE DE MAIPO</v>
      </c>
    </row>
    <row r="5017" spans="1:4">
      <c r="A5017" s="7">
        <f ca="1">IFERROR(__xludf.DUMMYFUNCTION("""COMPUTED_VALUE"""),44469)</f>
        <v>44469</v>
      </c>
      <c r="B5017" s="6" t="str">
        <f ca="1">IFERROR(__xludf.DUMMYFUNCTION("""COMPUTED_VALUE"""),"-33.655601-70.345299")</f>
        <v>-33.655601-70.345299</v>
      </c>
      <c r="C5017" s="6" t="str">
        <f ca="1">IFERROR(__xludf.DUMMYFUNCTION("""COMPUTED_VALUE"""),"PJE EUCALIPTUS 15")</f>
        <v>PJE EUCALIPTUS 15</v>
      </c>
      <c r="D5017" s="6" t="str">
        <f ca="1">IFERROR(__xludf.DUMMYFUNCTION("""COMPUTED_VALUE"""),"SAN JOSE DE MAIPO")</f>
        <v>SAN JOSE DE MAIPO</v>
      </c>
    </row>
    <row r="5018" spans="1:4">
      <c r="A5018" s="7">
        <f ca="1">IFERROR(__xludf.DUMMYFUNCTION("""COMPUTED_VALUE"""),44469)</f>
        <v>44469</v>
      </c>
      <c r="B5018" s="6" t="str">
        <f ca="1">IFERROR(__xludf.DUMMYFUNCTION("""COMPUTED_VALUE"""),"-33.656232-70.345980")</f>
        <v>-33.656232-70.345980</v>
      </c>
      <c r="C5018" s="6" t="str">
        <f ca="1">IFERROR(__xludf.DUMMYFUNCTION("""COMPUTED_VALUE"""),"PJE EUCALIPTUS 15")</f>
        <v>PJE EUCALIPTUS 15</v>
      </c>
      <c r="D5018" s="6" t="str">
        <f ca="1">IFERROR(__xludf.DUMMYFUNCTION("""COMPUTED_VALUE"""),"SAN JOSE DE MAIPO")</f>
        <v>SAN JOSE DE MAIPO</v>
      </c>
    </row>
    <row r="5019" spans="1:4">
      <c r="A5019" s="7">
        <f ca="1">IFERROR(__xludf.DUMMYFUNCTION("""COMPUTED_VALUE"""),44469)</f>
        <v>44469</v>
      </c>
      <c r="B5019" s="6" t="str">
        <f ca="1">IFERROR(__xludf.DUMMYFUNCTION("""COMPUTED_VALUE"""),"-33.397576-71.121226")</f>
        <v>-33.397576-71.121226</v>
      </c>
      <c r="C5019" s="6" t="str">
        <f ca="1">IFERROR(__xludf.DUMMYFUNCTION("""COMPUTED_VALUE"""),"EL ARRAYAN 335")</f>
        <v>EL ARRAYAN 335</v>
      </c>
      <c r="D5019" s="6" t="str">
        <f ca="1">IFERROR(__xludf.DUMMYFUNCTION("""COMPUTED_VALUE"""),"CURACAVI")</f>
        <v>CURACAVI</v>
      </c>
    </row>
    <row r="5020" spans="1:4">
      <c r="A5020" s="7">
        <f ca="1">IFERROR(__xludf.DUMMYFUNCTION("""COMPUTED_VALUE"""),44469)</f>
        <v>44469</v>
      </c>
      <c r="B5020" s="6" t="str">
        <f ca="1">IFERROR(__xludf.DUMMYFUNCTION("""COMPUTED_VALUE"""),"-33.404815-71.129166")</f>
        <v>-33.404815-71.129166</v>
      </c>
      <c r="C5020" s="6" t="str">
        <f ca="1">IFERROR(__xludf.DUMMYFUNCTION("""COMPUTED_VALUE"""),"ARCANGEL 1815")</f>
        <v>ARCANGEL 1815</v>
      </c>
      <c r="D5020" s="6" t="str">
        <f ca="1">IFERROR(__xludf.DUMMYFUNCTION("""COMPUTED_VALUE"""),"CURACAVI")</f>
        <v>CURACAVI</v>
      </c>
    </row>
    <row r="5021" spans="1:4">
      <c r="A5021" s="7">
        <f ca="1">IFERROR(__xludf.DUMMYFUNCTION("""COMPUTED_VALUE"""),44469)</f>
        <v>44469</v>
      </c>
      <c r="B5021" s="6" t="str">
        <f ca="1">IFERROR(__xludf.DUMMYFUNCTION("""COMPUTED_VALUE"""),"-33.462749-70.586306")</f>
        <v>-33.462749-70.586306</v>
      </c>
      <c r="C5021" s="6" t="str">
        <f ca="1">IFERROR(__xludf.DUMMYFUNCTION("""COMPUTED_VALUE"""),"LOS CEREZOS 23")</f>
        <v>LOS CEREZOS 23</v>
      </c>
      <c r="D5021" s="6" t="str">
        <f ca="1">IFERROR(__xludf.DUMMYFUNCTION("""COMPUTED_VALUE"""),"MELIPILLA")</f>
        <v>MELIPILLA</v>
      </c>
    </row>
    <row r="5022" spans="1:4">
      <c r="A5022" s="7">
        <f ca="1">IFERROR(__xludf.DUMMYFUNCTION("""COMPUTED_VALUE"""),44469)</f>
        <v>44469</v>
      </c>
      <c r="B5022" s="6" t="str">
        <f ca="1">IFERROR(__xludf.DUMMYFUNCTION("""COMPUTED_VALUE"""),"-33.754355,-70.912376")</f>
        <v>-33.754355,-70.912376</v>
      </c>
      <c r="C5022" s="6" t="str">
        <f ca="1">IFERROR(__xludf.DUMMYFUNCTION("""COMPUTED_VALUE"""),"ACEVEDO 579")</f>
        <v>ACEVEDO 579</v>
      </c>
      <c r="D5022" s="6" t="str">
        <f ca="1">IFERROR(__xludf.DUMMYFUNCTION("""COMPUTED_VALUE"""),"ISLA DE MAIPO")</f>
        <v>ISLA DE MAIPO</v>
      </c>
    </row>
    <row r="5023" spans="1:4">
      <c r="A5023" s="7">
        <f ca="1">IFERROR(__xludf.DUMMYFUNCTION("""COMPUTED_VALUE"""),44469)</f>
        <v>44469</v>
      </c>
      <c r="B5023" s="6" t="str">
        <f ca="1">IFERROR(__xludf.DUMMYFUNCTION("""COMPUTED_VALUE"""),"-33.745157,-70.901915")</f>
        <v>-33.745157,-70.901915</v>
      </c>
      <c r="C5023" s="6" t="str">
        <f ca="1">IFERROR(__xludf.DUMMYFUNCTION("""COMPUTED_VALUE"""),"CENTRAL 1165")</f>
        <v>CENTRAL 1165</v>
      </c>
      <c r="D5023" s="6" t="str">
        <f ca="1">IFERROR(__xludf.DUMMYFUNCTION("""COMPUTED_VALUE"""),"ISLA DE MAIPO")</f>
        <v>ISLA DE MAIPO</v>
      </c>
    </row>
    <row r="5024" spans="1:4">
      <c r="A5024" s="7">
        <f ca="1">IFERROR(__xludf.DUMMYFUNCTION("""COMPUTED_VALUE"""),44469)</f>
        <v>44469</v>
      </c>
      <c r="B5024" s="6" t="str">
        <f ca="1">IFERROR(__xludf.DUMMYFUNCTION("""COMPUTED_VALUE"""),"-33.034635-71.430684")</f>
        <v>-33.034635-71.430684</v>
      </c>
      <c r="C5024" s="6" t="str">
        <f ca="1">IFERROR(__xludf.DUMMYFUNCTION("""COMPUTED_VALUE"""),"GREGORIO ARGOMEDO 123")</f>
        <v>GREGORIO ARGOMEDO 123</v>
      </c>
      <c r="D5024" s="6" t="str">
        <f ca="1">IFERROR(__xludf.DUMMYFUNCTION("""COMPUTED_VALUE"""),"QUILPUÉ")</f>
        <v>QUILPUÉ</v>
      </c>
    </row>
    <row r="5025" spans="1:4">
      <c r="A5025" s="7">
        <f ca="1">IFERROR(__xludf.DUMMYFUNCTION("""COMPUTED_VALUE"""),44469)</f>
        <v>44469</v>
      </c>
      <c r="B5025" s="6" t="str">
        <f ca="1">IFERROR(__xludf.DUMMYFUNCTION("""COMPUTED_VALUE"""),"-33.054983-71.437306")</f>
        <v>-33.054983-71.437306</v>
      </c>
      <c r="C5025" s="6" t="str">
        <f ca="1">IFERROR(__xludf.DUMMYFUNCTION("""COMPUTED_VALUE"""),"LOS COPIHUES 1134")</f>
        <v>LOS COPIHUES 1134</v>
      </c>
      <c r="D5025" s="6" t="str">
        <f ca="1">IFERROR(__xludf.DUMMYFUNCTION("""COMPUTED_VALUE"""),"QUILPUÉ")</f>
        <v>QUILPUÉ</v>
      </c>
    </row>
    <row r="5026" spans="1:4">
      <c r="A5026" s="7">
        <f ca="1">IFERROR(__xludf.DUMMYFUNCTION("""COMPUTED_VALUE"""),44470)</f>
        <v>44470</v>
      </c>
      <c r="B5026" s="8" t="str">
        <f ca="1">IFERROR(__xludf.DUMMYFUNCTION("""COMPUTED_VALUE"""),"-33.785423,-70.885914")</f>
        <v>-33.785423,-70.885914</v>
      </c>
      <c r="C5026" s="6" t="str">
        <f ca="1">IFERROR(__xludf.DUMMYFUNCTION("""COMPUTED_VALUE"""),"SAN MARTIRIAN A93")</f>
        <v>SAN MARTIRIAN A93</v>
      </c>
      <c r="D5026" s="6" t="str">
        <f ca="1">IFERROR(__xludf.DUMMYFUNCTION("""COMPUTED_VALUE"""),"ISLA DE MAIPO")</f>
        <v>ISLA DE MAIPO</v>
      </c>
    </row>
    <row r="5027" spans="1:4">
      <c r="A5027" s="7">
        <f ca="1">IFERROR(__xludf.DUMMYFUNCTION("""COMPUTED_VALUE"""),44470)</f>
        <v>44470</v>
      </c>
      <c r="B5027" s="8" t="str">
        <f ca="1">IFERROR(__xludf.DUMMYFUNCTION("""COMPUTED_VALUE"""),"-33.785423,-70.885914")</f>
        <v>-33.785423,-70.885914</v>
      </c>
      <c r="C5027" s="6" t="str">
        <f ca="1">IFERROR(__xludf.DUMMYFUNCTION("""COMPUTED_VALUE"""),"SAN MARTIRIAN A93")</f>
        <v>SAN MARTIRIAN A93</v>
      </c>
      <c r="D5027" s="6" t="str">
        <f ca="1">IFERROR(__xludf.DUMMYFUNCTION("""COMPUTED_VALUE"""),"ISLA DE MAIPO")</f>
        <v>ISLA DE MAIPO</v>
      </c>
    </row>
    <row r="5028" spans="1:4">
      <c r="A5028" s="7">
        <f ca="1">IFERROR(__xludf.DUMMYFUNCTION("""COMPUTED_VALUE"""),44470)</f>
        <v>44470</v>
      </c>
      <c r="B5028" s="8" t="str">
        <f ca="1">IFERROR(__xludf.DUMMYFUNCTION("""COMPUTED_VALUE"""),"-33.784011,-70.5900307")</f>
        <v>-33.784011,-70.5900307</v>
      </c>
      <c r="C5028" s="6" t="str">
        <f ca="1">IFERROR(__xludf.DUMMYFUNCTION("""COMPUTED_VALUE"""),"JUAN FRESNOS 532")</f>
        <v>JUAN FRESNOS 532</v>
      </c>
      <c r="D5028" s="6" t="str">
        <f ca="1">IFERROR(__xludf.DUMMYFUNCTION("""COMPUTED_VALUE"""),"ISLA DE MAIPO")</f>
        <v>ISLA DE MAIPO</v>
      </c>
    </row>
    <row r="5029" spans="1:4">
      <c r="A5029" s="7">
        <f ca="1">IFERROR(__xludf.DUMMYFUNCTION("""COMPUTED_VALUE"""),44470)</f>
        <v>44470</v>
      </c>
      <c r="B5029" s="6" t="str">
        <f ca="1">IFERROR(__xludf.DUMMYFUNCTION("""COMPUTED_VALUE"""),"-33.680149-71.206278")</f>
        <v>-33.680149-71.206278</v>
      </c>
      <c r="C5029" s="6" t="str">
        <f ca="1">IFERROR(__xludf.DUMMYFUNCTION("""COMPUTED_VALUE"""),"DOCTOR HUMBERTO JARA TORO 14")</f>
        <v>DOCTOR HUMBERTO JARA TORO 14</v>
      </c>
      <c r="D5029" s="6" t="str">
        <f ca="1">IFERROR(__xludf.DUMMYFUNCTION("""COMPUTED_VALUE"""),"MELIPILLA")</f>
        <v>MELIPILLA</v>
      </c>
    </row>
    <row r="5030" spans="1:4">
      <c r="A5030" s="7">
        <f ca="1">IFERROR(__xludf.DUMMYFUNCTION("""COMPUTED_VALUE"""),44470)</f>
        <v>44470</v>
      </c>
      <c r="B5030" s="6" t="str">
        <f ca="1">IFERROR(__xludf.DUMMYFUNCTION("""COMPUTED_VALUE"""),"-33.690442-71.227037")</f>
        <v>-33.690442-71.227037</v>
      </c>
      <c r="C5030" s="6" t="str">
        <f ca="1">IFERROR(__xludf.DUMMYFUNCTION("""COMPUTED_VALUE"""),"LOS ALMENDROS 1336")</f>
        <v>LOS ALMENDROS 1336</v>
      </c>
      <c r="D5030" s="6" t="str">
        <f ca="1">IFERROR(__xludf.DUMMYFUNCTION("""COMPUTED_VALUE"""),"MELIPILLA")</f>
        <v>MELIPILLA</v>
      </c>
    </row>
    <row r="5031" spans="1:4">
      <c r="A5031" s="7">
        <f ca="1">IFERROR(__xludf.DUMMYFUNCTION("""COMPUTED_VALUE"""),44470)</f>
        <v>44470</v>
      </c>
      <c r="B5031" s="6" t="str">
        <f ca="1">IFERROR(__xludf.DUMMYFUNCTION("""COMPUTED_VALUE"""),"-33.774756,-70.900968")</f>
        <v>-33.774756,-70.900968</v>
      </c>
      <c r="C5031" s="6" t="str">
        <f ca="1">IFERROR(__xludf.DUMMYFUNCTION("""COMPUTED_VALUE"""),"OLEA 167")</f>
        <v>OLEA 167</v>
      </c>
      <c r="D5031" s="6" t="str">
        <f ca="1">IFERROR(__xludf.DUMMYFUNCTION("""COMPUTED_VALUE"""),"ISLA DE MAIPO")</f>
        <v>ISLA DE MAIPO</v>
      </c>
    </row>
    <row r="5032" spans="1:4">
      <c r="A5032" s="7">
        <f ca="1">IFERROR(__xludf.DUMMYFUNCTION("""COMPUTED_VALUE"""),44471)</f>
        <v>44471</v>
      </c>
      <c r="B5032" s="8" t="str">
        <f ca="1">IFERROR(__xludf.DUMMYFUNCTION("""COMPUTED_VALUE"""),"-33.7373467, -70.910975")</f>
        <v>-33.7373467, -70.910975</v>
      </c>
      <c r="C5032" s="6" t="str">
        <f ca="1">IFERROR(__xludf.DUMMYFUNCTION("""COMPUTED_VALUE"""),"JAIME GUZMAN 1843")</f>
        <v>JAIME GUZMAN 1843</v>
      </c>
      <c r="D5032" s="6" t="str">
        <f ca="1">IFERROR(__xludf.DUMMYFUNCTION("""COMPUTED_VALUE"""),"ISLA DE MAIPO")</f>
        <v>ISLA DE MAIPO</v>
      </c>
    </row>
    <row r="5033" spans="1:4">
      <c r="A5033" s="7">
        <f ca="1">IFERROR(__xludf.DUMMYFUNCTION("""COMPUTED_VALUE"""),44471)</f>
        <v>44471</v>
      </c>
      <c r="B5033" s="8" t="str">
        <f ca="1">IFERROR(__xludf.DUMMYFUNCTION("""COMPUTED_VALUE"""),"-33.739503,-70.865289")</f>
        <v>-33.739503,-70.865289</v>
      </c>
      <c r="C5033" s="6" t="str">
        <f ca="1">IFERROR(__xludf.DUMMYFUNCTION("""COMPUTED_VALUE"""),"PJE TRES 4142")</f>
        <v>PJE TRES 4142</v>
      </c>
      <c r="D5033" s="6" t="str">
        <f ca="1">IFERROR(__xludf.DUMMYFUNCTION("""COMPUTED_VALUE"""),"ISLA DE MAIPO")</f>
        <v>ISLA DE MAIPO</v>
      </c>
    </row>
    <row r="5034" spans="1:4">
      <c r="A5034" s="7">
        <f ca="1">IFERROR(__xludf.DUMMYFUNCTION("""COMPUTED_VALUE"""),44471)</f>
        <v>44471</v>
      </c>
      <c r="B5034" s="6" t="str">
        <f ca="1">IFERROR(__xludf.DUMMYFUNCTION("""COMPUTED_VALUE"""),"-33.569270-70.796023")</f>
        <v>-33.569270-70.796023</v>
      </c>
      <c r="C5034" s="6" t="str">
        <f ca="1">IFERROR(__xludf.DUMMYFUNCTION("""COMPUTED_VALUE"""),"PJE SIETE 1113")</f>
        <v>PJE SIETE 1113</v>
      </c>
      <c r="D5034" s="6" t="str">
        <f ca="1">IFERROR(__xludf.DUMMYFUNCTION("""COMPUTED_VALUE"""),"MELIPILLA")</f>
        <v>MELIPILLA</v>
      </c>
    </row>
    <row r="5035" spans="1:4">
      <c r="A5035" s="7">
        <f ca="1">IFERROR(__xludf.DUMMYFUNCTION("""COMPUTED_VALUE"""),44471)</f>
        <v>44471</v>
      </c>
      <c r="B5035" s="6" t="str">
        <f ca="1">IFERROR(__xludf.DUMMYFUNCTION("""COMPUTED_VALUE"""),"-33.154305,-70.53310")</f>
        <v>-33.154305,-70.53310</v>
      </c>
      <c r="C5035" s="6" t="str">
        <f ca="1">IFERROR(__xludf.DUMMYFUNCTION("""COMPUTED_VALUE"""),"INTERIOR PARS 28 SI 17")</f>
        <v>INTERIOR PARS 28 SI 17</v>
      </c>
      <c r="D5035" s="6" t="str">
        <f ca="1">IFERROR(__xludf.DUMMYFUNCTION("""COMPUTED_VALUE"""),"LAMPA")</f>
        <v>LAMPA</v>
      </c>
    </row>
    <row r="5036" spans="1:4">
      <c r="A5036" s="7">
        <f ca="1">IFERROR(__xludf.DUMMYFUNCTION("""COMPUTED_VALUE"""),44471)</f>
        <v>44471</v>
      </c>
      <c r="B5036" s="6" t="str">
        <f ca="1">IFERROR(__xludf.DUMMYFUNCTION("""COMPUTED_VALUE"""),"-33.642509,-70.591022")</f>
        <v>-33.642509,-70.591022</v>
      </c>
      <c r="C5036" s="6" t="str">
        <f ca="1">IFERROR(__xludf.DUMMYFUNCTION("""COMPUTED_VALUE"""),"VIRGINIA SUBERCASEAUX 1763")</f>
        <v>VIRGINIA SUBERCASEAUX 1763</v>
      </c>
      <c r="D5036" s="6" t="str">
        <f ca="1">IFERROR(__xludf.DUMMYFUNCTION("""COMPUTED_VALUE"""),"PIRQUE")</f>
        <v>PIRQUE</v>
      </c>
    </row>
    <row r="5037" spans="1:4">
      <c r="A5037" s="7">
        <f ca="1">IFERROR(__xludf.DUMMYFUNCTION("""COMPUTED_VALUE"""),44471)</f>
        <v>44471</v>
      </c>
      <c r="B5037" s="8" t="str">
        <f ca="1">IFERROR(__xludf.DUMMYFUNCTION("""COMPUTED_VALUE"""),"-33.276000,-70.687611")</f>
        <v>-33.276000,-70.687611</v>
      </c>
      <c r="C5037" s="6" t="str">
        <f ca="1">IFERROR(__xludf.DUMMYFUNCTION("""COMPUTED_VALUE"""),"CONDOMINIO ANTUHUE 17")</f>
        <v>CONDOMINIO ANTUHUE 17</v>
      </c>
      <c r="D5037" s="6" t="str">
        <f ca="1">IFERROR(__xludf.DUMMYFUNCTION("""COMPUTED_VALUE"""),"COLINA")</f>
        <v>COLINA</v>
      </c>
    </row>
    <row r="5038" spans="1:4">
      <c r="A5038" s="7">
        <f ca="1">IFERROR(__xludf.DUMMYFUNCTION("""COMPUTED_VALUE"""),44471)</f>
        <v>44471</v>
      </c>
      <c r="B5038" s="8" t="str">
        <f ca="1">IFERROR(__xludf.DUMMYFUNCTION("""COMPUTED_VALUE"""),"-33,233368,-70,704009")</f>
        <v>-33,233368,-70,704009</v>
      </c>
      <c r="C5038" s="6" t="str">
        <f ca="1">IFERROR(__xludf.DUMMYFUNCTION("""COMPUTED_VALUE"""),"GERVASIO KIERA")</f>
        <v>GERVASIO KIERA</v>
      </c>
      <c r="D5038" s="6" t="str">
        <f ca="1">IFERROR(__xludf.DUMMYFUNCTION("""COMPUTED_VALUE"""),"COLINA")</f>
        <v>COLINA</v>
      </c>
    </row>
    <row r="5039" spans="1:4">
      <c r="A5039" s="7">
        <f ca="1">IFERROR(__xludf.DUMMYFUNCTION("""COMPUTED_VALUE"""),44471)</f>
        <v>44471</v>
      </c>
      <c r="B5039" s="8" t="str">
        <f ca="1">IFERROR(__xludf.DUMMYFUNCTION("""COMPUTED_VALUE"""),"-33,0938670,-70,6686970")</f>
        <v>-33,0938670,-70,6686970</v>
      </c>
      <c r="C5039" s="6" t="str">
        <f ca="1">IFERROR(__xludf.DUMMYFUNCTION("""COMPUTED_VALUE"""),"EL LITRE CASA 2")</f>
        <v>EL LITRE CASA 2</v>
      </c>
      <c r="D5039" s="6" t="str">
        <f ca="1">IFERROR(__xludf.DUMMYFUNCTION("""COMPUTED_VALUE"""),"COLINA")</f>
        <v>COLINA</v>
      </c>
    </row>
    <row r="5040" spans="1:4">
      <c r="A5040" s="7">
        <f ca="1">IFERROR(__xludf.DUMMYFUNCTION("""COMPUTED_VALUE"""),44471)</f>
        <v>44471</v>
      </c>
      <c r="B5040" s="8" t="str">
        <f ca="1">IFERROR(__xludf.DUMMYFUNCTION("""COMPUTED_VALUE"""),"-33,283889,-70,674722")</f>
        <v>-33,283889,-70,674722</v>
      </c>
      <c r="C5040" s="6" t="str">
        <f ca="1">IFERROR(__xludf.DUMMYFUNCTION("""COMPUTED_VALUE"""),"EL ALGORROBO 57")</f>
        <v>EL ALGORROBO 57</v>
      </c>
      <c r="D5040" s="6" t="str">
        <f ca="1">IFERROR(__xludf.DUMMYFUNCTION("""COMPUTED_VALUE"""),"COLINA")</f>
        <v>COLINA</v>
      </c>
    </row>
    <row r="5041" spans="1:4">
      <c r="A5041" s="7">
        <f ca="1">IFERROR(__xludf.DUMMYFUNCTION("""COMPUTED_VALUE"""),44472)</f>
        <v>44472</v>
      </c>
      <c r="B5041" s="8" t="str">
        <f ca="1">IFERROR(__xludf.DUMMYFUNCTION("""COMPUTED_VALUE"""),"-33,088903,-70,679270")</f>
        <v>-33,088903,-70,679270</v>
      </c>
      <c r="C5041" s="6" t="str">
        <f ca="1">IFERROR(__xludf.DUMMYFUNCTION("""COMPUTED_VALUE"""),"ESQUIVEL PARCELA 4")</f>
        <v>ESQUIVEL PARCELA 4</v>
      </c>
      <c r="D5041" s="6" t="str">
        <f ca="1">IFERROR(__xludf.DUMMYFUNCTION("""COMPUTED_VALUE"""),"COLINA")</f>
        <v>COLINA</v>
      </c>
    </row>
    <row r="5042" spans="1:4">
      <c r="A5042" s="7">
        <f ca="1">IFERROR(__xludf.DUMMYFUNCTION("""COMPUTED_VALUE"""),44472)</f>
        <v>44472</v>
      </c>
      <c r="B5042" s="8" t="str">
        <f ca="1">IFERROR(__xludf.DUMMYFUNCTION("""COMPUTED_VALUE"""),"-33,246417,-70,6767777")</f>
        <v>-33,246417,-70,6767777</v>
      </c>
      <c r="C5042" s="6" t="str">
        <f ca="1">IFERROR(__xludf.DUMMYFUNCTION("""COMPUTED_VALUE"""),"CONDOMINIO LAS CAMPIÑAS 149")</f>
        <v>CONDOMINIO LAS CAMPIÑAS 149</v>
      </c>
      <c r="D5042" s="6" t="str">
        <f ca="1">IFERROR(__xludf.DUMMYFUNCTION("""COMPUTED_VALUE"""),"COLINA")</f>
        <v>COLINA</v>
      </c>
    </row>
    <row r="5043" spans="1:4">
      <c r="A5043" s="7">
        <f ca="1">IFERROR(__xludf.DUMMYFUNCTION("""COMPUTED_VALUE"""),44473)</f>
        <v>44473</v>
      </c>
      <c r="B5043" s="8" t="str">
        <f ca="1">IFERROR(__xludf.DUMMYFUNCTION("""COMPUTED_VALUE"""),"-33.734186,-71.020084")</f>
        <v>-33.734186,-71.020084</v>
      </c>
      <c r="C5043" s="6" t="str">
        <f ca="1">IFERROR(__xludf.DUMMYFUNCTION("""COMPUTED_VALUE"""),"PRINCIPAL 53")</f>
        <v>PRINCIPAL 53</v>
      </c>
      <c r="D5043" s="6" t="str">
        <f ca="1">IFERROR(__xludf.DUMMYFUNCTION("""COMPUTED_VALUE"""),"ISLA DE MAIPO")</f>
        <v>ISLA DE MAIPO</v>
      </c>
    </row>
    <row r="5044" spans="1:4">
      <c r="A5044" s="7">
        <f ca="1">IFERROR(__xludf.DUMMYFUNCTION("""COMPUTED_VALUE"""),44473)</f>
        <v>44473</v>
      </c>
      <c r="B5044" s="8" t="str">
        <f ca="1">IFERROR(__xludf.DUMMYFUNCTION("""COMPUTED_VALUE"""),"-33.765090,-70.872387")</f>
        <v>-33.765090,-70.872387</v>
      </c>
      <c r="C5044" s="6" t="str">
        <f ca="1">IFERROR(__xludf.DUMMYFUNCTION("""COMPUTED_VALUE"""),"LA BALLICA 2810")</f>
        <v>LA BALLICA 2810</v>
      </c>
      <c r="D5044" s="6" t="str">
        <f ca="1">IFERROR(__xludf.DUMMYFUNCTION("""COMPUTED_VALUE"""),"ISLA DE MAIPO")</f>
        <v>ISLA DE MAIPO</v>
      </c>
    </row>
    <row r="5045" spans="1:4">
      <c r="A5045" s="7">
        <f ca="1">IFERROR(__xludf.DUMMYFUNCTION("""COMPUTED_VALUE"""),44473)</f>
        <v>44473</v>
      </c>
      <c r="B5045" s="8" t="str">
        <f ca="1">IFERROR(__xludf.DUMMYFUNCTION("""COMPUTED_VALUE"""),"-33.729180,-70.910276")</f>
        <v>-33.729180,-70.910276</v>
      </c>
      <c r="C5045" s="6" t="str">
        <f ca="1">IFERROR(__xludf.DUMMYFUNCTION("""COMPUTED_VALUE"""),"PJE ESTERO GACITUA 393")</f>
        <v>PJE ESTERO GACITUA 393</v>
      </c>
      <c r="D5045" s="6" t="str">
        <f ca="1">IFERROR(__xludf.DUMMYFUNCTION("""COMPUTED_VALUE"""),"ISLA DE MAIPO")</f>
        <v>ISLA DE MAIPO</v>
      </c>
    </row>
    <row r="5046" spans="1:4">
      <c r="A5046" s="7">
        <f ca="1">IFERROR(__xludf.DUMMYFUNCTION("""COMPUTED_VALUE"""),44473)</f>
        <v>44473</v>
      </c>
      <c r="B5046" s="8" t="str">
        <f ca="1">IFERROR(__xludf.DUMMYFUNCTION("""COMPUTED_VALUE"""),"-33.738576,-70.866999")</f>
        <v>-33.738576,-70.866999</v>
      </c>
      <c r="C5046" s="6" t="str">
        <f ca="1">IFERROR(__xludf.DUMMYFUNCTION("""COMPUTED_VALUE"""),"ENRIQUE ALCALDE 502")</f>
        <v>ENRIQUE ALCALDE 502</v>
      </c>
      <c r="D5046" s="6" t="str">
        <f ca="1">IFERROR(__xludf.DUMMYFUNCTION("""COMPUTED_VALUE"""),"ISLA DE MAIPO")</f>
        <v>ISLA DE MAIPO</v>
      </c>
    </row>
    <row r="5047" spans="1:4">
      <c r="A5047" s="7">
        <f ca="1">IFERROR(__xludf.DUMMYFUNCTION("""COMPUTED_VALUE"""),44473)</f>
        <v>44473</v>
      </c>
      <c r="B5047" s="8" t="str">
        <f ca="1">IFERROR(__xludf.DUMMYFUNCTION("""COMPUTED_VALUE"""),"-33.734038,-70.915690")</f>
        <v>-33.734038,-70.915690</v>
      </c>
      <c r="C5047" s="6" t="str">
        <f ca="1">IFERROR(__xludf.DUMMYFUNCTION("""COMPUTED_VALUE"""),"JAIME GUZMAN 2778B")</f>
        <v>JAIME GUZMAN 2778B</v>
      </c>
      <c r="D5047" s="6" t="str">
        <f ca="1">IFERROR(__xludf.DUMMYFUNCTION("""COMPUTED_VALUE"""),"ISLA DE MAIPO")</f>
        <v>ISLA DE MAIPO</v>
      </c>
    </row>
    <row r="5048" spans="1:4">
      <c r="A5048" s="7">
        <f ca="1">IFERROR(__xludf.DUMMYFUNCTION("""COMPUTED_VALUE"""),44473)</f>
        <v>44473</v>
      </c>
      <c r="B5048" s="8" t="str">
        <f ca="1">IFERROR(__xludf.DUMMYFUNCTION("""COMPUTED_VALUE"""),"-33.746594, -70.8674242")</f>
        <v>-33.746594, -70.8674242</v>
      </c>
      <c r="C5048" s="6" t="str">
        <f ca="1">IFERROR(__xludf.DUMMYFUNCTION("""COMPUTED_VALUE"""),"MARIO BARTOLUCCI 147")</f>
        <v>MARIO BARTOLUCCI 147</v>
      </c>
      <c r="D5048" s="6" t="str">
        <f ca="1">IFERROR(__xludf.DUMMYFUNCTION("""COMPUTED_VALUE"""),"ISLA DE MAIPO")</f>
        <v>ISLA DE MAIPO</v>
      </c>
    </row>
    <row r="5049" spans="1:4">
      <c r="A5049" s="7">
        <f ca="1">IFERROR(__xludf.DUMMYFUNCTION("""COMPUTED_VALUE"""),44473)</f>
        <v>44473</v>
      </c>
      <c r="B5049" s="8" t="str">
        <f ca="1">IFERROR(__xludf.DUMMYFUNCTION("""COMPUTED_VALUE"""),"-33.748453,-70.871072")</f>
        <v>-33.748453,-70.871072</v>
      </c>
      <c r="C5049" s="6" t="str">
        <f ca="1">IFERROR(__xludf.DUMMYFUNCTION("""COMPUTED_VALUE"""),"EL CUARTEL 368")</f>
        <v>EL CUARTEL 368</v>
      </c>
      <c r="D5049" s="6" t="str">
        <f ca="1">IFERROR(__xludf.DUMMYFUNCTION("""COMPUTED_VALUE"""),"ISLA DE MAIPO")</f>
        <v>ISLA DE MAIPO</v>
      </c>
    </row>
    <row r="5050" spans="1:4">
      <c r="A5050" s="7">
        <f ca="1">IFERROR(__xludf.DUMMYFUNCTION("""COMPUTED_VALUE"""),44473)</f>
        <v>44473</v>
      </c>
      <c r="B5050" s="8" t="str">
        <f ca="1">IFERROR(__xludf.DUMMYFUNCTION("""COMPUTED_VALUE"""),"-33.749941, -70.8918489")</f>
        <v>-33.749941, -70.8918489</v>
      </c>
      <c r="C5050" s="6" t="str">
        <f ca="1">IFERROR(__xludf.DUMMYFUNCTION("""COMPUTED_VALUE"""),"INDEPENDENCIA 91")</f>
        <v>INDEPENDENCIA 91</v>
      </c>
      <c r="D5050" s="6" t="str">
        <f ca="1">IFERROR(__xludf.DUMMYFUNCTION("""COMPUTED_VALUE"""),"ISLA DE MAIPO")</f>
        <v>ISLA DE MAIPO</v>
      </c>
    </row>
    <row r="5051" spans="1:4">
      <c r="A5051" s="7">
        <f ca="1">IFERROR(__xludf.DUMMYFUNCTION("""COMPUTED_VALUE"""),44473)</f>
        <v>44473</v>
      </c>
      <c r="B5051" s="6" t="str">
        <f ca="1">IFERROR(__xludf.DUMMYFUNCTION("""COMPUTED_VALUE"""),"-33.434585-71.026746")</f>
        <v>-33.434585-71.026746</v>
      </c>
      <c r="C5051" s="6" t="str">
        <f ca="1">IFERROR(__xludf.DUMMYFUNCTION("""COMPUTED_VALUE"""),"UNION SAN JOSE S 6 D")</f>
        <v>UNION SAN JOSE S 6 D</v>
      </c>
      <c r="D5051" s="6" t="str">
        <f ca="1">IFERROR(__xludf.DUMMYFUNCTION("""COMPUTED_VALUE"""),"CURACAVI")</f>
        <v>CURACAVI</v>
      </c>
    </row>
    <row r="5052" spans="1:4">
      <c r="A5052" s="7">
        <f ca="1">IFERROR(__xludf.DUMMYFUNCTION("""COMPUTED_VALUE"""),44473)</f>
        <v>44473</v>
      </c>
      <c r="B5052" s="6" t="str">
        <f ca="1">IFERROR(__xludf.DUMMYFUNCTION("""COMPUTED_VALUE"""),"-33.385195-71.111293")</f>
        <v>-33.385195-71.111293</v>
      </c>
      <c r="C5052" s="6" t="str">
        <f ca="1">IFERROR(__xludf.DUMMYFUNCTION("""COMPUTED_VALUE"""),"CURACAVI PARCELA 33 63")</f>
        <v>CURACAVI PARCELA 33 63</v>
      </c>
      <c r="D5052" s="6" t="str">
        <f ca="1">IFERROR(__xludf.DUMMYFUNCTION("""COMPUTED_VALUE"""),"CURACAVI")</f>
        <v>CURACAVI</v>
      </c>
    </row>
    <row r="5053" spans="1:4">
      <c r="A5053" s="7">
        <f ca="1">IFERROR(__xludf.DUMMYFUNCTION("""COMPUTED_VALUE"""),44473)</f>
        <v>44473</v>
      </c>
      <c r="B5053" s="6" t="str">
        <f ca="1">IFERROR(__xludf.DUMMYFUNCTION("""COMPUTED_VALUE"""),"-33.65747-70.35002")</f>
        <v>-33.65747-70.35002</v>
      </c>
      <c r="C5053" s="6" t="str">
        <f ca="1">IFERROR(__xludf.DUMMYFUNCTION("""COMPUTED_VALUE"""),"CAMINO AL VOLCAN 22636")</f>
        <v>CAMINO AL VOLCAN 22636</v>
      </c>
      <c r="D5053" s="6" t="str">
        <f ca="1">IFERROR(__xludf.DUMMYFUNCTION("""COMPUTED_VALUE"""),"SAN JOSE DE MAIPO")</f>
        <v>SAN JOSE DE MAIPO</v>
      </c>
    </row>
    <row r="5054" spans="1:4">
      <c r="A5054" s="7">
        <f ca="1">IFERROR(__xludf.DUMMYFUNCTION("""COMPUTED_VALUE"""),44473)</f>
        <v>44473</v>
      </c>
      <c r="B5054" s="6" t="str">
        <f ca="1">IFERROR(__xludf.DUMMYFUNCTION("""COMPUTED_VALUE"""),"-33.65747-70.35002")</f>
        <v>-33.65747-70.35002</v>
      </c>
      <c r="C5054" s="6" t="str">
        <f ca="1">IFERROR(__xludf.DUMMYFUNCTION("""COMPUTED_VALUE"""),"CAMINO AL VOLCAN 22636")</f>
        <v>CAMINO AL VOLCAN 22636</v>
      </c>
      <c r="D5054" s="6" t="str">
        <f ca="1">IFERROR(__xludf.DUMMYFUNCTION("""COMPUTED_VALUE"""),"SAN JOSE DE MAIPO")</f>
        <v>SAN JOSE DE MAIPO</v>
      </c>
    </row>
    <row r="5055" spans="1:4">
      <c r="A5055" s="7">
        <f ca="1">IFERROR(__xludf.DUMMYFUNCTION("""COMPUTED_VALUE"""),44473)</f>
        <v>44473</v>
      </c>
      <c r="B5055" s="6" t="str">
        <f ca="1">IFERROR(__xludf.DUMMYFUNCTION("""COMPUTED_VALUE"""),"-33.308056,-070.363878")</f>
        <v>-33.308056,-070.363878</v>
      </c>
      <c r="C5055" s="6" t="str">
        <f ca="1">IFERROR(__xludf.DUMMYFUNCTION("""COMPUTED_VALUE"""),"PARCELA 21 S/2")</f>
        <v>PARCELA 21 S/2</v>
      </c>
      <c r="D5055" s="6" t="str">
        <f ca="1">IFERROR(__xludf.DUMMYFUNCTION("""COMPUTED_VALUE"""),"LAMPA")</f>
        <v>LAMPA</v>
      </c>
    </row>
    <row r="5056" spans="1:4">
      <c r="A5056" s="7">
        <f ca="1">IFERROR(__xludf.DUMMYFUNCTION("""COMPUTED_VALUE"""),44473)</f>
        <v>44473</v>
      </c>
      <c r="B5056" s="6" t="str">
        <f ca="1">IFERROR(__xludf.DUMMYFUNCTION("""COMPUTED_VALUE"""),"-33.735611,-70.859893")</f>
        <v>-33.735611,-70.859893</v>
      </c>
      <c r="C5056" s="6" t="str">
        <f ca="1">IFERROR(__xludf.DUMMYFUNCTION("""COMPUTED_VALUE"""),"CAPERNAN 4530")</f>
        <v>CAPERNAN 4530</v>
      </c>
      <c r="D5056" s="6" t="str">
        <f ca="1">IFERROR(__xludf.DUMMYFUNCTION("""COMPUTED_VALUE"""),"ISLA DE MAIPO")</f>
        <v>ISLA DE MAIPO</v>
      </c>
    </row>
    <row r="5057" spans="1:4">
      <c r="A5057" s="7">
        <f ca="1">IFERROR(__xludf.DUMMYFUNCTION("""COMPUTED_VALUE"""),44473)</f>
        <v>44473</v>
      </c>
      <c r="B5057" s="6" t="str">
        <f ca="1">IFERROR(__xludf.DUMMYFUNCTION("""COMPUTED_VALUE"""),"-33.738485,-70.854928")</f>
        <v>-33.738485,-70.854928</v>
      </c>
      <c r="C5057" s="6" t="str">
        <f ca="1">IFERROR(__xludf.DUMMYFUNCTION("""COMPUTED_VALUE"""),"CINCO DE ABRIL 4816")</f>
        <v>CINCO DE ABRIL 4816</v>
      </c>
      <c r="D5057" s="6" t="str">
        <f ca="1">IFERROR(__xludf.DUMMYFUNCTION("""COMPUTED_VALUE"""),"ISLA DE MAIPO")</f>
        <v>ISLA DE MAIPO</v>
      </c>
    </row>
    <row r="5058" spans="1:4">
      <c r="A5058" s="7">
        <f ca="1">IFERROR(__xludf.DUMMYFUNCTION("""COMPUTED_VALUE"""),44474)</f>
        <v>44474</v>
      </c>
      <c r="B5058" s="8" t="str">
        <f ca="1">IFERROR(__xludf.DUMMYFUNCTION("""COMPUTED_VALUE"""),"-33.7273841,-71.0273359")</f>
        <v>-33.7273841,-71.0273359</v>
      </c>
      <c r="C5058" s="6" t="str">
        <f ca="1">IFERROR(__xludf.DUMMYFUNCTION("""COMPUTED_VALUE"""),"PRINCIPAL P/ 11")</f>
        <v>PRINCIPAL P/ 11</v>
      </c>
      <c r="D5058" s="6" t="str">
        <f ca="1">IFERROR(__xludf.DUMMYFUNCTION("""COMPUTED_VALUE"""),"ISLA DE MAIPO")</f>
        <v>ISLA DE MAIPO</v>
      </c>
    </row>
    <row r="5059" spans="1:4">
      <c r="A5059" s="7">
        <f ca="1">IFERROR(__xludf.DUMMYFUNCTION("""COMPUTED_VALUE"""),44474)</f>
        <v>44474</v>
      </c>
      <c r="B5059" s="8" t="str">
        <f ca="1">IFERROR(__xludf.DUMMYFUNCTION("""COMPUTED_VALUE"""),"-33.7372682, -70.917721")</f>
        <v>-33.7372682, -70.917721</v>
      </c>
      <c r="C5059" s="6" t="str">
        <f ca="1">IFERROR(__xludf.DUMMYFUNCTION("""COMPUTED_VALUE"""),"Av senador jaime guzman 1843")</f>
        <v>Av senador jaime guzman 1843</v>
      </c>
      <c r="D5059" s="6" t="str">
        <f ca="1">IFERROR(__xludf.DUMMYFUNCTION("""COMPUTED_VALUE"""),"ISLA DE MAIPO")</f>
        <v>ISLA DE MAIPO</v>
      </c>
    </row>
    <row r="5060" spans="1:4">
      <c r="A5060" s="7">
        <f ca="1">IFERROR(__xludf.DUMMYFUNCTION("""COMPUTED_VALUE"""),44474)</f>
        <v>44474</v>
      </c>
      <c r="B5060" s="8" t="str">
        <f ca="1">IFERROR(__xludf.DUMMYFUNCTION("""COMPUTED_VALUE"""),"-33.736367,-70.860685")</f>
        <v>-33.736367,-70.860685</v>
      </c>
      <c r="C5060" s="6" t="str">
        <f ca="1">IFERROR(__xludf.DUMMYFUNCTION("""COMPUTED_VALUE"""),"EL MAITEN 139")</f>
        <v>EL MAITEN 139</v>
      </c>
      <c r="D5060" s="6" t="str">
        <f ca="1">IFERROR(__xludf.DUMMYFUNCTION("""COMPUTED_VALUE"""),"ISLA DE MAIPO")</f>
        <v>ISLA DE MAIPO</v>
      </c>
    </row>
    <row r="5061" spans="1:4">
      <c r="A5061" s="7">
        <f ca="1">IFERROR(__xludf.DUMMYFUNCTION("""COMPUTED_VALUE"""),44474)</f>
        <v>44474</v>
      </c>
      <c r="B5061" s="8" t="str">
        <f ca="1">IFERROR(__xludf.DUMMYFUNCTION("""COMPUTED_VALUE"""),"-33.729419, -70.9121301")</f>
        <v>-33.729419, -70.9121301</v>
      </c>
      <c r="C5061" s="6" t="str">
        <f ca="1">IFERROR(__xludf.DUMMYFUNCTION("""COMPUTED_VALUE"""),"LO MARTINEZ 1021 1 B")</f>
        <v>LO MARTINEZ 1021 1 B</v>
      </c>
      <c r="D5061" s="6" t="str">
        <f ca="1">IFERROR(__xludf.DUMMYFUNCTION("""COMPUTED_VALUE"""),"ISLA DE MAIPO")</f>
        <v>ISLA DE MAIPO</v>
      </c>
    </row>
    <row r="5062" spans="1:4">
      <c r="A5062" s="7">
        <f ca="1">IFERROR(__xludf.DUMMYFUNCTION("""COMPUTED_VALUE"""),44474)</f>
        <v>44474</v>
      </c>
      <c r="B5062" s="8" t="str">
        <f ca="1">IFERROR(__xludf.DUMMYFUNCTION("""COMPUTED_VALUE"""),"-33.741692,-70.864204")</f>
        <v>-33.741692,-70.864204</v>
      </c>
      <c r="C5062" s="6" t="str">
        <f ca="1">IFERROR(__xludf.DUMMYFUNCTION("""COMPUTED_VALUE"""),"TERESA FREIRE 160 ")</f>
        <v xml:space="preserve">TERESA FREIRE 160 </v>
      </c>
      <c r="D5062" s="6" t="str">
        <f ca="1">IFERROR(__xludf.DUMMYFUNCTION("""COMPUTED_VALUE"""),"ISLA DE MAIPO")</f>
        <v>ISLA DE MAIPO</v>
      </c>
    </row>
    <row r="5063" spans="1:4">
      <c r="A5063" s="7">
        <f ca="1">IFERROR(__xludf.DUMMYFUNCTION("""COMPUTED_VALUE"""),44474)</f>
        <v>44474</v>
      </c>
      <c r="B5063" s="8" t="str">
        <f ca="1">IFERROR(__xludf.DUMMYFUNCTION("""COMPUTED_VALUE"""),"-33.746967,-70.911336")</f>
        <v>-33.746967,-70.911336</v>
      </c>
      <c r="C5063" s="6" t="str">
        <f ca="1">IFERROR(__xludf.DUMMYFUNCTION("""COMPUTED_VALUE"""),"LO MARTINEZ 1141")</f>
        <v>LO MARTINEZ 1141</v>
      </c>
      <c r="D5063" s="6" t="str">
        <f ca="1">IFERROR(__xludf.DUMMYFUNCTION("""COMPUTED_VALUE"""),"ISLA DE MAIPO")</f>
        <v>ISLA DE MAIPO</v>
      </c>
    </row>
    <row r="5064" spans="1:4">
      <c r="A5064" s="7">
        <f ca="1">IFERROR(__xludf.DUMMYFUNCTION("""COMPUTED_VALUE"""),44474)</f>
        <v>44474</v>
      </c>
      <c r="B5064" s="6" t="str">
        <f ca="1">IFERROR(__xludf.DUMMYFUNCTION("""COMPUTED_VALUE"""),"-33.606301-70.894360")</f>
        <v>-33.606301-70.894360</v>
      </c>
      <c r="C5064" s="6" t="str">
        <f ca="1">IFERROR(__xludf.DUMMYFUNCTION("""COMPUTED_VALUE"""),"VEINTIUNO DE MAYO 3836")</f>
        <v>VEINTIUNO DE MAYO 3836</v>
      </c>
      <c r="D5064" s="6" t="str">
        <f ca="1">IFERROR(__xludf.DUMMYFUNCTION("""COMPUTED_VALUE"""),"PEÑAFLOR")</f>
        <v>PEÑAFLOR</v>
      </c>
    </row>
    <row r="5065" spans="1:4">
      <c r="A5065" s="7">
        <f ca="1">IFERROR(__xludf.DUMMYFUNCTION("""COMPUTED_VALUE"""),44474)</f>
        <v>44474</v>
      </c>
      <c r="B5065" s="6" t="str">
        <f ca="1">IFERROR(__xludf.DUMMYFUNCTION("""COMPUTED_VALUE"""),"-33.603759-70.348542")</f>
        <v>-33.603759-70.348542</v>
      </c>
      <c r="C5065" s="6" t="str">
        <f ca="1">IFERROR(__xludf.DUMMYFUNCTION("""COMPUTED_VALUE"""),"AV CEMENTERIO 19081 C")</f>
        <v>AV CEMENTERIO 19081 C</v>
      </c>
      <c r="D5065" s="6" t="str">
        <f ca="1">IFERROR(__xludf.DUMMYFUNCTION("""COMPUTED_VALUE"""),"SAN JOSE DE MAIPO")</f>
        <v>SAN JOSE DE MAIPO</v>
      </c>
    </row>
    <row r="5066" spans="1:4">
      <c r="A5066" s="7">
        <f ca="1">IFERROR(__xludf.DUMMYFUNCTION("""COMPUTED_VALUE"""),44474)</f>
        <v>44474</v>
      </c>
      <c r="B5066" s="6" t="str">
        <f ca="1">IFERROR(__xludf.DUMMYFUNCTION("""COMPUTED_VALUE"""),"-33.604769-70.353153")</f>
        <v>-33.604769-70.353153</v>
      </c>
      <c r="C5066" s="6" t="str">
        <f ca="1">IFERROR(__xludf.DUMMYFUNCTION("""COMPUTED_VALUE"""),"CAMINO GUAYACAN 15469")</f>
        <v>CAMINO GUAYACAN 15469</v>
      </c>
      <c r="D5066" s="6" t="str">
        <f ca="1">IFERROR(__xludf.DUMMYFUNCTION("""COMPUTED_VALUE"""),"SAN JOSE DE MAIPO")</f>
        <v>SAN JOSE DE MAIPO</v>
      </c>
    </row>
    <row r="5067" spans="1:4">
      <c r="A5067" s="7">
        <f ca="1">IFERROR(__xludf.DUMMYFUNCTION("""COMPUTED_VALUE"""),44474)</f>
        <v>44474</v>
      </c>
      <c r="B5067" s="6" t="str">
        <f ca="1">IFERROR(__xludf.DUMMYFUNCTION("""COMPUTED_VALUE"""),"-33.1362-70.80756")</f>
        <v>-33.1362-70.80756</v>
      </c>
      <c r="C5067" s="6" t="str">
        <f ca="1">IFERROR(__xludf.DUMMYFUNCTION("""COMPUTED_VALUE"""),"UNO ORIENTE 136")</f>
        <v>UNO ORIENTE 136</v>
      </c>
      <c r="D5067" s="6" t="str">
        <f ca="1">IFERROR(__xludf.DUMMYFUNCTION("""COMPUTED_VALUE"""),"TIL TIL")</f>
        <v>TIL TIL</v>
      </c>
    </row>
    <row r="5068" spans="1:4">
      <c r="A5068" s="7">
        <f ca="1">IFERROR(__xludf.DUMMYFUNCTION("""COMPUTED_VALUE"""),44474)</f>
        <v>44474</v>
      </c>
      <c r="B5068" s="6" t="str">
        <f ca="1">IFERROR(__xludf.DUMMYFUNCTION("""COMPUTED_VALUE"""),"-33.1362-70.80756")</f>
        <v>-33.1362-70.80756</v>
      </c>
      <c r="C5068" s="6" t="str">
        <f ca="1">IFERROR(__xludf.DUMMYFUNCTION("""COMPUTED_VALUE"""),"UNO ORIENTE 136")</f>
        <v>UNO ORIENTE 136</v>
      </c>
      <c r="D5068" s="6" t="str">
        <f ca="1">IFERROR(__xludf.DUMMYFUNCTION("""COMPUTED_VALUE"""),"TIL TIL")</f>
        <v>TIL TIL</v>
      </c>
    </row>
    <row r="5069" spans="1:4">
      <c r="A5069" s="7">
        <f ca="1">IFERROR(__xludf.DUMMYFUNCTION("""COMPUTED_VALUE"""),44474)</f>
        <v>44474</v>
      </c>
      <c r="B5069" s="6" t="str">
        <f ca="1">IFERROR(__xludf.DUMMYFUNCTION("""COMPUTED_VALUE"""),"-33.1362-70.80756")</f>
        <v>-33.1362-70.80756</v>
      </c>
      <c r="C5069" s="6" t="str">
        <f ca="1">IFERROR(__xludf.DUMMYFUNCTION("""COMPUTED_VALUE"""),"UNO ORIENTE 136")</f>
        <v>UNO ORIENTE 136</v>
      </c>
      <c r="D5069" s="6" t="str">
        <f ca="1">IFERROR(__xludf.DUMMYFUNCTION("""COMPUTED_VALUE"""),"TIL TIL")</f>
        <v>TIL TIL</v>
      </c>
    </row>
    <row r="5070" spans="1:4">
      <c r="A5070" s="7">
        <f ca="1">IFERROR(__xludf.DUMMYFUNCTION("""COMPUTED_VALUE"""),44474)</f>
        <v>44474</v>
      </c>
      <c r="B5070" s="6" t="str">
        <f ca="1">IFERROR(__xludf.DUMMYFUNCTION("""COMPUTED_VALUE"""),"-33.233786,-070.814524")</f>
        <v>-33.233786,-070.814524</v>
      </c>
      <c r="C5070" s="6" t="str">
        <f ca="1">IFERROR(__xludf.DUMMYFUNCTION("""COMPUTED_VALUE"""),"ERRAZURIZ 262")</f>
        <v>ERRAZURIZ 262</v>
      </c>
      <c r="D5070" s="6" t="str">
        <f ca="1">IFERROR(__xludf.DUMMYFUNCTION("""COMPUTED_VALUE"""),"LAMPA")</f>
        <v>LAMPA</v>
      </c>
    </row>
    <row r="5071" spans="1:4">
      <c r="A5071" s="7">
        <f ca="1">IFERROR(__xludf.DUMMYFUNCTION("""COMPUTED_VALUE"""),44474)</f>
        <v>44474</v>
      </c>
      <c r="B5071" s="6" t="str">
        <f ca="1">IFERROR(__xludf.DUMMYFUNCTION("""COMPUTED_VALUE"""),"-33.704281,-70.589519")</f>
        <v>-33.704281,-70.589519</v>
      </c>
      <c r="C5071" s="6" t="str">
        <f ca="1">IFERROR(__xludf.DUMMYFUNCTION("""COMPUTED_VALUE"""),"CASAS DE LO ARCAYA P.6")</f>
        <v>CASAS DE LO ARCAYA P.6</v>
      </c>
      <c r="D5071" s="6" t="str">
        <f ca="1">IFERROR(__xludf.DUMMYFUNCTION("""COMPUTED_VALUE"""),"PIRQUE")</f>
        <v>PIRQUE</v>
      </c>
    </row>
    <row r="5072" spans="1:4">
      <c r="A5072" s="7">
        <f ca="1">IFERROR(__xludf.DUMMYFUNCTION("""COMPUTED_VALUE"""),44474)</f>
        <v>44474</v>
      </c>
      <c r="B5072" s="6" t="str">
        <f ca="1">IFERROR(__xludf.DUMMYFUNCTION("""COMPUTED_VALUE"""),"-33.278702,-70.891150")</f>
        <v>-33.278702,-70.891150</v>
      </c>
      <c r="C5072" s="6" t="str">
        <f ca="1">IFERROR(__xludf.DUMMYFUNCTION("""COMPUTED_VALUE"""),"LA BANDERA 110")</f>
        <v>LA BANDERA 110</v>
      </c>
      <c r="D5072" s="6" t="str">
        <f ca="1">IFERROR(__xludf.DUMMYFUNCTION("""COMPUTED_VALUE"""),"LAMPA")</f>
        <v>LAMPA</v>
      </c>
    </row>
    <row r="5073" spans="1:4">
      <c r="A5073" s="7">
        <f ca="1">IFERROR(__xludf.DUMMYFUNCTION("""COMPUTED_VALUE"""),44474)</f>
        <v>44474</v>
      </c>
      <c r="B5073" s="6" t="str">
        <f ca="1">IFERROR(__xludf.DUMMYFUNCTION("""COMPUTED_VALUE"""),"-33.279577,-70.871502")</f>
        <v>-33.279577,-70.871502</v>
      </c>
      <c r="C5073" s="6" t="str">
        <f ca="1">IFERROR(__xludf.DUMMYFUNCTION("""COMPUTED_VALUE"""),"PEFILKA 1437")</f>
        <v>PEFILKA 1437</v>
      </c>
      <c r="D5073" s="6" t="str">
        <f ca="1">IFERROR(__xludf.DUMMYFUNCTION("""COMPUTED_VALUE"""),"LAMPA")</f>
        <v>LAMPA</v>
      </c>
    </row>
    <row r="5074" spans="1:4">
      <c r="A5074" s="7">
        <f ca="1">IFERROR(__xludf.DUMMYFUNCTION("""COMPUTED_VALUE"""),44474)</f>
        <v>44474</v>
      </c>
      <c r="B5074" s="6" t="str">
        <f ca="1">IFERROR(__xludf.DUMMYFUNCTION("""COMPUTED_VALUE"""),"-33.706819,-70.532869")</f>
        <v>-33.706819,-70.532869</v>
      </c>
      <c r="C5074" s="6" t="str">
        <f ca="1">IFERROR(__xludf.DUMMYFUNCTION("""COMPUTED_VALUE"""),"ORILLA DEL RIO 169 i6")</f>
        <v>ORILLA DEL RIO 169 i6</v>
      </c>
      <c r="D5074" s="6" t="str">
        <f ca="1">IFERROR(__xludf.DUMMYFUNCTION("""COMPUTED_VALUE"""),"PIRQUE")</f>
        <v>PIRQUE</v>
      </c>
    </row>
    <row r="5075" spans="1:4">
      <c r="A5075" s="7">
        <f ca="1">IFERROR(__xludf.DUMMYFUNCTION("""COMPUTED_VALUE"""),44474)</f>
        <v>44474</v>
      </c>
      <c r="B5075" s="6" t="str">
        <f ca="1">IFERROR(__xludf.DUMMYFUNCTION("""COMPUTED_VALUE"""),"-33.794755,-70.883441")</f>
        <v>-33.794755,-70.883441</v>
      </c>
      <c r="C5075" s="6" t="str">
        <f ca="1">IFERROR(__xludf.DUMMYFUNCTION("""COMPUTED_VALUE"""),"MONTE LAS MERCEDES 4151")</f>
        <v>MONTE LAS MERCEDES 4151</v>
      </c>
      <c r="D5075" s="6" t="str">
        <f ca="1">IFERROR(__xludf.DUMMYFUNCTION("""COMPUTED_VALUE"""),"ISLA DE MAIPO")</f>
        <v>ISLA DE MAIPO</v>
      </c>
    </row>
    <row r="5076" spans="1:4">
      <c r="A5076" s="7">
        <f ca="1">IFERROR(__xludf.DUMMYFUNCTION("""COMPUTED_VALUE"""),44474)</f>
        <v>44474</v>
      </c>
      <c r="B5076" s="6" t="str">
        <f ca="1">IFERROR(__xludf.DUMMYFUNCTION("""COMPUTED_VALUE"""),"-33.755231,-70.891136")</f>
        <v>-33.755231,-70.891136</v>
      </c>
      <c r="C5076" s="6" t="str">
        <f ca="1">IFERROR(__xludf.DUMMYFUNCTION("""COMPUTED_VALUE"""),"PASAJE LOPEZ 324 -A")</f>
        <v>PASAJE LOPEZ 324 -A</v>
      </c>
      <c r="D5076" s="6" t="str">
        <f ca="1">IFERROR(__xludf.DUMMYFUNCTION("""COMPUTED_VALUE"""),"ISLA DE MAIPO")</f>
        <v>ISLA DE MAIPO</v>
      </c>
    </row>
    <row r="5077" spans="1:4">
      <c r="A5077" s="7">
        <f ca="1">IFERROR(__xludf.DUMMYFUNCTION("""COMPUTED_VALUE"""),44475)</f>
        <v>44475</v>
      </c>
      <c r="B5077" s="8" t="str">
        <f ca="1">IFERROR(__xludf.DUMMYFUNCTION("""COMPUTED_VALUE"""),"-33.7428838,-70.8704162")</f>
        <v>-33.7428838,-70.8704162</v>
      </c>
      <c r="C5077" s="6" t="str">
        <f ca="1">IFERROR(__xludf.DUMMYFUNCTION("""COMPUTED_VALUE"""),"MICHELLE BACHELET 540")</f>
        <v>MICHELLE BACHELET 540</v>
      </c>
      <c r="D5077" s="6" t="str">
        <f ca="1">IFERROR(__xludf.DUMMYFUNCTION("""COMPUTED_VALUE"""),"ISLA DE MAIPO")</f>
        <v>ISLA DE MAIPO</v>
      </c>
    </row>
    <row r="5078" spans="1:4">
      <c r="A5078" s="7">
        <f ca="1">IFERROR(__xludf.DUMMYFUNCTION("""COMPUTED_VALUE"""),44475)</f>
        <v>44475</v>
      </c>
      <c r="B5078" s="8" t="str">
        <f ca="1">IFERROR(__xludf.DUMMYFUNCTION("""COMPUTED_VALUE"""),"-33.737170,-70.860105")</f>
        <v>-33.737170,-70.860105</v>
      </c>
      <c r="C5078" s="6" t="str">
        <f ca="1">IFERROR(__xludf.DUMMYFUNCTION("""COMPUTED_VALUE"""),"RAULI 4379 ")</f>
        <v xml:space="preserve">RAULI 4379 </v>
      </c>
      <c r="D5078" s="6" t="str">
        <f ca="1">IFERROR(__xludf.DUMMYFUNCTION("""COMPUTED_VALUE"""),"ISLA DE MAIPO")</f>
        <v>ISLA DE MAIPO</v>
      </c>
    </row>
    <row r="5079" spans="1:4">
      <c r="A5079" s="7">
        <f ca="1">IFERROR(__xludf.DUMMYFUNCTION("""COMPUTED_VALUE"""),44475)</f>
        <v>44475</v>
      </c>
      <c r="B5079" s="8" t="str">
        <f ca="1">IFERROR(__xludf.DUMMYFUNCTION("""COMPUTED_VALUE"""),"-33.782792,-70.895255")</f>
        <v>-33.782792,-70.895255</v>
      </c>
      <c r="C5079" s="6" t="str">
        <f ca="1">IFERROR(__xludf.DUMMYFUNCTION("""COMPUTED_VALUE"""),"MARTIRIAN 1110")</f>
        <v>MARTIRIAN 1110</v>
      </c>
      <c r="D5079" s="6" t="str">
        <f ca="1">IFERROR(__xludf.DUMMYFUNCTION("""COMPUTED_VALUE"""),"ISLA DE MAIPO")</f>
        <v>ISLA DE MAIPO</v>
      </c>
    </row>
    <row r="5080" spans="1:4">
      <c r="A5080" s="7">
        <f ca="1">IFERROR(__xludf.DUMMYFUNCTION("""COMPUTED_VALUE"""),44475)</f>
        <v>44475</v>
      </c>
      <c r="B5080" s="8" t="str">
        <f ca="1">IFERROR(__xludf.DUMMYFUNCTION("""COMPUTED_VALUE"""),"-33.7292419, -70.912130")</f>
        <v>-33.7292419, -70.912130</v>
      </c>
      <c r="C5080" s="6" t="str">
        <f ca="1">IFERROR(__xludf.DUMMYFUNCTION("""COMPUTED_VALUE"""),"VECINAL CONTRERAS 425")</f>
        <v>VECINAL CONTRERAS 425</v>
      </c>
      <c r="D5080" s="6" t="str">
        <f ca="1">IFERROR(__xludf.DUMMYFUNCTION("""COMPUTED_VALUE"""),"ISLA DE MAIPO")</f>
        <v>ISLA DE MAIPO</v>
      </c>
    </row>
    <row r="5081" spans="1:4">
      <c r="A5081" s="7">
        <f ca="1">IFERROR(__xludf.DUMMYFUNCTION("""COMPUTED_VALUE"""),44475)</f>
        <v>44475</v>
      </c>
      <c r="B5081" s="8" t="str">
        <f ca="1">IFERROR(__xludf.DUMMYFUNCTION("""COMPUTED_VALUE"""),"-33.751553,-70.886234")</f>
        <v>-33.751553,-70.886234</v>
      </c>
      <c r="C5081" s="6" t="str">
        <f ca="1">IFERROR(__xludf.DUMMYFUNCTION("""COMPUTED_VALUE"""),"AV BALMACEDA 701")</f>
        <v>AV BALMACEDA 701</v>
      </c>
      <c r="D5081" s="6" t="str">
        <f ca="1">IFERROR(__xludf.DUMMYFUNCTION("""COMPUTED_VALUE"""),"ISLA DE MAIPO")</f>
        <v>ISLA DE MAIPO</v>
      </c>
    </row>
    <row r="5082" spans="1:4">
      <c r="A5082" s="7">
        <f ca="1">IFERROR(__xludf.DUMMYFUNCTION("""COMPUTED_VALUE"""),44475)</f>
        <v>44475</v>
      </c>
      <c r="B5082" s="8" t="str">
        <f ca="1">IFERROR(__xludf.DUMMYFUNCTION("""COMPUTED_VALUE"""),"-33.737704,-70.864189")</f>
        <v>-33.737704,-70.864189</v>
      </c>
      <c r="C5082" s="6" t="str">
        <f ca="1">IFERROR(__xludf.DUMMYFUNCTION("""COMPUTED_VALUE"""),"PINTO CRUZ 4296")</f>
        <v>PINTO CRUZ 4296</v>
      </c>
      <c r="D5082" s="6" t="str">
        <f ca="1">IFERROR(__xludf.DUMMYFUNCTION("""COMPUTED_VALUE"""),"ISLA DE MAIPO")</f>
        <v>ISLA DE MAIPO</v>
      </c>
    </row>
    <row r="5083" spans="1:4">
      <c r="A5083" s="7">
        <f ca="1">IFERROR(__xludf.DUMMYFUNCTION("""COMPUTED_VALUE"""),44475)</f>
        <v>44475</v>
      </c>
      <c r="B5083" s="8" t="str">
        <f ca="1">IFERROR(__xludf.DUMMYFUNCTION("""COMPUTED_VALUE"""),"-33.730336,-70.988579")</f>
        <v>-33.730336,-70.988579</v>
      </c>
      <c r="C5083" s="6" t="str">
        <f ca="1">IFERROR(__xludf.DUMMYFUNCTION("""COMPUTED_VALUE"""),"LOS LAGOS 170")</f>
        <v>LOS LAGOS 170</v>
      </c>
      <c r="D5083" s="6" t="str">
        <f ca="1">IFERROR(__xludf.DUMMYFUNCTION("""COMPUTED_VALUE"""),"ISLA DE MAIPO")</f>
        <v>ISLA DE MAIPO</v>
      </c>
    </row>
    <row r="5084" spans="1:4">
      <c r="A5084" s="7">
        <f ca="1">IFERROR(__xludf.DUMMYFUNCTION("""COMPUTED_VALUE"""),44475)</f>
        <v>44475</v>
      </c>
      <c r="B5084" s="8" t="str">
        <f ca="1">IFERROR(__xludf.DUMMYFUNCTION("""COMPUTED_VALUE"""),"-33.783536,-70.894484")</f>
        <v>-33.783536,-70.894484</v>
      </c>
      <c r="C5084" s="6" t="str">
        <f ca="1">IFERROR(__xludf.DUMMYFUNCTION("""COMPUTED_VALUE"""),"FRANCISCO FRESNO 123A")</f>
        <v>FRANCISCO FRESNO 123A</v>
      </c>
      <c r="D5084" s="6" t="str">
        <f ca="1">IFERROR(__xludf.DUMMYFUNCTION("""COMPUTED_VALUE"""),"ISLA DE MAIPO")</f>
        <v>ISLA DE MAIPO</v>
      </c>
    </row>
    <row r="5085" spans="1:4">
      <c r="A5085" s="7">
        <f ca="1">IFERROR(__xludf.DUMMYFUNCTION("""COMPUTED_VALUE"""),44475)</f>
        <v>44475</v>
      </c>
      <c r="B5085" s="8" t="str">
        <f ca="1">IFERROR(__xludf.DUMMYFUNCTION("""COMPUTED_VALUE"""),"-33.740126,-70.863634")</f>
        <v>-33.740126,-70.863634</v>
      </c>
      <c r="C5085" s="6" t="str">
        <f ca="1">IFERROR(__xludf.DUMMYFUNCTION("""COMPUTED_VALUE"""),"EL ATARDECER 4134")</f>
        <v>EL ATARDECER 4134</v>
      </c>
      <c r="D5085" s="6" t="str">
        <f ca="1">IFERROR(__xludf.DUMMYFUNCTION("""COMPUTED_VALUE"""),"ISLA DE MAIPO")</f>
        <v>ISLA DE MAIPO</v>
      </c>
    </row>
    <row r="5086" spans="1:4">
      <c r="A5086" s="7">
        <f ca="1">IFERROR(__xludf.DUMMYFUNCTION("""COMPUTED_VALUE"""),44475)</f>
        <v>44475</v>
      </c>
      <c r="B5086" s="8" t="str">
        <f ca="1">IFERROR(__xludf.DUMMYFUNCTION("""COMPUTED_VALUE"""),"-33.749665,-70.871058")</f>
        <v>-33.749665,-70.871058</v>
      </c>
      <c r="C5086" s="6" t="str">
        <f ca="1">IFERROR(__xludf.DUMMYFUNCTION("""COMPUTED_VALUE"""),"LAS FRUTAS 3370 ")</f>
        <v xml:space="preserve">LAS FRUTAS 3370 </v>
      </c>
      <c r="D5086" s="6" t="str">
        <f ca="1">IFERROR(__xludf.DUMMYFUNCTION("""COMPUTED_VALUE"""),"ISLA DE MAIPO")</f>
        <v>ISLA DE MAIPO</v>
      </c>
    </row>
    <row r="5087" spans="1:4">
      <c r="A5087" s="7">
        <f ca="1">IFERROR(__xludf.DUMMYFUNCTION("""COMPUTED_VALUE"""),44475)</f>
        <v>44475</v>
      </c>
      <c r="B5087" s="6" t="str">
        <f ca="1">IFERROR(__xludf.DUMMYFUNCTION("""COMPUTED_VALUE"""),"-33.598972-70.886474")</f>
        <v>-33.598972-70.886474</v>
      </c>
      <c r="C5087" s="6" t="str">
        <f ca="1">IFERROR(__xludf.DUMMYFUNCTION("""COMPUTED_VALUE"""),"CALLE NUEVA 3176")</f>
        <v>CALLE NUEVA 3176</v>
      </c>
      <c r="D5087" s="6" t="str">
        <f ca="1">IFERROR(__xludf.DUMMYFUNCTION("""COMPUTED_VALUE"""),"PEÑAFLOR")</f>
        <v>PEÑAFLOR</v>
      </c>
    </row>
    <row r="5088" spans="1:4">
      <c r="A5088" s="7">
        <f ca="1">IFERROR(__xludf.DUMMYFUNCTION("""COMPUTED_VALUE"""),44475)</f>
        <v>44475</v>
      </c>
      <c r="B5088" s="6" t="str">
        <f ca="1">IFERROR(__xludf.DUMMYFUNCTION("""COMPUTED_VALUE"""),"-33.634422-70.349175")</f>
        <v>-33.634422-70.349175</v>
      </c>
      <c r="C5088" s="6" t="str">
        <f ca="1">IFERROR(__xludf.DUMMYFUNCTION("""COMPUTED_VALUE"""),"AV EL ESFUERZO 19024")</f>
        <v>AV EL ESFUERZO 19024</v>
      </c>
      <c r="D5088" s="6" t="str">
        <f ca="1">IFERROR(__xludf.DUMMYFUNCTION("""COMPUTED_VALUE"""),"SAN JOSE DE MAIPO")</f>
        <v>SAN JOSE DE MAIPO</v>
      </c>
    </row>
    <row r="5089" spans="1:4">
      <c r="A5089" s="7">
        <f ca="1">IFERROR(__xludf.DUMMYFUNCTION("""COMPUTED_VALUE"""),44475)</f>
        <v>44475</v>
      </c>
      <c r="B5089" s="6" t="str">
        <f ca="1">IFERROR(__xludf.DUMMYFUNCTION("""COMPUTED_VALUE"""),"-33.6346282-70.3489591")</f>
        <v>-33.6346282-70.3489591</v>
      </c>
      <c r="C5089" s="6" t="str">
        <f ca="1">IFERROR(__xludf.DUMMYFUNCTION("""COMPUTED_VALUE"""),"AV EL ESFUERZO 19024")</f>
        <v>AV EL ESFUERZO 19024</v>
      </c>
      <c r="D5089" s="6" t="str">
        <f ca="1">IFERROR(__xludf.DUMMYFUNCTION("""COMPUTED_VALUE"""),"SAN JOSE DE MAIPO")</f>
        <v>SAN JOSE DE MAIPO</v>
      </c>
    </row>
    <row r="5090" spans="1:4">
      <c r="A5090" s="7">
        <f ca="1">IFERROR(__xludf.DUMMYFUNCTION("""COMPUTED_VALUE"""),44475)</f>
        <v>44475</v>
      </c>
      <c r="B5090" s="6" t="str">
        <f ca="1">IFERROR(__xludf.DUMMYFUNCTION("""COMPUTED_VALUE"""),"-33.5944-70.379")</f>
        <v>-33.5944-70.379</v>
      </c>
      <c r="C5090" s="6" t="str">
        <f ca="1">IFERROR(__xludf.DUMMYFUNCTION("""COMPUTED_VALUE"""),"LOS QUELTEHUES 260")</f>
        <v>LOS QUELTEHUES 260</v>
      </c>
      <c r="D5090" s="6" t="str">
        <f ca="1">IFERROR(__xludf.DUMMYFUNCTION("""COMPUTED_VALUE"""),"SAN JOSE DE MAIPO")</f>
        <v>SAN JOSE DE MAIPO</v>
      </c>
    </row>
    <row r="5091" spans="1:4">
      <c r="A5091" s="7">
        <f ca="1">IFERROR(__xludf.DUMMYFUNCTION("""COMPUTED_VALUE"""),44475)</f>
        <v>44475</v>
      </c>
      <c r="B5091" s="6" t="str">
        <f ca="1">IFERROR(__xludf.DUMMYFUNCTION("""COMPUTED_VALUE"""),"-33.568548-70.795850")</f>
        <v>-33.568548-70.795850</v>
      </c>
      <c r="C5091" s="6" t="str">
        <f ca="1">IFERROR(__xludf.DUMMYFUNCTION("""COMPUTED_VALUE"""),"PJE SIETE 1110")</f>
        <v>PJE SIETE 1110</v>
      </c>
      <c r="D5091" s="6" t="str">
        <f ca="1">IFERROR(__xludf.DUMMYFUNCTION("""COMPUTED_VALUE"""),"PADRE HURTADO")</f>
        <v>PADRE HURTADO</v>
      </c>
    </row>
    <row r="5092" spans="1:4">
      <c r="A5092" s="7">
        <f ca="1">IFERROR(__xludf.DUMMYFUNCTION("""COMPUTED_VALUE"""),44475)</f>
        <v>44475</v>
      </c>
      <c r="B5092" s="6" t="str">
        <f ca="1">IFERROR(__xludf.DUMMYFUNCTION("""COMPUTED_VALUE"""),"-33.579469-70.812672")</f>
        <v>-33.579469-70.812672</v>
      </c>
      <c r="C5092" s="6" t="str">
        <f ca="1">IFERROR(__xludf.DUMMYFUNCTION("""COMPUTED_VALUE"""),"VILLA ESPERANZA M-3 S-1")</f>
        <v>VILLA ESPERANZA M-3 S-1</v>
      </c>
      <c r="D5092" s="6" t="str">
        <f ca="1">IFERROR(__xludf.DUMMYFUNCTION("""COMPUTED_VALUE"""),"PADRE HURTADO")</f>
        <v>PADRE HURTADO</v>
      </c>
    </row>
    <row r="5093" spans="1:4">
      <c r="A5093" s="7">
        <f ca="1">IFERROR(__xludf.DUMMYFUNCTION("""COMPUTED_VALUE"""),44475)</f>
        <v>44475</v>
      </c>
      <c r="B5093" s="6" t="str">
        <f ca="1">IFERROR(__xludf.DUMMYFUNCTION("""COMPUTED_VALUE"""),"-33.4022-71.12937")</f>
        <v>-33.4022-71.12937</v>
      </c>
      <c r="C5093" s="6" t="str">
        <f ca="1">IFERROR(__xludf.DUMMYFUNCTION("""COMPUTED_VALUE"""),"SANTA RITA ST 17 LT B")</f>
        <v>SANTA RITA ST 17 LT B</v>
      </c>
      <c r="D5093" s="6" t="str">
        <f ca="1">IFERROR(__xludf.DUMMYFUNCTION("""COMPUTED_VALUE"""),"CURACAVI")</f>
        <v>CURACAVI</v>
      </c>
    </row>
    <row r="5094" spans="1:4">
      <c r="A5094" s="7">
        <f ca="1">IFERROR(__xludf.DUMMYFUNCTION("""COMPUTED_VALUE"""),44475)</f>
        <v>44475</v>
      </c>
      <c r="B5094" s="6" t="str">
        <f ca="1">IFERROR(__xludf.DUMMYFUNCTION("""COMPUTED_VALUE"""),"-33.4615-71.0811")</f>
        <v>-33.4615-71.0811</v>
      </c>
      <c r="C5094" s="6" t="str">
        <f ca="1">IFERROR(__xludf.DUMMYFUNCTION("""COMPUTED_VALUE"""),"PJE EL LAUREL 368")</f>
        <v>PJE EL LAUREL 368</v>
      </c>
      <c r="D5094" s="6" t="str">
        <f ca="1">IFERROR(__xludf.DUMMYFUNCTION("""COMPUTED_VALUE"""),"MARIA PINTO")</f>
        <v>MARIA PINTO</v>
      </c>
    </row>
    <row r="5095" spans="1:4">
      <c r="A5095" s="7">
        <f ca="1">IFERROR(__xludf.DUMMYFUNCTION("""COMPUTED_VALUE"""),44475)</f>
        <v>44475</v>
      </c>
      <c r="B5095" s="6" t="str">
        <f ca="1">IFERROR(__xludf.DUMMYFUNCTION("""COMPUTED_VALUE"""),"-33.4615-71.0811")</f>
        <v>-33.4615-71.0811</v>
      </c>
      <c r="C5095" s="6" t="str">
        <f ca="1">IFERROR(__xludf.DUMMYFUNCTION("""COMPUTED_VALUE"""),"PJE EL LAUREL 368")</f>
        <v>PJE EL LAUREL 368</v>
      </c>
      <c r="D5095" s="6" t="str">
        <f ca="1">IFERROR(__xludf.DUMMYFUNCTION("""COMPUTED_VALUE"""),"MARIA PINTO")</f>
        <v>MARIA PINTO</v>
      </c>
    </row>
    <row r="5096" spans="1:4">
      <c r="A5096" s="7">
        <f ca="1">IFERROR(__xludf.DUMMYFUNCTION("""COMPUTED_VALUE"""),44475)</f>
        <v>44475</v>
      </c>
      <c r="B5096" s="6" t="str">
        <f ca="1">IFERROR(__xludf.DUMMYFUNCTION("""COMPUTED_VALUE"""),"-33.706819,-70.532869")</f>
        <v>-33.706819,-70.532869</v>
      </c>
      <c r="C5096" s="6" t="str">
        <f ca="1">IFERROR(__xludf.DUMMYFUNCTION("""COMPUTED_VALUE"""),"ORILLA DEL RIO 169")</f>
        <v>ORILLA DEL RIO 169</v>
      </c>
      <c r="D5096" s="6" t="str">
        <f ca="1">IFERROR(__xludf.DUMMYFUNCTION("""COMPUTED_VALUE"""),"PIRQUE")</f>
        <v>PIRQUE</v>
      </c>
    </row>
    <row r="5097" spans="1:4">
      <c r="A5097" s="7">
        <f ca="1">IFERROR(__xludf.DUMMYFUNCTION("""COMPUTED_VALUE"""),44475)</f>
        <v>44475</v>
      </c>
      <c r="B5097" s="6" t="str">
        <f ca="1">IFERROR(__xludf.DUMMYFUNCTION("""COMPUTED_VALUE"""),"-33.677006,-70.581229")</f>
        <v>-33.677006,-70.581229</v>
      </c>
      <c r="C5097" s="6" t="str">
        <f ca="1">IFERROR(__xludf.DUMMYFUNCTION("""COMPUTED_VALUE"""),"LAS DALIAS 1244")</f>
        <v>LAS DALIAS 1244</v>
      </c>
      <c r="D5097" s="6" t="str">
        <f ca="1">IFERROR(__xludf.DUMMYFUNCTION("""COMPUTED_VALUE"""),"PIRQUE")</f>
        <v>PIRQUE</v>
      </c>
    </row>
    <row r="5098" spans="1:4">
      <c r="A5098" s="7">
        <f ca="1">IFERROR(__xludf.DUMMYFUNCTION("""COMPUTED_VALUE"""),44475)</f>
        <v>44475</v>
      </c>
      <c r="B5098" s="6" t="str">
        <f ca="1">IFERROR(__xludf.DUMMYFUNCTION("""COMPUTED_VALUE"""),"-33.697602,-74.050532")</f>
        <v>-33.697602,-74.050532</v>
      </c>
      <c r="C5098" s="6" t="str">
        <f ca="1">IFERROR(__xludf.DUMMYFUNCTION("""COMPUTED_VALUE"""),"GREGORIO ORTEGA 01220")</f>
        <v>GREGORIO ORTEGA 01220</v>
      </c>
      <c r="D5098" s="6" t="str">
        <f ca="1">IFERROR(__xludf.DUMMYFUNCTION("""COMPUTED_VALUE"""),"EL MONTE")</f>
        <v>EL MONTE</v>
      </c>
    </row>
    <row r="5099" spans="1:4">
      <c r="A5099" s="7">
        <f ca="1">IFERROR(__xludf.DUMMYFUNCTION("""COMPUTED_VALUE"""),44475)</f>
        <v>44475</v>
      </c>
      <c r="B5099" s="6" t="str">
        <f ca="1">IFERROR(__xludf.DUMMYFUNCTION("""COMPUTED_VALUE"""),"-33.697602,-71.050533")</f>
        <v>-33.697602,-71.050533</v>
      </c>
      <c r="C5099" s="6" t="str">
        <f ca="1">IFERROR(__xludf.DUMMYFUNCTION("""COMPUTED_VALUE"""),"GREGORIO ORTEGA 01220")</f>
        <v>GREGORIO ORTEGA 01220</v>
      </c>
      <c r="D5099" s="6" t="str">
        <f ca="1">IFERROR(__xludf.DUMMYFUNCTION("""COMPUTED_VALUE"""),"EL MONTE")</f>
        <v>EL MONTE</v>
      </c>
    </row>
    <row r="5100" spans="1:4">
      <c r="A5100" s="7">
        <f ca="1">IFERROR(__xludf.DUMMYFUNCTION("""COMPUTED_VALUE"""),44475)</f>
        <v>44475</v>
      </c>
      <c r="B5100" s="6" t="str">
        <f ca="1">IFERROR(__xludf.DUMMYFUNCTION("""COMPUTED_VALUE"""),"-33.223008,-70.793866")</f>
        <v>-33.223008,-70.793866</v>
      </c>
      <c r="C5100" s="6" t="str">
        <f ca="1">IFERROR(__xludf.DUMMYFUNCTION("""COMPUTED_VALUE"""),"HUMEDAL 3795")</f>
        <v>HUMEDAL 3795</v>
      </c>
      <c r="D5100" s="6" t="str">
        <f ca="1">IFERROR(__xludf.DUMMYFUNCTION("""COMPUTED_VALUE"""),"LAMPA")</f>
        <v>LAMPA</v>
      </c>
    </row>
    <row r="5101" spans="1:4">
      <c r="A5101" s="7">
        <f ca="1">IFERROR(__xludf.DUMMYFUNCTION("""COMPUTED_VALUE"""),44475)</f>
        <v>44475</v>
      </c>
      <c r="B5101" s="6" t="str">
        <f ca="1">IFERROR(__xludf.DUMMYFUNCTION("""COMPUTED_VALUE"""),"-33.706819,-70.532869")</f>
        <v>-33.706819,-70.532869</v>
      </c>
      <c r="C5101" s="6" t="str">
        <f ca="1">IFERROR(__xludf.DUMMYFUNCTION("""COMPUTED_VALUE"""),"ORILLA DEL RIO 169 LOTE H")</f>
        <v>ORILLA DEL RIO 169 LOTE H</v>
      </c>
      <c r="D5101" s="6" t="str">
        <f ca="1">IFERROR(__xludf.DUMMYFUNCTION("""COMPUTED_VALUE"""),"PIRQUE")</f>
        <v>PIRQUE</v>
      </c>
    </row>
    <row r="5102" spans="1:4">
      <c r="A5102" s="7">
        <f ca="1">IFERROR(__xludf.DUMMYFUNCTION("""COMPUTED_VALUE"""),44475)</f>
        <v>44475</v>
      </c>
      <c r="B5102" s="6" t="str">
        <f ca="1">IFERROR(__xludf.DUMMYFUNCTION("""COMPUTED_VALUE"""),"-33.744957,-70.902198")</f>
        <v>-33.744957,-70.902198</v>
      </c>
      <c r="C5102" s="6" t="str">
        <f ca="1">IFERROR(__xludf.DUMMYFUNCTION("""COMPUTED_VALUE"""),"CALLE UNO 5070")</f>
        <v>CALLE UNO 5070</v>
      </c>
      <c r="D5102" s="6" t="str">
        <f ca="1">IFERROR(__xludf.DUMMYFUNCTION("""COMPUTED_VALUE"""),"ISLA DE MAIPO")</f>
        <v>ISLA DE MAIPO</v>
      </c>
    </row>
    <row r="5103" spans="1:4">
      <c r="A5103" s="7">
        <f ca="1">IFERROR(__xludf.DUMMYFUNCTION("""COMPUTED_VALUE"""),44476)</f>
        <v>44476</v>
      </c>
      <c r="B5103" s="8" t="str">
        <f ca="1">IFERROR(__xludf.DUMMYFUNCTION("""COMPUTED_VALUE"""),"-33.757954,-70.864084")</f>
        <v>-33.757954,-70.864084</v>
      </c>
      <c r="C5103" s="6" t="str">
        <f ca="1">IFERROR(__xludf.DUMMYFUNCTION("""COMPUTED_VALUE"""),"OLEA 4019 ")</f>
        <v xml:space="preserve">OLEA 4019 </v>
      </c>
      <c r="D5103" s="6" t="str">
        <f ca="1">IFERROR(__xludf.DUMMYFUNCTION("""COMPUTED_VALUE"""),"ISLA DE MAIPO")</f>
        <v>ISLA DE MAIPO</v>
      </c>
    </row>
    <row r="5104" spans="1:4">
      <c r="A5104" s="7">
        <f ca="1">IFERROR(__xludf.DUMMYFUNCTION("""COMPUTED_VALUE"""),44476)</f>
        <v>44476</v>
      </c>
      <c r="B5104" s="8" t="str">
        <f ca="1">IFERROR(__xludf.DUMMYFUNCTION("""COMPUTED_VALUE"""),"-33.736405,-70.020320")</f>
        <v>-33.736405,-70.020320</v>
      </c>
      <c r="C5104" s="6" t="str">
        <f ca="1">IFERROR(__xludf.DUMMYFUNCTION("""COMPUTED_VALUE"""),"LAS ACACIOS 56")</f>
        <v>LAS ACACIOS 56</v>
      </c>
      <c r="D5104" s="6" t="str">
        <f ca="1">IFERROR(__xludf.DUMMYFUNCTION("""COMPUTED_VALUE"""),"ISLA DE MAIPO")</f>
        <v>ISLA DE MAIPO</v>
      </c>
    </row>
    <row r="5105" spans="1:4">
      <c r="A5105" s="7">
        <f ca="1">IFERROR(__xludf.DUMMYFUNCTION("""COMPUTED_VALUE"""),44476)</f>
        <v>44476</v>
      </c>
      <c r="B5105" s="8" t="str">
        <f ca="1">IFERROR(__xludf.DUMMYFUNCTION("""COMPUTED_VALUE"""),"-33.7333328,-70.907775")</f>
        <v>-33.7333328,-70.907775</v>
      </c>
      <c r="C5105" s="6" t="str">
        <f ca="1">IFERROR(__xludf.DUMMYFUNCTION("""COMPUTED_VALUE"""),"LA HIGUERA 1100")</f>
        <v>LA HIGUERA 1100</v>
      </c>
      <c r="D5105" s="6" t="str">
        <f ca="1">IFERROR(__xludf.DUMMYFUNCTION("""COMPUTED_VALUE"""),"ISLA DE MAIPO")</f>
        <v>ISLA DE MAIPO</v>
      </c>
    </row>
    <row r="5106" spans="1:4">
      <c r="A5106" s="7">
        <f ca="1">IFERROR(__xludf.DUMMYFUNCTION("""COMPUTED_VALUE"""),44476)</f>
        <v>44476</v>
      </c>
      <c r="B5106" s="8" t="str">
        <f ca="1">IFERROR(__xludf.DUMMYFUNCTION("""COMPUTED_VALUE"""),"-33.733772,-70.862993")</f>
        <v>-33.733772,-70.862993</v>
      </c>
      <c r="C5106" s="6" t="str">
        <f ca="1">IFERROR(__xludf.DUMMYFUNCTION("""COMPUTED_VALUE"""),"LAS PIRCAS 508")</f>
        <v>LAS PIRCAS 508</v>
      </c>
      <c r="D5106" s="6" t="str">
        <f ca="1">IFERROR(__xludf.DUMMYFUNCTION("""COMPUTED_VALUE"""),"ISLA DE MAIPO")</f>
        <v>ISLA DE MAIPO</v>
      </c>
    </row>
    <row r="5107" spans="1:4">
      <c r="A5107" s="7">
        <f ca="1">IFERROR(__xludf.DUMMYFUNCTION("""COMPUTED_VALUE"""),44476)</f>
        <v>44476</v>
      </c>
      <c r="B5107" s="8" t="str">
        <f ca="1">IFERROR(__xludf.DUMMYFUNCTION("""COMPUTED_VALUE"""),"-33.748698,-70.869763")</f>
        <v>-33.748698,-70.869763</v>
      </c>
      <c r="C5107" s="6" t="str">
        <f ca="1">IFERROR(__xludf.DUMMYFUNCTION("""COMPUTED_VALUE"""),"ELIAS CONTRERAS 3220 ")</f>
        <v xml:space="preserve">ELIAS CONTRERAS 3220 </v>
      </c>
      <c r="D5107" s="6" t="str">
        <f ca="1">IFERROR(__xludf.DUMMYFUNCTION("""COMPUTED_VALUE"""),"ISLA DE MAIPO")</f>
        <v>ISLA DE MAIPO</v>
      </c>
    </row>
    <row r="5108" spans="1:4">
      <c r="A5108" s="7">
        <f ca="1">IFERROR(__xludf.DUMMYFUNCTION("""COMPUTED_VALUE"""),44476)</f>
        <v>44476</v>
      </c>
      <c r="B5108" s="6" t="str">
        <f ca="1">IFERROR(__xludf.DUMMYFUNCTION("""COMPUTED_VALUE"""),"-33.642175-70.34717")</f>
        <v>-33.642175-70.34717</v>
      </c>
      <c r="C5108" s="6" t="str">
        <f ca="1">IFERROR(__xludf.DUMMYFUNCTION("""COMPUTED_VALUE"""),"PJE LOS CEREZOS 19978")</f>
        <v>PJE LOS CEREZOS 19978</v>
      </c>
      <c r="D5108" s="6" t="str">
        <f ca="1">IFERROR(__xludf.DUMMYFUNCTION("""COMPUTED_VALUE"""),"SAN JOSE DE MAIPO")</f>
        <v>SAN JOSE DE MAIPO</v>
      </c>
    </row>
    <row r="5109" spans="1:4">
      <c r="A5109" s="7">
        <f ca="1">IFERROR(__xludf.DUMMYFUNCTION("""COMPUTED_VALUE"""),44476)</f>
        <v>44476</v>
      </c>
      <c r="B5109" s="6" t="str">
        <f ca="1">IFERROR(__xludf.DUMMYFUNCTION("""COMPUTED_VALUE"""),"-33.580404-70.407672")</f>
        <v>-33.580404-70.407672</v>
      </c>
      <c r="C5109" s="6" t="str">
        <f ca="1">IFERROR(__xludf.DUMMYFUNCTION("""COMPUTED_VALUE"""),"CAMINO AL VOLCAN 9717")</f>
        <v>CAMINO AL VOLCAN 9717</v>
      </c>
      <c r="D5109" s="6" t="str">
        <f ca="1">IFERROR(__xludf.DUMMYFUNCTION("""COMPUTED_VALUE"""),"SAN JOSE DE MAIPO")</f>
        <v>SAN JOSE DE MAIPO</v>
      </c>
    </row>
    <row r="5110" spans="1:4">
      <c r="A5110" s="7">
        <f ca="1">IFERROR(__xludf.DUMMYFUNCTION("""COMPUTED_VALUE"""),44476)</f>
        <v>44476</v>
      </c>
      <c r="B5110" s="6" t="str">
        <f ca="1">IFERROR(__xludf.DUMMYFUNCTION("""COMPUTED_VALUE"""),"-33.577616-71.008529")</f>
        <v>-33.577616-71.008529</v>
      </c>
      <c r="C5110" s="6" t="str">
        <f ca="1">IFERROR(__xludf.DUMMYFUNCTION("""COMPUTED_VALUE"""),"SANTA TERESA DE MALLARAUCO S/N")</f>
        <v>SANTA TERESA DE MALLARAUCO S/N</v>
      </c>
      <c r="D5110" s="6" t="str">
        <f ca="1">IFERROR(__xludf.DUMMYFUNCTION("""COMPUTED_VALUE"""),"MELIPILLA")</f>
        <v>MELIPILLA</v>
      </c>
    </row>
    <row r="5111" spans="1:4">
      <c r="A5111" s="7">
        <f ca="1">IFERROR(__xludf.DUMMYFUNCTION("""COMPUTED_VALUE"""),44476)</f>
        <v>44476</v>
      </c>
      <c r="B5111" s="6" t="str">
        <f ca="1">IFERROR(__xludf.DUMMYFUNCTION("""COMPUTED_VALUE"""),"-33.577448-71.009103")</f>
        <v>-33.577448-71.009103</v>
      </c>
      <c r="C5111" s="6" t="str">
        <f ca="1">IFERROR(__xludf.DUMMYFUNCTION("""COMPUTED_VALUE"""),"SANTA TERESA S/N CV84")</f>
        <v>SANTA TERESA S/N CV84</v>
      </c>
      <c r="D5111" s="6" t="str">
        <f ca="1">IFERROR(__xludf.DUMMYFUNCTION("""COMPUTED_VALUE"""),"MELIPILLA")</f>
        <v>MELIPILLA</v>
      </c>
    </row>
    <row r="5112" spans="1:4">
      <c r="A5112" s="7">
        <f ca="1">IFERROR(__xludf.DUMMYFUNCTION("""COMPUTED_VALUE"""),44476)</f>
        <v>44476</v>
      </c>
      <c r="B5112" s="6" t="str">
        <f ca="1">IFERROR(__xludf.DUMMYFUNCTION("""COMPUTED_VALUE"""),"-33.594375-70.978859")</f>
        <v>-33.594375-70.978859</v>
      </c>
      <c r="C5112" s="6" t="str">
        <f ca="1">IFERROR(__xludf.DUMMYFUNCTION("""COMPUTED_VALUE"""),"LA PRIMAVERA 1")</f>
        <v>LA PRIMAVERA 1</v>
      </c>
      <c r="D5112" s="6" t="str">
        <f ca="1">IFERROR(__xludf.DUMMYFUNCTION("""COMPUTED_VALUE"""),"MELIPILLA")</f>
        <v>MELIPILLA</v>
      </c>
    </row>
    <row r="5113" spans="1:4">
      <c r="A5113" s="7">
        <f ca="1">IFERROR(__xludf.DUMMYFUNCTION("""COMPUTED_VALUE"""),44476)</f>
        <v>44476</v>
      </c>
      <c r="B5113" s="6" t="str">
        <f ca="1">IFERROR(__xludf.DUMMYFUNCTION("""COMPUTED_VALUE"""),"-33.392423-71.123571")</f>
        <v>-33.392423-71.123571</v>
      </c>
      <c r="C5113" s="6" t="str">
        <f ca="1">IFERROR(__xludf.DUMMYFUNCTION("""COMPUTED_VALUE"""),"SANTIAGO BUERAS 2110")</f>
        <v>SANTIAGO BUERAS 2110</v>
      </c>
      <c r="D5113" s="6" t="str">
        <f ca="1">IFERROR(__xludf.DUMMYFUNCTION("""COMPUTED_VALUE"""),"CURACAVI")</f>
        <v>CURACAVI</v>
      </c>
    </row>
    <row r="5114" spans="1:4">
      <c r="A5114" s="7">
        <f ca="1">IFERROR(__xludf.DUMMYFUNCTION("""COMPUTED_VALUE"""),44476)</f>
        <v>44476</v>
      </c>
      <c r="B5114" s="6" t="str">
        <f ca="1">IFERROR(__xludf.DUMMYFUNCTION("""COMPUTED_VALUE"""),"-33.44779-71.04022")</f>
        <v>-33.44779-71.04022</v>
      </c>
      <c r="C5114" s="6" t="str">
        <f ca="1">IFERROR(__xludf.DUMMYFUNCTION("""COMPUTED_VALUE"""),"UNION CHILENA S/N PARC 16")</f>
        <v>UNION CHILENA S/N PARC 16</v>
      </c>
      <c r="D5114" s="6" t="str">
        <f ca="1">IFERROR(__xludf.DUMMYFUNCTION("""COMPUTED_VALUE"""),"CURACAVI")</f>
        <v>CURACAVI</v>
      </c>
    </row>
    <row r="5115" spans="1:4">
      <c r="A5115" s="7">
        <f ca="1">IFERROR(__xludf.DUMMYFUNCTION("""COMPUTED_VALUE"""),44476)</f>
        <v>44476</v>
      </c>
      <c r="B5115" s="6" t="str">
        <f ca="1">IFERROR(__xludf.DUMMYFUNCTION("""COMPUTED_VALUE"""),"-33.67323-71.20976")</f>
        <v>-33.67323-71.20976</v>
      </c>
      <c r="C5115" s="6" t="str">
        <f ca="1">IFERROR(__xludf.DUMMYFUNCTION("""COMPUTED_VALUE"""),"NATALIA CASTELLANO 331")</f>
        <v>NATALIA CASTELLANO 331</v>
      </c>
      <c r="D5115" s="6" t="str">
        <f ca="1">IFERROR(__xludf.DUMMYFUNCTION("""COMPUTED_VALUE"""),"MELIPILLA")</f>
        <v>MELIPILLA</v>
      </c>
    </row>
    <row r="5116" spans="1:4">
      <c r="A5116" s="7">
        <f ca="1">IFERROR(__xludf.DUMMYFUNCTION("""COMPUTED_VALUE"""),44476)</f>
        <v>44476</v>
      </c>
      <c r="B5116" s="6" t="str">
        <f ca="1">IFERROR(__xludf.DUMMYFUNCTION("""COMPUTED_VALUE"""),"-33.706607,-70.532718")</f>
        <v>-33.706607,-70.532718</v>
      </c>
      <c r="C5116" s="6" t="str">
        <f ca="1">IFERROR(__xludf.DUMMYFUNCTION("""COMPUTED_VALUE"""),"ORILLA DEL RIO J 6")</f>
        <v>ORILLA DEL RIO J 6</v>
      </c>
      <c r="D5116" s="6" t="str">
        <f ca="1">IFERROR(__xludf.DUMMYFUNCTION("""COMPUTED_VALUE"""),"PIRQUE")</f>
        <v>PIRQUE</v>
      </c>
    </row>
    <row r="5117" spans="1:4">
      <c r="A5117" s="7">
        <f ca="1">IFERROR(__xludf.DUMMYFUNCTION("""COMPUTED_VALUE"""),44476)</f>
        <v>44476</v>
      </c>
      <c r="B5117" s="6" t="str">
        <f ca="1">IFERROR(__xludf.DUMMYFUNCTION("""COMPUTED_VALUE"""),"-33.6649494,-70.6321995")</f>
        <v>-33.6649494,-70.6321995</v>
      </c>
      <c r="C5117" s="6" t="str">
        <f ca="1">IFERROR(__xludf.DUMMYFUNCTION("""COMPUTED_VALUE"""),"SAN VICENTE N°43")</f>
        <v>SAN VICENTE N°43</v>
      </c>
      <c r="D5117" s="6" t="str">
        <f ca="1">IFERROR(__xludf.DUMMYFUNCTION("""COMPUTED_VALUE"""),"PIRQUE")</f>
        <v>PIRQUE</v>
      </c>
    </row>
    <row r="5118" spans="1:4">
      <c r="A5118" s="7">
        <f ca="1">IFERROR(__xludf.DUMMYFUNCTION("""COMPUTED_VALUE"""),44476)</f>
        <v>44476</v>
      </c>
      <c r="B5118" s="6" t="str">
        <f ca="1">IFERROR(__xludf.DUMMYFUNCTION("""COMPUTED_VALUE"""),"-33.710074,-70.531408")</f>
        <v>-33.710074,-70.531408</v>
      </c>
      <c r="C5118" s="6" t="str">
        <f ca="1">IFERROR(__xludf.DUMMYFUNCTION("""COMPUTED_VALUE"""),"ORILLA DEL RIO 170 LOTE 9")</f>
        <v>ORILLA DEL RIO 170 LOTE 9</v>
      </c>
      <c r="D5118" s="6" t="str">
        <f ca="1">IFERROR(__xludf.DUMMYFUNCTION("""COMPUTED_VALUE"""),"PIRQUE")</f>
        <v>PIRQUE</v>
      </c>
    </row>
    <row r="5119" spans="1:4">
      <c r="A5119" s="7">
        <f ca="1">IFERROR(__xludf.DUMMYFUNCTION("""COMPUTED_VALUE"""),44476)</f>
        <v>44476</v>
      </c>
      <c r="B5119" s="6" t="str">
        <f ca="1">IFERROR(__xludf.DUMMYFUNCTION("""COMPUTED_VALUE"""),"-33.710126,-70.531157")</f>
        <v>-33.710126,-70.531157</v>
      </c>
      <c r="C5119" s="6" t="str">
        <f ca="1">IFERROR(__xludf.DUMMYFUNCTION("""COMPUTED_VALUE"""),"ORILLA DEL RIO 169")</f>
        <v>ORILLA DEL RIO 169</v>
      </c>
      <c r="D5119" s="6" t="str">
        <f ca="1">IFERROR(__xludf.DUMMYFUNCTION("""COMPUTED_VALUE"""),"PIRQUE")</f>
        <v>PIRQUE</v>
      </c>
    </row>
    <row r="5120" spans="1:4">
      <c r="A5120" s="7">
        <f ca="1">IFERROR(__xludf.DUMMYFUNCTION("""COMPUTED_VALUE"""),44476)</f>
        <v>44476</v>
      </c>
      <c r="B5120" s="6" t="str">
        <f ca="1">IFERROR(__xludf.DUMMYFUNCTION("""COMPUTED_VALUE"""),"-33.286032,-70.886687")</f>
        <v>-33.286032,-70.886687</v>
      </c>
      <c r="C5120" s="6" t="str">
        <f ca="1">IFERROR(__xludf.DUMMYFUNCTION("""COMPUTED_VALUE"""),"MARIO RUBIO 760")</f>
        <v>MARIO RUBIO 760</v>
      </c>
      <c r="D5120" s="6" t="str">
        <f ca="1">IFERROR(__xludf.DUMMYFUNCTION("""COMPUTED_VALUE"""),"LAMPA")</f>
        <v>LAMPA</v>
      </c>
    </row>
    <row r="5121" spans="1:4">
      <c r="A5121" s="7">
        <f ca="1">IFERROR(__xludf.DUMMYFUNCTION("""COMPUTED_VALUE"""),44476)</f>
        <v>44476</v>
      </c>
      <c r="B5121" s="12" t="str">
        <f ca="1">IFERROR(__xludf.DUMMYFUNCTION("""COMPUTED_VALUE"""),"-33134143,-70.810890")</f>
        <v>-33134143,-70.810890</v>
      </c>
      <c r="C5121" s="6" t="str">
        <f ca="1">IFERROR(__xludf.DUMMYFUNCTION("""COMPUTED_VALUE"""),"HUERTOS FAMILIA")</f>
        <v>HUERTOS FAMILIA</v>
      </c>
      <c r="D5121" s="6" t="str">
        <f ca="1">IFERROR(__xludf.DUMMYFUNCTION("""COMPUTED_VALUE"""),"TIL TIL")</f>
        <v>TIL TIL</v>
      </c>
    </row>
    <row r="5122" spans="1:4">
      <c r="A5122" s="7">
        <f ca="1">IFERROR(__xludf.DUMMYFUNCTION("""COMPUTED_VALUE"""),44476)</f>
        <v>44476</v>
      </c>
      <c r="B5122" s="6" t="str">
        <f ca="1">IFERROR(__xludf.DUMMYFUNCTION("""COMPUTED_VALUE"""),"-33.292059,-70.879474")</f>
        <v>-33.292059,-70.879474</v>
      </c>
      <c r="C5122" s="6" t="str">
        <f ca="1">IFERROR(__xludf.DUMMYFUNCTION("""COMPUTED_VALUE"""),"EL MARAL 1560")</f>
        <v>EL MARAL 1560</v>
      </c>
      <c r="D5122" s="6" t="str">
        <f ca="1">IFERROR(__xludf.DUMMYFUNCTION("""COMPUTED_VALUE"""),"LAMPA")</f>
        <v>LAMPA</v>
      </c>
    </row>
    <row r="5123" spans="1:4">
      <c r="A5123" s="7">
        <f ca="1">IFERROR(__xludf.DUMMYFUNCTION("""COMPUTED_VALUE"""),44476)</f>
        <v>44476</v>
      </c>
      <c r="B5123" s="6" t="str">
        <f ca="1">IFERROR(__xludf.DUMMYFUNCTION("""COMPUTED_VALUE"""),"-33.70072280,-70.533568")</f>
        <v>-33.70072280,-70.533568</v>
      </c>
      <c r="C5123" s="6" t="str">
        <f ca="1">IFERROR(__xludf.DUMMYFUNCTION("""COMPUTED_VALUE"""),"ORILLA DEL RIO J 7")</f>
        <v>ORILLA DEL RIO J 7</v>
      </c>
      <c r="D5123" s="6" t="str">
        <f ca="1">IFERROR(__xludf.DUMMYFUNCTION("""COMPUTED_VALUE"""),"PIRQUE")</f>
        <v>PIRQUE</v>
      </c>
    </row>
    <row r="5124" spans="1:4">
      <c r="A5124" s="7">
        <f ca="1">IFERROR(__xludf.DUMMYFUNCTION("""COMPUTED_VALUE"""),44476)</f>
        <v>44476</v>
      </c>
      <c r="B5124" s="6" t="str">
        <f ca="1">IFERROR(__xludf.DUMMYFUNCTION("""COMPUTED_VALUE"""),"-33.755493,-70.891773")</f>
        <v>-33.755493,-70.891773</v>
      </c>
      <c r="C5124" s="6" t="str">
        <f ca="1">IFERROR(__xludf.DUMMYFUNCTION("""COMPUTED_VALUE"""),"PASAJE LOPEZ 316")</f>
        <v>PASAJE LOPEZ 316</v>
      </c>
      <c r="D5124" s="6" t="str">
        <f ca="1">IFERROR(__xludf.DUMMYFUNCTION("""COMPUTED_VALUE"""),"ISLA DE MAIPO")</f>
        <v>ISLA DE MAIPO</v>
      </c>
    </row>
    <row r="5125" spans="1:4">
      <c r="A5125" s="7">
        <f ca="1">IFERROR(__xludf.DUMMYFUNCTION("""COMPUTED_VALUE"""),44476)</f>
        <v>44476</v>
      </c>
      <c r="B5125" s="8" t="str">
        <f ca="1">IFERROR(__xludf.DUMMYFUNCTION("""COMPUTED_VALUE"""),"-33.701790,-71.221227")</f>
        <v>-33.701790,-71.221227</v>
      </c>
      <c r="C5125" s="6" t="str">
        <f ca="1">IFERROR(__xludf.DUMMYFUNCTION("""COMPUTED_VALUE"""),"GUACOLDA 926")</f>
        <v>GUACOLDA 926</v>
      </c>
      <c r="D5125" s="6" t="str">
        <f ca="1">IFERROR(__xludf.DUMMYFUNCTION("""COMPUTED_VALUE"""),"MELIPILLA")</f>
        <v>MELIPILLA</v>
      </c>
    </row>
    <row r="5126" spans="1:4">
      <c r="A5126" s="7">
        <f ca="1">IFERROR(__xludf.DUMMYFUNCTION("""COMPUTED_VALUE"""),44476)</f>
        <v>44476</v>
      </c>
      <c r="B5126" s="8" t="str">
        <f ca="1">IFERROR(__xludf.DUMMYFUNCTION("""COMPUTED_VALUE"""),"-33561268,-70.817853")</f>
        <v>-33561268,-70.817853</v>
      </c>
      <c r="C5126" s="6" t="str">
        <f ca="1">IFERROR(__xludf.DUMMYFUNCTION("""COMPUTED_VALUE"""),"ANIBAL PINTO 760")</f>
        <v>ANIBAL PINTO 760</v>
      </c>
      <c r="D5126" s="6" t="str">
        <f ca="1">IFERROR(__xludf.DUMMYFUNCTION("""COMPUTED_VALUE"""),"PADRE HURTADO")</f>
        <v>PADRE HURTADO</v>
      </c>
    </row>
    <row r="5127" spans="1:4">
      <c r="A5127" s="7">
        <f ca="1">IFERROR(__xludf.DUMMYFUNCTION("""COMPUTED_VALUE"""),44477)</f>
        <v>44477</v>
      </c>
      <c r="B5127" s="8" t="str">
        <f ca="1">IFERROR(__xludf.DUMMYFUNCTION("""COMPUTED_VALUE"""),"-33.781220,-70.882593")</f>
        <v>-33.781220,-70.882593</v>
      </c>
      <c r="C5127" s="6" t="str">
        <f ca="1">IFERROR(__xludf.DUMMYFUNCTION("""COMPUTED_VALUE"""),"LOS CARDENALES SITIO 7 ")</f>
        <v xml:space="preserve">LOS CARDENALES SITIO 7 </v>
      </c>
      <c r="D5127" s="6" t="str">
        <f ca="1">IFERROR(__xludf.DUMMYFUNCTION("""COMPUTED_VALUE"""),"ISLA DE MAIPO")</f>
        <v>ISLA DE MAIPO</v>
      </c>
    </row>
    <row r="5128" spans="1:4">
      <c r="A5128" s="7">
        <f ca="1">IFERROR(__xludf.DUMMYFUNCTION("""COMPUTED_VALUE"""),44477)</f>
        <v>44477</v>
      </c>
      <c r="B5128" s="8" t="str">
        <f ca="1">IFERROR(__xludf.DUMMYFUNCTION("""COMPUTED_VALUE"""),"-33.733092,-70.908338")</f>
        <v>-33.733092,-70.908338</v>
      </c>
      <c r="C5128" s="6" t="str">
        <f ca="1">IFERROR(__xludf.DUMMYFUNCTION("""COMPUTED_VALUE"""),"LA HIGUERA 1040")</f>
        <v>LA HIGUERA 1040</v>
      </c>
      <c r="D5128" s="6" t="str">
        <f ca="1">IFERROR(__xludf.DUMMYFUNCTION("""COMPUTED_VALUE"""),"ISLA DE MAIPO")</f>
        <v>ISLA DE MAIPO</v>
      </c>
    </row>
    <row r="5129" spans="1:4">
      <c r="A5129" s="7">
        <f ca="1">IFERROR(__xludf.DUMMYFUNCTION("""COMPUTED_VALUE"""),44477)</f>
        <v>44477</v>
      </c>
      <c r="B5129" s="8" t="str">
        <f ca="1">IFERROR(__xludf.DUMMYFUNCTION("""COMPUTED_VALUE"""),"-33.731142,-70.911071")</f>
        <v>-33.731142,-70.911071</v>
      </c>
      <c r="C5129" s="6" t="str">
        <f ca="1">IFERROR(__xludf.DUMMYFUNCTION("""COMPUTED_VALUE"""),"GACITUA 538")</f>
        <v>GACITUA 538</v>
      </c>
      <c r="D5129" s="6" t="str">
        <f ca="1">IFERROR(__xludf.DUMMYFUNCTION("""COMPUTED_VALUE"""),"ISLA DE MAIPO")</f>
        <v>ISLA DE MAIPO</v>
      </c>
    </row>
    <row r="5130" spans="1:4">
      <c r="A5130" s="7">
        <f ca="1">IFERROR(__xludf.DUMMYFUNCTION("""COMPUTED_VALUE"""),44477)</f>
        <v>44477</v>
      </c>
      <c r="B5130" s="8" t="str">
        <f ca="1">IFERROR(__xludf.DUMMYFUNCTION("""COMPUTED_VALUE"""),"-33.783218, -70.8946595")</f>
        <v>-33.783218, -70.8946595</v>
      </c>
      <c r="C5130" s="6" t="str">
        <f ca="1">IFERROR(__xludf.DUMMYFUNCTION("""COMPUTED_VALUE"""),"J.F. FRESNO 123")</f>
        <v>J.F. FRESNO 123</v>
      </c>
      <c r="D5130" s="6" t="str">
        <f ca="1">IFERROR(__xludf.DUMMYFUNCTION("""COMPUTED_VALUE"""),"ISLA DE MAIPO")</f>
        <v>ISLA DE MAIPO</v>
      </c>
    </row>
    <row r="5131" spans="1:4">
      <c r="A5131" s="7">
        <f ca="1">IFERROR(__xludf.DUMMYFUNCTION("""COMPUTED_VALUE"""),44477)</f>
        <v>44477</v>
      </c>
      <c r="B5131" s="8" t="str">
        <f ca="1">IFERROR(__xludf.DUMMYFUNCTION("""COMPUTED_VALUE"""),"-33.731043,-70.910745")</f>
        <v>-33.731043,-70.910745</v>
      </c>
      <c r="C5131" s="6" t="str">
        <f ca="1">IFERROR(__xludf.DUMMYFUNCTION("""COMPUTED_VALUE"""),"ESTERO  GACITUA 538")</f>
        <v>ESTERO  GACITUA 538</v>
      </c>
      <c r="D5131" s="6" t="str">
        <f ca="1">IFERROR(__xludf.DUMMYFUNCTION("""COMPUTED_VALUE"""),"ISLA DE MAIPO")</f>
        <v>ISLA DE MAIPO</v>
      </c>
    </row>
    <row r="5132" spans="1:4">
      <c r="A5132" s="7">
        <f ca="1">IFERROR(__xludf.DUMMYFUNCTION("""COMPUTED_VALUE"""),44477)</f>
        <v>44477</v>
      </c>
      <c r="B5132" s="8" t="str">
        <f ca="1">IFERROR(__xludf.DUMMYFUNCTION("""COMPUTED_VALUE"""),"-33.700399,-70.846142")</f>
        <v>-33.700399,-70.846142</v>
      </c>
      <c r="C5132" s="6" t="str">
        <f ca="1">IFERROR(__xludf.DUMMYFUNCTION("""COMPUTED_VALUE"""),"EL TRIUNFADOR PJE 26")</f>
        <v>EL TRIUNFADOR PJE 26</v>
      </c>
      <c r="D5132" s="6" t="str">
        <f ca="1">IFERROR(__xludf.DUMMYFUNCTION("""COMPUTED_VALUE"""),"TALAGANTE")</f>
        <v>TALAGANTE</v>
      </c>
    </row>
    <row r="5133" spans="1:4">
      <c r="A5133" s="7">
        <f ca="1">IFERROR(__xludf.DUMMYFUNCTION("""COMPUTED_VALUE"""),44477)</f>
        <v>44477</v>
      </c>
      <c r="B5133" s="8" t="str">
        <f ca="1">IFERROR(__xludf.DUMMYFUNCTION("""COMPUTED_VALUE"""),"-33.700399,-70.846142")</f>
        <v>-33.700399,-70.846142</v>
      </c>
      <c r="C5133" s="6" t="str">
        <f ca="1">IFERROR(__xludf.DUMMYFUNCTION("""COMPUTED_VALUE"""),"EL TRIUNFADOR PJE 26")</f>
        <v>EL TRIUNFADOR PJE 26</v>
      </c>
      <c r="D5133" s="6" t="str">
        <f ca="1">IFERROR(__xludf.DUMMYFUNCTION("""COMPUTED_VALUE"""),"TALAGANTE")</f>
        <v>TALAGANTE</v>
      </c>
    </row>
    <row r="5134" spans="1:4">
      <c r="A5134" s="7">
        <f ca="1">IFERROR(__xludf.DUMMYFUNCTION("""COMPUTED_VALUE"""),44477)</f>
        <v>44477</v>
      </c>
      <c r="B5134" s="6" t="str">
        <f ca="1">IFERROR(__xludf.DUMMYFUNCTION("""COMPUTED_VALUE"""),"-33.634752-70.350532")</f>
        <v>-33.634752-70.350532</v>
      </c>
      <c r="C5134" s="6" t="str">
        <f ca="1">IFERROR(__xludf.DUMMYFUNCTION("""COMPUTED_VALUE"""),"AV EL CEMENTERIO 19081")</f>
        <v>AV EL CEMENTERIO 19081</v>
      </c>
      <c r="D5134" s="6" t="str">
        <f ca="1">IFERROR(__xludf.DUMMYFUNCTION("""COMPUTED_VALUE"""),"SAN JOSE DE MAIPO")</f>
        <v>SAN JOSE DE MAIPO</v>
      </c>
    </row>
    <row r="5135" spans="1:4">
      <c r="A5135" s="7">
        <f ca="1">IFERROR(__xludf.DUMMYFUNCTION("""COMPUTED_VALUE"""),44477)</f>
        <v>44477</v>
      </c>
      <c r="B5135" s="6" t="str">
        <f ca="1">IFERROR(__xludf.DUMMYFUNCTION("""COMPUTED_VALUE"""),"-33.6349248-70.348114")</f>
        <v>-33.6349248-70.348114</v>
      </c>
      <c r="C5135" s="6" t="str">
        <f ca="1">IFERROR(__xludf.DUMMYFUNCTION("""COMPUTED_VALUE"""),"AV EL CEMENTERIO 19081")</f>
        <v>AV EL CEMENTERIO 19081</v>
      </c>
      <c r="D5135" s="6" t="str">
        <f ca="1">IFERROR(__xludf.DUMMYFUNCTION("""COMPUTED_VALUE"""),"SAN JOSE DE MAIPO")</f>
        <v>SAN JOSE DE MAIPO</v>
      </c>
    </row>
    <row r="5136" spans="1:4">
      <c r="A5136" s="7">
        <f ca="1">IFERROR(__xludf.DUMMYFUNCTION("""COMPUTED_VALUE"""),44477)</f>
        <v>44477</v>
      </c>
      <c r="B5136" s="6" t="str">
        <f ca="1">IFERROR(__xludf.DUMMYFUNCTION("""COMPUTED_VALUE"""),"-33.606451-70.890611")</f>
        <v>-33.606451-70.890611</v>
      </c>
      <c r="C5136" s="6" t="str">
        <f ca="1">IFERROR(__xludf.DUMMYFUNCTION("""COMPUTED_VALUE"""),"EL ESTRIBO 2773")</f>
        <v>EL ESTRIBO 2773</v>
      </c>
      <c r="D5136" s="6" t="str">
        <f ca="1">IFERROR(__xludf.DUMMYFUNCTION("""COMPUTED_VALUE"""),"PEÑAFLOR")</f>
        <v>PEÑAFLOR</v>
      </c>
    </row>
    <row r="5137" spans="1:4">
      <c r="A5137" s="7">
        <f ca="1">IFERROR(__xludf.DUMMYFUNCTION("""COMPUTED_VALUE"""),44477)</f>
        <v>44477</v>
      </c>
      <c r="B5137" s="6" t="str">
        <f ca="1">IFERROR(__xludf.DUMMYFUNCTION("""COMPUTED_VALUE"""),"-33.6763184,-70.6184828")</f>
        <v>-33.6763184,-70.6184828</v>
      </c>
      <c r="C5137" s="6" t="str">
        <f ca="1">IFERROR(__xludf.DUMMYFUNCTION("""COMPUTED_VALUE"""),"LOS QUILLAYES 24B")</f>
        <v>LOS QUILLAYES 24B</v>
      </c>
      <c r="D5137" s="6" t="str">
        <f ca="1">IFERROR(__xludf.DUMMYFUNCTION("""COMPUTED_VALUE"""),"PIRQUE")</f>
        <v>PIRQUE</v>
      </c>
    </row>
    <row r="5138" spans="1:4">
      <c r="A5138" s="7">
        <f ca="1">IFERROR(__xludf.DUMMYFUNCTION("""COMPUTED_VALUE"""),44477)</f>
        <v>44477</v>
      </c>
      <c r="B5138" s="6" t="str">
        <f ca="1">IFERROR(__xludf.DUMMYFUNCTION("""COMPUTED_VALUE"""),"-33.706699,-70.533718")</f>
        <v>-33.706699,-70.533718</v>
      </c>
      <c r="C5138" s="6" t="str">
        <f ca="1">IFERROR(__xludf.DUMMYFUNCTION("""COMPUTED_VALUE"""),"EL PRINCIPAL 169")</f>
        <v>EL PRINCIPAL 169</v>
      </c>
      <c r="D5138" s="6" t="str">
        <f ca="1">IFERROR(__xludf.DUMMYFUNCTION("""COMPUTED_VALUE"""),"PIRQUE")</f>
        <v>PIRQUE</v>
      </c>
    </row>
    <row r="5139" spans="1:4">
      <c r="A5139" s="7">
        <f ca="1">IFERROR(__xludf.DUMMYFUNCTION("""COMPUTED_VALUE"""),44477)</f>
        <v>44477</v>
      </c>
      <c r="B5139" s="6" t="str">
        <f ca="1">IFERROR(__xludf.DUMMYFUNCTION("""COMPUTED_VALUE"""),"-33.733639,-70.864267")</f>
        <v>-33.733639,-70.864267</v>
      </c>
      <c r="C5139" s="6" t="str">
        <f ca="1">IFERROR(__xludf.DUMMYFUNCTION("""COMPUTED_VALUE"""),"PASAJE LAS PIRCAS 580")</f>
        <v>PASAJE LAS PIRCAS 580</v>
      </c>
      <c r="D5139" s="6" t="str">
        <f ca="1">IFERROR(__xludf.DUMMYFUNCTION("""COMPUTED_VALUE"""),"ISLA DE MAIPO")</f>
        <v>ISLA DE MAIPO</v>
      </c>
    </row>
    <row r="5140" spans="1:4">
      <c r="A5140" s="7">
        <f ca="1">IFERROR(__xludf.DUMMYFUNCTION("""COMPUTED_VALUE"""),44477)</f>
        <v>44477</v>
      </c>
      <c r="B5140" s="6" t="str">
        <f ca="1">IFERROR(__xludf.DUMMYFUNCTION("""COMPUTED_VALUE"""),"-33.733639,-70.864267")</f>
        <v>-33.733639,-70.864267</v>
      </c>
      <c r="C5140" s="6" t="str">
        <f ca="1">IFERROR(__xludf.DUMMYFUNCTION("""COMPUTED_VALUE"""),"PASAJE LAS PIRCAS 580")</f>
        <v>PASAJE LAS PIRCAS 580</v>
      </c>
      <c r="D5140" s="6" t="str">
        <f ca="1">IFERROR(__xludf.DUMMYFUNCTION("""COMPUTED_VALUE"""),"ISLA DE MAIPO")</f>
        <v>ISLA DE MAIPO</v>
      </c>
    </row>
    <row r="5141" spans="1:4">
      <c r="A5141" s="7">
        <f ca="1">IFERROR(__xludf.DUMMYFUNCTION("""COMPUTED_VALUE"""),44477)</f>
        <v>44477</v>
      </c>
      <c r="B5141" s="6" t="str">
        <f ca="1">IFERROR(__xludf.DUMMYFUNCTION("""COMPUTED_VALUE"""),"-33.773775,-70.865689")</f>
        <v>-33.773775,-70.865689</v>
      </c>
      <c r="C5141" s="6" t="str">
        <f ca="1">IFERROR(__xludf.DUMMYFUNCTION("""COMPUTED_VALUE"""),"OLEA 820")</f>
        <v>OLEA 820</v>
      </c>
      <c r="D5141" s="6" t="str">
        <f ca="1">IFERROR(__xludf.DUMMYFUNCTION("""COMPUTED_VALUE"""),"ISLA DE MAIPO")</f>
        <v>ISLA DE MAIPO</v>
      </c>
    </row>
    <row r="5142" spans="1:4">
      <c r="A5142" s="7">
        <f ca="1">IFERROR(__xludf.DUMMYFUNCTION("""COMPUTED_VALUE"""),44477)</f>
        <v>44477</v>
      </c>
      <c r="B5142" s="8" t="str">
        <f ca="1">IFERROR(__xludf.DUMMYFUNCTION("""COMPUTED_VALUE"""),"-33.271389,-70629500")</f>
        <v>-33.271389,-70629500</v>
      </c>
      <c r="C5142" s="6" t="str">
        <f ca="1">IFERROR(__xludf.DUMMYFUNCTION("""COMPUTED_VALUE"""),"CANADILLA 150")</f>
        <v>CANADILLA 150</v>
      </c>
      <c r="D5142" s="6" t="str">
        <f ca="1">IFERROR(__xludf.DUMMYFUNCTION("""COMPUTED_VALUE"""),"COLINA")</f>
        <v>COLINA</v>
      </c>
    </row>
    <row r="5143" spans="1:4">
      <c r="A5143" s="7">
        <f ca="1">IFERROR(__xludf.DUMMYFUNCTION("""COMPUTED_VALUE"""),44477)</f>
        <v>44477</v>
      </c>
      <c r="B5143" s="8" t="str">
        <f ca="1">IFERROR(__xludf.DUMMYFUNCTION("""COMPUTED_VALUE"""),"-33.271389,-70629500")</f>
        <v>-33.271389,-70629500</v>
      </c>
      <c r="C5143" s="6" t="str">
        <f ca="1">IFERROR(__xludf.DUMMYFUNCTION("""COMPUTED_VALUE"""),"CANADILLA 150")</f>
        <v>CANADILLA 150</v>
      </c>
      <c r="D5143" s="6" t="str">
        <f ca="1">IFERROR(__xludf.DUMMYFUNCTION("""COMPUTED_VALUE"""),"COLINA")</f>
        <v>COLINA</v>
      </c>
    </row>
    <row r="5144" spans="1:4">
      <c r="A5144" s="7">
        <f ca="1">IFERROR(__xludf.DUMMYFUNCTION("""COMPUTED_VALUE"""),44478)</f>
        <v>44478</v>
      </c>
      <c r="B5144" s="6" t="str">
        <f ca="1">IFERROR(__xludf.DUMMYFUNCTION("""COMPUTED_VALUE"""),"-33.402081-71.131697")</f>
        <v>-33.402081-71.131697</v>
      </c>
      <c r="C5144" s="6" t="str">
        <f ca="1">IFERROR(__xludf.DUMMYFUNCTION("""COMPUTED_VALUE"""),"WILLIAM REBOLLEDO 1707")</f>
        <v>WILLIAM REBOLLEDO 1707</v>
      </c>
      <c r="D5144" s="6" t="str">
        <f ca="1">IFERROR(__xludf.DUMMYFUNCTION("""COMPUTED_VALUE"""),"CURACAVI")</f>
        <v>CURACAVI</v>
      </c>
    </row>
    <row r="5145" spans="1:4">
      <c r="A5145" s="7">
        <f ca="1">IFERROR(__xludf.DUMMYFUNCTION("""COMPUTED_VALUE"""),44478)</f>
        <v>44478</v>
      </c>
      <c r="B5145" s="6" t="str">
        <f ca="1">IFERROR(__xludf.DUMMYFUNCTION("""COMPUTED_VALUE"""),"-33.402081-71.131697")</f>
        <v>-33.402081-71.131697</v>
      </c>
      <c r="C5145" s="6" t="str">
        <f ca="1">IFERROR(__xludf.DUMMYFUNCTION("""COMPUTED_VALUE"""),"WILLIAM REBOLLEDO 1707")</f>
        <v>WILLIAM REBOLLEDO 1707</v>
      </c>
      <c r="D5145" s="6" t="str">
        <f ca="1">IFERROR(__xludf.DUMMYFUNCTION("""COMPUTED_VALUE"""),"CURACAVI")</f>
        <v>CURACAVI</v>
      </c>
    </row>
    <row r="5146" spans="1:4">
      <c r="A5146" s="7">
        <f ca="1">IFERROR(__xludf.DUMMYFUNCTION("""COMPUTED_VALUE"""),44478)</f>
        <v>44478</v>
      </c>
      <c r="B5146" s="6" t="str">
        <f ca="1">IFERROR(__xludf.DUMMYFUNCTION("""COMPUTED_VALUE"""),"-33.409326-71.139473")</f>
        <v>-33.409326-71.139473</v>
      </c>
      <c r="C5146" s="6" t="str">
        <f ca="1">IFERROR(__xludf.DUMMYFUNCTION("""COMPUTED_VALUE"""),"AV. CIRCUMVALACIÓN 1088")</f>
        <v>AV. CIRCUMVALACIÓN 1088</v>
      </c>
      <c r="D5146" s="6" t="str">
        <f ca="1">IFERROR(__xludf.DUMMYFUNCTION("""COMPUTED_VALUE"""),"CURACAVI")</f>
        <v>CURACAVI</v>
      </c>
    </row>
    <row r="5147" spans="1:4">
      <c r="A5147" s="7">
        <f ca="1">IFERROR(__xludf.DUMMYFUNCTION("""COMPUTED_VALUE"""),44478)</f>
        <v>44478</v>
      </c>
      <c r="B5147" s="6" t="str">
        <f ca="1">IFERROR(__xludf.DUMMYFUNCTION("""COMPUTED_VALUE"""),"-33.194667-70.684698")</f>
        <v>-33.194667-70.684698</v>
      </c>
      <c r="C5147" s="6" t="str">
        <f ca="1">IFERROR(__xludf.DUMMYFUNCTION("""COMPUTED_VALUE"""),"CALLE MELI 958")</f>
        <v>CALLE MELI 958</v>
      </c>
      <c r="D5147" s="6" t="str">
        <f ca="1">IFERROR(__xludf.DUMMYFUNCTION("""COMPUTED_VALUE"""),"COLINA")</f>
        <v>COLINA</v>
      </c>
    </row>
    <row r="5148" spans="1:4">
      <c r="A5148" s="7">
        <f ca="1">IFERROR(__xludf.DUMMYFUNCTION("""COMPUTED_VALUE"""),44478)</f>
        <v>44478</v>
      </c>
      <c r="B5148" s="6" t="str">
        <f ca="1">IFERROR(__xludf.DUMMYFUNCTION("""COMPUTED_VALUE"""),"-33.2788856,-70.8756172")</f>
        <v>-33.2788856,-70.8756172</v>
      </c>
      <c r="C5148" s="6" t="str">
        <f ca="1">IFERROR(__xludf.DUMMYFUNCTION("""COMPUTED_VALUE"""),"QUINQUILA 1233")</f>
        <v>QUINQUILA 1233</v>
      </c>
      <c r="D5148" s="6" t="str">
        <f ca="1">IFERROR(__xludf.DUMMYFUNCTION("""COMPUTED_VALUE"""),"LAMPA")</f>
        <v>LAMPA</v>
      </c>
    </row>
    <row r="5149" spans="1:4">
      <c r="A5149" s="7">
        <f ca="1">IFERROR(__xludf.DUMMYFUNCTION("""COMPUTED_VALUE"""),44478)</f>
        <v>44478</v>
      </c>
      <c r="B5149" s="6" t="str">
        <f ca="1">IFERROR(__xludf.DUMMYFUNCTION("""COMPUTED_VALUE"""),"-33.2788856,-70.8756172")</f>
        <v>-33.2788856,-70.8756172</v>
      </c>
      <c r="C5149" s="6" t="str">
        <f ca="1">IFERROR(__xludf.DUMMYFUNCTION("""COMPUTED_VALUE"""),"QUINQUILA 1233")</f>
        <v>QUINQUILA 1233</v>
      </c>
      <c r="D5149" s="6" t="str">
        <f ca="1">IFERROR(__xludf.DUMMYFUNCTION("""COMPUTED_VALUE"""),"LAMPA")</f>
        <v>LAMPA</v>
      </c>
    </row>
    <row r="5150" spans="1:4">
      <c r="A5150" s="7">
        <f ca="1">IFERROR(__xludf.DUMMYFUNCTION("""COMPUTED_VALUE"""),44478)</f>
        <v>44478</v>
      </c>
      <c r="B5150" s="6" t="str">
        <f ca="1">IFERROR(__xludf.DUMMYFUNCTION("""COMPUTED_VALUE"""),"-33.2788856,-70.8756172")</f>
        <v>-33.2788856,-70.8756172</v>
      </c>
      <c r="C5150" s="6" t="str">
        <f ca="1">IFERROR(__xludf.DUMMYFUNCTION("""COMPUTED_VALUE"""),"QUINQUILA 1233")</f>
        <v>QUINQUILA 1233</v>
      </c>
      <c r="D5150" s="6" t="str">
        <f ca="1">IFERROR(__xludf.DUMMYFUNCTION("""COMPUTED_VALUE"""),"LAMPA")</f>
        <v>LAMPA</v>
      </c>
    </row>
    <row r="5151" spans="1:4">
      <c r="A5151" s="7">
        <f ca="1">IFERROR(__xludf.DUMMYFUNCTION("""COMPUTED_VALUE"""),44478)</f>
        <v>44478</v>
      </c>
      <c r="B5151" s="6" t="str">
        <f ca="1">IFERROR(__xludf.DUMMYFUNCTION("""COMPUTED_VALUE"""),"-33.710074,-70.531408")</f>
        <v>-33.710074,-70.531408</v>
      </c>
      <c r="C5151" s="6" t="str">
        <f ca="1">IFERROR(__xludf.DUMMYFUNCTION("""COMPUTED_VALUE"""),"ORILLA DEL RIO 170 ")</f>
        <v xml:space="preserve">ORILLA DEL RIO 170 </v>
      </c>
      <c r="D5151" s="6" t="str">
        <f ca="1">IFERROR(__xludf.DUMMYFUNCTION("""COMPUTED_VALUE"""),"PIRQUE")</f>
        <v>PIRQUE</v>
      </c>
    </row>
    <row r="5152" spans="1:4">
      <c r="A5152" s="7">
        <f ca="1">IFERROR(__xludf.DUMMYFUNCTION("""COMPUTED_VALUE"""),44478)</f>
        <v>44478</v>
      </c>
      <c r="B5152" s="6" t="str">
        <f ca="1">IFERROR(__xludf.DUMMYFUNCTION("""COMPUTED_VALUE"""),"-33.743845,-70.899814")</f>
        <v>-33.743845,-70.899814</v>
      </c>
      <c r="C5152" s="6" t="str">
        <f ca="1">IFERROR(__xludf.DUMMYFUNCTION("""COMPUTED_VALUE"""),"LOS PORTALES 290")</f>
        <v>LOS PORTALES 290</v>
      </c>
      <c r="D5152" s="6" t="str">
        <f ca="1">IFERROR(__xludf.DUMMYFUNCTION("""COMPUTED_VALUE"""),"ISLA DE MAIPO")</f>
        <v>ISLA DE MAIPO</v>
      </c>
    </row>
    <row r="5153" spans="1:4">
      <c r="A5153" s="7">
        <f ca="1">IFERROR(__xludf.DUMMYFUNCTION("""COMPUTED_VALUE"""),44478)</f>
        <v>44478</v>
      </c>
      <c r="B5153" s="6" t="str">
        <f ca="1">IFERROR(__xludf.DUMMYFUNCTION("""COMPUTED_VALUE"""),"-33.760126,-70.896701")</f>
        <v>-33.760126,-70.896701</v>
      </c>
      <c r="C5153" s="6" t="str">
        <f ca="1">IFERROR(__xludf.DUMMYFUNCTION("""COMPUTED_VALUE"""),"PARAISO SUR 116")</f>
        <v>PARAISO SUR 116</v>
      </c>
      <c r="D5153" s="6" t="str">
        <f ca="1">IFERROR(__xludf.DUMMYFUNCTION("""COMPUTED_VALUE"""),"ISLA DE MAIPO")</f>
        <v>ISLA DE MAIPO</v>
      </c>
    </row>
    <row r="5154" spans="1:4">
      <c r="A5154" s="7">
        <f ca="1">IFERROR(__xludf.DUMMYFUNCTION("""COMPUTED_VALUE"""),44478)</f>
        <v>44478</v>
      </c>
      <c r="B5154" s="8" t="str">
        <f ca="1">IFERROR(__xludf.DUMMYFUNCTION("""COMPUTED_VALUE"""),"-33.218174,-70.736735")</f>
        <v>-33.218174,-70.736735</v>
      </c>
      <c r="C5154" s="6" t="str">
        <f ca="1">IFERROR(__xludf.DUMMYFUNCTION("""COMPUTED_VALUE"""),"LAS GARZAS 119")</f>
        <v>LAS GARZAS 119</v>
      </c>
      <c r="D5154" s="6" t="str">
        <f ca="1">IFERROR(__xludf.DUMMYFUNCTION("""COMPUTED_VALUE"""),"COLINA")</f>
        <v>COLINA</v>
      </c>
    </row>
    <row r="5155" spans="1:4">
      <c r="A5155" s="7">
        <f ca="1">IFERROR(__xludf.DUMMYFUNCTION("""COMPUTED_VALUE"""),44478)</f>
        <v>44478</v>
      </c>
      <c r="B5155" s="8" t="str">
        <f ca="1">IFERROR(__xludf.DUMMYFUNCTION("""COMPUTED_VALUE"""),"-33.203302,-70.686919")</f>
        <v>-33.203302,-70.686919</v>
      </c>
      <c r="C5155" s="6" t="str">
        <f ca="1">IFERROR(__xludf.DUMMYFUNCTION("""COMPUTED_VALUE"""),"A. ALBERTO RUIZ TAGLE 1152")</f>
        <v>A. ALBERTO RUIZ TAGLE 1152</v>
      </c>
      <c r="D5155" s="6" t="str">
        <f ca="1">IFERROR(__xludf.DUMMYFUNCTION("""COMPUTED_VALUE"""),"COLINA")</f>
        <v>COLINA</v>
      </c>
    </row>
    <row r="5156" spans="1:4">
      <c r="A5156" s="7">
        <f ca="1">IFERROR(__xludf.DUMMYFUNCTION("""COMPUTED_VALUE"""),44479)</f>
        <v>44479</v>
      </c>
      <c r="B5156" s="6" t="str">
        <f ca="1">IFERROR(__xludf.DUMMYFUNCTION("""COMPUTED_VALUE"""),"-33.413546-71.139077")</f>
        <v>-33.413546-71.139077</v>
      </c>
      <c r="C5156" s="6" t="str">
        <f ca="1">IFERROR(__xludf.DUMMYFUNCTION("""COMPUTED_VALUE"""),"LO AGUILA LT A-5")</f>
        <v>LO AGUILA LT A-5</v>
      </c>
      <c r="D5156" s="6" t="str">
        <f ca="1">IFERROR(__xludf.DUMMYFUNCTION("""COMPUTED_VALUE"""),"CURACAVI")</f>
        <v>CURACAVI</v>
      </c>
    </row>
    <row r="5157" spans="1:4">
      <c r="A5157" s="7">
        <f ca="1">IFERROR(__xludf.DUMMYFUNCTION("""COMPUTED_VALUE"""),44479)</f>
        <v>44479</v>
      </c>
      <c r="B5157" s="6" t="str">
        <f ca="1">IFERROR(__xludf.DUMMYFUNCTION("""COMPUTED_VALUE"""),"-33.413537-71.40230")</f>
        <v>-33.413537-71.40230</v>
      </c>
      <c r="C5157" s="6" t="str">
        <f ca="1">IFERROR(__xludf.DUMMYFUNCTION("""COMPUTED_VALUE"""),"LO AGUILA LT A-5")</f>
        <v>LO AGUILA LT A-5</v>
      </c>
      <c r="D5157" s="6" t="str">
        <f ca="1">IFERROR(__xludf.DUMMYFUNCTION("""COMPUTED_VALUE"""),"CURACAVI")</f>
        <v>CURACAVI</v>
      </c>
    </row>
    <row r="5158" spans="1:4">
      <c r="A5158" s="7">
        <f ca="1">IFERROR(__xludf.DUMMYFUNCTION("""COMPUTED_VALUE"""),44479)</f>
        <v>44479</v>
      </c>
      <c r="B5158" s="6" t="str">
        <f ca="1">IFERROR(__xludf.DUMMYFUNCTION("""COMPUTED_VALUE"""),"-33.223583,-70.769255")</f>
        <v>-33.223583,-70.769255</v>
      </c>
      <c r="C5158" s="6" t="str">
        <f ca="1">IFERROR(__xludf.DUMMYFUNCTION("""COMPUTED_VALUE"""),"STA. SARA LOTE 20 ")</f>
        <v xml:space="preserve">STA. SARA LOTE 20 </v>
      </c>
      <c r="D5158" s="6" t="str">
        <f ca="1">IFERROR(__xludf.DUMMYFUNCTION("""COMPUTED_VALUE"""),"LAMPA")</f>
        <v>LAMPA</v>
      </c>
    </row>
    <row r="5159" spans="1:4">
      <c r="A5159" s="7">
        <f ca="1">IFERROR(__xludf.DUMMYFUNCTION("""COMPUTED_VALUE"""),44479)</f>
        <v>44479</v>
      </c>
      <c r="B5159" s="6" t="str">
        <f ca="1">IFERROR(__xludf.DUMMYFUNCTION("""COMPUTED_VALUE"""),"-33.7071584,-70.6795120")</f>
        <v>-33.7071584,-70.6795120</v>
      </c>
      <c r="C5159" s="6" t="str">
        <f ca="1">IFERROR(__xludf.DUMMYFUNCTION("""COMPUTED_VALUE"""),"CAMINO PADRE HURTADO N°8 LA ESPERANZA")</f>
        <v>CAMINO PADRE HURTADO N°8 LA ESPERANZA</v>
      </c>
      <c r="D5159" s="6" t="str">
        <f ca="1">IFERROR(__xludf.DUMMYFUNCTION("""COMPUTED_VALUE"""),"BUIN")</f>
        <v>BUIN</v>
      </c>
    </row>
    <row r="5160" spans="1:4">
      <c r="A5160" s="7">
        <f ca="1">IFERROR(__xludf.DUMMYFUNCTION("""COMPUTED_VALUE"""),44480)</f>
        <v>44480</v>
      </c>
      <c r="B5160" s="6" t="str">
        <f ca="1">IFERROR(__xludf.DUMMYFUNCTION("""COMPUTED_VALUE"""),"-33.4099400-71.0663600")</f>
        <v>-33.4099400-71.0663600</v>
      </c>
      <c r="C5160" s="6" t="str">
        <f ca="1">IFERROR(__xludf.DUMMYFUNCTION("""COMPUTED_VALUE"""),"RESERVA CORA 1")</f>
        <v>RESERVA CORA 1</v>
      </c>
      <c r="D5160" s="6" t="str">
        <f ca="1">IFERROR(__xludf.DUMMYFUNCTION("""COMPUTED_VALUE"""),"CURACAVI")</f>
        <v>CURACAVI</v>
      </c>
    </row>
    <row r="5161" spans="1:4">
      <c r="A5161" s="7">
        <f ca="1">IFERROR(__xludf.DUMMYFUNCTION("""COMPUTED_VALUE"""),44480)</f>
        <v>44480</v>
      </c>
      <c r="B5161" s="6" t="str">
        <f ca="1">IFERROR(__xludf.DUMMYFUNCTION("""COMPUTED_VALUE"""),"-33.393317-71.229040")</f>
        <v>-33.393317-71.229040</v>
      </c>
      <c r="C5161" s="6" t="str">
        <f ca="1">IFERROR(__xludf.DUMMYFUNCTION("""COMPUTED_VALUE"""),"GERMAN RIESCO 924")</f>
        <v>GERMAN RIESCO 924</v>
      </c>
      <c r="D5161" s="6" t="str">
        <f ca="1">IFERROR(__xludf.DUMMYFUNCTION("""COMPUTED_VALUE"""),"CURACAVI")</f>
        <v>CURACAVI</v>
      </c>
    </row>
    <row r="5162" spans="1:4">
      <c r="A5162" s="7">
        <f ca="1">IFERROR(__xludf.DUMMYFUNCTION("""COMPUTED_VALUE"""),44480)</f>
        <v>44480</v>
      </c>
      <c r="B5162" s="6" t="str">
        <f ca="1">IFERROR(__xludf.DUMMYFUNCTION("""COMPUTED_VALUE"""),"-33.24556-70.81905")</f>
        <v>-33.24556-70.81905</v>
      </c>
      <c r="C5162" s="6" t="str">
        <f ca="1">IFERROR(__xludf.DUMMYFUNCTION("""COMPUTED_VALUE"""),"LOS BOLDOS 163")</f>
        <v>LOS BOLDOS 163</v>
      </c>
      <c r="D5162" s="6" t="str">
        <f ca="1">IFERROR(__xludf.DUMMYFUNCTION("""COMPUTED_VALUE"""),"LAMPA")</f>
        <v>LAMPA</v>
      </c>
    </row>
    <row r="5163" spans="1:4">
      <c r="A5163" s="7">
        <f ca="1">IFERROR(__xludf.DUMMYFUNCTION("""COMPUTED_VALUE"""),44480)</f>
        <v>44480</v>
      </c>
      <c r="B5163" s="6" t="str">
        <f ca="1">IFERROR(__xludf.DUMMYFUNCTION("""COMPUTED_VALUE"""),"-33.27181-70.88213")</f>
        <v>-33.27181-70.88213</v>
      </c>
      <c r="C5163" s="6" t="str">
        <f ca="1">IFERROR(__xludf.DUMMYFUNCTION("""COMPUTED_VALUE"""),"JUAN DE DIOS MARTICORENA P2")</f>
        <v>JUAN DE DIOS MARTICORENA P2</v>
      </c>
      <c r="D5163" s="6" t="str">
        <f ca="1">IFERROR(__xludf.DUMMYFUNCTION("""COMPUTED_VALUE"""),"LAMPA")</f>
        <v>LAMPA</v>
      </c>
    </row>
    <row r="5164" spans="1:4">
      <c r="A5164" s="7">
        <f ca="1">IFERROR(__xludf.DUMMYFUNCTION("""COMPUTED_VALUE"""),44480)</f>
        <v>44480</v>
      </c>
      <c r="B5164" s="6" t="str">
        <f ca="1">IFERROR(__xludf.DUMMYFUNCTION("""COMPUTED_VALUE"""),"-33.4141944,-71.1559490")</f>
        <v>-33.4141944,-71.1559490</v>
      </c>
      <c r="C5164" s="6" t="str">
        <f ca="1">IFERROR(__xludf.DUMMYFUNCTION("""COMPUTED_VALUE"""),"JOSE ARMAZAN N°234")</f>
        <v>JOSE ARMAZAN N°234</v>
      </c>
      <c r="D5164" s="6" t="str">
        <f ca="1">IFERROR(__xludf.DUMMYFUNCTION("""COMPUTED_VALUE"""),"CURACAVI")</f>
        <v>CURACAVI</v>
      </c>
    </row>
    <row r="5165" spans="1:4">
      <c r="A5165" s="7">
        <f ca="1">IFERROR(__xludf.DUMMYFUNCTION("""COMPUTED_VALUE"""),44481)</f>
        <v>44481</v>
      </c>
      <c r="B5165" s="8" t="str">
        <f ca="1">IFERROR(__xludf.DUMMYFUNCTION("""COMPUTED_VALUE"""),"-33.783260,-70.894826")</f>
        <v>-33.783260,-70.894826</v>
      </c>
      <c r="C5165" s="6" t="str">
        <f ca="1">IFERROR(__xludf.DUMMYFUNCTION("""COMPUTED_VALUE"""),"JUAN FRESNO 153")</f>
        <v>JUAN FRESNO 153</v>
      </c>
      <c r="D5165" s="6" t="str">
        <f ca="1">IFERROR(__xludf.DUMMYFUNCTION("""COMPUTED_VALUE"""),"ISLA DE MAIPO")</f>
        <v>ISLA DE MAIPO</v>
      </c>
    </row>
    <row r="5166" spans="1:4">
      <c r="A5166" s="7">
        <f ca="1">IFERROR(__xludf.DUMMYFUNCTION("""COMPUTED_VALUE"""),44481)</f>
        <v>44481</v>
      </c>
      <c r="B5166" s="6" t="str">
        <f ca="1">IFERROR(__xludf.DUMMYFUNCTION("""COMPUTED_VALUE"""),"-33.389207-71.132833")</f>
        <v>-33.389207-71.132833</v>
      </c>
      <c r="C5166" s="6" t="str">
        <f ca="1">IFERROR(__xludf.DUMMYFUNCTION("""COMPUTED_VALUE"""),"GERMAN RIESCO 1092")</f>
        <v>GERMAN RIESCO 1092</v>
      </c>
      <c r="D5166" s="6" t="str">
        <f ca="1">IFERROR(__xludf.DUMMYFUNCTION("""COMPUTED_VALUE"""),"CURACAVI")</f>
        <v>CURACAVI</v>
      </c>
    </row>
    <row r="5167" spans="1:4">
      <c r="A5167" s="7">
        <f ca="1">IFERROR(__xludf.DUMMYFUNCTION("""COMPUTED_VALUE"""),44481)</f>
        <v>44481</v>
      </c>
      <c r="B5167" s="6" t="str">
        <f ca="1">IFERROR(__xludf.DUMMYFUNCTION("""COMPUTED_VALUE"""),"-33.6049289-70.3532019")</f>
        <v>-33.6049289-70.3532019</v>
      </c>
      <c r="C5167" s="6" t="str">
        <f ca="1">IFERROR(__xludf.DUMMYFUNCTION("""COMPUTED_VALUE"""),"CAMINO GUAYACAN S/N")</f>
        <v>CAMINO GUAYACAN S/N</v>
      </c>
      <c r="D5167" s="6" t="str">
        <f ca="1">IFERROR(__xludf.DUMMYFUNCTION("""COMPUTED_VALUE"""),"SAN JOSE DE MAIPO")</f>
        <v>SAN JOSE DE MAIPO</v>
      </c>
    </row>
    <row r="5168" spans="1:4">
      <c r="A5168" s="7">
        <f ca="1">IFERROR(__xludf.DUMMYFUNCTION("""COMPUTED_VALUE"""),44481)</f>
        <v>44481</v>
      </c>
      <c r="B5168" s="6" t="str">
        <f ca="1">IFERROR(__xludf.DUMMYFUNCTION("""COMPUTED_VALUE"""),"-33.604922-70.3532039")</f>
        <v>-33.604922-70.3532039</v>
      </c>
      <c r="C5168" s="6" t="str">
        <f ca="1">IFERROR(__xludf.DUMMYFUNCTION("""COMPUTED_VALUE"""),"CAMINO GUAYACAN S/N")</f>
        <v>CAMINO GUAYACAN S/N</v>
      </c>
      <c r="D5168" s="6" t="str">
        <f ca="1">IFERROR(__xludf.DUMMYFUNCTION("""COMPUTED_VALUE"""),"SAN JOSE DE MAIPO")</f>
        <v>SAN JOSE DE MAIPO</v>
      </c>
    </row>
    <row r="5169" spans="1:4">
      <c r="A5169" s="7">
        <f ca="1">IFERROR(__xludf.DUMMYFUNCTION("""COMPUTED_VALUE"""),44481)</f>
        <v>44481</v>
      </c>
      <c r="B5169" s="6" t="str">
        <f ca="1">IFERROR(__xludf.DUMMYFUNCTION("""COMPUTED_VALUE"""),"-33.604907-70.3532009")</f>
        <v>-33.604907-70.3532009</v>
      </c>
      <c r="C5169" s="6" t="str">
        <f ca="1">IFERROR(__xludf.DUMMYFUNCTION("""COMPUTED_VALUE"""),"CAMINO GUAYACAN S/N")</f>
        <v>CAMINO GUAYACAN S/N</v>
      </c>
      <c r="D5169" s="6" t="str">
        <f ca="1">IFERROR(__xludf.DUMMYFUNCTION("""COMPUTED_VALUE"""),"SAN JOSE DE MAIPO")</f>
        <v>SAN JOSE DE MAIPO</v>
      </c>
    </row>
    <row r="5170" spans="1:4">
      <c r="A5170" s="7">
        <f ca="1">IFERROR(__xludf.DUMMYFUNCTION("""COMPUTED_VALUE"""),44481)</f>
        <v>44481</v>
      </c>
      <c r="B5170" s="6" t="str">
        <f ca="1">IFERROR(__xludf.DUMMYFUNCTION("""COMPUTED_VALUE"""),"-33.708979,-70.530290")</f>
        <v>-33.708979,-70.530290</v>
      </c>
      <c r="C5170" s="6" t="str">
        <f ca="1">IFERROR(__xludf.DUMMYFUNCTION("""COMPUTED_VALUE"""),"ORILLA DEL RIO 171")</f>
        <v>ORILLA DEL RIO 171</v>
      </c>
      <c r="D5170" s="6" t="str">
        <f ca="1">IFERROR(__xludf.DUMMYFUNCTION("""COMPUTED_VALUE"""),"PIRQUE")</f>
        <v>PIRQUE</v>
      </c>
    </row>
    <row r="5171" spans="1:4">
      <c r="A5171" s="7">
        <f ca="1">IFERROR(__xludf.DUMMYFUNCTION("""COMPUTED_VALUE"""),44481)</f>
        <v>44481</v>
      </c>
      <c r="B5171" s="6" t="str">
        <f ca="1">IFERROR(__xludf.DUMMYFUNCTION("""COMPUTED_VALUE"""),"-33.208666,-70.776914")</f>
        <v>-33.208666,-70.776914</v>
      </c>
      <c r="C5171" s="6" t="str">
        <f ca="1">IFERROR(__xludf.DUMMYFUNCTION("""COMPUTED_VALUE"""),"COND QUILQUEN P.31")</f>
        <v>COND QUILQUEN P.31</v>
      </c>
      <c r="D5171" s="6" t="str">
        <f ca="1">IFERROR(__xludf.DUMMYFUNCTION("""COMPUTED_VALUE"""),"LAMPA")</f>
        <v>LAMPA</v>
      </c>
    </row>
    <row r="5172" spans="1:4">
      <c r="A5172" s="7">
        <f ca="1">IFERROR(__xludf.DUMMYFUNCTION("""COMPUTED_VALUE"""),44481)</f>
        <v>44481</v>
      </c>
      <c r="B5172" s="6" t="str">
        <f ca="1">IFERROR(__xludf.DUMMYFUNCTION("""COMPUTED_VALUE"""),"-33.746178,-70.904128")</f>
        <v>-33.746178,-70.904128</v>
      </c>
      <c r="C5172" s="6" t="str">
        <f ca="1">IFERROR(__xludf.DUMMYFUNCTION("""COMPUTED_VALUE"""),"AV SENADOR JAIME GUZMAN 694")</f>
        <v>AV SENADOR JAIME GUZMAN 694</v>
      </c>
      <c r="D5172" s="6" t="str">
        <f ca="1">IFERROR(__xludf.DUMMYFUNCTION("""COMPUTED_VALUE"""),"ISLA DE MAIPO")</f>
        <v>ISLA DE MAIPO</v>
      </c>
    </row>
    <row r="5173" spans="1:4">
      <c r="A5173" s="7">
        <f ca="1">IFERROR(__xludf.DUMMYFUNCTION("""COMPUTED_VALUE"""),44481)</f>
        <v>44481</v>
      </c>
      <c r="B5173" s="6" t="str">
        <f ca="1">IFERROR(__xludf.DUMMYFUNCTION("""COMPUTED_VALUE"""),"-33.785772,-70.886390")</f>
        <v>-33.785772,-70.886390</v>
      </c>
      <c r="C5173" s="6" t="str">
        <f ca="1">IFERROR(__xludf.DUMMYFUNCTION("""COMPUTED_VALUE"""),"PA ROMERO 1895 LAS MERCEDES ")</f>
        <v xml:space="preserve">PA ROMERO 1895 LAS MERCEDES </v>
      </c>
      <c r="D5173" s="6" t="str">
        <f ca="1">IFERROR(__xludf.DUMMYFUNCTION("""COMPUTED_VALUE"""),"ISLA DE MAIPO")</f>
        <v>ISLA DE MAIPO</v>
      </c>
    </row>
    <row r="5174" spans="1:4">
      <c r="A5174" s="7">
        <f ca="1">IFERROR(__xludf.DUMMYFUNCTION("""COMPUTED_VALUE"""),44481)</f>
        <v>44481</v>
      </c>
      <c r="B5174" s="8" t="str">
        <f ca="1">IFERROR(__xludf.DUMMYFUNCTION("""COMPUTED_VALUE"""),"-33.829105,-71.383584")</f>
        <v>-33.829105,-71.383584</v>
      </c>
      <c r="C5174" s="6" t="str">
        <f ca="1">IFERROR(__xludf.DUMMYFUNCTION("""COMPUTED_VALUE"""),"LAS TINAJAS PARCELA NUMERO 13")</f>
        <v>LAS TINAJAS PARCELA NUMERO 13</v>
      </c>
      <c r="D5174" s="6" t="str">
        <f ca="1">IFERROR(__xludf.DUMMYFUNCTION("""COMPUTED_VALUE"""),"MELIPILLA")</f>
        <v>MELIPILLA</v>
      </c>
    </row>
    <row r="5175" spans="1:4">
      <c r="A5175" s="7">
        <f ca="1">IFERROR(__xludf.DUMMYFUNCTION("""COMPUTED_VALUE"""),44481)</f>
        <v>44481</v>
      </c>
      <c r="B5175" s="8" t="str">
        <f ca="1">IFERROR(__xludf.DUMMYFUNCTION("""COMPUTED_VALUE"""),"-33.721113,-71.210686")</f>
        <v>-33.721113,-71.210686</v>
      </c>
      <c r="C5175" s="6" t="str">
        <f ca="1">IFERROR(__xludf.DUMMYFUNCTION("""COMPUTED_VALUE"""),"LOS GENDARMES NUMERO 5")</f>
        <v>LOS GENDARMES NUMERO 5</v>
      </c>
      <c r="D5175" s="6" t="str">
        <f ca="1">IFERROR(__xludf.DUMMYFUNCTION("""COMPUTED_VALUE"""),"MELIPILLA")</f>
        <v>MELIPILLA</v>
      </c>
    </row>
    <row r="5176" spans="1:4">
      <c r="A5176" s="7">
        <f ca="1">IFERROR(__xludf.DUMMYFUNCTION("""COMPUTED_VALUE"""),44482)</f>
        <v>44482</v>
      </c>
      <c r="B5176" s="8" t="str">
        <f ca="1">IFERROR(__xludf.DUMMYFUNCTION("""COMPUTED_VALUE"""),"-33.735125,-70.861378")</f>
        <v>-33.735125,-70.861378</v>
      </c>
      <c r="C5176" s="6" t="str">
        <f ca="1">IFERROR(__xludf.DUMMYFUNCTION("""COMPUTED_VALUE"""),"RIO MAIPO 4514")</f>
        <v>RIO MAIPO 4514</v>
      </c>
      <c r="D5176" s="6" t="str">
        <f ca="1">IFERROR(__xludf.DUMMYFUNCTION("""COMPUTED_VALUE"""),"ISLA DE MAIPO")</f>
        <v>ISLA DE MAIPO</v>
      </c>
    </row>
    <row r="5177" spans="1:4">
      <c r="A5177" s="7">
        <f ca="1">IFERROR(__xludf.DUMMYFUNCTION("""COMPUTED_VALUE"""),44482)</f>
        <v>44482</v>
      </c>
      <c r="B5177" s="6" t="str">
        <f ca="1">IFERROR(__xludf.DUMMYFUNCTION("""COMPUTED_VALUE"""),"-33.406379-71.127190")</f>
        <v>-33.406379-71.127190</v>
      </c>
      <c r="C5177" s="6" t="str">
        <f ca="1">IFERROR(__xludf.DUMMYFUNCTION("""COMPUTED_VALUE"""),"PJE EL ROSAL 419")</f>
        <v>PJE EL ROSAL 419</v>
      </c>
      <c r="D5177" s="6" t="str">
        <f ca="1">IFERROR(__xludf.DUMMYFUNCTION("""COMPUTED_VALUE"""),"CURACAVI")</f>
        <v>CURACAVI</v>
      </c>
    </row>
    <row r="5178" spans="1:4">
      <c r="A5178" s="7">
        <f ca="1">IFERROR(__xludf.DUMMYFUNCTION("""COMPUTED_VALUE"""),44482)</f>
        <v>44482</v>
      </c>
      <c r="B5178" s="6" t="str">
        <f ca="1">IFERROR(__xludf.DUMMYFUNCTION("""COMPUTED_VALUE"""),"-33.634504-70.348542")</f>
        <v>-33.634504-70.348542</v>
      </c>
      <c r="C5178" s="6" t="str">
        <f ca="1">IFERROR(__xludf.DUMMYFUNCTION("""COMPUTED_VALUE"""),"AV EL CEMENTERIO 19081")</f>
        <v>AV EL CEMENTERIO 19081</v>
      </c>
      <c r="D5178" s="6" t="str">
        <f ca="1">IFERROR(__xludf.DUMMYFUNCTION("""COMPUTED_VALUE"""),"SAN JOSE DE MAIPO")</f>
        <v>SAN JOSE DE MAIPO</v>
      </c>
    </row>
    <row r="5179" spans="1:4">
      <c r="A5179" s="7">
        <f ca="1">IFERROR(__xludf.DUMMYFUNCTION("""COMPUTED_VALUE"""),44482)</f>
        <v>44482</v>
      </c>
      <c r="B5179" s="6" t="str">
        <f ca="1">IFERROR(__xludf.DUMMYFUNCTION("""COMPUTED_VALUE"""),"-33.6432573-70.374122")</f>
        <v>-33.6432573-70.374122</v>
      </c>
      <c r="C5179" s="6" t="str">
        <f ca="1">IFERROR(__xludf.DUMMYFUNCTION("""COMPUTED_VALUE"""),"PJE NORTE 19166")</f>
        <v>PJE NORTE 19166</v>
      </c>
      <c r="D5179" s="6" t="str">
        <f ca="1">IFERROR(__xludf.DUMMYFUNCTION("""COMPUTED_VALUE"""),"SAN JOSE DE MAIPO")</f>
        <v>SAN JOSE DE MAIPO</v>
      </c>
    </row>
    <row r="5180" spans="1:4">
      <c r="A5180" s="7">
        <f ca="1">IFERROR(__xludf.DUMMYFUNCTION("""COMPUTED_VALUE"""),44482)</f>
        <v>44482</v>
      </c>
      <c r="B5180" s="6" t="str">
        <f ca="1">IFERROR(__xludf.DUMMYFUNCTION("""COMPUTED_VALUE"""),"- 33.66122-70.34851")</f>
        <v>- 33.66122-70.34851</v>
      </c>
      <c r="C5180" s="6" t="str">
        <f ca="1">IFERROR(__xludf.DUMMYFUNCTION("""COMPUTED_VALUE"""),"CAMINO AL VOLCAN 22636")</f>
        <v>CAMINO AL VOLCAN 22636</v>
      </c>
      <c r="D5180" s="6" t="str">
        <f ca="1">IFERROR(__xludf.DUMMYFUNCTION("""COMPUTED_VALUE"""),"SAN JOSE DE MAIPO")</f>
        <v>SAN JOSE DE MAIPO</v>
      </c>
    </row>
    <row r="5181" spans="1:4">
      <c r="A5181" s="7">
        <f ca="1">IFERROR(__xludf.DUMMYFUNCTION("""COMPUTED_VALUE"""),44482)</f>
        <v>44482</v>
      </c>
      <c r="B5181" s="6" t="str">
        <f ca="1">IFERROR(__xludf.DUMMYFUNCTION("""COMPUTED_VALUE"""),"-33.66521-70.34562")</f>
        <v>-33.66521-70.34562</v>
      </c>
      <c r="C5181" s="6" t="str">
        <f ca="1">IFERROR(__xludf.DUMMYFUNCTION("""COMPUTED_VALUE"""),"CAMINO AL VOLCAN 20522")</f>
        <v>CAMINO AL VOLCAN 20522</v>
      </c>
      <c r="D5181" s="6" t="str">
        <f ca="1">IFERROR(__xludf.DUMMYFUNCTION("""COMPUTED_VALUE"""),"SAN JOSE DE MAIPO")</f>
        <v>SAN JOSE DE MAIPO</v>
      </c>
    </row>
    <row r="5182" spans="1:4">
      <c r="A5182" s="7">
        <f ca="1">IFERROR(__xludf.DUMMYFUNCTION("""COMPUTED_VALUE"""),44482)</f>
        <v>44482</v>
      </c>
      <c r="B5182" s="6" t="str">
        <f ca="1">IFERROR(__xludf.DUMMYFUNCTION("""COMPUTED_VALUE"""),"-33.208666,-70.776914")</f>
        <v>-33.208666,-70.776914</v>
      </c>
      <c r="C5182" s="6" t="str">
        <f ca="1">IFERROR(__xludf.DUMMYFUNCTION("""COMPUTED_VALUE"""),"COND QUILQUEN P.31")</f>
        <v>COND QUILQUEN P.31</v>
      </c>
      <c r="D5182" s="6" t="str">
        <f ca="1">IFERROR(__xludf.DUMMYFUNCTION("""COMPUTED_VALUE"""),"LAMPA")</f>
        <v>LAMPA</v>
      </c>
    </row>
    <row r="5183" spans="1:4">
      <c r="A5183" s="7">
        <f ca="1">IFERROR(__xludf.DUMMYFUNCTION("""COMPUTED_VALUE"""),44482)</f>
        <v>44482</v>
      </c>
      <c r="B5183" s="6" t="str">
        <f ca="1">IFERROR(__xludf.DUMMYFUNCTION("""COMPUTED_VALUE"""),"-33.227487,-70.791230")</f>
        <v>-33.227487,-70.791230</v>
      </c>
      <c r="C5183" s="6" t="str">
        <f ca="1">IFERROR(__xludf.DUMMYFUNCTION("""COMPUTED_VALUE"""),"LAS FRAMBUESAS P.12")</f>
        <v>LAS FRAMBUESAS P.12</v>
      </c>
      <c r="D5183" s="6" t="str">
        <f ca="1">IFERROR(__xludf.DUMMYFUNCTION("""COMPUTED_VALUE"""),"LAMPA")</f>
        <v>LAMPA</v>
      </c>
    </row>
    <row r="5184" spans="1:4">
      <c r="A5184" s="7">
        <f ca="1">IFERROR(__xludf.DUMMYFUNCTION("""COMPUTED_VALUE"""),44482)</f>
        <v>44482</v>
      </c>
      <c r="B5184" s="6" t="str">
        <f ca="1">IFERROR(__xludf.DUMMYFUNCTION("""COMPUTED_VALUE"""),"-33.703453,-70.55986")</f>
        <v>-33.703453,-70.55986</v>
      </c>
      <c r="C5184" s="6" t="str">
        <f ca="1">IFERROR(__xludf.DUMMYFUNCTION("""COMPUTED_VALUE"""),"HERNAN PRIETO PARC 28")</f>
        <v>HERNAN PRIETO PARC 28</v>
      </c>
      <c r="D5184" s="6" t="str">
        <f ca="1">IFERROR(__xludf.DUMMYFUNCTION("""COMPUTED_VALUE"""),"PIRQUE")</f>
        <v>PIRQUE</v>
      </c>
    </row>
    <row r="5185" spans="1:4">
      <c r="A5185" s="7">
        <f ca="1">IFERROR(__xludf.DUMMYFUNCTION("""COMPUTED_VALUE"""),44482)</f>
        <v>44482</v>
      </c>
      <c r="B5185" s="6" t="str">
        <f ca="1">IFERROR(__xludf.DUMMYFUNCTION("""COMPUTED_VALUE"""),"-33.703453,-70.55986")</f>
        <v>-33.703453,-70.55986</v>
      </c>
      <c r="C5185" s="6" t="str">
        <f ca="1">IFERROR(__xludf.DUMMYFUNCTION("""COMPUTED_VALUE"""),"HERNAN PRIETO PARC 2B")</f>
        <v>HERNAN PRIETO PARC 2B</v>
      </c>
      <c r="D5185" s="6" t="str">
        <f ca="1">IFERROR(__xludf.DUMMYFUNCTION("""COMPUTED_VALUE"""),"PIRQUE")</f>
        <v>PIRQUE</v>
      </c>
    </row>
    <row r="5186" spans="1:4">
      <c r="A5186" s="7">
        <f ca="1">IFERROR(__xludf.DUMMYFUNCTION("""COMPUTED_VALUE"""),44482)</f>
        <v>44482</v>
      </c>
      <c r="B5186" s="6" t="str">
        <f ca="1">IFERROR(__xludf.DUMMYFUNCTION("""COMPUTED_VALUE"""),"-33.6559424,-70.5947076")</f>
        <v>-33.6559424,-70.5947076</v>
      </c>
      <c r="C5186" s="6" t="str">
        <f ca="1">IFERROR(__xludf.DUMMYFUNCTION("""COMPUTED_VALUE"""),"LOS SIGOS PIRQUE")</f>
        <v>LOS SIGOS PIRQUE</v>
      </c>
      <c r="D5186" s="6" t="str">
        <f ca="1">IFERROR(__xludf.DUMMYFUNCTION("""COMPUTED_VALUE"""),"PIRQUE")</f>
        <v>PIRQUE</v>
      </c>
    </row>
    <row r="5187" spans="1:4">
      <c r="A5187" s="7">
        <f ca="1">IFERROR(__xludf.DUMMYFUNCTION("""COMPUTED_VALUE"""),44482)</f>
        <v>44482</v>
      </c>
      <c r="B5187" s="6" t="str">
        <f ca="1">IFERROR(__xludf.DUMMYFUNCTION("""COMPUTED_VALUE"""),"-33.739947,-70.864217")</f>
        <v>-33.739947,-70.864217</v>
      </c>
      <c r="C5187" s="6" t="str">
        <f ca="1">IFERROR(__xludf.DUMMYFUNCTION("""COMPUTED_VALUE"""),"ENRIQUE ALCALDE 221")</f>
        <v>ENRIQUE ALCALDE 221</v>
      </c>
      <c r="D5187" s="6" t="str">
        <f ca="1">IFERROR(__xludf.DUMMYFUNCTION("""COMPUTED_VALUE"""),"ISLA DE MAIPO")</f>
        <v>ISLA DE MAIPO</v>
      </c>
    </row>
    <row r="5188" spans="1:4">
      <c r="A5188" s="7">
        <f ca="1">IFERROR(__xludf.DUMMYFUNCTION("""COMPUTED_VALUE"""),44482)</f>
        <v>44482</v>
      </c>
      <c r="B5188" s="6" t="str">
        <f ca="1">IFERROR(__xludf.DUMMYFUNCTION("""COMPUTED_VALUE"""),"-33.785148,-71.320287")</f>
        <v>-33.785148,-71.320287</v>
      </c>
      <c r="C5188" s="6" t="str">
        <f ca="1">IFERROR(__xludf.DUMMYFUNCTION("""COMPUTED_VALUE"""),"SECTOR LAS LOMAS DE SAN ANTONIO 1860 P-5")</f>
        <v>SECTOR LAS LOMAS DE SAN ANTONIO 1860 P-5</v>
      </c>
      <c r="D5188" s="6" t="str">
        <f ca="1">IFERROR(__xludf.DUMMYFUNCTION("""COMPUTED_VALUE"""),"MELIPILLA")</f>
        <v>MELIPILLA</v>
      </c>
    </row>
    <row r="5189" spans="1:4">
      <c r="A5189" s="7">
        <f ca="1">IFERROR(__xludf.DUMMYFUNCTION("""COMPUTED_VALUE"""),44482)</f>
        <v>44482</v>
      </c>
      <c r="B5189" s="8" t="str">
        <f ca="1">IFERROR(__xludf.DUMMYFUNCTION("""COMPUTED_VALUE"""),"-33.662152,-71.033917")</f>
        <v>-33.662152,-71.033917</v>
      </c>
      <c r="C5189" s="6" t="str">
        <f ca="1">IFERROR(__xludf.DUMMYFUNCTION("""COMPUTED_VALUE"""),"PARCELA 3 LOTE 1")</f>
        <v>PARCELA 3 LOTE 1</v>
      </c>
      <c r="D5189" s="6" t="str">
        <f ca="1">IFERROR(__xludf.DUMMYFUNCTION("""COMPUTED_VALUE"""),"EL MONTE")</f>
        <v>EL MONTE</v>
      </c>
    </row>
    <row r="5190" spans="1:4">
      <c r="A5190" s="7">
        <f ca="1">IFERROR(__xludf.DUMMYFUNCTION("""COMPUTED_VALUE"""),44482)</f>
        <v>44482</v>
      </c>
      <c r="B5190" s="8" t="str">
        <f ca="1">IFERROR(__xludf.DUMMYFUNCTION("""COMPUTED_VALUE"""),"-33.680026,-70.948321")</f>
        <v>-33.680026,-70.948321</v>
      </c>
      <c r="C5190" s="6" t="str">
        <f ca="1">IFERROR(__xludf.DUMMYFUNCTION("""COMPUTED_VALUE"""),"JM LOPEZ 1162")</f>
        <v>JM LOPEZ 1162</v>
      </c>
      <c r="D5190" s="6" t="str">
        <f ca="1">IFERROR(__xludf.DUMMYFUNCTION("""COMPUTED_VALUE"""),"TALAGANTE")</f>
        <v>TALAGANTE</v>
      </c>
    </row>
    <row r="5191" spans="1:4">
      <c r="A5191" s="7">
        <f ca="1">IFERROR(__xludf.DUMMYFUNCTION("""COMPUTED_VALUE"""),44482)</f>
        <v>44482</v>
      </c>
      <c r="B5191" s="8" t="str">
        <f ca="1">IFERROR(__xludf.DUMMYFUNCTION("""COMPUTED_VALUE"""),"-33.647671,-71.231935")</f>
        <v>-33.647671,-71.231935</v>
      </c>
      <c r="C5191" s="6" t="str">
        <f ca="1">IFERROR(__xludf.DUMMYFUNCTION("""COMPUTED_VALUE"""),"STA. JULIA PARCELA 2")</f>
        <v>STA. JULIA PARCELA 2</v>
      </c>
      <c r="D5191" s="6" t="str">
        <f ca="1">IFERROR(__xludf.DUMMYFUNCTION("""COMPUTED_VALUE"""),"MELIPILLA")</f>
        <v>MELIPILLA</v>
      </c>
    </row>
    <row r="5192" spans="1:4">
      <c r="A5192" s="7">
        <f ca="1">IFERROR(__xludf.DUMMYFUNCTION("""COMPUTED_VALUE"""),44482)</f>
        <v>44482</v>
      </c>
      <c r="B5192" s="8" t="str">
        <f ca="1">IFERROR(__xludf.DUMMYFUNCTION("""COMPUTED_VALUE"""),"-33.648197,-70820228")</f>
        <v>-33.648197,-70820228</v>
      </c>
      <c r="C5192" s="6" t="str">
        <f ca="1">IFERROR(__xludf.DUMMYFUNCTION("""COMPUTED_VALUE"""),"LOQUEN SUR 24 1/2")</f>
        <v>LOQUEN SUR 24 1/2</v>
      </c>
      <c r="D5192" s="6" t="str">
        <f ca="1">IFERROR(__xludf.DUMMYFUNCTION("""COMPUTED_VALUE"""),"TALAGANTE")</f>
        <v>TALAGANTE</v>
      </c>
    </row>
    <row r="5193" spans="1:4">
      <c r="A5193" s="7">
        <f ca="1">IFERROR(__xludf.DUMMYFUNCTION("""COMPUTED_VALUE"""),44482)</f>
        <v>44482</v>
      </c>
      <c r="B5193" s="6" t="str">
        <f ca="1">IFERROR(__xludf.DUMMYFUNCTION("""COMPUTED_VALUE"""),"-33.164383-71.317756")</f>
        <v>-33.164383-71.317756</v>
      </c>
      <c r="C5193" s="6" t="str">
        <f ca="1">IFERROR(__xludf.DUMMYFUNCTION("""COMPUTED_VALUE"""),"CAMINO COLLIGUAY P 57")</f>
        <v>CAMINO COLLIGUAY P 57</v>
      </c>
      <c r="D5193" s="6" t="str">
        <f ca="1">IFERROR(__xludf.DUMMYFUNCTION("""COMPUTED_VALUE"""),"QUILPUÉ")</f>
        <v>QUILPUÉ</v>
      </c>
    </row>
    <row r="5194" spans="1:4">
      <c r="A5194" s="7">
        <f ca="1">IFERROR(__xludf.DUMMYFUNCTION("""COMPUTED_VALUE"""),44482)</f>
        <v>44482</v>
      </c>
      <c r="B5194" s="6" t="str">
        <f ca="1">IFERROR(__xludf.DUMMYFUNCTION("""COMPUTED_VALUE"""),"-33.164383-71.317726")</f>
        <v>-33.164383-71.317726</v>
      </c>
      <c r="C5194" s="6" t="str">
        <f ca="1">IFERROR(__xludf.DUMMYFUNCTION("""COMPUTED_VALUE"""),"CAMINO PUBLICO 2309")</f>
        <v>CAMINO PUBLICO 2309</v>
      </c>
      <c r="D5194" s="6" t="str">
        <f ca="1">IFERROR(__xludf.DUMMYFUNCTION("""COMPUTED_VALUE"""),"QUILPUÉ")</f>
        <v>QUILPUÉ</v>
      </c>
    </row>
    <row r="5195" spans="1:4">
      <c r="A5195" s="7">
        <f ca="1">IFERROR(__xludf.DUMMYFUNCTION("""COMPUTED_VALUE"""),44482)</f>
        <v>44482</v>
      </c>
      <c r="B5195" s="6" t="str">
        <f ca="1">IFERROR(__xludf.DUMMYFUNCTION("""COMPUTED_VALUE"""),"-33.164383-71.317705")</f>
        <v>-33.164383-71.317705</v>
      </c>
      <c r="C5195" s="6" t="str">
        <f ca="1">IFERROR(__xludf.DUMMYFUNCTION("""COMPUTED_VALUE"""),"CAMINO COLLIGUAY P 57")</f>
        <v>CAMINO COLLIGUAY P 57</v>
      </c>
      <c r="D5195" s="6" t="str">
        <f ca="1">IFERROR(__xludf.DUMMYFUNCTION("""COMPUTED_VALUE"""),"QUILPUÉ")</f>
        <v>QUILPUÉ</v>
      </c>
    </row>
    <row r="5196" spans="1:4">
      <c r="A5196" s="7">
        <f ca="1">IFERROR(__xludf.DUMMYFUNCTION("""COMPUTED_VALUE"""),44483)</f>
        <v>44483</v>
      </c>
      <c r="B5196" s="8" t="str">
        <f ca="1">IFERROR(__xludf.DUMMYFUNCTION("""COMPUTED_VALUE"""),"-33.731163,-70.982041")</f>
        <v>-33.731163,-70.982041</v>
      </c>
      <c r="C5196" s="6" t="str">
        <f ca="1">IFERROR(__xludf.DUMMYFUNCTION("""COMPUTED_VALUE"""),"AV SAN ANTONIO 1090")</f>
        <v>AV SAN ANTONIO 1090</v>
      </c>
      <c r="D5196" s="6" t="str">
        <f ca="1">IFERROR(__xludf.DUMMYFUNCTION("""COMPUTED_VALUE"""),"ISLA DE MAIPO")</f>
        <v>ISLA DE MAIPO</v>
      </c>
    </row>
    <row r="5197" spans="1:4">
      <c r="A5197" s="7">
        <f ca="1">IFERROR(__xludf.DUMMYFUNCTION("""COMPUTED_VALUE"""),44483)</f>
        <v>44483</v>
      </c>
      <c r="B5197" s="6" t="str">
        <f ca="1">IFERROR(__xludf.DUMMYFUNCTION("""COMPUTED_VALUE"""),"-33.13593-70.80801")</f>
        <v>-33.13593-70.80801</v>
      </c>
      <c r="C5197" s="6" t="str">
        <f ca="1">IFERROR(__xludf.DUMMYFUNCTION("""COMPUTED_VALUE"""),"UNO ORIENTE M-B L-2 ")</f>
        <v xml:space="preserve">UNO ORIENTE M-B L-2 </v>
      </c>
      <c r="D5197" s="6" t="str">
        <f ca="1">IFERROR(__xludf.DUMMYFUNCTION("""COMPUTED_VALUE"""),"TIL TIL")</f>
        <v>TIL TIL</v>
      </c>
    </row>
    <row r="5198" spans="1:4">
      <c r="A5198" s="7">
        <f ca="1">IFERROR(__xludf.DUMMYFUNCTION("""COMPUTED_VALUE"""),44483)</f>
        <v>44483</v>
      </c>
      <c r="B5198" s="6" t="str">
        <f ca="1">IFERROR(__xludf.DUMMYFUNCTION("""COMPUTED_VALUE"""),"-33.12218-70.79898")</f>
        <v>-33.12218-70.79898</v>
      </c>
      <c r="C5198" s="6" t="str">
        <f ca="1">IFERROR(__xludf.DUMMYFUNCTION("""COMPUTED_VALUE"""),"LOS LINGUES LOTE L15")</f>
        <v>LOS LINGUES LOTE L15</v>
      </c>
      <c r="D5198" s="6" t="str">
        <f ca="1">IFERROR(__xludf.DUMMYFUNCTION("""COMPUTED_VALUE"""),"TIL TIL")</f>
        <v>TIL TIL</v>
      </c>
    </row>
    <row r="5199" spans="1:4">
      <c r="A5199" s="7">
        <f ca="1">IFERROR(__xludf.DUMMYFUNCTION("""COMPUTED_VALUE"""),44483)</f>
        <v>44483</v>
      </c>
      <c r="B5199" s="6" t="str">
        <f ca="1">IFERROR(__xludf.DUMMYFUNCTION("""COMPUTED_VALUE"""),"-33.12443-70.80045")</f>
        <v>-33.12443-70.80045</v>
      </c>
      <c r="C5199" s="6" t="str">
        <f ca="1">IFERROR(__xludf.DUMMYFUNCTION("""COMPUTED_VALUE"""),"LOS LINGUES 23 L 23")</f>
        <v>LOS LINGUES 23 L 23</v>
      </c>
      <c r="D5199" s="6" t="str">
        <f ca="1">IFERROR(__xludf.DUMMYFUNCTION("""COMPUTED_VALUE"""),"TIL TIL")</f>
        <v>TIL TIL</v>
      </c>
    </row>
    <row r="5200" spans="1:4">
      <c r="A5200" s="7">
        <f ca="1">IFERROR(__xludf.DUMMYFUNCTION("""COMPUTED_VALUE"""),44483)</f>
        <v>44483</v>
      </c>
      <c r="B5200" s="6" t="str">
        <f ca="1">IFERROR(__xludf.DUMMYFUNCTION("""COMPUTED_VALUE"""),"-33.141224-70.80118")</f>
        <v>-33.141224-70.80118</v>
      </c>
      <c r="C5200" s="6" t="str">
        <f ca="1">IFERROR(__xludf.DUMMYFUNCTION("""COMPUTED_VALUE"""),"2 ORIENTE ")</f>
        <v xml:space="preserve">2 ORIENTE </v>
      </c>
      <c r="D5200" s="6" t="str">
        <f ca="1">IFERROR(__xludf.DUMMYFUNCTION("""COMPUTED_VALUE"""),"TIL TIL")</f>
        <v>TIL TIL</v>
      </c>
    </row>
    <row r="5201" spans="1:4">
      <c r="A5201" s="7">
        <f ca="1">IFERROR(__xludf.DUMMYFUNCTION("""COMPUTED_VALUE"""),44483)</f>
        <v>44483</v>
      </c>
      <c r="B5201" s="6" t="str">
        <f ca="1">IFERROR(__xludf.DUMMYFUNCTION("""COMPUTED_VALUE"""),"-33.6347716-70.3498931")</f>
        <v>-33.6347716-70.3498931</v>
      </c>
      <c r="C5201" s="6" t="str">
        <f ca="1">IFERROR(__xludf.DUMMYFUNCTION("""COMPUTED_VALUE"""),"AV. EL ESFUERZO 19024 H")</f>
        <v>AV. EL ESFUERZO 19024 H</v>
      </c>
      <c r="D5201" s="6" t="str">
        <f ca="1">IFERROR(__xludf.DUMMYFUNCTION("""COMPUTED_VALUE"""),"SAN JOSE DE MAIPO")</f>
        <v>SAN JOSE DE MAIPO</v>
      </c>
    </row>
    <row r="5202" spans="1:4">
      <c r="A5202" s="7">
        <f ca="1">IFERROR(__xludf.DUMMYFUNCTION("""COMPUTED_VALUE"""),44483)</f>
        <v>44483</v>
      </c>
      <c r="B5202" s="6" t="str">
        <f ca="1">IFERROR(__xludf.DUMMYFUNCTION("""COMPUTED_VALUE"""),"-33.6374133-70.34714")</f>
        <v>-33.6374133-70.34714</v>
      </c>
      <c r="C5202" s="6" t="str">
        <f ca="1">IFERROR(__xludf.DUMMYFUNCTION("""COMPUTED_VALUE"""),"AV. EL CEMENTERIO 19353")</f>
        <v>AV. EL CEMENTERIO 19353</v>
      </c>
      <c r="D5202" s="6" t="str">
        <f ca="1">IFERROR(__xludf.DUMMYFUNCTION("""COMPUTED_VALUE"""),"SAN JOSE DE MAIPO")</f>
        <v>SAN JOSE DE MAIPO</v>
      </c>
    </row>
    <row r="5203" spans="1:4">
      <c r="A5203" s="7">
        <f ca="1">IFERROR(__xludf.DUMMYFUNCTION("""COMPUTED_VALUE"""),44483)</f>
        <v>44483</v>
      </c>
      <c r="B5203" s="6" t="str">
        <f ca="1">IFERROR(__xludf.DUMMYFUNCTION("""COMPUTED_VALUE"""),"-33.785668,-70.886595")</f>
        <v>-33.785668,-70.886595</v>
      </c>
      <c r="C5203" s="6" t="str">
        <f ca="1">IFERROR(__xludf.DUMMYFUNCTION("""COMPUTED_VALUE"""),"SAN MARTIRIAN 722")</f>
        <v>SAN MARTIRIAN 722</v>
      </c>
      <c r="D5203" s="6" t="str">
        <f ca="1">IFERROR(__xludf.DUMMYFUNCTION("""COMPUTED_VALUE"""),"ISLA DE MAIPO")</f>
        <v>ISLA DE MAIPO</v>
      </c>
    </row>
    <row r="5204" spans="1:4">
      <c r="A5204" s="7">
        <f ca="1">IFERROR(__xludf.DUMMYFUNCTION("""COMPUTED_VALUE"""),44483)</f>
        <v>44483</v>
      </c>
      <c r="B5204" s="6" t="str">
        <f ca="1">IFERROR(__xludf.DUMMYFUNCTION("""COMPUTED_VALUE"""),"-33.648194,-71.149125")</f>
        <v>-33.648194,-71.149125</v>
      </c>
      <c r="C5204" s="6" t="str">
        <f ca="1">IFERROR(__xludf.DUMMYFUNCTION("""COMPUTED_VALUE"""),"ROBERTO BRAVO S/N")</f>
        <v>ROBERTO BRAVO S/N</v>
      </c>
      <c r="D5204" s="6" t="str">
        <f ca="1">IFERROR(__xludf.DUMMYFUNCTION("""COMPUTED_VALUE"""),"MELIPILLA")</f>
        <v>MELIPILLA</v>
      </c>
    </row>
    <row r="5205" spans="1:4">
      <c r="A5205" s="7">
        <f ca="1">IFERROR(__xludf.DUMMYFUNCTION("""COMPUTED_VALUE"""),44483)</f>
        <v>44483</v>
      </c>
      <c r="B5205" s="6" t="str">
        <f ca="1">IFERROR(__xludf.DUMMYFUNCTION("""COMPUTED_VALUE"""),"-33.648263,-71.149433")</f>
        <v>-33.648263,-71.149433</v>
      </c>
      <c r="C5205" s="6" t="str">
        <f ca="1">IFERROR(__xludf.DUMMYFUNCTION("""COMPUTED_VALUE"""),"ROBERTO BRAVO 490 POMAIRE")</f>
        <v>ROBERTO BRAVO 490 POMAIRE</v>
      </c>
      <c r="D5205" s="6" t="str">
        <f ca="1">IFERROR(__xludf.DUMMYFUNCTION("""COMPUTED_VALUE"""),"MELIPILLA")</f>
        <v>MELIPILLA</v>
      </c>
    </row>
    <row r="5206" spans="1:4">
      <c r="A5206" s="7">
        <f ca="1">IFERROR(__xludf.DUMMYFUNCTION("""COMPUTED_VALUE"""),44483)</f>
        <v>44483</v>
      </c>
      <c r="B5206" s="8" t="str">
        <f ca="1">IFERROR(__xludf.DUMMYFUNCTION("""COMPUTED_VALUE"""),"-33.688260,-71208729")</f>
        <v>-33.688260,-71208729</v>
      </c>
      <c r="C5206" s="6" t="str">
        <f ca="1">IFERROR(__xludf.DUMMYFUNCTION("""COMPUTED_VALUE"""),"VILLA LAS MARGARITAS B2 119")</f>
        <v>VILLA LAS MARGARITAS B2 119</v>
      </c>
      <c r="D5206" s="6" t="str">
        <f ca="1">IFERROR(__xludf.DUMMYFUNCTION("""COMPUTED_VALUE"""),"MELIPILLA")</f>
        <v>MELIPILLA</v>
      </c>
    </row>
    <row r="5207" spans="1:4">
      <c r="A5207" s="7">
        <f ca="1">IFERROR(__xludf.DUMMYFUNCTION("""COMPUTED_VALUE"""),44483)</f>
        <v>44483</v>
      </c>
      <c r="B5207" s="8" t="str">
        <f ca="1">IFERROR(__xludf.DUMMYFUNCTION("""COMPUTED_VALUE"""),"-33.729827,-71.170630")</f>
        <v>-33.729827,-71.170630</v>
      </c>
      <c r="C5207" s="6" t="str">
        <f ca="1">IFERROR(__xludf.DUMMYFUNCTION("""COMPUTED_VALUE"""),"CARMEN BAJO PARCELA 12")</f>
        <v>CARMEN BAJO PARCELA 12</v>
      </c>
      <c r="D5207" s="6" t="str">
        <f ca="1">IFERROR(__xludf.DUMMYFUNCTION("""COMPUTED_VALUE"""),"MELIPILLA")</f>
        <v>MELIPILLA</v>
      </c>
    </row>
    <row r="5208" spans="1:4">
      <c r="A5208" s="7">
        <f ca="1">IFERROR(__xludf.DUMMYFUNCTION("""COMPUTED_VALUE"""),44483)</f>
        <v>44483</v>
      </c>
      <c r="B5208" s="6" t="str">
        <f ca="1">IFERROR(__xludf.DUMMYFUNCTION("""COMPUTED_VALUE"""),"-33.059813-71.398602")</f>
        <v>-33.059813-71.398602</v>
      </c>
      <c r="C5208" s="6" t="str">
        <f ca="1">IFERROR(__xludf.DUMMYFUNCTION("""COMPUTED_VALUE"""),"BETELGUESE 1041")</f>
        <v>BETELGUESE 1041</v>
      </c>
      <c r="D5208" s="6" t="str">
        <f ca="1">IFERROR(__xludf.DUMMYFUNCTION("""COMPUTED_VALUE"""),"QUILPUÉ")</f>
        <v>QUILPUÉ</v>
      </c>
    </row>
    <row r="5209" spans="1:4">
      <c r="A5209" s="7">
        <f ca="1">IFERROR(__xludf.DUMMYFUNCTION("""COMPUTED_VALUE"""),44483)</f>
        <v>44483</v>
      </c>
      <c r="B5209" s="6" t="str">
        <f ca="1">IFERROR(__xludf.DUMMYFUNCTION("""COMPUTED_VALUE"""),"-33.0592630-71.4000880")</f>
        <v>-33.0592630-71.4000880</v>
      </c>
      <c r="C5209" s="6" t="str">
        <f ca="1">IFERROR(__xludf.DUMMYFUNCTION("""COMPUTED_VALUE"""),"ACHERMAR 1036")</f>
        <v>ACHERMAR 1036</v>
      </c>
      <c r="D5209" s="6" t="str">
        <f ca="1">IFERROR(__xludf.DUMMYFUNCTION("""COMPUTED_VALUE"""),"QUILPUÉ")</f>
        <v>QUILPUÉ</v>
      </c>
    </row>
    <row r="5210" spans="1:4">
      <c r="A5210" s="7">
        <f ca="1">IFERROR(__xludf.DUMMYFUNCTION("""COMPUTED_VALUE"""),44484)</f>
        <v>44484</v>
      </c>
      <c r="B5210" s="6" t="str">
        <f ca="1">IFERROR(__xludf.DUMMYFUNCTION("""COMPUTED_VALUE"""),"-33.4084267-71.1375209")</f>
        <v>-33.4084267-71.1375209</v>
      </c>
      <c r="C5210" s="6" t="str">
        <f ca="1">IFERROR(__xludf.DUMMYFUNCTION("""COMPUTED_VALUE"""),"AV CIRCUNVALACION 1195")</f>
        <v>AV CIRCUNVALACION 1195</v>
      </c>
      <c r="D5210" s="6" t="str">
        <f ca="1">IFERROR(__xludf.DUMMYFUNCTION("""COMPUTED_VALUE"""),"CURACAVI")</f>
        <v>CURACAVI</v>
      </c>
    </row>
    <row r="5211" spans="1:4">
      <c r="A5211" s="7">
        <f ca="1">IFERROR(__xludf.DUMMYFUNCTION("""COMPUTED_VALUE"""),44484)</f>
        <v>44484</v>
      </c>
      <c r="B5211" s="6" t="str">
        <f ca="1">IFERROR(__xludf.DUMMYFUNCTION("""COMPUTED_VALUE"""),"-33.4084267-71.1375209")</f>
        <v>-33.4084267-71.1375209</v>
      </c>
      <c r="C5211" s="6" t="str">
        <f ca="1">IFERROR(__xludf.DUMMYFUNCTION("""COMPUTED_VALUE"""),"AV CIRCUNVALACION 1195")</f>
        <v>AV CIRCUNVALACION 1195</v>
      </c>
      <c r="D5211" s="6" t="str">
        <f ca="1">IFERROR(__xludf.DUMMYFUNCTION("""COMPUTED_VALUE"""),"CURACAVI")</f>
        <v>CURACAVI</v>
      </c>
    </row>
    <row r="5212" spans="1:4">
      <c r="A5212" s="7">
        <f ca="1">IFERROR(__xludf.DUMMYFUNCTION("""COMPUTED_VALUE"""),44484)</f>
        <v>44484</v>
      </c>
      <c r="B5212" s="6" t="str">
        <f ca="1">IFERROR(__xludf.DUMMYFUNCTION("""COMPUTED_VALUE"""),"-33.677171,-70.582183")</f>
        <v>-33.677171,-70.582183</v>
      </c>
      <c r="C5212" s="6" t="str">
        <f ca="1">IFERROR(__xludf.DUMMYFUNCTION("""COMPUTED_VALUE"""),"LAS DALIAS 1335")</f>
        <v>LAS DALIAS 1335</v>
      </c>
      <c r="D5212" s="6" t="str">
        <f ca="1">IFERROR(__xludf.DUMMYFUNCTION("""COMPUTED_VALUE"""),"PIRQUE")</f>
        <v>PIRQUE</v>
      </c>
    </row>
    <row r="5213" spans="1:4">
      <c r="A5213" s="7">
        <f ca="1">IFERROR(__xludf.DUMMYFUNCTION("""COMPUTED_VALUE"""),44484)</f>
        <v>44484</v>
      </c>
      <c r="B5213" s="6" t="str">
        <f ca="1">IFERROR(__xludf.DUMMYFUNCTION("""COMPUTED_VALUE"""),"-33.676301,-70.580904")</f>
        <v>-33.676301,-70.580904</v>
      </c>
      <c r="C5213" s="6" t="str">
        <f ca="1">IFERROR(__xludf.DUMMYFUNCTION("""COMPUTED_VALUE"""),"AV. LAS MARGARITAS 1200")</f>
        <v>AV. LAS MARGARITAS 1200</v>
      </c>
      <c r="D5213" s="6" t="str">
        <f ca="1">IFERROR(__xludf.DUMMYFUNCTION("""COMPUTED_VALUE"""),"PIRQUE")</f>
        <v>PIRQUE</v>
      </c>
    </row>
    <row r="5214" spans="1:4">
      <c r="A5214" s="7">
        <f ca="1">IFERROR(__xludf.DUMMYFUNCTION("""COMPUTED_VALUE"""),44484)</f>
        <v>44484</v>
      </c>
      <c r="B5214" s="6" t="str">
        <f ca="1">IFERROR(__xludf.DUMMYFUNCTION("""COMPUTED_VALUE"""),"-33.710147,-70.531212")</f>
        <v>-33.710147,-70.531212</v>
      </c>
      <c r="C5214" s="6" t="str">
        <f ca="1">IFERROR(__xludf.DUMMYFUNCTION("""COMPUTED_VALUE"""),"ORILLA DEL RIO 169")</f>
        <v>ORILLA DEL RIO 169</v>
      </c>
      <c r="D5214" s="6" t="str">
        <f ca="1">IFERROR(__xludf.DUMMYFUNCTION("""COMPUTED_VALUE"""),"PIRQUE")</f>
        <v>PIRQUE</v>
      </c>
    </row>
    <row r="5215" spans="1:4">
      <c r="A5215" s="7">
        <f ca="1">IFERROR(__xludf.DUMMYFUNCTION("""COMPUTED_VALUE"""),44484)</f>
        <v>44484</v>
      </c>
      <c r="B5215" s="6" t="str">
        <f ca="1">IFERROR(__xludf.DUMMYFUNCTION("""COMPUTED_VALUE"""),"-33.7391672,-70.6836507")</f>
        <v>-33.7391672,-70.6836507</v>
      </c>
      <c r="C5215" s="6" t="str">
        <f ca="1">IFERROR(__xludf.DUMMYFUNCTION("""COMPUTED_VALUE"""),"SAN LUIS 477 ALTO JAHUEL")</f>
        <v>SAN LUIS 477 ALTO JAHUEL</v>
      </c>
      <c r="D5215" s="6" t="str">
        <f ca="1">IFERROR(__xludf.DUMMYFUNCTION("""COMPUTED_VALUE"""),"BUIN")</f>
        <v>BUIN</v>
      </c>
    </row>
    <row r="5216" spans="1:4">
      <c r="A5216" s="7">
        <f ca="1">IFERROR(__xludf.DUMMYFUNCTION("""COMPUTED_VALUE"""),44484)</f>
        <v>44484</v>
      </c>
      <c r="B5216" s="6" t="str">
        <f ca="1">IFERROR(__xludf.DUMMYFUNCTION("""COMPUTED_VALUE"""),"-33.734541,-70.904798")</f>
        <v>-33.734541,-70.904798</v>
      </c>
      <c r="C5216" s="6" t="str">
        <f ca="1">IFERROR(__xludf.DUMMYFUNCTION("""COMPUTED_VALUE"""),"GUILLERMO ALCANDE  1407")</f>
        <v>GUILLERMO ALCANDE  1407</v>
      </c>
      <c r="D5216" s="6" t="str">
        <f ca="1">IFERROR(__xludf.DUMMYFUNCTION("""COMPUTED_VALUE"""),"ISLA DE MAIPO")</f>
        <v>ISLA DE MAIPO</v>
      </c>
    </row>
    <row r="5217" spans="1:4">
      <c r="A5217" s="7">
        <f ca="1">IFERROR(__xludf.DUMMYFUNCTION("""COMPUTED_VALUE"""),44484)</f>
        <v>44484</v>
      </c>
      <c r="B5217" s="6" t="str">
        <f ca="1">IFERROR(__xludf.DUMMYFUNCTION("""COMPUTED_VALUE"""),"-33.784748,-70.885719")</f>
        <v>-33.784748,-70.885719</v>
      </c>
      <c r="C5217" s="6" t="str">
        <f ca="1">IFERROR(__xludf.DUMMYFUNCTION("""COMPUTED_VALUE"""),"LIBERTAD 1800")</f>
        <v>LIBERTAD 1800</v>
      </c>
      <c r="D5217" s="6" t="str">
        <f ca="1">IFERROR(__xludf.DUMMYFUNCTION("""COMPUTED_VALUE"""),"ISLA DE MAIPO")</f>
        <v>ISLA DE MAIPO</v>
      </c>
    </row>
    <row r="5218" spans="1:4">
      <c r="A5218" s="7">
        <f ca="1">IFERROR(__xludf.DUMMYFUNCTION("""COMPUTED_VALUE"""),44484)</f>
        <v>44484</v>
      </c>
      <c r="B5218" s="6" t="str">
        <f ca="1">IFERROR(__xludf.DUMMYFUNCTION("""COMPUTED_VALUE"""),"-33.887543,-71.454897")</f>
        <v>-33.887543,-71.454897</v>
      </c>
      <c r="C5218" s="6" t="str">
        <f ca="1">IFERROR(__xludf.DUMMYFUNCTION("""COMPUTED_VALUE"""),"CO CEMENTERIO S/N")</f>
        <v>CO CEMENTERIO S/N</v>
      </c>
      <c r="D5218" s="6" t="str">
        <f ca="1">IFERROR(__xludf.DUMMYFUNCTION("""COMPUTED_VALUE"""),"SAN PEDRO")</f>
        <v>SAN PEDRO</v>
      </c>
    </row>
    <row r="5219" spans="1:4">
      <c r="A5219" s="7">
        <f ca="1">IFERROR(__xludf.DUMMYFUNCTION("""COMPUTED_VALUE"""),44484)</f>
        <v>44484</v>
      </c>
      <c r="B5219" s="8" t="str">
        <f ca="1">IFERROR(__xludf.DUMMYFUNCTION("""COMPUTED_VALUE"""),"-33.791551,-71.285819")</f>
        <v>-33.791551,-71.285819</v>
      </c>
      <c r="C5219" s="6" t="str">
        <f ca="1">IFERROR(__xludf.DUMMYFUNCTION("""COMPUTED_VALUE"""),"MANDINGA VILLA EDUARDO VELOZ ")</f>
        <v xml:space="preserve">MANDINGA VILLA EDUARDO VELOZ </v>
      </c>
      <c r="D5219" s="6" t="str">
        <f ca="1">IFERROR(__xludf.DUMMYFUNCTION("""COMPUTED_VALUE"""),"MELIPILLA")</f>
        <v>MELIPILLA</v>
      </c>
    </row>
    <row r="5220" spans="1:4">
      <c r="A5220" s="7">
        <f ca="1">IFERROR(__xludf.DUMMYFUNCTION("""COMPUTED_VALUE"""),44484)</f>
        <v>44484</v>
      </c>
      <c r="B5220" s="8" t="str">
        <f ca="1">IFERROR(__xludf.DUMMYFUNCTION("""COMPUTED_VALUE"""),"-33.688369,-71.222424")</f>
        <v>-33.688369,-71.222424</v>
      </c>
      <c r="C5220" s="6" t="str">
        <f ca="1">IFERROR(__xludf.DUMMYFUNCTION("""COMPUTED_VALUE"""),"ALPATA 80")</f>
        <v>ALPATA 80</v>
      </c>
      <c r="D5220" s="6" t="str">
        <f ca="1">IFERROR(__xludf.DUMMYFUNCTION("""COMPUTED_VALUE"""),"MELIPILLA")</f>
        <v>MELIPILLA</v>
      </c>
    </row>
    <row r="5221" spans="1:4">
      <c r="A5221" s="7">
        <f ca="1">IFERROR(__xludf.DUMMYFUNCTION("""COMPUTED_VALUE"""),44485)</f>
        <v>44485</v>
      </c>
      <c r="B5221" s="6" t="str">
        <f ca="1">IFERROR(__xludf.DUMMYFUNCTION("""COMPUTED_VALUE"""),"-33.78949-71.26257")</f>
        <v>-33.78949-71.26257</v>
      </c>
      <c r="C5221" s="6" t="str">
        <f ca="1">IFERROR(__xludf.DUMMYFUNCTION("""COMPUTED_VALUE"""),"LAS PALMERAS S/N")</f>
        <v>LAS PALMERAS S/N</v>
      </c>
      <c r="D5221" s="6" t="str">
        <f ca="1">IFERROR(__xludf.DUMMYFUNCTION("""COMPUTED_VALUE"""),"MELIPILLA")</f>
        <v>MELIPILLA</v>
      </c>
    </row>
    <row r="5222" spans="1:4">
      <c r="A5222" s="7">
        <f ca="1">IFERROR(__xludf.DUMMYFUNCTION("""COMPUTED_VALUE"""),44485)</f>
        <v>44485</v>
      </c>
      <c r="B5222" s="6" t="str">
        <f ca="1">IFERROR(__xludf.DUMMYFUNCTION("""COMPUTED_VALUE"""),"-33.78949-71.20257")</f>
        <v>-33.78949-71.20257</v>
      </c>
      <c r="C5222" s="6" t="str">
        <f ca="1">IFERROR(__xludf.DUMMYFUNCTION("""COMPUTED_VALUE"""),"LAS PALMERAS S/N")</f>
        <v>LAS PALMERAS S/N</v>
      </c>
      <c r="D5222" s="6" t="str">
        <f ca="1">IFERROR(__xludf.DUMMYFUNCTION("""COMPUTED_VALUE"""),"MELIPILLA")</f>
        <v>MELIPILLA</v>
      </c>
    </row>
    <row r="5223" spans="1:4">
      <c r="A5223" s="7">
        <f ca="1">IFERROR(__xludf.DUMMYFUNCTION("""COMPUTED_VALUE"""),44485)</f>
        <v>44485</v>
      </c>
      <c r="B5223" s="6" t="str">
        <f ca="1">IFERROR(__xludf.DUMMYFUNCTION("""COMPUTED_VALUE"""),"-33.67371-71.21128")</f>
        <v>-33.67371-71.21128</v>
      </c>
      <c r="C5223" s="6" t="str">
        <f ca="1">IFERROR(__xludf.DUMMYFUNCTION("""COMPUTED_VALUE"""),"GRICELDA ALVAREZ DE ROMANINI 281")</f>
        <v>GRICELDA ALVAREZ DE ROMANINI 281</v>
      </c>
      <c r="D5223" s="6" t="str">
        <f ca="1">IFERROR(__xludf.DUMMYFUNCTION("""COMPUTED_VALUE"""),"MELIPILLA")</f>
        <v>MELIPILLA</v>
      </c>
    </row>
    <row r="5224" spans="1:4">
      <c r="A5224" s="7">
        <f ca="1">IFERROR(__xludf.DUMMYFUNCTION("""COMPUTED_VALUE"""),44485)</f>
        <v>44485</v>
      </c>
      <c r="B5224" s="6" t="str">
        <f ca="1">IFERROR(__xludf.DUMMYFUNCTION("""COMPUTED_VALUE"""),"-33.572682-70.799438")</f>
        <v>-33.572682-70.799438</v>
      </c>
      <c r="C5224" s="6" t="str">
        <f ca="1">IFERROR(__xludf.DUMMYFUNCTION("""COMPUTED_VALUE"""),"ERNESTINA PEREZ 1324")</f>
        <v>ERNESTINA PEREZ 1324</v>
      </c>
      <c r="D5224" s="6" t="str">
        <f ca="1">IFERROR(__xludf.DUMMYFUNCTION("""COMPUTED_VALUE"""),"PADRE HURTADO")</f>
        <v>PADRE HURTADO</v>
      </c>
    </row>
    <row r="5225" spans="1:4">
      <c r="A5225" s="7">
        <f ca="1">IFERROR(__xludf.DUMMYFUNCTION("""COMPUTED_VALUE"""),44485)</f>
        <v>44485</v>
      </c>
      <c r="B5225" s="6" t="str">
        <f ca="1">IFERROR(__xludf.DUMMYFUNCTION("""COMPUTED_VALUE"""),"-33.398933-71.123688")</f>
        <v>-33.398933-71.123688</v>
      </c>
      <c r="C5225" s="6" t="str">
        <f ca="1">IFERROR(__xludf.DUMMYFUNCTION("""COMPUTED_VALUE"""),"EL QUILLAY 2152")</f>
        <v>EL QUILLAY 2152</v>
      </c>
      <c r="D5225" s="6" t="str">
        <f ca="1">IFERROR(__xludf.DUMMYFUNCTION("""COMPUTED_VALUE"""),"CURACAVI")</f>
        <v>CURACAVI</v>
      </c>
    </row>
    <row r="5226" spans="1:4">
      <c r="A5226" s="7">
        <f ca="1">IFERROR(__xludf.DUMMYFUNCTION("""COMPUTED_VALUE"""),44485)</f>
        <v>44485</v>
      </c>
      <c r="B5226" s="6" t="str">
        <f ca="1">IFERROR(__xludf.DUMMYFUNCTION("""COMPUTED_VALUE"""),"-33.6757197,-70.6188143")</f>
        <v>-33.6757197,-70.6188143</v>
      </c>
      <c r="C5226" s="6" t="str">
        <f ca="1">IFERROR(__xludf.DUMMYFUNCTION("""COMPUTED_VALUE"""),"LOS QUILLAYES 241")</f>
        <v>LOS QUILLAYES 241</v>
      </c>
      <c r="D5226" s="6" t="str">
        <f ca="1">IFERROR(__xludf.DUMMYFUNCTION("""COMPUTED_VALUE"""),"PIRQUE")</f>
        <v>PIRQUE</v>
      </c>
    </row>
    <row r="5227" spans="1:4">
      <c r="A5227" s="7">
        <f ca="1">IFERROR(__xludf.DUMMYFUNCTION("""COMPUTED_VALUE"""),44485)</f>
        <v>44485</v>
      </c>
      <c r="B5227" s="6" t="str">
        <f ca="1">IFERROR(__xludf.DUMMYFUNCTION("""COMPUTED_VALUE"""),"-33.6572209,-70.5935603")</f>
        <v>-33.6572209,-70.5935603</v>
      </c>
      <c r="C5227" s="6" t="str">
        <f ca="1">IFERROR(__xludf.DUMMYFUNCTION("""COMPUTED_VALUE"""),"LOS SILOS P3")</f>
        <v>LOS SILOS P3</v>
      </c>
      <c r="D5227" s="6" t="str">
        <f ca="1">IFERROR(__xludf.DUMMYFUNCTION("""COMPUTED_VALUE"""),"PIRQUE")</f>
        <v>PIRQUE</v>
      </c>
    </row>
    <row r="5228" spans="1:4">
      <c r="A5228" s="7">
        <f ca="1">IFERROR(__xludf.DUMMYFUNCTION("""COMPUTED_VALUE"""),44485)</f>
        <v>44485</v>
      </c>
      <c r="B5228" s="6" t="str">
        <f ca="1">IFERROR(__xludf.DUMMYFUNCTION("""COMPUTED_VALUE"""),"-33.707830,-70.532942")</f>
        <v>-33.707830,-70.532942</v>
      </c>
      <c r="C5228" s="6" t="str">
        <f ca="1">IFERROR(__xludf.DUMMYFUNCTION("""COMPUTED_VALUE"""),"ORILLA DEL RIO 169")</f>
        <v>ORILLA DEL RIO 169</v>
      </c>
      <c r="D5228" s="6" t="str">
        <f ca="1">IFERROR(__xludf.DUMMYFUNCTION("""COMPUTED_VALUE"""),"PIRQUE")</f>
        <v>PIRQUE</v>
      </c>
    </row>
    <row r="5229" spans="1:4">
      <c r="A5229" s="7">
        <f ca="1">IFERROR(__xludf.DUMMYFUNCTION("""COMPUTED_VALUE"""),44485)</f>
        <v>44485</v>
      </c>
      <c r="B5229" s="6" t="str">
        <f ca="1">IFERROR(__xludf.DUMMYFUNCTION("""COMPUTED_VALUE"""),"-33.3743959,-71.0861497")</f>
        <v>-33.3743959,-71.0861497</v>
      </c>
      <c r="C5229" s="6" t="str">
        <f ca="1">IFERROR(__xludf.DUMMYFUNCTION("""COMPUTED_VALUE"""),"HIJUELAS SEGUNDO P.214")</f>
        <v>HIJUELAS SEGUNDO P.214</v>
      </c>
      <c r="D5229" s="6" t="str">
        <f ca="1">IFERROR(__xludf.DUMMYFUNCTION("""COMPUTED_VALUE"""),"CURACAVI")</f>
        <v>CURACAVI</v>
      </c>
    </row>
    <row r="5230" spans="1:4">
      <c r="A5230" s="7">
        <f ca="1">IFERROR(__xludf.DUMMYFUNCTION("""COMPUTED_VALUE"""),44485)</f>
        <v>44485</v>
      </c>
      <c r="B5230" s="6" t="str">
        <f ca="1">IFERROR(__xludf.DUMMYFUNCTION("""COMPUTED_VALUE"""),"-33.042905-71.47868")</f>
        <v>-33.042905-71.47868</v>
      </c>
      <c r="C5230" s="6" t="str">
        <f ca="1">IFERROR(__xludf.DUMMYFUNCTION("""COMPUTED_VALUE"""),"CALLE SOLIDARIDAD 0162")</f>
        <v>CALLE SOLIDARIDAD 0162</v>
      </c>
      <c r="D5230" s="6" t="str">
        <f ca="1">IFERROR(__xludf.DUMMYFUNCTION("""COMPUTED_VALUE"""),"QUILPUÉ")</f>
        <v>QUILPUÉ</v>
      </c>
    </row>
    <row r="5231" spans="1:4">
      <c r="A5231" s="7">
        <f ca="1">IFERROR(__xludf.DUMMYFUNCTION("""COMPUTED_VALUE"""),44486)</f>
        <v>44486</v>
      </c>
      <c r="B5231" s="6" t="str">
        <f ca="1">IFERROR(__xludf.DUMMYFUNCTION("""COMPUTED_VALUE"""),"-33.572213-70.802037")</f>
        <v>-33.572213-70.802037</v>
      </c>
      <c r="C5231" s="6" t="str">
        <f ca="1">IFERROR(__xludf.DUMMYFUNCTION("""COMPUTED_VALUE"""),"VALENCIA 1697")</f>
        <v>VALENCIA 1697</v>
      </c>
      <c r="D5231" s="6" t="str">
        <f ca="1">IFERROR(__xludf.DUMMYFUNCTION("""COMPUTED_VALUE"""),"PADRE HURTADO")</f>
        <v>PADRE HURTADO</v>
      </c>
    </row>
    <row r="5232" spans="1:4">
      <c r="A5232" s="7">
        <f ca="1">IFERROR(__xludf.DUMMYFUNCTION("""COMPUTED_VALUE"""),44486)</f>
        <v>44486</v>
      </c>
      <c r="B5232" s="6" t="str">
        <f ca="1">IFERROR(__xludf.DUMMYFUNCTION("""COMPUTED_VALUE"""),"-33.6320566,-70.7606104")</f>
        <v>-33.6320566,-70.7606104</v>
      </c>
      <c r="C5232" s="6" t="str">
        <f ca="1">IFERROR(__xludf.DUMMYFUNCTION("""COMPUTED_VALUE"""),"IGNACIO CORREA PINTO N°46")</f>
        <v>IGNACIO CORREA PINTO N°46</v>
      </c>
      <c r="D5232" s="6" t="str">
        <f ca="1">IFERROR(__xludf.DUMMYFUNCTION("""COMPUTED_VALUE"""),"CALERA DE TANGO")</f>
        <v>CALERA DE TANGO</v>
      </c>
    </row>
    <row r="5233" spans="1:4">
      <c r="A5233" s="7">
        <f ca="1">IFERROR(__xludf.DUMMYFUNCTION("""COMPUTED_VALUE"""),44487)</f>
        <v>44487</v>
      </c>
      <c r="B5233" s="8" t="str">
        <f ca="1">IFERROR(__xludf.DUMMYFUNCTION("""COMPUTED_VALUE"""),"-33.705968,-71.217136")</f>
        <v>-33.705968,-71.217136</v>
      </c>
      <c r="C5233" s="6" t="str">
        <f ca="1">IFERROR(__xludf.DUMMYFUNCTION("""COMPUTED_VALUE"""),"HUILCO BAJO 1208")</f>
        <v>HUILCO BAJO 1208</v>
      </c>
      <c r="D5233" s="6" t="str">
        <f ca="1">IFERROR(__xludf.DUMMYFUNCTION("""COMPUTED_VALUE"""),"MELIPILLA")</f>
        <v>MELIPILLA</v>
      </c>
    </row>
    <row r="5234" spans="1:4">
      <c r="A5234" s="7">
        <f ca="1">IFERROR(__xludf.DUMMYFUNCTION("""COMPUTED_VALUE"""),44487)</f>
        <v>44487</v>
      </c>
      <c r="B5234" s="6" t="str">
        <f ca="1">IFERROR(__xludf.DUMMYFUNCTION("""COMPUTED_VALUE"""),"-33.643084-70.346968")</f>
        <v>-33.643084-70.346968</v>
      </c>
      <c r="C5234" s="6" t="str">
        <f ca="1">IFERROR(__xludf.DUMMYFUNCTION("""COMPUTED_VALUE"""),"AV EL CARMEN S/N")</f>
        <v>AV EL CARMEN S/N</v>
      </c>
      <c r="D5234" s="6" t="str">
        <f ca="1">IFERROR(__xludf.DUMMYFUNCTION("""COMPUTED_VALUE"""),"SAN JOSE DE MAIPO")</f>
        <v>SAN JOSE DE MAIPO</v>
      </c>
    </row>
    <row r="5235" spans="1:4">
      <c r="A5235" s="7">
        <f ca="1">IFERROR(__xludf.DUMMYFUNCTION("""COMPUTED_VALUE"""),44487)</f>
        <v>44487</v>
      </c>
      <c r="B5235" s="6" t="str">
        <f ca="1">IFERROR(__xludf.DUMMYFUNCTION("""COMPUTED_VALUE"""),"-33.6366448-70.3548302")</f>
        <v>-33.6366448-70.3548302</v>
      </c>
      <c r="C5235" s="6" t="str">
        <f ca="1">IFERROR(__xludf.DUMMYFUNCTION("""COMPUTED_VALUE"""),"SIN CALLE S/N CHACARILLAS")</f>
        <v>SIN CALLE S/N CHACARILLAS</v>
      </c>
      <c r="D5235" s="6" t="str">
        <f ca="1">IFERROR(__xludf.DUMMYFUNCTION("""COMPUTED_VALUE"""),"SAN JOSE DE MAIPO")</f>
        <v>SAN JOSE DE MAIPO</v>
      </c>
    </row>
    <row r="5236" spans="1:4">
      <c r="A5236" s="7">
        <f ca="1">IFERROR(__xludf.DUMMYFUNCTION("""COMPUTED_VALUE"""),44487)</f>
        <v>44487</v>
      </c>
      <c r="B5236" s="6" t="str">
        <f ca="1">IFERROR(__xludf.DUMMYFUNCTION("""COMPUTED_VALUE"""),"-33.404293-71.127663")</f>
        <v>-33.404293-71.127663</v>
      </c>
      <c r="C5236" s="6" t="str">
        <f ca="1">IFERROR(__xludf.DUMMYFUNCTION("""COMPUTED_VALUE"""),"TORIBIO CATALAN ESCOBAR 191")</f>
        <v>TORIBIO CATALAN ESCOBAR 191</v>
      </c>
      <c r="D5236" s="6" t="str">
        <f ca="1">IFERROR(__xludf.DUMMYFUNCTION("""COMPUTED_VALUE"""),"CURACAVI")</f>
        <v>CURACAVI</v>
      </c>
    </row>
    <row r="5237" spans="1:4">
      <c r="A5237" s="7">
        <f ca="1">IFERROR(__xludf.DUMMYFUNCTION("""COMPUTED_VALUE"""),44487)</f>
        <v>44487</v>
      </c>
      <c r="B5237" s="6" t="str">
        <f ca="1">IFERROR(__xludf.DUMMYFUNCTION("""COMPUTED_VALUE"""),"-33.7090406,-70.5304124")</f>
        <v>-33.7090406,-70.5304124</v>
      </c>
      <c r="C5237" s="6" t="str">
        <f ca="1">IFERROR(__xludf.DUMMYFUNCTION("""COMPUTED_VALUE"""),"ORILLA DEL RIO 171")</f>
        <v>ORILLA DEL RIO 171</v>
      </c>
      <c r="D5237" s="6" t="str">
        <f ca="1">IFERROR(__xludf.DUMMYFUNCTION("""COMPUTED_VALUE"""),"PIRQUE")</f>
        <v>PIRQUE</v>
      </c>
    </row>
    <row r="5238" spans="1:4">
      <c r="A5238" s="7">
        <f ca="1">IFERROR(__xludf.DUMMYFUNCTION("""COMPUTED_VALUE"""),44487)</f>
        <v>44487</v>
      </c>
      <c r="B5238" s="6" t="str">
        <f ca="1">IFERROR(__xludf.DUMMYFUNCTION("""COMPUTED_VALUE"""),"-33.7090406,-70.5304124")</f>
        <v>-33.7090406,-70.5304124</v>
      </c>
      <c r="C5238" s="6" t="str">
        <f ca="1">IFERROR(__xludf.DUMMYFUNCTION("""COMPUTED_VALUE"""),"ORILLA DEL RIO 171")</f>
        <v>ORILLA DEL RIO 171</v>
      </c>
      <c r="D5238" s="6" t="str">
        <f ca="1">IFERROR(__xludf.DUMMYFUNCTION("""COMPUTED_VALUE"""),"PIRQUE")</f>
        <v>PIRQUE</v>
      </c>
    </row>
    <row r="5239" spans="1:4">
      <c r="A5239" s="7">
        <f ca="1">IFERROR(__xludf.DUMMYFUNCTION("""COMPUTED_VALUE"""),44487)</f>
        <v>44487</v>
      </c>
      <c r="B5239" s="6" t="str">
        <f ca="1">IFERROR(__xludf.DUMMYFUNCTION("""COMPUTED_VALUE"""),"-33.191188,-70.806424")</f>
        <v>-33.191188,-70.806424</v>
      </c>
      <c r="C5239" s="6" t="str">
        <f ca="1">IFERROR(__xludf.DUMMYFUNCTION("""COMPUTED_VALUE"""),"CLUB GOLF QUELTEHUES PAR,27")</f>
        <v>CLUB GOLF QUELTEHUES PAR,27</v>
      </c>
      <c r="D5239" s="6" t="str">
        <f ca="1">IFERROR(__xludf.DUMMYFUNCTION("""COMPUTED_VALUE"""),"LAMPA")</f>
        <v>LAMPA</v>
      </c>
    </row>
    <row r="5240" spans="1:4">
      <c r="A5240" s="7">
        <f ca="1">IFERROR(__xludf.DUMMYFUNCTION("""COMPUTED_VALUE"""),44487)</f>
        <v>44487</v>
      </c>
      <c r="B5240" s="6" t="str">
        <f ca="1">IFERROR(__xludf.DUMMYFUNCTION("""COMPUTED_VALUE"""),"-33.191188,-70.806424")</f>
        <v>-33.191188,-70.806424</v>
      </c>
      <c r="C5240" s="6" t="str">
        <f ca="1">IFERROR(__xludf.DUMMYFUNCTION("""COMPUTED_VALUE"""),"CLUB GOLF QUELTEHUES PAR,27")</f>
        <v>CLUB GOLF QUELTEHUES PAR,27</v>
      </c>
      <c r="D5240" s="6" t="str">
        <f ca="1">IFERROR(__xludf.DUMMYFUNCTION("""COMPUTED_VALUE"""),"LAMPA")</f>
        <v>LAMPA</v>
      </c>
    </row>
    <row r="5241" spans="1:4">
      <c r="A5241" s="7">
        <f ca="1">IFERROR(__xludf.DUMMYFUNCTION("""COMPUTED_VALUE"""),44487)</f>
        <v>44487</v>
      </c>
      <c r="B5241" s="6" t="str">
        <f ca="1">IFERROR(__xludf.DUMMYFUNCTION("""COMPUTED_VALUE"""),"-33.2833041,-70.8734502")</f>
        <v>-33.2833041,-70.8734502</v>
      </c>
      <c r="C5241" s="6" t="str">
        <f ca="1">IFERROR(__xludf.DUMMYFUNCTION("""COMPUTED_VALUE"""),"PABLO NERUDA 245")</f>
        <v>PABLO NERUDA 245</v>
      </c>
      <c r="D5241" s="6" t="str">
        <f ca="1">IFERROR(__xludf.DUMMYFUNCTION("""COMPUTED_VALUE"""),"LAMPA")</f>
        <v>LAMPA</v>
      </c>
    </row>
    <row r="5242" spans="1:4">
      <c r="A5242" s="7">
        <f ca="1">IFERROR(__xludf.DUMMYFUNCTION("""COMPUTED_VALUE"""),44487)</f>
        <v>44487</v>
      </c>
      <c r="B5242" s="6" t="str">
        <f ca="1">IFERROR(__xludf.DUMMYFUNCTION("""COMPUTED_VALUE"""),"-33.736191,-70.862099")</f>
        <v>-33.736191,-70.862099</v>
      </c>
      <c r="C5242" s="6" t="str">
        <f ca="1">IFERROR(__xludf.DUMMYFUNCTION("""COMPUTED_VALUE"""),"PASAJE EL TAMARUGO 4398")</f>
        <v>PASAJE EL TAMARUGO 4398</v>
      </c>
      <c r="D5242" s="6" t="str">
        <f ca="1">IFERROR(__xludf.DUMMYFUNCTION("""COMPUTED_VALUE"""),"ISLA DE MAIPO")</f>
        <v>ISLA DE MAIPO</v>
      </c>
    </row>
    <row r="5243" spans="1:4">
      <c r="A5243" s="7">
        <f ca="1">IFERROR(__xludf.DUMMYFUNCTION("""COMPUTED_VALUE"""),44487)</f>
        <v>44487</v>
      </c>
      <c r="B5243" s="6" t="str">
        <f ca="1">IFERROR(__xludf.DUMMYFUNCTION("""COMPUTED_VALUE"""),"-33.753722,-70.892832")</f>
        <v>-33.753722,-70.892832</v>
      </c>
      <c r="C5243" s="6" t="str">
        <f ca="1">IFERROR(__xludf.DUMMYFUNCTION("""COMPUTED_VALUE"""),"LILLO 387")</f>
        <v>LILLO 387</v>
      </c>
      <c r="D5243" s="6" t="str">
        <f ca="1">IFERROR(__xludf.DUMMYFUNCTION("""COMPUTED_VALUE"""),"ISLA DE MAIPO")</f>
        <v>ISLA DE MAIPO</v>
      </c>
    </row>
    <row r="5244" spans="1:4">
      <c r="A5244" s="7">
        <f ca="1">IFERROR(__xludf.DUMMYFUNCTION("""COMPUTED_VALUE"""),44487)</f>
        <v>44487</v>
      </c>
      <c r="B5244" s="6" t="str">
        <f ca="1">IFERROR(__xludf.DUMMYFUNCTION("""COMPUTED_VALUE"""),"-33.753597,-70.908814")</f>
        <v>-33.753597,-70.908814</v>
      </c>
      <c r="C5244" s="6" t="str">
        <f ca="1">IFERROR(__xludf.DUMMYFUNCTION("""COMPUTED_VALUE"""),"PA BIEN COMUN 48 ")</f>
        <v xml:space="preserve">PA BIEN COMUN 48 </v>
      </c>
      <c r="D5244" s="6" t="str">
        <f ca="1">IFERROR(__xludf.DUMMYFUNCTION("""COMPUTED_VALUE"""),"ISLA DE MAIPO")</f>
        <v>ISLA DE MAIPO</v>
      </c>
    </row>
    <row r="5245" spans="1:4">
      <c r="A5245" s="7">
        <f ca="1">IFERROR(__xludf.DUMMYFUNCTION("""COMPUTED_VALUE"""),44487)</f>
        <v>44487</v>
      </c>
      <c r="B5245" s="8" t="str">
        <f ca="1">IFERROR(__xludf.DUMMYFUNCTION("""COMPUTED_VALUE"""),"-33.193968,-70.669329")</f>
        <v>-33.193968,-70.669329</v>
      </c>
      <c r="C5245" s="6" t="str">
        <f ca="1">IFERROR(__xludf.DUMMYFUNCTION("""COMPUTED_VALUE"""),"CHITO CARO 1151")</f>
        <v>CHITO CARO 1151</v>
      </c>
      <c r="D5245" s="6" t="str">
        <f ca="1">IFERROR(__xludf.DUMMYFUNCTION("""COMPUTED_VALUE"""),"COLINA")</f>
        <v>COLINA</v>
      </c>
    </row>
    <row r="5246" spans="1:4">
      <c r="A5246" s="7">
        <f ca="1">IFERROR(__xludf.DUMMYFUNCTION("""COMPUTED_VALUE"""),44487)</f>
        <v>44487</v>
      </c>
      <c r="B5246" s="8" t="str">
        <f ca="1">IFERROR(__xludf.DUMMYFUNCTION("""COMPUTED_VALUE"""),"-33.651033,-70.901085")</f>
        <v>-33.651033,-70.901085</v>
      </c>
      <c r="C5246" s="6" t="str">
        <f ca="1">IFERROR(__xludf.DUMMYFUNCTION("""COMPUTED_VALUE"""),"SAN LUIS 581")</f>
        <v>SAN LUIS 581</v>
      </c>
      <c r="D5246" s="6" t="str">
        <f ca="1">IFERROR(__xludf.DUMMYFUNCTION("""COMPUTED_VALUE"""),"TALAGANTE")</f>
        <v>TALAGANTE</v>
      </c>
    </row>
    <row r="5247" spans="1:4">
      <c r="A5247" s="7">
        <f ca="1">IFERROR(__xludf.DUMMYFUNCTION("""COMPUTED_VALUE"""),44487)</f>
        <v>44487</v>
      </c>
      <c r="B5247" s="8" t="str">
        <f ca="1">IFERROR(__xludf.DUMMYFUNCTION("""COMPUTED_VALUE"""),"-33.571607,-71.209837")</f>
        <v>-33.571607,-71.209837</v>
      </c>
      <c r="C5247" s="6" t="str">
        <f ca="1">IFERROR(__xludf.DUMMYFUNCTION("""COMPUTED_VALUE"""),"MAIPU 47 ")</f>
        <v xml:space="preserve">MAIPU 47 </v>
      </c>
      <c r="D5247" s="6" t="str">
        <f ca="1">IFERROR(__xludf.DUMMYFUNCTION("""COMPUTED_VALUE"""),"MELIPILLA")</f>
        <v>MELIPILLA</v>
      </c>
    </row>
    <row r="5248" spans="1:4">
      <c r="A5248" s="7">
        <f ca="1">IFERROR(__xludf.DUMMYFUNCTION("""COMPUTED_VALUE"""),44487)</f>
        <v>44487</v>
      </c>
      <c r="B5248" s="8" t="str">
        <f ca="1">IFERROR(__xludf.DUMMYFUNCTION("""COMPUTED_VALUE"""),"-33.666981,-71.244461")</f>
        <v>-33.666981,-71.244461</v>
      </c>
      <c r="C5248" s="6" t="str">
        <f ca="1">IFERROR(__xludf.DUMMYFUNCTION("""COMPUTED_VALUE"""),"LOS JAZMINES 13")</f>
        <v>LOS JAZMINES 13</v>
      </c>
      <c r="D5248" s="6" t="str">
        <f ca="1">IFERROR(__xludf.DUMMYFUNCTION("""COMPUTED_VALUE"""),"MELIPILLA")</f>
        <v>MELIPILLA</v>
      </c>
    </row>
    <row r="5249" spans="1:4">
      <c r="A5249" s="7">
        <f ca="1">IFERROR(__xludf.DUMMYFUNCTION("""COMPUTED_VALUE"""),44488)</f>
        <v>44488</v>
      </c>
      <c r="B5249" s="8" t="str">
        <f ca="1">IFERROR(__xludf.DUMMYFUNCTION("""COMPUTED_VALUE"""),"-33.736806,-70.860928")</f>
        <v>-33.736806,-70.860928</v>
      </c>
      <c r="C5249" s="6" t="str">
        <f ca="1">IFERROR(__xludf.DUMMYFUNCTION("""COMPUTED_VALUE"""),"CARPERANA 4383 ")</f>
        <v xml:space="preserve">CARPERANA 4383 </v>
      </c>
      <c r="D5249" s="6" t="str">
        <f ca="1">IFERROR(__xludf.DUMMYFUNCTION("""COMPUTED_VALUE"""),"ISLA DE MAIPO")</f>
        <v>ISLA DE MAIPO</v>
      </c>
    </row>
    <row r="5250" spans="1:4">
      <c r="A5250" s="7">
        <f ca="1">IFERROR(__xludf.DUMMYFUNCTION("""COMPUTED_VALUE"""),44488)</f>
        <v>44488</v>
      </c>
      <c r="B5250" s="6" t="str">
        <f ca="1">IFERROR(__xludf.DUMMYFUNCTION("""COMPUTED_VALUE"""),"-33.6431106-70.349089")</f>
        <v>-33.6431106-70.349089</v>
      </c>
      <c r="C5250" s="6" t="str">
        <f ca="1">IFERROR(__xludf.DUMMYFUNCTION("""COMPUTED_VALUE"""),"PJE NORTE 19176")</f>
        <v>PJE NORTE 19176</v>
      </c>
      <c r="D5250" s="6" t="str">
        <f ca="1">IFERROR(__xludf.DUMMYFUNCTION("""COMPUTED_VALUE"""),"SAN JOSE DE MAIPO")</f>
        <v>SAN JOSE DE MAIPO</v>
      </c>
    </row>
    <row r="5251" spans="1:4">
      <c r="A5251" s="7">
        <f ca="1">IFERROR(__xludf.DUMMYFUNCTION("""COMPUTED_VALUE"""),44488)</f>
        <v>44488</v>
      </c>
      <c r="B5251" s="6" t="str">
        <f ca="1">IFERROR(__xludf.DUMMYFUNCTION("""COMPUTED_VALUE"""),"-33.377574-71.089213")</f>
        <v>-33.377574-71.089213</v>
      </c>
      <c r="C5251" s="6" t="str">
        <f ca="1">IFERROR(__xludf.DUMMYFUNCTION("""COMPUTED_VALUE"""),"CUYUNCAVI PARCELA 274")</f>
        <v>CUYUNCAVI PARCELA 274</v>
      </c>
      <c r="D5251" s="6" t="str">
        <f ca="1">IFERROR(__xludf.DUMMYFUNCTION("""COMPUTED_VALUE"""),"CURACAVI")</f>
        <v>CURACAVI</v>
      </c>
    </row>
    <row r="5252" spans="1:4">
      <c r="A5252" s="7">
        <f ca="1">IFERROR(__xludf.DUMMYFUNCTION("""COMPUTED_VALUE"""),44488)</f>
        <v>44488</v>
      </c>
      <c r="B5252" s="6" t="str">
        <f ca="1">IFERROR(__xludf.DUMMYFUNCTION("""COMPUTED_VALUE"""),"-33.391119-71.129786")</f>
        <v>-33.391119-71.129786</v>
      </c>
      <c r="C5252" s="6" t="str">
        <f ca="1">IFERROR(__xludf.DUMMYFUNCTION("""COMPUTED_VALUE"""),"GERMAN RIESCO 1092")</f>
        <v>GERMAN RIESCO 1092</v>
      </c>
      <c r="D5252" s="6" t="str">
        <f ca="1">IFERROR(__xludf.DUMMYFUNCTION("""COMPUTED_VALUE"""),"CURACAVI")</f>
        <v>CURACAVI</v>
      </c>
    </row>
    <row r="5253" spans="1:4">
      <c r="A5253" s="7">
        <f ca="1">IFERROR(__xludf.DUMMYFUNCTION("""COMPUTED_VALUE"""),44488)</f>
        <v>44488</v>
      </c>
      <c r="B5253" s="6" t="str">
        <f ca="1">IFERROR(__xludf.DUMMYFUNCTION("""COMPUTED_VALUE"""),"-33.51218-71.12391")</f>
        <v>-33.51218-71.12391</v>
      </c>
      <c r="C5253" s="6" t="str">
        <f ca="1">IFERROR(__xludf.DUMMYFUNCTION("""COMPUTED_VALUE"""),"PATAGUILLA 3")</f>
        <v>PATAGUILLA 3</v>
      </c>
      <c r="D5253" s="6" t="str">
        <f ca="1">IFERROR(__xludf.DUMMYFUNCTION("""COMPUTED_VALUE"""),"CURACAVI")</f>
        <v>CURACAVI</v>
      </c>
    </row>
    <row r="5254" spans="1:4">
      <c r="A5254" s="7">
        <f ca="1">IFERROR(__xludf.DUMMYFUNCTION("""COMPUTED_VALUE"""),44488)</f>
        <v>44488</v>
      </c>
      <c r="B5254" s="6" t="str">
        <f ca="1">IFERROR(__xludf.DUMMYFUNCTION("""COMPUTED_VALUE"""),"-33.51316-71.12431")</f>
        <v>-33.51316-71.12431</v>
      </c>
      <c r="C5254" s="6" t="str">
        <f ca="1">IFERROR(__xludf.DUMMYFUNCTION("""COMPUTED_VALUE"""),"EDUARDO GARAY S/N")</f>
        <v>EDUARDO GARAY S/N</v>
      </c>
      <c r="D5254" s="6" t="str">
        <f ca="1">IFERROR(__xludf.DUMMYFUNCTION("""COMPUTED_VALUE"""),"MARIA PINTO")</f>
        <v>MARIA PINTO</v>
      </c>
    </row>
    <row r="5255" spans="1:4">
      <c r="A5255" s="7">
        <f ca="1">IFERROR(__xludf.DUMMYFUNCTION("""COMPUTED_VALUE"""),44488)</f>
        <v>44488</v>
      </c>
      <c r="B5255" s="6" t="str">
        <f ca="1">IFERROR(__xludf.DUMMYFUNCTION("""COMPUTED_VALUE"""),"-33.51316-71.12431")</f>
        <v>-33.51316-71.12431</v>
      </c>
      <c r="C5255" s="6" t="str">
        <f ca="1">IFERROR(__xludf.DUMMYFUNCTION("""COMPUTED_VALUE"""),"EDUARDO GARAY S/N")</f>
        <v>EDUARDO GARAY S/N</v>
      </c>
      <c r="D5255" s="6" t="str">
        <f ca="1">IFERROR(__xludf.DUMMYFUNCTION("""COMPUTED_VALUE"""),"MARIA PINTO")</f>
        <v>MARIA PINTO</v>
      </c>
    </row>
    <row r="5256" spans="1:4">
      <c r="A5256" s="7">
        <f ca="1">IFERROR(__xludf.DUMMYFUNCTION("""COMPUTED_VALUE"""),44488)</f>
        <v>44488</v>
      </c>
      <c r="B5256" s="6" t="str">
        <f ca="1">IFERROR(__xludf.DUMMYFUNCTION("""COMPUTED_VALUE"""),"-33.628187,-70.576259")</f>
        <v>-33.628187,-70.576259</v>
      </c>
      <c r="C5256" s="6" t="str">
        <f ca="1">IFERROR(__xludf.DUMMYFUNCTION("""COMPUTED_VALUE"""),"CONDE DE LA CONQUISTA 35")</f>
        <v>CONDE DE LA CONQUISTA 35</v>
      </c>
      <c r="D5256" s="6" t="str">
        <f ca="1">IFERROR(__xludf.DUMMYFUNCTION("""COMPUTED_VALUE"""),"PIRQUE")</f>
        <v>PIRQUE</v>
      </c>
    </row>
    <row r="5257" spans="1:4">
      <c r="A5257" s="7">
        <f ca="1">IFERROR(__xludf.DUMMYFUNCTION("""COMPUTED_VALUE"""),44488)</f>
        <v>44488</v>
      </c>
      <c r="B5257" s="6" t="str">
        <f ca="1">IFERROR(__xludf.DUMMYFUNCTION("""COMPUTED_VALUE"""),"-33.6765683,-70.618370")</f>
        <v>-33.6765683,-70.618370</v>
      </c>
      <c r="C5257" s="6" t="str">
        <f ca="1">IFERROR(__xludf.DUMMYFUNCTION("""COMPUTED_VALUE"""),"LOS QUILLAYES P24B")</f>
        <v>LOS QUILLAYES P24B</v>
      </c>
      <c r="D5257" s="6" t="str">
        <f ca="1">IFERROR(__xludf.DUMMYFUNCTION("""COMPUTED_VALUE"""),"PIRQUE")</f>
        <v>PIRQUE</v>
      </c>
    </row>
    <row r="5258" spans="1:4">
      <c r="A5258" s="7">
        <f ca="1">IFERROR(__xludf.DUMMYFUNCTION("""COMPUTED_VALUE"""),44488)</f>
        <v>44488</v>
      </c>
      <c r="B5258" s="6" t="str">
        <f ca="1">IFERROR(__xludf.DUMMYFUNCTION("""COMPUTED_VALUE"""),"-33.6765683,-70.618370")</f>
        <v>-33.6765683,-70.618370</v>
      </c>
      <c r="C5258" s="6" t="str">
        <f ca="1">IFERROR(__xludf.DUMMYFUNCTION("""COMPUTED_VALUE"""),"LOS QUILLAYES P24B")</f>
        <v>LOS QUILLAYES P24B</v>
      </c>
      <c r="D5258" s="6" t="str">
        <f ca="1">IFERROR(__xludf.DUMMYFUNCTION("""COMPUTED_VALUE"""),"PIRQUE")</f>
        <v>PIRQUE</v>
      </c>
    </row>
    <row r="5259" spans="1:4">
      <c r="A5259" s="7">
        <f ca="1">IFERROR(__xludf.DUMMYFUNCTION("""COMPUTED_VALUE"""),44488)</f>
        <v>44488</v>
      </c>
      <c r="B5259" s="6" t="str">
        <f ca="1">IFERROR(__xludf.DUMMYFUNCTION("""COMPUTED_VALUE"""),"-33.670536,-70.557549")</f>
        <v>-33.670536,-70.557549</v>
      </c>
      <c r="C5259" s="6" t="str">
        <f ca="1">IFERROR(__xludf.DUMMYFUNCTION("""COMPUTED_VALUE"""),"MAXIMO VALDES 2548")</f>
        <v>MAXIMO VALDES 2548</v>
      </c>
      <c r="D5259" s="6" t="str">
        <f ca="1">IFERROR(__xludf.DUMMYFUNCTION("""COMPUTED_VALUE"""),"PIRQUE")</f>
        <v>PIRQUE</v>
      </c>
    </row>
    <row r="5260" spans="1:4">
      <c r="A5260" s="7">
        <f ca="1">IFERROR(__xludf.DUMMYFUNCTION("""COMPUTED_VALUE"""),44488)</f>
        <v>44488</v>
      </c>
      <c r="B5260" s="6" t="str">
        <f ca="1">IFERROR(__xludf.DUMMYFUNCTION("""COMPUTED_VALUE"""),"-33.810215,-70.741692")</f>
        <v>-33.810215,-70.741692</v>
      </c>
      <c r="C5260" s="6" t="str">
        <f ca="1">IFERROR(__xludf.DUMMYFUNCTION("""COMPUTED_VALUE"""),"PASAJE D N°46")</f>
        <v>PASAJE D N°46</v>
      </c>
      <c r="D5260" s="6" t="str">
        <f ca="1">IFERROR(__xludf.DUMMYFUNCTION("""COMPUTED_VALUE"""),"PAINE")</f>
        <v>PAINE</v>
      </c>
    </row>
    <row r="5261" spans="1:4">
      <c r="A5261" s="7">
        <f ca="1">IFERROR(__xludf.DUMMYFUNCTION("""COMPUTED_VALUE"""),44488)</f>
        <v>44488</v>
      </c>
      <c r="B5261" s="6" t="str">
        <f ca="1">IFERROR(__xludf.DUMMYFUNCTION("""COMPUTED_VALUE"""),"-33.776078,-70.903526")</f>
        <v>-33.776078,-70.903526</v>
      </c>
      <c r="C5261" s="6" t="str">
        <f ca="1">IFERROR(__xludf.DUMMYFUNCTION("""COMPUTED_VALUE"""),"GALVEZ 2170")</f>
        <v>GALVEZ 2170</v>
      </c>
      <c r="D5261" s="6" t="str">
        <f ca="1">IFERROR(__xludf.DUMMYFUNCTION("""COMPUTED_VALUE"""),"ISLA DE MAIPO")</f>
        <v>ISLA DE MAIPO</v>
      </c>
    </row>
    <row r="5262" spans="1:4">
      <c r="A5262" s="7">
        <f ca="1">IFERROR(__xludf.DUMMYFUNCTION("""COMPUTED_VALUE"""),44488)</f>
        <v>44488</v>
      </c>
      <c r="B5262" s="6" t="str">
        <f ca="1">IFERROR(__xludf.DUMMYFUNCTION("""COMPUTED_VALUE"""),"-33.735010,-70.860477")</f>
        <v>-33.735010,-70.860477</v>
      </c>
      <c r="C5262" s="6" t="str">
        <f ca="1">IFERROR(__xludf.DUMMYFUNCTION("""COMPUTED_VALUE"""),"ESTERO AGUAS CLARAS 222")</f>
        <v>ESTERO AGUAS CLARAS 222</v>
      </c>
      <c r="D5262" s="6" t="str">
        <f ca="1">IFERROR(__xludf.DUMMYFUNCTION("""COMPUTED_VALUE"""),"ISLA DE MAIPO")</f>
        <v>ISLA DE MAIPO</v>
      </c>
    </row>
    <row r="5263" spans="1:4">
      <c r="A5263" s="7">
        <f ca="1">IFERROR(__xludf.DUMMYFUNCTION("""COMPUTED_VALUE"""),44488)</f>
        <v>44488</v>
      </c>
      <c r="B5263" s="6" t="str">
        <f ca="1">IFERROR(__xludf.DUMMYFUNCTION("""COMPUTED_VALUE"""),"-33.744291,-70.869973")</f>
        <v>-33.744291,-70.869973</v>
      </c>
      <c r="C5263" s="6" t="str">
        <f ca="1">IFERROR(__xludf.DUMMYFUNCTION("""COMPUTED_VALUE"""),"PA ARQUITECTO ALBERTO MOREIRA 425")</f>
        <v>PA ARQUITECTO ALBERTO MOREIRA 425</v>
      </c>
      <c r="D5263" s="6" t="str">
        <f ca="1">IFERROR(__xludf.DUMMYFUNCTION("""COMPUTED_VALUE"""),"ISLA DE MAIPO")</f>
        <v>ISLA DE MAIPO</v>
      </c>
    </row>
    <row r="5264" spans="1:4">
      <c r="A5264" s="7">
        <f ca="1">IFERROR(__xludf.DUMMYFUNCTION("""COMPUTED_VALUE"""),44488)</f>
        <v>44488</v>
      </c>
      <c r="B5264" s="8" t="str">
        <f ca="1">IFERROR(__xludf.DUMMYFUNCTION("""COMPUTED_VALUE"""),"-33.223747,-70.726838")</f>
        <v>-33.223747,-70.726838</v>
      </c>
      <c r="C5264" s="6" t="str">
        <f ca="1">IFERROR(__xludf.DUMMYFUNCTION("""COMPUTED_VALUE"""),"SANTA ELENA SUR 5")</f>
        <v>SANTA ELENA SUR 5</v>
      </c>
      <c r="D5264" s="6" t="str">
        <f ca="1">IFERROR(__xludf.DUMMYFUNCTION("""COMPUTED_VALUE"""),"COLINA")</f>
        <v>COLINA</v>
      </c>
    </row>
    <row r="5265" spans="1:4">
      <c r="A5265" s="7">
        <f ca="1">IFERROR(__xludf.DUMMYFUNCTION("""COMPUTED_VALUE"""),44488)</f>
        <v>44488</v>
      </c>
      <c r="B5265" s="8" t="str">
        <f ca="1">IFERROR(__xludf.DUMMYFUNCTION("""COMPUTED_VALUE"""),"-33.556008,-70.797513")</f>
        <v>-33.556008,-70.797513</v>
      </c>
      <c r="C5265" s="6" t="str">
        <f ca="1">IFERROR(__xludf.DUMMYFUNCTION("""COMPUTED_VALUE"""),"EL ESFUERZO")</f>
        <v>EL ESFUERZO</v>
      </c>
      <c r="D5265" s="6" t="str">
        <f ca="1">IFERROR(__xludf.DUMMYFUNCTION("""COMPUTED_VALUE"""),"PADRE HURTADO")</f>
        <v>PADRE HURTADO</v>
      </c>
    </row>
    <row r="5266" spans="1:4">
      <c r="A5266" s="7">
        <f ca="1">IFERROR(__xludf.DUMMYFUNCTION("""COMPUTED_VALUE"""),44488)</f>
        <v>44488</v>
      </c>
      <c r="B5266" s="8" t="str">
        <f ca="1">IFERROR(__xludf.DUMMYFUNCTION("""COMPUTED_VALUE"""),"-33.689551,-71.214639")</f>
        <v>-33.689551,-71.214639</v>
      </c>
      <c r="C5266" s="6" t="str">
        <f ca="1">IFERROR(__xludf.DUMMYFUNCTION("""COMPUTED_VALUE"""),"SAN MIGUEL 536")</f>
        <v>SAN MIGUEL 536</v>
      </c>
      <c r="D5266" s="6" t="str">
        <f ca="1">IFERROR(__xludf.DUMMYFUNCTION("""COMPUTED_VALUE"""),"MELIPILLA")</f>
        <v>MELIPILLA</v>
      </c>
    </row>
    <row r="5267" spans="1:4">
      <c r="A5267" s="7">
        <f ca="1">IFERROR(__xludf.DUMMYFUNCTION("""COMPUTED_VALUE"""),44488)</f>
        <v>44488</v>
      </c>
      <c r="B5267" s="8" t="str">
        <f ca="1">IFERROR(__xludf.DUMMYFUNCTION("""COMPUTED_VALUE"""),"-33.683159,-71.195726")</f>
        <v>-33.683159,-71.195726</v>
      </c>
      <c r="C5267" s="6" t="str">
        <f ca="1">IFERROR(__xludf.DUMMYFUNCTION("""COMPUTED_VALUE"""),"FRIEDICH 233")</f>
        <v>FRIEDICH 233</v>
      </c>
      <c r="D5267" s="6" t="str">
        <f ca="1">IFERROR(__xludf.DUMMYFUNCTION("""COMPUTED_VALUE"""),"MELIPILLA")</f>
        <v>MELIPILLA</v>
      </c>
    </row>
    <row r="5268" spans="1:4">
      <c r="A5268" s="7">
        <f ca="1">IFERROR(__xludf.DUMMYFUNCTION("""COMPUTED_VALUE"""),44488)</f>
        <v>44488</v>
      </c>
      <c r="B5268" s="6" t="str">
        <f ca="1">IFERROR(__xludf.DUMMYFUNCTION("""COMPUTED_VALUE"""),"-33.581527,-70.813537")</f>
        <v>-33.581527,-70.813537</v>
      </c>
      <c r="C5268" s="6" t="str">
        <f ca="1">IFERROR(__xludf.DUMMYFUNCTION("""COMPUTED_VALUE"""),"TENERIFE 99")</f>
        <v>TENERIFE 99</v>
      </c>
      <c r="D5268" s="6" t="str">
        <f ca="1">IFERROR(__xludf.DUMMYFUNCTION("""COMPUTED_VALUE"""),"PADRE HURTADO")</f>
        <v>PADRE HURTADO</v>
      </c>
    </row>
    <row r="5269" spans="1:4">
      <c r="A5269" s="7">
        <f ca="1">IFERROR(__xludf.DUMMYFUNCTION("""COMPUTED_VALUE"""),44489)</f>
        <v>44489</v>
      </c>
      <c r="B5269" s="8" t="str">
        <f ca="1">IFERROR(__xludf.DUMMYFUNCTION("""COMPUTED_VALUE"""),"-33.783632,-70.386272")</f>
        <v>-33.783632,-70.386272</v>
      </c>
      <c r="C5269" s="6" t="str">
        <f ca="1">IFERROR(__xludf.DUMMYFUNCTION("""COMPUTED_VALUE"""),"J FRESNO 152")</f>
        <v>J FRESNO 152</v>
      </c>
      <c r="D5269" s="6" t="str">
        <f ca="1">IFERROR(__xludf.DUMMYFUNCTION("""COMPUTED_VALUE"""),"ISLA DE MAIPO")</f>
        <v>ISLA DE MAIPO</v>
      </c>
    </row>
    <row r="5270" spans="1:4">
      <c r="A5270" s="7">
        <f ca="1">IFERROR(__xludf.DUMMYFUNCTION("""COMPUTED_VALUE"""),44489)</f>
        <v>44489</v>
      </c>
      <c r="B5270" s="8" t="str">
        <f ca="1">IFERROR(__xludf.DUMMYFUNCTION("""COMPUTED_VALUE"""),"-33.735448,-70.861293")</f>
        <v>-33.735448,-70.861293</v>
      </c>
      <c r="C5270" s="6" t="str">
        <f ca="1">IFERROR(__xludf.DUMMYFUNCTION("""COMPUTED_VALUE"""),"EL TAMARUGO 4490")</f>
        <v>EL TAMARUGO 4490</v>
      </c>
      <c r="D5270" s="6" t="str">
        <f ca="1">IFERROR(__xludf.DUMMYFUNCTION("""COMPUTED_VALUE"""),"ISLA DE MAIPO")</f>
        <v>ISLA DE MAIPO</v>
      </c>
    </row>
    <row r="5271" spans="1:4">
      <c r="A5271" s="7">
        <f ca="1">IFERROR(__xludf.DUMMYFUNCTION("""COMPUTED_VALUE"""),44489)</f>
        <v>44489</v>
      </c>
      <c r="B5271" s="8" t="str">
        <f ca="1">IFERROR(__xludf.DUMMYFUNCTION("""COMPUTED_VALUE"""),"-33.747360,-70.898468")</f>
        <v>-33.747360,-70.898468</v>
      </c>
      <c r="C5271" s="6" t="str">
        <f ca="1">IFERROR(__xludf.DUMMYFUNCTION("""COMPUTED_VALUE"""),"TERES 820")</f>
        <v>TERES 820</v>
      </c>
      <c r="D5271" s="6" t="str">
        <f ca="1">IFERROR(__xludf.DUMMYFUNCTION("""COMPUTED_VALUE"""),"ISLA DE MAIPO")</f>
        <v>ISLA DE MAIPO</v>
      </c>
    </row>
    <row r="5272" spans="1:4">
      <c r="A5272" s="7">
        <f ca="1">IFERROR(__xludf.DUMMYFUNCTION("""COMPUTED_VALUE"""),44489)</f>
        <v>44489</v>
      </c>
      <c r="B5272" s="8" t="str">
        <f ca="1">IFERROR(__xludf.DUMMYFUNCTION("""COMPUTED_VALUE"""),"-33.739823,-70.865767")</f>
        <v>-33.739823,-70.865767</v>
      </c>
      <c r="C5272" s="6" t="str">
        <f ca="1">IFERROR(__xludf.DUMMYFUNCTION("""COMPUTED_VALUE"""),"VISTA HERMOSA 339 ")</f>
        <v xml:space="preserve">VISTA HERMOSA 339 </v>
      </c>
      <c r="D5272" s="6" t="str">
        <f ca="1">IFERROR(__xludf.DUMMYFUNCTION("""COMPUTED_VALUE"""),"ISLA DE MAIPO")</f>
        <v>ISLA DE MAIPO</v>
      </c>
    </row>
    <row r="5273" spans="1:4">
      <c r="A5273" s="7">
        <f ca="1">IFERROR(__xludf.DUMMYFUNCTION("""COMPUTED_VALUE"""),44489)</f>
        <v>44489</v>
      </c>
      <c r="B5273" s="8" t="str">
        <f ca="1">IFERROR(__xludf.DUMMYFUNCTION("""COMPUTED_VALUE"""),"-33.729419, -70.912130")</f>
        <v>-33.729419, -70.912130</v>
      </c>
      <c r="C5273" s="6" t="str">
        <f ca="1">IFERROR(__xludf.DUMMYFUNCTION("""COMPUTED_VALUE"""),"FRANCISCO BARRIOS 81")</f>
        <v>FRANCISCO BARRIOS 81</v>
      </c>
      <c r="D5273" s="6" t="str">
        <f ca="1">IFERROR(__xludf.DUMMYFUNCTION("""COMPUTED_VALUE"""),"MELIPILLA")</f>
        <v>MELIPILLA</v>
      </c>
    </row>
    <row r="5274" spans="1:4">
      <c r="A5274" s="7">
        <f ca="1">IFERROR(__xludf.DUMMYFUNCTION("""COMPUTED_VALUE"""),44489)</f>
        <v>44489</v>
      </c>
      <c r="B5274" s="8" t="str">
        <f ca="1">IFERROR(__xludf.DUMMYFUNCTION("""COMPUTED_VALUE"""),"-33.680053,-71.204538")</f>
        <v>-33.680053,-71.204538</v>
      </c>
      <c r="C5274" s="6" t="str">
        <f ca="1">IFERROR(__xludf.DUMMYFUNCTION("""COMPUTED_VALUE"""),"POB BORIS SOLER")</f>
        <v>POB BORIS SOLER</v>
      </c>
      <c r="D5274" s="6" t="str">
        <f ca="1">IFERROR(__xludf.DUMMYFUNCTION("""COMPUTED_VALUE"""),"MELIPILLA")</f>
        <v>MELIPILLA</v>
      </c>
    </row>
    <row r="5275" spans="1:4">
      <c r="A5275" s="7">
        <f ca="1">IFERROR(__xludf.DUMMYFUNCTION("""COMPUTED_VALUE"""),44489)</f>
        <v>44489</v>
      </c>
      <c r="B5275" s="6" t="str">
        <f ca="1">IFERROR(__xludf.DUMMYFUNCTION("""COMPUTED_VALUE"""),"-33.4993062-71.120749")</f>
        <v>-33.4993062-71.120749</v>
      </c>
      <c r="C5275" s="6" t="str">
        <f ca="1">IFERROR(__xludf.DUMMYFUNCTION("""COMPUTED_VALUE"""),"EL AJIAL 8")</f>
        <v>EL AJIAL 8</v>
      </c>
      <c r="D5275" s="6" t="str">
        <f ca="1">IFERROR(__xludf.DUMMYFUNCTION("""COMPUTED_VALUE"""),"CURACAVI")</f>
        <v>CURACAVI</v>
      </c>
    </row>
    <row r="5276" spans="1:4">
      <c r="A5276" s="7">
        <f ca="1">IFERROR(__xludf.DUMMYFUNCTION("""COMPUTED_VALUE"""),44489)</f>
        <v>44489</v>
      </c>
      <c r="B5276" s="6" t="str">
        <f ca="1">IFERROR(__xludf.DUMMYFUNCTION("""COMPUTED_VALUE"""),"-33.491681-71.030549")</f>
        <v>-33.491681-71.030549</v>
      </c>
      <c r="C5276" s="6" t="str">
        <f ca="1">IFERROR(__xludf.DUMMYFUNCTION("""COMPUTED_VALUE"""),"EL AJIAL 10")</f>
        <v>EL AJIAL 10</v>
      </c>
      <c r="D5276" s="6" t="str">
        <f ca="1">IFERROR(__xludf.DUMMYFUNCTION("""COMPUTED_VALUE"""),"CURACAVI")</f>
        <v>CURACAVI</v>
      </c>
    </row>
    <row r="5277" spans="1:4">
      <c r="A5277" s="7">
        <f ca="1">IFERROR(__xludf.DUMMYFUNCTION("""COMPUTED_VALUE"""),44489)</f>
        <v>44489</v>
      </c>
      <c r="B5277" s="6" t="str">
        <f ca="1">IFERROR(__xludf.DUMMYFUNCTION("""COMPUTED_VALUE"""),"-33.3970881-71.1314773")</f>
        <v>-33.3970881-71.1314773</v>
      </c>
      <c r="C5277" s="6" t="str">
        <f ca="1">IFERROR(__xludf.DUMMYFUNCTION("""COMPUTED_VALUE"""),"PJE MILAGROS 598")</f>
        <v>PJE MILAGROS 598</v>
      </c>
      <c r="D5277" s="6" t="str">
        <f ca="1">IFERROR(__xludf.DUMMYFUNCTION("""COMPUTED_VALUE"""),"CURACAVI")</f>
        <v>CURACAVI</v>
      </c>
    </row>
    <row r="5278" spans="1:4">
      <c r="A5278" s="7">
        <f ca="1">IFERROR(__xludf.DUMMYFUNCTION("""COMPUTED_VALUE"""),44489)</f>
        <v>44489</v>
      </c>
      <c r="B5278" s="6" t="str">
        <f ca="1">IFERROR(__xludf.DUMMYFUNCTION("""COMPUTED_VALUE"""),"-33.60196-70.86241")</f>
        <v>-33.60196-70.86241</v>
      </c>
      <c r="C5278" s="6" t="str">
        <f ca="1">IFERROR(__xludf.DUMMYFUNCTION("""COMPUTED_VALUE"""),"MIRAFLORES 1135")</f>
        <v>MIRAFLORES 1135</v>
      </c>
      <c r="D5278" s="6" t="str">
        <f ca="1">IFERROR(__xludf.DUMMYFUNCTION("""COMPUTED_VALUE"""),"PEÑAFLOR")</f>
        <v>PEÑAFLOR</v>
      </c>
    </row>
    <row r="5279" spans="1:4">
      <c r="A5279" s="7">
        <f ca="1">IFERROR(__xludf.DUMMYFUNCTION("""COMPUTED_VALUE"""),44489)</f>
        <v>44489</v>
      </c>
      <c r="B5279" s="6" t="str">
        <f ca="1">IFERROR(__xludf.DUMMYFUNCTION("""COMPUTED_VALUE"""),"-33.810215,-70.711692")</f>
        <v>-33.810215,-70.711692</v>
      </c>
      <c r="C5279" s="6" t="str">
        <f ca="1">IFERROR(__xludf.DUMMYFUNCTION("""COMPUTED_VALUE"""),"PASAJE D N°50")</f>
        <v>PASAJE D N°50</v>
      </c>
      <c r="D5279" s="6" t="str">
        <f ca="1">IFERROR(__xludf.DUMMYFUNCTION("""COMPUTED_VALUE"""),"PAINE")</f>
        <v>PAINE</v>
      </c>
    </row>
    <row r="5280" spans="1:4">
      <c r="A5280" s="7">
        <f ca="1">IFERROR(__xludf.DUMMYFUNCTION("""COMPUTED_VALUE"""),44489)</f>
        <v>44489</v>
      </c>
      <c r="B5280" s="6" t="str">
        <f ca="1">IFERROR(__xludf.DUMMYFUNCTION("""COMPUTED_VALUE"""),"-33.650584,- 70.571017")</f>
        <v>-33.650584,- 70.571017</v>
      </c>
      <c r="C5280" s="6" t="str">
        <f ca="1">IFERROR(__xludf.DUMMYFUNCTION("""COMPUTED_VALUE""")," PABLO NERUDA 236")</f>
        <v xml:space="preserve"> PABLO NERUDA 236</v>
      </c>
      <c r="D5280" s="6" t="str">
        <f ca="1">IFERROR(__xludf.DUMMYFUNCTION("""COMPUTED_VALUE"""),"PIRQUE")</f>
        <v>PIRQUE</v>
      </c>
    </row>
    <row r="5281" spans="1:4">
      <c r="A5281" s="7">
        <f ca="1">IFERROR(__xludf.DUMMYFUNCTION("""COMPUTED_VALUE"""),44489)</f>
        <v>44489</v>
      </c>
      <c r="B5281" s="6" t="str">
        <f ca="1">IFERROR(__xludf.DUMMYFUNCTION("""COMPUTED_VALUE"""),"-33.650571,-70.570961")</f>
        <v>-33.650571,-70.570961</v>
      </c>
      <c r="C5281" s="6" t="str">
        <f ca="1">IFERROR(__xludf.DUMMYFUNCTION("""COMPUTED_VALUE"""),"PABLO NERUDA 248 ")</f>
        <v xml:space="preserve">PABLO NERUDA 248 </v>
      </c>
      <c r="D5281" s="6" t="str">
        <f ca="1">IFERROR(__xludf.DUMMYFUNCTION("""COMPUTED_VALUE"""),"PIRQUE")</f>
        <v>PIRQUE</v>
      </c>
    </row>
    <row r="5282" spans="1:4">
      <c r="A5282" s="7">
        <f ca="1">IFERROR(__xludf.DUMMYFUNCTION("""COMPUTED_VALUE"""),44489)</f>
        <v>44489</v>
      </c>
      <c r="B5282" s="6" t="str">
        <f ca="1">IFERROR(__xludf.DUMMYFUNCTION("""COMPUTED_VALUE"""),"-33.7337164,-70.6809024")</f>
        <v>-33.7337164,-70.6809024</v>
      </c>
      <c r="C5282" s="6" t="str">
        <f ca="1">IFERROR(__xludf.DUMMYFUNCTION("""COMPUTED_VALUE"""),"PJE ESPERANZA ")</f>
        <v xml:space="preserve">PJE ESPERANZA </v>
      </c>
      <c r="D5282" s="6" t="str">
        <f ca="1">IFERROR(__xludf.DUMMYFUNCTION("""COMPUTED_VALUE"""),"BUIN")</f>
        <v>BUIN</v>
      </c>
    </row>
    <row r="5283" spans="1:4">
      <c r="A5283" s="7">
        <f ca="1">IFERROR(__xludf.DUMMYFUNCTION("""COMPUTED_VALUE"""),44489)</f>
        <v>44489</v>
      </c>
      <c r="B5283" s="6" t="str">
        <f ca="1">IFERROR(__xludf.DUMMYFUNCTION("""COMPUTED_VALUE"""),"-33.670536,-70.557549")</f>
        <v>-33.670536,-70.557549</v>
      </c>
      <c r="C5283" s="6" t="str">
        <f ca="1">IFERROR(__xludf.DUMMYFUNCTION("""COMPUTED_VALUE"""),"MAXIMO VALDÉS  FORTECILLA 2548")</f>
        <v>MAXIMO VALDÉS  FORTECILLA 2548</v>
      </c>
      <c r="D5283" s="6" t="str">
        <f ca="1">IFERROR(__xludf.DUMMYFUNCTION("""COMPUTED_VALUE"""),"PIRQUE")</f>
        <v>PIRQUE</v>
      </c>
    </row>
    <row r="5284" spans="1:4">
      <c r="A5284" s="7">
        <f ca="1">IFERROR(__xludf.DUMMYFUNCTION("""COMPUTED_VALUE"""),44489)</f>
        <v>44489</v>
      </c>
      <c r="B5284" s="6" t="str">
        <f ca="1">IFERROR(__xludf.DUMMYFUNCTION("""COMPUTED_VALUE"""),"-33.776109,-70.903781")</f>
        <v>-33.776109,-70.903781</v>
      </c>
      <c r="C5284" s="6" t="str">
        <f ca="1">IFERROR(__xludf.DUMMYFUNCTION("""COMPUTED_VALUE"""),"GALVEZ 2005")</f>
        <v>GALVEZ 2005</v>
      </c>
      <c r="D5284" s="6" t="str">
        <f ca="1">IFERROR(__xludf.DUMMYFUNCTION("""COMPUTED_VALUE"""),"ISLA DE MAIPO")</f>
        <v>ISLA DE MAIPO</v>
      </c>
    </row>
    <row r="5285" spans="1:4">
      <c r="A5285" s="7">
        <f ca="1">IFERROR(__xludf.DUMMYFUNCTION("""COMPUTED_VALUE"""),44489)</f>
        <v>44489</v>
      </c>
      <c r="B5285" s="6" t="str">
        <f ca="1">IFERROR(__xludf.DUMMYFUNCTION("""COMPUTED_VALUE"""),"-33.637990,-71.295727")</f>
        <v>-33.637990,-71.295727</v>
      </c>
      <c r="C5285" s="6" t="str">
        <f ca="1">IFERROR(__xludf.DUMMYFUNCTION("""COMPUTED_VALUE"""),"LUMBRERAS DE OUANGUE S/N -CV2 PARCELA 30")</f>
        <v>LUMBRERAS DE OUANGUE S/N -CV2 PARCELA 30</v>
      </c>
      <c r="D5285" s="6" t="str">
        <f ca="1">IFERROR(__xludf.DUMMYFUNCTION("""COMPUTED_VALUE"""),"MELIPILLA")</f>
        <v>MELIPILLA</v>
      </c>
    </row>
    <row r="5286" spans="1:4">
      <c r="A5286" s="7">
        <f ca="1">IFERROR(__xludf.DUMMYFUNCTION("""COMPUTED_VALUE"""),44489)</f>
        <v>44489</v>
      </c>
      <c r="B5286" s="8" t="str">
        <f ca="1">IFERROR(__xludf.DUMMYFUNCTION("""COMPUTED_VALUE"""),"-33.258965,-70.702483")</f>
        <v>-33.258965,-70.702483</v>
      </c>
      <c r="C5286" s="6" t="str">
        <f ca="1">IFERROR(__xludf.DUMMYFUNCTION("""COMPUTED_VALUE"""),"EL TRANQUE 179")</f>
        <v>EL TRANQUE 179</v>
      </c>
      <c r="D5286" s="6" t="str">
        <f ca="1">IFERROR(__xludf.DUMMYFUNCTION("""COMPUTED_VALUE"""),"COLINA")</f>
        <v>COLINA</v>
      </c>
    </row>
    <row r="5287" spans="1:4">
      <c r="A5287" s="7">
        <f ca="1">IFERROR(__xludf.DUMMYFUNCTION("""COMPUTED_VALUE"""),44489)</f>
        <v>44489</v>
      </c>
      <c r="B5287" s="8" t="str">
        <f ca="1">IFERROR(__xludf.DUMMYFUNCTION("""COMPUTED_VALUE"""),"-33.645.634,-70.892669")</f>
        <v>-33.645.634,-70.892669</v>
      </c>
      <c r="C5287" s="6" t="str">
        <f ca="1">IFERROR(__xludf.DUMMYFUNCTION("""COMPUTED_VALUE"""),"SAN GUILLERMO 115")</f>
        <v>SAN GUILLERMO 115</v>
      </c>
      <c r="D5287" s="6" t="str">
        <f ca="1">IFERROR(__xludf.DUMMYFUNCTION("""COMPUTED_VALUE"""),"TALAGANTE")</f>
        <v>TALAGANTE</v>
      </c>
    </row>
    <row r="5288" spans="1:4">
      <c r="A5288" s="7">
        <f ca="1">IFERROR(__xludf.DUMMYFUNCTION("""COMPUTED_VALUE"""),44489)</f>
        <v>44489</v>
      </c>
      <c r="B5288" s="8" t="str">
        <f ca="1">IFERROR(__xludf.DUMMYFUNCTION("""COMPUTED_VALUE"""),"-33.683813,-70.916830")</f>
        <v>-33.683813,-70.916830</v>
      </c>
      <c r="C5288" s="6" t="str">
        <f ca="1">IFERROR(__xludf.DUMMYFUNCTION("""COMPUTED_VALUE"""),"CAMINO CARAMPANGUE 0180 PARCELA 19 ")</f>
        <v xml:space="preserve">CAMINO CARAMPANGUE 0180 PARCELA 19 </v>
      </c>
      <c r="D5288" s="6" t="str">
        <f ca="1">IFERROR(__xludf.DUMMYFUNCTION("""COMPUTED_VALUE"""),"TALAGANTE")</f>
        <v>TALAGANTE</v>
      </c>
    </row>
    <row r="5289" spans="1:4">
      <c r="A5289" s="7">
        <f ca="1">IFERROR(__xludf.DUMMYFUNCTION("""COMPUTED_VALUE"""),44489)</f>
        <v>44489</v>
      </c>
      <c r="B5289" s="8" t="str">
        <f ca="1">IFERROR(__xludf.DUMMYFUNCTION("""COMPUTED_VALUE"""),"-33.281406,-70.676619")</f>
        <v>-33.281406,-70.676619</v>
      </c>
      <c r="C5289" s="6" t="str">
        <f ca="1">IFERROR(__xludf.DUMMYFUNCTION("""COMPUTED_VALUE"""),"LOS INGLESES 43")</f>
        <v>LOS INGLESES 43</v>
      </c>
      <c r="D5289" s="6" t="str">
        <f ca="1">IFERROR(__xludf.DUMMYFUNCTION("""COMPUTED_VALUE"""),"COLINA")</f>
        <v>COLINA</v>
      </c>
    </row>
    <row r="5290" spans="1:4">
      <c r="A5290" s="7">
        <f ca="1">IFERROR(__xludf.DUMMYFUNCTION("""COMPUTED_VALUE"""),44490)</f>
        <v>44490</v>
      </c>
      <c r="B5290" s="8" t="str">
        <f ca="1">IFERROR(__xludf.DUMMYFUNCTION("""COMPUTED_VALUE"""),"-33.748632,-70.868952")</f>
        <v>-33.748632,-70.868952</v>
      </c>
      <c r="C5290" s="6" t="str">
        <f ca="1">IFERROR(__xludf.DUMMYFUNCTION("""COMPUTED_VALUE"""),"ELIAS CONTRERAS 3205")</f>
        <v>ELIAS CONTRERAS 3205</v>
      </c>
      <c r="D5290" s="6" t="str">
        <f ca="1">IFERROR(__xludf.DUMMYFUNCTION("""COMPUTED_VALUE"""),"ISLA DE MAIPO")</f>
        <v>ISLA DE MAIPO</v>
      </c>
    </row>
    <row r="5291" spans="1:4">
      <c r="A5291" s="7">
        <f ca="1">IFERROR(__xludf.DUMMYFUNCTION("""COMPUTED_VALUE"""),44490)</f>
        <v>44490</v>
      </c>
      <c r="B5291" s="8" t="str">
        <f ca="1">IFERROR(__xludf.DUMMYFUNCTION("""COMPUTED_VALUE"""),"-33.748683,-70.870575")</f>
        <v>-33.748683,-70.870575</v>
      </c>
      <c r="C5291" s="6" t="str">
        <f ca="1">IFERROR(__xludf.DUMMYFUNCTION("""COMPUTED_VALUE"""),"LAS FRUTAS 3255")</f>
        <v>LAS FRUTAS 3255</v>
      </c>
      <c r="D5291" s="6" t="str">
        <f ca="1">IFERROR(__xludf.DUMMYFUNCTION("""COMPUTED_VALUE"""),"ISLA DE MAIPO")</f>
        <v>ISLA DE MAIPO</v>
      </c>
    </row>
    <row r="5292" spans="1:4">
      <c r="A5292" s="7">
        <f ca="1">IFERROR(__xludf.DUMMYFUNCTION("""COMPUTED_VALUE"""),44490)</f>
        <v>44490</v>
      </c>
      <c r="B5292" s="8" t="str">
        <f ca="1">IFERROR(__xludf.DUMMYFUNCTION("""COMPUTED_VALUE"""),"-33.785900,-70.886572")</f>
        <v>-33.785900,-70.886572</v>
      </c>
      <c r="C5292" s="6" t="str">
        <f ca="1">IFERROR(__xludf.DUMMYFUNCTION("""COMPUTED_VALUE"""),"SAN MARTIRIAN 866")</f>
        <v>SAN MARTIRIAN 866</v>
      </c>
      <c r="D5292" s="6" t="str">
        <f ca="1">IFERROR(__xludf.DUMMYFUNCTION("""COMPUTED_VALUE"""),"ISLA DE MAIPO")</f>
        <v>ISLA DE MAIPO</v>
      </c>
    </row>
    <row r="5293" spans="1:4">
      <c r="A5293" s="7">
        <f ca="1">IFERROR(__xludf.DUMMYFUNCTION("""COMPUTED_VALUE"""),44490)</f>
        <v>44490</v>
      </c>
      <c r="B5293" s="8" t="str">
        <f ca="1">IFERROR(__xludf.DUMMYFUNCTION("""COMPUTED_VALUE"""),"-33.572211,-71.186630")</f>
        <v>-33.572211,-71.186630</v>
      </c>
      <c r="C5293" s="6" t="str">
        <f ca="1">IFERROR(__xludf.DUMMYFUNCTION("""COMPUTED_VALUE"""),"5 DE OCTUBRE PARCELA 14")</f>
        <v>5 DE OCTUBRE PARCELA 14</v>
      </c>
      <c r="D5293" s="6" t="str">
        <f ca="1">IFERROR(__xludf.DUMMYFUNCTION("""COMPUTED_VALUE"""),"MELIPILLA")</f>
        <v>MELIPILLA</v>
      </c>
    </row>
    <row r="5294" spans="1:4">
      <c r="A5294" s="7">
        <f ca="1">IFERROR(__xludf.DUMMYFUNCTION("""COMPUTED_VALUE"""),44490)</f>
        <v>44490</v>
      </c>
      <c r="B5294" s="6" t="str">
        <f ca="1">IFERROR(__xludf.DUMMYFUNCTION("""COMPUTED_VALUE"""),"-33.618324-70.895462")</f>
        <v>-33.618324-70.895462</v>
      </c>
      <c r="C5294" s="6" t="str">
        <f ca="1">IFERROR(__xludf.DUMMYFUNCTION("""COMPUTED_VALUE"""),"T JAIME SAEZ NEIRA 3674")</f>
        <v>T JAIME SAEZ NEIRA 3674</v>
      </c>
      <c r="D5294" s="6" t="str">
        <f ca="1">IFERROR(__xludf.DUMMYFUNCTION("""COMPUTED_VALUE"""),"PEÑAFLOR")</f>
        <v>PEÑAFLOR</v>
      </c>
    </row>
    <row r="5295" spans="1:4">
      <c r="A5295" s="7">
        <f ca="1">IFERROR(__xludf.DUMMYFUNCTION("""COMPUTED_VALUE"""),44490)</f>
        <v>44490</v>
      </c>
      <c r="B5295" s="6" t="str">
        <f ca="1">IFERROR(__xludf.DUMMYFUNCTION("""COMPUTED_VALUE"""),"-33.407618-71.147018")</f>
        <v>-33.407618-71.147018</v>
      </c>
      <c r="C5295" s="6" t="str">
        <f ca="1">IFERROR(__xludf.DUMMYFUNCTION("""COMPUTED_VALUE"""),"PRESIDENTE BALMACEDA 152")</f>
        <v>PRESIDENTE BALMACEDA 152</v>
      </c>
      <c r="D5295" s="6" t="str">
        <f ca="1">IFERROR(__xludf.DUMMYFUNCTION("""COMPUTED_VALUE"""),"CURACAVI")</f>
        <v>CURACAVI</v>
      </c>
    </row>
    <row r="5296" spans="1:4">
      <c r="A5296" s="7">
        <f ca="1">IFERROR(__xludf.DUMMYFUNCTION("""COMPUTED_VALUE"""),44490)</f>
        <v>44490</v>
      </c>
      <c r="B5296" s="6" t="str">
        <f ca="1">IFERROR(__xludf.DUMMYFUNCTION("""COMPUTED_VALUE"""),"-33.60597-70.88251")</f>
        <v>-33.60597-70.88251</v>
      </c>
      <c r="C5296" s="6" t="str">
        <f ca="1">IFERROR(__xludf.DUMMYFUNCTION("""COMPUTED_VALUE"""),"PASAJE DOS 2491")</f>
        <v>PASAJE DOS 2491</v>
      </c>
      <c r="D5296" s="6" t="str">
        <f ca="1">IFERROR(__xludf.DUMMYFUNCTION("""COMPUTED_VALUE"""),"PEÑAFLOR")</f>
        <v>PEÑAFLOR</v>
      </c>
    </row>
    <row r="5297" spans="1:4">
      <c r="A5297" s="7">
        <f ca="1">IFERROR(__xludf.DUMMYFUNCTION("""COMPUTED_VALUE"""),44490)</f>
        <v>44490</v>
      </c>
      <c r="B5297" s="6" t="str">
        <f ca="1">IFERROR(__xludf.DUMMYFUNCTION("""COMPUTED_VALUE"""),"-33.60091-70.86254")</f>
        <v>-33.60091-70.86254</v>
      </c>
      <c r="C5297" s="6" t="str">
        <f ca="1">IFERROR(__xludf.DUMMYFUNCTION("""COMPUTED_VALUE"""),"MIRAFLORES 1135")</f>
        <v>MIRAFLORES 1135</v>
      </c>
      <c r="D5297" s="6" t="str">
        <f ca="1">IFERROR(__xludf.DUMMYFUNCTION("""COMPUTED_VALUE"""),"PEÑAFLOR")</f>
        <v>PEÑAFLOR</v>
      </c>
    </row>
    <row r="5298" spans="1:4">
      <c r="A5298" s="7">
        <f ca="1">IFERROR(__xludf.DUMMYFUNCTION("""COMPUTED_VALUE"""),44490)</f>
        <v>44490</v>
      </c>
      <c r="B5298" s="6" t="str">
        <f ca="1">IFERROR(__xludf.DUMMYFUNCTION("""COMPUTED_VALUE"""),"-33.6269640,-70.7810389")</f>
        <v>-33.6269640,-70.7810389</v>
      </c>
      <c r="C5298" s="6" t="str">
        <f ca="1">IFERROR(__xludf.DUMMYFUNCTION("""COMPUTED_VALUE"""),"CALLE EL CARMEN N9-65")</f>
        <v>CALLE EL CARMEN N9-65</v>
      </c>
      <c r="D5298" s="6" t="str">
        <f ca="1">IFERROR(__xludf.DUMMYFUNCTION("""COMPUTED_VALUE"""),"CALERA DE TANGO")</f>
        <v>CALERA DE TANGO</v>
      </c>
    </row>
    <row r="5299" spans="1:4">
      <c r="A5299" s="7">
        <f ca="1">IFERROR(__xludf.DUMMYFUNCTION("""COMPUTED_VALUE"""),44490)</f>
        <v>44490</v>
      </c>
      <c r="B5299" s="6" t="str">
        <f ca="1">IFERROR(__xludf.DUMMYFUNCTION("""COMPUTED_VALUE"""),"-33.6270815,-70.7814361")</f>
        <v>-33.6270815,-70.7814361</v>
      </c>
      <c r="C5299" s="6" t="str">
        <f ca="1">IFERROR(__xludf.DUMMYFUNCTION("""COMPUTED_VALUE"""),"EL CARMEN ROL 966")</f>
        <v>EL CARMEN ROL 966</v>
      </c>
      <c r="D5299" s="6" t="str">
        <f ca="1">IFERROR(__xludf.DUMMYFUNCTION("""COMPUTED_VALUE"""),"CALERA DE TANGO")</f>
        <v>CALERA DE TANGO</v>
      </c>
    </row>
    <row r="5300" spans="1:4">
      <c r="A5300" s="7">
        <f ca="1">IFERROR(__xludf.DUMMYFUNCTION("""COMPUTED_VALUE"""),44490)</f>
        <v>44490</v>
      </c>
      <c r="B5300" s="6" t="str">
        <f ca="1">IFERROR(__xludf.DUMMYFUNCTION("""COMPUTED_VALUE"""),"-33.7336451,-70.6805390")</f>
        <v>-33.7336451,-70.6805390</v>
      </c>
      <c r="C5300" s="6" t="str">
        <f ca="1">IFERROR(__xludf.DUMMYFUNCTION("""COMPUTED_VALUE"""),"ESPERANZA 369")</f>
        <v>ESPERANZA 369</v>
      </c>
      <c r="D5300" s="6" t="str">
        <f ca="1">IFERROR(__xludf.DUMMYFUNCTION("""COMPUTED_VALUE"""),"BUIN")</f>
        <v>BUIN</v>
      </c>
    </row>
    <row r="5301" spans="1:4">
      <c r="A5301" s="7">
        <f ca="1">IFERROR(__xludf.DUMMYFUNCTION("""COMPUTED_VALUE"""),44490)</f>
        <v>44490</v>
      </c>
      <c r="B5301" s="8" t="str">
        <f ca="1">IFERROR(__xludf.DUMMYFUNCTION("""COMPUTED_VALUE"""),"-33.689551,-71.214639")</f>
        <v>-33.689551,-71.214639</v>
      </c>
      <c r="C5301" s="6" t="str">
        <f ca="1">IFERROR(__xludf.DUMMYFUNCTION("""COMPUTED_VALUE"""),"SAN MIGUEL 536")</f>
        <v>SAN MIGUEL 536</v>
      </c>
      <c r="D5301" s="6" t="str">
        <f ca="1">IFERROR(__xludf.DUMMYFUNCTION("""COMPUTED_VALUE"""),"MELIPILLA")</f>
        <v>MELIPILLA</v>
      </c>
    </row>
    <row r="5302" spans="1:4">
      <c r="A5302" s="7">
        <f ca="1">IFERROR(__xludf.DUMMYFUNCTION("""COMPUTED_VALUE"""),44491)</f>
        <v>44491</v>
      </c>
      <c r="B5302" s="6" t="str">
        <f ca="1">IFERROR(__xludf.DUMMYFUNCTION("""COMPUTED_VALUE"""),"-33.377603-71.089176")</f>
        <v>-33.377603-71.089176</v>
      </c>
      <c r="C5302" s="6" t="str">
        <f ca="1">IFERROR(__xludf.DUMMYFUNCTION("""COMPUTED_VALUE"""),"CUYUNCAVI PARCELA 274")</f>
        <v>CUYUNCAVI PARCELA 274</v>
      </c>
      <c r="D5302" s="6" t="str">
        <f ca="1">IFERROR(__xludf.DUMMYFUNCTION("""COMPUTED_VALUE"""),"CURACAVI")</f>
        <v>CURACAVI</v>
      </c>
    </row>
    <row r="5303" spans="1:4">
      <c r="A5303" s="7">
        <f ca="1">IFERROR(__xludf.DUMMYFUNCTION("""COMPUTED_VALUE"""),44491)</f>
        <v>44491</v>
      </c>
      <c r="B5303" s="6" t="str">
        <f ca="1">IFERROR(__xludf.DUMMYFUNCTION("""COMPUTED_VALUE"""),"-33.391427-71.126202")</f>
        <v>-33.391427-71.126202</v>
      </c>
      <c r="C5303" s="6" t="str">
        <f ca="1">IFERROR(__xludf.DUMMYFUNCTION("""COMPUTED_VALUE"""),"JAVIERA CARRERA 2004")</f>
        <v>JAVIERA CARRERA 2004</v>
      </c>
      <c r="D5303" s="6" t="str">
        <f ca="1">IFERROR(__xludf.DUMMYFUNCTION("""COMPUTED_VALUE"""),"CURACAVI")</f>
        <v>CURACAVI</v>
      </c>
    </row>
    <row r="5304" spans="1:4">
      <c r="A5304" s="7">
        <f ca="1">IFERROR(__xludf.DUMMYFUNCTION("""COMPUTED_VALUE"""),44491)</f>
        <v>44491</v>
      </c>
      <c r="B5304" s="6" t="str">
        <f ca="1">IFERROR(__xludf.DUMMYFUNCTION("""COMPUTED_VALUE"""),"-33.6229546,-70.8131770")</f>
        <v>-33.6229546,-70.8131770</v>
      </c>
      <c r="C5304" s="6" t="str">
        <f ca="1">IFERROR(__xludf.DUMMYFUNCTION("""COMPUTED_VALUE"""),"LOS TILOS PARCELA 4")</f>
        <v>LOS TILOS PARCELA 4</v>
      </c>
      <c r="D5304" s="6" t="str">
        <f ca="1">IFERROR(__xludf.DUMMYFUNCTION("""COMPUTED_VALUE"""),"CALERA DE TANGO")</f>
        <v>CALERA DE TANGO</v>
      </c>
    </row>
    <row r="5305" spans="1:4">
      <c r="A5305" s="7">
        <f ca="1">IFERROR(__xludf.DUMMYFUNCTION("""COMPUTED_VALUE"""),44491)</f>
        <v>44491</v>
      </c>
      <c r="B5305" s="6" t="str">
        <f ca="1">IFERROR(__xludf.DUMMYFUNCTION("""COMPUTED_VALUE"""),"-33.8731852,-70.7431603")</f>
        <v>-33.8731852,-70.7431603</v>
      </c>
      <c r="C5305" s="6" t="str">
        <f ca="1">IFERROR(__xludf.DUMMYFUNCTION("""COMPUTED_VALUE"""),"LAS BODEGAS N°25")</f>
        <v>LAS BODEGAS N°25</v>
      </c>
      <c r="D5305" s="6" t="str">
        <f ca="1">IFERROR(__xludf.DUMMYFUNCTION("""COMPUTED_VALUE"""),"PAINE")</f>
        <v>PAINE</v>
      </c>
    </row>
    <row r="5306" spans="1:4">
      <c r="A5306" s="7">
        <f ca="1">IFERROR(__xludf.DUMMYFUNCTION("""COMPUTED_VALUE"""),44491)</f>
        <v>44491</v>
      </c>
      <c r="B5306" s="6" t="str">
        <f ca="1">IFERROR(__xludf.DUMMYFUNCTION("""COMPUTED_VALUE"""),"-33.729478,-70.988969")</f>
        <v>-33.729478,-70.988969</v>
      </c>
      <c r="C5306" s="6" t="str">
        <f ca="1">IFERROR(__xludf.DUMMYFUNCTION("""COMPUTED_VALUE"""),"LOS LAGOS 239")</f>
        <v>LOS LAGOS 239</v>
      </c>
      <c r="D5306" s="6" t="str">
        <f ca="1">IFERROR(__xludf.DUMMYFUNCTION("""COMPUTED_VALUE"""),"ISLA DE MAIPO")</f>
        <v>ISLA DE MAIPO</v>
      </c>
    </row>
    <row r="5307" spans="1:4">
      <c r="A5307" s="7">
        <f ca="1">IFERROR(__xludf.DUMMYFUNCTION("""COMPUTED_VALUE"""),44491)</f>
        <v>44491</v>
      </c>
      <c r="B5307" s="6" t="str">
        <f ca="1">IFERROR(__xludf.DUMMYFUNCTION("""COMPUTED_VALUE"""),"-33.773753,-70.903740")</f>
        <v>-33.773753,-70.903740</v>
      </c>
      <c r="C5307" s="6" t="str">
        <f ca="1">IFERROR(__xludf.DUMMYFUNCTION("""COMPUTED_VALUE"""),"CRUCERO 113 LA VILLITA")</f>
        <v>CRUCERO 113 LA VILLITA</v>
      </c>
      <c r="D5307" s="6" t="str">
        <f ca="1">IFERROR(__xludf.DUMMYFUNCTION("""COMPUTED_VALUE"""),"ISLA DE MAIPO")</f>
        <v>ISLA DE MAIPO</v>
      </c>
    </row>
    <row r="5308" spans="1:4">
      <c r="A5308" s="7">
        <f ca="1">IFERROR(__xludf.DUMMYFUNCTION("""COMPUTED_VALUE"""),44491)</f>
        <v>44491</v>
      </c>
      <c r="B5308" s="6" t="str">
        <f ca="1">IFERROR(__xludf.DUMMYFUNCTION("""COMPUTED_VALUE"""),"-33.767935,-70.900851")</f>
        <v>-33.767935,-70.900851</v>
      </c>
      <c r="C5308" s="6" t="str">
        <f ca="1">IFERROR(__xludf.DUMMYFUNCTION("""COMPUTED_VALUE"""),"GALVÉZ 1260")</f>
        <v>GALVÉZ 1260</v>
      </c>
      <c r="D5308" s="6" t="str">
        <f ca="1">IFERROR(__xludf.DUMMYFUNCTION("""COMPUTED_VALUE"""),"ISLA DE MAIPO")</f>
        <v>ISLA DE MAIPO</v>
      </c>
    </row>
    <row r="5309" spans="1:4">
      <c r="A5309" s="7">
        <f ca="1">IFERROR(__xludf.DUMMYFUNCTION("""COMPUTED_VALUE"""),44491)</f>
        <v>44491</v>
      </c>
      <c r="B5309" s="8" t="str">
        <f ca="1">IFERROR(__xludf.DUMMYFUNCTION("""COMPUTED_VALUE"""),"-33.219513,-70.736291")</f>
        <v>-33.219513,-70.736291</v>
      </c>
      <c r="C5309" s="6" t="str">
        <f ca="1">IFERROR(__xludf.DUMMYFUNCTION("""COMPUTED_VALUE"""),"LA QUEBRADA 110")</f>
        <v>LA QUEBRADA 110</v>
      </c>
      <c r="D5309" s="6" t="str">
        <f ca="1">IFERROR(__xludf.DUMMYFUNCTION("""COMPUTED_VALUE"""),"COLINA")</f>
        <v>COLINA</v>
      </c>
    </row>
    <row r="5310" spans="1:4">
      <c r="A5310" s="7">
        <f ca="1">IFERROR(__xludf.DUMMYFUNCTION("""COMPUTED_VALUE"""),44491)</f>
        <v>44491</v>
      </c>
      <c r="B5310" s="8" t="str">
        <f ca="1">IFERROR(__xludf.DUMMYFUNCTION("""COMPUTED_VALUE"""),"-33.219513,-70.736291")</f>
        <v>-33.219513,-70.736291</v>
      </c>
      <c r="C5310" s="6" t="str">
        <f ca="1">IFERROR(__xludf.DUMMYFUNCTION("""COMPUTED_VALUE"""),"LA QUEBRADA 110")</f>
        <v>LA QUEBRADA 110</v>
      </c>
      <c r="D5310" s="6" t="str">
        <f ca="1">IFERROR(__xludf.DUMMYFUNCTION("""COMPUTED_VALUE"""),"COLINA")</f>
        <v>COLINA</v>
      </c>
    </row>
    <row r="5311" spans="1:4">
      <c r="A5311" s="7">
        <f ca="1">IFERROR(__xludf.DUMMYFUNCTION("""COMPUTED_VALUE"""),44492)</f>
        <v>44492</v>
      </c>
      <c r="B5311" s="6" t="str">
        <f ca="1">IFERROR(__xludf.DUMMYFUNCTION("""COMPUTED_VALUE"""),"-33.741213-70.748163")</f>
        <v>-33.741213-70.748163</v>
      </c>
      <c r="C5311" s="6" t="str">
        <f ca="1">IFERROR(__xludf.DUMMYFUNCTION("""COMPUTED_VALUE"""),"HECTOR LOBOS PINTO 782")</f>
        <v>HECTOR LOBOS PINTO 782</v>
      </c>
      <c r="D5311" s="6" t="str">
        <f ca="1">IFERROR(__xludf.DUMMYFUNCTION("""COMPUTED_VALUE"""),"BUIN")</f>
        <v>BUIN</v>
      </c>
    </row>
    <row r="5312" spans="1:4">
      <c r="A5312" s="7">
        <f ca="1">IFERROR(__xludf.DUMMYFUNCTION("""COMPUTED_VALUE"""),44492)</f>
        <v>44492</v>
      </c>
      <c r="B5312" s="6" t="str">
        <f ca="1">IFERROR(__xludf.DUMMYFUNCTION("""COMPUTED_VALUE"""),"-33.414734-71.144792")</f>
        <v>-33.414734-71.144792</v>
      </c>
      <c r="C5312" s="6" t="str">
        <f ca="1">IFERROR(__xludf.DUMMYFUNCTION("""COMPUTED_VALUE"""),"LO AGUILA 37  PARCELA 27")</f>
        <v>LO AGUILA 37  PARCELA 27</v>
      </c>
      <c r="D5312" s="6" t="str">
        <f ca="1">IFERROR(__xludf.DUMMYFUNCTION("""COMPUTED_VALUE"""),"CURACAVI")</f>
        <v>CURACAVI</v>
      </c>
    </row>
    <row r="5313" spans="1:4">
      <c r="A5313" s="7">
        <f ca="1">IFERROR(__xludf.DUMMYFUNCTION("""COMPUTED_VALUE"""),44492)</f>
        <v>44492</v>
      </c>
      <c r="B5313" s="6" t="str">
        <f ca="1">IFERROR(__xludf.DUMMYFUNCTION("""COMPUTED_VALUE"""),"-33.735972,-70.859794")</f>
        <v>-33.735972,-70.859794</v>
      </c>
      <c r="C5313" s="6" t="str">
        <f ca="1">IFERROR(__xludf.DUMMYFUNCTION("""COMPUTED_VALUE"""),"ESTERO ANGOSTURA 97")</f>
        <v>ESTERO ANGOSTURA 97</v>
      </c>
      <c r="D5313" s="6" t="str">
        <f ca="1">IFERROR(__xludf.DUMMYFUNCTION("""COMPUTED_VALUE"""),"ISLA DE MAIPO")</f>
        <v>ISLA DE MAIPO</v>
      </c>
    </row>
    <row r="5314" spans="1:4">
      <c r="A5314" s="7">
        <f ca="1">IFERROR(__xludf.DUMMYFUNCTION("""COMPUTED_VALUE"""),44492)</f>
        <v>44492</v>
      </c>
      <c r="B5314" s="6" t="str">
        <f ca="1">IFERROR(__xludf.DUMMYFUNCTION("""COMPUTED_VALUE"""),"-33.688832,-71.077693")</f>
        <v>-33.688832,-71.077693</v>
      </c>
      <c r="C5314" s="6" t="str">
        <f ca="1">IFERROR(__xludf.DUMMYFUNCTION("""COMPUTED_VALUE"""),"CHINIGUE LOS QUILOS 33")</f>
        <v>CHINIGUE LOS QUILOS 33</v>
      </c>
      <c r="D5314" s="6" t="str">
        <f ca="1">IFERROR(__xludf.DUMMYFUNCTION("""COMPUTED_VALUE"""),"EL MONTE")</f>
        <v>EL MONTE</v>
      </c>
    </row>
    <row r="5315" spans="1:4">
      <c r="A5315" s="7">
        <f ca="1">IFERROR(__xludf.DUMMYFUNCTION("""COMPUTED_VALUE"""),44494)</f>
        <v>44494</v>
      </c>
      <c r="B5315" s="6" t="str">
        <f ca="1">IFERROR(__xludf.DUMMYFUNCTION("""COMPUTED_VALUE"""),"-33.662620,-70.662861")</f>
        <v>-33.662620,-70.662861</v>
      </c>
      <c r="C5315" s="6" t="str">
        <f ca="1">IFERROR(__xludf.DUMMYFUNCTION("""COMPUTED_VALUE"""),"CO PADRE HURTADO 08277")</f>
        <v>CO PADRE HURTADO 08277</v>
      </c>
      <c r="D5315" s="6" t="str">
        <f ca="1">IFERROR(__xludf.DUMMYFUNCTION("""COMPUTED_VALUE"""),"BUIN")</f>
        <v>BUIN</v>
      </c>
    </row>
    <row r="5316" spans="1:4">
      <c r="A5316" s="7">
        <f ca="1">IFERROR(__xludf.DUMMYFUNCTION("""COMPUTED_VALUE"""),44494)</f>
        <v>44494</v>
      </c>
      <c r="B5316" s="6" t="str">
        <f ca="1">IFERROR(__xludf.DUMMYFUNCTION("""COMPUTED_VALUE"""),"-33.754064,-70.825864")</f>
        <v>-33.754064,-70.825864</v>
      </c>
      <c r="C5316" s="6" t="str">
        <f ca="1">IFERROR(__xludf.DUMMYFUNCTION("""COMPUTED_VALUE"""),"EL MAICILLO 4107")</f>
        <v>EL MAICILLO 4107</v>
      </c>
      <c r="D5316" s="6" t="str">
        <f ca="1">IFERROR(__xludf.DUMMYFUNCTION("""COMPUTED_VALUE"""),"ISLA DE MAIPO")</f>
        <v>ISLA DE MAIPO</v>
      </c>
    </row>
    <row r="5317" spans="1:4">
      <c r="A5317" s="7">
        <f ca="1">IFERROR(__xludf.DUMMYFUNCTION("""COMPUTED_VALUE"""),44494)</f>
        <v>44494</v>
      </c>
      <c r="B5317" s="6" t="str">
        <f ca="1">IFERROR(__xludf.DUMMYFUNCTION("""COMPUTED_VALUE"""),"-33.754175,-70.825704")</f>
        <v>-33.754175,-70.825704</v>
      </c>
      <c r="C5317" s="6" t="str">
        <f ca="1">IFERROR(__xludf.DUMMYFUNCTION("""COMPUTED_VALUE"""),"EL MAICILLO 4107")</f>
        <v>EL MAICILLO 4107</v>
      </c>
      <c r="D5317" s="6" t="str">
        <f ca="1">IFERROR(__xludf.DUMMYFUNCTION("""COMPUTED_VALUE"""),"ISLA DE MAIPO")</f>
        <v>ISLA DE MAIPO</v>
      </c>
    </row>
    <row r="5318" spans="1:4">
      <c r="A5318" s="7">
        <f ca="1">IFERROR(__xludf.DUMMYFUNCTION("""COMPUTED_VALUE"""),44494)</f>
        <v>44494</v>
      </c>
      <c r="B5318" s="6" t="str">
        <f ca="1">IFERROR(__xludf.DUMMYFUNCTION("""COMPUTED_VALUE"""),"-33.754010,-70.825781")</f>
        <v>-33.754010,-70.825781</v>
      </c>
      <c r="C5318" s="6" t="str">
        <f ca="1">IFERROR(__xludf.DUMMYFUNCTION("""COMPUTED_VALUE"""),"EL MAICILLO 4093")</f>
        <v>EL MAICILLO 4093</v>
      </c>
      <c r="D5318" s="6" t="str">
        <f ca="1">IFERROR(__xludf.DUMMYFUNCTION("""COMPUTED_VALUE"""),"ISLA DE MAIPO")</f>
        <v>ISLA DE MAIPO</v>
      </c>
    </row>
    <row r="5319" spans="1:4">
      <c r="A5319" s="7">
        <f ca="1">IFERROR(__xludf.DUMMYFUNCTION("""COMPUTED_VALUE"""),44494)</f>
        <v>44494</v>
      </c>
      <c r="B5319" s="8" t="str">
        <f ca="1">IFERROR(__xludf.DUMMYFUNCTION("""COMPUTED_VALUE"""),"-33.495466,-71.268583")</f>
        <v>-33.495466,-71.268583</v>
      </c>
      <c r="C5319" s="6" t="str">
        <f ca="1">IFERROR(__xludf.DUMMYFUNCTION("""COMPUTED_VALUE"""),"IBACACHE ALTO SITIO 37")</f>
        <v>IBACACHE ALTO SITIO 37</v>
      </c>
      <c r="D5319" s="6" t="str">
        <f ca="1">IFERROR(__xludf.DUMMYFUNCTION("""COMPUTED_VALUE"""),"MELIPILLA")</f>
        <v>MELIPILLA</v>
      </c>
    </row>
    <row r="5320" spans="1:4">
      <c r="A5320" s="7">
        <f ca="1">IFERROR(__xludf.DUMMYFUNCTION("""COMPUTED_VALUE"""),44494)</f>
        <v>44494</v>
      </c>
      <c r="B5320" s="6" t="str">
        <f ca="1">IFERROR(__xludf.DUMMYFUNCTION("""COMPUTED_VALUE"""),"-33.263060,-70.887877")</f>
        <v>-33.263060,-70.887877</v>
      </c>
      <c r="C5320" s="6" t="str">
        <f ca="1">IFERROR(__xludf.DUMMYFUNCTION("""COMPUTED_VALUE"""),"CAMINO INTERIOR  LOTE B ")</f>
        <v xml:space="preserve">CAMINO INTERIOR  LOTE B </v>
      </c>
      <c r="D5320" s="6" t="str">
        <f ca="1">IFERROR(__xludf.DUMMYFUNCTION("""COMPUTED_VALUE"""),"LAMPA")</f>
        <v>LAMPA</v>
      </c>
    </row>
    <row r="5321" spans="1:4">
      <c r="A5321" s="7">
        <f ca="1">IFERROR(__xludf.DUMMYFUNCTION("""COMPUTED_VALUE"""),44495)</f>
        <v>44495</v>
      </c>
      <c r="B5321" s="8" t="str">
        <f ca="1">IFERROR(__xludf.DUMMYFUNCTION("""COMPUTED_VALUE"""),"-33.73651,-71.0296918")</f>
        <v>-33.73651,-71.0296918</v>
      </c>
      <c r="C5321" s="6" t="str">
        <f ca="1">IFERROR(__xludf.DUMMYFUNCTION("""COMPUTED_VALUE"""),"EL CLAVEL PARCELA 3")</f>
        <v>EL CLAVEL PARCELA 3</v>
      </c>
      <c r="D5321" s="6" t="str">
        <f ca="1">IFERROR(__xludf.DUMMYFUNCTION("""COMPUTED_VALUE"""),"ISLA DE MAIPO")</f>
        <v>ISLA DE MAIPO</v>
      </c>
    </row>
    <row r="5322" spans="1:4">
      <c r="A5322" s="7">
        <f ca="1">IFERROR(__xludf.DUMMYFUNCTION("""COMPUTED_VALUE"""),44495)</f>
        <v>44495</v>
      </c>
      <c r="B5322" s="6" t="str">
        <f ca="1">IFERROR(__xludf.DUMMYFUNCTION("""COMPUTED_VALUE"""),"-33.6353595-70.3493701")</f>
        <v>-33.6353595-70.3493701</v>
      </c>
      <c r="C5322" s="6" t="str">
        <f ca="1">IFERROR(__xludf.DUMMYFUNCTION("""COMPUTED_VALUE"""),"AV EL ESFUERZO 19024")</f>
        <v>AV EL ESFUERZO 19024</v>
      </c>
      <c r="D5322" s="6" t="str">
        <f ca="1">IFERROR(__xludf.DUMMYFUNCTION("""COMPUTED_VALUE"""),"SAN JOSE DE MAIPO")</f>
        <v>SAN JOSE DE MAIPO</v>
      </c>
    </row>
    <row r="5323" spans="1:4">
      <c r="A5323" s="7">
        <f ca="1">IFERROR(__xludf.DUMMYFUNCTION("""COMPUTED_VALUE"""),44495)</f>
        <v>44495</v>
      </c>
      <c r="B5323" s="6" t="str">
        <f ca="1">IFERROR(__xludf.DUMMYFUNCTION("""COMPUTED_VALUE"""),"-33.6378408-70.3552902")</f>
        <v>-33.6378408-70.3552902</v>
      </c>
      <c r="C5323" s="6" t="str">
        <f ca="1">IFERROR(__xludf.DUMMYFUNCTION("""COMPUTED_VALUE"""),"SIN CALLE S/N")</f>
        <v>SIN CALLE S/N</v>
      </c>
      <c r="D5323" s="6" t="str">
        <f ca="1">IFERROR(__xludf.DUMMYFUNCTION("""COMPUTED_VALUE"""),"SAN JOSE DE MAIPO")</f>
        <v>SAN JOSE DE MAIPO</v>
      </c>
    </row>
    <row r="5324" spans="1:4">
      <c r="A5324" s="7">
        <f ca="1">IFERROR(__xludf.DUMMYFUNCTION("""COMPUTED_VALUE"""),44495)</f>
        <v>44495</v>
      </c>
      <c r="B5324" s="6" t="str">
        <f ca="1">IFERROR(__xludf.DUMMYFUNCTION("""COMPUTED_VALUE"""),"-33.27182-70.88209")</f>
        <v>-33.27182-70.88209</v>
      </c>
      <c r="C5324" s="6" t="str">
        <f ca="1">IFERROR(__xludf.DUMMYFUNCTION("""COMPUTED_VALUE"""),"JUAN DE DIOS MARTICORENA P2")</f>
        <v>JUAN DE DIOS MARTICORENA P2</v>
      </c>
      <c r="D5324" s="6" t="str">
        <f ca="1">IFERROR(__xludf.DUMMYFUNCTION("""COMPUTED_VALUE"""),"LAMPA")</f>
        <v>LAMPA</v>
      </c>
    </row>
    <row r="5325" spans="1:4">
      <c r="A5325" s="7">
        <f ca="1">IFERROR(__xludf.DUMMYFUNCTION("""COMPUTED_VALUE"""),44495)</f>
        <v>44495</v>
      </c>
      <c r="B5325" s="6" t="str">
        <f ca="1">IFERROR(__xludf.DUMMYFUNCTION("""COMPUTED_VALUE"""),"-33.29716-70.87045")</f>
        <v>-33.29716-70.87045</v>
      </c>
      <c r="C5325" s="6" t="str">
        <f ca="1">IFERROR(__xludf.DUMMYFUNCTION("""COMPUTED_VALUE"""),"LAS MAGNOLIAS 2608")</f>
        <v>LAS MAGNOLIAS 2608</v>
      </c>
      <c r="D5325" s="6" t="str">
        <f ca="1">IFERROR(__xludf.DUMMYFUNCTION("""COMPUTED_VALUE"""),"LAMPA")</f>
        <v>LAMPA</v>
      </c>
    </row>
    <row r="5326" spans="1:4">
      <c r="A5326" s="7">
        <f ca="1">IFERROR(__xludf.DUMMYFUNCTION("""COMPUTED_VALUE"""),44495)</f>
        <v>44495</v>
      </c>
      <c r="B5326" s="6" t="str">
        <f ca="1">IFERROR(__xludf.DUMMYFUNCTION("""COMPUTED_VALUE"""),"-33.29751-70.87087")</f>
        <v>-33.29751-70.87087</v>
      </c>
      <c r="C5326" s="6" t="str">
        <f ca="1">IFERROR(__xludf.DUMMYFUNCTION("""COMPUTED_VALUE"""),"LAS MAGNOLIAS 2682")</f>
        <v>LAS MAGNOLIAS 2682</v>
      </c>
      <c r="D5326" s="6" t="str">
        <f ca="1">IFERROR(__xludf.DUMMYFUNCTION("""COMPUTED_VALUE"""),"LAMPA")</f>
        <v>LAMPA</v>
      </c>
    </row>
    <row r="5327" spans="1:4">
      <c r="A5327" s="7">
        <f ca="1">IFERROR(__xludf.DUMMYFUNCTION("""COMPUTED_VALUE"""),44495)</f>
        <v>44495</v>
      </c>
      <c r="B5327" s="6" t="str">
        <f ca="1">IFERROR(__xludf.DUMMYFUNCTION("""COMPUTED_VALUE"""),"-33.8729808,-70.7428844")</f>
        <v>-33.8729808,-70.7428844</v>
      </c>
      <c r="C5327" s="6" t="str">
        <f ca="1">IFERROR(__xludf.DUMMYFUNCTION("""COMPUTED_VALUE"""),"LAS BODEGAS N°25")</f>
        <v>LAS BODEGAS N°25</v>
      </c>
      <c r="D5327" s="6" t="str">
        <f ca="1">IFERROR(__xludf.DUMMYFUNCTION("""COMPUTED_VALUE"""),"PAINE")</f>
        <v>PAINE</v>
      </c>
    </row>
    <row r="5328" spans="1:4">
      <c r="A5328" s="7">
        <f ca="1">IFERROR(__xludf.DUMMYFUNCTION("""COMPUTED_VALUE"""),44495)</f>
        <v>44495</v>
      </c>
      <c r="B5328" s="6" t="str">
        <f ca="1">IFERROR(__xludf.DUMMYFUNCTION("""COMPUTED_VALUE"""),"-33.713273,-70.547149")</f>
        <v>-33.713273,-70.547149</v>
      </c>
      <c r="C5328" s="6" t="str">
        <f ca="1">IFERROR(__xludf.DUMMYFUNCTION("""COMPUTED_VALUE"""),"LAS ILUSIONES PARCELA 1 E")</f>
        <v>LAS ILUSIONES PARCELA 1 E</v>
      </c>
      <c r="D5328" s="6" t="str">
        <f ca="1">IFERROR(__xludf.DUMMYFUNCTION("""COMPUTED_VALUE"""),"PIRQUE")</f>
        <v>PIRQUE</v>
      </c>
    </row>
    <row r="5329" spans="1:4">
      <c r="A5329" s="7">
        <f ca="1">IFERROR(__xludf.DUMMYFUNCTION("""COMPUTED_VALUE"""),44495)</f>
        <v>44495</v>
      </c>
      <c r="B5329" s="6" t="str">
        <f ca="1">IFERROR(__xludf.DUMMYFUNCTION("""COMPUTED_VALUE"""),"-33.7071262,-70.5325967")</f>
        <v>-33.7071262,-70.5325967</v>
      </c>
      <c r="C5329" s="6" t="str">
        <f ca="1">IFERROR(__xludf.DUMMYFUNCTION("""COMPUTED_VALUE"""),"ORILLAS DEL RIO 169,7")</f>
        <v>ORILLAS DEL RIO 169,7</v>
      </c>
      <c r="D5329" s="6" t="str">
        <f ca="1">IFERROR(__xludf.DUMMYFUNCTION("""COMPUTED_VALUE"""),"PIRQUE")</f>
        <v>PIRQUE</v>
      </c>
    </row>
    <row r="5330" spans="1:4">
      <c r="A5330" s="7">
        <f ca="1">IFERROR(__xludf.DUMMYFUNCTION("""COMPUTED_VALUE"""),44495)</f>
        <v>44495</v>
      </c>
      <c r="B5330" s="6" t="str">
        <f ca="1">IFERROR(__xludf.DUMMYFUNCTION("""COMPUTED_VALUE"""),"-33.765696,-70.901496")</f>
        <v>-33.765696,-70.901496</v>
      </c>
      <c r="C5330" s="6" t="str">
        <f ca="1">IFERROR(__xludf.DUMMYFUNCTION("""COMPUTED_VALUE"""),"LO ZUÑIGA 850")</f>
        <v>LO ZUÑIGA 850</v>
      </c>
      <c r="D5330" s="6" t="str">
        <f ca="1">IFERROR(__xludf.DUMMYFUNCTION("""COMPUTED_VALUE"""),"ISLA DE MAIPO")</f>
        <v>ISLA DE MAIPO</v>
      </c>
    </row>
    <row r="5331" spans="1:4">
      <c r="A5331" s="7">
        <f ca="1">IFERROR(__xludf.DUMMYFUNCTION("""COMPUTED_VALUE"""),44495)</f>
        <v>44495</v>
      </c>
      <c r="B5331" s="6" t="str">
        <f ca="1">IFERROR(__xludf.DUMMYFUNCTION("""COMPUTED_VALUE"""),"-33.765696,-70.901496")</f>
        <v>-33.765696,-70.901496</v>
      </c>
      <c r="C5331" s="6" t="str">
        <f ca="1">IFERROR(__xludf.DUMMYFUNCTION("""COMPUTED_VALUE"""),"LO ZUÑIGA 850")</f>
        <v>LO ZUÑIGA 850</v>
      </c>
      <c r="D5331" s="6" t="str">
        <f ca="1">IFERROR(__xludf.DUMMYFUNCTION("""COMPUTED_VALUE"""),"ISLA DE MAIPO")</f>
        <v>ISLA DE MAIPO</v>
      </c>
    </row>
    <row r="5332" spans="1:4">
      <c r="A5332" s="7">
        <f ca="1">IFERROR(__xludf.DUMMYFUNCTION("""COMPUTED_VALUE"""),44495)</f>
        <v>44495</v>
      </c>
      <c r="B5332" s="6" t="str">
        <f ca="1">IFERROR(__xludf.DUMMYFUNCTION("""COMPUTED_VALUE"""),"-33.765696,-70.901496")</f>
        <v>-33.765696,-70.901496</v>
      </c>
      <c r="C5332" s="6" t="str">
        <f ca="1">IFERROR(__xludf.DUMMYFUNCTION("""COMPUTED_VALUE"""),"LO ZUÑIGA 850")</f>
        <v>LO ZUÑIGA 850</v>
      </c>
      <c r="D5332" s="6" t="str">
        <f ca="1">IFERROR(__xludf.DUMMYFUNCTION("""COMPUTED_VALUE"""),"ISLA DE MAIPO")</f>
        <v>ISLA DE MAIPO</v>
      </c>
    </row>
    <row r="5333" spans="1:4">
      <c r="A5333" s="7">
        <f ca="1">IFERROR(__xludf.DUMMYFUNCTION("""COMPUTED_VALUE"""),44495)</f>
        <v>44495</v>
      </c>
      <c r="B5333" s="8" t="str">
        <f ca="1">IFERROR(__xludf.DUMMYFUNCTION("""COMPUTED_VALUE"""),"-33.501919,-71253550")</f>
        <v>-33.501919,-71253550</v>
      </c>
      <c r="C5333" s="6" t="str">
        <f ca="1">IFERROR(__xludf.DUMMYFUNCTION("""COMPUTED_VALUE"""),"PARCELA 58 IBACACHE BAJO")</f>
        <v>PARCELA 58 IBACACHE BAJO</v>
      </c>
      <c r="D5333" s="6" t="str">
        <f ca="1">IFERROR(__xludf.DUMMYFUNCTION("""COMPUTED_VALUE"""),"MELIPILLA")</f>
        <v>MELIPILLA</v>
      </c>
    </row>
    <row r="5334" spans="1:4">
      <c r="A5334" s="7">
        <f ca="1">IFERROR(__xludf.DUMMYFUNCTION("""COMPUTED_VALUE"""),44495)</f>
        <v>44495</v>
      </c>
      <c r="B5334" s="8" t="str">
        <f ca="1">IFERROR(__xludf.DUMMYFUNCTION("""COMPUTED_VALUE"""),"-33.682733,-71211243")</f>
        <v>-33.682733,-71211243</v>
      </c>
      <c r="C5334" s="6" t="str">
        <f ca="1">IFERROR(__xludf.DUMMYFUNCTION("""COMPUTED_VALUE"""),"FUENZALIDA 182")</f>
        <v>FUENZALIDA 182</v>
      </c>
      <c r="D5334" s="6" t="str">
        <f ca="1">IFERROR(__xludf.DUMMYFUNCTION("""COMPUTED_VALUE"""),"MELIPILLA")</f>
        <v>MELIPILLA</v>
      </c>
    </row>
    <row r="5335" spans="1:4">
      <c r="A5335" s="7">
        <f ca="1">IFERROR(__xludf.DUMMYFUNCTION("""COMPUTED_VALUE"""),44495)</f>
        <v>44495</v>
      </c>
      <c r="B5335" s="6" t="str">
        <f ca="1">IFERROR(__xludf.DUMMYFUNCTION("""COMPUTED_VALUE"""),"-33.138248,-70.797625")</f>
        <v>-33.138248,-70.797625</v>
      </c>
      <c r="C5335" s="6" t="str">
        <f ca="1">IFERROR(__xludf.DUMMYFUNCTION("""COMPUTED_VALUE"""),"3 ORIENTE 280")</f>
        <v>3 ORIENTE 280</v>
      </c>
      <c r="D5335" s="6" t="str">
        <f ca="1">IFERROR(__xludf.DUMMYFUNCTION("""COMPUTED_VALUE"""),"TIL TIL")</f>
        <v>TIL TIL</v>
      </c>
    </row>
    <row r="5336" spans="1:4">
      <c r="A5336" s="7">
        <f ca="1">IFERROR(__xludf.DUMMYFUNCTION("""COMPUTED_VALUE"""),44495)</f>
        <v>44495</v>
      </c>
      <c r="B5336" s="6" t="str">
        <f ca="1">IFERROR(__xludf.DUMMYFUNCTION("""COMPUTED_VALUE"""),"-33130256-70797044")</f>
        <v>-33130256-70797044</v>
      </c>
      <c r="C5336" s="6" t="str">
        <f ca="1">IFERROR(__xludf.DUMMYFUNCTION("""COMPUTED_VALUE"""),"5 ORIENTE 121")</f>
        <v>5 ORIENTE 121</v>
      </c>
      <c r="D5336" s="6" t="str">
        <f ca="1">IFERROR(__xludf.DUMMYFUNCTION("""COMPUTED_VALUE"""),"TIL TIL")</f>
        <v>TIL TIL</v>
      </c>
    </row>
    <row r="5337" spans="1:4">
      <c r="A5337" s="7">
        <f ca="1">IFERROR(__xludf.DUMMYFUNCTION("""COMPUTED_VALUE"""),44496)</f>
        <v>44496</v>
      </c>
      <c r="B5337" s="8" t="str">
        <f ca="1">IFERROR(__xludf.DUMMYFUNCTION("""COMPUTED_VALUE"""),"-33.7402992,-70.8628423")</f>
        <v>-33.7402992,-70.8628423</v>
      </c>
      <c r="C5337" s="6" t="str">
        <f ca="1">IFERROR(__xludf.DUMMYFUNCTION("""COMPUTED_VALUE"""),"LA MAÑANA 4150")</f>
        <v>LA MAÑANA 4150</v>
      </c>
      <c r="D5337" s="6" t="str">
        <f ca="1">IFERROR(__xludf.DUMMYFUNCTION("""COMPUTED_VALUE"""),"ISLA DE MAIPO")</f>
        <v>ISLA DE MAIPO</v>
      </c>
    </row>
    <row r="5338" spans="1:4">
      <c r="A5338" s="7">
        <f ca="1">IFERROR(__xludf.DUMMYFUNCTION("""COMPUTED_VALUE"""),44496)</f>
        <v>44496</v>
      </c>
      <c r="B5338" s="8" t="str">
        <f ca="1">IFERROR(__xludf.DUMMYFUNCTION("""COMPUTED_VALUE"""),"-33.744584.-70.899931")</f>
        <v>-33.744584.-70.899931</v>
      </c>
      <c r="C5338" s="6" t="str">
        <f ca="1">IFERROR(__xludf.DUMMYFUNCTION("""COMPUTED_VALUE"""),"EL CORREDOR 655")</f>
        <v>EL CORREDOR 655</v>
      </c>
      <c r="D5338" s="6" t="str">
        <f ca="1">IFERROR(__xludf.DUMMYFUNCTION("""COMPUTED_VALUE"""),"ISLA DE MAIPO")</f>
        <v>ISLA DE MAIPO</v>
      </c>
    </row>
    <row r="5339" spans="1:4">
      <c r="A5339" s="7">
        <f ca="1">IFERROR(__xludf.DUMMYFUNCTION("""COMPUTED_VALUE"""),44496)</f>
        <v>44496</v>
      </c>
      <c r="B5339" s="8" t="str">
        <f ca="1">IFERROR(__xludf.DUMMYFUNCTION("""COMPUTED_VALUE"""),"-33.7608643, -70.8625238")</f>
        <v>-33.7608643, -70.8625238</v>
      </c>
      <c r="C5339" s="6" t="str">
        <f ca="1">IFERROR(__xludf.DUMMYFUNCTION("""COMPUTED_VALUE"""),"OLEA 40900 PARCELA 51")</f>
        <v>OLEA 40900 PARCELA 51</v>
      </c>
      <c r="D5339" s="6" t="str">
        <f ca="1">IFERROR(__xludf.DUMMYFUNCTION("""COMPUTED_VALUE"""),"ISLA DE MAIPO")</f>
        <v>ISLA DE MAIPO</v>
      </c>
    </row>
    <row r="5340" spans="1:4">
      <c r="A5340" s="7">
        <f ca="1">IFERROR(__xludf.DUMMYFUNCTION("""COMPUTED_VALUE"""),44496)</f>
        <v>44496</v>
      </c>
      <c r="B5340" s="6" t="str">
        <f ca="1">IFERROR(__xludf.DUMMYFUNCTION("""COMPUTED_VALUE"""),"-33.396781-71.125680")</f>
        <v>-33.396781-71.125680</v>
      </c>
      <c r="C5340" s="6" t="str">
        <f ca="1">IFERROR(__xludf.DUMMYFUNCTION("""COMPUTED_VALUE"""),"LUIS CRUCHAGA 571")</f>
        <v>LUIS CRUCHAGA 571</v>
      </c>
      <c r="D5340" s="6" t="str">
        <f ca="1">IFERROR(__xludf.DUMMYFUNCTION("""COMPUTED_VALUE"""),"CURACAVI")</f>
        <v>CURACAVI</v>
      </c>
    </row>
    <row r="5341" spans="1:4">
      <c r="A5341" s="7">
        <f ca="1">IFERROR(__xludf.DUMMYFUNCTION("""COMPUTED_VALUE"""),44496)</f>
        <v>44496</v>
      </c>
      <c r="B5341" s="6" t="str">
        <f ca="1">IFERROR(__xludf.DUMMYFUNCTION("""COMPUTED_VALUE"""),"-33.399048-71.122116")</f>
        <v>-33.399048-71.122116</v>
      </c>
      <c r="C5341" s="6" t="str">
        <f ca="1">IFERROR(__xludf.DUMMYFUNCTION("""COMPUTED_VALUE"""),"PJE ROBERTO ROSALES 246")</f>
        <v>PJE ROBERTO ROSALES 246</v>
      </c>
      <c r="D5341" s="6" t="str">
        <f ca="1">IFERROR(__xludf.DUMMYFUNCTION("""COMPUTED_VALUE"""),"CURACAVI")</f>
        <v>CURACAVI</v>
      </c>
    </row>
    <row r="5342" spans="1:4">
      <c r="A5342" s="7">
        <f ca="1">IFERROR(__xludf.DUMMYFUNCTION("""COMPUTED_VALUE"""),44496)</f>
        <v>44496</v>
      </c>
      <c r="B5342" s="6" t="str">
        <f ca="1">IFERROR(__xludf.DUMMYFUNCTION("""COMPUTED_VALUE"""),"-33.6377651-70.3536446")</f>
        <v>-33.6377651-70.3536446</v>
      </c>
      <c r="C5342" s="6" t="str">
        <f ca="1">IFERROR(__xludf.DUMMYFUNCTION("""COMPUTED_VALUE"""),"SIN CALLE S/N")</f>
        <v>SIN CALLE S/N</v>
      </c>
      <c r="D5342" s="6" t="str">
        <f ca="1">IFERROR(__xludf.DUMMYFUNCTION("""COMPUTED_VALUE"""),"SAN JOSE DE MAIPO")</f>
        <v>SAN JOSE DE MAIPO</v>
      </c>
    </row>
    <row r="5343" spans="1:4">
      <c r="A5343" s="7">
        <f ca="1">IFERROR(__xludf.DUMMYFUNCTION("""COMPUTED_VALUE"""),44496)</f>
        <v>44496</v>
      </c>
      <c r="B5343" s="6" t="str">
        <f ca="1">IFERROR(__xludf.DUMMYFUNCTION("""COMPUTED_VALUE"""),"-33.6378934-70.3534277")</f>
        <v>-33.6378934-70.3534277</v>
      </c>
      <c r="C5343" s="6" t="str">
        <f ca="1">IFERROR(__xludf.DUMMYFUNCTION("""COMPUTED_VALUE"""),"SIN CALLE S/N")</f>
        <v>SIN CALLE S/N</v>
      </c>
      <c r="D5343" s="6" t="str">
        <f ca="1">IFERROR(__xludf.DUMMYFUNCTION("""COMPUTED_VALUE"""),"SAN JOSE DE MAIPO")</f>
        <v>SAN JOSE DE MAIPO</v>
      </c>
    </row>
    <row r="5344" spans="1:4">
      <c r="A5344" s="7">
        <f ca="1">IFERROR(__xludf.DUMMYFUNCTION("""COMPUTED_VALUE"""),44496)</f>
        <v>44496</v>
      </c>
      <c r="B5344" s="6" t="str">
        <f ca="1">IFERROR(__xludf.DUMMYFUNCTION("""COMPUTED_VALUE"""),"-33.21919-70.83819")</f>
        <v>-33.21919-70.83819</v>
      </c>
      <c r="C5344" s="6" t="str">
        <f ca="1">IFERROR(__xludf.DUMMYFUNCTION("""COMPUTED_VALUE"""),"CAMINO LAS PARCELAS SITIO 2")</f>
        <v>CAMINO LAS PARCELAS SITIO 2</v>
      </c>
      <c r="D5344" s="6" t="str">
        <f ca="1">IFERROR(__xludf.DUMMYFUNCTION("""COMPUTED_VALUE"""),"LAMPA")</f>
        <v>LAMPA</v>
      </c>
    </row>
    <row r="5345" spans="1:4">
      <c r="A5345" s="7">
        <f ca="1">IFERROR(__xludf.DUMMYFUNCTION("""COMPUTED_VALUE"""),44496)</f>
        <v>44496</v>
      </c>
      <c r="B5345" s="6" t="str">
        <f ca="1">IFERROR(__xludf.DUMMYFUNCTION("""COMPUTED_VALUE"""),"-33.7071262,-70.5325967")</f>
        <v>-33.7071262,-70.5325967</v>
      </c>
      <c r="C5345" s="6" t="str">
        <f ca="1">IFERROR(__xludf.DUMMYFUNCTION("""COMPUTED_VALUE"""),"ORILLAS DEL RIO 10")</f>
        <v>ORILLAS DEL RIO 10</v>
      </c>
      <c r="D5345" s="6" t="str">
        <f ca="1">IFERROR(__xludf.DUMMYFUNCTION("""COMPUTED_VALUE"""),"PIRQUE")</f>
        <v>PIRQUE</v>
      </c>
    </row>
    <row r="5346" spans="1:4">
      <c r="A5346" s="7">
        <f ca="1">IFERROR(__xludf.DUMMYFUNCTION("""COMPUTED_VALUE"""),44496)</f>
        <v>44496</v>
      </c>
      <c r="B5346" s="6" t="str">
        <f ca="1">IFERROR(__xludf.DUMMYFUNCTION("""COMPUTED_VALUE"""),"-33.8729808,-70.7428843")</f>
        <v>-33.8729808,-70.7428843</v>
      </c>
      <c r="C5346" s="6" t="str">
        <f ca="1">IFERROR(__xludf.DUMMYFUNCTION("""COMPUTED_VALUE"""),"C. KENNEDY N°25 HOSPITAL")</f>
        <v>C. KENNEDY N°25 HOSPITAL</v>
      </c>
      <c r="D5346" s="6" t="str">
        <f ca="1">IFERROR(__xludf.DUMMYFUNCTION("""COMPUTED_VALUE"""),"PAINE")</f>
        <v>PAINE</v>
      </c>
    </row>
    <row r="5347" spans="1:4">
      <c r="A5347" s="7">
        <f ca="1">IFERROR(__xludf.DUMMYFUNCTION("""COMPUTED_VALUE"""),44496)</f>
        <v>44496</v>
      </c>
      <c r="B5347" s="6" t="str">
        <f ca="1">IFERROR(__xludf.DUMMYFUNCTION("""COMPUTED_VALUE"""),"-33.8729808,-70.7428844")</f>
        <v>-33.8729808,-70.7428844</v>
      </c>
      <c r="C5347" s="6" t="str">
        <f ca="1">IFERROR(__xludf.DUMMYFUNCTION("""COMPUTED_VALUE"""),"COLONIA KENNEDY N°25 C")</f>
        <v>COLONIA KENNEDY N°25 C</v>
      </c>
      <c r="D5347" s="6" t="str">
        <f ca="1">IFERROR(__xludf.DUMMYFUNCTION("""COMPUTED_VALUE"""),"PAINE")</f>
        <v>PAINE</v>
      </c>
    </row>
    <row r="5348" spans="1:4">
      <c r="A5348" s="7">
        <f ca="1">IFERROR(__xludf.DUMMYFUNCTION("""COMPUTED_VALUE"""),44496)</f>
        <v>44496</v>
      </c>
      <c r="B5348" s="6" t="str">
        <f ca="1">IFERROR(__xludf.DUMMYFUNCTION("""COMPUTED_VALUE"""),"-33.715082,-70.589164")</f>
        <v>-33.715082,-70.589164</v>
      </c>
      <c r="C5348" s="6" t="str">
        <f ca="1">IFERROR(__xludf.DUMMYFUNCTION("""COMPUTED_VALUE"""),"LAS BANDURRIAS")</f>
        <v>LAS BANDURRIAS</v>
      </c>
      <c r="D5348" s="6" t="str">
        <f ca="1">IFERROR(__xludf.DUMMYFUNCTION("""COMPUTED_VALUE"""),"PIRQUE")</f>
        <v>PIRQUE</v>
      </c>
    </row>
    <row r="5349" spans="1:4">
      <c r="A5349" s="7">
        <f ca="1">IFERROR(__xludf.DUMMYFUNCTION("""COMPUTED_VALUE"""),44496)</f>
        <v>44496</v>
      </c>
      <c r="B5349" s="6" t="str">
        <f ca="1">IFERROR(__xludf.DUMMYFUNCTION("""COMPUTED_VALUE"""),"-33.628945,-70.575634")</f>
        <v>-33.628945,-70.575634</v>
      </c>
      <c r="C5349" s="6" t="str">
        <f ca="1">IFERROR(__xludf.DUMMYFUNCTION("""COMPUTED_VALUE"""),"MARQUEZ DE CASA CONCHA 61")</f>
        <v>MARQUEZ DE CASA CONCHA 61</v>
      </c>
      <c r="D5349" s="6" t="str">
        <f ca="1">IFERROR(__xludf.DUMMYFUNCTION("""COMPUTED_VALUE"""),"PIRQUE")</f>
        <v>PIRQUE</v>
      </c>
    </row>
    <row r="5350" spans="1:4">
      <c r="A5350" s="7">
        <f ca="1">IFERROR(__xludf.DUMMYFUNCTION("""COMPUTED_VALUE"""),44496)</f>
        <v>44496</v>
      </c>
      <c r="B5350" s="6" t="str">
        <f ca="1">IFERROR(__xludf.DUMMYFUNCTION("""COMPUTED_VALUE"""),"-33.708948,-70.537973")</f>
        <v>-33.708948,-70.537973</v>
      </c>
      <c r="C5350" s="6" t="str">
        <f ca="1">IFERROR(__xludf.DUMMYFUNCTION("""COMPUTED_VALUE"""),"ORILLA DEL RIO PC 10 SITIO 169")</f>
        <v>ORILLA DEL RIO PC 10 SITIO 169</v>
      </c>
      <c r="D5350" s="6" t="str">
        <f ca="1">IFERROR(__xludf.DUMMYFUNCTION("""COMPUTED_VALUE"""),"PIRQUE")</f>
        <v>PIRQUE</v>
      </c>
    </row>
    <row r="5351" spans="1:4">
      <c r="A5351" s="7">
        <f ca="1">IFERROR(__xludf.DUMMYFUNCTION("""COMPUTED_VALUE"""),44496)</f>
        <v>44496</v>
      </c>
      <c r="B5351" s="6" t="str">
        <f ca="1">IFERROR(__xludf.DUMMYFUNCTION("""COMPUTED_VALUE"""),"-33.7090144,-70.5364443")</f>
        <v>-33.7090144,-70.5364443</v>
      </c>
      <c r="C5351" s="6" t="str">
        <f ca="1">IFERROR(__xludf.DUMMYFUNCTION("""COMPUTED_VALUE"""),"ORILLA DEL RIO 168 B LOTE A")</f>
        <v>ORILLA DEL RIO 168 B LOTE A</v>
      </c>
      <c r="D5351" s="6" t="str">
        <f ca="1">IFERROR(__xludf.DUMMYFUNCTION("""COMPUTED_VALUE"""),"PIRQUE")</f>
        <v>PIRQUE</v>
      </c>
    </row>
    <row r="5352" spans="1:4">
      <c r="A5352" s="7">
        <f ca="1">IFERROR(__xludf.DUMMYFUNCTION("""COMPUTED_VALUE"""),44496)</f>
        <v>44496</v>
      </c>
      <c r="B5352" s="6" t="str">
        <f ca="1">IFERROR(__xludf.DUMMYFUNCTION("""COMPUTED_VALUE"""),"-33.733275,-71.0273265")</f>
        <v>-33.733275,-71.0273265</v>
      </c>
      <c r="C5352" s="6" t="str">
        <f ca="1">IFERROR(__xludf.DUMMYFUNCTION("""COMPUTED_VALUE"""),"EL PEUMO SITIO 23 LOTE 4")</f>
        <v>EL PEUMO SITIO 23 LOTE 4</v>
      </c>
      <c r="D5352" s="6" t="str">
        <f ca="1">IFERROR(__xludf.DUMMYFUNCTION("""COMPUTED_VALUE"""),"ISLA DE MAIPO")</f>
        <v>ISLA DE MAIPO</v>
      </c>
    </row>
    <row r="5353" spans="1:4">
      <c r="A5353" s="7">
        <f ca="1">IFERROR(__xludf.DUMMYFUNCTION("""COMPUTED_VALUE"""),44496)</f>
        <v>44496</v>
      </c>
      <c r="B5353" s="8" t="str">
        <f ca="1">IFERROR(__xludf.DUMMYFUNCTION("""COMPUTED_VALUE"""),"-33.620216,-71.248485")</f>
        <v>-33.620216,-71.248485</v>
      </c>
      <c r="C5353" s="6" t="str">
        <f ca="1">IFERROR(__xludf.DUMMYFUNCTION("""COMPUTED_VALUE"""),"VILLA ALEGRE PARCELA 11-2B")</f>
        <v>VILLA ALEGRE PARCELA 11-2B</v>
      </c>
      <c r="D5353" s="6" t="str">
        <f ca="1">IFERROR(__xludf.DUMMYFUNCTION("""COMPUTED_VALUE"""),"MELIPILLA")</f>
        <v>MELIPILLA</v>
      </c>
    </row>
    <row r="5354" spans="1:4">
      <c r="A5354" s="7">
        <f ca="1">IFERROR(__xludf.DUMMYFUNCTION("""COMPUTED_VALUE"""),44496)</f>
        <v>44496</v>
      </c>
      <c r="B5354" s="8" t="str">
        <f ca="1">IFERROR(__xludf.DUMMYFUNCTION("""COMPUTED_VALUE"""),"-33.620216,-71.248485")</f>
        <v>-33.620216,-71.248485</v>
      </c>
      <c r="C5354" s="6" t="str">
        <f ca="1">IFERROR(__xludf.DUMMYFUNCTION("""COMPUTED_VALUE"""),"VILLA ALEGRE PARCELA 11-2B")</f>
        <v>VILLA ALEGRE PARCELA 11-2B</v>
      </c>
      <c r="D5354" s="6" t="str">
        <f ca="1">IFERROR(__xludf.DUMMYFUNCTION("""COMPUTED_VALUE"""),"MELIPILLA")</f>
        <v>MELIPILLA</v>
      </c>
    </row>
    <row r="5355" spans="1:4">
      <c r="A5355" s="7">
        <f ca="1">IFERROR(__xludf.DUMMYFUNCTION("""COMPUTED_VALUE"""),44497)</f>
        <v>44497</v>
      </c>
      <c r="B5355" s="8" t="str">
        <f ca="1">IFERROR(__xludf.DUMMYFUNCTION("""COMPUTED_VALUE"""),"-33.7405561, -70.8679508")</f>
        <v>-33.7405561, -70.8679508</v>
      </c>
      <c r="C5355" s="6" t="str">
        <f ca="1">IFERROR(__xludf.DUMMYFUNCTION("""COMPUTED_VALUE"""),"SAN ANTONIO 3080")</f>
        <v>SAN ANTONIO 3080</v>
      </c>
      <c r="D5355" s="6" t="str">
        <f ca="1">IFERROR(__xludf.DUMMYFUNCTION("""COMPUTED_VALUE"""),"ISLA DE MAIPO")</f>
        <v>ISLA DE MAIPO</v>
      </c>
    </row>
    <row r="5356" spans="1:4">
      <c r="A5356" s="7">
        <f ca="1">IFERROR(__xludf.DUMMYFUNCTION("""COMPUTED_VALUE"""),44497)</f>
        <v>44497</v>
      </c>
      <c r="B5356" s="8" t="str">
        <f ca="1">IFERROR(__xludf.DUMMYFUNCTION("""COMPUTED_VALUE"""),"-33.7406164, -70.8678973")</f>
        <v>-33.7406164, -70.8678973</v>
      </c>
      <c r="C5356" s="6" t="str">
        <f ca="1">IFERROR(__xludf.DUMMYFUNCTION("""COMPUTED_VALUE"""),"SAN ANTONIO 3080")</f>
        <v>SAN ANTONIO 3080</v>
      </c>
      <c r="D5356" s="6" t="str">
        <f ca="1">IFERROR(__xludf.DUMMYFUNCTION("""COMPUTED_VALUE"""),"ISLA DE MAIPO")</f>
        <v>ISLA DE MAIPO</v>
      </c>
    </row>
    <row r="5357" spans="1:4">
      <c r="A5357" s="7">
        <f ca="1">IFERROR(__xludf.DUMMYFUNCTION("""COMPUTED_VALUE"""),44497)</f>
        <v>44497</v>
      </c>
      <c r="B5357" s="8" t="str">
        <f ca="1">IFERROR(__xludf.DUMMYFUNCTION("""COMPUTED_VALUE"""),"-33.7858768, -70.8869997")</f>
        <v>-33.7858768, -70.8869997</v>
      </c>
      <c r="C5357" s="6" t="str">
        <f ca="1">IFERROR(__xludf.DUMMYFUNCTION("""COMPUTED_VALUE"""),"SAN MARTIRIAN 842")</f>
        <v>SAN MARTIRIAN 842</v>
      </c>
      <c r="D5357" s="6" t="str">
        <f ca="1">IFERROR(__xludf.DUMMYFUNCTION("""COMPUTED_VALUE"""),"ISLA DE MAIPO")</f>
        <v>ISLA DE MAIPO</v>
      </c>
    </row>
    <row r="5358" spans="1:4">
      <c r="A5358" s="7">
        <f ca="1">IFERROR(__xludf.DUMMYFUNCTION("""COMPUTED_VALUE"""),44497)</f>
        <v>44497</v>
      </c>
      <c r="B5358" s="8" t="str">
        <f ca="1">IFERROR(__xludf.DUMMYFUNCTION("""COMPUTED_VALUE"""),"-33.7273206, -70.9877183")</f>
        <v>-33.7273206, -70.9877183</v>
      </c>
      <c r="C5358" s="6" t="str">
        <f ca="1">IFERROR(__xludf.DUMMYFUNCTION("""COMPUTED_VALUE"""),"VILLARRICA 05")</f>
        <v>VILLARRICA 05</v>
      </c>
      <c r="D5358" s="6" t="str">
        <f ca="1">IFERROR(__xludf.DUMMYFUNCTION("""COMPUTED_VALUE"""),"ISLA DE MAIPO")</f>
        <v>ISLA DE MAIPO</v>
      </c>
    </row>
    <row r="5359" spans="1:4">
      <c r="A5359" s="7">
        <f ca="1">IFERROR(__xludf.DUMMYFUNCTION("""COMPUTED_VALUE"""),44497)</f>
        <v>44497</v>
      </c>
      <c r="B5359" s="8" t="str">
        <f ca="1">IFERROR(__xludf.DUMMYFUNCTION("""COMPUTED_VALUE"""),"-33.7341512, -70.903169")</f>
        <v>-33.7341512, -70.903169</v>
      </c>
      <c r="C5359" s="6" t="str">
        <f ca="1">IFERROR(__xludf.DUMMYFUNCTION("""COMPUTED_VALUE"""),"LO PEREZ 638 SITIO 03")</f>
        <v>LO PEREZ 638 SITIO 03</v>
      </c>
      <c r="D5359" s="6" t="str">
        <f ca="1">IFERROR(__xludf.DUMMYFUNCTION("""COMPUTED_VALUE"""),"ISLA DE MAIPO")</f>
        <v>ISLA DE MAIPO</v>
      </c>
    </row>
    <row r="5360" spans="1:4">
      <c r="A5360" s="7">
        <f ca="1">IFERROR(__xludf.DUMMYFUNCTION("""COMPUTED_VALUE"""),44497)</f>
        <v>44497</v>
      </c>
      <c r="B5360" s="8" t="str">
        <f ca="1">IFERROR(__xludf.DUMMYFUNCTION("""COMPUTED_VALUE"""),"-33.7433857, -70.8707588")</f>
        <v>-33.7433857, -70.8707588</v>
      </c>
      <c r="C5360" s="6" t="str">
        <f ca="1">IFERROR(__xludf.DUMMYFUNCTION("""COMPUTED_VALUE"""),"REGIDOR ERNESTO TITO JIMENEZ541")</f>
        <v>REGIDOR ERNESTO TITO JIMENEZ541</v>
      </c>
      <c r="D5360" s="6" t="str">
        <f ca="1">IFERROR(__xludf.DUMMYFUNCTION("""COMPUTED_VALUE"""),"ISLA DE MAIPO")</f>
        <v>ISLA DE MAIPO</v>
      </c>
    </row>
    <row r="5361" spans="1:4">
      <c r="A5361" s="7">
        <f ca="1">IFERROR(__xludf.DUMMYFUNCTION("""COMPUTED_VALUE"""),44497)</f>
        <v>44497</v>
      </c>
      <c r="B5361" s="6" t="str">
        <f ca="1">IFERROR(__xludf.DUMMYFUNCTION("""COMPUTED_VALUE"""),"-33.395429-71.130982")</f>
        <v>-33.395429-71.130982</v>
      </c>
      <c r="C5361" s="6" t="str">
        <f ca="1">IFERROR(__xludf.DUMMYFUNCTION("""COMPUTED_VALUE"""),"COMPOSITORA PETRONILA ORELLANA 682")</f>
        <v>COMPOSITORA PETRONILA ORELLANA 682</v>
      </c>
      <c r="D5361" s="6" t="str">
        <f ca="1">IFERROR(__xludf.DUMMYFUNCTION("""COMPUTED_VALUE"""),"CURACAVI")</f>
        <v>CURACAVI</v>
      </c>
    </row>
    <row r="5362" spans="1:4">
      <c r="A5362" s="7">
        <f ca="1">IFERROR(__xludf.DUMMYFUNCTION("""COMPUTED_VALUE"""),44497)</f>
        <v>44497</v>
      </c>
      <c r="B5362" s="6" t="str">
        <f ca="1">IFERROR(__xludf.DUMMYFUNCTION("""COMPUTED_VALUE"""),"-33.401674-71.134158")</f>
        <v>-33.401674-71.134158</v>
      </c>
      <c r="C5362" s="6" t="str">
        <f ca="1">IFERROR(__xludf.DUMMYFUNCTION("""COMPUTED_VALUE"""),"JUAN PASTENE 230")</f>
        <v>JUAN PASTENE 230</v>
      </c>
      <c r="D5362" s="6" t="str">
        <f ca="1">IFERROR(__xludf.DUMMYFUNCTION("""COMPUTED_VALUE"""),"CURACAVI")</f>
        <v>CURACAVI</v>
      </c>
    </row>
    <row r="5363" spans="1:4">
      <c r="A5363" s="7">
        <f ca="1">IFERROR(__xludf.DUMMYFUNCTION("""COMPUTED_VALUE"""),44497)</f>
        <v>44497</v>
      </c>
      <c r="B5363" s="6" t="str">
        <f ca="1">IFERROR(__xludf.DUMMYFUNCTION("""COMPUTED_VALUE"""),"-33.7837867-70.2347905")</f>
        <v>-33.7837867-70.2347905</v>
      </c>
      <c r="C5363" s="6" t="str">
        <f ca="1">IFERROR(__xludf.DUMMYFUNCTION("""COMPUTED_VALUE"""),"LOS RODADOS PARCELA 22")</f>
        <v>LOS RODADOS PARCELA 22</v>
      </c>
      <c r="D5363" s="6" t="str">
        <f ca="1">IFERROR(__xludf.DUMMYFUNCTION("""COMPUTED_VALUE"""),"SAN JOSE DE MAIPO")</f>
        <v>SAN JOSE DE MAIPO</v>
      </c>
    </row>
    <row r="5364" spans="1:4">
      <c r="A5364" s="7">
        <f ca="1">IFERROR(__xludf.DUMMYFUNCTION("""COMPUTED_VALUE"""),44497)</f>
        <v>44497</v>
      </c>
      <c r="B5364" s="6" t="str">
        <f ca="1">IFERROR(__xludf.DUMMYFUNCTION("""COMPUTED_VALUE"""),"-33.21815-70.81216")</f>
        <v>-33.21815-70.81216</v>
      </c>
      <c r="C5364" s="6" t="str">
        <f ca="1">IFERROR(__xludf.DUMMYFUNCTION("""COMPUTED_VALUE"""),"1 ORIENTE 136 D")</f>
        <v>1 ORIENTE 136 D</v>
      </c>
      <c r="D5364" s="6" t="str">
        <f ca="1">IFERROR(__xludf.DUMMYFUNCTION("""COMPUTED_VALUE"""),"TIL TIL")</f>
        <v>TIL TIL</v>
      </c>
    </row>
    <row r="5365" spans="1:4">
      <c r="A5365" s="7">
        <f ca="1">IFERROR(__xludf.DUMMYFUNCTION("""COMPUTED_VALUE"""),44497)</f>
        <v>44497</v>
      </c>
      <c r="B5365" s="6" t="str">
        <f ca="1">IFERROR(__xludf.DUMMYFUNCTION("""COMPUTED_VALUE"""),"-33.12204-70.7998")</f>
        <v>-33.12204-70.7998</v>
      </c>
      <c r="C5365" s="6" t="str">
        <f ca="1">IFERROR(__xludf.DUMMYFUNCTION("""COMPUTED_VALUE"""),"LOS LINGUES LOTE 15")</f>
        <v>LOS LINGUES LOTE 15</v>
      </c>
      <c r="D5365" s="6" t="str">
        <f ca="1">IFERROR(__xludf.DUMMYFUNCTION("""COMPUTED_VALUE"""),"TIL TIL")</f>
        <v>TIL TIL</v>
      </c>
    </row>
    <row r="5366" spans="1:4">
      <c r="A5366" s="7">
        <f ca="1">IFERROR(__xludf.DUMMYFUNCTION("""COMPUTED_VALUE"""),44497)</f>
        <v>44497</v>
      </c>
      <c r="B5366" s="6" t="str">
        <f ca="1">IFERROR(__xludf.DUMMYFUNCTION("""COMPUTED_VALUE"""),"-33.13017-70.80015")</f>
        <v>-33.13017-70.80015</v>
      </c>
      <c r="C5366" s="6" t="str">
        <f ca="1">IFERROR(__xludf.DUMMYFUNCTION("""COMPUTED_VALUE"""),"1 SUR 416")</f>
        <v>1 SUR 416</v>
      </c>
      <c r="D5366" s="6" t="str">
        <f ca="1">IFERROR(__xludf.DUMMYFUNCTION("""COMPUTED_VALUE"""),"TIL TIL")</f>
        <v>TIL TIL</v>
      </c>
    </row>
    <row r="5367" spans="1:4">
      <c r="A5367" s="7">
        <f ca="1">IFERROR(__xludf.DUMMYFUNCTION("""COMPUTED_VALUE"""),44497)</f>
        <v>44497</v>
      </c>
      <c r="B5367" s="6" t="str">
        <f ca="1">IFERROR(__xludf.DUMMYFUNCTION("""COMPUTED_VALUE"""),"-33.12986-70.8005")</f>
        <v>-33.12986-70.8005</v>
      </c>
      <c r="C5367" s="6" t="str">
        <f ca="1">IFERROR(__xludf.DUMMYFUNCTION("""COMPUTED_VALUE"""),"1 SUR 416")</f>
        <v>1 SUR 416</v>
      </c>
      <c r="D5367" s="6" t="str">
        <f ca="1">IFERROR(__xludf.DUMMYFUNCTION("""COMPUTED_VALUE"""),"TIL TIL")</f>
        <v>TIL TIL</v>
      </c>
    </row>
    <row r="5368" spans="1:4">
      <c r="A5368" s="7">
        <f ca="1">IFERROR(__xludf.DUMMYFUNCTION("""COMPUTED_VALUE"""),44497)</f>
        <v>44497</v>
      </c>
      <c r="B5368" s="6" t="str">
        <f ca="1">IFERROR(__xludf.DUMMYFUNCTION("""COMPUTED_VALUE"""),"-33.7837867-70.2347905")</f>
        <v>-33.7837867-70.2347905</v>
      </c>
      <c r="C5368" s="6" t="str">
        <f ca="1">IFERROR(__xludf.DUMMYFUNCTION("""COMPUTED_VALUE"""),"LOS RODADOS PARCELA 22")</f>
        <v>LOS RODADOS PARCELA 22</v>
      </c>
      <c r="D5368" s="6" t="str">
        <f ca="1">IFERROR(__xludf.DUMMYFUNCTION("""COMPUTED_VALUE"""),"SAN JOSE DE MAIPO")</f>
        <v>SAN JOSE DE MAIPO</v>
      </c>
    </row>
    <row r="5369" spans="1:4">
      <c r="A5369" s="7">
        <f ca="1">IFERROR(__xludf.DUMMYFUNCTION("""COMPUTED_VALUE"""),44497)</f>
        <v>44497</v>
      </c>
      <c r="B5369" s="6" t="str">
        <f ca="1">IFERROR(__xludf.DUMMYFUNCTION("""COMPUTED_VALUE"""),"-33.0817-70.9278")</f>
        <v>-33.0817-70.9278</v>
      </c>
      <c r="C5369" s="6" t="str">
        <f ca="1">IFERROR(__xludf.DUMMYFUNCTION("""COMPUTED_VALUE"""),"3 ORIENTE 332")</f>
        <v>3 ORIENTE 332</v>
      </c>
      <c r="D5369" s="6" t="str">
        <f ca="1">IFERROR(__xludf.DUMMYFUNCTION("""COMPUTED_VALUE"""),"LAMPA")</f>
        <v>LAMPA</v>
      </c>
    </row>
    <row r="5370" spans="1:4">
      <c r="A5370" s="7">
        <f ca="1">IFERROR(__xludf.DUMMYFUNCTION("""COMPUTED_VALUE"""),44497)</f>
        <v>44497</v>
      </c>
      <c r="B5370" s="6" t="str">
        <f ca="1">IFERROR(__xludf.DUMMYFUNCTION("""COMPUTED_VALUE"""),"-33.6704038,-70.5572607")</f>
        <v>-33.6704038,-70.5572607</v>
      </c>
      <c r="C5370" s="6" t="str">
        <f ca="1">IFERROR(__xludf.DUMMYFUNCTION("""COMPUTED_VALUE"""),"PATRICIO GANE 044")</f>
        <v>PATRICIO GANE 044</v>
      </c>
      <c r="D5370" s="6" t="str">
        <f ca="1">IFERROR(__xludf.DUMMYFUNCTION("""COMPUTED_VALUE"""),"PIRQUE")</f>
        <v>PIRQUE</v>
      </c>
    </row>
    <row r="5371" spans="1:4">
      <c r="A5371" s="7">
        <f ca="1">IFERROR(__xludf.DUMMYFUNCTION("""COMPUTED_VALUE"""),44497)</f>
        <v>44497</v>
      </c>
      <c r="B5371" s="6" t="str">
        <f ca="1">IFERROR(__xludf.DUMMYFUNCTION("""COMPUTED_VALUE"""),"-33.707340,-70.557940")</f>
        <v>-33.707340,-70.557940</v>
      </c>
      <c r="C5371" s="6" t="str">
        <f ca="1">IFERROR(__xludf.DUMMYFUNCTION("""COMPUTED_VALUE"""),"LA ARAUCANIA 689")</f>
        <v>LA ARAUCANIA 689</v>
      </c>
      <c r="D5371" s="6" t="str">
        <f ca="1">IFERROR(__xludf.DUMMYFUNCTION("""COMPUTED_VALUE"""),"PIRQUE")</f>
        <v>PIRQUE</v>
      </c>
    </row>
    <row r="5372" spans="1:4">
      <c r="A5372" s="7">
        <f ca="1">IFERROR(__xludf.DUMMYFUNCTION("""COMPUTED_VALUE"""),44497)</f>
        <v>44497</v>
      </c>
      <c r="B5372" s="6" t="str">
        <f ca="1">IFERROR(__xludf.DUMMYFUNCTION("""COMPUTED_VALUE"""),"33.707049,-70.555141")</f>
        <v>33.707049,-70.555141</v>
      </c>
      <c r="C5372" s="6" t="str">
        <f ca="1">IFERROR(__xludf.DUMMYFUNCTION("""COMPUTED_VALUE"""),"EL LINGUE7879")</f>
        <v>EL LINGUE7879</v>
      </c>
      <c r="D5372" s="6" t="str">
        <f ca="1">IFERROR(__xludf.DUMMYFUNCTION("""COMPUTED_VALUE"""),"PIRQUE")</f>
        <v>PIRQUE</v>
      </c>
    </row>
    <row r="5373" spans="1:4">
      <c r="A5373" s="7">
        <f ca="1">IFERROR(__xludf.DUMMYFUNCTION("""COMPUTED_VALUE"""),44497)</f>
        <v>44497</v>
      </c>
      <c r="B5373" s="6" t="str">
        <f ca="1">IFERROR(__xludf.DUMMYFUNCTION("""COMPUTED_VALUE"""),"-33.6770779,-70.8800145")</f>
        <v>-33.6770779,-70.8800145</v>
      </c>
      <c r="C5373" s="6" t="str">
        <f ca="1">IFERROR(__xludf.DUMMYFUNCTION("""COMPUTED_VALUE"""),"LAS DALIAS 1135")</f>
        <v>LAS DALIAS 1135</v>
      </c>
      <c r="D5373" s="6" t="str">
        <f ca="1">IFERROR(__xludf.DUMMYFUNCTION("""COMPUTED_VALUE"""),"PIRQUE")</f>
        <v>PIRQUE</v>
      </c>
    </row>
    <row r="5374" spans="1:4">
      <c r="A5374" s="7">
        <f ca="1">IFERROR(__xludf.DUMMYFUNCTION("""COMPUTED_VALUE"""),44497)</f>
        <v>44497</v>
      </c>
      <c r="B5374" s="6" t="str">
        <f ca="1">IFERROR(__xludf.DUMMYFUNCTION("""COMPUTED_VALUE"""),"-33.293073,-70.869362")</f>
        <v>-33.293073,-70.869362</v>
      </c>
      <c r="C5374" s="6" t="str">
        <f ca="1">IFERROR(__xludf.DUMMYFUNCTION("""COMPUTED_VALUE"""),"LA RAYUELA 920")</f>
        <v>LA RAYUELA 920</v>
      </c>
      <c r="D5374" s="6" t="str">
        <f ca="1">IFERROR(__xludf.DUMMYFUNCTION("""COMPUTED_VALUE"""),"LAMPA")</f>
        <v>LAMPA</v>
      </c>
    </row>
    <row r="5375" spans="1:4">
      <c r="A5375" s="7">
        <f ca="1">IFERROR(__xludf.DUMMYFUNCTION("""COMPUTED_VALUE"""),44497)</f>
        <v>44497</v>
      </c>
      <c r="B5375" s="6" t="str">
        <f ca="1">IFERROR(__xludf.DUMMYFUNCTION("""COMPUTED_VALUE"""),"-33.709806,-70.533487")</f>
        <v>-33.709806,-70.533487</v>
      </c>
      <c r="C5375" s="6" t="str">
        <f ca="1">IFERROR(__xludf.DUMMYFUNCTION("""COMPUTED_VALUE"""),"ORILLA DEL RIO 169 COSTA 45")</f>
        <v>ORILLA DEL RIO 169 COSTA 45</v>
      </c>
      <c r="D5375" s="6" t="str">
        <f ca="1">IFERROR(__xludf.DUMMYFUNCTION("""COMPUTED_VALUE"""),"PIRQUE")</f>
        <v>PIRQUE</v>
      </c>
    </row>
    <row r="5376" spans="1:4">
      <c r="A5376" s="7">
        <f ca="1">IFERROR(__xludf.DUMMYFUNCTION("""COMPUTED_VALUE"""),44497)</f>
        <v>44497</v>
      </c>
      <c r="B5376" s="6" t="str">
        <f ca="1">IFERROR(__xludf.DUMMYFUNCTION("""COMPUTED_VALUE"""),"-33.752600,-70.898839")</f>
        <v>-33.752600,-70.898839</v>
      </c>
      <c r="C5376" s="6" t="str">
        <f ca="1">IFERROR(__xludf.DUMMYFUNCTION("""COMPUTED_VALUE"""),"OLEA 177")</f>
        <v>OLEA 177</v>
      </c>
      <c r="D5376" s="6" t="str">
        <f ca="1">IFERROR(__xludf.DUMMYFUNCTION("""COMPUTED_VALUE"""),"ISLA DE MAIPO")</f>
        <v>ISLA DE MAIPO</v>
      </c>
    </row>
    <row r="5377" spans="1:4">
      <c r="A5377" s="7">
        <f ca="1">IFERROR(__xludf.DUMMYFUNCTION("""COMPUTED_VALUE"""),44497)</f>
        <v>44497</v>
      </c>
      <c r="B5377" s="6" t="str">
        <f ca="1">IFERROR(__xludf.DUMMYFUNCTION("""COMPUTED_VALUE"""),"-33.232581,-70.813704")</f>
        <v>-33.232581,-70.813704</v>
      </c>
      <c r="C5377" s="6" t="str">
        <f ca="1">IFERROR(__xludf.DUMMYFUNCTION("""COMPUTED_VALUE"""),"ACEVEDO 71")</f>
        <v>ACEVEDO 71</v>
      </c>
      <c r="D5377" s="6" t="str">
        <f ca="1">IFERROR(__xludf.DUMMYFUNCTION("""COMPUTED_VALUE"""),"LAMPA")</f>
        <v>LAMPA</v>
      </c>
    </row>
    <row r="5378" spans="1:4">
      <c r="A5378" s="7">
        <f ca="1">IFERROR(__xludf.DUMMYFUNCTION("""COMPUTED_VALUE"""),44498)</f>
        <v>44498</v>
      </c>
      <c r="B5378" s="8" t="str">
        <f ca="1">IFERROR(__xludf.DUMMYFUNCTION("""COMPUTED_VALUE"""),"-33.6916134, -71.2219295")</f>
        <v>-33.6916134, -71.2219295</v>
      </c>
      <c r="C5378" s="6" t="str">
        <f ca="1">IFERROR(__xludf.DUMMYFUNCTION("""COMPUTED_VALUE"""),"CORREA 930")</f>
        <v>CORREA 930</v>
      </c>
      <c r="D5378" s="6" t="str">
        <f ca="1">IFERROR(__xludf.DUMMYFUNCTION("""COMPUTED_VALUE"""),"MELIPILLA")</f>
        <v>MELIPILLA</v>
      </c>
    </row>
    <row r="5379" spans="1:4">
      <c r="A5379" s="7">
        <f ca="1">IFERROR(__xludf.DUMMYFUNCTION("""COMPUTED_VALUE"""),44498)</f>
        <v>44498</v>
      </c>
      <c r="B5379" s="8" t="str">
        <f ca="1">IFERROR(__xludf.DUMMYFUNCTION("""COMPUTED_VALUE"""),"-33.6919143, -71.2219464")</f>
        <v>-33.6919143, -71.2219464</v>
      </c>
      <c r="C5379" s="6" t="str">
        <f ca="1">IFERROR(__xludf.DUMMYFUNCTION("""COMPUTED_VALUE"""),"CORREA 936")</f>
        <v>CORREA 936</v>
      </c>
      <c r="D5379" s="6" t="str">
        <f ca="1">IFERROR(__xludf.DUMMYFUNCTION("""COMPUTED_VALUE"""),"MELIPILLA")</f>
        <v>MELIPILLA</v>
      </c>
    </row>
    <row r="5380" spans="1:4">
      <c r="A5380" s="7">
        <f ca="1">IFERROR(__xludf.DUMMYFUNCTION("""COMPUTED_VALUE"""),44498)</f>
        <v>44498</v>
      </c>
      <c r="B5380" s="8" t="str">
        <f ca="1">IFERROR(__xludf.DUMMYFUNCTION("""COMPUTED_VALUE"""),"-33.6358353, -71.2342129")</f>
        <v>-33.6358353, -71.2342129</v>
      </c>
      <c r="C5380" s="6" t="str">
        <f ca="1">IFERROR(__xludf.DUMMYFUNCTION("""COMPUTED_VALUE"""),"RUMAY NORTE  S/N")</f>
        <v>RUMAY NORTE  S/N</v>
      </c>
      <c r="D5380" s="6" t="str">
        <f ca="1">IFERROR(__xludf.DUMMYFUNCTION("""COMPUTED_VALUE"""),"MELIPILLA")</f>
        <v>MELIPILLA</v>
      </c>
    </row>
    <row r="5381" spans="1:4">
      <c r="A5381" s="7">
        <f ca="1">IFERROR(__xludf.DUMMYFUNCTION("""COMPUTED_VALUE"""),44498)</f>
        <v>44498</v>
      </c>
      <c r="B5381" s="6" t="str">
        <f ca="1">IFERROR(__xludf.DUMMYFUNCTION("""COMPUTED_VALUE"""),"-33.390741-71.128062")</f>
        <v>-33.390741-71.128062</v>
      </c>
      <c r="C5381" s="6" t="str">
        <f ca="1">IFERROR(__xludf.DUMMYFUNCTION("""COMPUTED_VALUE"""),"PRESBITERO MORAGA 1146")</f>
        <v>PRESBITERO MORAGA 1146</v>
      </c>
      <c r="D5381" s="6" t="str">
        <f ca="1">IFERROR(__xludf.DUMMYFUNCTION("""COMPUTED_VALUE"""),"CURACAVI")</f>
        <v>CURACAVI</v>
      </c>
    </row>
    <row r="5382" spans="1:4">
      <c r="A5382" s="7">
        <f ca="1">IFERROR(__xludf.DUMMYFUNCTION("""COMPUTED_VALUE"""),44498)</f>
        <v>44498</v>
      </c>
      <c r="B5382" s="6" t="str">
        <f ca="1">IFERROR(__xludf.DUMMYFUNCTION("""COMPUTED_VALUE"""),"-33.399048-71.122116")</f>
        <v>-33.399048-71.122116</v>
      </c>
      <c r="C5382" s="6" t="str">
        <f ca="1">IFERROR(__xludf.DUMMYFUNCTION("""COMPUTED_VALUE"""),"ROBERTO ROSALES 246")</f>
        <v>ROBERTO ROSALES 246</v>
      </c>
      <c r="D5382" s="6" t="str">
        <f ca="1">IFERROR(__xludf.DUMMYFUNCTION("""COMPUTED_VALUE"""),"CURACAVI")</f>
        <v>CURACAVI</v>
      </c>
    </row>
    <row r="5383" spans="1:4">
      <c r="A5383" s="7">
        <f ca="1">IFERROR(__xludf.DUMMYFUNCTION("""COMPUTED_VALUE"""),44498)</f>
        <v>44498</v>
      </c>
      <c r="B5383" s="6" t="str">
        <f ca="1">IFERROR(__xludf.DUMMYFUNCTION("""COMPUTED_VALUE"""),"-33.262951,-70.870634")</f>
        <v>-33.262951,-70.870634</v>
      </c>
      <c r="C5383" s="6" t="str">
        <f ca="1">IFERROR(__xludf.DUMMYFUNCTION("""COMPUTED_VALUE"""),"QUINQUILA 1241")</f>
        <v>QUINQUILA 1241</v>
      </c>
      <c r="D5383" s="6" t="str">
        <f ca="1">IFERROR(__xludf.DUMMYFUNCTION("""COMPUTED_VALUE"""),"LAMPA")</f>
        <v>LAMPA</v>
      </c>
    </row>
    <row r="5384" spans="1:4">
      <c r="A5384" s="7">
        <f ca="1">IFERROR(__xludf.DUMMYFUNCTION("""COMPUTED_VALUE"""),44498)</f>
        <v>44498</v>
      </c>
      <c r="B5384" s="6" t="str">
        <f ca="1">IFERROR(__xludf.DUMMYFUNCTION("""COMPUTED_VALUE"""),"-33.292113,-70.874001")</f>
        <v>-33.292113,-70.874001</v>
      </c>
      <c r="C5384" s="6" t="str">
        <f ca="1">IFERROR(__xludf.DUMMYFUNCTION("""COMPUTED_VALUE"""),"EL MARAI 1560")</f>
        <v>EL MARAI 1560</v>
      </c>
      <c r="D5384" s="6" t="str">
        <f ca="1">IFERROR(__xludf.DUMMYFUNCTION("""COMPUTED_VALUE"""),"LAMPA")</f>
        <v>LAMPA</v>
      </c>
    </row>
    <row r="5385" spans="1:4">
      <c r="A5385" s="7">
        <f ca="1">IFERROR(__xludf.DUMMYFUNCTION("""COMPUTED_VALUE"""),44498)</f>
        <v>44498</v>
      </c>
      <c r="B5385" s="6" t="str">
        <f ca="1">IFERROR(__xludf.DUMMYFUNCTION("""COMPUTED_VALUE"""),"-33.7099855,-70.5304979")</f>
        <v>-33.7099855,-70.5304979</v>
      </c>
      <c r="C5385" s="6" t="str">
        <f ca="1">IFERROR(__xludf.DUMMYFUNCTION("""COMPUTED_VALUE"""),"ORILLA DEL RIO 171 ")</f>
        <v xml:space="preserve">ORILLA DEL RIO 171 </v>
      </c>
      <c r="D5385" s="6" t="str">
        <f ca="1">IFERROR(__xludf.DUMMYFUNCTION("""COMPUTED_VALUE"""),"PIRQUE")</f>
        <v>PIRQUE</v>
      </c>
    </row>
    <row r="5386" spans="1:4">
      <c r="A5386" s="7">
        <f ca="1">IFERROR(__xludf.DUMMYFUNCTION("""COMPUTED_VALUE"""),44498)</f>
        <v>44498</v>
      </c>
      <c r="B5386" s="6" t="str">
        <f ca="1">IFERROR(__xludf.DUMMYFUNCTION("""COMPUTED_VALUE"""),"-33.762191,-70.912069")</f>
        <v>-33.762191,-70.912069</v>
      </c>
      <c r="C5386" s="6" t="str">
        <f ca="1">IFERROR(__xludf.DUMMYFUNCTION("""COMPUTED_VALUE"""),"ALVAREZ 556")</f>
        <v>ALVAREZ 556</v>
      </c>
      <c r="D5386" s="6" t="str">
        <f ca="1">IFERROR(__xludf.DUMMYFUNCTION("""COMPUTED_VALUE"""),"ISLA DE MAIPO")</f>
        <v>ISLA DE MAIPO</v>
      </c>
    </row>
    <row r="5387" spans="1:4">
      <c r="A5387" s="7">
        <f ca="1">IFERROR(__xludf.DUMMYFUNCTION("""COMPUTED_VALUE"""),44498)</f>
        <v>44498</v>
      </c>
      <c r="B5387" s="6" t="str">
        <f ca="1">IFERROR(__xludf.DUMMYFUNCTION("""COMPUTED_VALUE"""),"-33.755405,-70.892294")</f>
        <v>-33.755405,-70.892294</v>
      </c>
      <c r="C5387" s="6" t="str">
        <f ca="1">IFERROR(__xludf.DUMMYFUNCTION("""COMPUTED_VALUE"""),"PA LOPEZ 316 -1C")</f>
        <v>PA LOPEZ 316 -1C</v>
      </c>
      <c r="D5387" s="6" t="str">
        <f ca="1">IFERROR(__xludf.DUMMYFUNCTION("""COMPUTED_VALUE"""),"ISLA DE MAIPO")</f>
        <v>ISLA DE MAIPO</v>
      </c>
    </row>
    <row r="5388" spans="1:4">
      <c r="A5388" s="7">
        <f ca="1">IFERROR(__xludf.DUMMYFUNCTION("""COMPUTED_VALUE"""),44498)</f>
        <v>44498</v>
      </c>
      <c r="B5388" s="6" t="str">
        <f ca="1">IFERROR(__xludf.DUMMYFUNCTION("""COMPUTED_VALUE"""),"-33.655617,-70.916175")</f>
        <v>-33.655617,-70.916175</v>
      </c>
      <c r="C5388" s="6" t="str">
        <f ca="1">IFERROR(__xludf.DUMMYFUNCTION("""COMPUTED_VALUE"""),"PA MAURICIO RUGENDAS 229")</f>
        <v>PA MAURICIO RUGENDAS 229</v>
      </c>
      <c r="D5388" s="6" t="str">
        <f ca="1">IFERROR(__xludf.DUMMYFUNCTION("""COMPUTED_VALUE"""),"TALAGANTE")</f>
        <v>TALAGANTE</v>
      </c>
    </row>
    <row r="5389" spans="1:4">
      <c r="A5389" s="7">
        <f ca="1">IFERROR(__xludf.DUMMYFUNCTION("""COMPUTED_VALUE"""),44498)</f>
        <v>44498</v>
      </c>
      <c r="B5389" s="8" t="str">
        <f ca="1">IFERROR(__xludf.DUMMYFUNCTION("""COMPUTED_VALUE"""),"-33.789949,-71.400811")</f>
        <v>-33.789949,-71.400811</v>
      </c>
      <c r="C5389" s="6" t="str">
        <f ca="1">IFERROR(__xludf.DUMMYFUNCTION("""COMPUTED_VALUE"""),"PARCELA 5 UNION CODIGUE ")</f>
        <v xml:space="preserve">PARCELA 5 UNION CODIGUE </v>
      </c>
      <c r="D5389" s="6" t="str">
        <f ca="1">IFERROR(__xludf.DUMMYFUNCTION("""COMPUTED_VALUE"""),"MELIPILLA")</f>
        <v>MELIPILLA</v>
      </c>
    </row>
    <row r="5390" spans="1:4">
      <c r="A5390" s="7">
        <f ca="1">IFERROR(__xludf.DUMMYFUNCTION("""COMPUTED_VALUE"""),44498)</f>
        <v>44498</v>
      </c>
      <c r="B5390" s="8" t="str">
        <f ca="1">IFERROR(__xludf.DUMMYFUNCTION("""COMPUTED_VALUE"""),"-33.680223,-71.218730")</f>
        <v>-33.680223,-71.218730</v>
      </c>
      <c r="C5390" s="6" t="str">
        <f ca="1">IFERROR(__xludf.DUMMYFUNCTION("""COMPUTED_VALUE"""),"AVENIDA MACKENNA 887")</f>
        <v>AVENIDA MACKENNA 887</v>
      </c>
      <c r="D5390" s="6" t="str">
        <f ca="1">IFERROR(__xludf.DUMMYFUNCTION("""COMPUTED_VALUE"""),"MELIPILLA")</f>
        <v>MELIPILLA</v>
      </c>
    </row>
    <row r="5391" spans="1:4">
      <c r="A5391" s="7">
        <f ca="1">IFERROR(__xludf.DUMMYFUNCTION("""COMPUTED_VALUE"""),44498)</f>
        <v>44498</v>
      </c>
      <c r="B5391" s="6" t="str">
        <f ca="1">IFERROR(__xludf.DUMMYFUNCTION("""COMPUTED_VALUE"""),"-33.294501,-70.8750029")</f>
        <v>-33.294501,-70.8750029</v>
      </c>
      <c r="C5391" s="6" t="str">
        <f ca="1">IFERROR(__xludf.DUMMYFUNCTION("""COMPUTED_VALUE"""),"CERRO EL PARAGUAS 2270 ")</f>
        <v xml:space="preserve">CERRO EL PARAGUAS 2270 </v>
      </c>
      <c r="D5391" s="6" t="str">
        <f ca="1">IFERROR(__xludf.DUMMYFUNCTION("""COMPUTED_VALUE"""),"LAMPA")</f>
        <v>LAMPA</v>
      </c>
    </row>
    <row r="5392" spans="1:4">
      <c r="A5392" s="7">
        <f ca="1">IFERROR(__xludf.DUMMYFUNCTION("""COMPUTED_VALUE"""),44498)</f>
        <v>44498</v>
      </c>
      <c r="B5392" s="6" t="str">
        <f ca="1">IFERROR(__xludf.DUMMYFUNCTION("""COMPUTED_VALUE"""),"-33261572-708975405")</f>
        <v>-33261572-708975405</v>
      </c>
      <c r="C5392" s="6" t="str">
        <f ca="1">IFERROR(__xludf.DUMMYFUNCTION("""COMPUTED_VALUE"""),"JOAQUIN UNDURRAGA")</f>
        <v>JOAQUIN UNDURRAGA</v>
      </c>
      <c r="D5392" s="6" t="str">
        <f ca="1">IFERROR(__xludf.DUMMYFUNCTION("""COMPUTED_VALUE"""),"LAMPA")</f>
        <v>LAMPA</v>
      </c>
    </row>
    <row r="5393" spans="1:4">
      <c r="A5393" s="7">
        <f ca="1">IFERROR(__xludf.DUMMYFUNCTION("""COMPUTED_VALUE"""),44499)</f>
        <v>44499</v>
      </c>
      <c r="B5393" s="6" t="str">
        <f ca="1">IFERROR(__xludf.DUMMYFUNCTION("""COMPUTED_VALUE"""),"-33.791115,-71.242695")</f>
        <v>-33.791115,-71.242695</v>
      </c>
      <c r="C5393" s="6" t="str">
        <f ca="1">IFERROR(__xludf.DUMMYFUNCTION("""COMPUTED_VALUE"""),"CAMNIO EL DIBUJO 247")</f>
        <v>CAMNIO EL DIBUJO 247</v>
      </c>
      <c r="D5393" s="6" t="str">
        <f ca="1">IFERROR(__xludf.DUMMYFUNCTION("""COMPUTED_VALUE"""),"MELIPILLA")</f>
        <v>MELIPILLA</v>
      </c>
    </row>
    <row r="5394" spans="1:4">
      <c r="A5394" s="7">
        <f ca="1">IFERROR(__xludf.DUMMYFUNCTION("""COMPUTED_VALUE"""),44502)</f>
        <v>44502</v>
      </c>
      <c r="B5394" s="8" t="str">
        <f ca="1">IFERROR(__xludf.DUMMYFUNCTION("""COMPUTED_VALUE"""),"-33.731658, -70.907385")</f>
        <v>-33.731658, -70.907385</v>
      </c>
      <c r="C5394" s="6" t="str">
        <f ca="1">IFERROR(__xludf.DUMMYFUNCTION("""COMPUTED_VALUE"""),"GACITUA 770")</f>
        <v>GACITUA 770</v>
      </c>
      <c r="D5394" s="6" t="str">
        <f ca="1">IFERROR(__xludf.DUMMYFUNCTION("""COMPUTED_VALUE"""),"ISLA DE MAIPO")</f>
        <v>ISLA DE MAIPO</v>
      </c>
    </row>
    <row r="5395" spans="1:4">
      <c r="A5395" s="7">
        <f ca="1">IFERROR(__xludf.DUMMYFUNCTION("""COMPUTED_VALUE"""),44502)</f>
        <v>44502</v>
      </c>
      <c r="B5395" s="8" t="str">
        <f ca="1">IFERROR(__xludf.DUMMYFUNCTION("""COMPUTED_VALUE"""),"-33.5714363, -71.2011059")</f>
        <v>-33.5714363, -71.2011059</v>
      </c>
      <c r="C5395" s="6" t="str">
        <f ca="1">IFERROR(__xludf.DUMMYFUNCTION("""COMPUTED_VALUE"""),"BOLLENAR 5")</f>
        <v>BOLLENAR 5</v>
      </c>
      <c r="D5395" s="6" t="str">
        <f ca="1">IFERROR(__xludf.DUMMYFUNCTION("""COMPUTED_VALUE"""),"MELIPILLA")</f>
        <v>MELIPILLA</v>
      </c>
    </row>
    <row r="5396" spans="1:4">
      <c r="A5396" s="7">
        <f ca="1">IFERROR(__xludf.DUMMYFUNCTION("""COMPUTED_VALUE"""),44502)</f>
        <v>44502</v>
      </c>
      <c r="B5396" s="8" t="str">
        <f ca="1">IFERROR(__xludf.DUMMYFUNCTION("""COMPUTED_VALUE"""),"-33.506905, -71.073149")</f>
        <v>-33.506905, -71.073149</v>
      </c>
      <c r="C5396" s="6" t="str">
        <f ca="1">IFERROR(__xludf.DUMMYFUNCTION("""COMPUTED_VALUE"""),"EL PARRON  LT2")</f>
        <v>EL PARRON  LT2</v>
      </c>
      <c r="D5396" s="6" t="str">
        <f ca="1">IFERROR(__xludf.DUMMYFUNCTION("""COMPUTED_VALUE"""),"MELIPILLA")</f>
        <v>MELIPILLA</v>
      </c>
    </row>
    <row r="5397" spans="1:4">
      <c r="A5397" s="7">
        <f ca="1">IFERROR(__xludf.DUMMYFUNCTION("""COMPUTED_VALUE"""),44502)</f>
        <v>44502</v>
      </c>
      <c r="B5397" s="8" t="str">
        <f ca="1">IFERROR(__xludf.DUMMYFUNCTION("""COMPUTED_VALUE"""),"-33.7491251, -70.8710641")</f>
        <v>-33.7491251, -70.8710641</v>
      </c>
      <c r="C5397" s="6" t="str">
        <f ca="1">IFERROR(__xludf.DUMMYFUNCTION("""COMPUTED_VALUE"""),"LOS FRUTOS  3305")</f>
        <v>LOS FRUTOS  3305</v>
      </c>
      <c r="D5397" s="6" t="str">
        <f ca="1">IFERROR(__xludf.DUMMYFUNCTION("""COMPUTED_VALUE"""),"ISLA DE MAIPO")</f>
        <v>ISLA DE MAIPO</v>
      </c>
    </row>
    <row r="5398" spans="1:4">
      <c r="A5398" s="7">
        <f ca="1">IFERROR(__xludf.DUMMYFUNCTION("""COMPUTED_VALUE"""),44502)</f>
        <v>44502</v>
      </c>
      <c r="B5398" s="6" t="str">
        <f ca="1">IFERROR(__xludf.DUMMYFUNCTION("""COMPUTED_VALUE"""),"-33.7206676,-70.5489220")</f>
        <v>-33.7206676,-70.5489220</v>
      </c>
      <c r="C5398" s="6" t="str">
        <f ca="1">IFERROR(__xludf.DUMMYFUNCTION("""COMPUTED_VALUE"""),"ORILLA DEL RIO 171 LOTE 1")</f>
        <v>ORILLA DEL RIO 171 LOTE 1</v>
      </c>
      <c r="D5398" s="6" t="str">
        <f ca="1">IFERROR(__xludf.DUMMYFUNCTION("""COMPUTED_VALUE"""),"PIRQUE")</f>
        <v>PIRQUE</v>
      </c>
    </row>
    <row r="5399" spans="1:4">
      <c r="A5399" s="7">
        <f ca="1">IFERROR(__xludf.DUMMYFUNCTION("""COMPUTED_VALUE"""),44502)</f>
        <v>44502</v>
      </c>
      <c r="B5399" s="6" t="str">
        <f ca="1">IFERROR(__xludf.DUMMYFUNCTION("""COMPUTED_VALUE"""),"-33.60600700,-70.7912844")</f>
        <v>-33.60600700,-70.7912844</v>
      </c>
      <c r="C5399" s="6" t="str">
        <f ca="1">IFERROR(__xludf.DUMMYFUNCTION("""COMPUTED_VALUE"""),"LA VICTORIA 29 A")</f>
        <v>LA VICTORIA 29 A</v>
      </c>
      <c r="D5399" s="6" t="str">
        <f ca="1">IFERROR(__xludf.DUMMYFUNCTION("""COMPUTED_VALUE"""),"CALERA DE TANGO")</f>
        <v>CALERA DE TANGO</v>
      </c>
    </row>
    <row r="5400" spans="1:4">
      <c r="A5400" s="7">
        <f ca="1">IFERROR(__xludf.DUMMYFUNCTION("""COMPUTED_VALUE"""),44502)</f>
        <v>44502</v>
      </c>
      <c r="B5400" s="6" t="str">
        <f ca="1">IFERROR(__xludf.DUMMYFUNCTION("""COMPUTED_VALUE"""),"-33.804339,-70.736711")</f>
        <v>-33.804339,-70.736711</v>
      </c>
      <c r="C5400" s="6" t="str">
        <f ca="1">IFERROR(__xludf.DUMMYFUNCTION("""COMPUTED_VALUE"""),"PASAJE B N°360")</f>
        <v>PASAJE B N°360</v>
      </c>
      <c r="D5400" s="6" t="str">
        <f ca="1">IFERROR(__xludf.DUMMYFUNCTION("""COMPUTED_VALUE"""),"PAINE")</f>
        <v>PAINE</v>
      </c>
    </row>
    <row r="5401" spans="1:4">
      <c r="A5401" s="7">
        <f ca="1">IFERROR(__xludf.DUMMYFUNCTION("""COMPUTED_VALUE"""),44502)</f>
        <v>44502</v>
      </c>
      <c r="B5401" s="6" t="str">
        <f ca="1">IFERROR(__xludf.DUMMYFUNCTION("""COMPUTED_VALUE"""),"-33.762075,-70.912330")</f>
        <v>-33.762075,-70.912330</v>
      </c>
      <c r="C5401" s="6" t="str">
        <f ca="1">IFERROR(__xludf.DUMMYFUNCTION("""COMPUTED_VALUE"""),"ALVAREZ 556")</f>
        <v>ALVAREZ 556</v>
      </c>
      <c r="D5401" s="6" t="str">
        <f ca="1">IFERROR(__xludf.DUMMYFUNCTION("""COMPUTED_VALUE"""),"ISLA DE MAIPO")</f>
        <v>ISLA DE MAIPO</v>
      </c>
    </row>
    <row r="5402" spans="1:4">
      <c r="A5402" s="7">
        <f ca="1">IFERROR(__xludf.DUMMYFUNCTION("""COMPUTED_VALUE"""),44502)</f>
        <v>44502</v>
      </c>
      <c r="B5402" s="6" t="str">
        <f ca="1">IFERROR(__xludf.DUMMYFUNCTION("""COMPUTED_VALUE"""),"-33.733485,-71.027556")</f>
        <v>-33.733485,-71.027556</v>
      </c>
      <c r="C5402" s="6" t="str">
        <f ca="1">IFERROR(__xludf.DUMMYFUNCTION("""COMPUTED_VALUE"""),"EL PEUMO 23")</f>
        <v>EL PEUMO 23</v>
      </c>
      <c r="D5402" s="6" t="str">
        <f ca="1">IFERROR(__xludf.DUMMYFUNCTION("""COMPUTED_VALUE"""),"ISLA DE MAIPO")</f>
        <v>ISLA DE MAIPO</v>
      </c>
    </row>
    <row r="5403" spans="1:4">
      <c r="A5403" s="7">
        <f ca="1">IFERROR(__xludf.DUMMYFUNCTION("""COMPUTED_VALUE"""),44503)</f>
        <v>44503</v>
      </c>
      <c r="B5403" s="8" t="str">
        <f ca="1">IFERROR(__xludf.DUMMYFUNCTION("""COMPUTED_VALUE"""),"-33.5781924, -71.1775223")</f>
        <v>-33.5781924, -71.1775223</v>
      </c>
      <c r="C5403" s="6" t="str">
        <f ca="1">IFERROR(__xludf.DUMMYFUNCTION("""COMPUTED_VALUE"""),"SANTA LUCIA PARCELA 1")</f>
        <v>SANTA LUCIA PARCELA 1</v>
      </c>
      <c r="D5403" s="6" t="str">
        <f ca="1">IFERROR(__xludf.DUMMYFUNCTION("""COMPUTED_VALUE"""),"MELIPILLA")</f>
        <v>MELIPILLA</v>
      </c>
    </row>
    <row r="5404" spans="1:4">
      <c r="A5404" s="7">
        <f ca="1">IFERROR(__xludf.DUMMYFUNCTION("""COMPUTED_VALUE"""),44503)</f>
        <v>44503</v>
      </c>
      <c r="B5404" s="6" t="str">
        <f ca="1">IFERROR(__xludf.DUMMYFUNCTION("""COMPUTED_VALUE"""),"-33.6993044-70.3307709")</f>
        <v>-33.6993044-70.3307709</v>
      </c>
      <c r="C5404" s="6" t="str">
        <f ca="1">IFERROR(__xludf.DUMMYFUNCTION("""COMPUTED_VALUE"""),"LOS ALAMOS 216")</f>
        <v>LOS ALAMOS 216</v>
      </c>
      <c r="D5404" s="6" t="str">
        <f ca="1">IFERROR(__xludf.DUMMYFUNCTION("""COMPUTED_VALUE"""),"SAN JOSE DE MAIPO")</f>
        <v>SAN JOSE DE MAIPO</v>
      </c>
    </row>
    <row r="5405" spans="1:4">
      <c r="A5405" s="7">
        <f ca="1">IFERROR(__xludf.DUMMYFUNCTION("""COMPUTED_VALUE"""),44503)</f>
        <v>44503</v>
      </c>
      <c r="B5405" s="6" t="str">
        <f ca="1">IFERROR(__xludf.DUMMYFUNCTION("""COMPUTED_VALUE"""),"-33.6527942-70.05855")</f>
        <v>-33.6527942-70.05855</v>
      </c>
      <c r="C5405" s="6" t="str">
        <f ca="1">IFERROR(__xludf.DUMMYFUNCTION("""COMPUTED_VALUE"""),"CAMINO A LAGUNILLA 21201")</f>
        <v>CAMINO A LAGUNILLA 21201</v>
      </c>
      <c r="D5405" s="6" t="str">
        <f ca="1">IFERROR(__xludf.DUMMYFUNCTION("""COMPUTED_VALUE"""),"SAN JOSE DE MAIPO")</f>
        <v>SAN JOSE DE MAIPO</v>
      </c>
    </row>
    <row r="5406" spans="1:4">
      <c r="A5406" s="7">
        <f ca="1">IFERROR(__xludf.DUMMYFUNCTION("""COMPUTED_VALUE"""),44503)</f>
        <v>44503</v>
      </c>
      <c r="B5406" s="6" t="str">
        <f ca="1">IFERROR(__xludf.DUMMYFUNCTION("""COMPUTED_VALUE"""),"-33.747841,-70.751207")</f>
        <v>-33.747841,-70.751207</v>
      </c>
      <c r="C5406" s="6" t="str">
        <f ca="1">IFERROR(__xludf.DUMMYFUNCTION("""COMPUTED_VALUE"""),"JUAN LINDSAY 1568")</f>
        <v>JUAN LINDSAY 1568</v>
      </c>
      <c r="D5406" s="6" t="str">
        <f ca="1">IFERROR(__xludf.DUMMYFUNCTION("""COMPUTED_VALUE"""),"BUIN")</f>
        <v>BUIN</v>
      </c>
    </row>
    <row r="5407" spans="1:4">
      <c r="A5407" s="7">
        <f ca="1">IFERROR(__xludf.DUMMYFUNCTION("""COMPUTED_VALUE"""),44503)</f>
        <v>44503</v>
      </c>
      <c r="B5407" s="6" t="str">
        <f ca="1">IFERROR(__xludf.DUMMYFUNCTION("""COMPUTED_VALUE"""),"-33.7206676,-70.5489220")</f>
        <v>-33.7206676,-70.5489220</v>
      </c>
      <c r="C5407" s="6" t="str">
        <f ca="1">IFERROR(__xludf.DUMMYFUNCTION("""COMPUTED_VALUE"""),"EL CHOLOCA 68 C")</f>
        <v>EL CHOLOCA 68 C</v>
      </c>
      <c r="D5407" s="6" t="str">
        <f ca="1">IFERROR(__xludf.DUMMYFUNCTION("""COMPUTED_VALUE"""),"PIRQUE")</f>
        <v>PIRQUE</v>
      </c>
    </row>
    <row r="5408" spans="1:4">
      <c r="A5408" s="7">
        <f ca="1">IFERROR(__xludf.DUMMYFUNCTION("""COMPUTED_VALUE"""),44503)</f>
        <v>44503</v>
      </c>
      <c r="B5408" s="6" t="str">
        <f ca="1">IFERROR(__xludf.DUMMYFUNCTION("""COMPUTED_VALUE"""),"-33.394039,-71.129467")</f>
        <v>-33.394039,-71.129467</v>
      </c>
      <c r="C5408" s="6" t="str">
        <f ca="1">IFERROR(__xludf.DUMMYFUNCTION("""COMPUTED_VALUE"""),"GERMAN RIESCO 836")</f>
        <v>GERMAN RIESCO 836</v>
      </c>
      <c r="D5408" s="6" t="str">
        <f ca="1">IFERROR(__xludf.DUMMYFUNCTION("""COMPUTED_VALUE"""),"CURACAVI")</f>
        <v>CURACAVI</v>
      </c>
    </row>
    <row r="5409" spans="1:4">
      <c r="A5409" s="7">
        <f ca="1">IFERROR(__xludf.DUMMYFUNCTION("""COMPUTED_VALUE"""),44503)</f>
        <v>44503</v>
      </c>
      <c r="B5409" s="6" t="str">
        <f ca="1">IFERROR(__xludf.DUMMYFUNCTION("""COMPUTED_VALUE"""),"-33.715838,-70.569558")</f>
        <v>-33.715838,-70.569558</v>
      </c>
      <c r="C5409" s="6" t="str">
        <f ca="1">IFERROR(__xludf.DUMMYFUNCTION("""COMPUTED_VALUE"""),"LA RINCONOADA DEL PRINCIPAL 142L")</f>
        <v>LA RINCONOADA DEL PRINCIPAL 142L</v>
      </c>
      <c r="D5409" s="6" t="str">
        <f ca="1">IFERROR(__xludf.DUMMYFUNCTION("""COMPUTED_VALUE"""),"PIRQUE")</f>
        <v>PIRQUE</v>
      </c>
    </row>
    <row r="5410" spans="1:4">
      <c r="A5410" s="7">
        <f ca="1">IFERROR(__xludf.DUMMYFUNCTION("""COMPUTED_VALUE"""),44503)</f>
        <v>44503</v>
      </c>
      <c r="B5410" s="6" t="str">
        <f ca="1">IFERROR(__xludf.DUMMYFUNCTION("""COMPUTED_VALUE"""),"-33.754585,-70.888748")</f>
        <v>-33.754585,-70.888748</v>
      </c>
      <c r="C5410" s="6" t="str">
        <f ca="1">IFERROR(__xludf.DUMMYFUNCTION("""COMPUTED_VALUE"""),"VILA NEVADA  P CANELO 428")</f>
        <v>VILA NEVADA  P CANELO 428</v>
      </c>
      <c r="D5410" s="6" t="str">
        <f ca="1">IFERROR(__xludf.DUMMYFUNCTION("""COMPUTED_VALUE"""),"ISLA DE MAIPO")</f>
        <v>ISLA DE MAIPO</v>
      </c>
    </row>
    <row r="5411" spans="1:4">
      <c r="A5411" s="7">
        <f ca="1">IFERROR(__xludf.DUMMYFUNCTION("""COMPUTED_VALUE"""),44503)</f>
        <v>44503</v>
      </c>
      <c r="B5411" s="8" t="str">
        <f ca="1">IFERROR(__xludf.DUMMYFUNCTION("""COMPUTED_VALUE"""),"-33.790330,-71.394830")</f>
        <v>-33.790330,-71.394830</v>
      </c>
      <c r="C5411" s="6" t="str">
        <f ca="1">IFERROR(__xludf.DUMMYFUNCTION("""COMPUTED_VALUE"""),"UNION CODIGUA PARCELA 5")</f>
        <v>UNION CODIGUA PARCELA 5</v>
      </c>
      <c r="D5411" s="6" t="str">
        <f ca="1">IFERROR(__xludf.DUMMYFUNCTION("""COMPUTED_VALUE"""),"MELIPILLA")</f>
        <v>MELIPILLA</v>
      </c>
    </row>
    <row r="5412" spans="1:4">
      <c r="A5412" s="7">
        <f ca="1">IFERROR(__xludf.DUMMYFUNCTION("""COMPUTED_VALUE"""),44503)</f>
        <v>44503</v>
      </c>
      <c r="B5412" s="8" t="str">
        <f ca="1">IFERROR(__xludf.DUMMYFUNCTION("""COMPUTED_VALUE"""),"-33.691170,-71.205968")</f>
        <v>-33.691170,-71.205968</v>
      </c>
      <c r="C5412" s="6" t="str">
        <f ca="1">IFERROR(__xludf.DUMMYFUNCTION("""COMPUTED_VALUE"""),"LA HERRADURA 883")</f>
        <v>LA HERRADURA 883</v>
      </c>
      <c r="D5412" s="6" t="str">
        <f ca="1">IFERROR(__xludf.DUMMYFUNCTION("""COMPUTED_VALUE"""),"MELIPILLA")</f>
        <v>MELIPILLA</v>
      </c>
    </row>
    <row r="5413" spans="1:4">
      <c r="A5413" s="7">
        <f ca="1">IFERROR(__xludf.DUMMYFUNCTION("""COMPUTED_VALUE"""),44504)</f>
        <v>44504</v>
      </c>
      <c r="B5413" s="8" t="str">
        <f ca="1">IFERROR(__xludf.DUMMYFUNCTION("""COMPUTED_VALUE"""),"-33.7274573, -70.9879789")</f>
        <v>-33.7274573, -70.9879789</v>
      </c>
      <c r="C5413" s="6" t="str">
        <f ca="1">IFERROR(__xludf.DUMMYFUNCTION("""COMPUTED_VALUE"""),"VILLARRICA 120")</f>
        <v>VILLARRICA 120</v>
      </c>
      <c r="D5413" s="6" t="str">
        <f ca="1">IFERROR(__xludf.DUMMYFUNCTION("""COMPUTED_VALUE"""),"ISLA DE MAIPO")</f>
        <v>ISLA DE MAIPO</v>
      </c>
    </row>
    <row r="5414" spans="1:4">
      <c r="A5414" s="7">
        <f ca="1">IFERROR(__xludf.DUMMYFUNCTION("""COMPUTED_VALUE"""),44504)</f>
        <v>44504</v>
      </c>
      <c r="B5414" s="8" t="str">
        <f ca="1">IFERROR(__xludf.DUMMYFUNCTION("""COMPUTED_VALUE"""),"-33.7542922, -70.8893368")</f>
        <v>-33.7542922, -70.8893368</v>
      </c>
      <c r="C5414" s="6" t="str">
        <f ca="1">IFERROR(__xludf.DUMMYFUNCTION("""COMPUTED_VALUE"""),"LOS ANDES 428,")</f>
        <v>LOS ANDES 428,</v>
      </c>
      <c r="D5414" s="6" t="str">
        <f ca="1">IFERROR(__xludf.DUMMYFUNCTION("""COMPUTED_VALUE"""),"ISLA DE MAIPO")</f>
        <v>ISLA DE MAIPO</v>
      </c>
    </row>
    <row r="5415" spans="1:4">
      <c r="A5415" s="7">
        <f ca="1">IFERROR(__xludf.DUMMYFUNCTION("""COMPUTED_VALUE"""),44504)</f>
        <v>44504</v>
      </c>
      <c r="B5415" s="6" t="str">
        <f ca="1">IFERROR(__xludf.DUMMYFUNCTION("""COMPUTED_VALUE"""),"-33.410246-71.143684")</f>
        <v>-33.410246-71.143684</v>
      </c>
      <c r="C5415" s="6" t="str">
        <f ca="1">IFERROR(__xludf.DUMMYFUNCTION("""COMPUTED_VALUE"""),"LAS LILAS 695")</f>
        <v>LAS LILAS 695</v>
      </c>
      <c r="D5415" s="6" t="str">
        <f ca="1">IFERROR(__xludf.DUMMYFUNCTION("""COMPUTED_VALUE"""),"CURACAVI")</f>
        <v>CURACAVI</v>
      </c>
    </row>
    <row r="5416" spans="1:4">
      <c r="A5416" s="7">
        <f ca="1">IFERROR(__xludf.DUMMYFUNCTION("""COMPUTED_VALUE"""),44504)</f>
        <v>44504</v>
      </c>
      <c r="B5416" s="6" t="str">
        <f ca="1">IFERROR(__xludf.DUMMYFUNCTION("""COMPUTED_VALUE"""),"-33.7339376-70.3078694")</f>
        <v>-33.7339376-70.3078694</v>
      </c>
      <c r="C5416" s="6" t="str">
        <f ca="1">IFERROR(__xludf.DUMMYFUNCTION("""COMPUTED_VALUE"""),"CALLE UNO 0101")</f>
        <v>CALLE UNO 0101</v>
      </c>
      <c r="D5416" s="6" t="str">
        <f ca="1">IFERROR(__xludf.DUMMYFUNCTION("""COMPUTED_VALUE"""),"SAN JOSE DE MAIPO")</f>
        <v>SAN JOSE DE MAIPO</v>
      </c>
    </row>
    <row r="5417" spans="1:4">
      <c r="A5417" s="7">
        <f ca="1">IFERROR(__xludf.DUMMYFUNCTION("""COMPUTED_VALUE"""),44504)</f>
        <v>44504</v>
      </c>
      <c r="B5417" s="6" t="str">
        <f ca="1">IFERROR(__xludf.DUMMYFUNCTION("""COMPUTED_VALUE"""),"-33.6078143-70.3477297")</f>
        <v>-33.6078143-70.3477297</v>
      </c>
      <c r="C5417" s="6" t="str">
        <f ca="1">IFERROR(__xludf.DUMMYFUNCTION("""COMPUTED_VALUE"""),"CAMINO AL VOLCAN 16096")</f>
        <v>CAMINO AL VOLCAN 16096</v>
      </c>
      <c r="D5417" s="6" t="str">
        <f ca="1">IFERROR(__xludf.DUMMYFUNCTION("""COMPUTED_VALUE"""),"SAN JOSE DE MAIPO")</f>
        <v>SAN JOSE DE MAIPO</v>
      </c>
    </row>
    <row r="5418" spans="1:4">
      <c r="A5418" s="7">
        <f ca="1">IFERROR(__xludf.DUMMYFUNCTION("""COMPUTED_VALUE"""),44504)</f>
        <v>44504</v>
      </c>
      <c r="B5418" s="6" t="str">
        <f ca="1">IFERROR(__xludf.DUMMYFUNCTION("""COMPUTED_VALUE"""),"-33.6049249-70.3531976")</f>
        <v>-33.6049249-70.3531976</v>
      </c>
      <c r="C5418" s="6" t="str">
        <f ca="1">IFERROR(__xludf.DUMMYFUNCTION("""COMPUTED_VALUE"""),"CAMINO GUAYACAN S/N")</f>
        <v>CAMINO GUAYACAN S/N</v>
      </c>
      <c r="D5418" s="6" t="str">
        <f ca="1">IFERROR(__xludf.DUMMYFUNCTION("""COMPUTED_VALUE"""),"SAN JOSE DE MAIPO")</f>
        <v>SAN JOSE DE MAIPO</v>
      </c>
    </row>
    <row r="5419" spans="1:4">
      <c r="A5419" s="7">
        <f ca="1">IFERROR(__xludf.DUMMYFUNCTION("""COMPUTED_VALUE"""),44504)</f>
        <v>44504</v>
      </c>
      <c r="B5419" s="6" t="str">
        <f ca="1">IFERROR(__xludf.DUMMYFUNCTION("""COMPUTED_VALUE"""),"-33.572004-70.803411")</f>
        <v>-33.572004-70.803411</v>
      </c>
      <c r="C5419" s="6" t="str">
        <f ca="1">IFERROR(__xludf.DUMMYFUNCTION("""COMPUTED_VALUE"""),"LOS NARANJOS 17050")</f>
        <v>LOS NARANJOS 17050</v>
      </c>
      <c r="D5419" s="6" t="str">
        <f ca="1">IFERROR(__xludf.DUMMYFUNCTION("""COMPUTED_VALUE"""),"PADRE HURTADO")</f>
        <v>PADRE HURTADO</v>
      </c>
    </row>
    <row r="5420" spans="1:4">
      <c r="A5420" s="7">
        <f ca="1">IFERROR(__xludf.DUMMYFUNCTION("""COMPUTED_VALUE"""),44504)</f>
        <v>44504</v>
      </c>
      <c r="B5420" s="6" t="str">
        <f ca="1">IFERROR(__xludf.DUMMYFUNCTION("""COMPUTED_VALUE"""),"-33.397573-71.124921")</f>
        <v>-33.397573-71.124921</v>
      </c>
      <c r="C5420" s="6" t="str">
        <f ca="1">IFERROR(__xludf.DUMMYFUNCTION("""COMPUTED_VALUE"""),"LUIS CRUCHAGA 600")</f>
        <v>LUIS CRUCHAGA 600</v>
      </c>
      <c r="D5420" s="6" t="str">
        <f ca="1">IFERROR(__xludf.DUMMYFUNCTION("""COMPUTED_VALUE"""),"CURACAVI")</f>
        <v>CURACAVI</v>
      </c>
    </row>
    <row r="5421" spans="1:4">
      <c r="A5421" s="7">
        <f ca="1">IFERROR(__xludf.DUMMYFUNCTION("""COMPUTED_VALUE"""),44504)</f>
        <v>44504</v>
      </c>
      <c r="B5421" s="6" t="str">
        <f ca="1">IFERROR(__xludf.DUMMYFUNCTION("""COMPUTED_VALUE"""),"-33.676246,-70.582541")</f>
        <v>-33.676246,-70.582541</v>
      </c>
      <c r="C5421" s="6" t="str">
        <f ca="1">IFERROR(__xludf.DUMMYFUNCTION("""COMPUTED_VALUE"""),"LAS MARGARITAS 462")</f>
        <v>LAS MARGARITAS 462</v>
      </c>
      <c r="D5421" s="6" t="str">
        <f ca="1">IFERROR(__xludf.DUMMYFUNCTION("""COMPUTED_VALUE"""),"PIRQUE")</f>
        <v>PIRQUE</v>
      </c>
    </row>
    <row r="5422" spans="1:4">
      <c r="A5422" s="7">
        <f ca="1">IFERROR(__xludf.DUMMYFUNCTION("""COMPUTED_VALUE"""),44504)</f>
        <v>44504</v>
      </c>
      <c r="B5422" s="6" t="str">
        <f ca="1">IFERROR(__xludf.DUMMYFUNCTION("""COMPUTED_VALUE"""),"-33.19671,-70.684650")</f>
        <v>-33.19671,-70.684650</v>
      </c>
      <c r="C5422" s="6" t="str">
        <f ca="1">IFERROR(__xludf.DUMMYFUNCTION("""COMPUTED_VALUE"""),"MELI 766")</f>
        <v>MELI 766</v>
      </c>
      <c r="D5422" s="6" t="str">
        <f ca="1">IFERROR(__xludf.DUMMYFUNCTION("""COMPUTED_VALUE"""),"COLINA")</f>
        <v>COLINA</v>
      </c>
    </row>
    <row r="5423" spans="1:4">
      <c r="A5423" s="7">
        <f ca="1">IFERROR(__xludf.DUMMYFUNCTION("""COMPUTED_VALUE"""),44504)</f>
        <v>44504</v>
      </c>
      <c r="B5423" s="6" t="str">
        <f ca="1">IFERROR(__xludf.DUMMYFUNCTION("""COMPUTED_VALUE"""),"-33.19471,-70.684677")</f>
        <v>-33.19471,-70.684677</v>
      </c>
      <c r="C5423" s="6" t="str">
        <f ca="1">IFERROR(__xludf.DUMMYFUNCTION("""COMPUTED_VALUE"""),"MELI 962")</f>
        <v>MELI 962</v>
      </c>
      <c r="D5423" s="6" t="str">
        <f ca="1">IFERROR(__xludf.DUMMYFUNCTION("""COMPUTED_VALUE"""),"COLINA")</f>
        <v>COLINA</v>
      </c>
    </row>
    <row r="5424" spans="1:4">
      <c r="A5424" s="7">
        <f ca="1">IFERROR(__xludf.DUMMYFUNCTION("""COMPUTED_VALUE"""),44504)</f>
        <v>44504</v>
      </c>
      <c r="B5424" s="6" t="str">
        <f ca="1">IFERROR(__xludf.DUMMYFUNCTION("""COMPUTED_VALUE"""),"-33.192007-70.682463")</f>
        <v>-33.192007-70.682463</v>
      </c>
      <c r="C5424" s="6" t="str">
        <f ca="1">IFERROR(__xludf.DUMMYFUNCTION("""COMPUTED_VALUE"""),"LO SECO 880")</f>
        <v>LO SECO 880</v>
      </c>
      <c r="D5424" s="6" t="str">
        <f ca="1">IFERROR(__xludf.DUMMYFUNCTION("""COMPUTED_VALUE"""),"COLINA")</f>
        <v>COLINA</v>
      </c>
    </row>
    <row r="5425" spans="1:4">
      <c r="A5425" s="7">
        <f ca="1">IFERROR(__xludf.DUMMYFUNCTION("""COMPUTED_VALUE"""),44504)</f>
        <v>44504</v>
      </c>
      <c r="B5425" s="6" t="str">
        <f ca="1">IFERROR(__xludf.DUMMYFUNCTION("""COMPUTED_VALUE"""),"-33.233796,-70.808277")</f>
        <v>-33.233796,-70.808277</v>
      </c>
      <c r="C5425" s="6" t="str">
        <f ca="1">IFERROR(__xludf.DUMMYFUNCTION("""COMPUTED_VALUE"""),"ERRAZURIZ 615")</f>
        <v>ERRAZURIZ 615</v>
      </c>
      <c r="D5425" s="6" t="str">
        <f ca="1">IFERROR(__xludf.DUMMYFUNCTION("""COMPUTED_VALUE"""),"LAMPA")</f>
        <v>LAMPA</v>
      </c>
    </row>
    <row r="5426" spans="1:4">
      <c r="A5426" s="7">
        <f ca="1">IFERROR(__xludf.DUMMYFUNCTION("""COMPUTED_VALUE"""),44504)</f>
        <v>44504</v>
      </c>
      <c r="B5426" s="6" t="str">
        <f ca="1">IFERROR(__xludf.DUMMYFUNCTION("""COMPUTED_VALUE"""),"-33.195451,-70.683889")</f>
        <v>-33.195451,-70.683889</v>
      </c>
      <c r="C5426" s="6" t="str">
        <f ca="1">IFERROR(__xludf.DUMMYFUNCTION("""COMPUTED_VALUE"""),"EL NOGAL 730")</f>
        <v>EL NOGAL 730</v>
      </c>
      <c r="D5426" s="6" t="str">
        <f ca="1">IFERROR(__xludf.DUMMYFUNCTION("""COMPUTED_VALUE"""),"COLINA")</f>
        <v>COLINA</v>
      </c>
    </row>
    <row r="5427" spans="1:4">
      <c r="A5427" s="7">
        <f ca="1">IFERROR(__xludf.DUMMYFUNCTION("""COMPUTED_VALUE"""),44504)</f>
        <v>44504</v>
      </c>
      <c r="B5427" s="6" t="str">
        <f ca="1">IFERROR(__xludf.DUMMYFUNCTION("""COMPUTED_VALUE"""),"-33.195451,-70.683889")</f>
        <v>-33.195451,-70.683889</v>
      </c>
      <c r="C5427" s="6" t="str">
        <f ca="1">IFERROR(__xludf.DUMMYFUNCTION("""COMPUTED_VALUE"""),"EL NOGAL 730")</f>
        <v>EL NOGAL 730</v>
      </c>
      <c r="D5427" s="6" t="str">
        <f ca="1">IFERROR(__xludf.DUMMYFUNCTION("""COMPUTED_VALUE"""),"COLINA")</f>
        <v>COLINA</v>
      </c>
    </row>
    <row r="5428" spans="1:4">
      <c r="A5428" s="7">
        <f ca="1">IFERROR(__xludf.DUMMYFUNCTION("""COMPUTED_VALUE"""),44504)</f>
        <v>44504</v>
      </c>
      <c r="B5428" s="6" t="str">
        <f ca="1">IFERROR(__xludf.DUMMYFUNCTION("""COMPUTED_VALUE"""),"-33.67293,-70.581870")</f>
        <v>-33.67293,-70.581870</v>
      </c>
      <c r="C5428" s="6" t="str">
        <f ca="1">IFERROR(__xludf.DUMMYFUNCTION("""COMPUTED_VALUE"""),"LAS MARGARITAS 1296")</f>
        <v>LAS MARGARITAS 1296</v>
      </c>
      <c r="D5428" s="6" t="str">
        <f ca="1">IFERROR(__xludf.DUMMYFUNCTION("""COMPUTED_VALUE"""),"PIRQUE")</f>
        <v>PIRQUE</v>
      </c>
    </row>
    <row r="5429" spans="1:4">
      <c r="A5429" s="7">
        <f ca="1">IFERROR(__xludf.DUMMYFUNCTION("""COMPUTED_VALUE"""),44504)</f>
        <v>44504</v>
      </c>
      <c r="B5429" s="6" t="str">
        <f ca="1">IFERROR(__xludf.DUMMYFUNCTION("""COMPUTED_VALUE"""),"-33.628411,-70.576015")</f>
        <v>-33.628411,-70.576015</v>
      </c>
      <c r="C5429" s="6" t="str">
        <f ca="1">IFERROR(__xludf.DUMMYFUNCTION("""COMPUTED_VALUE"""),"PJE CONDE DE LA CONQUISTA 28")</f>
        <v>PJE CONDE DE LA CONQUISTA 28</v>
      </c>
      <c r="D5429" s="6" t="str">
        <f ca="1">IFERROR(__xludf.DUMMYFUNCTION("""COMPUTED_VALUE"""),"PIRQUE")</f>
        <v>PIRQUE</v>
      </c>
    </row>
    <row r="5430" spans="1:4">
      <c r="A5430" s="7">
        <f ca="1">IFERROR(__xludf.DUMMYFUNCTION("""COMPUTED_VALUE"""),44504)</f>
        <v>44504</v>
      </c>
      <c r="B5430" s="6" t="str">
        <f ca="1">IFERROR(__xludf.DUMMYFUNCTION("""COMPUTED_VALUE"""),"-33.789135,-70.784127")</f>
        <v>-33.789135,-70.784127</v>
      </c>
      <c r="C5430" s="6" t="str">
        <f ca="1">IFERROR(__xludf.DUMMYFUNCTION("""COMPUTED_VALUE"""),"AV VILUCO 4813")</f>
        <v>AV VILUCO 4813</v>
      </c>
      <c r="D5430" s="6" t="str">
        <f ca="1">IFERROR(__xludf.DUMMYFUNCTION("""COMPUTED_VALUE"""),"BUIN")</f>
        <v>BUIN</v>
      </c>
    </row>
    <row r="5431" spans="1:4">
      <c r="A5431" s="7">
        <f ca="1">IFERROR(__xludf.DUMMYFUNCTION("""COMPUTED_VALUE"""),44504)</f>
        <v>44504</v>
      </c>
      <c r="B5431" s="6" t="str">
        <f ca="1">IFERROR(__xludf.DUMMYFUNCTION("""COMPUTED_VALUE"""),"-33.683263,-70.701887")</f>
        <v>-33.683263,-70.701887</v>
      </c>
      <c r="C5431" s="6" t="str">
        <f ca="1">IFERROR(__xludf.DUMMYFUNCTION("""COMPUTED_VALUE"""),"CO VECINAL 0511")</f>
        <v>CO VECINAL 0511</v>
      </c>
      <c r="D5431" s="6" t="str">
        <f ca="1">IFERROR(__xludf.DUMMYFUNCTION("""COMPUTED_VALUE"""),"BUIN")</f>
        <v>BUIN</v>
      </c>
    </row>
    <row r="5432" spans="1:4">
      <c r="A5432" s="7">
        <f ca="1">IFERROR(__xludf.DUMMYFUNCTION("""COMPUTED_VALUE"""),44504)</f>
        <v>44504</v>
      </c>
      <c r="B5432" s="8" t="str">
        <f ca="1">IFERROR(__xludf.DUMMYFUNCTION("""COMPUTED_VALUE"""),"-33.605692,-71.233967")</f>
        <v>-33.605692,-71.233967</v>
      </c>
      <c r="C5432" s="6" t="str">
        <f ca="1">IFERROR(__xludf.DUMMYFUNCTION("""COMPUTED_VALUE"""),"PARCELA 10 SAN JOSE")</f>
        <v>PARCELA 10 SAN JOSE</v>
      </c>
      <c r="D5432" s="6" t="str">
        <f ca="1">IFERROR(__xludf.DUMMYFUNCTION("""COMPUTED_VALUE"""),"MELIPILLA")</f>
        <v>MELIPILLA</v>
      </c>
    </row>
    <row r="5433" spans="1:4">
      <c r="A5433" s="7">
        <f ca="1">IFERROR(__xludf.DUMMYFUNCTION("""COMPUTED_VALUE"""),44504)</f>
        <v>44504</v>
      </c>
      <c r="B5433" s="8" t="str">
        <f ca="1">IFERROR(__xludf.DUMMYFUNCTION("""COMPUTED_VALUE"""),"-33.246028,-70.676694")</f>
        <v>-33.246028,-70.676694</v>
      </c>
      <c r="C5433" s="6" t="str">
        <f ca="1">IFERROR(__xludf.DUMMYFUNCTION("""COMPUTED_VALUE"""),"LAS CAMPIÑAS 150")</f>
        <v>LAS CAMPIÑAS 150</v>
      </c>
      <c r="D5433" s="6" t="str">
        <f ca="1">IFERROR(__xludf.DUMMYFUNCTION("""COMPUTED_VALUE"""),"MELIPILLA")</f>
        <v>MELIPILLA</v>
      </c>
    </row>
    <row r="5434" spans="1:4">
      <c r="A5434" s="7">
        <f ca="1">IFERROR(__xludf.DUMMYFUNCTION("""COMPUTED_VALUE"""),44504)</f>
        <v>44504</v>
      </c>
      <c r="B5434" s="8" t="str">
        <f ca="1">IFERROR(__xludf.DUMMYFUNCTION("""COMPUTED_VALUE"""),"-33.075261,-70.727918")</f>
        <v>-33.075261,-70.727918</v>
      </c>
      <c r="C5434" s="6" t="str">
        <f ca="1">IFERROR(__xludf.DUMMYFUNCTION("""COMPUTED_VALUE"""),"EL SAUCE PARCELA 22B")</f>
        <v>EL SAUCE PARCELA 22B</v>
      </c>
      <c r="D5434" s="6" t="str">
        <f ca="1">IFERROR(__xludf.DUMMYFUNCTION("""COMPUTED_VALUE"""),"COLINA")</f>
        <v>COLINA</v>
      </c>
    </row>
    <row r="5435" spans="1:4">
      <c r="A5435" s="7">
        <f ca="1">IFERROR(__xludf.DUMMYFUNCTION("""COMPUTED_VALUE"""),44504)</f>
        <v>44504</v>
      </c>
      <c r="B5435" s="8" t="str">
        <f ca="1">IFERROR(__xludf.DUMMYFUNCTION("""COMPUTED_VALUE"""),"-33.889942,-71.455149")</f>
        <v>-33.889942,-71.455149</v>
      </c>
      <c r="C5435" s="6" t="str">
        <f ca="1">IFERROR(__xludf.DUMMYFUNCTION("""COMPUTED_VALUE"""),"C.COLON 55")</f>
        <v>C.COLON 55</v>
      </c>
      <c r="D5435" s="6" t="str">
        <f ca="1">IFERROR(__xludf.DUMMYFUNCTION("""COMPUTED_VALUE"""),"MELIPILLA")</f>
        <v>MELIPILLA</v>
      </c>
    </row>
    <row r="5436" spans="1:4">
      <c r="A5436" s="7">
        <f ca="1">IFERROR(__xludf.DUMMYFUNCTION("""COMPUTED_VALUE"""),44504)</f>
        <v>44504</v>
      </c>
      <c r="B5436" s="6" t="str">
        <f ca="1">IFERROR(__xludf.DUMMYFUNCTION("""COMPUTED_VALUE"""),"-33.294201,-70.876691")</f>
        <v>-33.294201,-70.876691</v>
      </c>
      <c r="C5436" s="6" t="str">
        <f ca="1">IFERROR(__xludf.DUMMYFUNCTION("""COMPUTED_VALUE"""),"AGUA SANTA 2290")</f>
        <v>AGUA SANTA 2290</v>
      </c>
      <c r="D5436" s="6" t="str">
        <f ca="1">IFERROR(__xludf.DUMMYFUNCTION("""COMPUTED_VALUE"""),"LAMPA")</f>
        <v>LAMPA</v>
      </c>
    </row>
    <row r="5437" spans="1:4">
      <c r="A5437" s="7">
        <f ca="1">IFERROR(__xludf.DUMMYFUNCTION("""COMPUTED_VALUE"""),44504)</f>
        <v>44504</v>
      </c>
      <c r="B5437" s="6" t="str">
        <f ca="1">IFERROR(__xludf.DUMMYFUNCTION("""COMPUTED_VALUE"""),"-33.265217,-70.828015")</f>
        <v>-33.265217,-70.828015</v>
      </c>
      <c r="C5437" s="6" t="str">
        <f ca="1">IFERROR(__xludf.DUMMYFUNCTION("""COMPUTED_VALUE"""),"CAMINO INTERIORE PARCELA 3 LOTE 3")</f>
        <v>CAMINO INTERIORE PARCELA 3 LOTE 3</v>
      </c>
      <c r="D5437" s="6" t="str">
        <f ca="1">IFERROR(__xludf.DUMMYFUNCTION("""COMPUTED_VALUE"""),"LAMPA")</f>
        <v>LAMPA</v>
      </c>
    </row>
    <row r="5438" spans="1:4">
      <c r="A5438" s="7">
        <f ca="1">IFERROR(__xludf.DUMMYFUNCTION("""COMPUTED_VALUE"""),44505)</f>
        <v>44505</v>
      </c>
      <c r="B5438" s="6" t="str">
        <f ca="1">IFERROR(__xludf.DUMMYFUNCTION("""COMPUTED_VALUE"""),"-33.676573,-70.580957")</f>
        <v>-33.676573,-70.580957</v>
      </c>
      <c r="C5438" s="6" t="str">
        <f ca="1">IFERROR(__xludf.DUMMYFUNCTION("""COMPUTED_VALUE"""),"LAS MARGARITAS 1178")</f>
        <v>LAS MARGARITAS 1178</v>
      </c>
      <c r="D5438" s="6" t="str">
        <f ca="1">IFERROR(__xludf.DUMMYFUNCTION("""COMPUTED_VALUE"""),"PIRQUE")</f>
        <v>PIRQUE</v>
      </c>
    </row>
    <row r="5439" spans="1:4">
      <c r="A5439" s="7">
        <f ca="1">IFERROR(__xludf.DUMMYFUNCTION("""COMPUTED_VALUE"""),44505)</f>
        <v>44505</v>
      </c>
      <c r="B5439" s="6" t="str">
        <f ca="1">IFERROR(__xludf.DUMMYFUNCTION("""COMPUTED_VALUE"""),"-33.6055302,-70.7930794")</f>
        <v>-33.6055302,-70.7930794</v>
      </c>
      <c r="C5439" s="6" t="str">
        <f ca="1">IFERROR(__xludf.DUMMYFUNCTION("""COMPUTED_VALUE"""),"SAN IGNACIO N°26")</f>
        <v>SAN IGNACIO N°26</v>
      </c>
      <c r="D5439" s="6" t="str">
        <f ca="1">IFERROR(__xludf.DUMMYFUNCTION("""COMPUTED_VALUE"""),"CALERA DE TANGO")</f>
        <v>CALERA DE TANGO</v>
      </c>
    </row>
    <row r="5440" spans="1:4">
      <c r="A5440" s="7">
        <f ca="1">IFERROR(__xludf.DUMMYFUNCTION("""COMPUTED_VALUE"""),44505)</f>
        <v>44505</v>
      </c>
      <c r="B5440" s="6" t="str">
        <f ca="1">IFERROR(__xludf.DUMMYFUNCTION("""COMPUTED_VALUE"""),"-33.60600700,-70.7912844")</f>
        <v>-33.60600700,-70.7912844</v>
      </c>
      <c r="C5440" s="6" t="str">
        <f ca="1">IFERROR(__xludf.DUMMYFUNCTION("""COMPUTED_VALUE"""),"LA VICTORIA 29 A")</f>
        <v>LA VICTORIA 29 A</v>
      </c>
      <c r="D5440" s="6" t="str">
        <f ca="1">IFERROR(__xludf.DUMMYFUNCTION("""COMPUTED_VALUE"""),"CALERA DE TANGO")</f>
        <v>CALERA DE TANGO</v>
      </c>
    </row>
    <row r="5441" spans="1:4">
      <c r="A5441" s="7">
        <f ca="1">IFERROR(__xludf.DUMMYFUNCTION("""COMPUTED_VALUE"""),44505)</f>
        <v>44505</v>
      </c>
      <c r="B5441" s="6" t="str">
        <f ca="1">IFERROR(__xludf.DUMMYFUNCTION("""COMPUTED_VALUE"""),"-33.6756655,-70.5818635")</f>
        <v>-33.6756655,-70.5818635</v>
      </c>
      <c r="C5441" s="6" t="str">
        <f ca="1">IFERROR(__xludf.DUMMYFUNCTION("""COMPUTED_VALUE"""),"LAS CAMELIAS 1252")</f>
        <v>LAS CAMELIAS 1252</v>
      </c>
      <c r="D5441" s="6" t="str">
        <f ca="1">IFERROR(__xludf.DUMMYFUNCTION("""COMPUTED_VALUE"""),"PIRQUE")</f>
        <v>PIRQUE</v>
      </c>
    </row>
    <row r="5442" spans="1:4">
      <c r="A5442" s="7">
        <f ca="1">IFERROR(__xludf.DUMMYFUNCTION("""COMPUTED_VALUE"""),44505)</f>
        <v>44505</v>
      </c>
      <c r="B5442" s="6" t="str">
        <f ca="1">IFERROR(__xludf.DUMMYFUNCTION("""COMPUTED_VALUE"""),"-33.697799,-70.710350")</f>
        <v>-33.697799,-70.710350</v>
      </c>
      <c r="C5442" s="6" t="str">
        <f ca="1">IFERROR(__xludf.DUMMYFUNCTION("""COMPUTED_VALUE"""),"CO EL RECUSRO 1155")</f>
        <v>CO EL RECUSRO 1155</v>
      </c>
      <c r="D5442" s="6" t="str">
        <f ca="1">IFERROR(__xludf.DUMMYFUNCTION("""COMPUTED_VALUE"""),"BUIN")</f>
        <v>BUIN</v>
      </c>
    </row>
    <row r="5443" spans="1:4">
      <c r="A5443" s="7">
        <f ca="1">IFERROR(__xludf.DUMMYFUNCTION("""COMPUTED_VALUE"""),44505)</f>
        <v>44505</v>
      </c>
      <c r="B5443" s="6" t="str">
        <f ca="1">IFERROR(__xludf.DUMMYFUNCTION("""COMPUTED_VALUE"""),"-33.683263,-70.701887")</f>
        <v>-33.683263,-70.701887</v>
      </c>
      <c r="C5443" s="6" t="str">
        <f ca="1">IFERROR(__xludf.DUMMYFUNCTION("""COMPUTED_VALUE"""),"CO VECINAL 0195")</f>
        <v>CO VECINAL 0195</v>
      </c>
      <c r="D5443" s="6" t="str">
        <f ca="1">IFERROR(__xludf.DUMMYFUNCTION("""COMPUTED_VALUE"""),"BUIN")</f>
        <v>BUIN</v>
      </c>
    </row>
    <row r="5444" spans="1:4">
      <c r="A5444" s="7">
        <f ca="1">IFERROR(__xludf.DUMMYFUNCTION("""COMPUTED_VALUE"""),44505)</f>
        <v>44505</v>
      </c>
      <c r="B5444" s="8" t="str">
        <f ca="1">IFERROR(__xludf.DUMMYFUNCTION("""COMPUTED_VALUE"""),"-33.813823,-71.743114")</f>
        <v>-33.813823,-71.743114</v>
      </c>
      <c r="C5444" s="6" t="str">
        <f ca="1">IFERROR(__xludf.DUMMYFUNCTION("""COMPUTED_VALUE"""),"ALTOS DE POPETA 356")</f>
        <v>ALTOS DE POPETA 356</v>
      </c>
      <c r="D5444" s="6" t="str">
        <f ca="1">IFERROR(__xludf.DUMMYFUNCTION("""COMPUTED_VALUE"""),"MELIPILLA")</f>
        <v>MELIPILLA</v>
      </c>
    </row>
    <row r="5445" spans="1:4">
      <c r="A5445" s="7">
        <f ca="1">IFERROR(__xludf.DUMMYFUNCTION("""COMPUTED_VALUE"""),44505)</f>
        <v>44505</v>
      </c>
      <c r="B5445" s="8" t="str">
        <f ca="1">IFERROR(__xludf.DUMMYFUNCTION("""COMPUTED_VALUE"""),"-33.258889,-70.702389")</f>
        <v>-33.258889,-70.702389</v>
      </c>
      <c r="C5445" s="6" t="str">
        <f ca="1">IFERROR(__xludf.DUMMYFUNCTION("""COMPUTED_VALUE"""),"EL TRANQUE PARCELA 17 NUMERO 179")</f>
        <v>EL TRANQUE PARCELA 17 NUMERO 179</v>
      </c>
      <c r="D5445" s="6" t="str">
        <f ca="1">IFERROR(__xludf.DUMMYFUNCTION("""COMPUTED_VALUE"""),"COLINA")</f>
        <v>COLINA</v>
      </c>
    </row>
    <row r="5446" spans="1:4">
      <c r="A5446" s="7">
        <f ca="1">IFERROR(__xludf.DUMMYFUNCTION("""COMPUTED_VALUE"""),44505)</f>
        <v>44505</v>
      </c>
      <c r="B5446" s="8" t="str">
        <f ca="1">IFERROR(__xludf.DUMMYFUNCTION("""COMPUTED_VALUE"""),"-33.683208,-71.222502")</f>
        <v>-33.683208,-71.222502</v>
      </c>
      <c r="C5446" s="6" t="str">
        <f ca="1">IFERROR(__xludf.DUMMYFUNCTION("""COMPUTED_VALUE"""),"RANO-RARAKU 172 VILLA LOS TOROS")</f>
        <v>RANO-RARAKU 172 VILLA LOS TOROS</v>
      </c>
      <c r="D5446" s="6" t="str">
        <f ca="1">IFERROR(__xludf.DUMMYFUNCTION("""COMPUTED_VALUE"""),"MELIPILLA")</f>
        <v>MELIPILLA</v>
      </c>
    </row>
    <row r="5447" spans="1:4">
      <c r="A5447" s="7">
        <f ca="1">IFERROR(__xludf.DUMMYFUNCTION("""COMPUTED_VALUE"""),44505)</f>
        <v>44505</v>
      </c>
      <c r="B5447" s="8" t="str">
        <f ca="1">IFERROR(__xludf.DUMMYFUNCTION("""COMPUTED_VALUE"""),"-33.293274,-70.871255")</f>
        <v>-33.293274,-70.871255</v>
      </c>
      <c r="C5447" s="6" t="str">
        <f ca="1">IFERROR(__xludf.DUMMYFUNCTION("""COMPUTED_VALUE"""),"LA FRONTERA 2246")</f>
        <v>LA FRONTERA 2246</v>
      </c>
      <c r="D5447" s="6" t="str">
        <f ca="1">IFERROR(__xludf.DUMMYFUNCTION("""COMPUTED_VALUE"""),"LAMPA")</f>
        <v>LAMPA</v>
      </c>
    </row>
    <row r="5448" spans="1:4">
      <c r="A5448" s="7">
        <f ca="1">IFERROR(__xludf.DUMMYFUNCTION("""COMPUTED_VALUE"""),44506)</f>
        <v>44506</v>
      </c>
      <c r="B5448" s="6" t="str">
        <f ca="1">IFERROR(__xludf.DUMMYFUNCTION("""COMPUTED_VALUE"""),"-33.405360-71.127421")</f>
        <v>-33.405360-71.127421</v>
      </c>
      <c r="C5448" s="6" t="str">
        <f ca="1">IFERROR(__xludf.DUMMYFUNCTION("""COMPUTED_VALUE"""),"PJE MIRAFLORES 57")</f>
        <v>PJE MIRAFLORES 57</v>
      </c>
      <c r="D5448" s="6" t="str">
        <f ca="1">IFERROR(__xludf.DUMMYFUNCTION("""COMPUTED_VALUE"""),"CURACAVI")</f>
        <v>CURACAVI</v>
      </c>
    </row>
    <row r="5449" spans="1:4">
      <c r="A5449" s="7">
        <f ca="1">IFERROR(__xludf.DUMMYFUNCTION("""COMPUTED_VALUE"""),44506)</f>
        <v>44506</v>
      </c>
      <c r="B5449" s="6" t="str">
        <f ca="1">IFERROR(__xludf.DUMMYFUNCTION("""COMPUTED_VALUE"""),"-33.564961,-70.803617")</f>
        <v>-33.564961,-70.803617</v>
      </c>
      <c r="C5449" s="6" t="str">
        <f ca="1">IFERROR(__xludf.DUMMYFUNCTION("""COMPUTED_VALUE"""),"BRASIELA 1091")</f>
        <v>BRASIELA 1091</v>
      </c>
      <c r="D5449" s="6" t="str">
        <f ca="1">IFERROR(__xludf.DUMMYFUNCTION("""COMPUTED_VALUE"""),"PADRE HURTADO")</f>
        <v>PADRE HURTADO</v>
      </c>
    </row>
    <row r="5450" spans="1:4">
      <c r="A5450" s="7">
        <f ca="1">IFERROR(__xludf.DUMMYFUNCTION("""COMPUTED_VALUE"""),44506)</f>
        <v>44506</v>
      </c>
      <c r="B5450" s="6" t="str">
        <f ca="1">IFERROR(__xludf.DUMMYFUNCTION("""COMPUTED_VALUE"""),"-33.528342,-70.831235")</f>
        <v>-33.528342,-70.831235</v>
      </c>
      <c r="C5450" s="6" t="str">
        <f ca="1">IFERROR(__xludf.DUMMYFUNCTION("""COMPUTED_VALUE"""),"EL TREBAL SITIO 20")</f>
        <v>EL TREBAL SITIO 20</v>
      </c>
      <c r="D5450" s="6" t="str">
        <f ca="1">IFERROR(__xludf.DUMMYFUNCTION("""COMPUTED_VALUE"""),"PADRE HURTADO")</f>
        <v>PADRE HURTADO</v>
      </c>
    </row>
    <row r="5451" spans="1:4">
      <c r="A5451" s="7">
        <f ca="1">IFERROR(__xludf.DUMMYFUNCTION("""COMPUTED_VALUE"""),44506)</f>
        <v>44506</v>
      </c>
      <c r="B5451" s="6" t="str">
        <f ca="1">IFERROR(__xludf.DUMMYFUNCTION("""COMPUTED_VALUE"""),"-33.528342,-70.831235")</f>
        <v>-33.528342,-70.831235</v>
      </c>
      <c r="C5451" s="6" t="str">
        <f ca="1">IFERROR(__xludf.DUMMYFUNCTION("""COMPUTED_VALUE"""),"EL TREBAL SITIO 20")</f>
        <v>EL TREBAL SITIO 20</v>
      </c>
      <c r="D5451" s="6" t="str">
        <f ca="1">IFERROR(__xludf.DUMMYFUNCTION("""COMPUTED_VALUE"""),"PADRE HURTADO")</f>
        <v>PADRE HURTADO</v>
      </c>
    </row>
    <row r="5452" spans="1:4">
      <c r="A5452" s="7">
        <f ca="1">IFERROR(__xludf.DUMMYFUNCTION("""COMPUTED_VALUE"""),44508)</f>
        <v>44508</v>
      </c>
      <c r="B5452" s="8" t="str">
        <f ca="1">IFERROR(__xludf.DUMMYFUNCTION("""COMPUTED_VALUE"""),"-33.5140583, -71.1160533")</f>
        <v>-33.5140583, -71.1160533</v>
      </c>
      <c r="C5452" s="6" t="str">
        <f ca="1">IFERROR(__xludf.DUMMYFUNCTION("""COMPUTED_VALUE"""),"EL ATAJO 63")</f>
        <v>EL ATAJO 63</v>
      </c>
      <c r="D5452" s="6" t="str">
        <f ca="1">IFERROR(__xludf.DUMMYFUNCTION("""COMPUTED_VALUE"""),"MARIA PINTO")</f>
        <v>MARIA PINTO</v>
      </c>
    </row>
    <row r="5453" spans="1:4">
      <c r="A5453" s="7">
        <f ca="1">IFERROR(__xludf.DUMMYFUNCTION("""COMPUTED_VALUE"""),44508)</f>
        <v>44508</v>
      </c>
      <c r="B5453" s="8" t="str">
        <f ca="1">IFERROR(__xludf.DUMMYFUNCTION("""COMPUTED_VALUE"""),"-33.6850847, -71.0238458")</f>
        <v>-33.6850847, -71.0238458</v>
      </c>
      <c r="C5453" s="6" t="str">
        <f ca="1">IFERROR(__xludf.DUMMYFUNCTION("""COMPUTED_VALUE"""),"LOS MANZANOS  1265")</f>
        <v>LOS MANZANOS  1265</v>
      </c>
      <c r="D5453" s="6" t="str">
        <f ca="1">IFERROR(__xludf.DUMMYFUNCTION("""COMPUTED_VALUE"""),"EL MONTE")</f>
        <v>EL MONTE</v>
      </c>
    </row>
    <row r="5454" spans="1:4">
      <c r="A5454" s="7">
        <f ca="1">IFERROR(__xludf.DUMMYFUNCTION("""COMPUTED_VALUE"""),44508)</f>
        <v>44508</v>
      </c>
      <c r="B5454" s="8" t="str">
        <f ca="1">IFERROR(__xludf.DUMMYFUNCTION("""COMPUTED_VALUE"""),"-33.6965597, -71.0355709")</f>
        <v>-33.6965597, -71.0355709</v>
      </c>
      <c r="C5454" s="6" t="str">
        <f ca="1">IFERROR(__xludf.DUMMYFUNCTION("""COMPUTED_VALUE"""),"EL TRANQUE S/N LA RED SITIO 6")</f>
        <v>EL TRANQUE S/N LA RED SITIO 6</v>
      </c>
      <c r="D5454" s="6" t="str">
        <f ca="1">IFERROR(__xludf.DUMMYFUNCTION("""COMPUTED_VALUE"""),"EL MONTE")</f>
        <v>EL MONTE</v>
      </c>
    </row>
    <row r="5455" spans="1:4">
      <c r="A5455" s="7">
        <f ca="1">IFERROR(__xludf.DUMMYFUNCTION("""COMPUTED_VALUE"""),44508)</f>
        <v>44508</v>
      </c>
      <c r="B5455" s="8" t="str">
        <f ca="1">IFERROR(__xludf.DUMMYFUNCTION("""COMPUTED_VALUE"""),"-33.668920,-70.937202")</f>
        <v>-33.668920,-70.937202</v>
      </c>
      <c r="C5455" s="6" t="str">
        <f ca="1">IFERROR(__xludf.DUMMYFUNCTION("""COMPUTED_VALUE"""),"LAS HORTENCIAS 853")</f>
        <v>LAS HORTENCIAS 853</v>
      </c>
      <c r="D5455" s="6" t="str">
        <f ca="1">IFERROR(__xludf.DUMMYFUNCTION("""COMPUTED_VALUE"""),"TALAGANTE")</f>
        <v>TALAGANTE</v>
      </c>
    </row>
    <row r="5456" spans="1:4">
      <c r="A5456" s="7">
        <f ca="1">IFERROR(__xludf.DUMMYFUNCTION("""COMPUTED_VALUE"""),44508)</f>
        <v>44508</v>
      </c>
      <c r="B5456" s="6" t="str">
        <f ca="1">IFERROR(__xludf.DUMMYFUNCTION("""COMPUTED_VALUE"""),"-33.805256,-70.728203")</f>
        <v>-33.805256,-70.728203</v>
      </c>
      <c r="C5456" s="6" t="str">
        <f ca="1">IFERROR(__xludf.DUMMYFUNCTION("""COMPUTED_VALUE"""),"PA RIO MAULE 804")</f>
        <v>PA RIO MAULE 804</v>
      </c>
      <c r="D5456" s="6" t="str">
        <f ca="1">IFERROR(__xludf.DUMMYFUNCTION("""COMPUTED_VALUE"""),"PAINE")</f>
        <v>PAINE</v>
      </c>
    </row>
    <row r="5457" spans="1:4">
      <c r="A5457" s="7">
        <f ca="1">IFERROR(__xludf.DUMMYFUNCTION("""COMPUTED_VALUE"""),44508)</f>
        <v>44508</v>
      </c>
      <c r="B5457" s="6" t="str">
        <f ca="1">IFERROR(__xludf.DUMMYFUNCTION("""COMPUTED_VALUE"""),"-33.743159,-70.867521")</f>
        <v>-33.743159,-70.867521</v>
      </c>
      <c r="C5457" s="6" t="str">
        <f ca="1">IFERROR(__xludf.DUMMYFUNCTION("""COMPUTED_VALUE"""),"FABRICIO LEVERA PACETI 301")</f>
        <v>FABRICIO LEVERA PACETI 301</v>
      </c>
      <c r="D5457" s="6" t="str">
        <f ca="1">IFERROR(__xludf.DUMMYFUNCTION("""COMPUTED_VALUE"""),"ISLA DE MAIPO")</f>
        <v>ISLA DE MAIPO</v>
      </c>
    </row>
    <row r="5458" spans="1:4">
      <c r="A5458" s="7">
        <f ca="1">IFERROR(__xludf.DUMMYFUNCTION("""COMPUTED_VALUE"""),44508)</f>
        <v>44508</v>
      </c>
      <c r="B5458" s="6" t="str">
        <f ca="1">IFERROR(__xludf.DUMMYFUNCTION("""COMPUTED_VALUE"""),"-33.691450,-70.701776")</f>
        <v>-33.691450,-70.701776</v>
      </c>
      <c r="C5458" s="6" t="str">
        <f ca="1">IFERROR(__xludf.DUMMYFUNCTION("""COMPUTED_VALUE"""),"EL RECURSO 2402")</f>
        <v>EL RECURSO 2402</v>
      </c>
      <c r="D5458" s="6" t="str">
        <f ca="1">IFERROR(__xludf.DUMMYFUNCTION("""COMPUTED_VALUE"""),"BUIN")</f>
        <v>BUIN</v>
      </c>
    </row>
    <row r="5459" spans="1:4">
      <c r="A5459" s="7">
        <f ca="1">IFERROR(__xludf.DUMMYFUNCTION("""COMPUTED_VALUE"""),44508)</f>
        <v>44508</v>
      </c>
      <c r="B5459" s="8" t="str">
        <f ca="1">IFERROR(__xludf.DUMMYFUNCTION("""COMPUTED_VALUE"""),"-33.665546,-71.110665")</f>
        <v>-33.665546,-71.110665</v>
      </c>
      <c r="C5459" s="6" t="str">
        <f ca="1">IFERROR(__xludf.DUMMYFUNCTION("""COMPUTED_VALUE"""),"Chiñigue Las Rosas PC 3 lote 31")</f>
        <v>Chiñigue Las Rosas PC 3 lote 31</v>
      </c>
      <c r="D5459" s="6" t="str">
        <f ca="1">IFERROR(__xludf.DUMMYFUNCTION("""COMPUTED_VALUE"""),"MELIPILLA")</f>
        <v>MELIPILLA</v>
      </c>
    </row>
    <row r="5460" spans="1:4">
      <c r="A5460" s="7">
        <f ca="1">IFERROR(__xludf.DUMMYFUNCTION("""COMPUTED_VALUE"""),44508)</f>
        <v>44508</v>
      </c>
      <c r="B5460" s="8" t="str">
        <f ca="1">IFERROR(__xludf.DUMMYFUNCTION("""COMPUTED_VALUE"""),"-33.679199,-71.137843")</f>
        <v>-33.679199,-71.137843</v>
      </c>
      <c r="C5460" s="6" t="str">
        <f ca="1">IFERROR(__xludf.DUMMYFUNCTION("""COMPUTED_VALUE"""),"CHIÑIGUE EL MANZANO SITIO 4")</f>
        <v>CHIÑIGUE EL MANZANO SITIO 4</v>
      </c>
      <c r="D5460" s="6" t="str">
        <f ca="1">IFERROR(__xludf.DUMMYFUNCTION("""COMPUTED_VALUE"""),"MELIPILLA")</f>
        <v>MELIPILLA</v>
      </c>
    </row>
    <row r="5461" spans="1:4">
      <c r="A5461" s="7">
        <f ca="1">IFERROR(__xludf.DUMMYFUNCTION("""COMPUTED_VALUE"""),44509)</f>
        <v>44509</v>
      </c>
      <c r="B5461" s="8" t="str">
        <f ca="1">IFERROR(__xludf.DUMMYFUNCTION("""COMPUTED_VALUE"""),"-33.7361941, -70.8611303")</f>
        <v>-33.7361941, -70.8611303</v>
      </c>
      <c r="C5461" s="6" t="str">
        <f ca="1">IFERROR(__xludf.DUMMYFUNCTION("""COMPUTED_VALUE"""),"EL MAITEN 179")</f>
        <v>EL MAITEN 179</v>
      </c>
      <c r="D5461" s="6" t="str">
        <f ca="1">IFERROR(__xludf.DUMMYFUNCTION("""COMPUTED_VALUE"""),"ISLA DE MAIPO")</f>
        <v>ISLA DE MAIPO</v>
      </c>
    </row>
    <row r="5462" spans="1:4">
      <c r="A5462" s="7">
        <f ca="1">IFERROR(__xludf.DUMMYFUNCTION("""COMPUTED_VALUE"""),44509)</f>
        <v>44509</v>
      </c>
      <c r="B5462" s="6" t="str">
        <f ca="1">IFERROR(__xludf.DUMMYFUNCTION("""COMPUTED_VALUE"""),"-33.803257,-70.725213")</f>
        <v>-33.803257,-70.725213</v>
      </c>
      <c r="C5462" s="6" t="str">
        <f ca="1">IFERROR(__xludf.DUMMYFUNCTION("""COMPUTED_VALUE"""),"GRAN AVENIDA 1222")</f>
        <v>GRAN AVENIDA 1222</v>
      </c>
      <c r="D5462" s="6" t="str">
        <f ca="1">IFERROR(__xludf.DUMMYFUNCTION("""COMPUTED_VALUE"""),"PAINE")</f>
        <v>PAINE</v>
      </c>
    </row>
    <row r="5463" spans="1:4">
      <c r="A5463" s="7">
        <f ca="1">IFERROR(__xludf.DUMMYFUNCTION("""COMPUTED_VALUE"""),44509)</f>
        <v>44509</v>
      </c>
      <c r="B5463" s="6" t="str">
        <f ca="1">IFERROR(__xludf.DUMMYFUNCTION("""COMPUTED_VALUE"""),"-33.803419,-70.729021")</f>
        <v>-33.803419,-70.729021</v>
      </c>
      <c r="C5463" s="6" t="str">
        <f ca="1">IFERROR(__xludf.DUMMYFUNCTION("""COMPUTED_VALUE"""),"PA. RIO CUTIPAY N°49")</f>
        <v>PA. RIO CUTIPAY N°49</v>
      </c>
      <c r="D5463" s="6" t="str">
        <f ca="1">IFERROR(__xludf.DUMMYFUNCTION("""COMPUTED_VALUE"""),"PAINE")</f>
        <v>PAINE</v>
      </c>
    </row>
    <row r="5464" spans="1:4">
      <c r="A5464" s="7">
        <f ca="1">IFERROR(__xludf.DUMMYFUNCTION("""COMPUTED_VALUE"""),44509)</f>
        <v>44509</v>
      </c>
      <c r="B5464" s="6" t="str">
        <f ca="1">IFERROR(__xludf.DUMMYFUNCTION("""COMPUTED_VALUE"""),"-33.407966,-71.148271")</f>
        <v>-33.407966,-71.148271</v>
      </c>
      <c r="C5464" s="6" t="str">
        <f ca="1">IFERROR(__xludf.DUMMYFUNCTION("""COMPUTED_VALUE"""),"DE SALAZAR 359")</f>
        <v>DE SALAZAR 359</v>
      </c>
      <c r="D5464" s="6" t="str">
        <f ca="1">IFERROR(__xludf.DUMMYFUNCTION("""COMPUTED_VALUE"""),"CURACAVI")</f>
        <v>CURACAVI</v>
      </c>
    </row>
    <row r="5465" spans="1:4">
      <c r="A5465" s="7">
        <f ca="1">IFERROR(__xludf.DUMMYFUNCTION("""COMPUTED_VALUE"""),44509)</f>
        <v>44509</v>
      </c>
      <c r="B5465" s="6" t="str">
        <f ca="1">IFERROR(__xludf.DUMMYFUNCTION("""COMPUTED_VALUE"""),"-33.511110,-70.98839")</f>
        <v>-33.511110,-70.98839</v>
      </c>
      <c r="C5465" s="6" t="str">
        <f ca="1">IFERROR(__xludf.DUMMYFUNCTION("""COMPUTED_VALUE"""),"PALAGUILLE EL BOSQUE")</f>
        <v>PALAGUILLE EL BOSQUE</v>
      </c>
      <c r="D5465" s="6" t="str">
        <f ca="1">IFERROR(__xludf.DUMMYFUNCTION("""COMPUTED_VALUE"""),"CURACAVI")</f>
        <v>CURACAVI</v>
      </c>
    </row>
    <row r="5466" spans="1:4">
      <c r="A5466" s="7">
        <f ca="1">IFERROR(__xludf.DUMMYFUNCTION("""COMPUTED_VALUE"""),44509)</f>
        <v>44509</v>
      </c>
      <c r="B5466" s="6" t="str">
        <f ca="1">IFERROR(__xludf.DUMMYFUNCTION("""COMPUTED_VALUE"""),"-33.404571,-71126561")</f>
        <v>-33.404571,-71126561</v>
      </c>
      <c r="C5466" s="6" t="str">
        <f ca="1">IFERROR(__xludf.DUMMYFUNCTION("""COMPUTED_VALUE"""),"CURACA PONIENTE 166 LOS RACINOS")</f>
        <v>CURACA PONIENTE 166 LOS RACINOS</v>
      </c>
      <c r="D5466" s="6" t="str">
        <f ca="1">IFERROR(__xludf.DUMMYFUNCTION("""COMPUTED_VALUE"""),"CURACAVI")</f>
        <v>CURACAVI</v>
      </c>
    </row>
    <row r="5467" spans="1:4">
      <c r="A5467" s="7">
        <f ca="1">IFERROR(__xludf.DUMMYFUNCTION("""COMPUTED_VALUE"""),44509)</f>
        <v>44509</v>
      </c>
      <c r="B5467" s="6" t="str">
        <f ca="1">IFERROR(__xludf.DUMMYFUNCTION("""COMPUTED_VALUE"""),"-33.651609,-71.018282")</f>
        <v>-33.651609,-71.018282</v>
      </c>
      <c r="C5467" s="6" t="str">
        <f ca="1">IFERROR(__xludf.DUMMYFUNCTION("""COMPUTED_VALUE"""),"LAS HUINGAMES PC2 ")</f>
        <v xml:space="preserve">LAS HUINGAMES PC2 </v>
      </c>
      <c r="D5467" s="6" t="str">
        <f ca="1">IFERROR(__xludf.DUMMYFUNCTION("""COMPUTED_VALUE"""),"EL MONTE")</f>
        <v>EL MONTE</v>
      </c>
    </row>
    <row r="5468" spans="1:4">
      <c r="A5468" s="7">
        <f ca="1">IFERROR(__xludf.DUMMYFUNCTION("""COMPUTED_VALUE"""),44509)</f>
        <v>44509</v>
      </c>
      <c r="B5468" s="6" t="str">
        <f ca="1">IFERROR(__xludf.DUMMYFUNCTION("""COMPUTED_VALUE"""),"-33.650087,-70.569331")</f>
        <v>-33.650087,-70.569331</v>
      </c>
      <c r="C5468" s="6" t="str">
        <f ca="1">IFERROR(__xludf.DUMMYFUNCTION("""COMPUTED_VALUE"""),"PABLO NERUDA 403")</f>
        <v>PABLO NERUDA 403</v>
      </c>
      <c r="D5468" s="6" t="str">
        <f ca="1">IFERROR(__xludf.DUMMYFUNCTION("""COMPUTED_VALUE"""),"PIRQUE")</f>
        <v>PIRQUE</v>
      </c>
    </row>
    <row r="5469" spans="1:4">
      <c r="A5469" s="7">
        <f ca="1">IFERROR(__xludf.DUMMYFUNCTION("""COMPUTED_VALUE"""),44509)</f>
        <v>44509</v>
      </c>
      <c r="B5469" s="6" t="str">
        <f ca="1">IFERROR(__xludf.DUMMYFUNCTION("""COMPUTED_VALUE"""),"-33.784764,-70.891435")</f>
        <v>-33.784764,-70.891435</v>
      </c>
      <c r="C5469" s="6" t="str">
        <f ca="1">IFERROR(__xludf.DUMMYFUNCTION("""COMPUTED_VALUE"""),"SAN MARTIRIAN 401 LT B")</f>
        <v>SAN MARTIRIAN 401 LT B</v>
      </c>
      <c r="D5469" s="6" t="str">
        <f ca="1">IFERROR(__xludf.DUMMYFUNCTION("""COMPUTED_VALUE"""),"ISLA DE MAIPO")</f>
        <v>ISLA DE MAIPO</v>
      </c>
    </row>
    <row r="5470" spans="1:4">
      <c r="A5470" s="7">
        <f ca="1">IFERROR(__xludf.DUMMYFUNCTION("""COMPUTED_VALUE"""),44509)</f>
        <v>44509</v>
      </c>
      <c r="B5470" s="6" t="str">
        <f ca="1">IFERROR(__xludf.DUMMYFUNCTION("""COMPUTED_VALUE"""),"-33.733587,-71.027287")</f>
        <v>-33.733587,-71.027287</v>
      </c>
      <c r="C5470" s="6" t="str">
        <f ca="1">IFERROR(__xludf.DUMMYFUNCTION("""COMPUTED_VALUE"""),"EL PEUMO SITIO 23 LOTE 4")</f>
        <v>EL PEUMO SITIO 23 LOTE 4</v>
      </c>
      <c r="D5470" s="6" t="str">
        <f ca="1">IFERROR(__xludf.DUMMYFUNCTION("""COMPUTED_VALUE"""),"ISLA DE MAIPO")</f>
        <v>ISLA DE MAIPO</v>
      </c>
    </row>
    <row r="5471" spans="1:4">
      <c r="A5471" s="7">
        <f ca="1">IFERROR(__xludf.DUMMYFUNCTION("""COMPUTED_VALUE"""),44509)</f>
        <v>44509</v>
      </c>
      <c r="B5471" s="6" t="str">
        <f ca="1">IFERROR(__xludf.DUMMYFUNCTION("""COMPUTED_VALUE"""),"-33.697987,-70.710146")</f>
        <v>-33.697987,-70.710146</v>
      </c>
      <c r="C5471" s="6" t="str">
        <f ca="1">IFERROR(__xludf.DUMMYFUNCTION("""COMPUTED_VALUE"""),"EL RECURSO 1151")</f>
        <v>EL RECURSO 1151</v>
      </c>
      <c r="D5471" s="6" t="str">
        <f ca="1">IFERROR(__xludf.DUMMYFUNCTION("""COMPUTED_VALUE"""),"BUIN")</f>
        <v>BUIN</v>
      </c>
    </row>
    <row r="5472" spans="1:4">
      <c r="A5472" s="7">
        <f ca="1">IFERROR(__xludf.DUMMYFUNCTION("""COMPUTED_VALUE"""),44509)</f>
        <v>44509</v>
      </c>
      <c r="B5472" s="6" t="str">
        <f ca="1">IFERROR(__xludf.DUMMYFUNCTION("""COMPUTED_VALUE"""),"-33.697874,-70.712087")</f>
        <v>-33.697874,-70.712087</v>
      </c>
      <c r="C5472" s="6" t="str">
        <f ca="1">IFERROR(__xludf.DUMMYFUNCTION("""COMPUTED_VALUE"""),"PUENTE MAIPO 30")</f>
        <v>PUENTE MAIPO 30</v>
      </c>
      <c r="D5472" s="6" t="str">
        <f ca="1">IFERROR(__xludf.DUMMYFUNCTION("""COMPUTED_VALUE"""),"BUIN")</f>
        <v>BUIN</v>
      </c>
    </row>
    <row r="5473" spans="1:4">
      <c r="A5473" s="7">
        <f ca="1">IFERROR(__xludf.DUMMYFUNCTION("""COMPUTED_VALUE"""),44509)</f>
        <v>44509</v>
      </c>
      <c r="B5473" s="8" t="str">
        <f ca="1">IFERROR(__xludf.DUMMYFUNCTION("""COMPUTED_VALUE"""),"-33.680700,-70.920322")</f>
        <v>-33.680700,-70.920322</v>
      </c>
      <c r="C5473" s="6" t="str">
        <f ca="1">IFERROR(__xludf.DUMMYFUNCTION("""COMPUTED_VALUE"""),"EL NARANJAL LOTE 4")</f>
        <v>EL NARANJAL LOTE 4</v>
      </c>
      <c r="D5473" s="6" t="str">
        <f ca="1">IFERROR(__xludf.DUMMYFUNCTION("""COMPUTED_VALUE"""),"TALAGANTE")</f>
        <v>TALAGANTE</v>
      </c>
    </row>
    <row r="5474" spans="1:4">
      <c r="A5474" s="7">
        <f ca="1">IFERROR(__xludf.DUMMYFUNCTION("""COMPUTED_VALUE"""),44509)</f>
        <v>44509</v>
      </c>
      <c r="B5474" s="8" t="str">
        <f ca="1">IFERROR(__xludf.DUMMYFUNCTION("""COMPUTED_VALUE"""),"-33749632,-70.900698")</f>
        <v>-33749632,-70.900698</v>
      </c>
      <c r="C5474" s="6" t="str">
        <f ca="1">IFERROR(__xludf.DUMMYFUNCTION("""COMPUTED_VALUE"""),"VIVA CHILE 946")</f>
        <v>VIVA CHILE 946</v>
      </c>
      <c r="D5474" s="6" t="str">
        <f ca="1">IFERROR(__xludf.DUMMYFUNCTION("""COMPUTED_VALUE"""),"ISLA DE MAIPO")</f>
        <v>ISLA DE MAIPO</v>
      </c>
    </row>
    <row r="5475" spans="1:4">
      <c r="A5475" s="7">
        <f ca="1">IFERROR(__xludf.DUMMYFUNCTION("""COMPUTED_VALUE"""),44510)</f>
        <v>44510</v>
      </c>
      <c r="B5475" s="6" t="str">
        <f ca="1">IFERROR(__xludf.DUMMYFUNCTION("""COMPUTED_VALUE"""),"-33.64792-70.35091")</f>
        <v>-33.64792-70.35091</v>
      </c>
      <c r="C5475" s="6" t="str">
        <f ca="1">IFERROR(__xludf.DUMMYFUNCTION("""COMPUTED_VALUE"""),"CAMINO PUBLICO S/N")</f>
        <v>CAMINO PUBLICO S/N</v>
      </c>
      <c r="D5475" s="6" t="str">
        <f ca="1">IFERROR(__xludf.DUMMYFUNCTION("""COMPUTED_VALUE"""),"SAN JOSE DE MAIPO")</f>
        <v>SAN JOSE DE MAIPO</v>
      </c>
    </row>
    <row r="5476" spans="1:4">
      <c r="A5476" s="7">
        <f ca="1">IFERROR(__xludf.DUMMYFUNCTION("""COMPUTED_VALUE"""),44510)</f>
        <v>44510</v>
      </c>
      <c r="B5476" s="6" t="str">
        <f ca="1">IFERROR(__xludf.DUMMYFUNCTION("""COMPUTED_VALUE"""),"-33.63791-70.35416")</f>
        <v>-33.63791-70.35416</v>
      </c>
      <c r="C5476" s="6" t="str">
        <f ca="1">IFERROR(__xludf.DUMMYFUNCTION("""COMPUTED_VALUE"""),"CALLE DEL RIO 19485")</f>
        <v>CALLE DEL RIO 19485</v>
      </c>
      <c r="D5476" s="6" t="str">
        <f ca="1">IFERROR(__xludf.DUMMYFUNCTION("""COMPUTED_VALUE"""),"SAN JOSE DE MAIPO")</f>
        <v>SAN JOSE DE MAIPO</v>
      </c>
    </row>
    <row r="5477" spans="1:4">
      <c r="A5477" s="7">
        <f ca="1">IFERROR(__xludf.DUMMYFUNCTION("""COMPUTED_VALUE"""),44510)</f>
        <v>44510</v>
      </c>
      <c r="B5477" s="6" t="str">
        <f ca="1">IFERROR(__xludf.DUMMYFUNCTION("""COMPUTED_VALUE"""),"-33.803993,-70.728713")</f>
        <v>-33.803993,-70.728713</v>
      </c>
      <c r="C5477" s="6" t="str">
        <f ca="1">IFERROR(__xludf.DUMMYFUNCTION("""COMPUTED_VALUE"""),"RIO CUTIPAY N°72")</f>
        <v>RIO CUTIPAY N°72</v>
      </c>
      <c r="D5477" s="6" t="str">
        <f ca="1">IFERROR(__xludf.DUMMYFUNCTION("""COMPUTED_VALUE"""),"PAINE")</f>
        <v>PAINE</v>
      </c>
    </row>
    <row r="5478" spans="1:4">
      <c r="A5478" s="7">
        <f ca="1">IFERROR(__xludf.DUMMYFUNCTION("""COMPUTED_VALUE"""),44510)</f>
        <v>44510</v>
      </c>
      <c r="B5478" s="6" t="str">
        <f ca="1">IFERROR(__xludf.DUMMYFUNCTION("""COMPUTED_VALUE"""),"-33.747017,-70.750997")</f>
        <v>-33.747017,-70.750997</v>
      </c>
      <c r="C5478" s="6" t="str">
        <f ca="1">IFERROR(__xludf.DUMMYFUNCTION("""COMPUTED_VALUE"""),"JUAN LINDSAY 1537")</f>
        <v>JUAN LINDSAY 1537</v>
      </c>
      <c r="D5478" s="6" t="str">
        <f ca="1">IFERROR(__xludf.DUMMYFUNCTION("""COMPUTED_VALUE"""),"BUIN")</f>
        <v>BUIN</v>
      </c>
    </row>
    <row r="5479" spans="1:4">
      <c r="A5479" s="7">
        <f ca="1">IFERROR(__xludf.DUMMYFUNCTION("""COMPUTED_VALUE"""),44510)</f>
        <v>44510</v>
      </c>
      <c r="B5479" s="6" t="str">
        <f ca="1">IFERROR(__xludf.DUMMYFUNCTION("""COMPUTED_VALUE"""),"-33.6052292,-70.7932052")</f>
        <v>-33.6052292,-70.7932052</v>
      </c>
      <c r="C5479" s="6" t="str">
        <f ca="1">IFERROR(__xludf.DUMMYFUNCTION("""COMPUTED_VALUE"""),"SAN IGNACIO 26 B")</f>
        <v>SAN IGNACIO 26 B</v>
      </c>
      <c r="D5479" s="6" t="str">
        <f ca="1">IFERROR(__xludf.DUMMYFUNCTION("""COMPUTED_VALUE"""),"CALERA DE TANGO")</f>
        <v>CALERA DE TANGO</v>
      </c>
    </row>
    <row r="5480" spans="1:4">
      <c r="A5480" s="7">
        <f ca="1">IFERROR(__xludf.DUMMYFUNCTION("""COMPUTED_VALUE"""),44510)</f>
        <v>44510</v>
      </c>
      <c r="B5480" s="6" t="str">
        <f ca="1">IFERROR(__xludf.DUMMYFUNCTION("""COMPUTED_VALUE"""),"-33.6051054,-70.7924057")</f>
        <v>-33.6051054,-70.7924057</v>
      </c>
      <c r="C5480" s="6" t="str">
        <f ca="1">IFERROR(__xludf.DUMMYFUNCTION("""COMPUTED_VALUE"""),"SAN IGNACIO 26 A")</f>
        <v>SAN IGNACIO 26 A</v>
      </c>
      <c r="D5480" s="6" t="str">
        <f ca="1">IFERROR(__xludf.DUMMYFUNCTION("""COMPUTED_VALUE"""),"CALERA DE TANGO")</f>
        <v>CALERA DE TANGO</v>
      </c>
    </row>
    <row r="5481" spans="1:4">
      <c r="A5481" s="7">
        <f ca="1">IFERROR(__xludf.DUMMYFUNCTION("""COMPUTED_VALUE"""),44510)</f>
        <v>44510</v>
      </c>
      <c r="B5481" s="6" t="str">
        <f ca="1">IFERROR(__xludf.DUMMYFUNCTION("""COMPUTED_VALUE"""),"-33.6051054,-70.7924057")</f>
        <v>-33.6051054,-70.7924057</v>
      </c>
      <c r="C5481" s="6" t="str">
        <f ca="1">IFERROR(__xludf.DUMMYFUNCTION("""COMPUTED_VALUE"""),"SAN IGNACIO 26")</f>
        <v>SAN IGNACIO 26</v>
      </c>
      <c r="D5481" s="6" t="str">
        <f ca="1">IFERROR(__xludf.DUMMYFUNCTION("""COMPUTED_VALUE"""),"CALERA DE TANGO")</f>
        <v>CALERA DE TANGO</v>
      </c>
    </row>
    <row r="5482" spans="1:4">
      <c r="A5482" s="7">
        <f ca="1">IFERROR(__xludf.DUMMYFUNCTION("""COMPUTED_VALUE"""),44510)</f>
        <v>44510</v>
      </c>
      <c r="B5482" s="6" t="str">
        <f ca="1">IFERROR(__xludf.DUMMYFUNCTION("""COMPUTED_VALUE"""),"-33.821207,-70.739405")</f>
        <v>-33.821207,-70.739405</v>
      </c>
      <c r="C5482" s="6" t="str">
        <f ca="1">IFERROR(__xludf.DUMMYFUNCTION("""COMPUTED_VALUE"""),"PJE URUGUAY 263")</f>
        <v>PJE URUGUAY 263</v>
      </c>
      <c r="D5482" s="6" t="str">
        <f ca="1">IFERROR(__xludf.DUMMYFUNCTION("""COMPUTED_VALUE"""),"PAINE")</f>
        <v>PAINE</v>
      </c>
    </row>
    <row r="5483" spans="1:4">
      <c r="A5483" s="7">
        <f ca="1">IFERROR(__xludf.DUMMYFUNCTION("""COMPUTED_VALUE"""),44510)</f>
        <v>44510</v>
      </c>
      <c r="B5483" s="6" t="str">
        <f ca="1">IFERROR(__xludf.DUMMYFUNCTION("""COMPUTED_VALUE"""),"-33.734363,-70.864550")</f>
        <v>-33.734363,-70.864550</v>
      </c>
      <c r="C5483" s="6" t="str">
        <f ca="1">IFERROR(__xludf.DUMMYFUNCTION("""COMPUTED_VALUE"""),"EL MAITEN 552")</f>
        <v>EL MAITEN 552</v>
      </c>
      <c r="D5483" s="6" t="str">
        <f ca="1">IFERROR(__xludf.DUMMYFUNCTION("""COMPUTED_VALUE"""),"ISLA DE MAIPO")</f>
        <v>ISLA DE MAIPO</v>
      </c>
    </row>
    <row r="5484" spans="1:4">
      <c r="A5484" s="7">
        <f ca="1">IFERROR(__xludf.DUMMYFUNCTION("""COMPUTED_VALUE"""),44510)</f>
        <v>44510</v>
      </c>
      <c r="B5484" s="6" t="str">
        <f ca="1">IFERROR(__xludf.DUMMYFUNCTION("""COMPUTED_VALUE"""),"-33.691492,-70.702387")</f>
        <v>-33.691492,-70.702387</v>
      </c>
      <c r="C5484" s="6" t="str">
        <f ca="1">IFERROR(__xludf.DUMMYFUNCTION("""COMPUTED_VALUE"""),"EL RECURSO 31")</f>
        <v>EL RECURSO 31</v>
      </c>
      <c r="D5484" s="6" t="str">
        <f ca="1">IFERROR(__xludf.DUMMYFUNCTION("""COMPUTED_VALUE"""),"BUIN")</f>
        <v>BUIN</v>
      </c>
    </row>
    <row r="5485" spans="1:4">
      <c r="A5485" s="7">
        <f ca="1">IFERROR(__xludf.DUMMYFUNCTION("""COMPUTED_VALUE"""),44510)</f>
        <v>44510</v>
      </c>
      <c r="B5485" s="6" t="str">
        <f ca="1">IFERROR(__xludf.DUMMYFUNCTION("""COMPUTED_VALUE"""),"-33.791115,-71.242695")</f>
        <v>-33.791115,-71.242695</v>
      </c>
      <c r="C5485" s="6" t="str">
        <f ca="1">IFERROR(__xludf.DUMMYFUNCTION("""COMPUTED_VALUE"""),"CALLE  CAMINO EL DIBUJO 247")</f>
        <v>CALLE  CAMINO EL DIBUJO 247</v>
      </c>
      <c r="D5485" s="6" t="str">
        <f ca="1">IFERROR(__xludf.DUMMYFUNCTION("""COMPUTED_VALUE"""),"MELIPILLA")</f>
        <v>MELIPILLA</v>
      </c>
    </row>
    <row r="5486" spans="1:4">
      <c r="A5486" s="7">
        <f ca="1">IFERROR(__xludf.DUMMYFUNCTION("""COMPUTED_VALUE"""),44510)</f>
        <v>44510</v>
      </c>
      <c r="B5486" s="8" t="str">
        <f ca="1">IFERROR(__xludf.DUMMYFUNCTION("""COMPUTED_VALUE"""),"-33.224763,-70769824")</f>
        <v>-33.224763,-70769824</v>
      </c>
      <c r="C5486" s="6" t="str">
        <f ca="1">IFERROR(__xludf.DUMMYFUNCTION("""COMPUTED_VALUE"""),"PARCELA 34 LOTE A-16")</f>
        <v>PARCELA 34 LOTE A-16</v>
      </c>
      <c r="D5486" s="6" t="str">
        <f ca="1">IFERROR(__xludf.DUMMYFUNCTION("""COMPUTED_VALUE"""),"LAMPA")</f>
        <v>LAMPA</v>
      </c>
    </row>
    <row r="5487" spans="1:4">
      <c r="A5487" s="7">
        <f ca="1">IFERROR(__xludf.DUMMYFUNCTION("""COMPUTED_VALUE"""),44510)</f>
        <v>44510</v>
      </c>
      <c r="B5487" s="8" t="str">
        <f ca="1">IFERROR(__xludf.DUMMYFUNCTION("""COMPUTED_VALUE"""),"-33.285066,-70836194")</f>
        <v>-33.285066,-70836194</v>
      </c>
      <c r="C5487" s="6" t="str">
        <f ca="1">IFERROR(__xludf.DUMMYFUNCTION("""COMPUTED_VALUE"""),"NUEVO PORVENIR 2B LE")</f>
        <v>NUEVO PORVENIR 2B LE</v>
      </c>
      <c r="D5487" s="6" t="str">
        <f ca="1">IFERROR(__xludf.DUMMYFUNCTION("""COMPUTED_VALUE"""),"LAMPA")</f>
        <v>LAMPA</v>
      </c>
    </row>
    <row r="5488" spans="1:4">
      <c r="A5488" s="7">
        <f ca="1">IFERROR(__xludf.DUMMYFUNCTION("""COMPUTED_VALUE"""),44511)</f>
        <v>44511</v>
      </c>
      <c r="B5488" s="6" t="str">
        <f ca="1">IFERROR(__xludf.DUMMYFUNCTION("""COMPUTED_VALUE"""),"-33.6049002-70.3533357")</f>
        <v>-33.6049002-70.3533357</v>
      </c>
      <c r="C5488" s="6" t="str">
        <f ca="1">IFERROR(__xludf.DUMMYFUNCTION("""COMPUTED_VALUE"""),"CAMINO GUAYACAN S/N")</f>
        <v>CAMINO GUAYACAN S/N</v>
      </c>
      <c r="D5488" s="6" t="str">
        <f ca="1">IFERROR(__xludf.DUMMYFUNCTION("""COMPUTED_VALUE"""),"SAN JOSE DE MAIPO")</f>
        <v>SAN JOSE DE MAIPO</v>
      </c>
    </row>
    <row r="5489" spans="1:4">
      <c r="A5489" s="7">
        <f ca="1">IFERROR(__xludf.DUMMYFUNCTION("""COMPUTED_VALUE"""),44511)</f>
        <v>44511</v>
      </c>
      <c r="B5489" s="6" t="str">
        <f ca="1">IFERROR(__xludf.DUMMYFUNCTION("""COMPUTED_VALUE"""),"-33.6048148-70.3531294")</f>
        <v>-33.6048148-70.3531294</v>
      </c>
      <c r="C5489" s="6" t="str">
        <f ca="1">IFERROR(__xludf.DUMMYFUNCTION("""COMPUTED_VALUE"""),"CAMINO GUAYACAN 15469")</f>
        <v>CAMINO GUAYACAN 15469</v>
      </c>
      <c r="D5489" s="6" t="str">
        <f ca="1">IFERROR(__xludf.DUMMYFUNCTION("""COMPUTED_VALUE"""),"SAN JOSE DE MAIPO")</f>
        <v>SAN JOSE DE MAIPO</v>
      </c>
    </row>
    <row r="5490" spans="1:4">
      <c r="A5490" s="7">
        <f ca="1">IFERROR(__xludf.DUMMYFUNCTION("""COMPUTED_VALUE"""),44511)</f>
        <v>44511</v>
      </c>
      <c r="B5490" s="6" t="str">
        <f ca="1">IFERROR(__xludf.DUMMYFUNCTION("""COMPUTED_VALUE"""),"-33.573305-70.806101")</f>
        <v>-33.573305-70.806101</v>
      </c>
      <c r="C5490" s="6" t="str">
        <f ca="1">IFERROR(__xludf.DUMMYFUNCTION("""COMPUTED_VALUE"""),"SAN BERNABE 1950")</f>
        <v>SAN BERNABE 1950</v>
      </c>
      <c r="D5490" s="6" t="str">
        <f ca="1">IFERROR(__xludf.DUMMYFUNCTION("""COMPUTED_VALUE"""),"PADRE HURTADO")</f>
        <v>PADRE HURTADO</v>
      </c>
    </row>
    <row r="5491" spans="1:4">
      <c r="A5491" s="7">
        <f ca="1">IFERROR(__xludf.DUMMYFUNCTION("""COMPUTED_VALUE"""),44511)</f>
        <v>44511</v>
      </c>
      <c r="B5491" s="6" t="str">
        <f ca="1">IFERROR(__xludf.DUMMYFUNCTION("""COMPUTED_VALUE"""),"-33.573022-70.804847")</f>
        <v>-33.573022-70.804847</v>
      </c>
      <c r="C5491" s="6" t="str">
        <f ca="1">IFERROR(__xludf.DUMMYFUNCTION("""COMPUTED_VALUE"""),"SAN BERNABE 1944")</f>
        <v>SAN BERNABE 1944</v>
      </c>
      <c r="D5491" s="6" t="str">
        <f ca="1">IFERROR(__xludf.DUMMYFUNCTION("""COMPUTED_VALUE"""),"PADRE HURTADO")</f>
        <v>PADRE HURTADO</v>
      </c>
    </row>
    <row r="5492" spans="1:4">
      <c r="A5492" s="7">
        <f ca="1">IFERROR(__xludf.DUMMYFUNCTION("""COMPUTED_VALUE"""),44511)</f>
        <v>44511</v>
      </c>
      <c r="B5492" s="6" t="str">
        <f ca="1">IFERROR(__xludf.DUMMYFUNCTION("""COMPUTED_VALUE"""),"-33.797989,-70.751432")</f>
        <v>-33.797989,-70.751432</v>
      </c>
      <c r="C5492" s="6" t="str">
        <f ca="1">IFERROR(__xludf.DUMMYFUNCTION("""COMPUTED_VALUE"""),"JUAN LINDSAY 1541")</f>
        <v>JUAN LINDSAY 1541</v>
      </c>
      <c r="D5492" s="6" t="str">
        <f ca="1">IFERROR(__xludf.DUMMYFUNCTION("""COMPUTED_VALUE"""),"BUIN")</f>
        <v>BUIN</v>
      </c>
    </row>
    <row r="5493" spans="1:4">
      <c r="A5493" s="7">
        <f ca="1">IFERROR(__xludf.DUMMYFUNCTION("""COMPUTED_VALUE"""),44511)</f>
        <v>44511</v>
      </c>
      <c r="B5493" s="6" t="str">
        <f ca="1">IFERROR(__xludf.DUMMYFUNCTION("""COMPUTED_VALUE"""),"-33.6051054,-70.7924057")</f>
        <v>-33.6051054,-70.7924057</v>
      </c>
      <c r="C5493" s="6" t="str">
        <f ca="1">IFERROR(__xludf.DUMMYFUNCTION("""COMPUTED_VALUE"""),"SAN IGNACIO N°26 A")</f>
        <v>SAN IGNACIO N°26 A</v>
      </c>
      <c r="D5493" s="6" t="str">
        <f ca="1">IFERROR(__xludf.DUMMYFUNCTION("""COMPUTED_VALUE"""),"CALERA DE TANGO")</f>
        <v>CALERA DE TANGO</v>
      </c>
    </row>
    <row r="5494" spans="1:4">
      <c r="A5494" s="7">
        <f ca="1">IFERROR(__xludf.DUMMYFUNCTION("""COMPUTED_VALUE"""),44511)</f>
        <v>44511</v>
      </c>
      <c r="B5494" s="6" t="str">
        <f ca="1">IFERROR(__xludf.DUMMYFUNCTION("""COMPUTED_VALUE"""),"33.195728,-70.684997")</f>
        <v>33.195728,-70.684997</v>
      </c>
      <c r="C5494" s="6" t="str">
        <f ca="1">IFERROR(__xludf.DUMMYFUNCTION("""COMPUTED_VALUE"""),"CALLE MELY 958 ")</f>
        <v xml:space="preserve">CALLE MELY 958 </v>
      </c>
      <c r="D5494" s="6" t="str">
        <f ca="1">IFERROR(__xludf.DUMMYFUNCTION("""COMPUTED_VALUE"""),"COLINA")</f>
        <v>COLINA</v>
      </c>
    </row>
    <row r="5495" spans="1:4">
      <c r="A5495" s="7">
        <f ca="1">IFERROR(__xludf.DUMMYFUNCTION("""COMPUTED_VALUE"""),44511)</f>
        <v>44511</v>
      </c>
      <c r="B5495" s="6" t="str">
        <f ca="1">IFERROR(__xludf.DUMMYFUNCTION("""COMPUTED_VALUE"""),"33.194662,-70.684634")</f>
        <v>33.194662,-70.684634</v>
      </c>
      <c r="C5495" s="6" t="str">
        <f ca="1">IFERROR(__xludf.DUMMYFUNCTION("""COMPUTED_VALUE"""),"EL ALMENDRAS 708")</f>
        <v>EL ALMENDRAS 708</v>
      </c>
      <c r="D5495" s="6" t="str">
        <f ca="1">IFERROR(__xludf.DUMMYFUNCTION("""COMPUTED_VALUE"""),"COLINA")</f>
        <v>COLINA</v>
      </c>
    </row>
    <row r="5496" spans="1:4">
      <c r="A5496" s="7">
        <f ca="1">IFERROR(__xludf.DUMMYFUNCTION("""COMPUTED_VALUE"""),44511)</f>
        <v>44511</v>
      </c>
      <c r="B5496" s="6" t="str">
        <f ca="1">IFERROR(__xludf.DUMMYFUNCTION("""COMPUTED_VALUE"""),"-33.193065,-70.674426")</f>
        <v>-33.193065,-70.674426</v>
      </c>
      <c r="C5496" s="6" t="str">
        <f ca="1">IFERROR(__xludf.DUMMYFUNCTION("""COMPUTED_VALUE"""),"VILLA CORDILLERA PJE LAS LOMAS 1022")</f>
        <v>VILLA CORDILLERA PJE LAS LOMAS 1022</v>
      </c>
      <c r="D5496" s="6" t="str">
        <f ca="1">IFERROR(__xludf.DUMMYFUNCTION("""COMPUTED_VALUE"""),"COLINA")</f>
        <v>COLINA</v>
      </c>
    </row>
    <row r="5497" spans="1:4">
      <c r="A5497" s="7">
        <f ca="1">IFERROR(__xludf.DUMMYFUNCTION("""COMPUTED_VALUE"""),44511)</f>
        <v>44511</v>
      </c>
      <c r="B5497" s="8" t="str">
        <f ca="1">IFERROR(__xludf.DUMMYFUNCTION("""COMPUTED_VALUE"""),"-33.725683,-70.740581")</f>
        <v>-33.725683,-70.740581</v>
      </c>
      <c r="C5497" s="6" t="str">
        <f ca="1">IFERROR(__xludf.DUMMYFUNCTION("""COMPUTED_VALUE"""),"AV. MANUEL RODRIGUEZ")</f>
        <v>AV. MANUEL RODRIGUEZ</v>
      </c>
      <c r="D5497" s="6" t="str">
        <f ca="1">IFERROR(__xludf.DUMMYFUNCTION("""COMPUTED_VALUE"""),"BUIN")</f>
        <v>BUIN</v>
      </c>
    </row>
    <row r="5498" spans="1:4">
      <c r="A5498" s="7">
        <f ca="1">IFERROR(__xludf.DUMMYFUNCTION("""COMPUTED_VALUE"""),44511)</f>
        <v>44511</v>
      </c>
      <c r="B5498" s="8" t="str">
        <f ca="1">IFERROR(__xludf.DUMMYFUNCTION("""COMPUTED_VALUE"""),"-33.725682,-70.740581")</f>
        <v>-33.725682,-70.740581</v>
      </c>
      <c r="C5498" s="6" t="str">
        <f ca="1">IFERROR(__xludf.DUMMYFUNCTION("""COMPUTED_VALUE"""),"AV. MANUEL RODRIGUEZ")</f>
        <v>AV. MANUEL RODRIGUEZ</v>
      </c>
      <c r="D5498" s="6" t="str">
        <f ca="1">IFERROR(__xludf.DUMMYFUNCTION("""COMPUTED_VALUE"""),"BUIN")</f>
        <v>BUIN</v>
      </c>
    </row>
    <row r="5499" spans="1:4">
      <c r="A5499" s="7">
        <f ca="1">IFERROR(__xludf.DUMMYFUNCTION("""COMPUTED_VALUE"""),44511)</f>
        <v>44511</v>
      </c>
      <c r="B5499" s="6" t="str">
        <f ca="1">IFERROR(__xludf.DUMMYFUNCTION("""COMPUTED_VALUE"""),"-33.735145,-70.760313")</f>
        <v>-33.735145,-70.760313</v>
      </c>
      <c r="C5499" s="6" t="str">
        <f ca="1">IFERROR(__xludf.DUMMYFUNCTION("""COMPUTED_VALUE"""),"GENERAL RAFAL GUALDAPALMA 11 LO SALINAS ")</f>
        <v xml:space="preserve">GENERAL RAFAL GUALDAPALMA 11 LO SALINAS </v>
      </c>
      <c r="D5499" s="6" t="str">
        <f ca="1">IFERROR(__xludf.DUMMYFUNCTION("""COMPUTED_VALUE"""),"BUIN")</f>
        <v>BUIN</v>
      </c>
    </row>
    <row r="5500" spans="1:4">
      <c r="A5500" s="7">
        <f ca="1">IFERROR(__xludf.DUMMYFUNCTION("""COMPUTED_VALUE"""),44511)</f>
        <v>44511</v>
      </c>
      <c r="B5500" s="6" t="str">
        <f ca="1">IFERROR(__xludf.DUMMYFUNCTION("""COMPUTED_VALUE"""),"-33.752448,-70.887988")</f>
        <v>-33.752448,-70.887988</v>
      </c>
      <c r="C5500" s="6" t="str">
        <f ca="1">IFERROR(__xludf.DUMMYFUNCTION("""COMPUTED_VALUE"""),"LOS ANDES 640")</f>
        <v>LOS ANDES 640</v>
      </c>
      <c r="D5500" s="6" t="str">
        <f ca="1">IFERROR(__xludf.DUMMYFUNCTION("""COMPUTED_VALUE"""),"ISLA DE MAIPO")</f>
        <v>ISLA DE MAIPO</v>
      </c>
    </row>
    <row r="5501" spans="1:4">
      <c r="A5501" s="7">
        <f ca="1">IFERROR(__xludf.DUMMYFUNCTION("""COMPUTED_VALUE"""),44511)</f>
        <v>44511</v>
      </c>
      <c r="B5501" s="6" t="str">
        <f ca="1">IFERROR(__xludf.DUMMYFUNCTION("""COMPUTED_VALUE"""),"-33.729420,-70.912451")</f>
        <v>-33.729420,-70.912451</v>
      </c>
      <c r="C5501" s="6" t="str">
        <f ca="1">IFERROR(__xludf.DUMMYFUNCTION("""COMPUTED_VALUE"""),"GACITUA 393-A")</f>
        <v>GACITUA 393-A</v>
      </c>
      <c r="D5501" s="6" t="str">
        <f ca="1">IFERROR(__xludf.DUMMYFUNCTION("""COMPUTED_VALUE"""),"ISLA DE MAIPO")</f>
        <v>ISLA DE MAIPO</v>
      </c>
    </row>
    <row r="5502" spans="1:4">
      <c r="A5502" s="7">
        <f ca="1">IFERROR(__xludf.DUMMYFUNCTION("""COMPUTED_VALUE"""),44511)</f>
        <v>44511</v>
      </c>
      <c r="B5502" s="8" t="str">
        <f ca="1">IFERROR(__xludf.DUMMYFUNCTION("""COMPUTED_VALUE"""),"-33.697815,-70.965894")</f>
        <v>-33.697815,-70.965894</v>
      </c>
      <c r="C5502" s="6" t="str">
        <f ca="1">IFERROR(__xludf.DUMMYFUNCTION("""COMPUTED_VALUE"""),"SANTA ADRIANA S/N")</f>
        <v>SANTA ADRIANA S/N</v>
      </c>
      <c r="D5502" s="6" t="str">
        <f ca="1">IFERROR(__xludf.DUMMYFUNCTION("""COMPUTED_VALUE"""),"TALAGANTE")</f>
        <v>TALAGANTE</v>
      </c>
    </row>
    <row r="5503" spans="1:4">
      <c r="A5503" s="7">
        <f ca="1">IFERROR(__xludf.DUMMYFUNCTION("""COMPUTED_VALUE"""),44511)</f>
        <v>44511</v>
      </c>
      <c r="B5503" s="8" t="str">
        <f ca="1">IFERROR(__xludf.DUMMYFUNCTION("""COMPUTED_VALUE"""),"-33.697815,-70.965894")</f>
        <v>-33.697815,-70.965894</v>
      </c>
      <c r="C5503" s="6" t="str">
        <f ca="1">IFERROR(__xludf.DUMMYFUNCTION("""COMPUTED_VALUE"""),"SANTA ADRIANA S/N")</f>
        <v>SANTA ADRIANA S/N</v>
      </c>
      <c r="D5503" s="6" t="str">
        <f ca="1">IFERROR(__xludf.DUMMYFUNCTION("""COMPUTED_VALUE"""),"TALAGANTE")</f>
        <v>TALAGANTE</v>
      </c>
    </row>
    <row r="5504" spans="1:4">
      <c r="A5504" s="7">
        <f ca="1">IFERROR(__xludf.DUMMYFUNCTION("""COMPUTED_VALUE"""),44511)</f>
        <v>44511</v>
      </c>
      <c r="B5504" s="8" t="str">
        <f ca="1">IFERROR(__xludf.DUMMYFUNCTION("""COMPUTED_VALUE"""),"-33.697815,-70.965894")</f>
        <v>-33.697815,-70.965894</v>
      </c>
      <c r="C5504" s="6" t="str">
        <f ca="1">IFERROR(__xludf.DUMMYFUNCTION("""COMPUTED_VALUE"""),"SANTA ADRIANA S/N")</f>
        <v>SANTA ADRIANA S/N</v>
      </c>
      <c r="D5504" s="6" t="str">
        <f ca="1">IFERROR(__xludf.DUMMYFUNCTION("""COMPUTED_VALUE"""),"TALAGANTE")</f>
        <v>TALAGANTE</v>
      </c>
    </row>
    <row r="5505" spans="1:4">
      <c r="A5505" s="7">
        <f ca="1">IFERROR(__xludf.DUMMYFUNCTION("""COMPUTED_VALUE"""),44512)</f>
        <v>44512</v>
      </c>
      <c r="B5505" s="8" t="str">
        <f ca="1">IFERROR(__xludf.DUMMYFUNCTION("""COMPUTED_VALUE"""),"-33.7492902, -70.8639953")</f>
        <v>-33.7492902, -70.8639953</v>
      </c>
      <c r="C5505" s="6" t="str">
        <f ca="1">IFERROR(__xludf.DUMMYFUNCTION("""COMPUTED_VALUE"""),"LAS GOLONDRINAS  3092")</f>
        <v>LAS GOLONDRINAS  3092</v>
      </c>
      <c r="D5505" s="6" t="str">
        <f ca="1">IFERROR(__xludf.DUMMYFUNCTION("""COMPUTED_VALUE"""),"ISLA DE MAIPO")</f>
        <v>ISLA DE MAIPO</v>
      </c>
    </row>
    <row r="5506" spans="1:4">
      <c r="A5506" s="7">
        <f ca="1">IFERROR(__xludf.DUMMYFUNCTION("""COMPUTED_VALUE"""),44512)</f>
        <v>44512</v>
      </c>
      <c r="B5506" s="6" t="str">
        <f ca="1">IFERROR(__xludf.DUMMYFUNCTION("""COMPUTED_VALUE"""),"-33.393186-71.123047")</f>
        <v>-33.393186-71.123047</v>
      </c>
      <c r="C5506" s="6" t="str">
        <f ca="1">IFERROR(__xludf.DUMMYFUNCTION("""COMPUTED_VALUE"""),"SANTIAGO BUERAS 2152")</f>
        <v>SANTIAGO BUERAS 2152</v>
      </c>
      <c r="D5506" s="6" t="str">
        <f ca="1">IFERROR(__xludf.DUMMYFUNCTION("""COMPUTED_VALUE"""),"CURACAVI")</f>
        <v>CURACAVI</v>
      </c>
    </row>
    <row r="5507" spans="1:4">
      <c r="A5507" s="7">
        <f ca="1">IFERROR(__xludf.DUMMYFUNCTION("""COMPUTED_VALUE"""),44512)</f>
        <v>44512</v>
      </c>
      <c r="B5507" s="6" t="str">
        <f ca="1">IFERROR(__xludf.DUMMYFUNCTION("""COMPUTED_VALUE"""),"-33.216396,-70.680804")</f>
        <v>-33.216396,-70.680804</v>
      </c>
      <c r="C5507" s="6" t="str">
        <f ca="1">IFERROR(__xludf.DUMMYFUNCTION("""COMPUTED_VALUE"""),"EL GALOPE 218")</f>
        <v>EL GALOPE 218</v>
      </c>
      <c r="D5507" s="6" t="str">
        <f ca="1">IFERROR(__xludf.DUMMYFUNCTION("""COMPUTED_VALUE"""),"COLINA")</f>
        <v>COLINA</v>
      </c>
    </row>
    <row r="5508" spans="1:4">
      <c r="A5508" s="7">
        <f ca="1">IFERROR(__xludf.DUMMYFUNCTION("""COMPUTED_VALUE"""),44512)</f>
        <v>44512</v>
      </c>
      <c r="B5508" s="6" t="str">
        <f ca="1">IFERROR(__xludf.DUMMYFUNCTION("""COMPUTED_VALUE"""),"-33.682909,-71.003427")</f>
        <v>-33.682909,-71.003427</v>
      </c>
      <c r="C5508" s="6" t="str">
        <f ca="1">IFERROR(__xludf.DUMMYFUNCTION("""COMPUTED_VALUE"""),"DOCTRINA DE INDIOS 27")</f>
        <v>DOCTRINA DE INDIOS 27</v>
      </c>
      <c r="D5508" s="6" t="str">
        <f ca="1">IFERROR(__xludf.DUMMYFUNCTION("""COMPUTED_VALUE"""),"EL MONTE")</f>
        <v>EL MONTE</v>
      </c>
    </row>
    <row r="5509" spans="1:4">
      <c r="A5509" s="7">
        <f ca="1">IFERROR(__xludf.DUMMYFUNCTION("""COMPUTED_VALUE"""),44512)</f>
        <v>44512</v>
      </c>
      <c r="B5509" s="6" t="str">
        <f ca="1">IFERROR(__xludf.DUMMYFUNCTION("""COMPUTED_VALUE"""),"-33.816338,-70.812134")</f>
        <v>-33.816338,-70.812134</v>
      </c>
      <c r="C5509" s="6" t="str">
        <f ca="1">IFERROR(__xludf.DUMMYFUNCTION("""COMPUTED_VALUE"""),"LAS VERTIENTES SITIO 11")</f>
        <v>LAS VERTIENTES SITIO 11</v>
      </c>
      <c r="D5509" s="6" t="str">
        <f ca="1">IFERROR(__xludf.DUMMYFUNCTION("""COMPUTED_VALUE"""),"BUIN")</f>
        <v>BUIN</v>
      </c>
    </row>
    <row r="5510" spans="1:4">
      <c r="A5510" s="7">
        <f ca="1">IFERROR(__xludf.DUMMYFUNCTION("""COMPUTED_VALUE"""),44512)</f>
        <v>44512</v>
      </c>
      <c r="B5510" s="6" t="str">
        <f ca="1">IFERROR(__xludf.DUMMYFUNCTION("""COMPUTED_VALUE"""),"-33.676369.-071.176079")</f>
        <v>-33.676369.-071.176079</v>
      </c>
      <c r="C5510" s="6" t="str">
        <f ca="1">IFERROR(__xludf.DUMMYFUNCTION("""COMPUTED_VALUE"""),"LAS HIGUERAS 2054")</f>
        <v>LAS HIGUERAS 2054</v>
      </c>
      <c r="D5510" s="6" t="str">
        <f ca="1">IFERROR(__xludf.DUMMYFUNCTION("""COMPUTED_VALUE"""),"MELIPILLA")</f>
        <v>MELIPILLA</v>
      </c>
    </row>
    <row r="5511" spans="1:4">
      <c r="A5511" s="7">
        <f ca="1">IFERROR(__xludf.DUMMYFUNCTION("""COMPUTED_VALUE"""),44512)</f>
        <v>44512</v>
      </c>
      <c r="B5511" s="6" t="str">
        <f ca="1">IFERROR(__xludf.DUMMYFUNCTION("""COMPUTED_VALUE"""),"-33.902805,-71.470561")</f>
        <v>-33.902805,-71.470561</v>
      </c>
      <c r="C5511" s="6" t="str">
        <f ca="1">IFERROR(__xludf.DUMMYFUNCTION("""COMPUTED_VALUE"""),"CAMINO LAS MINAS S/N")</f>
        <v>CAMINO LAS MINAS S/N</v>
      </c>
      <c r="D5511" s="6" t="str">
        <f ca="1">IFERROR(__xludf.DUMMYFUNCTION("""COMPUTED_VALUE"""),"SAN PEDRO")</f>
        <v>SAN PEDRO</v>
      </c>
    </row>
    <row r="5512" spans="1:4">
      <c r="A5512" s="7">
        <f ca="1">IFERROR(__xludf.DUMMYFUNCTION("""COMPUTED_VALUE"""),44512)</f>
        <v>44512</v>
      </c>
      <c r="B5512" s="6" t="str">
        <f ca="1">IFERROR(__xludf.DUMMYFUNCTION("""COMPUTED_VALUE"""),"-33.873680,-71.456588")</f>
        <v>-33.873680,-71.456588</v>
      </c>
      <c r="C5512" s="6" t="str">
        <f ca="1">IFERROR(__xludf.DUMMYFUNCTION("""COMPUTED_VALUE"""),"HERMOSILLA 120 ")</f>
        <v xml:space="preserve">HERMOSILLA 120 </v>
      </c>
      <c r="D5512" s="6" t="str">
        <f ca="1">IFERROR(__xludf.DUMMYFUNCTION("""COMPUTED_VALUE"""),"SAN PEDRO")</f>
        <v>SAN PEDRO</v>
      </c>
    </row>
    <row r="5513" spans="1:4">
      <c r="A5513" s="7">
        <f ca="1">IFERROR(__xludf.DUMMYFUNCTION("""COMPUTED_VALUE"""),44512)</f>
        <v>44512</v>
      </c>
      <c r="B5513" s="8" t="str">
        <f ca="1">IFERROR(__xludf.DUMMYFUNCTION("""COMPUTED_VALUE"""),"-33.749778,-70.900735")</f>
        <v>-33.749778,-70.900735</v>
      </c>
      <c r="C5513" s="6" t="str">
        <f ca="1">IFERROR(__xludf.DUMMYFUNCTION("""COMPUTED_VALUE"""),"PASAJE VIVA CHILE 973")</f>
        <v>PASAJE VIVA CHILE 973</v>
      </c>
      <c r="D5513" s="6" t="str">
        <f ca="1">IFERROR(__xludf.DUMMYFUNCTION("""COMPUTED_VALUE"""),"ISLA DE MAIPO")</f>
        <v>ISLA DE MAIPO</v>
      </c>
    </row>
    <row r="5514" spans="1:4">
      <c r="A5514" s="7">
        <f ca="1">IFERROR(__xludf.DUMMYFUNCTION("""COMPUTED_VALUE"""),44513)</f>
        <v>44513</v>
      </c>
      <c r="B5514" s="6" t="str">
        <f ca="1">IFERROR(__xludf.DUMMYFUNCTION("""COMPUTED_VALUE"""),"33.677760,-70.989858")</f>
        <v>33.677760,-70.989858</v>
      </c>
      <c r="C5514" s="6" t="str">
        <f ca="1">IFERROR(__xludf.DUMMYFUNCTION("""COMPUTED_VALUE"""),"VILLA COLONIAL LOS PATRIOTAS 585")</f>
        <v>VILLA COLONIAL LOS PATRIOTAS 585</v>
      </c>
      <c r="D5514" s="6" t="str">
        <f ca="1">IFERROR(__xludf.DUMMYFUNCTION("""COMPUTED_VALUE"""),"EL MONTE")</f>
        <v>EL MONTE</v>
      </c>
    </row>
    <row r="5515" spans="1:4">
      <c r="A5515" s="7">
        <f ca="1">IFERROR(__xludf.DUMMYFUNCTION("""COMPUTED_VALUE"""),44513)</f>
        <v>44513</v>
      </c>
      <c r="B5515" s="6" t="str">
        <f ca="1">IFERROR(__xludf.DUMMYFUNCTION("""COMPUTED_VALUE"""),"33.684345,-71.096557")</f>
        <v>33.684345,-71.096557</v>
      </c>
      <c r="C5515" s="6" t="str">
        <f ca="1">IFERROR(__xludf.DUMMYFUNCTION("""COMPUTED_VALUE"""),"CHIÑIGUE EL CRISTO ")</f>
        <v xml:space="preserve">CHIÑIGUE EL CRISTO </v>
      </c>
      <c r="D5515" s="6" t="str">
        <f ca="1">IFERROR(__xludf.DUMMYFUNCTION("""COMPUTED_VALUE"""),"EL MONTE")</f>
        <v>EL MONTE</v>
      </c>
    </row>
    <row r="5516" spans="1:4">
      <c r="A5516" s="7">
        <f ca="1">IFERROR(__xludf.DUMMYFUNCTION("""COMPUTED_VALUE"""),44513)</f>
        <v>44513</v>
      </c>
      <c r="B5516" s="6" t="str">
        <f ca="1">IFERROR(__xludf.DUMMYFUNCTION("""COMPUTED_VALUE"""),"-33.6054839,-70.7983956")</f>
        <v>-33.6054839,-70.7983956</v>
      </c>
      <c r="C5516" s="6" t="str">
        <f ca="1">IFERROR(__xludf.DUMMYFUNCTION("""COMPUTED_VALUE"""),"CAMINO INTERIOR 4 Y 5")</f>
        <v>CAMINO INTERIOR 4 Y 5</v>
      </c>
      <c r="D5516" s="6" t="str">
        <f ca="1">IFERROR(__xludf.DUMMYFUNCTION("""COMPUTED_VALUE"""),"CALERA DE TANGO")</f>
        <v>CALERA DE TANGO</v>
      </c>
    </row>
    <row r="5517" spans="1:4">
      <c r="A5517" s="7">
        <f ca="1">IFERROR(__xludf.DUMMYFUNCTION("""COMPUTED_VALUE"""),44514)</f>
        <v>44514</v>
      </c>
      <c r="B5517" s="6" t="str">
        <f ca="1">IFERROR(__xludf.DUMMYFUNCTION("""COMPUTED_VALUE"""),"-33.169940,-70.631622")</f>
        <v>-33.169940,-70.631622</v>
      </c>
      <c r="C5517" s="6" t="str">
        <f ca="1">IFERROR(__xludf.DUMMYFUNCTION("""COMPUTED_VALUE"""),"PASAJE 4 # 184")</f>
        <v>PASAJE 4 # 184</v>
      </c>
      <c r="D5517" s="6" t="str">
        <f ca="1">IFERROR(__xludf.DUMMYFUNCTION("""COMPUTED_VALUE"""),"COLINA")</f>
        <v>COLINA</v>
      </c>
    </row>
    <row r="5518" spans="1:4">
      <c r="A5518" s="7">
        <f ca="1">IFERROR(__xludf.DUMMYFUNCTION("""COMPUTED_VALUE"""),44514)</f>
        <v>44514</v>
      </c>
      <c r="B5518" s="6" t="str">
        <f ca="1">IFERROR(__xludf.DUMMYFUNCTION("""COMPUTED_VALUE"""),"-33.169940,-70.631622")</f>
        <v>-33.169940,-70.631622</v>
      </c>
      <c r="C5518" s="6" t="str">
        <f ca="1">IFERROR(__xludf.DUMMYFUNCTION("""COMPUTED_VALUE"""),"PASAJE 4 #184")</f>
        <v>PASAJE 4 #184</v>
      </c>
      <c r="D5518" s="6" t="str">
        <f ca="1">IFERROR(__xludf.DUMMYFUNCTION("""COMPUTED_VALUE"""),"COLINA")</f>
        <v>COLINA</v>
      </c>
    </row>
    <row r="5519" spans="1:4">
      <c r="A5519" s="7">
        <f ca="1">IFERROR(__xludf.DUMMYFUNCTION("""COMPUTED_VALUE"""),44514)</f>
        <v>44514</v>
      </c>
      <c r="B5519" s="6" t="str">
        <f ca="1">IFERROR(__xludf.DUMMYFUNCTION("""COMPUTED_VALUE"""),"-33.720838,-70.549133")</f>
        <v>-33.720838,-70.549133</v>
      </c>
      <c r="C5519" s="6" t="str">
        <f ca="1">IFERROR(__xludf.DUMMYFUNCTION("""COMPUTED_VALUE"""),"EL CHALACO 68 SITIO 5")</f>
        <v>EL CHALACO 68 SITIO 5</v>
      </c>
      <c r="D5519" s="6" t="str">
        <f ca="1">IFERROR(__xludf.DUMMYFUNCTION("""COMPUTED_VALUE"""),"PIRQUE")</f>
        <v>PIRQUE</v>
      </c>
    </row>
    <row r="5520" spans="1:4">
      <c r="A5520" s="7">
        <f ca="1">IFERROR(__xludf.DUMMYFUNCTION("""COMPUTED_VALUE"""),44515)</f>
        <v>44515</v>
      </c>
      <c r="B5520" s="6" t="str">
        <f ca="1">IFERROR(__xludf.DUMMYFUNCTION("""COMPUTED_VALUE"""),"-33.311206-70.857779")</f>
        <v>-33.311206-70.857779</v>
      </c>
      <c r="C5520" s="6" t="str">
        <f ca="1">IFERROR(__xludf.DUMMYFUNCTION("""COMPUTED_VALUE"""),"IRENE FREI 155")</f>
        <v>IRENE FREI 155</v>
      </c>
      <c r="D5520" s="6" t="str">
        <f ca="1">IFERROR(__xludf.DUMMYFUNCTION("""COMPUTED_VALUE"""),"LAMPA")</f>
        <v>LAMPA</v>
      </c>
    </row>
    <row r="5521" spans="1:4">
      <c r="A5521" s="7">
        <f ca="1">IFERROR(__xludf.DUMMYFUNCTION("""COMPUTED_VALUE"""),44515)</f>
        <v>44515</v>
      </c>
      <c r="B5521" s="6" t="str">
        <f ca="1">IFERROR(__xludf.DUMMYFUNCTION("""COMPUTED_VALUE"""),"-33.6379216-70.3553797")</f>
        <v>-33.6379216-70.3553797</v>
      </c>
      <c r="C5521" s="6" t="str">
        <f ca="1">IFERROR(__xludf.DUMMYFUNCTION("""COMPUTED_VALUE"""),"PJE UNO 0288")</f>
        <v>PJE UNO 0288</v>
      </c>
      <c r="D5521" s="6" t="str">
        <f ca="1">IFERROR(__xludf.DUMMYFUNCTION("""COMPUTED_VALUE"""),"SAN JOSE DE MAIPO")</f>
        <v>SAN JOSE DE MAIPO</v>
      </c>
    </row>
    <row r="5522" spans="1:4">
      <c r="A5522" s="7">
        <f ca="1">IFERROR(__xludf.DUMMYFUNCTION("""COMPUTED_VALUE"""),44515)</f>
        <v>44515</v>
      </c>
      <c r="B5522" s="6" t="str">
        <f ca="1">IFERROR(__xludf.DUMMYFUNCTION("""COMPUTED_VALUE"""),"-33.6379473-70.3537046")</f>
        <v>-33.6379473-70.3537046</v>
      </c>
      <c r="C5522" s="6" t="str">
        <f ca="1">IFERROR(__xludf.DUMMYFUNCTION("""COMPUTED_VALUE"""),"3 NORTE 256")</f>
        <v>3 NORTE 256</v>
      </c>
      <c r="D5522" s="6" t="str">
        <f ca="1">IFERROR(__xludf.DUMMYFUNCTION("""COMPUTED_VALUE"""),"SAN JOSE DE MAIPO")</f>
        <v>SAN JOSE DE MAIPO</v>
      </c>
    </row>
    <row r="5523" spans="1:4">
      <c r="A5523" s="7">
        <f ca="1">IFERROR(__xludf.DUMMYFUNCTION("""COMPUTED_VALUE"""),44515)</f>
        <v>44515</v>
      </c>
      <c r="B5523" s="6" t="str">
        <f ca="1">IFERROR(__xludf.DUMMYFUNCTION("""COMPUTED_VALUE"""),"-33.599473-70.887167")</f>
        <v>-33.599473-70.887167</v>
      </c>
      <c r="C5523" s="6" t="str">
        <f ca="1">IFERROR(__xludf.DUMMYFUNCTION("""COMPUTED_VALUE"""),"PJE SUR 3202")</f>
        <v>PJE SUR 3202</v>
      </c>
      <c r="D5523" s="6" t="str">
        <f ca="1">IFERROR(__xludf.DUMMYFUNCTION("""COMPUTED_VALUE"""),"PEÑAFLOR")</f>
        <v>PEÑAFLOR</v>
      </c>
    </row>
    <row r="5524" spans="1:4">
      <c r="A5524" s="7">
        <f ca="1">IFERROR(__xludf.DUMMYFUNCTION("""COMPUTED_VALUE"""),44515)</f>
        <v>44515</v>
      </c>
      <c r="B5524" s="6" t="str">
        <f ca="1">IFERROR(__xludf.DUMMYFUNCTION("""COMPUTED_VALUE"""),"-33.391119-71.129786")</f>
        <v>-33.391119-71.129786</v>
      </c>
      <c r="C5524" s="6" t="str">
        <f ca="1">IFERROR(__xludf.DUMMYFUNCTION("""COMPUTED_VALUE"""),"GERMAN RIESCO 1092")</f>
        <v>GERMAN RIESCO 1092</v>
      </c>
      <c r="D5524" s="6" t="str">
        <f ca="1">IFERROR(__xludf.DUMMYFUNCTION("""COMPUTED_VALUE"""),"CURACAVI")</f>
        <v>CURACAVI</v>
      </c>
    </row>
    <row r="5525" spans="1:4">
      <c r="A5525" s="7">
        <f ca="1">IFERROR(__xludf.DUMMYFUNCTION("""COMPUTED_VALUE"""),44515)</f>
        <v>44515</v>
      </c>
      <c r="B5525" s="6" t="str">
        <f ca="1">IFERROR(__xludf.DUMMYFUNCTION("""COMPUTED_VALUE"""),"-33.407126-71.134740")</f>
        <v>-33.407126-71.134740</v>
      </c>
      <c r="C5525" s="6" t="str">
        <f ca="1">IFERROR(__xludf.DUMMYFUNCTION("""COMPUTED_VALUE"""),"AMBROSIO OHIGGINS 1038")</f>
        <v>AMBROSIO OHIGGINS 1038</v>
      </c>
      <c r="D5525" s="6" t="str">
        <f ca="1">IFERROR(__xludf.DUMMYFUNCTION("""COMPUTED_VALUE"""),"CURACAVI")</f>
        <v>CURACAVI</v>
      </c>
    </row>
    <row r="5526" spans="1:4">
      <c r="A5526" s="7">
        <f ca="1">IFERROR(__xludf.DUMMYFUNCTION("""COMPUTED_VALUE"""),44515)</f>
        <v>44515</v>
      </c>
      <c r="B5526" s="6" t="str">
        <f ca="1">IFERROR(__xludf.DUMMYFUNCTION("""COMPUTED_VALUE"""),"-33.48697-71.14309")</f>
        <v>-33.48697-71.14309</v>
      </c>
      <c r="C5526" s="6" t="str">
        <f ca="1">IFERROR(__xludf.DUMMYFUNCTION("""COMPUTED_VALUE"""),"EL REDIL S/N")</f>
        <v>EL REDIL S/N</v>
      </c>
      <c r="D5526" s="6" t="str">
        <f ca="1">IFERROR(__xludf.DUMMYFUNCTION("""COMPUTED_VALUE"""),"MARIA PINTO")</f>
        <v>MARIA PINTO</v>
      </c>
    </row>
    <row r="5527" spans="1:4">
      <c r="A5527" s="7">
        <f ca="1">IFERROR(__xludf.DUMMYFUNCTION("""COMPUTED_VALUE"""),44515)</f>
        <v>44515</v>
      </c>
      <c r="B5527" s="6" t="str">
        <f ca="1">IFERROR(__xludf.DUMMYFUNCTION("""COMPUTED_VALUE"""),"-33.48699-71.14275")</f>
        <v>-33.48699-71.14275</v>
      </c>
      <c r="C5527" s="6" t="str">
        <f ca="1">IFERROR(__xludf.DUMMYFUNCTION("""COMPUTED_VALUE"""),"EL REDIL S/N")</f>
        <v>EL REDIL S/N</v>
      </c>
      <c r="D5527" s="6" t="str">
        <f ca="1">IFERROR(__xludf.DUMMYFUNCTION("""COMPUTED_VALUE"""),"MARIA PINTO")</f>
        <v>MARIA PINTO</v>
      </c>
    </row>
    <row r="5528" spans="1:4">
      <c r="A5528" s="7">
        <f ca="1">IFERROR(__xludf.DUMMYFUNCTION("""COMPUTED_VALUE"""),44515)</f>
        <v>44515</v>
      </c>
      <c r="B5528" s="6" t="str">
        <f ca="1">IFERROR(__xludf.DUMMYFUNCTION("""COMPUTED_VALUE"""),"-33.818498,-70.730527")</f>
        <v>-33.818498,-70.730527</v>
      </c>
      <c r="C5528" s="6" t="str">
        <f ca="1">IFERROR(__xludf.DUMMYFUNCTION("""COMPUTED_VALUE"""),"AV DEL VILLAR P N°73")</f>
        <v>AV DEL VILLAR P N°73</v>
      </c>
      <c r="D5528" s="6" t="str">
        <f ca="1">IFERROR(__xludf.DUMMYFUNCTION("""COMPUTED_VALUE"""),"PAINE")</f>
        <v>PAINE</v>
      </c>
    </row>
    <row r="5529" spans="1:4">
      <c r="A5529" s="7">
        <f ca="1">IFERROR(__xludf.DUMMYFUNCTION("""COMPUTED_VALUE"""),44515)</f>
        <v>44515</v>
      </c>
      <c r="B5529" s="6" t="str">
        <f ca="1">IFERROR(__xludf.DUMMYFUNCTION("""COMPUTED_VALUE"""),"-33.819690,-70.741236")</f>
        <v>-33.819690,-70.741236</v>
      </c>
      <c r="C5529" s="6" t="str">
        <f ca="1">IFERROR(__xludf.DUMMYFUNCTION("""COMPUTED_VALUE"""),"ANTILLAS 1493")</f>
        <v>ANTILLAS 1493</v>
      </c>
      <c r="D5529" s="6" t="str">
        <f ca="1">IFERROR(__xludf.DUMMYFUNCTION("""COMPUTED_VALUE"""),"PAINE")</f>
        <v>PAINE</v>
      </c>
    </row>
    <row r="5530" spans="1:4">
      <c r="A5530" s="7">
        <f ca="1">IFERROR(__xludf.DUMMYFUNCTION("""COMPUTED_VALUE"""),44515)</f>
        <v>44515</v>
      </c>
      <c r="B5530" s="6" t="str">
        <f ca="1">IFERROR(__xludf.DUMMYFUNCTION("""COMPUTED_VALUE"""),"33.738436,-70.743386")</f>
        <v>33.738436,-70.743386</v>
      </c>
      <c r="C5530" s="6" t="str">
        <f ca="1">IFERROR(__xludf.DUMMYFUNCTION("""COMPUTED_VALUE"""),"SAN FRANCISCO 448")</f>
        <v>SAN FRANCISCO 448</v>
      </c>
      <c r="D5530" s="6" t="str">
        <f ca="1">IFERROR(__xludf.DUMMYFUNCTION("""COMPUTED_VALUE"""),"BUIN")</f>
        <v>BUIN</v>
      </c>
    </row>
    <row r="5531" spans="1:4">
      <c r="A5531" s="7">
        <f ca="1">IFERROR(__xludf.DUMMYFUNCTION("""COMPUTED_VALUE"""),44515)</f>
        <v>44515</v>
      </c>
      <c r="B5531" s="6" t="str">
        <f ca="1">IFERROR(__xludf.DUMMYFUNCTION("""COMPUTED_VALUE"""),"33.728954,-70.768692")</f>
        <v>33.728954,-70.768692</v>
      </c>
      <c r="C5531" s="6" t="str">
        <f ca="1">IFERROR(__xludf.DUMMYFUNCTION("""COMPUTED_VALUE"""),"CAMINO BUIN MAIPO 2115")</f>
        <v>CAMINO BUIN MAIPO 2115</v>
      </c>
      <c r="D5531" s="6" t="str">
        <f ca="1">IFERROR(__xludf.DUMMYFUNCTION("""COMPUTED_VALUE"""),"BUIN")</f>
        <v>BUIN</v>
      </c>
    </row>
    <row r="5532" spans="1:4">
      <c r="A5532" s="7">
        <f ca="1">IFERROR(__xludf.DUMMYFUNCTION("""COMPUTED_VALUE"""),44515)</f>
        <v>44515</v>
      </c>
      <c r="B5532" s="6" t="str">
        <f ca="1">IFERROR(__xludf.DUMMYFUNCTION("""COMPUTED_VALUE"""),"33.786248,-70.835722")</f>
        <v>33.786248,-70.835722</v>
      </c>
      <c r="C5532" s="6" t="str">
        <f ca="1">IFERROR(__xludf.DUMMYFUNCTION("""COMPUTED_VALUE"""),"CO LO ESTANCILLO")</f>
        <v>CO LO ESTANCILLO</v>
      </c>
      <c r="D5532" s="6" t="str">
        <f ca="1">IFERROR(__xludf.DUMMYFUNCTION("""COMPUTED_VALUE"""),"BUIN")</f>
        <v>BUIN</v>
      </c>
    </row>
    <row r="5533" spans="1:4">
      <c r="A5533" s="7">
        <f ca="1">IFERROR(__xludf.DUMMYFUNCTION("""COMPUTED_VALUE"""),44515)</f>
        <v>44515</v>
      </c>
      <c r="B5533" s="6" t="str">
        <f ca="1">IFERROR(__xludf.DUMMYFUNCTION("""COMPUTED_VALUE"""),"-33.685640,-70.021738")</f>
        <v>-33.685640,-70.021738</v>
      </c>
      <c r="C5533" s="6" t="str">
        <f ca="1">IFERROR(__xludf.DUMMYFUNCTION("""COMPUTED_VALUE"""),"VILLA LA CHACON CALLE LOS SAUCES 69")</f>
        <v>VILLA LA CHACON CALLE LOS SAUCES 69</v>
      </c>
      <c r="D5533" s="6" t="str">
        <f ca="1">IFERROR(__xludf.DUMMYFUNCTION("""COMPUTED_VALUE"""),"EL MONTE")</f>
        <v>EL MONTE</v>
      </c>
    </row>
    <row r="5534" spans="1:4">
      <c r="A5534" s="7">
        <f ca="1">IFERROR(__xludf.DUMMYFUNCTION("""COMPUTED_VALUE"""),44515)</f>
        <v>44515</v>
      </c>
      <c r="B5534" s="6" t="str">
        <f ca="1">IFERROR(__xludf.DUMMYFUNCTION("""COMPUTED_VALUE"""),"-33.688351,-71.210488")</f>
        <v>-33.688351,-71.210488</v>
      </c>
      <c r="C5534" s="6" t="str">
        <f ca="1">IFERROR(__xludf.DUMMYFUNCTION("""COMPUTED_VALUE"""),"LIBERTAD 248")</f>
        <v>LIBERTAD 248</v>
      </c>
      <c r="D5534" s="6" t="str">
        <f ca="1">IFERROR(__xludf.DUMMYFUNCTION("""COMPUTED_VALUE"""),"MELIPILLA")</f>
        <v>MELIPILLA</v>
      </c>
    </row>
    <row r="5535" spans="1:4">
      <c r="A5535" s="7">
        <f ca="1">IFERROR(__xludf.DUMMYFUNCTION("""COMPUTED_VALUE"""),44515)</f>
        <v>44515</v>
      </c>
      <c r="B5535" s="6" t="str">
        <f ca="1">IFERROR(__xludf.DUMMYFUNCTION("""COMPUTED_VALUE"""),"-33.0680075,-70.583140")</f>
        <v>-33.0680075,-70.583140</v>
      </c>
      <c r="C5535" s="6" t="str">
        <f ca="1">IFERROR(__xludf.DUMMYFUNCTION("""COMPUTED_VALUE"""),"CAMINO RACEL SITIO 1")</f>
        <v>CAMINO RACEL SITIO 1</v>
      </c>
      <c r="D5535" s="6" t="str">
        <f ca="1">IFERROR(__xludf.DUMMYFUNCTION("""COMPUTED_VALUE"""),"PIRQUE")</f>
        <v>PIRQUE</v>
      </c>
    </row>
    <row r="5536" spans="1:4">
      <c r="A5536" s="7">
        <f ca="1">IFERROR(__xludf.DUMMYFUNCTION("""COMPUTED_VALUE"""),44515)</f>
        <v>44515</v>
      </c>
      <c r="B5536" s="6" t="str">
        <f ca="1">IFERROR(__xludf.DUMMYFUNCTION("""COMPUTED_VALUE"""),"-33.747935,-70.867856")</f>
        <v>-33.747935,-70.867856</v>
      </c>
      <c r="C5536" s="6" t="str">
        <f ca="1">IFERROR(__xludf.DUMMYFUNCTION("""COMPUTED_VALUE"""),"LA UVA 912")</f>
        <v>LA UVA 912</v>
      </c>
      <c r="D5536" s="6" t="str">
        <f ca="1">IFERROR(__xludf.DUMMYFUNCTION("""COMPUTED_VALUE"""),"ISLA DE MAIPO")</f>
        <v>ISLA DE MAIPO</v>
      </c>
    </row>
    <row r="5537" spans="1:4">
      <c r="A5537" s="7">
        <f ca="1">IFERROR(__xludf.DUMMYFUNCTION("""COMPUTED_VALUE"""),44515)</f>
        <v>44515</v>
      </c>
      <c r="B5537" s="6" t="str">
        <f ca="1">IFERROR(__xludf.DUMMYFUNCTION("""COMPUTED_VALUE"""),"-33.734076,-70.865137")</f>
        <v>-33.734076,-70.865137</v>
      </c>
      <c r="C5537" s="6" t="str">
        <f ca="1">IFERROR(__xludf.DUMMYFUNCTION("""COMPUTED_VALUE"""),"EL MAITEN 615")</f>
        <v>EL MAITEN 615</v>
      </c>
      <c r="D5537" s="6" t="str">
        <f ca="1">IFERROR(__xludf.DUMMYFUNCTION("""COMPUTED_VALUE"""),"ISLA DE MAIPO")</f>
        <v>ISLA DE MAIPO</v>
      </c>
    </row>
    <row r="5538" spans="1:4">
      <c r="A5538" s="7">
        <f ca="1">IFERROR(__xludf.DUMMYFUNCTION("""COMPUTED_VALUE"""),44516)</f>
        <v>44516</v>
      </c>
      <c r="B5538" s="6" t="str">
        <f ca="1">IFERROR(__xludf.DUMMYFUNCTION("""COMPUTED_VALUE"""),"-33.642321-70.349061")</f>
        <v>-33.642321-70.349061</v>
      </c>
      <c r="C5538" s="6" t="str">
        <f ca="1">IFERROR(__xludf.DUMMYFUNCTION("""COMPUTED_VALUE"""),"SANTUARIO ORIENTE 19147")</f>
        <v>SANTUARIO ORIENTE 19147</v>
      </c>
      <c r="D5538" s="6" t="str">
        <f ca="1">IFERROR(__xludf.DUMMYFUNCTION("""COMPUTED_VALUE"""),"SAN JOSE DE MAIPO")</f>
        <v>SAN JOSE DE MAIPO</v>
      </c>
    </row>
    <row r="5539" spans="1:4">
      <c r="A5539" s="7">
        <f ca="1">IFERROR(__xludf.DUMMYFUNCTION("""COMPUTED_VALUE"""),44516)</f>
        <v>44516</v>
      </c>
      <c r="B5539" s="6" t="str">
        <f ca="1">IFERROR(__xludf.DUMMYFUNCTION("""COMPUTED_VALUE"""),"-33.680075,-70.583140")</f>
        <v>-33.680075,-70.583140</v>
      </c>
      <c r="C5539" s="6" t="str">
        <f ca="1">IFERROR(__xludf.DUMMYFUNCTION("""COMPUTED_VALUE"""),"CAMINO MACUL SITIO 1")</f>
        <v>CAMINO MACUL SITIO 1</v>
      </c>
      <c r="D5539" s="6" t="str">
        <f ca="1">IFERROR(__xludf.DUMMYFUNCTION("""COMPUTED_VALUE"""),"PIRQUE")</f>
        <v>PIRQUE</v>
      </c>
    </row>
    <row r="5540" spans="1:4">
      <c r="A5540" s="7">
        <f ca="1">IFERROR(__xludf.DUMMYFUNCTION("""COMPUTED_VALUE"""),44516)</f>
        <v>44516</v>
      </c>
      <c r="B5540" s="6" t="str">
        <f ca="1">IFERROR(__xludf.DUMMYFUNCTION("""COMPUTED_VALUE"""),"33.281121,-70.876494")</f>
        <v>33.281121,-70.876494</v>
      </c>
      <c r="C5540" s="6" t="str">
        <f ca="1">IFERROR(__xludf.DUMMYFUNCTION("""COMPUTED_VALUE"""),"BALMACEDA 1120")</f>
        <v>BALMACEDA 1120</v>
      </c>
      <c r="D5540" s="6" t="str">
        <f ca="1">IFERROR(__xludf.DUMMYFUNCTION("""COMPUTED_VALUE"""),"LAMPA")</f>
        <v>LAMPA</v>
      </c>
    </row>
    <row r="5541" spans="1:4">
      <c r="A5541" s="7">
        <f ca="1">IFERROR(__xludf.DUMMYFUNCTION("""COMPUTED_VALUE"""),44516)</f>
        <v>44516</v>
      </c>
      <c r="B5541" s="6" t="str">
        <f ca="1">IFERROR(__xludf.DUMMYFUNCTION("""COMPUTED_VALUE"""),"33.194671,-70.684677")</f>
        <v>33.194671,-70.684677</v>
      </c>
      <c r="C5541" s="6" t="str">
        <f ca="1">IFERROR(__xludf.DUMMYFUNCTION("""COMPUTED_VALUE"""),"CALLE MELI 962")</f>
        <v>CALLE MELI 962</v>
      </c>
      <c r="D5541" s="6" t="str">
        <f ca="1">IFERROR(__xludf.DUMMYFUNCTION("""COMPUTED_VALUE"""),"COLINA")</f>
        <v>COLINA</v>
      </c>
    </row>
    <row r="5542" spans="1:4">
      <c r="A5542" s="7">
        <f ca="1">IFERROR(__xludf.DUMMYFUNCTION("""COMPUTED_VALUE"""),44516)</f>
        <v>44516</v>
      </c>
      <c r="B5542" s="6" t="str">
        <f ca="1">IFERROR(__xludf.DUMMYFUNCTION("""COMPUTED_VALUE"""),"-33.234194,-70.621682")</f>
        <v>-33.234194,-70.621682</v>
      </c>
      <c r="C5542" s="6" t="str">
        <f ca="1">IFERROR(__xludf.DUMMYFUNCTION("""COMPUTED_VALUE"""),"LA MEDIA LUNA 25 LA ARCOLLA")</f>
        <v>LA MEDIA LUNA 25 LA ARCOLLA</v>
      </c>
      <c r="D5542" s="6" t="str">
        <f ca="1">IFERROR(__xludf.DUMMYFUNCTION("""COMPUTED_VALUE"""),"PIRQUE")</f>
        <v>PIRQUE</v>
      </c>
    </row>
    <row r="5543" spans="1:4">
      <c r="A5543" s="7">
        <f ca="1">IFERROR(__xludf.DUMMYFUNCTION("""COMPUTED_VALUE"""),44516)</f>
        <v>44516</v>
      </c>
      <c r="B5543" s="6" t="str">
        <f ca="1">IFERROR(__xludf.DUMMYFUNCTION("""COMPUTED_VALUE"""),"-33.670435,-70.556144")</f>
        <v>-33.670435,-70.556144</v>
      </c>
      <c r="C5543" s="6" t="str">
        <f ca="1">IFERROR(__xludf.DUMMYFUNCTION("""COMPUTED_VALUE"""),"MANUEL CORNEJO 2665")</f>
        <v>MANUEL CORNEJO 2665</v>
      </c>
      <c r="D5543" s="6" t="str">
        <f ca="1">IFERROR(__xludf.DUMMYFUNCTION("""COMPUTED_VALUE"""),"PIRQUE")</f>
        <v>PIRQUE</v>
      </c>
    </row>
    <row r="5544" spans="1:4">
      <c r="A5544" s="7">
        <f ca="1">IFERROR(__xludf.DUMMYFUNCTION("""COMPUTED_VALUE"""),44516)</f>
        <v>44516</v>
      </c>
      <c r="B5544" s="6" t="str">
        <f ca="1">IFERROR(__xludf.DUMMYFUNCTION("""COMPUTED_VALUE"""),"-33.668987,-70.557613")</f>
        <v>-33.668987,-70.557613</v>
      </c>
      <c r="C5544" s="6" t="str">
        <f ca="1">IFERROR(__xludf.DUMMYFUNCTION("""COMPUTED_VALUE"""),"PATRICIO GOMA LYON 0203")</f>
        <v>PATRICIO GOMA LYON 0203</v>
      </c>
      <c r="D5544" s="6" t="str">
        <f ca="1">IFERROR(__xludf.DUMMYFUNCTION("""COMPUTED_VALUE"""),"PIRQUE")</f>
        <v>PIRQUE</v>
      </c>
    </row>
    <row r="5545" spans="1:4">
      <c r="A5545" s="7">
        <f ca="1">IFERROR(__xludf.DUMMYFUNCTION("""COMPUTED_VALUE"""),44516)</f>
        <v>44516</v>
      </c>
      <c r="B5545" s="6" t="str">
        <f ca="1">IFERROR(__xludf.DUMMYFUNCTION("""COMPUTED_VALUE"""),"-33.636033,-70.889614")</f>
        <v>-33.636033,-70.889614</v>
      </c>
      <c r="C5545" s="6" t="str">
        <f ca="1">IFERROR(__xludf.DUMMYFUNCTION("""COMPUTED_VALUE"""),"SAN ISABEL 649 LOTE 26")</f>
        <v>SAN ISABEL 649 LOTE 26</v>
      </c>
      <c r="D5545" s="6" t="str">
        <f ca="1">IFERROR(__xludf.DUMMYFUNCTION("""COMPUTED_VALUE"""),"TALAGANTE")</f>
        <v>TALAGANTE</v>
      </c>
    </row>
    <row r="5546" spans="1:4">
      <c r="A5546" s="7">
        <f ca="1">IFERROR(__xludf.DUMMYFUNCTION("""COMPUTED_VALUE"""),44516)</f>
        <v>44516</v>
      </c>
      <c r="B5546" s="6" t="str">
        <f ca="1">IFERROR(__xludf.DUMMYFUNCTION("""COMPUTED_VALUE"""),"-33.694359,-71.051366")</f>
        <v>-33.694359,-71.051366</v>
      </c>
      <c r="C5546" s="6" t="str">
        <f ca="1">IFERROR(__xludf.DUMMYFUNCTION("""COMPUTED_VALUE"""),"NATALIA MEZA 01790")</f>
        <v>NATALIA MEZA 01790</v>
      </c>
      <c r="D5546" s="6" t="str">
        <f ca="1">IFERROR(__xludf.DUMMYFUNCTION("""COMPUTED_VALUE"""),"EL MONTE")</f>
        <v>EL MONTE</v>
      </c>
    </row>
    <row r="5547" spans="1:4">
      <c r="A5547" s="7">
        <f ca="1">IFERROR(__xludf.DUMMYFUNCTION("""COMPUTED_VALUE"""),44516)</f>
        <v>44516</v>
      </c>
      <c r="B5547" s="6" t="str">
        <f ca="1">IFERROR(__xludf.DUMMYFUNCTION("""COMPUTED_VALUE"""),"-33.748452,-70.900034")</f>
        <v>-33.748452,-70.900034</v>
      </c>
      <c r="C5547" s="6" t="str">
        <f ca="1">IFERROR(__xludf.DUMMYFUNCTION("""COMPUTED_VALUE"""),"LAS SALITERAS 360")</f>
        <v>LAS SALITERAS 360</v>
      </c>
      <c r="D5547" s="6" t="str">
        <f ca="1">IFERROR(__xludf.DUMMYFUNCTION("""COMPUTED_VALUE"""),"ISLA DE MAIPO")</f>
        <v>ISLA DE MAIPO</v>
      </c>
    </row>
    <row r="5548" spans="1:4">
      <c r="A5548" s="7">
        <f ca="1">IFERROR(__xludf.DUMMYFUNCTION("""COMPUTED_VALUE"""),44516)</f>
        <v>44516</v>
      </c>
      <c r="B5548" s="8" t="str">
        <f ca="1">IFERROR(__xludf.DUMMYFUNCTION("""COMPUTED_VALUE"""),"-33.659608,-70.833823")</f>
        <v>-33.659608,-70.833823</v>
      </c>
      <c r="C5548" s="6" t="str">
        <f ca="1">IFERROR(__xludf.DUMMYFUNCTION("""COMPUTED_VALUE"""),"CAMINO LOQUEN SUR 20780")</f>
        <v>CAMINO LOQUEN SUR 20780</v>
      </c>
      <c r="D5548" s="6" t="str">
        <f ca="1">IFERROR(__xludf.DUMMYFUNCTION("""COMPUTED_VALUE"""),"CALERA DE TANGO")</f>
        <v>CALERA DE TANGO</v>
      </c>
    </row>
    <row r="5549" spans="1:4">
      <c r="A5549" s="7">
        <f ca="1">IFERROR(__xludf.DUMMYFUNCTION("""COMPUTED_VALUE"""),44516)</f>
        <v>44516</v>
      </c>
      <c r="B5549" s="8" t="str">
        <f ca="1">IFERROR(__xludf.DUMMYFUNCTION("""COMPUTED_VALUE"""),"-33.243173,-70.755133")</f>
        <v>-33.243173,-70.755133</v>
      </c>
      <c r="C5549" s="6" t="str">
        <f ca="1">IFERROR(__xludf.DUMMYFUNCTION("""COMPUTED_VALUE"""),"PRESIDENTE EDUARDO FREI 25040")</f>
        <v>PRESIDENTE EDUARDO FREI 25040</v>
      </c>
      <c r="D5549" s="6" t="str">
        <f ca="1">IFERROR(__xludf.DUMMYFUNCTION("""COMPUTED_VALUE"""),"COLINA")</f>
        <v>COLINA</v>
      </c>
    </row>
    <row r="5550" spans="1:4">
      <c r="A5550" s="7">
        <f ca="1">IFERROR(__xludf.DUMMYFUNCTION("""COMPUTED_VALUE"""),44516)</f>
        <v>44516</v>
      </c>
      <c r="B5550" s="8" t="str">
        <f ca="1">IFERROR(__xludf.DUMMYFUNCTION("""COMPUTED_VALUE"""),"-33.749689,-70.901070")</f>
        <v>-33.749689,-70.901070</v>
      </c>
      <c r="C5550" s="6" t="str">
        <f ca="1">IFERROR(__xludf.DUMMYFUNCTION("""COMPUTED_VALUE"""),"VIVA CHILE 1005")</f>
        <v>VIVA CHILE 1005</v>
      </c>
      <c r="D5550" s="6" t="str">
        <f ca="1">IFERROR(__xludf.DUMMYFUNCTION("""COMPUTED_VALUE"""),"ISLA DE MAIPO")</f>
        <v>ISLA DE MAIPO</v>
      </c>
    </row>
    <row r="5551" spans="1:4">
      <c r="A5551" s="7">
        <f ca="1">IFERROR(__xludf.DUMMYFUNCTION("""COMPUTED_VALUE"""),44517)</f>
        <v>44517</v>
      </c>
      <c r="B5551" s="6" t="str">
        <f ca="1">IFERROR(__xludf.DUMMYFUNCTION("""COMPUTED_VALUE"""),"-33.605779-70.906689")</f>
        <v>-33.605779-70.906689</v>
      </c>
      <c r="C5551" s="6" t="str">
        <f ca="1">IFERROR(__xludf.DUMMYFUNCTION("""COMPUTED_VALUE"""),"PJE ESTIVAL 751")</f>
        <v>PJE ESTIVAL 751</v>
      </c>
      <c r="D5551" s="6" t="str">
        <f ca="1">IFERROR(__xludf.DUMMYFUNCTION("""COMPUTED_VALUE"""),"PEÑAFLOR")</f>
        <v>PEÑAFLOR</v>
      </c>
    </row>
    <row r="5552" spans="1:4">
      <c r="A5552" s="7">
        <f ca="1">IFERROR(__xludf.DUMMYFUNCTION("""COMPUTED_VALUE"""),44517)</f>
        <v>44517</v>
      </c>
      <c r="B5552" s="6" t="str">
        <f ca="1">IFERROR(__xludf.DUMMYFUNCTION("""COMPUTED_VALUE"""),"-33.818912,-70.730499")</f>
        <v>-33.818912,-70.730499</v>
      </c>
      <c r="C5552" s="6" t="str">
        <f ca="1">IFERROR(__xludf.DUMMYFUNCTION("""COMPUTED_VALUE"""),"AV DEL VILLAR P 3 LOTE 15")</f>
        <v>AV DEL VILLAR P 3 LOTE 15</v>
      </c>
      <c r="D5552" s="6" t="str">
        <f ca="1">IFERROR(__xludf.DUMMYFUNCTION("""COMPUTED_VALUE"""),"PAINE")</f>
        <v>PAINE</v>
      </c>
    </row>
    <row r="5553" spans="1:4">
      <c r="A5553" s="7">
        <f ca="1">IFERROR(__xludf.DUMMYFUNCTION("""COMPUTED_VALUE"""),44517)</f>
        <v>44517</v>
      </c>
      <c r="B5553" s="6" t="str">
        <f ca="1">IFERROR(__xludf.DUMMYFUNCTION("""COMPUTED_VALUE"""),"-33.817963,-70.733004")</f>
        <v>-33.817963,-70.733004</v>
      </c>
      <c r="C5553" s="6" t="str">
        <f ca="1">IFERROR(__xludf.DUMMYFUNCTION("""COMPUTED_VALUE"""),"BENITO DEL VILLAR P3 SITIO B")</f>
        <v>BENITO DEL VILLAR P3 SITIO B</v>
      </c>
      <c r="D5553" s="6" t="str">
        <f ca="1">IFERROR(__xludf.DUMMYFUNCTION("""COMPUTED_VALUE"""),"PAINE")</f>
        <v>PAINE</v>
      </c>
    </row>
    <row r="5554" spans="1:4">
      <c r="A5554" s="7">
        <f ca="1">IFERROR(__xludf.DUMMYFUNCTION("""COMPUTED_VALUE"""),44517)</f>
        <v>44517</v>
      </c>
      <c r="B5554" s="6" t="str">
        <f ca="1">IFERROR(__xludf.DUMMYFUNCTION("""COMPUTED_VALUE"""),"33.684345,-71.096557")</f>
        <v>33.684345,-71.096557</v>
      </c>
      <c r="C5554" s="6" t="str">
        <f ca="1">IFERROR(__xludf.DUMMYFUNCTION("""COMPUTED_VALUE"""),"CHIÑIGUE EL CRISTO ")</f>
        <v xml:space="preserve">CHIÑIGUE EL CRISTO </v>
      </c>
      <c r="D5554" s="6" t="str">
        <f ca="1">IFERROR(__xludf.DUMMYFUNCTION("""COMPUTED_VALUE"""),"EL MONTE")</f>
        <v>EL MONTE</v>
      </c>
    </row>
    <row r="5555" spans="1:4">
      <c r="A5555" s="7">
        <f ca="1">IFERROR(__xludf.DUMMYFUNCTION("""COMPUTED_VALUE"""),44517)</f>
        <v>44517</v>
      </c>
      <c r="B5555" s="6" t="str">
        <f ca="1">IFERROR(__xludf.DUMMYFUNCTION("""COMPUTED_VALUE"""),"33.704207,-71.027705")</f>
        <v>33.704207,-71.027705</v>
      </c>
      <c r="C5555" s="6" t="str">
        <f ca="1">IFERROR(__xludf.DUMMYFUNCTION("""COMPUTED_VALUE"""),"SAN ANTONIO 313")</f>
        <v>SAN ANTONIO 313</v>
      </c>
      <c r="D5555" s="6" t="str">
        <f ca="1">IFERROR(__xludf.DUMMYFUNCTION("""COMPUTED_VALUE"""),"EL MONTE")</f>
        <v>EL MONTE</v>
      </c>
    </row>
    <row r="5556" spans="1:4">
      <c r="A5556" s="7">
        <f ca="1">IFERROR(__xludf.DUMMYFUNCTION("""COMPUTED_VALUE"""),44517)</f>
        <v>44517</v>
      </c>
      <c r="B5556" s="6" t="str">
        <f ca="1">IFERROR(__xludf.DUMMYFUNCTION("""COMPUTED_VALUE"""),"-33.7207959,-70.5490561")</f>
        <v>-33.7207959,-70.5490561</v>
      </c>
      <c r="C5556" s="6" t="str">
        <f ca="1">IFERROR(__xludf.DUMMYFUNCTION("""COMPUTED_VALUE"""),"EL CHALACO 68 ")</f>
        <v xml:space="preserve">EL CHALACO 68 </v>
      </c>
      <c r="D5556" s="6" t="str">
        <f ca="1">IFERROR(__xludf.DUMMYFUNCTION("""COMPUTED_VALUE"""),"PIRQUE")</f>
        <v>PIRQUE</v>
      </c>
    </row>
    <row r="5557" spans="1:4">
      <c r="A5557" s="7">
        <f ca="1">IFERROR(__xludf.DUMMYFUNCTION("""COMPUTED_VALUE"""),44517)</f>
        <v>44517</v>
      </c>
      <c r="B5557" s="6" t="str">
        <f ca="1">IFERROR(__xludf.DUMMYFUNCTION("""COMPUTED_VALUE"""),"-33.743101,-70.867929")</f>
        <v>-33.743101,-70.867929</v>
      </c>
      <c r="C5557" s="6" t="str">
        <f ca="1">IFERROR(__xludf.DUMMYFUNCTION("""COMPUTED_VALUE"""),"PA ANITA INOSTROZA WISE 340")</f>
        <v>PA ANITA INOSTROZA WISE 340</v>
      </c>
      <c r="D5557" s="6" t="str">
        <f ca="1">IFERROR(__xludf.DUMMYFUNCTION("""COMPUTED_VALUE"""),"ISLA DE MAIPO")</f>
        <v>ISLA DE MAIPO</v>
      </c>
    </row>
    <row r="5558" spans="1:4">
      <c r="A5558" s="7">
        <f ca="1">IFERROR(__xludf.DUMMYFUNCTION("""COMPUTED_VALUE"""),44517)</f>
        <v>44517</v>
      </c>
      <c r="B5558" s="6" t="str">
        <f ca="1">IFERROR(__xludf.DUMMYFUNCTION("""COMPUTED_VALUE"""),"-33.9184461,-71.454324")</f>
        <v>-33.9184461,-71.454324</v>
      </c>
      <c r="C5558" s="6" t="str">
        <f ca="1">IFERROR(__xludf.DUMMYFUNCTION("""COMPUTED_VALUE"""),"CALLE CAMINO EL PARRON 4")</f>
        <v>CALLE CAMINO EL PARRON 4</v>
      </c>
      <c r="D5558" s="6" t="str">
        <f ca="1">IFERROR(__xludf.DUMMYFUNCTION("""COMPUTED_VALUE"""),"SAN PEDRO")</f>
        <v>SAN PEDRO</v>
      </c>
    </row>
    <row r="5559" spans="1:4">
      <c r="A5559" s="7">
        <f ca="1">IFERROR(__xludf.DUMMYFUNCTION("""COMPUTED_VALUE"""),44517)</f>
        <v>44517</v>
      </c>
      <c r="B5559" s="6" t="str">
        <f ca="1">IFERROR(__xludf.DUMMYFUNCTION("""COMPUTED_VALUE"""),"-33.871388,-71.476512")</f>
        <v>-33.871388,-71.476512</v>
      </c>
      <c r="C5559" s="6" t="str">
        <f ca="1">IFERROR(__xludf.DUMMYFUNCTION("""COMPUTED_VALUE"""),"LO ENCARNADO  S/N")</f>
        <v>LO ENCARNADO  S/N</v>
      </c>
      <c r="D5559" s="6" t="str">
        <f ca="1">IFERROR(__xludf.DUMMYFUNCTION("""COMPUTED_VALUE"""),"SAN PEDRO")</f>
        <v>SAN PEDRO</v>
      </c>
    </row>
    <row r="5560" spans="1:4">
      <c r="A5560" s="7">
        <f ca="1">IFERROR(__xludf.DUMMYFUNCTION("""COMPUTED_VALUE"""),44517)</f>
        <v>44517</v>
      </c>
      <c r="B5560" s="8" t="str">
        <f ca="1">IFERROR(__xludf.DUMMYFUNCTION("""COMPUTED_VALUE"""),"-33.385875,-70.928367")</f>
        <v>-33.385875,-70.928367</v>
      </c>
      <c r="C5560" s="6" t="str">
        <f ca="1">IFERROR(__xludf.DUMMYFUNCTION("""COMPUTED_VALUE"""),"CHORRILLOS 18")</f>
        <v>CHORRILLOS 18</v>
      </c>
      <c r="D5560" s="6" t="str">
        <f ca="1">IFERROR(__xludf.DUMMYFUNCTION("""COMPUTED_VALUE"""),"TALAGANTE")</f>
        <v>TALAGANTE</v>
      </c>
    </row>
    <row r="5561" spans="1:4">
      <c r="A5561" s="7">
        <f ca="1">IFERROR(__xludf.DUMMYFUNCTION("""COMPUTED_VALUE"""),44517)</f>
        <v>44517</v>
      </c>
      <c r="B5561" s="8" t="str">
        <f ca="1">IFERROR(__xludf.DUMMYFUNCTION("""COMPUTED_VALUE"""),"-33.132014,-70.802912")</f>
        <v>-33.132014,-70.802912</v>
      </c>
      <c r="C5561" s="6" t="str">
        <f ca="1">IFERROR(__xludf.DUMMYFUNCTION("""COMPUTED_VALUE"""),"3 ORIENTE N° 120")</f>
        <v>3 ORIENTE N° 120</v>
      </c>
      <c r="D5561" s="6" t="str">
        <f ca="1">IFERROR(__xludf.DUMMYFUNCTION("""COMPUTED_VALUE"""),"TIL TIL")</f>
        <v>TIL TIL</v>
      </c>
    </row>
    <row r="5562" spans="1:4">
      <c r="A5562" s="7">
        <f ca="1">IFERROR(__xludf.DUMMYFUNCTION("""COMPUTED_VALUE"""),44517)</f>
        <v>44517</v>
      </c>
      <c r="B5562" s="8" t="str">
        <f ca="1">IFERROR(__xludf.DUMMYFUNCTION("""COMPUTED_VALUE"""),"-33.729182,-71.350269")</f>
        <v>-33.729182,-71.350269</v>
      </c>
      <c r="C5562" s="6" t="str">
        <f ca="1">IFERROR(__xludf.DUMMYFUNCTION("""COMPUTED_VALUE"""),"HUECHUR PARCELA 64")</f>
        <v>HUECHUR PARCELA 64</v>
      </c>
      <c r="D5562" s="6" t="str">
        <f ca="1">IFERROR(__xludf.DUMMYFUNCTION("""COMPUTED_VALUE"""),"MELIPILLA")</f>
        <v>MELIPILLA</v>
      </c>
    </row>
    <row r="5563" spans="1:4">
      <c r="A5563" s="7">
        <f ca="1">IFERROR(__xludf.DUMMYFUNCTION("""COMPUTED_VALUE"""),44518)</f>
        <v>44518</v>
      </c>
      <c r="B5563" s="6" t="str">
        <f ca="1">IFERROR(__xludf.DUMMYFUNCTION("""COMPUTED_VALUE"""),"-33.6420943-70.3494684")</f>
        <v>-33.6420943-70.3494684</v>
      </c>
      <c r="C5563" s="6" t="str">
        <f ca="1">IFERROR(__xludf.DUMMYFUNCTION("""COMPUTED_VALUE"""),"SANTUARIO PONIENTE 19116")</f>
        <v>SANTUARIO PONIENTE 19116</v>
      </c>
      <c r="D5563" s="6" t="str">
        <f ca="1">IFERROR(__xludf.DUMMYFUNCTION("""COMPUTED_VALUE"""),"SAN JOSE DE MAIPO")</f>
        <v>SAN JOSE DE MAIPO</v>
      </c>
    </row>
    <row r="5564" spans="1:4">
      <c r="A5564" s="7">
        <f ca="1">IFERROR(__xludf.DUMMYFUNCTION("""COMPUTED_VALUE"""),44518)</f>
        <v>44518</v>
      </c>
      <c r="B5564" s="6" t="str">
        <f ca="1">IFERROR(__xludf.DUMMYFUNCTION("""COMPUTED_VALUE"""),"-33.6420969-70.348682")</f>
        <v>-33.6420969-70.348682</v>
      </c>
      <c r="C5564" s="6" t="str">
        <f ca="1">IFERROR(__xludf.DUMMYFUNCTION("""COMPUTED_VALUE"""),"SANTUARIO ORIENTE 19097")</f>
        <v>SANTUARIO ORIENTE 19097</v>
      </c>
      <c r="D5564" s="6" t="str">
        <f ca="1">IFERROR(__xludf.DUMMYFUNCTION("""COMPUTED_VALUE"""),"SAN JOSE DE MAIPO")</f>
        <v>SAN JOSE DE MAIPO</v>
      </c>
    </row>
    <row r="5565" spans="1:4">
      <c r="A5565" s="7">
        <f ca="1">IFERROR(__xludf.DUMMYFUNCTION("""COMPUTED_VALUE"""),44518)</f>
        <v>44518</v>
      </c>
      <c r="B5565" s="6" t="str">
        <f ca="1">IFERROR(__xludf.DUMMYFUNCTION("""COMPUTED_VALUE"""),"-33.58130-70.40871")</f>
        <v>-33.58130-70.40871</v>
      </c>
      <c r="C5565" s="6" t="str">
        <f ca="1">IFERROR(__xludf.DUMMYFUNCTION("""COMPUTED_VALUE"""),"CANADA SUR 0148")</f>
        <v>CANADA SUR 0148</v>
      </c>
      <c r="D5565" s="6" t="str">
        <f ca="1">IFERROR(__xludf.DUMMYFUNCTION("""COMPUTED_VALUE"""),"SAN JOSE DE MAIPO")</f>
        <v>SAN JOSE DE MAIPO</v>
      </c>
    </row>
    <row r="5566" spans="1:4">
      <c r="A5566" s="7">
        <f ca="1">IFERROR(__xludf.DUMMYFUNCTION("""COMPUTED_VALUE"""),44518)</f>
        <v>44518</v>
      </c>
      <c r="B5566" s="6" t="str">
        <f ca="1">IFERROR(__xludf.DUMMYFUNCTION("""COMPUTED_VALUE"""),"-33.58027-70.40799")</f>
        <v>-33.58027-70.40799</v>
      </c>
      <c r="C5566" s="6" t="str">
        <f ca="1">IFERROR(__xludf.DUMMYFUNCTION("""COMPUTED_VALUE"""),"CAMINO EL VOLCAN 9662")</f>
        <v>CAMINO EL VOLCAN 9662</v>
      </c>
      <c r="D5566" s="6" t="str">
        <f ca="1">IFERROR(__xludf.DUMMYFUNCTION("""COMPUTED_VALUE"""),"SAN JOSE DE MAIPO")</f>
        <v>SAN JOSE DE MAIPO</v>
      </c>
    </row>
    <row r="5567" spans="1:4">
      <c r="A5567" s="7">
        <f ca="1">IFERROR(__xludf.DUMMYFUNCTION("""COMPUTED_VALUE"""),44518)</f>
        <v>44518</v>
      </c>
      <c r="B5567" s="6" t="str">
        <f ca="1">IFERROR(__xludf.DUMMYFUNCTION("""COMPUTED_VALUE"""),"-33.614529-70.870724")</f>
        <v>-33.614529-70.870724</v>
      </c>
      <c r="C5567" s="6" t="str">
        <f ca="1">IFERROR(__xludf.DUMMYFUNCTION("""COMPUTED_VALUE"""),"PABLO NERUDA 421")</f>
        <v>PABLO NERUDA 421</v>
      </c>
      <c r="D5567" s="6" t="str">
        <f ca="1">IFERROR(__xludf.DUMMYFUNCTION("""COMPUTED_VALUE"""),"PEÑAFLOR")</f>
        <v>PEÑAFLOR</v>
      </c>
    </row>
    <row r="5568" spans="1:4">
      <c r="A5568" s="7">
        <f ca="1">IFERROR(__xludf.DUMMYFUNCTION("""COMPUTED_VALUE"""),44518)</f>
        <v>44518</v>
      </c>
      <c r="B5568" s="6" t="str">
        <f ca="1">IFERROR(__xludf.DUMMYFUNCTION("""COMPUTED_VALUE"""),"-33.614510-70.871679")</f>
        <v>-33.614510-70.871679</v>
      </c>
      <c r="C5568" s="6" t="str">
        <f ca="1">IFERROR(__xludf.DUMMYFUNCTION("""COMPUTED_VALUE"""),"LAS VIOLETAS 421")</f>
        <v>LAS VIOLETAS 421</v>
      </c>
      <c r="D5568" s="6" t="str">
        <f ca="1">IFERROR(__xludf.DUMMYFUNCTION("""COMPUTED_VALUE"""),"PEÑAFLOR")</f>
        <v>PEÑAFLOR</v>
      </c>
    </row>
    <row r="5569" spans="1:4">
      <c r="A5569" s="7">
        <f ca="1">IFERROR(__xludf.DUMMYFUNCTION("""COMPUTED_VALUE"""),44518)</f>
        <v>44518</v>
      </c>
      <c r="B5569" s="6" t="str">
        <f ca="1">IFERROR(__xludf.DUMMYFUNCTION("""COMPUTED_VALUE"""),"-33.722173-70.740649")</f>
        <v>-33.722173-70.740649</v>
      </c>
      <c r="C5569" s="6" t="str">
        <f ca="1">IFERROR(__xludf.DUMMYFUNCTION("""COMPUTED_VALUE"""),"EL CANELO 62")</f>
        <v>EL CANELO 62</v>
      </c>
      <c r="D5569" s="6" t="str">
        <f ca="1">IFERROR(__xludf.DUMMYFUNCTION("""COMPUTED_VALUE"""),"BUIN")</f>
        <v>BUIN</v>
      </c>
    </row>
    <row r="5570" spans="1:4">
      <c r="A5570" s="7">
        <f ca="1">IFERROR(__xludf.DUMMYFUNCTION("""COMPUTED_VALUE"""),44518)</f>
        <v>44518</v>
      </c>
      <c r="B5570" s="6" t="str">
        <f ca="1">IFERROR(__xludf.DUMMYFUNCTION("""COMPUTED_VALUE"""),"-33.602402-70.894787")</f>
        <v>-33.602402-70.894787</v>
      </c>
      <c r="C5570" s="6" t="str">
        <f ca="1">IFERROR(__xludf.DUMMYFUNCTION("""COMPUTED_VALUE"""),"IRARRAZABAL 300")</f>
        <v>IRARRAZABAL 300</v>
      </c>
      <c r="D5570" s="6" t="str">
        <f ca="1">IFERROR(__xludf.DUMMYFUNCTION("""COMPUTED_VALUE"""),"PEÑAFLOR")</f>
        <v>PEÑAFLOR</v>
      </c>
    </row>
    <row r="5571" spans="1:4">
      <c r="A5571" s="7">
        <f ca="1">IFERROR(__xludf.DUMMYFUNCTION("""COMPUTED_VALUE"""),44518)</f>
        <v>44518</v>
      </c>
      <c r="B5571" s="6" t="str">
        <f ca="1">IFERROR(__xludf.DUMMYFUNCTION("""COMPUTED_VALUE"""),"-33.819692,-70.735215")</f>
        <v>-33.819692,-70.735215</v>
      </c>
      <c r="C5571" s="6" t="str">
        <f ca="1">IFERROR(__xludf.DUMMYFUNCTION("""COMPUTED_VALUE"""),"SAN VICENTE 683")</f>
        <v>SAN VICENTE 683</v>
      </c>
      <c r="D5571" s="6" t="str">
        <f ca="1">IFERROR(__xludf.DUMMYFUNCTION("""COMPUTED_VALUE"""),"PAINE")</f>
        <v>PAINE</v>
      </c>
    </row>
    <row r="5572" spans="1:4">
      <c r="A5572" s="7">
        <f ca="1">IFERROR(__xludf.DUMMYFUNCTION("""COMPUTED_VALUE"""),44518)</f>
        <v>44518</v>
      </c>
      <c r="B5572" s="6" t="str">
        <f ca="1">IFERROR(__xludf.DUMMYFUNCTION("""COMPUTED_VALUE"""),"-33.776954,-70.831503")</f>
        <v>-33.776954,-70.831503</v>
      </c>
      <c r="C5572" s="6" t="str">
        <f ca="1">IFERROR(__xludf.DUMMYFUNCTION("""COMPUTED_VALUE"""),"LAS ESTANCILLA 2710")</f>
        <v>LAS ESTANCILLA 2710</v>
      </c>
      <c r="D5572" s="6" t="str">
        <f ca="1">IFERROR(__xludf.DUMMYFUNCTION("""COMPUTED_VALUE"""),"PAINE")</f>
        <v>PAINE</v>
      </c>
    </row>
    <row r="5573" spans="1:4">
      <c r="A5573" s="7">
        <f ca="1">IFERROR(__xludf.DUMMYFUNCTION("""COMPUTED_VALUE"""),44518)</f>
        <v>44518</v>
      </c>
      <c r="B5573" s="6" t="str">
        <f ca="1">IFERROR(__xludf.DUMMYFUNCTION("""COMPUTED_VALUE"""),"-33.820054,-70.737423")</f>
        <v>-33.820054,-70.737423</v>
      </c>
      <c r="C5573" s="6" t="str">
        <f ca="1">IFERROR(__xludf.DUMMYFUNCTION("""COMPUTED_VALUE"""),"PARQUE NACIONAL HUERQUE 1515")</f>
        <v>PARQUE NACIONAL HUERQUE 1515</v>
      </c>
      <c r="D5573" s="6" t="str">
        <f ca="1">IFERROR(__xludf.DUMMYFUNCTION("""COMPUTED_VALUE"""),"PAINE")</f>
        <v>PAINE</v>
      </c>
    </row>
    <row r="5574" spans="1:4">
      <c r="A5574" s="7">
        <f ca="1">IFERROR(__xludf.DUMMYFUNCTION("""COMPUTED_VALUE"""),44518)</f>
        <v>44518</v>
      </c>
      <c r="B5574" s="6" t="str">
        <f ca="1">IFERROR(__xludf.DUMMYFUNCTION("""COMPUTED_VALUE"""),"33.684345,-71.096550")</f>
        <v>33.684345,-71.096550</v>
      </c>
      <c r="C5574" s="6" t="str">
        <f ca="1">IFERROR(__xludf.DUMMYFUNCTION("""COMPUTED_VALUE"""),"CHIÑIGUE EL CRISTO ")</f>
        <v xml:space="preserve">CHIÑIGUE EL CRISTO </v>
      </c>
      <c r="D5574" s="6" t="str">
        <f ca="1">IFERROR(__xludf.DUMMYFUNCTION("""COMPUTED_VALUE"""),"EL MONTE")</f>
        <v>EL MONTE</v>
      </c>
    </row>
    <row r="5575" spans="1:4">
      <c r="A5575" s="7">
        <f ca="1">IFERROR(__xludf.DUMMYFUNCTION("""COMPUTED_VALUE"""),44518)</f>
        <v>44518</v>
      </c>
      <c r="B5575" s="6" t="str">
        <f ca="1">IFERROR(__xludf.DUMMYFUNCTION("""COMPUTED_VALUE"""),"-33.705925,-71.028284")</f>
        <v>-33.705925,-71.028284</v>
      </c>
      <c r="C5575" s="6" t="str">
        <f ca="1">IFERROR(__xludf.DUMMYFUNCTION("""COMPUTED_VALUE"""),"SAN ANTONIO 0451")</f>
        <v>SAN ANTONIO 0451</v>
      </c>
      <c r="D5575" s="6" t="str">
        <f ca="1">IFERROR(__xludf.DUMMYFUNCTION("""COMPUTED_VALUE"""),"EL MONTE")</f>
        <v>EL MONTE</v>
      </c>
    </row>
    <row r="5576" spans="1:4">
      <c r="A5576" s="7">
        <f ca="1">IFERROR(__xludf.DUMMYFUNCTION("""COMPUTED_VALUE"""),44518)</f>
        <v>44518</v>
      </c>
      <c r="B5576" s="6" t="str">
        <f ca="1">IFERROR(__xludf.DUMMYFUNCTION("""COMPUTED_VALUE"""),"33.690096,-71.068281")</f>
        <v>33.690096,-71.068281</v>
      </c>
      <c r="C5576" s="6" t="str">
        <f ca="1">IFERROR(__xludf.DUMMYFUNCTION("""COMPUTED_VALUE"""),"LA TRINIDAD 8CV2")</f>
        <v>LA TRINIDAD 8CV2</v>
      </c>
      <c r="D5576" s="6" t="str">
        <f ca="1">IFERROR(__xludf.DUMMYFUNCTION("""COMPUTED_VALUE"""),"EL MONTE")</f>
        <v>EL MONTE</v>
      </c>
    </row>
    <row r="5577" spans="1:4">
      <c r="A5577" s="7">
        <f ca="1">IFERROR(__xludf.DUMMYFUNCTION("""COMPUTED_VALUE"""),44518)</f>
        <v>44518</v>
      </c>
      <c r="B5577" s="6" t="str">
        <f ca="1">IFERROR(__xludf.DUMMYFUNCTION("""COMPUTED_VALUE"""),"-33.677119,-70.589822")</f>
        <v>-33.677119,-70.589822</v>
      </c>
      <c r="C5577" s="6" t="str">
        <f ca="1">IFERROR(__xludf.DUMMYFUNCTION("""COMPUTED_VALUE"""),"LAS DALIAS 1295")</f>
        <v>LAS DALIAS 1295</v>
      </c>
      <c r="D5577" s="6" t="str">
        <f ca="1">IFERROR(__xludf.DUMMYFUNCTION("""COMPUTED_VALUE"""),"PIRQUE")</f>
        <v>PIRQUE</v>
      </c>
    </row>
    <row r="5578" spans="1:4">
      <c r="A5578" s="7">
        <f ca="1">IFERROR(__xludf.DUMMYFUNCTION("""COMPUTED_VALUE"""),44518)</f>
        <v>44518</v>
      </c>
      <c r="B5578" s="6" t="str">
        <f ca="1">IFERROR(__xludf.DUMMYFUNCTION("""COMPUTED_VALUE"""),"-33.945865,-71.447957")</f>
        <v>-33.945865,-71.447957</v>
      </c>
      <c r="C5578" s="6" t="str">
        <f ca="1">IFERROR(__xludf.DUMMYFUNCTION("""COMPUTED_VALUE"""),"CO RAPEL S/N ")</f>
        <v xml:space="preserve">CO RAPEL S/N </v>
      </c>
      <c r="D5578" s="6" t="str">
        <f ca="1">IFERROR(__xludf.DUMMYFUNCTION("""COMPUTED_VALUE"""),"SAN PEDRO")</f>
        <v>SAN PEDRO</v>
      </c>
    </row>
    <row r="5579" spans="1:4">
      <c r="A5579" s="7">
        <f ca="1">IFERROR(__xludf.DUMMYFUNCTION("""COMPUTED_VALUE"""),44518)</f>
        <v>44518</v>
      </c>
      <c r="B5579" s="6" t="str">
        <f ca="1">IFERROR(__xludf.DUMMYFUNCTION("""COMPUTED_VALUE"""),"-33.904950,-71.469340")</f>
        <v>-33.904950,-71.469340</v>
      </c>
      <c r="C5579" s="6" t="str">
        <f ca="1">IFERROR(__xludf.DUMMYFUNCTION("""COMPUTED_VALUE"""),"CO LA MINA S/N")</f>
        <v>CO LA MINA S/N</v>
      </c>
      <c r="D5579" s="6" t="str">
        <f ca="1">IFERROR(__xludf.DUMMYFUNCTION("""COMPUTED_VALUE"""),"SAN PEDRO")</f>
        <v>SAN PEDRO</v>
      </c>
    </row>
    <row r="5580" spans="1:4">
      <c r="A5580" s="7">
        <f ca="1">IFERROR(__xludf.DUMMYFUNCTION("""COMPUTED_VALUE"""),44518)</f>
        <v>44518</v>
      </c>
      <c r="B5580" s="6" t="str">
        <f ca="1">IFERROR(__xludf.DUMMYFUNCTION("""COMPUTED_VALUE"""),"-33.786523,-70.888321")</f>
        <v>-33.786523,-70.888321</v>
      </c>
      <c r="C5580" s="6" t="str">
        <f ca="1">IFERROR(__xludf.DUMMYFUNCTION("""COMPUTED_VALUE"""),"EL ROMERO 750")</f>
        <v>EL ROMERO 750</v>
      </c>
      <c r="D5580" s="6" t="str">
        <f ca="1">IFERROR(__xludf.DUMMYFUNCTION("""COMPUTED_VALUE"""),"ISLA DE MAIPO")</f>
        <v>ISLA DE MAIPO</v>
      </c>
    </row>
    <row r="5581" spans="1:4">
      <c r="A5581" s="7">
        <f ca="1">IFERROR(__xludf.DUMMYFUNCTION("""COMPUTED_VALUE"""),44518)</f>
        <v>44518</v>
      </c>
      <c r="B5581" s="6" t="str">
        <f ca="1">IFERROR(__xludf.DUMMYFUNCTION("""COMPUTED_VALUE"""),"-33.734226,-70.865472")</f>
        <v>-33.734226,-70.865472</v>
      </c>
      <c r="C5581" s="6" t="str">
        <f ca="1">IFERROR(__xludf.DUMMYFUNCTION("""COMPUTED_VALUE"""),"BRISAS DEL MAIPO 4406")</f>
        <v>BRISAS DEL MAIPO 4406</v>
      </c>
      <c r="D5581" s="6" t="str">
        <f ca="1">IFERROR(__xludf.DUMMYFUNCTION("""COMPUTED_VALUE"""),"ISLA DE MAIPO")</f>
        <v>ISLA DE MAIPO</v>
      </c>
    </row>
    <row r="5582" spans="1:4">
      <c r="A5582" s="7">
        <f ca="1">IFERROR(__xludf.DUMMYFUNCTION("""COMPUTED_VALUE"""),44518)</f>
        <v>44518</v>
      </c>
      <c r="B5582" s="8" t="str">
        <f ca="1">IFERROR(__xludf.DUMMYFUNCTION("""COMPUTED_VALUE"""),"-33.269825,-70.7320")</f>
        <v>-33.269825,-70.7320</v>
      </c>
      <c r="C5582" s="6" t="str">
        <f ca="1">IFERROR(__xludf.DUMMYFUNCTION("""COMPUTED_VALUE"""),"LO PINTO 2014")</f>
        <v>LO PINTO 2014</v>
      </c>
      <c r="D5582" s="6" t="str">
        <f ca="1">IFERROR(__xludf.DUMMYFUNCTION("""COMPUTED_VALUE"""),"COLINA")</f>
        <v>COLINA</v>
      </c>
    </row>
    <row r="5583" spans="1:4">
      <c r="A5583" s="7">
        <f ca="1">IFERROR(__xludf.DUMMYFUNCTION("""COMPUTED_VALUE"""),44518)</f>
        <v>44518</v>
      </c>
      <c r="B5583" s="8" t="str">
        <f ca="1">IFERROR(__xludf.DUMMYFUNCTION("""COMPUTED_VALUE"""),"-33.890255,-71.454861")</f>
        <v>-33.890255,-71.454861</v>
      </c>
      <c r="C5583" s="6" t="str">
        <f ca="1">IFERROR(__xludf.DUMMYFUNCTION("""COMPUTED_VALUE"""),"C.COLON 55")</f>
        <v>C.COLON 55</v>
      </c>
      <c r="D5583" s="6" t="str">
        <f ca="1">IFERROR(__xludf.DUMMYFUNCTION("""COMPUTED_VALUE"""),"MELIPILLA")</f>
        <v>MELIPILLA</v>
      </c>
    </row>
    <row r="5584" spans="1:4">
      <c r="A5584" s="7">
        <f ca="1">IFERROR(__xludf.DUMMYFUNCTION("""COMPUTED_VALUE"""),44518)</f>
        <v>44518</v>
      </c>
      <c r="B5584" s="8" t="str">
        <f ca="1">IFERROR(__xludf.DUMMYFUNCTION("""COMPUTED_VALUE"""),"-33.701731,-71221311")</f>
        <v>-33.701731,-71221311</v>
      </c>
      <c r="C5584" s="6" t="str">
        <f ca="1">IFERROR(__xludf.DUMMYFUNCTION("""COMPUTED_VALUE"""),"P.12 DE OCTUBRE GUARDIA 945")</f>
        <v>P.12 DE OCTUBRE GUARDIA 945</v>
      </c>
      <c r="D5584" s="6" t="str">
        <f ca="1">IFERROR(__xludf.DUMMYFUNCTION("""COMPUTED_VALUE"""),"MELIPILLA")</f>
        <v>MELIPILLA</v>
      </c>
    </row>
    <row r="5585" spans="1:4">
      <c r="A5585" s="7">
        <f ca="1">IFERROR(__xludf.DUMMYFUNCTION("""COMPUTED_VALUE"""),44519)</f>
        <v>44519</v>
      </c>
      <c r="B5585" s="6" t="str">
        <f ca="1">IFERROR(__xludf.DUMMYFUNCTION("""COMPUTED_VALUE"""),"-33.614950-70.862896")</f>
        <v>-33.614950-70.862896</v>
      </c>
      <c r="C5585" s="6" t="str">
        <f ca="1">IFERROR(__xludf.DUMMYFUNCTION("""COMPUTED_VALUE"""),"TORIBIO LARRAIN 1663")</f>
        <v>TORIBIO LARRAIN 1663</v>
      </c>
      <c r="D5585" s="6" t="str">
        <f ca="1">IFERROR(__xludf.DUMMYFUNCTION("""COMPUTED_VALUE"""),"PEÑAFLOR")</f>
        <v>PEÑAFLOR</v>
      </c>
    </row>
    <row r="5586" spans="1:4">
      <c r="A5586" s="7">
        <f ca="1">IFERROR(__xludf.DUMMYFUNCTION("""COMPUTED_VALUE"""),44519)</f>
        <v>44519</v>
      </c>
      <c r="B5586" s="6" t="str">
        <f ca="1">IFERROR(__xludf.DUMMYFUNCTION("""COMPUTED_VALUE"""),"-33.6367276-70.3553425")</f>
        <v>-33.6367276-70.3553425</v>
      </c>
      <c r="C5586" s="6" t="str">
        <f ca="1">IFERROR(__xludf.DUMMYFUNCTION("""COMPUTED_VALUE"""),"CALLE B 497")</f>
        <v>CALLE B 497</v>
      </c>
      <c r="D5586" s="6" t="str">
        <f ca="1">IFERROR(__xludf.DUMMYFUNCTION("""COMPUTED_VALUE"""),"SAN JOSE DE MAIPO")</f>
        <v>SAN JOSE DE MAIPO</v>
      </c>
    </row>
    <row r="5587" spans="1:4">
      <c r="A5587" s="7">
        <f ca="1">IFERROR(__xludf.DUMMYFUNCTION("""COMPUTED_VALUE"""),44519)</f>
        <v>44519</v>
      </c>
      <c r="B5587" s="6" t="str">
        <f ca="1">IFERROR(__xludf.DUMMYFUNCTION("""COMPUTED_VALUE"""),"-33.6379345-70.355684")</f>
        <v>-33.6379345-70.355684</v>
      </c>
      <c r="C5587" s="6" t="str">
        <f ca="1">IFERROR(__xludf.DUMMYFUNCTION("""COMPUTED_VALUE"""),"SIN CALLE S/N")</f>
        <v>SIN CALLE S/N</v>
      </c>
      <c r="D5587" s="6" t="str">
        <f ca="1">IFERROR(__xludf.DUMMYFUNCTION("""COMPUTED_VALUE"""),"SAN JOSE DE MAIPO")</f>
        <v>SAN JOSE DE MAIPO</v>
      </c>
    </row>
    <row r="5588" spans="1:4">
      <c r="A5588" s="7">
        <f ca="1">IFERROR(__xludf.DUMMYFUNCTION("""COMPUTED_VALUE"""),44519)</f>
        <v>44519</v>
      </c>
      <c r="B5588" s="6" t="str">
        <f ca="1">IFERROR(__xludf.DUMMYFUNCTION("""COMPUTED_VALUE"""),"-33.14382-70.79876")</f>
        <v>-33.14382-70.79876</v>
      </c>
      <c r="C5588" s="6" t="str">
        <f ca="1">IFERROR(__xludf.DUMMYFUNCTION("""COMPUTED_VALUE"""),"4 SUR LOTE 7")</f>
        <v>4 SUR LOTE 7</v>
      </c>
      <c r="D5588" s="6" t="str">
        <f ca="1">IFERROR(__xludf.DUMMYFUNCTION("""COMPUTED_VALUE"""),"TIL TIL")</f>
        <v>TIL TIL</v>
      </c>
    </row>
    <row r="5589" spans="1:4">
      <c r="A5589" s="7">
        <f ca="1">IFERROR(__xludf.DUMMYFUNCTION("""COMPUTED_VALUE"""),44519)</f>
        <v>44519</v>
      </c>
      <c r="B5589" s="6" t="str">
        <f ca="1">IFERROR(__xludf.DUMMYFUNCTION("""COMPUTED_VALUE"""),"-33.797176,-70.729040")</f>
        <v>-33.797176,-70.729040</v>
      </c>
      <c r="C5589" s="6" t="str">
        <f ca="1">IFERROR(__xludf.DUMMYFUNCTION("""COMPUTED_VALUE"""),"LA TRILLA 1187")</f>
        <v>LA TRILLA 1187</v>
      </c>
      <c r="D5589" s="6" t="str">
        <f ca="1">IFERROR(__xludf.DUMMYFUNCTION("""COMPUTED_VALUE"""),"PAINE")</f>
        <v>PAINE</v>
      </c>
    </row>
    <row r="5590" spans="1:4">
      <c r="A5590" s="7">
        <f ca="1">IFERROR(__xludf.DUMMYFUNCTION("""COMPUTED_VALUE"""),44519)</f>
        <v>44519</v>
      </c>
      <c r="B5590" s="6" t="str">
        <f ca="1">IFERROR(__xludf.DUMMYFUNCTION("""COMPUTED_VALUE"""),"-33.815267,-70.737800")</f>
        <v>-33.815267,-70.737800</v>
      </c>
      <c r="C5590" s="6" t="str">
        <f ca="1">IFERROR(__xludf.DUMMYFUNCTION("""COMPUTED_VALUE"""),"AV BERNARDO O'HIGGINS 1105")</f>
        <v>AV BERNARDO O'HIGGINS 1105</v>
      </c>
      <c r="D5590" s="6" t="str">
        <f ca="1">IFERROR(__xludf.DUMMYFUNCTION("""COMPUTED_VALUE"""),"PAINE")</f>
        <v>PAINE</v>
      </c>
    </row>
    <row r="5591" spans="1:4">
      <c r="A5591" s="7">
        <f ca="1">IFERROR(__xludf.DUMMYFUNCTION("""COMPUTED_VALUE"""),44519)</f>
        <v>44519</v>
      </c>
      <c r="B5591" s="6" t="str">
        <f ca="1">IFERROR(__xludf.DUMMYFUNCTION("""COMPUTED_VALUE"""),"-33.864961,-70.751207")</f>
        <v>-33.864961,-70.751207</v>
      </c>
      <c r="C5591" s="6" t="str">
        <f ca="1">IFERROR(__xludf.DUMMYFUNCTION("""COMPUTED_VALUE"""),"LAS ACACIAS 99")</f>
        <v>LAS ACACIAS 99</v>
      </c>
      <c r="D5591" s="6" t="str">
        <f ca="1">IFERROR(__xludf.DUMMYFUNCTION("""COMPUTED_VALUE"""),"PAINE")</f>
        <v>PAINE</v>
      </c>
    </row>
    <row r="5592" spans="1:4">
      <c r="A5592" s="7">
        <f ca="1">IFERROR(__xludf.DUMMYFUNCTION("""COMPUTED_VALUE"""),44519)</f>
        <v>44519</v>
      </c>
      <c r="B5592" s="6" t="str">
        <f ca="1">IFERROR(__xludf.DUMMYFUNCTION("""COMPUTED_VALUE"""),"-33.7074977,-70.5328508")</f>
        <v>-33.7074977,-70.5328508</v>
      </c>
      <c r="C5592" s="6" t="str">
        <f ca="1">IFERROR(__xludf.DUMMYFUNCTION("""COMPUTED_VALUE"""),"ORILLA DEL RIO 169 PC10")</f>
        <v>ORILLA DEL RIO 169 PC10</v>
      </c>
      <c r="D5592" s="6" t="str">
        <f ca="1">IFERROR(__xludf.DUMMYFUNCTION("""COMPUTED_VALUE"""),"PIRQUE")</f>
        <v>PIRQUE</v>
      </c>
    </row>
    <row r="5593" spans="1:4">
      <c r="A5593" s="7">
        <f ca="1">IFERROR(__xludf.DUMMYFUNCTION("""COMPUTED_VALUE"""),44519)</f>
        <v>44519</v>
      </c>
      <c r="B5593" s="6" t="str">
        <f ca="1">IFERROR(__xludf.DUMMYFUNCTION("""COMPUTED_VALUE"""),"-33.192007,-70.682463")</f>
        <v>-33.192007,-70.682463</v>
      </c>
      <c r="C5593" s="6" t="str">
        <f ca="1">IFERROR(__xludf.DUMMYFUNCTION("""COMPUTED_VALUE"""),"LO SECO 880")</f>
        <v>LO SECO 880</v>
      </c>
      <c r="D5593" s="6" t="str">
        <f ca="1">IFERROR(__xludf.DUMMYFUNCTION("""COMPUTED_VALUE"""),"COLINA")</f>
        <v>COLINA</v>
      </c>
    </row>
    <row r="5594" spans="1:4">
      <c r="A5594" s="7">
        <f ca="1">IFERROR(__xludf.DUMMYFUNCTION("""COMPUTED_VALUE"""),44519)</f>
        <v>44519</v>
      </c>
      <c r="B5594" s="6" t="str">
        <f ca="1">IFERROR(__xludf.DUMMYFUNCTION("""COMPUTED_VALUE"""),"-33.194662,-70.684529")</f>
        <v>-33.194662,-70.684529</v>
      </c>
      <c r="C5594" s="6" t="str">
        <f ca="1">IFERROR(__xludf.DUMMYFUNCTION("""COMPUTED_VALUE"""),"CALLE MELI 766")</f>
        <v>CALLE MELI 766</v>
      </c>
      <c r="D5594" s="6" t="str">
        <f ca="1">IFERROR(__xludf.DUMMYFUNCTION("""COMPUTED_VALUE"""),"COLINA")</f>
        <v>COLINA</v>
      </c>
    </row>
    <row r="5595" spans="1:4">
      <c r="A5595" s="7">
        <f ca="1">IFERROR(__xludf.DUMMYFUNCTION("""COMPUTED_VALUE"""),44519)</f>
        <v>44519</v>
      </c>
      <c r="B5595" s="6" t="str">
        <f ca="1">IFERROR(__xludf.DUMMYFUNCTION("""COMPUTED_VALUE"""),"-33.819058,-70.714265")</f>
        <v>-33.819058,-70.714265</v>
      </c>
      <c r="C5595" s="6" t="str">
        <f ca="1">IFERROR(__xludf.DUMMYFUNCTION("""COMPUTED_VALUE"""),"GENERAL BAQUEDANO 1180")</f>
        <v>GENERAL BAQUEDANO 1180</v>
      </c>
      <c r="D5595" s="6" t="str">
        <f ca="1">IFERROR(__xludf.DUMMYFUNCTION("""COMPUTED_VALUE"""),"PAINE")</f>
        <v>PAINE</v>
      </c>
    </row>
    <row r="5596" spans="1:4">
      <c r="A5596" s="7">
        <f ca="1">IFERROR(__xludf.DUMMYFUNCTION("""COMPUTED_VALUE"""),44519)</f>
        <v>44519</v>
      </c>
      <c r="B5596" s="6" t="str">
        <f ca="1">IFERROR(__xludf.DUMMYFUNCTION("""COMPUTED_VALUE"""),"-33.785843,-70.888161")</f>
        <v>-33.785843,-70.888161</v>
      </c>
      <c r="C5596" s="6" t="str">
        <f ca="1">IFERROR(__xludf.DUMMYFUNCTION("""COMPUTED_VALUE"""),"SAN MARTIRIAN 0692")</f>
        <v>SAN MARTIRIAN 0692</v>
      </c>
      <c r="D5596" s="6" t="str">
        <f ca="1">IFERROR(__xludf.DUMMYFUNCTION("""COMPUTED_VALUE"""),"ISLA DE MAIPO")</f>
        <v>ISLA DE MAIPO</v>
      </c>
    </row>
    <row r="5597" spans="1:4">
      <c r="A5597" s="7">
        <f ca="1">IFERROR(__xludf.DUMMYFUNCTION("""COMPUTED_VALUE"""),44519)</f>
        <v>44519</v>
      </c>
      <c r="B5597" s="6" t="str">
        <f ca="1">IFERROR(__xludf.DUMMYFUNCTION("""COMPUTED_VALUE"""),"-33.900636,-71.406022")</f>
        <v>-33.900636,-71.406022</v>
      </c>
      <c r="C5597" s="6" t="str">
        <f ca="1">IFERROR(__xludf.DUMMYFUNCTION("""COMPUTED_VALUE"""),"LOS  COLUNES A SITIO 1 FTE AGROSUPER")</f>
        <v>LOS  COLUNES A SITIO 1 FTE AGROSUPER</v>
      </c>
      <c r="D5597" s="6" t="str">
        <f ca="1">IFERROR(__xludf.DUMMYFUNCTION("""COMPUTED_VALUE"""),"SAN PEDRO")</f>
        <v>SAN PEDRO</v>
      </c>
    </row>
    <row r="5598" spans="1:4">
      <c r="A5598" s="7">
        <f ca="1">IFERROR(__xludf.DUMMYFUNCTION("""COMPUTED_VALUE"""),44519)</f>
        <v>44519</v>
      </c>
      <c r="B5598" s="8" t="str">
        <f ca="1">IFERROR(__xludf.DUMMYFUNCTION("""COMPUTED_VALUE"""),"-33.285987,-70.887688")</f>
        <v>-33.285987,-70.887688</v>
      </c>
      <c r="C5598" s="6" t="str">
        <f ca="1">IFERROR(__xludf.DUMMYFUNCTION("""COMPUTED_VALUE"""),"AV ISABEL RIQUELME 748")</f>
        <v>AV ISABEL RIQUELME 748</v>
      </c>
      <c r="D5598" s="6" t="str">
        <f ca="1">IFERROR(__xludf.DUMMYFUNCTION("""COMPUTED_VALUE"""),"LAMPA")</f>
        <v>LAMPA</v>
      </c>
    </row>
    <row r="5599" spans="1:4">
      <c r="A5599" s="7">
        <f ca="1">IFERROR(__xludf.DUMMYFUNCTION("""COMPUTED_VALUE"""),44519)</f>
        <v>44519</v>
      </c>
      <c r="B5599" s="8" t="str">
        <f ca="1">IFERROR(__xludf.DUMMYFUNCTION("""COMPUTED_VALUE"""),"-33.647170,-70.902826")</f>
        <v>-33.647170,-70.902826</v>
      </c>
      <c r="C5599" s="6" t="str">
        <f ca="1">IFERROR(__xludf.DUMMYFUNCTION("""COMPUTED_VALUE"""),"SAN ALBERTO 25")</f>
        <v>SAN ALBERTO 25</v>
      </c>
      <c r="D5599" s="6" t="str">
        <f ca="1">IFERROR(__xludf.DUMMYFUNCTION("""COMPUTED_VALUE"""),"TALAGANTE")</f>
        <v>TALAGANTE</v>
      </c>
    </row>
    <row r="5600" spans="1:4">
      <c r="A5600" s="7">
        <f ca="1">IFERROR(__xludf.DUMMYFUNCTION("""COMPUTED_VALUE"""),44519)</f>
        <v>44519</v>
      </c>
      <c r="B5600" s="8" t="str">
        <f ca="1">IFERROR(__xludf.DUMMYFUNCTION("""COMPUTED_VALUE"""),"-33.674508,-71.177286")</f>
        <v>-33.674508,-71.177286</v>
      </c>
      <c r="C5600" s="6" t="str">
        <f ca="1">IFERROR(__xludf.DUMMYFUNCTION("""COMPUTED_VALUE"""),"AVENIDA ITALIA ")</f>
        <v xml:space="preserve">AVENIDA ITALIA </v>
      </c>
      <c r="D5600" s="6" t="str">
        <f ca="1">IFERROR(__xludf.DUMMYFUNCTION("""COMPUTED_VALUE"""),"MELIPILLA")</f>
        <v>MELIPILLA</v>
      </c>
    </row>
    <row r="5601" spans="1:4">
      <c r="A5601" s="7">
        <f ca="1">IFERROR(__xludf.DUMMYFUNCTION("""COMPUTED_VALUE"""),44519)</f>
        <v>44519</v>
      </c>
      <c r="B5601" s="8" t="str">
        <f ca="1">IFERROR(__xludf.DUMMYFUNCTION("""COMPUTED_VALUE"""),"-33.742742,-70.680750")</f>
        <v>-33.742742,-70.680750</v>
      </c>
      <c r="C5601" s="6" t="str">
        <f ca="1">IFERROR(__xludf.DUMMYFUNCTION("""COMPUTED_VALUE"""),"AQUILES CATALANA 31")</f>
        <v>AQUILES CATALANA 31</v>
      </c>
      <c r="D5601" s="6" t="str">
        <f ca="1">IFERROR(__xludf.DUMMYFUNCTION("""COMPUTED_VALUE"""),"BUIN")</f>
        <v>BUIN</v>
      </c>
    </row>
    <row r="5602" spans="1:4">
      <c r="A5602" s="7">
        <f ca="1">IFERROR(__xludf.DUMMYFUNCTION("""COMPUTED_VALUE"""),44519)</f>
        <v>44519</v>
      </c>
      <c r="B5602" s="8" t="str">
        <f ca="1">IFERROR(__xludf.DUMMYFUNCTION("""COMPUTED_VALUE"""),"-33.278099,-70.888267")</f>
        <v>-33.278099,-70.888267</v>
      </c>
      <c r="C5602" s="6" t="str">
        <f ca="1">IFERROR(__xludf.DUMMYFUNCTION("""COMPUTED_VALUE"""),"CANELILLO 45 ")</f>
        <v xml:space="preserve">CANELILLO 45 </v>
      </c>
      <c r="D5602" s="6" t="str">
        <f ca="1">IFERROR(__xludf.DUMMYFUNCTION("""COMPUTED_VALUE"""),"LAMPA")</f>
        <v>LAMPA</v>
      </c>
    </row>
    <row r="5603" spans="1:4">
      <c r="A5603" s="7">
        <f ca="1">IFERROR(__xludf.DUMMYFUNCTION("""COMPUTED_VALUE"""),44520)</f>
        <v>44520</v>
      </c>
      <c r="B5603" s="6" t="str">
        <f ca="1">IFERROR(__xludf.DUMMYFUNCTION("""COMPUTED_VALUE"""),"-33.406899-71.130086")</f>
        <v>-33.406899-71.130086</v>
      </c>
      <c r="C5603" s="6" t="str">
        <f ca="1">IFERROR(__xludf.DUMMYFUNCTION("""COMPUTED_VALUE"""),"CUYUNCAVI ABAJO PARCELA 188 L-B")</f>
        <v>CUYUNCAVI ABAJO PARCELA 188 L-B</v>
      </c>
      <c r="D5603" s="6" t="str">
        <f ca="1">IFERROR(__xludf.DUMMYFUNCTION("""COMPUTED_VALUE"""),"CURACAVI")</f>
        <v>CURACAVI</v>
      </c>
    </row>
    <row r="5604" spans="1:4">
      <c r="A5604" s="7">
        <f ca="1">IFERROR(__xludf.DUMMYFUNCTION("""COMPUTED_VALUE"""),44520)</f>
        <v>44520</v>
      </c>
      <c r="B5604" s="6" t="str">
        <f ca="1">IFERROR(__xludf.DUMMYFUNCTION("""COMPUTED_VALUE"""),"-33.398304-71.049860")</f>
        <v>-33.398304-71.049860</v>
      </c>
      <c r="C5604" s="6" t="str">
        <f ca="1">IFERROR(__xludf.DUMMYFUNCTION("""COMPUTED_VALUE"""),"AV MIRAFLORES S/N PARCELA 12")</f>
        <v>AV MIRAFLORES S/N PARCELA 12</v>
      </c>
      <c r="D5604" s="6" t="str">
        <f ca="1">IFERROR(__xludf.DUMMYFUNCTION("""COMPUTED_VALUE"""),"CURACAVI")</f>
        <v>CURACAVI</v>
      </c>
    </row>
    <row r="5605" spans="1:4">
      <c r="A5605" s="7">
        <f ca="1">IFERROR(__xludf.DUMMYFUNCTION("""COMPUTED_VALUE"""),44520)</f>
        <v>44520</v>
      </c>
      <c r="B5605" s="6" t="str">
        <f ca="1">IFERROR(__xludf.DUMMYFUNCTION("""COMPUTED_VALUE"""),"-33.6047475,-70.7939481")</f>
        <v>-33.6047475,-70.7939481</v>
      </c>
      <c r="C5605" s="6" t="str">
        <f ca="1">IFERROR(__xludf.DUMMYFUNCTION("""COMPUTED_VALUE"""),"SAN IGNACIO 28")</f>
        <v>SAN IGNACIO 28</v>
      </c>
      <c r="D5605" s="6" t="str">
        <f ca="1">IFERROR(__xludf.DUMMYFUNCTION("""COMPUTED_VALUE"""),"CALERA DE TANGO")</f>
        <v>CALERA DE TANGO</v>
      </c>
    </row>
    <row r="5606" spans="1:4">
      <c r="A5606" s="7">
        <f ca="1">IFERROR(__xludf.DUMMYFUNCTION("""COMPUTED_VALUE"""),44520)</f>
        <v>44520</v>
      </c>
      <c r="B5606" s="6" t="str">
        <f ca="1">IFERROR(__xludf.DUMMYFUNCTION("""COMPUTED_VALUE"""),"-33.6051594,-70.7940067")</f>
        <v>-33.6051594,-70.7940067</v>
      </c>
      <c r="C5606" s="6" t="str">
        <f ca="1">IFERROR(__xludf.DUMMYFUNCTION("""COMPUTED_VALUE"""),"SAN IGNACIO 3A-1")</f>
        <v>SAN IGNACIO 3A-1</v>
      </c>
      <c r="D5606" s="6" t="str">
        <f ca="1">IFERROR(__xludf.DUMMYFUNCTION("""COMPUTED_VALUE"""),"CALERA DE TANGO")</f>
        <v>CALERA DE TANGO</v>
      </c>
    </row>
    <row r="5607" spans="1:4">
      <c r="A5607" s="7">
        <f ca="1">IFERROR(__xludf.DUMMYFUNCTION("""COMPUTED_VALUE"""),44520)</f>
        <v>44520</v>
      </c>
      <c r="B5607" s="6" t="str">
        <f ca="1">IFERROR(__xludf.DUMMYFUNCTION("""COMPUTED_VALUE"""),"-33.6060700,-70.7912844")</f>
        <v>-33.6060700,-70.7912844</v>
      </c>
      <c r="C5607" s="6" t="str">
        <f ca="1">IFERROR(__xludf.DUMMYFUNCTION("""COMPUTED_VALUE"""),"LA VICTORIA 29 ")</f>
        <v xml:space="preserve">LA VICTORIA 29 </v>
      </c>
      <c r="D5607" s="6" t="str">
        <f ca="1">IFERROR(__xludf.DUMMYFUNCTION("""COMPUTED_VALUE"""),"CALERA DE TANGO")</f>
        <v>CALERA DE TANGO</v>
      </c>
    </row>
    <row r="5608" spans="1:4">
      <c r="A5608" s="7">
        <f ca="1">IFERROR(__xludf.DUMMYFUNCTION("""COMPUTED_VALUE"""),44520)</f>
        <v>44520</v>
      </c>
      <c r="B5608" s="6" t="str">
        <f ca="1">IFERROR(__xludf.DUMMYFUNCTION("""COMPUTED_VALUE"""),"-33.292468,-70.871392")</f>
        <v>-33.292468,-70.871392</v>
      </c>
      <c r="C5608" s="6" t="str">
        <f ca="1">IFERROR(__xludf.DUMMYFUNCTION("""COMPUTED_VALUE"""),"LA FRONTERA 2156")</f>
        <v>LA FRONTERA 2156</v>
      </c>
      <c r="D5608" s="6" t="str">
        <f ca="1">IFERROR(__xludf.DUMMYFUNCTION("""COMPUTED_VALUE"""),"LAMPA")</f>
        <v>LAMPA</v>
      </c>
    </row>
    <row r="5609" spans="1:4">
      <c r="A5609" s="7">
        <f ca="1">IFERROR(__xludf.DUMMYFUNCTION("""COMPUTED_VALUE"""),44521)</f>
        <v>44521</v>
      </c>
      <c r="B5609" s="6" t="str">
        <f ca="1">IFERROR(__xludf.DUMMYFUNCTION("""COMPUTED_VALUE"""),"-33.0811-70.9276")</f>
        <v>-33.0811-70.9276</v>
      </c>
      <c r="C5609" s="6" t="str">
        <f ca="1">IFERROR(__xludf.DUMMYFUNCTION("""COMPUTED_VALUE"""),"EL SAUCE 701")</f>
        <v>EL SAUCE 701</v>
      </c>
      <c r="D5609" s="6" t="str">
        <f ca="1">IFERROR(__xludf.DUMMYFUNCTION("""COMPUTED_VALUE"""),"TIL TIL")</f>
        <v>TIL TIL</v>
      </c>
    </row>
    <row r="5610" spans="1:4">
      <c r="A5610" s="7">
        <f ca="1">IFERROR(__xludf.DUMMYFUNCTION("""COMPUTED_VALUE"""),44521)</f>
        <v>44521</v>
      </c>
      <c r="B5610" s="6" t="str">
        <f ca="1">IFERROR(__xludf.DUMMYFUNCTION("""COMPUTED_VALUE"""),"-33.0817-70.9278")</f>
        <v>-33.0817-70.9278</v>
      </c>
      <c r="C5610" s="6" t="str">
        <f ca="1">IFERROR(__xludf.DUMMYFUNCTION("""COMPUTED_VALUE"""),"1 ORIENTE 451")</f>
        <v>1 ORIENTE 451</v>
      </c>
      <c r="D5610" s="6" t="str">
        <f ca="1">IFERROR(__xludf.DUMMYFUNCTION("""COMPUTED_VALUE"""),"TIL TIL")</f>
        <v>TIL TIL</v>
      </c>
    </row>
    <row r="5611" spans="1:4">
      <c r="A5611" s="7">
        <f ca="1">IFERROR(__xludf.DUMMYFUNCTION("""COMPUTED_VALUE"""),44521)</f>
        <v>44521</v>
      </c>
      <c r="B5611" s="6" t="str">
        <f ca="1">IFERROR(__xludf.DUMMYFUNCTION("""COMPUTED_VALUE"""),"-33.0824-70.92781")</f>
        <v>-33.0824-70.92781</v>
      </c>
      <c r="C5611" s="6" t="str">
        <f ca="1">IFERROR(__xludf.DUMMYFUNCTION("""COMPUTED_VALUE"""),"CALLE CINCO SUR 143")</f>
        <v>CALLE CINCO SUR 143</v>
      </c>
      <c r="D5611" s="6" t="str">
        <f ca="1">IFERROR(__xludf.DUMMYFUNCTION("""COMPUTED_VALUE"""),"TIL TIL")</f>
        <v>TIL TIL</v>
      </c>
    </row>
    <row r="5612" spans="1:4">
      <c r="A5612" s="7">
        <f ca="1">IFERROR(__xludf.DUMMYFUNCTION("""COMPUTED_VALUE"""),44521)</f>
        <v>44521</v>
      </c>
      <c r="B5612" s="6" t="str">
        <f ca="1">IFERROR(__xludf.DUMMYFUNCTION("""COMPUTED_VALUE"""),"-33.6060700,-70.7912844")</f>
        <v>-33.6060700,-70.7912844</v>
      </c>
      <c r="C5612" s="6" t="str">
        <f ca="1">IFERROR(__xludf.DUMMYFUNCTION("""COMPUTED_VALUE"""),"LA VICTORIA N°29 C14")</f>
        <v>LA VICTORIA N°29 C14</v>
      </c>
      <c r="D5612" s="6" t="str">
        <f ca="1">IFERROR(__xludf.DUMMYFUNCTION("""COMPUTED_VALUE"""),"CALERA DE TANGO")</f>
        <v>CALERA DE TANGO</v>
      </c>
    </row>
    <row r="5613" spans="1:4">
      <c r="A5613" s="7">
        <f ca="1">IFERROR(__xludf.DUMMYFUNCTION("""COMPUTED_VALUE"""),44521)</f>
        <v>44521</v>
      </c>
      <c r="B5613" s="8" t="str">
        <f ca="1">IFERROR(__xludf.DUMMYFUNCTION("""COMPUTED_VALUE"""),"-33.679235,-70.995067")</f>
        <v>-33.679235,-70.995067</v>
      </c>
      <c r="C5613" s="6" t="str">
        <f ca="1">IFERROR(__xludf.DUMMYFUNCTION("""COMPUTED_VALUE"""),"BAQUEDANO 740")</f>
        <v>BAQUEDANO 740</v>
      </c>
      <c r="D5613" s="6" t="str">
        <f ca="1">IFERROR(__xludf.DUMMYFUNCTION("""COMPUTED_VALUE"""),"EL MONTE")</f>
        <v>EL MONTE</v>
      </c>
    </row>
    <row r="5614" spans="1:4">
      <c r="A5614" s="7">
        <f ca="1">IFERROR(__xludf.DUMMYFUNCTION("""COMPUTED_VALUE"""),44521)</f>
        <v>44521</v>
      </c>
      <c r="B5614" s="6" t="str">
        <f ca="1">IFERROR(__xludf.DUMMYFUNCTION("""COMPUTED_VALUE"""),"-33.804042,-70.735754")</f>
        <v>-33.804042,-70.735754</v>
      </c>
      <c r="C5614" s="6" t="str">
        <f ca="1">IFERROR(__xludf.DUMMYFUNCTION("""COMPUTED_VALUE"""),"LOS MAITENES 371")</f>
        <v>LOS MAITENES 371</v>
      </c>
      <c r="D5614" s="6" t="str">
        <f ca="1">IFERROR(__xludf.DUMMYFUNCTION("""COMPUTED_VALUE"""),"PAINE")</f>
        <v>PAINE</v>
      </c>
    </row>
    <row r="5615" spans="1:4">
      <c r="A5615" s="7">
        <f ca="1">IFERROR(__xludf.DUMMYFUNCTION("""COMPUTED_VALUE"""),44522)</f>
        <v>44522</v>
      </c>
      <c r="B5615" s="8" t="str">
        <f ca="1">IFERROR(__xludf.DUMMYFUNCTION("""COMPUTED_VALUE"""),"-33.7463663, -70.9013816")</f>
        <v>-33.7463663, -70.9013816</v>
      </c>
      <c r="C5615" s="6" t="str">
        <f ca="1">IFERROR(__xludf.DUMMYFUNCTION("""COMPUTED_VALUE"""),"CALLE DOS  3135,")</f>
        <v>CALLE DOS  3135,</v>
      </c>
      <c r="D5615" s="6" t="str">
        <f ca="1">IFERROR(__xludf.DUMMYFUNCTION("""COMPUTED_VALUE"""),"ISLA DE MAIPO")</f>
        <v>ISLA DE MAIPO</v>
      </c>
    </row>
    <row r="5616" spans="1:4">
      <c r="A5616" s="7">
        <f ca="1">IFERROR(__xludf.DUMMYFUNCTION("""COMPUTED_VALUE"""),44522)</f>
        <v>44522</v>
      </c>
      <c r="B5616" s="8" t="str">
        <f ca="1">IFERROR(__xludf.DUMMYFUNCTION("""COMPUTED_VALUE"""),"-33.7440354, -70.8933419")</f>
        <v>-33.7440354, -70.8933419</v>
      </c>
      <c r="C5616" s="6" t="str">
        <f ca="1">IFERROR(__xludf.DUMMYFUNCTION("""COMPUTED_VALUE"""),"SANTA INES  3")</f>
        <v>SANTA INES  3</v>
      </c>
      <c r="D5616" s="6" t="str">
        <f ca="1">IFERROR(__xludf.DUMMYFUNCTION("""COMPUTED_VALUE"""),"ISLA DE MAIPO")</f>
        <v>ISLA DE MAIPO</v>
      </c>
    </row>
    <row r="5617" spans="1:4">
      <c r="A5617" s="7">
        <f ca="1">IFERROR(__xludf.DUMMYFUNCTION("""COMPUTED_VALUE"""),44522)</f>
        <v>44522</v>
      </c>
      <c r="B5617" s="8" t="str">
        <f ca="1">IFERROR(__xludf.DUMMYFUNCTION("""COMPUTED_VALUE"""),"-33.7333244, -70.9634104")</f>
        <v>-33.7333244, -70.9634104</v>
      </c>
      <c r="C5617" s="6" t="str">
        <f ca="1">IFERROR(__xludf.DUMMYFUNCTION("""COMPUTED_VALUE"""),"LAS GUIAS  6410")</f>
        <v>LAS GUIAS  6410</v>
      </c>
      <c r="D5617" s="6" t="str">
        <f ca="1">IFERROR(__xludf.DUMMYFUNCTION("""COMPUTED_VALUE"""),"ISLA DE MAIPO")</f>
        <v>ISLA DE MAIPO</v>
      </c>
    </row>
    <row r="5618" spans="1:4">
      <c r="A5618" s="7">
        <f ca="1">IFERROR(__xludf.DUMMYFUNCTION("""COMPUTED_VALUE"""),44522)</f>
        <v>44522</v>
      </c>
      <c r="B5618" s="8" t="str">
        <f ca="1">IFERROR(__xludf.DUMMYFUNCTION("""COMPUTED_VALUE"""),"-33.7352788, -70.9140029")</f>
        <v>-33.7352788, -70.9140029</v>
      </c>
      <c r="C5618" s="6" t="str">
        <f ca="1">IFERROR(__xludf.DUMMYFUNCTION("""COMPUTED_VALUE"""),"SENADOR JAIME GUZMAN  2525")</f>
        <v>SENADOR JAIME GUZMAN  2525</v>
      </c>
      <c r="D5618" s="6" t="str">
        <f ca="1">IFERROR(__xludf.DUMMYFUNCTION("""COMPUTED_VALUE"""),"ISLA DE MAIPO")</f>
        <v>ISLA DE MAIPO</v>
      </c>
    </row>
    <row r="5619" spans="1:4">
      <c r="A5619" s="7">
        <f ca="1">IFERROR(__xludf.DUMMYFUNCTION("""COMPUTED_VALUE"""),44522)</f>
        <v>44522</v>
      </c>
      <c r="B5619" s="8" t="str">
        <f ca="1">IFERROR(__xludf.DUMMYFUNCTION("""COMPUTED_VALUE"""),"-33.7859713, -70.8887013")</f>
        <v>-33.7859713, -70.8887013</v>
      </c>
      <c r="C5619" s="6" t="str">
        <f ca="1">IFERROR(__xludf.DUMMYFUNCTION("""COMPUTED_VALUE"""),"SAN  MARTIRIAN 646")</f>
        <v>SAN  MARTIRIAN 646</v>
      </c>
      <c r="D5619" s="6" t="str">
        <f ca="1">IFERROR(__xludf.DUMMYFUNCTION("""COMPUTED_VALUE"""),"ISLA DE MAIPO")</f>
        <v>ISLA DE MAIPO</v>
      </c>
    </row>
    <row r="5620" spans="1:4">
      <c r="A5620" s="7">
        <f ca="1">IFERROR(__xludf.DUMMYFUNCTION("""COMPUTED_VALUE"""),44522)</f>
        <v>44522</v>
      </c>
      <c r="B5620" s="6" t="str">
        <f ca="1">IFERROR(__xludf.DUMMYFUNCTION("""COMPUTED_VALUE"""),"-33.603605-70.896671")</f>
        <v>-33.603605-70.896671</v>
      </c>
      <c r="C5620" s="6" t="str">
        <f ca="1">IFERROR(__xludf.DUMMYFUNCTION("""COMPUTED_VALUE"""),"PJE LOS PATOS 0116")</f>
        <v>PJE LOS PATOS 0116</v>
      </c>
      <c r="D5620" s="6" t="str">
        <f ca="1">IFERROR(__xludf.DUMMYFUNCTION("""COMPUTED_VALUE"""),"PEÑAFLOR")</f>
        <v>PEÑAFLOR</v>
      </c>
    </row>
    <row r="5621" spans="1:4">
      <c r="A5621" s="7">
        <f ca="1">IFERROR(__xludf.DUMMYFUNCTION("""COMPUTED_VALUE"""),44522)</f>
        <v>44522</v>
      </c>
      <c r="B5621" s="6" t="str">
        <f ca="1">IFERROR(__xludf.DUMMYFUNCTION("""COMPUTED_VALUE"""),"-33.14669-70.79796")</f>
        <v>-33.14669-70.79796</v>
      </c>
      <c r="C5621" s="6" t="str">
        <f ca="1">IFERROR(__xludf.DUMMYFUNCTION("""COMPUTED_VALUE"""),"1 ORIENTE 424")</f>
        <v>1 ORIENTE 424</v>
      </c>
      <c r="D5621" s="6" t="str">
        <f ca="1">IFERROR(__xludf.DUMMYFUNCTION("""COMPUTED_VALUE"""),"TIL TIL")</f>
        <v>TIL TIL</v>
      </c>
    </row>
    <row r="5622" spans="1:4">
      <c r="A5622" s="7">
        <f ca="1">IFERROR(__xludf.DUMMYFUNCTION("""COMPUTED_VALUE"""),44522)</f>
        <v>44522</v>
      </c>
      <c r="B5622" s="6" t="str">
        <f ca="1">IFERROR(__xludf.DUMMYFUNCTION("""COMPUTED_VALUE"""),"-33.820149,-70.736754")</f>
        <v>-33.820149,-70.736754</v>
      </c>
      <c r="C5622" s="6" t="str">
        <f ca="1">IFERROR(__xludf.DUMMYFUNCTION("""COMPUTED_VALUE"""),"P/ PARQUE NACIONAL CUCAO 1508")</f>
        <v>P/ PARQUE NACIONAL CUCAO 1508</v>
      </c>
      <c r="D5622" s="6" t="str">
        <f ca="1">IFERROR(__xludf.DUMMYFUNCTION("""COMPUTED_VALUE"""),"PAINE")</f>
        <v>PAINE</v>
      </c>
    </row>
    <row r="5623" spans="1:4">
      <c r="A5623" s="7">
        <f ca="1">IFERROR(__xludf.DUMMYFUNCTION("""COMPUTED_VALUE"""),44522)</f>
        <v>44522</v>
      </c>
      <c r="B5623" s="6" t="str">
        <f ca="1">IFERROR(__xludf.DUMMYFUNCTION("""COMPUTED_VALUE"""),"-33.819155,-70.731188")</f>
        <v>-33.819155,-70.731188</v>
      </c>
      <c r="C5623" s="6" t="str">
        <f ca="1">IFERROR(__xludf.DUMMYFUNCTION("""COMPUTED_VALUE"""),"AV DEL VILLAR PC3")</f>
        <v>AV DEL VILLAR PC3</v>
      </c>
      <c r="D5623" s="6" t="str">
        <f ca="1">IFERROR(__xludf.DUMMYFUNCTION("""COMPUTED_VALUE"""),"PAINE")</f>
        <v>PAINE</v>
      </c>
    </row>
    <row r="5624" spans="1:4">
      <c r="A5624" s="7">
        <f ca="1">IFERROR(__xludf.DUMMYFUNCTION("""COMPUTED_VALUE"""),44522)</f>
        <v>44522</v>
      </c>
      <c r="B5624" s="6" t="str">
        <f ca="1">IFERROR(__xludf.DUMMYFUNCTION("""COMPUTED_VALUE"""),"-33.714605,-70.532968")</f>
        <v>-33.714605,-70.532968</v>
      </c>
      <c r="C5624" s="6" t="str">
        <f ca="1">IFERROR(__xludf.DUMMYFUNCTION("""COMPUTED_VALUE"""),"RESERVA CORA 24")</f>
        <v>RESERVA CORA 24</v>
      </c>
      <c r="D5624" s="6" t="str">
        <f ca="1">IFERROR(__xludf.DUMMYFUNCTION("""COMPUTED_VALUE"""),"PIRQUE")</f>
        <v>PIRQUE</v>
      </c>
    </row>
    <row r="5625" spans="1:4">
      <c r="A5625" s="7">
        <f ca="1">IFERROR(__xludf.DUMMYFUNCTION("""COMPUTED_VALUE"""),44522)</f>
        <v>44522</v>
      </c>
      <c r="B5625" s="6" t="str">
        <f ca="1">IFERROR(__xludf.DUMMYFUNCTION("""COMPUTED_VALUE"""),"-33.714605,-70.532968")</f>
        <v>-33.714605,-70.532968</v>
      </c>
      <c r="C5625" s="6" t="str">
        <f ca="1">IFERROR(__xludf.DUMMYFUNCTION("""COMPUTED_VALUE"""),"RESERVA CORA 24")</f>
        <v>RESERVA CORA 24</v>
      </c>
      <c r="D5625" s="6" t="str">
        <f ca="1">IFERROR(__xludf.DUMMYFUNCTION("""COMPUTED_VALUE"""),"PIRQUE")</f>
        <v>PIRQUE</v>
      </c>
    </row>
    <row r="5626" spans="1:4">
      <c r="A5626" s="7">
        <f ca="1">IFERROR(__xludf.DUMMYFUNCTION("""COMPUTED_VALUE"""),44522)</f>
        <v>44522</v>
      </c>
      <c r="B5626" s="6" t="str">
        <f ca="1">IFERROR(__xludf.DUMMYFUNCTION("""COMPUTED_VALUE"""),"-33.714605,-70.532968")</f>
        <v>-33.714605,-70.532968</v>
      </c>
      <c r="C5626" s="6" t="str">
        <f ca="1">IFERROR(__xludf.DUMMYFUNCTION("""COMPUTED_VALUE"""),"RESERVA CORA 24")</f>
        <v>RESERVA CORA 24</v>
      </c>
      <c r="D5626" s="6" t="str">
        <f ca="1">IFERROR(__xludf.DUMMYFUNCTION("""COMPUTED_VALUE"""),"PIRQUE")</f>
        <v>PIRQUE</v>
      </c>
    </row>
    <row r="5627" spans="1:4">
      <c r="A5627" s="7">
        <f ca="1">IFERROR(__xludf.DUMMYFUNCTION("""COMPUTED_VALUE"""),44522)</f>
        <v>44522</v>
      </c>
      <c r="B5627" s="6" t="str">
        <f ca="1">IFERROR(__xludf.DUMMYFUNCTION("""COMPUTED_VALUE"""),"-33.6051594,-70.7940067")</f>
        <v>-33.6051594,-70.7940067</v>
      </c>
      <c r="C5627" s="6" t="str">
        <f ca="1">IFERROR(__xludf.DUMMYFUNCTION("""COMPUTED_VALUE"""),"SAN IGNACIO 28B")</f>
        <v>SAN IGNACIO 28B</v>
      </c>
      <c r="D5627" s="6" t="str">
        <f ca="1">IFERROR(__xludf.DUMMYFUNCTION("""COMPUTED_VALUE"""),"CALERA DE TANGO")</f>
        <v>CALERA DE TANGO</v>
      </c>
    </row>
    <row r="5628" spans="1:4">
      <c r="A5628" s="7">
        <f ca="1">IFERROR(__xludf.DUMMYFUNCTION("""COMPUTED_VALUE"""),44522)</f>
        <v>44522</v>
      </c>
      <c r="B5628" s="6" t="str">
        <f ca="1">IFERROR(__xludf.DUMMYFUNCTION("""COMPUTED_VALUE"""),"-33.6033510,-70.7874123")</f>
        <v>-33.6033510,-70.7874123</v>
      </c>
      <c r="C5628" s="6" t="str">
        <f ca="1">IFERROR(__xludf.DUMMYFUNCTION("""COMPUTED_VALUE"""),"LONQUEN 56")</f>
        <v>LONQUEN 56</v>
      </c>
      <c r="D5628" s="6" t="str">
        <f ca="1">IFERROR(__xludf.DUMMYFUNCTION("""COMPUTED_VALUE"""),"CALERA DE TANGO")</f>
        <v>CALERA DE TANGO</v>
      </c>
    </row>
    <row r="5629" spans="1:4">
      <c r="A5629" s="7">
        <f ca="1">IFERROR(__xludf.DUMMYFUNCTION("""COMPUTED_VALUE"""),44522)</f>
        <v>44522</v>
      </c>
      <c r="B5629" s="6" t="str">
        <f ca="1">IFERROR(__xludf.DUMMYFUNCTION("""COMPUTED_VALUE"""),"-33.709010,-70.538018")</f>
        <v>-33.709010,-70.538018</v>
      </c>
      <c r="C5629" s="6" t="str">
        <f ca="1">IFERROR(__xludf.DUMMYFUNCTION("""COMPUTED_VALUE"""),"ORILLA DEL RIO 12 ")</f>
        <v xml:space="preserve">ORILLA DEL RIO 12 </v>
      </c>
      <c r="D5629" s="6" t="str">
        <f ca="1">IFERROR(__xludf.DUMMYFUNCTION("""COMPUTED_VALUE"""),"PIRQUE")</f>
        <v>PIRQUE</v>
      </c>
    </row>
    <row r="5630" spans="1:4">
      <c r="A5630" s="7">
        <f ca="1">IFERROR(__xludf.DUMMYFUNCTION("""COMPUTED_VALUE"""),44522)</f>
        <v>44522</v>
      </c>
      <c r="B5630" s="6" t="str">
        <f ca="1">IFERROR(__xludf.DUMMYFUNCTION("""COMPUTED_VALUE"""),"-33.3816800,-71.0937611")</f>
        <v>-33.3816800,-71.0937611</v>
      </c>
      <c r="C5630" s="6" t="str">
        <f ca="1">IFERROR(__xludf.DUMMYFUNCTION("""COMPUTED_VALUE"""),"P. 29B RESERVA CURACAVI")</f>
        <v>P. 29B RESERVA CURACAVI</v>
      </c>
      <c r="D5630" s="6" t="str">
        <f ca="1">IFERROR(__xludf.DUMMYFUNCTION("""COMPUTED_VALUE"""),"CURACAVI")</f>
        <v>CURACAVI</v>
      </c>
    </row>
    <row r="5631" spans="1:4">
      <c r="A5631" s="7">
        <f ca="1">IFERROR(__xludf.DUMMYFUNCTION("""COMPUTED_VALUE"""),44522)</f>
        <v>44522</v>
      </c>
      <c r="B5631" s="6" t="str">
        <f ca="1">IFERROR(__xludf.DUMMYFUNCTION("""COMPUTED_VALUE"""),"-33.755261,-70.896143")</f>
        <v>-33.755261,-70.896143</v>
      </c>
      <c r="C5631" s="6" t="str">
        <f ca="1">IFERROR(__xludf.DUMMYFUNCTION("""COMPUTED_VALUE"""),"JUAN GRUNDSTRONG ULLOA 240")</f>
        <v>JUAN GRUNDSTRONG ULLOA 240</v>
      </c>
      <c r="D5631" s="6" t="str">
        <f ca="1">IFERROR(__xludf.DUMMYFUNCTION("""COMPUTED_VALUE"""),"ISLA DE MAIPO")</f>
        <v>ISLA DE MAIPO</v>
      </c>
    </row>
    <row r="5632" spans="1:4">
      <c r="A5632" s="7">
        <f ca="1">IFERROR(__xludf.DUMMYFUNCTION("""COMPUTED_VALUE"""),44522)</f>
        <v>44522</v>
      </c>
      <c r="B5632" s="6" t="str">
        <f ca="1">IFERROR(__xludf.DUMMYFUNCTION("""COMPUTED_VALUE"""),"-33.624759,-71267334")</f>
        <v>-33.624759,-71267334</v>
      </c>
      <c r="C5632" s="6" t="str">
        <f ca="1">IFERROR(__xludf.DUMMYFUNCTION("""COMPUTED_VALUE"""),"VILLA  ALEGRE S/N")</f>
        <v>VILLA  ALEGRE S/N</v>
      </c>
      <c r="D5632" s="6" t="str">
        <f ca="1">IFERROR(__xludf.DUMMYFUNCTION("""COMPUTED_VALUE"""),"MELIPILLA")</f>
        <v>MELIPILLA</v>
      </c>
    </row>
    <row r="5633" spans="1:4">
      <c r="A5633" s="7">
        <f ca="1">IFERROR(__xludf.DUMMYFUNCTION("""COMPUTED_VALUE"""),44523)</f>
        <v>44523</v>
      </c>
      <c r="B5633" s="6" t="str">
        <f ca="1">IFERROR(__xludf.DUMMYFUNCTION("""COMPUTED_VALUE"""),"-33.515499-71.122804")</f>
        <v>-33.515499-71.122804</v>
      </c>
      <c r="C5633" s="6" t="str">
        <f ca="1">IFERROR(__xludf.DUMMYFUNCTION("""COMPUTED_VALUE"""),"ADRIANA MADRID S/N")</f>
        <v>ADRIANA MADRID S/N</v>
      </c>
      <c r="D5633" s="6" t="str">
        <f ca="1">IFERROR(__xludf.DUMMYFUNCTION("""COMPUTED_VALUE"""),"MARIA PINTO")</f>
        <v>MARIA PINTO</v>
      </c>
    </row>
    <row r="5634" spans="1:4">
      <c r="A5634" s="7">
        <f ca="1">IFERROR(__xludf.DUMMYFUNCTION("""COMPUTED_VALUE"""),44523)</f>
        <v>44523</v>
      </c>
      <c r="B5634" s="6" t="str">
        <f ca="1">IFERROR(__xludf.DUMMYFUNCTION("""COMPUTED_VALUE"""),"-33.770097-70.2678053")</f>
        <v>-33.770097-70.2678053</v>
      </c>
      <c r="C5634" s="6" t="str">
        <f ca="1">IFERROR(__xludf.DUMMYFUNCTION("""COMPUTED_VALUE"""),"CAMINO AL EMBALSE EL YESO 051")</f>
        <v>CAMINO AL EMBALSE EL YESO 051</v>
      </c>
      <c r="D5634" s="6" t="str">
        <f ca="1">IFERROR(__xludf.DUMMYFUNCTION("""COMPUTED_VALUE"""),"SAN JOSE DE MAIPO")</f>
        <v>SAN JOSE DE MAIPO</v>
      </c>
    </row>
    <row r="5635" spans="1:4">
      <c r="A5635" s="7">
        <f ca="1">IFERROR(__xludf.DUMMYFUNCTION("""COMPUTED_VALUE"""),44523)</f>
        <v>44523</v>
      </c>
      <c r="B5635" s="6" t="str">
        <f ca="1">IFERROR(__xludf.DUMMYFUNCTION("""COMPUTED_VALUE"""),"-33.770097-70.2678053")</f>
        <v>-33.770097-70.2678053</v>
      </c>
      <c r="C5635" s="6" t="str">
        <f ca="1">IFERROR(__xludf.DUMMYFUNCTION("""COMPUTED_VALUE"""),"CAMINO AL EMBALSE EL YESO 051")</f>
        <v>CAMINO AL EMBALSE EL YESO 051</v>
      </c>
      <c r="D5635" s="6" t="str">
        <f ca="1">IFERROR(__xludf.DUMMYFUNCTION("""COMPUTED_VALUE"""),"SAN JOSE DE MAIPO")</f>
        <v>SAN JOSE DE MAIPO</v>
      </c>
    </row>
    <row r="5636" spans="1:4">
      <c r="A5636" s="7">
        <f ca="1">IFERROR(__xludf.DUMMYFUNCTION("""COMPUTED_VALUE"""),44523)</f>
        <v>44523</v>
      </c>
      <c r="B5636" s="6" t="str">
        <f ca="1">IFERROR(__xludf.DUMMYFUNCTION("""COMPUTED_VALUE"""),"-33.654098-70.927512")</f>
        <v>-33.654098-70.927512</v>
      </c>
      <c r="C5636" s="6" t="str">
        <f ca="1">IFERROR(__xludf.DUMMYFUNCTION("""COMPUTED_VALUE"""),"JURIDICA 158")</f>
        <v>JURIDICA 158</v>
      </c>
      <c r="D5636" s="6" t="str">
        <f ca="1">IFERROR(__xludf.DUMMYFUNCTION("""COMPUTED_VALUE"""),"TALAGANTE")</f>
        <v>TALAGANTE</v>
      </c>
    </row>
    <row r="5637" spans="1:4">
      <c r="A5637" s="7">
        <f ca="1">IFERROR(__xludf.DUMMYFUNCTION("""COMPUTED_VALUE"""),44523)</f>
        <v>44523</v>
      </c>
      <c r="B5637" s="6" t="str">
        <f ca="1">IFERROR(__xludf.DUMMYFUNCTION("""COMPUTED_VALUE"""),"-33.727060-70.772763")</f>
        <v>-33.727060-70.772763</v>
      </c>
      <c r="C5637" s="6" t="str">
        <f ca="1">IFERROR(__xludf.DUMMYFUNCTION("""COMPUTED_VALUE"""),"PJE CALBUCO 36")</f>
        <v>PJE CALBUCO 36</v>
      </c>
      <c r="D5637" s="6" t="str">
        <f ca="1">IFERROR(__xludf.DUMMYFUNCTION("""COMPUTED_VALUE"""),"BUIN")</f>
        <v>BUIN</v>
      </c>
    </row>
    <row r="5638" spans="1:4">
      <c r="A5638" s="7">
        <f ca="1">IFERROR(__xludf.DUMMYFUNCTION("""COMPUTED_VALUE"""),44523)</f>
        <v>44523</v>
      </c>
      <c r="B5638" s="6" t="str">
        <f ca="1">IFERROR(__xludf.DUMMYFUNCTION("""COMPUTED_VALUE"""),"-33.3779897,-71.1771684")</f>
        <v>-33.3779897,-71.1771684</v>
      </c>
      <c r="C5638" s="6" t="str">
        <f ca="1">IFERROR(__xludf.DUMMYFUNCTION("""COMPUTED_VALUE"""),"EL NARANJO 78 L5")</f>
        <v>EL NARANJO 78 L5</v>
      </c>
      <c r="D5638" s="6" t="str">
        <f ca="1">IFERROR(__xludf.DUMMYFUNCTION("""COMPUTED_VALUE"""),"CURACAVI")</f>
        <v>CURACAVI</v>
      </c>
    </row>
    <row r="5639" spans="1:4">
      <c r="A5639" s="7">
        <f ca="1">IFERROR(__xludf.DUMMYFUNCTION("""COMPUTED_VALUE"""),44523)</f>
        <v>44523</v>
      </c>
      <c r="B5639" s="6" t="str">
        <f ca="1">IFERROR(__xludf.DUMMYFUNCTION("""COMPUTED_VALUE"""),"-33.715891,-70.569593")</f>
        <v>-33.715891,-70.569593</v>
      </c>
      <c r="C5639" s="6" t="str">
        <f ca="1">IFERROR(__xludf.DUMMYFUNCTION("""COMPUTED_VALUE"""),"RINCONADA DE PRINCIPAL 142")</f>
        <v>RINCONADA DE PRINCIPAL 142</v>
      </c>
      <c r="D5639" s="6" t="str">
        <f ca="1">IFERROR(__xludf.DUMMYFUNCTION("""COMPUTED_VALUE"""),"PIRQUE")</f>
        <v>PIRQUE</v>
      </c>
    </row>
    <row r="5640" spans="1:4">
      <c r="A5640" s="7">
        <f ca="1">IFERROR(__xludf.DUMMYFUNCTION("""COMPUTED_VALUE"""),44523)</f>
        <v>44523</v>
      </c>
      <c r="B5640" s="6" t="str">
        <f ca="1">IFERROR(__xludf.DUMMYFUNCTION("""COMPUTED_VALUE"""),"-33.893860,-71.433626")</f>
        <v>-33.893860,-71.433626</v>
      </c>
      <c r="C5640" s="6" t="str">
        <f ca="1">IFERROR(__xludf.DUMMYFUNCTION("""COMPUTED_VALUE"""),"LLANCAY S/N")</f>
        <v>LLANCAY S/N</v>
      </c>
      <c r="D5640" s="6" t="str">
        <f ca="1">IFERROR(__xludf.DUMMYFUNCTION("""COMPUTED_VALUE"""),"SAN PEDRO")</f>
        <v>SAN PEDRO</v>
      </c>
    </row>
    <row r="5641" spans="1:4">
      <c r="A5641" s="7">
        <f ca="1">IFERROR(__xludf.DUMMYFUNCTION("""COMPUTED_VALUE"""),44523)</f>
        <v>44523</v>
      </c>
      <c r="B5641" s="6" t="str">
        <f ca="1">IFERROR(__xludf.DUMMYFUNCTION("""COMPUTED_VALUE"""),"-33.959376,-71.473015")</f>
        <v>-33.959376,-71.473015</v>
      </c>
      <c r="C5641" s="6" t="str">
        <f ca="1">IFERROR(__xludf.DUMMYFUNCTION("""COMPUTED_VALUE"""),"SECTOR LAS PATAGUILLAS S/N ")</f>
        <v xml:space="preserve">SECTOR LAS PATAGUILLAS S/N </v>
      </c>
      <c r="D5641" s="6" t="str">
        <f ca="1">IFERROR(__xludf.DUMMYFUNCTION("""COMPUTED_VALUE"""),"SAN PEDRO")</f>
        <v>SAN PEDRO</v>
      </c>
    </row>
    <row r="5642" spans="1:4">
      <c r="A5642" s="7">
        <f ca="1">IFERROR(__xludf.DUMMYFUNCTION("""COMPUTED_VALUE"""),44523)</f>
        <v>44523</v>
      </c>
      <c r="B5642" s="6" t="str">
        <f ca="1">IFERROR(__xludf.DUMMYFUNCTION("""COMPUTED_VALUE"""),"-33.747035,-70.913292")</f>
        <v>-33.747035,-70.913292</v>
      </c>
      <c r="C5642" s="6" t="str">
        <f ca="1">IFERROR(__xludf.DUMMYFUNCTION("""COMPUTED_VALUE"""),"LO MARTINEZ 1023")</f>
        <v>LO MARTINEZ 1023</v>
      </c>
      <c r="D5642" s="6" t="str">
        <f ca="1">IFERROR(__xludf.DUMMYFUNCTION("""COMPUTED_VALUE"""),"ISLA DE MAIPO")</f>
        <v>ISLA DE MAIPO</v>
      </c>
    </row>
    <row r="5643" spans="1:4">
      <c r="A5643" s="7">
        <f ca="1">IFERROR(__xludf.DUMMYFUNCTION("""COMPUTED_VALUE"""),44523)</f>
        <v>44523</v>
      </c>
      <c r="B5643" s="6" t="str">
        <f ca="1">IFERROR(__xludf.DUMMYFUNCTION("""COMPUTED_VALUE"""),"-33.733374,-71.024438")</f>
        <v>-33.733374,-71.024438</v>
      </c>
      <c r="C5643" s="6" t="str">
        <f ca="1">IFERROR(__xludf.DUMMYFUNCTION("""COMPUTED_VALUE"""),"PRINCIPAL 20")</f>
        <v>PRINCIPAL 20</v>
      </c>
      <c r="D5643" s="6" t="str">
        <f ca="1">IFERROR(__xludf.DUMMYFUNCTION("""COMPUTED_VALUE"""),"ISLA DE MAIPO")</f>
        <v>ISLA DE MAIPO</v>
      </c>
    </row>
    <row r="5644" spans="1:4">
      <c r="A5644" s="7">
        <f ca="1">IFERROR(__xludf.DUMMYFUNCTION("""COMPUTED_VALUE"""),44523)</f>
        <v>44523</v>
      </c>
      <c r="B5644" s="6" t="str">
        <f ca="1">IFERROR(__xludf.DUMMYFUNCTION("""COMPUTED_VALUE"""),"-33.8375791,-70.6395292")</f>
        <v>-33.8375791,-70.6395292</v>
      </c>
      <c r="C5644" s="6" t="str">
        <f ca="1">IFERROR(__xludf.DUMMYFUNCTION("""COMPUTED_VALUE"""),"CAMINO PADRE HURTADO LOTE 1")</f>
        <v>CAMINO PADRE HURTADO LOTE 1</v>
      </c>
      <c r="D5644" s="6" t="str">
        <f ca="1">IFERROR(__xludf.DUMMYFUNCTION("""COMPUTED_VALUE"""),"PAINE")</f>
        <v>PAINE</v>
      </c>
    </row>
    <row r="5645" spans="1:4">
      <c r="A5645" s="7">
        <f ca="1">IFERROR(__xludf.DUMMYFUNCTION("""COMPUTED_VALUE"""),44523)</f>
        <v>44523</v>
      </c>
      <c r="B5645" s="6" t="str">
        <f ca="1">IFERROR(__xludf.DUMMYFUNCTION("""COMPUTED_VALUE"""),"-33.834222,-70.646235")</f>
        <v>-33.834222,-70.646235</v>
      </c>
      <c r="C5645" s="6" t="str">
        <f ca="1">IFERROR(__xludf.DUMMYFUNCTION("""COMPUTED_VALUE"""),"LUIS ADVIS 7028")</f>
        <v>LUIS ADVIS 7028</v>
      </c>
      <c r="D5645" s="6" t="str">
        <f ca="1">IFERROR(__xludf.DUMMYFUNCTION("""COMPUTED_VALUE"""),"PAINE")</f>
        <v>PAINE</v>
      </c>
    </row>
    <row r="5646" spans="1:4">
      <c r="A5646" s="7">
        <f ca="1">IFERROR(__xludf.DUMMYFUNCTION("""COMPUTED_VALUE"""),44524)</f>
        <v>44524</v>
      </c>
      <c r="B5646" s="6" t="str">
        <f ca="1">IFERROR(__xludf.DUMMYFUNCTION("""COMPUTED_VALUE"""),"-33.584555-70.395651")</f>
        <v>-33.584555-70.395651</v>
      </c>
      <c r="C5646" s="6" t="str">
        <f ca="1">IFERROR(__xludf.DUMMYFUNCTION("""COMPUTED_VALUE"""),"CAMINO AL VOLCAN 22537")</f>
        <v>CAMINO AL VOLCAN 22537</v>
      </c>
      <c r="D5646" s="6" t="str">
        <f ca="1">IFERROR(__xludf.DUMMYFUNCTION("""COMPUTED_VALUE"""),"SAN JOSE DE MAIPO")</f>
        <v>SAN JOSE DE MAIPO</v>
      </c>
    </row>
    <row r="5647" spans="1:4">
      <c r="A5647" s="7">
        <f ca="1">IFERROR(__xludf.DUMMYFUNCTION("""COMPUTED_VALUE"""),44524)</f>
        <v>44524</v>
      </c>
      <c r="B5647" s="6" t="str">
        <f ca="1">IFERROR(__xludf.DUMMYFUNCTION("""COMPUTED_VALUE"""),"-33.6361714-70.3565246")</f>
        <v>-33.6361714-70.3565246</v>
      </c>
      <c r="C5647" s="6" t="str">
        <f ca="1">IFERROR(__xludf.DUMMYFUNCTION("""COMPUTED_VALUE"""),"CAÑADA NORTE 692")</f>
        <v>CAÑADA NORTE 692</v>
      </c>
      <c r="D5647" s="6" t="str">
        <f ca="1">IFERROR(__xludf.DUMMYFUNCTION("""COMPUTED_VALUE"""),"SAN JOSE DE MAIPO")</f>
        <v>SAN JOSE DE MAIPO</v>
      </c>
    </row>
    <row r="5648" spans="1:4">
      <c r="A5648" s="7">
        <f ca="1">IFERROR(__xludf.DUMMYFUNCTION("""COMPUTED_VALUE"""),44524)</f>
        <v>44524</v>
      </c>
      <c r="B5648" s="6" t="str">
        <f ca="1">IFERROR(__xludf.DUMMYFUNCTION("""COMPUTED_VALUE"""),"-33.14421-70.70627")</f>
        <v>-33.14421-70.70627</v>
      </c>
      <c r="C5648" s="6" t="str">
        <f ca="1">IFERROR(__xludf.DUMMYFUNCTION("""COMPUTED_VALUE"""),"2 ORIENTE 420")</f>
        <v>2 ORIENTE 420</v>
      </c>
      <c r="D5648" s="6" t="str">
        <f ca="1">IFERROR(__xludf.DUMMYFUNCTION("""COMPUTED_VALUE"""),"TIL TIL")</f>
        <v>TIL TIL</v>
      </c>
    </row>
    <row r="5649" spans="1:4">
      <c r="A5649" s="7">
        <f ca="1">IFERROR(__xludf.DUMMYFUNCTION("""COMPUTED_VALUE"""),44524)</f>
        <v>44524</v>
      </c>
      <c r="B5649" s="6" t="str">
        <f ca="1">IFERROR(__xludf.DUMMYFUNCTION("""COMPUTED_VALUE"""),"-33.14421-70.70627")</f>
        <v>-33.14421-70.70627</v>
      </c>
      <c r="C5649" s="6" t="str">
        <f ca="1">IFERROR(__xludf.DUMMYFUNCTION("""COMPUTED_VALUE"""),"2 ORIENTE 420")</f>
        <v>2 ORIENTE 420</v>
      </c>
      <c r="D5649" s="6" t="str">
        <f ca="1">IFERROR(__xludf.DUMMYFUNCTION("""COMPUTED_VALUE"""),"TIL TIL")</f>
        <v>TIL TIL</v>
      </c>
    </row>
    <row r="5650" spans="1:4">
      <c r="A5650" s="7">
        <f ca="1">IFERROR(__xludf.DUMMYFUNCTION("""COMPUTED_VALUE"""),44524)</f>
        <v>44524</v>
      </c>
      <c r="B5650" s="6" t="str">
        <f ca="1">IFERROR(__xludf.DUMMYFUNCTION("""COMPUTED_VALUE"""),"-33.572998-70.806272")</f>
        <v>-33.572998-70.806272</v>
      </c>
      <c r="C5650" s="6" t="str">
        <f ca="1">IFERROR(__xludf.DUMMYFUNCTION("""COMPUTED_VALUE"""),"QUITO 823")</f>
        <v>QUITO 823</v>
      </c>
      <c r="D5650" s="6" t="str">
        <f ca="1">IFERROR(__xludf.DUMMYFUNCTION("""COMPUTED_VALUE"""),"PADRE HURTADO")</f>
        <v>PADRE HURTADO</v>
      </c>
    </row>
    <row r="5651" spans="1:4">
      <c r="A5651" s="7">
        <f ca="1">IFERROR(__xludf.DUMMYFUNCTION("""COMPUTED_VALUE"""),44524)</f>
        <v>44524</v>
      </c>
      <c r="B5651" s="6" t="str">
        <f ca="1">IFERROR(__xludf.DUMMYFUNCTION("""COMPUTED_VALUE"""),"-33.3779897,-71.1771684")</f>
        <v>-33.3779897,-71.1771684</v>
      </c>
      <c r="C5651" s="6" t="str">
        <f ca="1">IFERROR(__xludf.DUMMYFUNCTION("""COMPUTED_VALUE"""),"EL NARANJO 78 L6")</f>
        <v>EL NARANJO 78 L6</v>
      </c>
      <c r="D5651" s="6" t="str">
        <f ca="1">IFERROR(__xludf.DUMMYFUNCTION("""COMPUTED_VALUE"""),"CURACAVI")</f>
        <v>CURACAVI</v>
      </c>
    </row>
    <row r="5652" spans="1:4">
      <c r="A5652" s="7">
        <f ca="1">IFERROR(__xludf.DUMMYFUNCTION("""COMPUTED_VALUE"""),44524)</f>
        <v>44524</v>
      </c>
      <c r="B5652" s="8" t="str">
        <f ca="1">IFERROR(__xludf.DUMMYFUNCTION("""COMPUTED_VALUE"""),"-33.687660,-71.035294")</f>
        <v>-33.687660,-71.035294</v>
      </c>
      <c r="C5652" s="6" t="str">
        <f ca="1">IFERROR(__xludf.DUMMYFUNCTION("""COMPUTED_VALUE"""),"LOS LIBERTADORES 1556")</f>
        <v>LOS LIBERTADORES 1556</v>
      </c>
      <c r="D5652" s="6" t="str">
        <f ca="1">IFERROR(__xludf.DUMMYFUNCTION("""COMPUTED_VALUE"""),"EL MONTE")</f>
        <v>EL MONTE</v>
      </c>
    </row>
    <row r="5653" spans="1:4">
      <c r="A5653" s="7">
        <f ca="1">IFERROR(__xludf.DUMMYFUNCTION("""COMPUTED_VALUE"""),44524)</f>
        <v>44524</v>
      </c>
      <c r="B5653" s="8" t="str">
        <f ca="1">IFERROR(__xludf.DUMMYFUNCTION("""COMPUTED_VALUE"""),"-33.277664,-70.888097")</f>
        <v>-33.277664,-70.888097</v>
      </c>
      <c r="C5653" s="6" t="str">
        <f ca="1">IFERROR(__xludf.DUMMYFUNCTION("""COMPUTED_VALUE"""),"CALLE LOS GUINDO 68")</f>
        <v>CALLE LOS GUINDO 68</v>
      </c>
      <c r="D5653" s="6" t="str">
        <f ca="1">IFERROR(__xludf.DUMMYFUNCTION("""COMPUTED_VALUE"""),"LAMPA")</f>
        <v>LAMPA</v>
      </c>
    </row>
    <row r="5654" spans="1:4">
      <c r="A5654" s="7">
        <f ca="1">IFERROR(__xludf.DUMMYFUNCTION("""COMPUTED_VALUE"""),44524)</f>
        <v>44524</v>
      </c>
      <c r="B5654" s="6" t="str">
        <f ca="1">IFERROR(__xludf.DUMMYFUNCTION("""COMPUTED_VALUE"""),"-33.714605,-70532965")</f>
        <v>-33.714605,-70532965</v>
      </c>
      <c r="C5654" s="6" t="str">
        <f ca="1">IFERROR(__xludf.DUMMYFUNCTION("""COMPUTED_VALUE"""),"RESERVA CORA PC PRINCIPAL 22")</f>
        <v>RESERVA CORA PC PRINCIPAL 22</v>
      </c>
      <c r="D5654" s="6" t="str">
        <f ca="1">IFERROR(__xludf.DUMMYFUNCTION("""COMPUTED_VALUE"""),"PIRQUE")</f>
        <v>PIRQUE</v>
      </c>
    </row>
    <row r="5655" spans="1:4">
      <c r="A5655" s="7">
        <f ca="1">IFERROR(__xludf.DUMMYFUNCTION("""COMPUTED_VALUE"""),44524)</f>
        <v>44524</v>
      </c>
      <c r="B5655" s="6" t="str">
        <f ca="1">IFERROR(__xludf.DUMMYFUNCTION("""COMPUTED_VALUE"""),"-33.887142,-71454390")</f>
        <v>-33.887142,-71454390</v>
      </c>
      <c r="C5655" s="6" t="str">
        <f ca="1">IFERROR(__xludf.DUMMYFUNCTION("""COMPUTED_VALUE"""),"CO CEMENTERIO S/N")</f>
        <v>CO CEMENTERIO S/N</v>
      </c>
      <c r="D5655" s="6" t="str">
        <f ca="1">IFERROR(__xludf.DUMMYFUNCTION("""COMPUTED_VALUE"""),"SAN PEDRO")</f>
        <v>SAN PEDRO</v>
      </c>
    </row>
    <row r="5656" spans="1:4">
      <c r="A5656" s="7">
        <f ca="1">IFERROR(__xludf.DUMMYFUNCTION("""COMPUTED_VALUE"""),44524)</f>
        <v>44524</v>
      </c>
      <c r="B5656" s="6" t="str">
        <f ca="1">IFERROR(__xludf.DUMMYFUNCTION("""COMPUTED_VALUE"""),"-33.959376,-71.473015")</f>
        <v>-33.959376,-71.473015</v>
      </c>
      <c r="C5656" s="6" t="str">
        <f ca="1">IFERROR(__xludf.DUMMYFUNCTION("""COMPUTED_VALUE"""),"LINGO LINGO 11- CV13")</f>
        <v>LINGO LINGO 11- CV13</v>
      </c>
      <c r="D5656" s="6" t="str">
        <f ca="1">IFERROR(__xludf.DUMMYFUNCTION("""COMPUTED_VALUE"""),"SAN PEDRO")</f>
        <v>SAN PEDRO</v>
      </c>
    </row>
    <row r="5657" spans="1:4">
      <c r="A5657" s="7">
        <f ca="1">IFERROR(__xludf.DUMMYFUNCTION("""COMPUTED_VALUE"""),44524)</f>
        <v>44524</v>
      </c>
      <c r="B5657" s="6" t="str">
        <f ca="1">IFERROR(__xludf.DUMMYFUNCTION("""COMPUTED_VALUE"""),"-33.727978,-70.987309")</f>
        <v>-33.727978,-70.987309</v>
      </c>
      <c r="C5657" s="6" t="str">
        <f ca="1">IFERROR(__xludf.DUMMYFUNCTION("""COMPUTED_VALUE"""),"OSORNO 69")</f>
        <v>OSORNO 69</v>
      </c>
      <c r="D5657" s="6" t="str">
        <f ca="1">IFERROR(__xludf.DUMMYFUNCTION("""COMPUTED_VALUE"""),"ISLA DE MAIPO")</f>
        <v>ISLA DE MAIPO</v>
      </c>
    </row>
    <row r="5658" spans="1:4">
      <c r="A5658" s="7">
        <f ca="1">IFERROR(__xludf.DUMMYFUNCTION("""COMPUTED_VALUE"""),44524)</f>
        <v>44524</v>
      </c>
      <c r="B5658" s="8" t="str">
        <f ca="1">IFERROR(__xludf.DUMMYFUNCTION("""COMPUTED_VALUE"""),"-33.290001,-70.882240")</f>
        <v>-33.290001,-70.882240</v>
      </c>
      <c r="C5658" s="6" t="str">
        <f ca="1">IFERROR(__xludf.DUMMYFUNCTION("""COMPUTED_VALUE"""),"ABRAHAN GARCIA 1314 ")</f>
        <v xml:space="preserve">ABRAHAN GARCIA 1314 </v>
      </c>
      <c r="D5658" s="6" t="str">
        <f ca="1">IFERROR(__xludf.DUMMYFUNCTION("""COMPUTED_VALUE"""),"LAMPA")</f>
        <v>LAMPA</v>
      </c>
    </row>
    <row r="5659" spans="1:4">
      <c r="A5659" s="7">
        <f ca="1">IFERROR(__xludf.DUMMYFUNCTION("""COMPUTED_VALUE"""),44524)</f>
        <v>44524</v>
      </c>
      <c r="B5659" s="6" t="str">
        <f ca="1">IFERROR(__xludf.DUMMYFUNCTION("""COMPUTED_VALUE"""),"-33.801099,-70.680432")</f>
        <v>-33.801099,-70.680432</v>
      </c>
      <c r="C5659" s="6" t="str">
        <f ca="1">IFERROR(__xludf.DUMMYFUNCTION("""COMPUTED_VALUE"""),"CALLE 24 DE ABRIL 77")</f>
        <v>CALLE 24 DE ABRIL 77</v>
      </c>
      <c r="D5659" s="6" t="str">
        <f ca="1">IFERROR(__xludf.DUMMYFUNCTION("""COMPUTED_VALUE"""),"PAINE")</f>
        <v>PAINE</v>
      </c>
    </row>
    <row r="5660" spans="1:4">
      <c r="A5660" s="7">
        <f ca="1">IFERROR(__xludf.DUMMYFUNCTION("""COMPUTED_VALUE"""),44524)</f>
        <v>44524</v>
      </c>
      <c r="B5660" s="6" t="str">
        <f ca="1">IFERROR(__xludf.DUMMYFUNCTION("""COMPUTED_VALUE"""),"-33801099-70680432")</f>
        <v>-33801099-70680432</v>
      </c>
      <c r="C5660" s="6" t="str">
        <f ca="1">IFERROR(__xludf.DUMMYFUNCTION("""COMPUTED_VALUE"""),"24 DE ABRIL 77 LOTE E")</f>
        <v>24 DE ABRIL 77 LOTE E</v>
      </c>
      <c r="D5660" s="6" t="str">
        <f ca="1">IFERROR(__xludf.DUMMYFUNCTION("""COMPUTED_VALUE"""),"PAINE")</f>
        <v>PAINE</v>
      </c>
    </row>
    <row r="5661" spans="1:4">
      <c r="A5661" s="7">
        <f ca="1">IFERROR(__xludf.DUMMYFUNCTION("""COMPUTED_VALUE"""),44525)</f>
        <v>44525</v>
      </c>
      <c r="B5661" s="8" t="str">
        <f ca="1">IFERROR(__xludf.DUMMYFUNCTION("""COMPUTED_VALUE"""),"-33.7485392, -70.8695044")</f>
        <v>-33.7485392, -70.8695044</v>
      </c>
      <c r="C5661" s="6" t="str">
        <f ca="1">IFERROR(__xludf.DUMMYFUNCTION("""COMPUTED_VALUE"""),"EL PARRONAL  169")</f>
        <v>EL PARRONAL  169</v>
      </c>
      <c r="D5661" s="6" t="str">
        <f ca="1">IFERROR(__xludf.DUMMYFUNCTION("""COMPUTED_VALUE"""),"ISLA DE MAIPO")</f>
        <v>ISLA DE MAIPO</v>
      </c>
    </row>
    <row r="5662" spans="1:4">
      <c r="A5662" s="7">
        <f ca="1">IFERROR(__xludf.DUMMYFUNCTION("""COMPUTED_VALUE"""),44525)</f>
        <v>44525</v>
      </c>
      <c r="B5662" s="8" t="str">
        <f ca="1">IFERROR(__xludf.DUMMYFUNCTION("""COMPUTED_VALUE"""),"-33.7485795, -70.8694709")</f>
        <v>-33.7485795, -70.8694709</v>
      </c>
      <c r="C5662" s="6" t="str">
        <f ca="1">IFERROR(__xludf.DUMMYFUNCTION("""COMPUTED_VALUE"""),"EL PARRONAL   0167")</f>
        <v>EL PARRONAL   0167</v>
      </c>
      <c r="D5662" s="6" t="str">
        <f ca="1">IFERROR(__xludf.DUMMYFUNCTION("""COMPUTED_VALUE"""),"ISLA DE MAIPO")</f>
        <v>ISLA DE MAIPO</v>
      </c>
    </row>
    <row r="5663" spans="1:4">
      <c r="A5663" s="7">
        <f ca="1">IFERROR(__xludf.DUMMYFUNCTION("""COMPUTED_VALUE"""),44525)</f>
        <v>44525</v>
      </c>
      <c r="B5663" s="8" t="str">
        <f ca="1">IFERROR(__xludf.DUMMYFUNCTION("""COMPUTED_VALUE"""),"-33.7485388, -70.869502")</f>
        <v>-33.7485388, -70.869502</v>
      </c>
      <c r="C5663" s="6" t="str">
        <f ca="1">IFERROR(__xludf.DUMMYFUNCTION("""COMPUTED_VALUE"""),"EL PARRONAL   0165")</f>
        <v>EL PARRONAL   0165</v>
      </c>
      <c r="D5663" s="6" t="str">
        <f ca="1">IFERROR(__xludf.DUMMYFUNCTION("""COMPUTED_VALUE"""),"ISLA DE MAIPO")</f>
        <v>ISLA DE MAIPO</v>
      </c>
    </row>
    <row r="5664" spans="1:4">
      <c r="A5664" s="7">
        <f ca="1">IFERROR(__xludf.DUMMYFUNCTION("""COMPUTED_VALUE"""),44525)</f>
        <v>44525</v>
      </c>
      <c r="B5664" s="6" t="str">
        <f ca="1">IFERROR(__xludf.DUMMYFUNCTION("""COMPUTED_VALUE"""),"-33.14346-70.79567")</f>
        <v>-33.14346-70.79567</v>
      </c>
      <c r="C5664" s="6" t="str">
        <f ca="1">IFERROR(__xludf.DUMMYFUNCTION("""COMPUTED_VALUE"""),"2 ORIENTE 480")</f>
        <v>2 ORIENTE 480</v>
      </c>
      <c r="D5664" s="6" t="str">
        <f ca="1">IFERROR(__xludf.DUMMYFUNCTION("""COMPUTED_VALUE"""),"TIL TIL")</f>
        <v>TIL TIL</v>
      </c>
    </row>
    <row r="5665" spans="1:4">
      <c r="A5665" s="7">
        <f ca="1">IFERROR(__xludf.DUMMYFUNCTION("""COMPUTED_VALUE"""),44525)</f>
        <v>44525</v>
      </c>
      <c r="B5665" s="6" t="str">
        <f ca="1">IFERROR(__xludf.DUMMYFUNCTION("""COMPUTED_VALUE"""),"-33.14381-70.79524")</f>
        <v>-33.14381-70.79524</v>
      </c>
      <c r="C5665" s="6" t="str">
        <f ca="1">IFERROR(__xludf.DUMMYFUNCTION("""COMPUTED_VALUE"""),"3 ORIENTE 490")</f>
        <v>3 ORIENTE 490</v>
      </c>
      <c r="D5665" s="6" t="str">
        <f ca="1">IFERROR(__xludf.DUMMYFUNCTION("""COMPUTED_VALUE"""),"TIL TIL")</f>
        <v>TIL TIL</v>
      </c>
    </row>
    <row r="5666" spans="1:4">
      <c r="A5666" s="7">
        <f ca="1">IFERROR(__xludf.DUMMYFUNCTION("""COMPUTED_VALUE"""),44525)</f>
        <v>44525</v>
      </c>
      <c r="B5666" s="6" t="str">
        <f ca="1">IFERROR(__xludf.DUMMYFUNCTION("""COMPUTED_VALUE"""),"-33.5880816-70.4678582")</f>
        <v>-33.5880816-70.4678582</v>
      </c>
      <c r="C5666" s="6" t="str">
        <f ca="1">IFERROR(__xludf.DUMMYFUNCTION("""COMPUTED_VALUE"""),"LOS AROMOS 3123")</f>
        <v>LOS AROMOS 3123</v>
      </c>
      <c r="D5666" s="6" t="str">
        <f ca="1">IFERROR(__xludf.DUMMYFUNCTION("""COMPUTED_VALUE"""),"SAN JOSE DE MAIPO")</f>
        <v>SAN JOSE DE MAIPO</v>
      </c>
    </row>
    <row r="5667" spans="1:4">
      <c r="A5667" s="7">
        <f ca="1">IFERROR(__xludf.DUMMYFUNCTION("""COMPUTED_VALUE"""),44525)</f>
        <v>44525</v>
      </c>
      <c r="B5667" s="6" t="str">
        <f ca="1">IFERROR(__xludf.DUMMYFUNCTION("""COMPUTED_VALUE"""),"-33.880816-70.4678582")</f>
        <v>-33.880816-70.4678582</v>
      </c>
      <c r="C5667" s="6" t="str">
        <f ca="1">IFERROR(__xludf.DUMMYFUNCTION("""COMPUTED_VALUE"""),"LOS AROMOS 3123")</f>
        <v>LOS AROMOS 3123</v>
      </c>
      <c r="D5667" s="6" t="str">
        <f ca="1">IFERROR(__xludf.DUMMYFUNCTION("""COMPUTED_VALUE"""),"SAN JOSE DE MAIPO")</f>
        <v>SAN JOSE DE MAIPO</v>
      </c>
    </row>
    <row r="5668" spans="1:4">
      <c r="A5668" s="7">
        <f ca="1">IFERROR(__xludf.DUMMYFUNCTION("""COMPUTED_VALUE"""),44525)</f>
        <v>44525</v>
      </c>
      <c r="B5668" s="6" t="str">
        <f ca="1">IFERROR(__xludf.DUMMYFUNCTION("""COMPUTED_VALUE"""),"-33.690306-70.700278")</f>
        <v>-33.690306-70.700278</v>
      </c>
      <c r="C5668" s="6" t="str">
        <f ca="1">IFERROR(__xludf.DUMMYFUNCTION("""COMPUTED_VALUE"""),"EL RECURSO 47")</f>
        <v>EL RECURSO 47</v>
      </c>
      <c r="D5668" s="6" t="str">
        <f ca="1">IFERROR(__xludf.DUMMYFUNCTION("""COMPUTED_VALUE"""),"BUIN")</f>
        <v>BUIN</v>
      </c>
    </row>
    <row r="5669" spans="1:4">
      <c r="A5669" s="7">
        <f ca="1">IFERROR(__xludf.DUMMYFUNCTION("""COMPUTED_VALUE"""),44525)</f>
        <v>44525</v>
      </c>
      <c r="B5669" s="6" t="str">
        <f ca="1">IFERROR(__xludf.DUMMYFUNCTION("""COMPUTED_VALUE"""),"-33.571756-70.805551")</f>
        <v>-33.571756-70.805551</v>
      </c>
      <c r="C5669" s="6" t="str">
        <f ca="1">IFERROR(__xludf.DUMMYFUNCTION("""COMPUTED_VALUE"""),"PJE SAN LUCAS 1830")</f>
        <v>PJE SAN LUCAS 1830</v>
      </c>
      <c r="D5669" s="6" t="str">
        <f ca="1">IFERROR(__xludf.DUMMYFUNCTION("""COMPUTED_VALUE"""),"PADRE HURTADO")</f>
        <v>PADRE HURTADO</v>
      </c>
    </row>
    <row r="5670" spans="1:4">
      <c r="A5670" s="7">
        <f ca="1">IFERROR(__xludf.DUMMYFUNCTION("""COMPUTED_VALUE"""),44525)</f>
        <v>44525</v>
      </c>
      <c r="B5670" s="6" t="str">
        <f ca="1">IFERROR(__xludf.DUMMYFUNCTION("""COMPUTED_VALUE"""),"-33.714605,-70532965")</f>
        <v>-33.714605,-70532965</v>
      </c>
      <c r="C5670" s="6" t="str">
        <f ca="1">IFERROR(__xludf.DUMMYFUNCTION("""COMPUTED_VALUE"""),"RESERVA CORA PC PRINCIPAL 22")</f>
        <v>RESERVA CORA PC PRINCIPAL 22</v>
      </c>
      <c r="D5670" s="6" t="str">
        <f ca="1">IFERROR(__xludf.DUMMYFUNCTION("""COMPUTED_VALUE"""),"PIRQUE")</f>
        <v>PIRQUE</v>
      </c>
    </row>
    <row r="5671" spans="1:4">
      <c r="A5671" s="7">
        <f ca="1">IFERROR(__xludf.DUMMYFUNCTION("""COMPUTED_VALUE"""),44525)</f>
        <v>44525</v>
      </c>
      <c r="B5671" s="6" t="str">
        <f ca="1">IFERROR(__xludf.DUMMYFUNCTION("""COMPUTED_VALUE"""),"-33.714605,-70.532970")</f>
        <v>-33.714605,-70.532970</v>
      </c>
      <c r="C5671" s="6" t="str">
        <f ca="1">IFERROR(__xludf.DUMMYFUNCTION("""COMPUTED_VALUE"""),"RESERVA CORA S/N PC 14")</f>
        <v>RESERVA CORA S/N PC 14</v>
      </c>
      <c r="D5671" s="6" t="str">
        <f ca="1">IFERROR(__xludf.DUMMYFUNCTION("""COMPUTED_VALUE"""),"PIRQUE")</f>
        <v>PIRQUE</v>
      </c>
    </row>
    <row r="5672" spans="1:4">
      <c r="A5672" s="7">
        <f ca="1">IFERROR(__xludf.DUMMYFUNCTION("""COMPUTED_VALUE"""),44525)</f>
        <v>44525</v>
      </c>
      <c r="B5672" s="6" t="str">
        <f ca="1">IFERROR(__xludf.DUMMYFUNCTION("""COMPUTED_VALUE"""),"-33.714605,-70.532970")</f>
        <v>-33.714605,-70.532970</v>
      </c>
      <c r="C5672" s="6" t="str">
        <f ca="1">IFERROR(__xludf.DUMMYFUNCTION("""COMPUTED_VALUE"""),"RESERVA CORA S/N PC 14")</f>
        <v>RESERVA CORA S/N PC 14</v>
      </c>
      <c r="D5672" s="6" t="str">
        <f ca="1">IFERROR(__xludf.DUMMYFUNCTION("""COMPUTED_VALUE"""),"PIRQUE")</f>
        <v>PIRQUE</v>
      </c>
    </row>
    <row r="5673" spans="1:4">
      <c r="A5673" s="7">
        <f ca="1">IFERROR(__xludf.DUMMYFUNCTION("""COMPUTED_VALUE"""),44525)</f>
        <v>44525</v>
      </c>
      <c r="B5673" s="6" t="str">
        <f ca="1">IFERROR(__xludf.DUMMYFUNCTION("""COMPUTED_VALUE"""),"-33.717005,-70533171")</f>
        <v>-33.717005,-70533171</v>
      </c>
      <c r="C5673" s="6" t="str">
        <f ca="1">IFERROR(__xludf.DUMMYFUNCTION("""COMPUTED_VALUE"""),"ORILLA DEL RIO P11 PARC.18C")</f>
        <v>ORILLA DEL RIO P11 PARC.18C</v>
      </c>
      <c r="D5673" s="6" t="str">
        <f ca="1">IFERROR(__xludf.DUMMYFUNCTION("""COMPUTED_VALUE"""),"PIRQUE")</f>
        <v>PIRQUE</v>
      </c>
    </row>
    <row r="5674" spans="1:4">
      <c r="A5674" s="7">
        <f ca="1">IFERROR(__xludf.DUMMYFUNCTION("""COMPUTED_VALUE"""),44525)</f>
        <v>44525</v>
      </c>
      <c r="B5674" s="6" t="str">
        <f ca="1">IFERROR(__xludf.DUMMYFUNCTION("""COMPUTED_VALUE"""),"-33.710234,-70.545141")</f>
        <v>-33.710234,-70.545141</v>
      </c>
      <c r="C5674" s="6" t="str">
        <f ca="1">IFERROR(__xludf.DUMMYFUNCTION("""COMPUTED_VALUE"""),"LA HORTENCIAS 13B")</f>
        <v>LA HORTENCIAS 13B</v>
      </c>
      <c r="D5674" s="6" t="str">
        <f ca="1">IFERROR(__xludf.DUMMYFUNCTION("""COMPUTED_VALUE"""),"PIRQUE")</f>
        <v>PIRQUE</v>
      </c>
    </row>
    <row r="5675" spans="1:4">
      <c r="A5675" s="7">
        <f ca="1">IFERROR(__xludf.DUMMYFUNCTION("""COMPUTED_VALUE"""),44525)</f>
        <v>44525</v>
      </c>
      <c r="B5675" s="6" t="str">
        <f ca="1">IFERROR(__xludf.DUMMYFUNCTION("""COMPUTED_VALUE"""),"-33.710234,-70.545141")</f>
        <v>-33.710234,-70.545141</v>
      </c>
      <c r="C5675" s="6" t="str">
        <f ca="1">IFERROR(__xludf.DUMMYFUNCTION("""COMPUTED_VALUE"""),"LAS HORTENCIAS 13B")</f>
        <v>LAS HORTENCIAS 13B</v>
      </c>
      <c r="D5675" s="6" t="str">
        <f ca="1">IFERROR(__xludf.DUMMYFUNCTION("""COMPUTED_VALUE"""),"PIRQUE")</f>
        <v>PIRQUE</v>
      </c>
    </row>
    <row r="5676" spans="1:4">
      <c r="A5676" s="7">
        <f ca="1">IFERROR(__xludf.DUMMYFUNCTION("""COMPUTED_VALUE"""),44525)</f>
        <v>44525</v>
      </c>
      <c r="B5676" s="6" t="str">
        <f ca="1">IFERROR(__xludf.DUMMYFUNCTION("""COMPUTED_VALUE"""),"-33.717005,-70533172")</f>
        <v>-33.717005,-70533172</v>
      </c>
      <c r="C5676" s="6" t="str">
        <f ca="1">IFERROR(__xludf.DUMMYFUNCTION("""COMPUTED_VALUE"""),"RESERVA CORA 4 PAR.18-A")</f>
        <v>RESERVA CORA 4 PAR.18-A</v>
      </c>
      <c r="D5676" s="6" t="str">
        <f ca="1">IFERROR(__xludf.DUMMYFUNCTION("""COMPUTED_VALUE"""),"PIRQUE")</f>
        <v>PIRQUE</v>
      </c>
    </row>
    <row r="5677" spans="1:4">
      <c r="A5677" s="7">
        <f ca="1">IFERROR(__xludf.DUMMYFUNCTION("""COMPUTED_VALUE"""),44525)</f>
        <v>44525</v>
      </c>
      <c r="B5677" s="6" t="str">
        <f ca="1">IFERROR(__xludf.DUMMYFUNCTION("""COMPUTED_VALUE"""),"-33.731590,-71.023418")</f>
        <v>-33.731590,-71.023418</v>
      </c>
      <c r="C5677" s="6" t="str">
        <f ca="1">IFERROR(__xludf.DUMMYFUNCTION("""COMPUTED_VALUE"""),"LOS ENCINOS 14")</f>
        <v>LOS ENCINOS 14</v>
      </c>
      <c r="D5677" s="6" t="str">
        <f ca="1">IFERROR(__xludf.DUMMYFUNCTION("""COMPUTED_VALUE"""),"ISLA DE MAIPO")</f>
        <v>ISLA DE MAIPO</v>
      </c>
    </row>
    <row r="5678" spans="1:4">
      <c r="A5678" s="7">
        <f ca="1">IFERROR(__xludf.DUMMYFUNCTION("""COMPUTED_VALUE"""),44525)</f>
        <v>44525</v>
      </c>
      <c r="B5678" s="6" t="str">
        <f ca="1">IFERROR(__xludf.DUMMYFUNCTION("""COMPUTED_VALUE"""),"-33.731380,-71.025125")</f>
        <v>-33.731380,-71.025125</v>
      </c>
      <c r="C5678" s="6" t="str">
        <f ca="1">IFERROR(__xludf.DUMMYFUNCTION("""COMPUTED_VALUE"""),"AVDA PRINCIPAL PARCELA 12797")</f>
        <v>AVDA PRINCIPAL PARCELA 12797</v>
      </c>
      <c r="D5678" s="6" t="str">
        <f ca="1">IFERROR(__xludf.DUMMYFUNCTION("""COMPUTED_VALUE"""),"ISLA DE MAIPO")</f>
        <v>ISLA DE MAIPO</v>
      </c>
    </row>
    <row r="5679" spans="1:4">
      <c r="A5679" s="7">
        <f ca="1">IFERROR(__xludf.DUMMYFUNCTION("""COMPUTED_VALUE"""),44525)</f>
        <v>44525</v>
      </c>
      <c r="B5679" s="6" t="str">
        <f ca="1">IFERROR(__xludf.DUMMYFUNCTION("""COMPUTED_VALUE"""),"-33.0604-71.4471")</f>
        <v>-33.0604-71.4471</v>
      </c>
      <c r="C5679" s="6" t="str">
        <f ca="1">IFERROR(__xludf.DUMMYFUNCTION("""COMPUTED_VALUE"""),"VALENTIN LETELIER 1915")</f>
        <v>VALENTIN LETELIER 1915</v>
      </c>
      <c r="D5679" s="6" t="str">
        <f ca="1">IFERROR(__xludf.DUMMYFUNCTION("""COMPUTED_VALUE"""),"QUILPUÉ")</f>
        <v>QUILPUÉ</v>
      </c>
    </row>
    <row r="5680" spans="1:4">
      <c r="A5680" s="7">
        <f ca="1">IFERROR(__xludf.DUMMYFUNCTION("""COMPUTED_VALUE"""),44526)</f>
        <v>44526</v>
      </c>
      <c r="B5680" s="8" t="str">
        <f ca="1">IFERROR(__xludf.DUMMYFUNCTION("""COMPUTED_VALUE"""),"-33.815609, -70.7392245")</f>
        <v>-33.815609, -70.7392245</v>
      </c>
      <c r="C5680" s="6" t="str">
        <f ca="1">IFERROR(__xludf.DUMMYFUNCTION("""COMPUTED_VALUE"""),"SAN PABLO 1173")</f>
        <v>SAN PABLO 1173</v>
      </c>
      <c r="D5680" s="6" t="str">
        <f ca="1">IFERROR(__xludf.DUMMYFUNCTION("""COMPUTED_VALUE"""),"PAINE")</f>
        <v>PAINE</v>
      </c>
    </row>
    <row r="5681" spans="1:4">
      <c r="A5681" s="7">
        <f ca="1">IFERROR(__xludf.DUMMYFUNCTION("""COMPUTED_VALUE"""),44526)</f>
        <v>44526</v>
      </c>
      <c r="B5681" s="8" t="str">
        <f ca="1">IFERROR(__xludf.DUMMYFUNCTION("""COMPUTED_VALUE"""),"-33.7305857, -70.6844766")</f>
        <v>-33.7305857, -70.6844766</v>
      </c>
      <c r="C5681" s="6" t="str">
        <f ca="1">IFERROR(__xludf.DUMMYFUNCTION("""COMPUTED_VALUE"""),"MIRAFLORES 0181")</f>
        <v>MIRAFLORES 0181</v>
      </c>
      <c r="D5681" s="6" t="str">
        <f ca="1">IFERROR(__xludf.DUMMYFUNCTION("""COMPUTED_VALUE"""),"BUIN")</f>
        <v>BUIN</v>
      </c>
    </row>
    <row r="5682" spans="1:4">
      <c r="A5682" s="7">
        <f ca="1">IFERROR(__xludf.DUMMYFUNCTION("""COMPUTED_VALUE"""),44526)</f>
        <v>44526</v>
      </c>
      <c r="B5682" s="8" t="str">
        <f ca="1">IFERROR(__xludf.DUMMYFUNCTION("""COMPUTED_VALUE"""),"-33.7525423, -70.9061742")</f>
        <v>-33.7525423, -70.9061742</v>
      </c>
      <c r="C5682" s="6" t="str">
        <f ca="1">IFERROR(__xludf.DUMMYFUNCTION("""COMPUTED_VALUE"""),"SANTELICES 995")</f>
        <v>SANTELICES 995</v>
      </c>
      <c r="D5682" s="6" t="str">
        <f ca="1">IFERROR(__xludf.DUMMYFUNCTION("""COMPUTED_VALUE"""),"ISLA DE MAIPO")</f>
        <v>ISLA DE MAIPO</v>
      </c>
    </row>
    <row r="5683" spans="1:4">
      <c r="A5683" s="7">
        <f ca="1">IFERROR(__xludf.DUMMYFUNCTION("""COMPUTED_VALUE"""),44526)</f>
        <v>44526</v>
      </c>
      <c r="B5683" s="8" t="str">
        <f ca="1">IFERROR(__xludf.DUMMYFUNCTION("""COMPUTED_VALUE"""),"-33.6171187, -70.6300382")</f>
        <v>-33.6171187, -70.6300382</v>
      </c>
      <c r="C5683" s="6" t="str">
        <f ca="1">IFERROR(__xludf.DUMMYFUNCTION("""COMPUTED_VALUE"""),"EL TATIO 303")</f>
        <v>EL TATIO 303</v>
      </c>
      <c r="D5683" s="6" t="str">
        <f ca="1">IFERROR(__xludf.DUMMYFUNCTION("""COMPUTED_VALUE"""),"ISLA DE MAIPO")</f>
        <v>ISLA DE MAIPO</v>
      </c>
    </row>
    <row r="5684" spans="1:4">
      <c r="A5684" s="7">
        <f ca="1">IFERROR(__xludf.DUMMYFUNCTION("""COMPUTED_VALUE"""),44526)</f>
        <v>44526</v>
      </c>
      <c r="B5684" s="8" t="str">
        <f ca="1">IFERROR(__xludf.DUMMYFUNCTION("""COMPUTED_VALUE"""),"-33.6171184, -70.6300391")</f>
        <v>-33.6171184, -70.6300391</v>
      </c>
      <c r="C5684" s="6" t="str">
        <f ca="1">IFERROR(__xludf.DUMMYFUNCTION("""COMPUTED_VALUE"""),"SAN MARTIRIAN  722")</f>
        <v>SAN MARTIRIAN  722</v>
      </c>
      <c r="D5684" s="6" t="str">
        <f ca="1">IFERROR(__xludf.DUMMYFUNCTION("""COMPUTED_VALUE"""),"ISLA DE MAIPO")</f>
        <v>ISLA DE MAIPO</v>
      </c>
    </row>
    <row r="5685" spans="1:4">
      <c r="A5685" s="7">
        <f ca="1">IFERROR(__xludf.DUMMYFUNCTION("""COMPUTED_VALUE"""),44526)</f>
        <v>44526</v>
      </c>
      <c r="B5685" s="8" t="str">
        <f ca="1">IFERROR(__xludf.DUMMYFUNCTION("""COMPUTED_VALUE"""),"-33.774706, -70.902607")</f>
        <v>-33.774706, -70.902607</v>
      </c>
      <c r="C5685" s="6" t="str">
        <f ca="1">IFERROR(__xludf.DUMMYFUNCTION("""COMPUTED_VALUE"""),"GALVEZ 1962")</f>
        <v>GALVEZ 1962</v>
      </c>
      <c r="D5685" s="6" t="str">
        <f ca="1">IFERROR(__xludf.DUMMYFUNCTION("""COMPUTED_VALUE"""),"ISLA DE MAIPO")</f>
        <v>ISLA DE MAIPO</v>
      </c>
    </row>
    <row r="5686" spans="1:4">
      <c r="A5686" s="7">
        <f ca="1">IFERROR(__xludf.DUMMYFUNCTION("""COMPUTED_VALUE"""),44526)</f>
        <v>44526</v>
      </c>
      <c r="B5686" s="6" t="str">
        <f ca="1">IFERROR(__xludf.DUMMYFUNCTION("""COMPUTED_VALUE"""),"-33.393418-71.123486")</f>
        <v>-33.393418-71.123486</v>
      </c>
      <c r="C5686" s="6" t="str">
        <f ca="1">IFERROR(__xludf.DUMMYFUNCTION("""COMPUTED_VALUE"""),"SANTIAGO BUERAS 2152")</f>
        <v>SANTIAGO BUERAS 2152</v>
      </c>
      <c r="D5686" s="6" t="str">
        <f ca="1">IFERROR(__xludf.DUMMYFUNCTION("""COMPUTED_VALUE"""),"CURACAVI")</f>
        <v>CURACAVI</v>
      </c>
    </row>
    <row r="5687" spans="1:4">
      <c r="A5687" s="7">
        <f ca="1">IFERROR(__xludf.DUMMYFUNCTION("""COMPUTED_VALUE"""),44526)</f>
        <v>44526</v>
      </c>
      <c r="B5687" s="6" t="str">
        <f ca="1">IFERROR(__xludf.DUMMYFUNCTION("""COMPUTED_VALUE"""),"-33.27155-70.88203")</f>
        <v>-33.27155-70.88203</v>
      </c>
      <c r="C5687" s="6" t="str">
        <f ca="1">IFERROR(__xludf.DUMMYFUNCTION("""COMPUTED_VALUE"""),"CAMINO SERVIDUMBRE P-2")</f>
        <v>CAMINO SERVIDUMBRE P-2</v>
      </c>
      <c r="D5687" s="6" t="str">
        <f ca="1">IFERROR(__xludf.DUMMYFUNCTION("""COMPUTED_VALUE"""),"LAMPA")</f>
        <v>LAMPA</v>
      </c>
    </row>
    <row r="5688" spans="1:4">
      <c r="A5688" s="7">
        <f ca="1">IFERROR(__xludf.DUMMYFUNCTION("""COMPUTED_VALUE"""),44526)</f>
        <v>44526</v>
      </c>
      <c r="B5688" s="6" t="str">
        <f ca="1">IFERROR(__xludf.DUMMYFUNCTION("""COMPUTED_VALUE"""),"-33.27164-70.88207")</f>
        <v>-33.27164-70.88207</v>
      </c>
      <c r="C5688" s="6" t="str">
        <f ca="1">IFERROR(__xludf.DUMMYFUNCTION("""COMPUTED_VALUE"""),"MARTICORENA P-2")</f>
        <v>MARTICORENA P-2</v>
      </c>
      <c r="D5688" s="6" t="str">
        <f ca="1">IFERROR(__xludf.DUMMYFUNCTION("""COMPUTED_VALUE"""),"LAMPA")</f>
        <v>LAMPA</v>
      </c>
    </row>
    <row r="5689" spans="1:4">
      <c r="A5689" s="7">
        <f ca="1">IFERROR(__xludf.DUMMYFUNCTION("""COMPUTED_VALUE"""),44526)</f>
        <v>44526</v>
      </c>
      <c r="B5689" s="6" t="str">
        <f ca="1">IFERROR(__xludf.DUMMYFUNCTION("""COMPUTED_VALUE"""),"-33.580190,-70,552709")</f>
        <v>-33.580190,-70,552709</v>
      </c>
      <c r="C5689" s="6" t="str">
        <f ca="1">IFERROR(__xludf.DUMMYFUNCTION("""COMPUTED_VALUE"""),"COINCO PARC 12 A")</f>
        <v>COINCO PARC 12 A</v>
      </c>
      <c r="D5689" s="6" t="str">
        <f ca="1">IFERROR(__xludf.DUMMYFUNCTION("""COMPUTED_VALUE"""),"PIRQUE")</f>
        <v>PIRQUE</v>
      </c>
    </row>
    <row r="5690" spans="1:4">
      <c r="A5690" s="7">
        <f ca="1">IFERROR(__xludf.DUMMYFUNCTION("""COMPUTED_VALUE"""),44526)</f>
        <v>44526</v>
      </c>
      <c r="B5690" s="6" t="str">
        <f ca="1">IFERROR(__xludf.DUMMYFUNCTION("""COMPUTED_VALUE"""),"33-717005,-70.534275")</f>
        <v>33-717005,-70.534275</v>
      </c>
      <c r="C5690" s="6" t="str">
        <f ca="1">IFERROR(__xludf.DUMMYFUNCTION("""COMPUTED_VALUE"""),"CALLE DEL RIO PAR.3B")</f>
        <v>CALLE DEL RIO PAR.3B</v>
      </c>
      <c r="D5690" s="6" t="str">
        <f ca="1">IFERROR(__xludf.DUMMYFUNCTION("""COMPUTED_VALUE"""),"PIRQUE")</f>
        <v>PIRQUE</v>
      </c>
    </row>
    <row r="5691" spans="1:4">
      <c r="A5691" s="7">
        <f ca="1">IFERROR(__xludf.DUMMYFUNCTION("""COMPUTED_VALUE"""),44526)</f>
        <v>44526</v>
      </c>
      <c r="B5691" s="6" t="str">
        <f ca="1">IFERROR(__xludf.DUMMYFUNCTION("""COMPUTED_VALUE"""),"-33.709768,-70.533470")</f>
        <v>-33.709768,-70.533470</v>
      </c>
      <c r="C5691" s="6" t="str">
        <f ca="1">IFERROR(__xludf.DUMMYFUNCTION("""COMPUTED_VALUE"""),"ORILLA DEL RIO 171 LOTE1")</f>
        <v>ORILLA DEL RIO 171 LOTE1</v>
      </c>
      <c r="D5691" s="6" t="str">
        <f ca="1">IFERROR(__xludf.DUMMYFUNCTION("""COMPUTED_VALUE"""),"PIRQUE")</f>
        <v>PIRQUE</v>
      </c>
    </row>
    <row r="5692" spans="1:4">
      <c r="A5692" s="7">
        <f ca="1">IFERROR(__xludf.DUMMYFUNCTION("""COMPUTED_VALUE"""),44526)</f>
        <v>44526</v>
      </c>
      <c r="B5692" s="6" t="str">
        <f ca="1">IFERROR(__xludf.DUMMYFUNCTION("""COMPUTED_VALUE"""),"-33.717005,-70.534273")</f>
        <v>-33.717005,-70.534273</v>
      </c>
      <c r="C5692" s="6" t="str">
        <f ca="1">IFERROR(__xludf.DUMMYFUNCTION("""COMPUTED_VALUE"""),"RESERVA CORA PC14 LOTE1")</f>
        <v>RESERVA CORA PC14 LOTE1</v>
      </c>
      <c r="D5692" s="6" t="str">
        <f ca="1">IFERROR(__xludf.DUMMYFUNCTION("""COMPUTED_VALUE"""),"PIRQUE")</f>
        <v>PIRQUE</v>
      </c>
    </row>
    <row r="5693" spans="1:4">
      <c r="A5693" s="7">
        <f ca="1">IFERROR(__xludf.DUMMYFUNCTION("""COMPUTED_VALUE"""),44526)</f>
        <v>44526</v>
      </c>
      <c r="B5693" s="6" t="str">
        <f ca="1">IFERROR(__xludf.DUMMYFUNCTION("""COMPUTED_VALUE"""),"-33.741125,-71.016453")</f>
        <v>-33.741125,-71.016453</v>
      </c>
      <c r="C5693" s="6" t="str">
        <f ca="1">IFERROR(__xludf.DUMMYFUNCTION("""COMPUTED_VALUE"""),"LOS ACACIOS 58")</f>
        <v>LOS ACACIOS 58</v>
      </c>
      <c r="D5693" s="6" t="str">
        <f ca="1">IFERROR(__xludf.DUMMYFUNCTION("""COMPUTED_VALUE"""),"ISLA DE MAIPO")</f>
        <v>ISLA DE MAIPO</v>
      </c>
    </row>
    <row r="5694" spans="1:4">
      <c r="A5694" s="7">
        <f ca="1">IFERROR(__xludf.DUMMYFUNCTION("""COMPUTED_VALUE"""),44526)</f>
        <v>44526</v>
      </c>
      <c r="B5694" s="6" t="str">
        <f ca="1">IFERROR(__xludf.DUMMYFUNCTION("""COMPUTED_VALUE"""),"-33.899541,-71.405884")</f>
        <v>-33.899541,-71.405884</v>
      </c>
      <c r="C5694" s="6" t="str">
        <f ca="1">IFERROR(__xludf.DUMMYFUNCTION("""COMPUTED_VALUE"""),"FARELLONES 261")</f>
        <v>FARELLONES 261</v>
      </c>
      <c r="D5694" s="6" t="str">
        <f ca="1">IFERROR(__xludf.DUMMYFUNCTION("""COMPUTED_VALUE"""),"ISLA DE MAIPO")</f>
        <v>ISLA DE MAIPO</v>
      </c>
    </row>
    <row r="5695" spans="1:4">
      <c r="A5695" s="7">
        <f ca="1">IFERROR(__xludf.DUMMYFUNCTION("""COMPUTED_VALUE"""),44527)</f>
        <v>44527</v>
      </c>
      <c r="B5695" s="6" t="str">
        <f ca="1">IFERROR(__xludf.DUMMYFUNCTION("""COMPUTED_VALUE"""),"-33.15116-70.79552")</f>
        <v>-33.15116-70.79552</v>
      </c>
      <c r="C5695" s="6" t="str">
        <f ca="1">IFERROR(__xludf.DUMMYFUNCTION("""COMPUTED_VALUE"""),"DOS ORIENTE L4")</f>
        <v>DOS ORIENTE L4</v>
      </c>
      <c r="D5695" s="6" t="str">
        <f ca="1">IFERROR(__xludf.DUMMYFUNCTION("""COMPUTED_VALUE"""),"TIL TIL")</f>
        <v>TIL TIL</v>
      </c>
    </row>
    <row r="5696" spans="1:4">
      <c r="A5696" s="7">
        <f ca="1">IFERROR(__xludf.DUMMYFUNCTION("""COMPUTED_VALUE"""),44527)</f>
        <v>44527</v>
      </c>
      <c r="B5696" s="6" t="str">
        <f ca="1">IFERROR(__xludf.DUMMYFUNCTION("""COMPUTED_VALUE"""),"-33.15009-70.79612")</f>
        <v>-33.15009-70.79612</v>
      </c>
      <c r="C5696" s="6" t="str">
        <f ca="1">IFERROR(__xludf.DUMMYFUNCTION("""COMPUTED_VALUE"""),"1 ORIENTE 560")</f>
        <v>1 ORIENTE 560</v>
      </c>
      <c r="D5696" s="6" t="str">
        <f ca="1">IFERROR(__xludf.DUMMYFUNCTION("""COMPUTED_VALUE"""),"TIL TIL")</f>
        <v>TIL TIL</v>
      </c>
    </row>
    <row r="5697" spans="1:4">
      <c r="A5697" s="7">
        <f ca="1">IFERROR(__xludf.DUMMYFUNCTION("""COMPUTED_VALUE"""),44527)</f>
        <v>44527</v>
      </c>
      <c r="B5697" s="6" t="str">
        <f ca="1">IFERROR(__xludf.DUMMYFUNCTION("""COMPUTED_VALUE"""),"-33.708951,-70.538078")</f>
        <v>-33.708951,-70.538078</v>
      </c>
      <c r="C5697" s="6" t="str">
        <f ca="1">IFERROR(__xludf.DUMMYFUNCTION("""COMPUTED_VALUE"""),"ORILLA DEL RIO LOTE1")</f>
        <v>ORILLA DEL RIO LOTE1</v>
      </c>
      <c r="D5697" s="6" t="str">
        <f ca="1">IFERROR(__xludf.DUMMYFUNCTION("""COMPUTED_VALUE"""),"PIRQUE")</f>
        <v>PIRQUE</v>
      </c>
    </row>
    <row r="5698" spans="1:4">
      <c r="A5698" s="7">
        <f ca="1">IFERROR(__xludf.DUMMYFUNCTION("""COMPUTED_VALUE"""),44527)</f>
        <v>44527</v>
      </c>
      <c r="B5698" s="6" t="str">
        <f ca="1">IFERROR(__xludf.DUMMYFUNCTION("""COMPUTED_VALUE"""),"-33.668964,-70.556418")</f>
        <v>-33.668964,-70.556418</v>
      </c>
      <c r="C5698" s="6" t="str">
        <f ca="1">IFERROR(__xludf.DUMMYFUNCTION("""COMPUTED_VALUE"""),"PABLO NERUDA 364")</f>
        <v>PABLO NERUDA 364</v>
      </c>
      <c r="D5698" s="6" t="str">
        <f ca="1">IFERROR(__xludf.DUMMYFUNCTION("""COMPUTED_VALUE"""),"PIRQUE")</f>
        <v>PIRQUE</v>
      </c>
    </row>
    <row r="5699" spans="1:4">
      <c r="A5699" s="7">
        <f ca="1">IFERROR(__xludf.DUMMYFUNCTION("""COMPUTED_VALUE"""),44527)</f>
        <v>44527</v>
      </c>
      <c r="B5699" s="6" t="str">
        <f ca="1">IFERROR(__xludf.DUMMYFUNCTION("""COMPUTED_VALUE"""),"-33.899541,-71.405884")</f>
        <v>-33.899541,-71.405884</v>
      </c>
      <c r="C5699" s="6" t="str">
        <f ca="1">IFERROR(__xludf.DUMMYFUNCTION("""COMPUTED_VALUE"""),"LOS CULENES S/N")</f>
        <v>LOS CULENES S/N</v>
      </c>
      <c r="D5699" s="6" t="str">
        <f ca="1">IFERROR(__xludf.DUMMYFUNCTION("""COMPUTED_VALUE"""),"SAN PEDRO")</f>
        <v>SAN PEDRO</v>
      </c>
    </row>
    <row r="5700" spans="1:4">
      <c r="A5700" s="7">
        <f ca="1">IFERROR(__xludf.DUMMYFUNCTION("""COMPUTED_VALUE"""),44529)</f>
        <v>44529</v>
      </c>
      <c r="B5700" s="6" t="str">
        <f ca="1">IFERROR(__xludf.DUMMYFUNCTION("""COMPUTED_VALUE"""),"-33.6632934-70.501508")</f>
        <v>-33.6632934-70.501508</v>
      </c>
      <c r="C5700" s="6" t="str">
        <f ca="1">IFERROR(__xludf.DUMMYFUNCTION("""COMPUTED_VALUE"""),"SAN JOSE ALTO S/N")</f>
        <v>SAN JOSE ALTO S/N</v>
      </c>
      <c r="D5700" s="6" t="str">
        <f ca="1">IFERROR(__xludf.DUMMYFUNCTION("""COMPUTED_VALUE"""),"SAN JOSE DE MAIPO")</f>
        <v>SAN JOSE DE MAIPO</v>
      </c>
    </row>
    <row r="5701" spans="1:4">
      <c r="A5701" s="7">
        <f ca="1">IFERROR(__xludf.DUMMYFUNCTION("""COMPUTED_VALUE"""),44529)</f>
        <v>44529</v>
      </c>
      <c r="B5701" s="6" t="str">
        <f ca="1">IFERROR(__xludf.DUMMYFUNCTION("""COMPUTED_VALUE"""),"-33.6401044-70.3513848")</f>
        <v>-33.6401044-70.3513848</v>
      </c>
      <c r="C5701" s="6" t="str">
        <f ca="1">IFERROR(__xludf.DUMMYFUNCTION("""COMPUTED_VALUE"""),"AV. DEL CERRO 376")</f>
        <v>AV. DEL CERRO 376</v>
      </c>
      <c r="D5701" s="6" t="str">
        <f ca="1">IFERROR(__xludf.DUMMYFUNCTION("""COMPUTED_VALUE"""),"SAN JOSE DE MAIPO")</f>
        <v>SAN JOSE DE MAIPO</v>
      </c>
    </row>
    <row r="5702" spans="1:4">
      <c r="A5702" s="7">
        <f ca="1">IFERROR(__xludf.DUMMYFUNCTION("""COMPUTED_VALUE"""),44529)</f>
        <v>44529</v>
      </c>
      <c r="B5702" s="6" t="str">
        <f ca="1">IFERROR(__xludf.DUMMYFUNCTION("""COMPUTED_VALUE"""),"-33.668964,-70.556418")</f>
        <v>-33.668964,-70.556418</v>
      </c>
      <c r="C5702" s="6" t="str">
        <f ca="1">IFERROR(__xludf.DUMMYFUNCTION("""COMPUTED_VALUE"""),"MANUEL VEGA 2670")</f>
        <v>MANUEL VEGA 2670</v>
      </c>
      <c r="D5702" s="6" t="str">
        <f ca="1">IFERROR(__xludf.DUMMYFUNCTION("""COMPUTED_VALUE"""),"PIRQUE")</f>
        <v>PIRQUE</v>
      </c>
    </row>
    <row r="5703" spans="1:4">
      <c r="A5703" s="7">
        <f ca="1">IFERROR(__xludf.DUMMYFUNCTION("""COMPUTED_VALUE"""),44529)</f>
        <v>44529</v>
      </c>
      <c r="B5703" s="6" t="str">
        <f ca="1">IFERROR(__xludf.DUMMYFUNCTION("""COMPUTED_VALUE"""),"-33.6766669,-70.6176782")</f>
        <v>-33.6766669,-70.6176782</v>
      </c>
      <c r="C5703" s="6" t="str">
        <f ca="1">IFERROR(__xludf.DUMMYFUNCTION("""COMPUTED_VALUE"""),"LOS QUILLAYES 24B")</f>
        <v>LOS QUILLAYES 24B</v>
      </c>
      <c r="D5703" s="6" t="str">
        <f ca="1">IFERROR(__xludf.DUMMYFUNCTION("""COMPUTED_VALUE"""),"PIRQUE")</f>
        <v>PIRQUE</v>
      </c>
    </row>
    <row r="5704" spans="1:4">
      <c r="A5704" s="7">
        <f ca="1">IFERROR(__xludf.DUMMYFUNCTION("""COMPUTED_VALUE"""),44529)</f>
        <v>44529</v>
      </c>
      <c r="B5704" s="6" t="str">
        <f ca="1">IFERROR(__xludf.DUMMYFUNCTION("""COMPUTED_VALUE"""),"-33.425625,-70.31597W")</f>
        <v>-33.425625,-70.31597W</v>
      </c>
      <c r="C5704" s="6" t="str">
        <f ca="1">IFERROR(__xludf.DUMMYFUNCTION("""COMPUTED_VALUE"""),"RESERVA CORA PC12 LOTE1")</f>
        <v>RESERVA CORA PC12 LOTE1</v>
      </c>
      <c r="D5704" s="6" t="str">
        <f ca="1">IFERROR(__xludf.DUMMYFUNCTION("""COMPUTED_VALUE"""),"PIRQUE")</f>
        <v>PIRQUE</v>
      </c>
    </row>
    <row r="5705" spans="1:4">
      <c r="A5705" s="7">
        <f ca="1">IFERROR(__xludf.DUMMYFUNCTION("""COMPUTED_VALUE"""),44529)</f>
        <v>44529</v>
      </c>
      <c r="B5705" s="6" t="str">
        <f ca="1">IFERROR(__xludf.DUMMYFUNCTION("""COMPUTED_VALUE"""),"-33.742103,-70.889938")</f>
        <v>-33.742103,-70.889938</v>
      </c>
      <c r="C5705" s="6" t="str">
        <f ca="1">IFERROR(__xludf.DUMMYFUNCTION("""COMPUTED_VALUE"""),"PARCELA  SANTA LUCIA  12 S/N")</f>
        <v>PARCELA  SANTA LUCIA  12 S/N</v>
      </c>
      <c r="D5705" s="6" t="str">
        <f ca="1">IFERROR(__xludf.DUMMYFUNCTION("""COMPUTED_VALUE"""),"ISLA DE MAIPO")</f>
        <v>ISLA DE MAIPO</v>
      </c>
    </row>
    <row r="5706" spans="1:4">
      <c r="A5706" s="7">
        <f ca="1">IFERROR(__xludf.DUMMYFUNCTION("""COMPUTED_VALUE"""),44529)</f>
        <v>44529</v>
      </c>
      <c r="B5706" s="6" t="str">
        <f ca="1">IFERROR(__xludf.DUMMYFUNCTION("""COMPUTED_VALUE"""),"-33.933300,-71.471655")</f>
        <v>-33.933300,-71.471655</v>
      </c>
      <c r="C5706" s="6" t="str">
        <f ca="1">IFERROR(__xludf.DUMMYFUNCTION("""COMPUTED_VALUE"""),"EL YALI S/N")</f>
        <v>EL YALI S/N</v>
      </c>
      <c r="D5706" s="6" t="str">
        <f ca="1">IFERROR(__xludf.DUMMYFUNCTION("""COMPUTED_VALUE"""),"SAN PEDRO")</f>
        <v>SAN PEDRO</v>
      </c>
    </row>
    <row r="5707" spans="1:4">
      <c r="A5707" s="7">
        <f ca="1">IFERROR(__xludf.DUMMYFUNCTION("""COMPUTED_VALUE"""),44529)</f>
        <v>44529</v>
      </c>
      <c r="B5707" s="6" t="str">
        <f ca="1">IFERROR(__xludf.DUMMYFUNCTION("""COMPUTED_VALUE"""),"-33.933300,-71.471655")</f>
        <v>-33.933300,-71.471655</v>
      </c>
      <c r="C5707" s="6" t="str">
        <f ca="1">IFERROR(__xludf.DUMMYFUNCTION("""COMPUTED_VALUE"""),"EL YALI S/N")</f>
        <v>EL YALI S/N</v>
      </c>
      <c r="D5707" s="6" t="str">
        <f ca="1">IFERROR(__xludf.DUMMYFUNCTION("""COMPUTED_VALUE"""),"SAN PEDRO")</f>
        <v>SAN PEDRO</v>
      </c>
    </row>
    <row r="5708" spans="1:4">
      <c r="A5708" s="7">
        <f ca="1">IFERROR(__xludf.DUMMYFUNCTION("""COMPUTED_VALUE"""),44529)</f>
        <v>44529</v>
      </c>
      <c r="B5708" s="8" t="str">
        <f ca="1">IFERROR(__xludf.DUMMYFUNCTION("""COMPUTED_VALUE"""),"-33.680006,-71.231338")</f>
        <v>-33.680006,-71.231338</v>
      </c>
      <c r="C5708" s="6" t="str">
        <f ca="1">IFERROR(__xludf.DUMMYFUNCTION("""COMPUTED_VALUE"""),"PAPA JUAN PABLO II 2069")</f>
        <v>PAPA JUAN PABLO II 2069</v>
      </c>
      <c r="D5708" s="6" t="str">
        <f ca="1">IFERROR(__xludf.DUMMYFUNCTION("""COMPUTED_VALUE"""),"MELIPILLA")</f>
        <v>MELIPILLA</v>
      </c>
    </row>
    <row r="5709" spans="1:4">
      <c r="A5709" s="7">
        <f ca="1">IFERROR(__xludf.DUMMYFUNCTION("""COMPUTED_VALUE"""),44529)</f>
        <v>44529</v>
      </c>
      <c r="B5709" s="8" t="str">
        <f ca="1">IFERROR(__xludf.DUMMYFUNCTION("""COMPUTED_VALUE"""),"-33.800747,-71.294792")</f>
        <v>-33.800747,-71.294792</v>
      </c>
      <c r="C5709" s="6" t="str">
        <f ca="1">IFERROR(__xludf.DUMMYFUNCTION("""COMPUTED_VALUE"""),"POPETA, LAS PARCELAS PAR 188")</f>
        <v>POPETA, LAS PARCELAS PAR 188</v>
      </c>
      <c r="D5709" s="6" t="str">
        <f ca="1">IFERROR(__xludf.DUMMYFUNCTION("""COMPUTED_VALUE"""),"MELIPILLA")</f>
        <v>MELIPILLA</v>
      </c>
    </row>
    <row r="5710" spans="1:4">
      <c r="A5710" s="7">
        <f ca="1">IFERROR(__xludf.DUMMYFUNCTION("""COMPUTED_VALUE"""),44529)</f>
        <v>44529</v>
      </c>
      <c r="B5710" s="8" t="str">
        <f ca="1">IFERROR(__xludf.DUMMYFUNCTION("""COMPUTED_VALUE"""),"-33.182169,-70.671740")</f>
        <v>-33.182169,-70.671740</v>
      </c>
      <c r="C5710" s="6" t="str">
        <f ca="1">IFERROR(__xludf.DUMMYFUNCTION("""COMPUTED_VALUE"""),"PASAJE DIEGO DUBLE 2066")</f>
        <v>PASAJE DIEGO DUBLE 2066</v>
      </c>
      <c r="D5710" s="6" t="str">
        <f ca="1">IFERROR(__xludf.DUMMYFUNCTION("""COMPUTED_VALUE"""),"COLINA")</f>
        <v>COLINA</v>
      </c>
    </row>
    <row r="5711" spans="1:4">
      <c r="A5711" s="7">
        <f ca="1">IFERROR(__xludf.DUMMYFUNCTION("""COMPUTED_VALUE"""),44529)</f>
        <v>44529</v>
      </c>
      <c r="B5711" s="6" t="str">
        <f ca="1">IFERROR(__xludf.DUMMYFUNCTION("""COMPUTED_VALUE"""),"-33.796724,-70.680803")</f>
        <v>-33.796724,-70.680803</v>
      </c>
      <c r="C5711" s="6" t="str">
        <f ca="1">IFERROR(__xludf.DUMMYFUNCTION("""COMPUTED_VALUE"""),"RUCAHUE 27")</f>
        <v>RUCAHUE 27</v>
      </c>
      <c r="D5711" s="6" t="str">
        <f ca="1">IFERROR(__xludf.DUMMYFUNCTION("""COMPUTED_VALUE"""),"PAINE")</f>
        <v>PAINE</v>
      </c>
    </row>
    <row r="5712" spans="1:4">
      <c r="A5712" s="7">
        <f ca="1">IFERROR(__xludf.DUMMYFUNCTION("""COMPUTED_VALUE"""),44529)</f>
        <v>44529</v>
      </c>
      <c r="B5712" s="6" t="str">
        <f ca="1">IFERROR(__xludf.DUMMYFUNCTION("""COMPUTED_VALUE"""),"-33.797568,-70.680889")</f>
        <v>-33.797568,-70.680889</v>
      </c>
      <c r="C5712" s="6" t="str">
        <f ca="1">IFERROR(__xludf.DUMMYFUNCTION("""COMPUTED_VALUE"""),"RUCAHUE 54")</f>
        <v>RUCAHUE 54</v>
      </c>
      <c r="D5712" s="6" t="str">
        <f ca="1">IFERROR(__xludf.DUMMYFUNCTION("""COMPUTED_VALUE"""),"PAINE")</f>
        <v>PAINE</v>
      </c>
    </row>
    <row r="5713" spans="1:4">
      <c r="A5713" s="7">
        <f ca="1">IFERROR(__xludf.DUMMYFUNCTION("""COMPUTED_VALUE"""),44529)</f>
        <v>44529</v>
      </c>
      <c r="B5713" s="6" t="str">
        <f ca="1">IFERROR(__xludf.DUMMYFUNCTION("""COMPUTED_VALUE"""),"-33.801606,-70.681387")</f>
        <v>-33.801606,-70.681387</v>
      </c>
      <c r="C5713" s="6" t="str">
        <f ca="1">IFERROR(__xludf.DUMMYFUNCTION("""COMPUTED_VALUE"""),"24 DE ABRIL LOTE 77 17B")</f>
        <v>24 DE ABRIL LOTE 77 17B</v>
      </c>
      <c r="D5713" s="6" t="str">
        <f ca="1">IFERROR(__xludf.DUMMYFUNCTION("""COMPUTED_VALUE"""),"PAINE")</f>
        <v>PAINE</v>
      </c>
    </row>
    <row r="5714" spans="1:4">
      <c r="A5714" s="7">
        <f ca="1">IFERROR(__xludf.DUMMYFUNCTION("""COMPUTED_VALUE"""),44529)</f>
        <v>44529</v>
      </c>
      <c r="B5714" s="6" t="str">
        <f ca="1">IFERROR(__xludf.DUMMYFUNCTION("""COMPUTED_VALUE"""),"-33.800547,-70.680661")</f>
        <v>-33.800547,-70.680661</v>
      </c>
      <c r="C5714" s="6" t="str">
        <f ca="1">IFERROR(__xludf.DUMMYFUNCTION("""COMPUTED_VALUE"""),"24 DE ABRIL LOTE 77 77C")</f>
        <v>24 DE ABRIL LOTE 77 77C</v>
      </c>
      <c r="D5714" s="6" t="str">
        <f ca="1">IFERROR(__xludf.DUMMYFUNCTION("""COMPUTED_VALUE"""),"PAINE")</f>
        <v>PAINE</v>
      </c>
    </row>
    <row r="5715" spans="1:4">
      <c r="A5715" s="7">
        <f ca="1">IFERROR(__xludf.DUMMYFUNCTION("""COMPUTED_VALUE"""),44529)</f>
        <v>44529</v>
      </c>
      <c r="B5715" s="6" t="str">
        <f ca="1">IFERROR(__xludf.DUMMYFUNCTION("""COMPUTED_VALUE"""),"-33.800549,-70.681790")</f>
        <v>-33.800549,-70.681790</v>
      </c>
      <c r="C5715" s="6" t="str">
        <f ca="1">IFERROR(__xludf.DUMMYFUNCTION("""COMPUTED_VALUE"""),"TRANSITO SITIO 79")</f>
        <v>TRANSITO SITIO 79</v>
      </c>
      <c r="D5715" s="6" t="str">
        <f ca="1">IFERROR(__xludf.DUMMYFUNCTION("""COMPUTED_VALUE"""),"PAINE")</f>
        <v>PAINE</v>
      </c>
    </row>
    <row r="5716" spans="1:4">
      <c r="A5716" s="7">
        <f ca="1">IFERROR(__xludf.DUMMYFUNCTION("""COMPUTED_VALUE"""),44530)</f>
        <v>44530</v>
      </c>
      <c r="B5716" s="6" t="str">
        <f ca="1">IFERROR(__xludf.DUMMYFUNCTION("""COMPUTED_VALUE"""),"-33.6379101-70.3556911")</f>
        <v>-33.6379101-70.3556911</v>
      </c>
      <c r="C5716" s="6" t="str">
        <f ca="1">IFERROR(__xludf.DUMMYFUNCTION("""COMPUTED_VALUE"""),"SIN CALLE S/N")</f>
        <v>SIN CALLE S/N</v>
      </c>
      <c r="D5716" s="6" t="str">
        <f ca="1">IFERROR(__xludf.DUMMYFUNCTION("""COMPUTED_VALUE"""),"SAN JOSE DE MAIPO")</f>
        <v>SAN JOSE DE MAIPO</v>
      </c>
    </row>
    <row r="5717" spans="1:4">
      <c r="A5717" s="7">
        <f ca="1">IFERROR(__xludf.DUMMYFUNCTION("""COMPUTED_VALUE"""),44530)</f>
        <v>44530</v>
      </c>
      <c r="B5717" s="6" t="str">
        <f ca="1">IFERROR(__xludf.DUMMYFUNCTION("""COMPUTED_VALUE"""),"-33.6456931-70.3558671")</f>
        <v>-33.6456931-70.3558671</v>
      </c>
      <c r="C5717" s="6" t="str">
        <f ca="1">IFERROR(__xludf.DUMMYFUNCTION("""COMPUTED_VALUE"""),"CAMINO AL VOLCAN 20503")</f>
        <v>CAMINO AL VOLCAN 20503</v>
      </c>
      <c r="D5717" s="6" t="str">
        <f ca="1">IFERROR(__xludf.DUMMYFUNCTION("""COMPUTED_VALUE"""),"SAN JOSE DE MAIPO")</f>
        <v>SAN JOSE DE MAIPO</v>
      </c>
    </row>
    <row r="5718" spans="1:4">
      <c r="A5718" s="7">
        <f ca="1">IFERROR(__xludf.DUMMYFUNCTION("""COMPUTED_VALUE"""),44530)</f>
        <v>44530</v>
      </c>
      <c r="B5718" s="6" t="str">
        <f ca="1">IFERROR(__xludf.DUMMYFUNCTION("""COMPUTED_VALUE"""),"-33.424075,-70.31557W")</f>
        <v>-33.424075,-70.31557W</v>
      </c>
      <c r="C5718" s="6" t="str">
        <f ca="1">IFERROR(__xludf.DUMMYFUNCTION("""COMPUTED_VALUE"""),"RESERVA CORA PC26")</f>
        <v>RESERVA CORA PC26</v>
      </c>
      <c r="D5718" s="6" t="str">
        <f ca="1">IFERROR(__xludf.DUMMYFUNCTION("""COMPUTED_VALUE"""),"PIRQUE")</f>
        <v>PIRQUE</v>
      </c>
    </row>
    <row r="5719" spans="1:4">
      <c r="A5719" s="7">
        <f ca="1">IFERROR(__xludf.DUMMYFUNCTION("""COMPUTED_VALUE"""),44530)</f>
        <v>44530</v>
      </c>
      <c r="B5719" s="6" t="str">
        <f ca="1">IFERROR(__xludf.DUMMYFUNCTION("""COMPUTED_VALUE"""),"-33.675916,-70.582476")</f>
        <v>-33.675916,-70.582476</v>
      </c>
      <c r="C5719" s="6" t="str">
        <f ca="1">IFERROR(__xludf.DUMMYFUNCTION("""COMPUTED_VALUE"""),"PJE LAS ORQUIDEAS 3966")</f>
        <v>PJE LAS ORQUIDEAS 3966</v>
      </c>
      <c r="D5719" s="6" t="str">
        <f ca="1">IFERROR(__xludf.DUMMYFUNCTION("""COMPUTED_VALUE"""),"PIRQUE")</f>
        <v>PIRQUE</v>
      </c>
    </row>
    <row r="5720" spans="1:4">
      <c r="A5720" s="7">
        <f ca="1">IFERROR(__xludf.DUMMYFUNCTION("""COMPUTED_VALUE"""),44530)</f>
        <v>44530</v>
      </c>
      <c r="B5720" s="6" t="str">
        <f ca="1">IFERROR(__xludf.DUMMYFUNCTION("""COMPUTED_VALUE"""),"-33.8034813,-70.7160433")</f>
        <v>-33.8034813,-70.7160433</v>
      </c>
      <c r="C5720" s="6" t="str">
        <f ca="1">IFERROR(__xludf.DUMMYFUNCTION("""COMPUTED_VALUE"""),"PASAJE UNO 295")</f>
        <v>PASAJE UNO 295</v>
      </c>
      <c r="D5720" s="6" t="str">
        <f ca="1">IFERROR(__xludf.DUMMYFUNCTION("""COMPUTED_VALUE"""),"PAINE")</f>
        <v>PAINE</v>
      </c>
    </row>
    <row r="5721" spans="1:4">
      <c r="A5721" s="7">
        <f ca="1">IFERROR(__xludf.DUMMYFUNCTION("""COMPUTED_VALUE"""),44530)</f>
        <v>44530</v>
      </c>
      <c r="B5721" s="6" t="str">
        <f ca="1">IFERROR(__xludf.DUMMYFUNCTION("""COMPUTED_VALUE"""),"-33.4576281,-71.0945953")</f>
        <v>-33.4576281,-71.0945953</v>
      </c>
      <c r="C5721" s="6" t="str">
        <f ca="1">IFERROR(__xludf.DUMMYFUNCTION("""COMPUTED_VALUE"""),"LOS ESPINOS CV2")</f>
        <v>LOS ESPINOS CV2</v>
      </c>
      <c r="D5721" s="6" t="str">
        <f ca="1">IFERROR(__xludf.DUMMYFUNCTION("""COMPUTED_VALUE"""),"MARIA PINTO")</f>
        <v>MARIA PINTO</v>
      </c>
    </row>
    <row r="5722" spans="1:4">
      <c r="A5722" s="7">
        <f ca="1">IFERROR(__xludf.DUMMYFUNCTION("""COMPUTED_VALUE"""),44530)</f>
        <v>44530</v>
      </c>
      <c r="B5722" s="6" t="str">
        <f ca="1">IFERROR(__xludf.DUMMYFUNCTION("""COMPUTED_VALUE"""),"-33423955,-70.31567W")</f>
        <v>-33423955,-70.31567W</v>
      </c>
      <c r="C5722" s="6" t="str">
        <f ca="1">IFERROR(__xludf.DUMMYFUNCTION("""COMPUTED_VALUE"""),"RESERVA CORA PC2A")</f>
        <v>RESERVA CORA PC2A</v>
      </c>
      <c r="D5722" s="6" t="str">
        <f ca="1">IFERROR(__xludf.DUMMYFUNCTION("""COMPUTED_VALUE"""),"PIRQUE")</f>
        <v>PIRQUE</v>
      </c>
    </row>
    <row r="5723" spans="1:4">
      <c r="A5723" s="7">
        <f ca="1">IFERROR(__xludf.DUMMYFUNCTION("""COMPUTED_VALUE"""),44530)</f>
        <v>44530</v>
      </c>
      <c r="B5723" s="6" t="str">
        <f ca="1">IFERROR(__xludf.DUMMYFUNCTION("""COMPUTED_VALUE"""),"-33.897681,-71.468958")</f>
        <v>-33.897681,-71.468958</v>
      </c>
      <c r="C5723" s="6" t="str">
        <f ca="1">IFERROR(__xludf.DUMMYFUNCTION("""COMPUTED_VALUE"""),"LINGO LINGO 1 CV13 ")</f>
        <v xml:space="preserve">LINGO LINGO 1 CV13 </v>
      </c>
      <c r="D5723" s="6" t="str">
        <f ca="1">IFERROR(__xludf.DUMMYFUNCTION("""COMPUTED_VALUE"""),"SAN PEDRO")</f>
        <v>SAN PEDRO</v>
      </c>
    </row>
    <row r="5724" spans="1:4">
      <c r="A5724" s="7">
        <f ca="1">IFERROR(__xludf.DUMMYFUNCTION("""COMPUTED_VALUE"""),44530)</f>
        <v>44530</v>
      </c>
      <c r="B5724" s="6" t="str">
        <f ca="1">IFERROR(__xludf.DUMMYFUNCTION("""COMPUTED_VALUE"""),"-33.781161,-70.883082")</f>
        <v>-33.781161,-70.883082</v>
      </c>
      <c r="C5724" s="6" t="str">
        <f ca="1">IFERROR(__xludf.DUMMYFUNCTION("""COMPUTED_VALUE"""),"LAS MERCEDES 1139")</f>
        <v>LAS MERCEDES 1139</v>
      </c>
      <c r="D5724" s="6" t="str">
        <f ca="1">IFERROR(__xludf.DUMMYFUNCTION("""COMPUTED_VALUE"""),"ISLA DE MAIPO")</f>
        <v>ISLA DE MAIPO</v>
      </c>
    </row>
    <row r="5725" spans="1:4">
      <c r="A5725" s="7">
        <f ca="1">IFERROR(__xludf.DUMMYFUNCTION("""COMPUTED_VALUE"""),44530)</f>
        <v>44530</v>
      </c>
      <c r="B5725" s="6" t="str">
        <f ca="1">IFERROR(__xludf.DUMMYFUNCTION("""COMPUTED_VALUE"""),"-33.741588,-70.866619")</f>
        <v>-33.741588,-70.866619</v>
      </c>
      <c r="C5725" s="6" t="str">
        <f ca="1">IFERROR(__xludf.DUMMYFUNCTION("""COMPUTED_VALUE"""),"SANTA MARGARITA  3816")</f>
        <v>SANTA MARGARITA  3816</v>
      </c>
      <c r="D5725" s="6" t="str">
        <f ca="1">IFERROR(__xludf.DUMMYFUNCTION("""COMPUTED_VALUE"""),"ISLA DE MAIPO")</f>
        <v>ISLA DE MAIPO</v>
      </c>
    </row>
    <row r="5726" spans="1:4">
      <c r="A5726" s="7">
        <f ca="1">IFERROR(__xludf.DUMMYFUNCTION("""COMPUTED_VALUE"""),44530)</f>
        <v>44530</v>
      </c>
      <c r="B5726" s="8" t="str">
        <f ca="1">IFERROR(__xludf.DUMMYFUNCTION("""COMPUTED_VALUE"""),"-33.744837,-70.680528")</f>
        <v>-33.744837,-70.680528</v>
      </c>
      <c r="C5726" s="6" t="str">
        <f ca="1">IFERROR(__xludf.DUMMYFUNCTION("""COMPUTED_VALUE"""),"PASAJE CARLOS CORTES 61")</f>
        <v>PASAJE CARLOS CORTES 61</v>
      </c>
      <c r="D5726" s="6" t="str">
        <f ca="1">IFERROR(__xludf.DUMMYFUNCTION("""COMPUTED_VALUE"""),"BUIN")</f>
        <v>BUIN</v>
      </c>
    </row>
    <row r="5727" spans="1:4">
      <c r="A5727" s="7">
        <f ca="1">IFERROR(__xludf.DUMMYFUNCTION("""COMPUTED_VALUE"""),44530)</f>
        <v>44530</v>
      </c>
      <c r="B5727" s="8" t="str">
        <f ca="1">IFERROR(__xludf.DUMMYFUNCTION("""COMPUTED_VALUE"""),"-33.730691,-71.185823")</f>
        <v>-33.730691,-71.185823</v>
      </c>
      <c r="C5727" s="6" t="str">
        <f ca="1">IFERROR(__xludf.DUMMYFUNCTION("""COMPUTED_VALUE"""),"PARCELA 13 CARMEN BAJO ")</f>
        <v xml:space="preserve">PARCELA 13 CARMEN BAJO </v>
      </c>
      <c r="D5727" s="6" t="str">
        <f ca="1">IFERROR(__xludf.DUMMYFUNCTION("""COMPUTED_VALUE"""),"MELIPILLA")</f>
        <v>MELIPILLA</v>
      </c>
    </row>
    <row r="5728" spans="1:4">
      <c r="A5728" s="7">
        <f ca="1">IFERROR(__xludf.DUMMYFUNCTION("""COMPUTED_VALUE"""),44530)</f>
        <v>44530</v>
      </c>
      <c r="B5728" s="8" t="str">
        <f ca="1">IFERROR(__xludf.DUMMYFUNCTION("""COMPUTED_VALUE"""),"-33.721013,-70.736621")</f>
        <v>-33.721013,-70.736621</v>
      </c>
      <c r="C5728" s="6" t="str">
        <f ca="1">IFERROR(__xludf.DUMMYFUNCTION("""COMPUTED_VALUE"""),"PASAJE 19, 29 VILLA EL SOLAR")</f>
        <v>PASAJE 19, 29 VILLA EL SOLAR</v>
      </c>
      <c r="D5728" s="6" t="str">
        <f ca="1">IFERROR(__xludf.DUMMYFUNCTION("""COMPUTED_VALUE"""),"BUIN")</f>
        <v>BUIN</v>
      </c>
    </row>
    <row r="5729" spans="1:4">
      <c r="A5729" s="7">
        <f ca="1">IFERROR(__xludf.DUMMYFUNCTION("""COMPUTED_VALUE"""),44530)</f>
        <v>44530</v>
      </c>
      <c r="B5729" s="8" t="str">
        <f ca="1">IFERROR(__xludf.DUMMYFUNCTION("""COMPUTED_VALUE"""),"-33.770567,-71.278530")</f>
        <v>-33.770567,-71.278530</v>
      </c>
      <c r="C5729" s="6" t="str">
        <f ca="1">IFERROR(__xludf.DUMMYFUNCTION("""COMPUTED_VALUE"""),"LAS HIJUELAS EL MOLINO LOTE 2 E")</f>
        <v>LAS HIJUELAS EL MOLINO LOTE 2 E</v>
      </c>
      <c r="D5729" s="6" t="str">
        <f ca="1">IFERROR(__xludf.DUMMYFUNCTION("""COMPUTED_VALUE"""),"MELIPILLA")</f>
        <v>MELIPILLA</v>
      </c>
    </row>
    <row r="5730" spans="1:4">
      <c r="A5730" s="7">
        <f ca="1">IFERROR(__xludf.DUMMYFUNCTION("""COMPUTED_VALUE"""),44530)</f>
        <v>44530</v>
      </c>
      <c r="B5730" s="6" t="str">
        <f ca="1">IFERROR(__xludf.DUMMYFUNCTION("""COMPUTED_VALUE"""),"-33.0428-71.4716")</f>
        <v>-33.0428-71.4716</v>
      </c>
      <c r="C5730" s="6" t="str">
        <f ca="1">IFERROR(__xludf.DUMMYFUNCTION("""COMPUTED_VALUE"""),"SOLIDARIDAD 0162")</f>
        <v>SOLIDARIDAD 0162</v>
      </c>
      <c r="D5730" s="6" t="str">
        <f ca="1">IFERROR(__xludf.DUMMYFUNCTION("""COMPUTED_VALUE"""),"QUILPUÉ")</f>
        <v>QUILPUÉ</v>
      </c>
    </row>
    <row r="5731" spans="1:4">
      <c r="A5731" s="7">
        <f ca="1">IFERROR(__xludf.DUMMYFUNCTION("""COMPUTED_VALUE"""),44530)</f>
        <v>44530</v>
      </c>
      <c r="B5731" s="6" t="str">
        <f ca="1">IFERROR(__xludf.DUMMYFUNCTION("""COMPUTED_VALUE"""),"-33.0413-71.4739")</f>
        <v>-33.0413-71.4739</v>
      </c>
      <c r="C5731" s="6" t="str">
        <f ca="1">IFERROR(__xludf.DUMMYFUNCTION("""COMPUTED_VALUE"""),"SIETE 01839 CASA 14")</f>
        <v>SIETE 01839 CASA 14</v>
      </c>
      <c r="D5731" s="6" t="str">
        <f ca="1">IFERROR(__xludf.DUMMYFUNCTION("""COMPUTED_VALUE"""),"QUILPUÉ")</f>
        <v>QUILPUÉ</v>
      </c>
    </row>
    <row r="5732" spans="1:4">
      <c r="A5732" s="7">
        <f ca="1">IFERROR(__xludf.DUMMYFUNCTION("""COMPUTED_VALUE"""),44530)</f>
        <v>44530</v>
      </c>
      <c r="B5732" s="6" t="str">
        <f ca="1">IFERROR(__xludf.DUMMYFUNCTION("""COMPUTED_VALUE"""),"-33.835814,-70.642799")</f>
        <v>-33.835814,-70.642799</v>
      </c>
      <c r="C5732" s="6" t="str">
        <f ca="1">IFERROR(__xludf.DUMMYFUNCTION("""COMPUTED_VALUE"""),"SANTA TERESA 48C")</f>
        <v>SANTA TERESA 48C</v>
      </c>
      <c r="D5732" s="6" t="str">
        <f ca="1">IFERROR(__xludf.DUMMYFUNCTION("""COMPUTED_VALUE"""),"PAINE")</f>
        <v>PAINE</v>
      </c>
    </row>
    <row r="5733" spans="1:4">
      <c r="A5733" s="7">
        <f ca="1">IFERROR(__xludf.DUMMYFUNCTION("""COMPUTED_VALUE"""),44530)</f>
        <v>44530</v>
      </c>
      <c r="B5733" s="6" t="str">
        <f ca="1">IFERROR(__xludf.DUMMYFUNCTION("""COMPUTED_VALUE"""),"-33835814-70642799")</f>
        <v>-33835814-70642799</v>
      </c>
      <c r="C5733" s="6" t="str">
        <f ca="1">IFERROR(__xludf.DUMMYFUNCTION("""COMPUTED_VALUE"""),"SANTA TERESA SITIO 48")</f>
        <v>SANTA TERESA SITIO 48</v>
      </c>
      <c r="D5733" s="6" t="str">
        <f ca="1">IFERROR(__xludf.DUMMYFUNCTION("""COMPUTED_VALUE"""),"PAINE")</f>
        <v>PAINE</v>
      </c>
    </row>
    <row r="5734" spans="1:4">
      <c r="A5734" s="7">
        <f ca="1">IFERROR(__xludf.DUMMYFUNCTION("""COMPUTED_VALUE"""),44530)</f>
        <v>44530</v>
      </c>
      <c r="B5734" s="6" t="str">
        <f ca="1">IFERROR(__xludf.DUMMYFUNCTION("""COMPUTED_VALUE"""),"-33.796295,-70.679802")</f>
        <v>-33.796295,-70.679802</v>
      </c>
      <c r="C5734" s="6" t="str">
        <f ca="1">IFERROR(__xludf.DUMMYFUNCTION("""COMPUTED_VALUE"""),"RUCAHUE 22 ")</f>
        <v xml:space="preserve">RUCAHUE 22 </v>
      </c>
      <c r="D5734" s="6" t="str">
        <f ca="1">IFERROR(__xludf.DUMMYFUNCTION("""COMPUTED_VALUE"""),"PAINE")</f>
        <v>PAINE</v>
      </c>
    </row>
    <row r="5735" spans="1:4">
      <c r="A5735" s="7">
        <f ca="1">IFERROR(__xludf.DUMMYFUNCTION("""COMPUTED_VALUE"""),44530)</f>
        <v>44530</v>
      </c>
      <c r="B5735" s="6" t="str">
        <f ca="1">IFERROR(__xludf.DUMMYFUNCTION("""COMPUTED_VALUE"""),"-33.796295,-70.679705")</f>
        <v>-33.796295,-70.679705</v>
      </c>
      <c r="C5735" s="6" t="str">
        <f ca="1">IFERROR(__xludf.DUMMYFUNCTION("""COMPUTED_VALUE"""),"RUCAHUE 35")</f>
        <v>RUCAHUE 35</v>
      </c>
      <c r="D5735" s="6" t="str">
        <f ca="1">IFERROR(__xludf.DUMMYFUNCTION("""COMPUTED_VALUE"""),"PAINE")</f>
        <v>PAINE</v>
      </c>
    </row>
    <row r="5736" spans="1:4">
      <c r="A5736" s="7">
        <f ca="1">IFERROR(__xludf.DUMMYFUNCTION("""COMPUTED_VALUE"""),44531)</f>
        <v>44531</v>
      </c>
      <c r="B5736" s="6" t="str">
        <f ca="1">IFERROR(__xludf.DUMMYFUNCTION("""COMPUTED_VALUE"""),"-33.599415-70.887117")</f>
        <v>-33.599415-70.887117</v>
      </c>
      <c r="C5736" s="6" t="str">
        <f ca="1">IFERROR(__xludf.DUMMYFUNCTION("""COMPUTED_VALUE"""),"UNO PONIENTE 3576")</f>
        <v>UNO PONIENTE 3576</v>
      </c>
      <c r="D5736" s="6" t="str">
        <f ca="1">IFERROR(__xludf.DUMMYFUNCTION("""COMPUTED_VALUE"""),"PEÑAFLOR")</f>
        <v>PEÑAFLOR</v>
      </c>
    </row>
    <row r="5737" spans="1:4">
      <c r="A5737" s="7">
        <f ca="1">IFERROR(__xludf.DUMMYFUNCTION("""COMPUTED_VALUE"""),44531)</f>
        <v>44531</v>
      </c>
      <c r="B5737" s="6" t="str">
        <f ca="1">IFERROR(__xludf.DUMMYFUNCTION("""COMPUTED_VALUE"""),"-33.6527966-70.3505689")</f>
        <v>-33.6527966-70.3505689</v>
      </c>
      <c r="C5737" s="6" t="str">
        <f ca="1">IFERROR(__xludf.DUMMYFUNCTION("""COMPUTED_VALUE"""),"LAGUNILLA 21200")</f>
        <v>LAGUNILLA 21200</v>
      </c>
      <c r="D5737" s="6" t="str">
        <f ca="1">IFERROR(__xludf.DUMMYFUNCTION("""COMPUTED_VALUE"""),"SAN JOSE DE MAIPO")</f>
        <v>SAN JOSE DE MAIPO</v>
      </c>
    </row>
    <row r="5738" spans="1:4">
      <c r="A5738" s="7">
        <f ca="1">IFERROR(__xludf.DUMMYFUNCTION("""COMPUTED_VALUE"""),44531)</f>
        <v>44531</v>
      </c>
      <c r="B5738" s="6" t="str">
        <f ca="1">IFERROR(__xludf.DUMMYFUNCTION("""COMPUTED_VALUE"""),"-33.6378417-70.3476756")</f>
        <v>-33.6378417-70.3476756</v>
      </c>
      <c r="C5738" s="6" t="str">
        <f ca="1">IFERROR(__xludf.DUMMYFUNCTION("""COMPUTED_VALUE"""),"AV CENTENARIO 19353")</f>
        <v>AV CENTENARIO 19353</v>
      </c>
      <c r="D5738" s="6" t="str">
        <f ca="1">IFERROR(__xludf.DUMMYFUNCTION("""COMPUTED_VALUE"""),"SAN JOSE DE MAIPO")</f>
        <v>SAN JOSE DE MAIPO</v>
      </c>
    </row>
    <row r="5739" spans="1:4">
      <c r="A5739" s="7">
        <f ca="1">IFERROR(__xludf.DUMMYFUNCTION("""COMPUTED_VALUE"""),44531)</f>
        <v>44531</v>
      </c>
      <c r="B5739" s="6" t="str">
        <f ca="1">IFERROR(__xludf.DUMMYFUNCTION("""COMPUTED_VALUE"""),"-33.397249-71.125739")</f>
        <v>-33.397249-71.125739</v>
      </c>
      <c r="C5739" s="6" t="str">
        <f ca="1">IFERROR(__xludf.DUMMYFUNCTION("""COMPUTED_VALUE"""),"LUIS CRUCHAGA 637")</f>
        <v>LUIS CRUCHAGA 637</v>
      </c>
      <c r="D5739" s="6" t="str">
        <f ca="1">IFERROR(__xludf.DUMMYFUNCTION("""COMPUTED_VALUE"""),"CURACAVI")</f>
        <v>CURACAVI</v>
      </c>
    </row>
    <row r="5740" spans="1:4">
      <c r="A5740" s="7">
        <f ca="1">IFERROR(__xludf.DUMMYFUNCTION("""COMPUTED_VALUE"""),44531)</f>
        <v>44531</v>
      </c>
      <c r="B5740" s="6" t="str">
        <f ca="1">IFERROR(__xludf.DUMMYFUNCTION("""COMPUTED_VALUE"""),"-33.392272-71.125696")</f>
        <v>-33.392272-71.125696</v>
      </c>
      <c r="C5740" s="6" t="str">
        <f ca="1">IFERROR(__xludf.DUMMYFUNCTION("""COMPUTED_VALUE"""),"LUIS CRUZ MARTINEZ 1073")</f>
        <v>LUIS CRUZ MARTINEZ 1073</v>
      </c>
      <c r="D5740" s="6" t="str">
        <f ca="1">IFERROR(__xludf.DUMMYFUNCTION("""COMPUTED_VALUE"""),"CURACAVI")</f>
        <v>CURACAVI</v>
      </c>
    </row>
    <row r="5741" spans="1:4">
      <c r="A5741" s="7">
        <f ca="1">IFERROR(__xludf.DUMMYFUNCTION("""COMPUTED_VALUE"""),44531)</f>
        <v>44531</v>
      </c>
      <c r="B5741" s="6" t="str">
        <f ca="1">IFERROR(__xludf.DUMMYFUNCTION("""COMPUTED_VALUE"""),"-33.398335-71.127951")</f>
        <v>-33.398335-71.127951</v>
      </c>
      <c r="C5741" s="6" t="str">
        <f ca="1">IFERROR(__xludf.DUMMYFUNCTION("""COMPUTED_VALUE"""),"CARLOS BRULL 1938")</f>
        <v>CARLOS BRULL 1938</v>
      </c>
      <c r="D5741" s="6" t="str">
        <f ca="1">IFERROR(__xludf.DUMMYFUNCTION("""COMPUTED_VALUE"""),"CURACAVI")</f>
        <v>CURACAVI</v>
      </c>
    </row>
    <row r="5742" spans="1:4">
      <c r="A5742" s="7">
        <f ca="1">IFERROR(__xludf.DUMMYFUNCTION("""COMPUTED_VALUE"""),44531)</f>
        <v>44531</v>
      </c>
      <c r="B5742" s="6" t="str">
        <f ca="1">IFERROR(__xludf.DUMMYFUNCTION("""COMPUTED_VALUE"""),"-33.417886-71.048281")</f>
        <v>-33.417886-71.048281</v>
      </c>
      <c r="C5742" s="6" t="str">
        <f ca="1">IFERROR(__xludf.DUMMYFUNCTION("""COMPUTED_VALUE"""),"RUTA 68 KM 41,58")</f>
        <v>RUTA 68 KM 41,58</v>
      </c>
      <c r="D5742" s="6" t="str">
        <f ca="1">IFERROR(__xludf.DUMMYFUNCTION("""COMPUTED_VALUE"""),"CURACAVI")</f>
        <v>CURACAVI</v>
      </c>
    </row>
    <row r="5743" spans="1:4">
      <c r="A5743" s="7">
        <f ca="1">IFERROR(__xludf.DUMMYFUNCTION("""COMPUTED_VALUE"""),44531)</f>
        <v>44531</v>
      </c>
      <c r="B5743" s="6" t="str">
        <f ca="1">IFERROR(__xludf.DUMMYFUNCTION("""COMPUTED_VALUE"""),"-33.423955,-70.31567W")</f>
        <v>-33.423955,-70.31567W</v>
      </c>
      <c r="C5743" s="6" t="str">
        <f ca="1">IFERROR(__xludf.DUMMYFUNCTION("""COMPUTED_VALUE"""),"RECERVA CORA PC2A")</f>
        <v>RECERVA CORA PC2A</v>
      </c>
      <c r="D5743" s="6" t="str">
        <f ca="1">IFERROR(__xludf.DUMMYFUNCTION("""COMPUTED_VALUE"""),"PIRQUE")</f>
        <v>PIRQUE</v>
      </c>
    </row>
    <row r="5744" spans="1:4">
      <c r="A5744" s="7">
        <f ca="1">IFERROR(__xludf.DUMMYFUNCTION("""COMPUTED_VALUE"""),44531)</f>
        <v>44531</v>
      </c>
      <c r="B5744" s="6" t="str">
        <f ca="1">IFERROR(__xludf.DUMMYFUNCTION("""COMPUTED_VALUE"""),"-33.423865,-70.31552W")</f>
        <v>-33.423865,-70.31552W</v>
      </c>
      <c r="C5744" s="6" t="str">
        <f ca="1">IFERROR(__xludf.DUMMYFUNCTION("""COMPUTED_VALUE"""),"CAMINO ORILLA DEL RIO PC1")</f>
        <v>CAMINO ORILLA DEL RIO PC1</v>
      </c>
      <c r="D5744" s="6" t="str">
        <f ca="1">IFERROR(__xludf.DUMMYFUNCTION("""COMPUTED_VALUE"""),"PIRQUE")</f>
        <v>PIRQUE</v>
      </c>
    </row>
    <row r="5745" spans="1:4">
      <c r="A5745" s="7">
        <f ca="1">IFERROR(__xludf.DUMMYFUNCTION("""COMPUTED_VALUE"""),44531)</f>
        <v>44531</v>
      </c>
      <c r="B5745" s="6" t="str">
        <f ca="1">IFERROR(__xludf.DUMMYFUNCTION("""COMPUTED_VALUE"""),"-33.423865,-70.31552W")</f>
        <v>-33.423865,-70.31552W</v>
      </c>
      <c r="C5745" s="6" t="str">
        <f ca="1">IFERROR(__xludf.DUMMYFUNCTION("""COMPUTED_VALUE"""),"CAMINO ORILLA DEL RIO PC1")</f>
        <v>CAMINO ORILLA DEL RIO PC1</v>
      </c>
      <c r="D5745" s="6" t="str">
        <f ca="1">IFERROR(__xludf.DUMMYFUNCTION("""COMPUTED_VALUE"""),"PIRQUE")</f>
        <v>PIRQUE</v>
      </c>
    </row>
    <row r="5746" spans="1:4">
      <c r="A5746" s="7">
        <f ca="1">IFERROR(__xludf.DUMMYFUNCTION("""COMPUTED_VALUE"""),44531)</f>
        <v>44531</v>
      </c>
      <c r="B5746" s="6" t="str">
        <f ca="1">IFERROR(__xludf.DUMMYFUNCTION("""COMPUTED_VALUE"""),"-33.8037630,-70.7161787")</f>
        <v>-33.8037630,-70.7161787</v>
      </c>
      <c r="C5746" s="6" t="str">
        <f ca="1">IFERROR(__xludf.DUMMYFUNCTION("""COMPUTED_VALUE"""),"PASAJE UNO 309")</f>
        <v>PASAJE UNO 309</v>
      </c>
      <c r="D5746" s="6" t="str">
        <f ca="1">IFERROR(__xludf.DUMMYFUNCTION("""COMPUTED_VALUE"""),"PAINE")</f>
        <v>PAINE</v>
      </c>
    </row>
    <row r="5747" spans="1:4">
      <c r="A5747" s="7">
        <f ca="1">IFERROR(__xludf.DUMMYFUNCTION("""COMPUTED_VALUE"""),44531)</f>
        <v>44531</v>
      </c>
      <c r="B5747" s="6" t="str">
        <f ca="1">IFERROR(__xludf.DUMMYFUNCTION("""COMPUTED_VALUE"""),"-33.803596,-70.715148")</f>
        <v>-33.803596,-70.715148</v>
      </c>
      <c r="C5747" s="6" t="str">
        <f ca="1">IFERROR(__xludf.DUMMYFUNCTION("""COMPUTED_VALUE"""),"PA CUATRO 298")</f>
        <v>PA CUATRO 298</v>
      </c>
      <c r="D5747" s="6" t="str">
        <f ca="1">IFERROR(__xludf.DUMMYFUNCTION("""COMPUTED_VALUE"""),"PAINE")</f>
        <v>PAINE</v>
      </c>
    </row>
    <row r="5748" spans="1:4">
      <c r="A5748" s="7">
        <f ca="1">IFERROR(__xludf.DUMMYFUNCTION("""COMPUTED_VALUE"""),44531)</f>
        <v>44531</v>
      </c>
      <c r="B5748" s="8" t="str">
        <f ca="1">IFERROR(__xludf.DUMMYFUNCTION("""COMPUTED_VALUE"""),"-33.250867,-70.800228")</f>
        <v>-33.250867,-70.800228</v>
      </c>
      <c r="C5748" s="6" t="str">
        <f ca="1">IFERROR(__xludf.DUMMYFUNCTION("""COMPUTED_VALUE"""),"CAMINO LA SERVIDUMBRE")</f>
        <v>CAMINO LA SERVIDUMBRE</v>
      </c>
      <c r="D5748" s="6" t="str">
        <f ca="1">IFERROR(__xludf.DUMMYFUNCTION("""COMPUTED_VALUE"""),"LAMPA")</f>
        <v>LAMPA</v>
      </c>
    </row>
    <row r="5749" spans="1:4">
      <c r="A5749" s="7">
        <f ca="1">IFERROR(__xludf.DUMMYFUNCTION("""COMPUTED_VALUE"""),44531)</f>
        <v>44531</v>
      </c>
      <c r="B5749" s="8" t="str">
        <f ca="1">IFERROR(__xludf.DUMMYFUNCTION("""COMPUTED_VALUE"""),"-33.250867,-70.800228")</f>
        <v>-33.250867,-70.800228</v>
      </c>
      <c r="C5749" s="6" t="str">
        <f ca="1">IFERROR(__xludf.DUMMYFUNCTION("""COMPUTED_VALUE"""),"CAMINO LA SERVIDUMBRE")</f>
        <v>CAMINO LA SERVIDUMBRE</v>
      </c>
      <c r="D5749" s="6" t="str">
        <f ca="1">IFERROR(__xludf.DUMMYFUNCTION("""COMPUTED_VALUE"""),"LAMPA")</f>
        <v>LAMPA</v>
      </c>
    </row>
    <row r="5750" spans="1:4">
      <c r="A5750" s="7">
        <f ca="1">IFERROR(__xludf.DUMMYFUNCTION("""COMPUTED_VALUE"""),44531)</f>
        <v>44531</v>
      </c>
      <c r="B5750" s="8" t="str">
        <f ca="1">IFERROR(__xludf.DUMMYFUNCTION("""COMPUTED_VALUE"""),"-33.250867,-70.800228")</f>
        <v>-33.250867,-70.800228</v>
      </c>
      <c r="C5750" s="6" t="str">
        <f ca="1">IFERROR(__xludf.DUMMYFUNCTION("""COMPUTED_VALUE"""),"CAMINO LA SERVIDUMBRE")</f>
        <v>CAMINO LA SERVIDUMBRE</v>
      </c>
      <c r="D5750" s="6" t="str">
        <f ca="1">IFERROR(__xludf.DUMMYFUNCTION("""COMPUTED_VALUE"""),"LAMPA")</f>
        <v>LAMPA</v>
      </c>
    </row>
    <row r="5751" spans="1:4">
      <c r="A5751" s="7">
        <f ca="1">IFERROR(__xludf.DUMMYFUNCTION("""COMPUTED_VALUE"""),44531)</f>
        <v>44531</v>
      </c>
      <c r="B5751" s="6" t="str">
        <f ca="1">IFERROR(__xludf.DUMMYFUNCTION("""COMPUTED_VALUE"""),"-33.732067,-71.022624")</f>
        <v>-33.732067,-71.022624</v>
      </c>
      <c r="C5751" s="6" t="str">
        <f ca="1">IFERROR(__xludf.DUMMYFUNCTION("""COMPUTED_VALUE"""),"SECTOR LAS ENCINAS 14")</f>
        <v>SECTOR LAS ENCINAS 14</v>
      </c>
      <c r="D5751" s="6" t="str">
        <f ca="1">IFERROR(__xludf.DUMMYFUNCTION("""COMPUTED_VALUE"""),"ISLA DE MAIPO")</f>
        <v>ISLA DE MAIPO</v>
      </c>
    </row>
    <row r="5752" spans="1:4">
      <c r="A5752" s="7">
        <f ca="1">IFERROR(__xludf.DUMMYFUNCTION("""COMPUTED_VALUE"""),44531)</f>
        <v>44531</v>
      </c>
      <c r="B5752" s="6" t="str">
        <f ca="1">IFERROR(__xludf.DUMMYFUNCTION("""COMPUTED_VALUE"""),"-33.899812,-71.468572")</f>
        <v>-33.899812,-71.468572</v>
      </c>
      <c r="C5752" s="6" t="str">
        <f ca="1">IFERROR(__xludf.DUMMYFUNCTION("""COMPUTED_VALUE"""),"LO ENCARNADO  S/N")</f>
        <v>LO ENCARNADO  S/N</v>
      </c>
      <c r="D5752" s="6" t="str">
        <f ca="1">IFERROR(__xludf.DUMMYFUNCTION("""COMPUTED_VALUE"""),"SAN PEDRO")</f>
        <v>SAN PEDRO</v>
      </c>
    </row>
    <row r="5753" spans="1:4">
      <c r="A5753" s="7">
        <f ca="1">IFERROR(__xludf.DUMMYFUNCTION("""COMPUTED_VALUE"""),44531)</f>
        <v>44531</v>
      </c>
      <c r="B5753" s="6" t="str">
        <f ca="1">IFERROR(__xludf.DUMMYFUNCTION("""COMPUTED_VALUE"""),"-33.899812,-71.468572")</f>
        <v>-33.899812,-71.468572</v>
      </c>
      <c r="C5753" s="6" t="str">
        <f ca="1">IFERROR(__xludf.DUMMYFUNCTION("""COMPUTED_VALUE"""),"LO ENCARNADO  S/N")</f>
        <v>LO ENCARNADO  S/N</v>
      </c>
      <c r="D5753" s="6" t="str">
        <f ca="1">IFERROR(__xludf.DUMMYFUNCTION("""COMPUTED_VALUE"""),"SAN PEDRO")</f>
        <v>SAN PEDRO</v>
      </c>
    </row>
    <row r="5754" spans="1:4">
      <c r="A5754" s="7">
        <f ca="1">IFERROR(__xludf.DUMMYFUNCTION("""COMPUTED_VALUE"""),44531)</f>
        <v>44531</v>
      </c>
      <c r="B5754" s="6" t="str">
        <f ca="1">IFERROR(__xludf.DUMMYFUNCTION("""COMPUTED_VALUE"""),"-33.296651,-70.758904")</f>
        <v>-33.296651,-70.758904</v>
      </c>
      <c r="C5754" s="6" t="str">
        <f ca="1">IFERROR(__xludf.DUMMYFUNCTION("""COMPUTED_VALUE"""),"MONTE AMARRAT 2860 SITIO 36")</f>
        <v>MONTE AMARRAT 2860 SITIO 36</v>
      </c>
      <c r="D5754" s="6" t="str">
        <f ca="1">IFERROR(__xludf.DUMMYFUNCTION("""COMPUTED_VALUE"""),"LAMPA")</f>
        <v>LAMPA</v>
      </c>
    </row>
    <row r="5755" spans="1:4">
      <c r="A5755" s="7">
        <f ca="1">IFERROR(__xludf.DUMMYFUNCTION("""COMPUTED_VALUE"""),44531)</f>
        <v>44531</v>
      </c>
      <c r="B5755" s="6" t="str">
        <f ca="1">IFERROR(__xludf.DUMMYFUNCTION("""COMPUTED_VALUE"""),"-33.294577,-70.873920")</f>
        <v>-33.294577,-70.873920</v>
      </c>
      <c r="C5755" s="6" t="str">
        <f ca="1">IFERROR(__xludf.DUMMYFUNCTION("""COMPUTED_VALUE"""),"LA HACIENDA 2310")</f>
        <v>LA HACIENDA 2310</v>
      </c>
      <c r="D5755" s="6" t="str">
        <f ca="1">IFERROR(__xludf.DUMMYFUNCTION("""COMPUTED_VALUE"""),"LAMPA")</f>
        <v>LAMPA</v>
      </c>
    </row>
    <row r="5756" spans="1:4">
      <c r="A5756" s="7">
        <f ca="1">IFERROR(__xludf.DUMMYFUNCTION("""COMPUTED_VALUE"""),44531)</f>
        <v>44531</v>
      </c>
      <c r="B5756" s="6" t="str">
        <f ca="1">IFERROR(__xludf.DUMMYFUNCTION("""COMPUTED_VALUE"""),"-33.267398,-70.894187")</f>
        <v>-33.267398,-70.894187</v>
      </c>
      <c r="C5756" s="6" t="str">
        <f ca="1">IFERROR(__xludf.DUMMYFUNCTION("""COMPUTED_VALUE"""),"VALLE DE LA LUNA P35A")</f>
        <v>VALLE DE LA LUNA P35A</v>
      </c>
      <c r="D5756" s="6" t="str">
        <f ca="1">IFERROR(__xludf.DUMMYFUNCTION("""COMPUTED_VALUE"""),"LAMPA")</f>
        <v>LAMPA</v>
      </c>
    </row>
    <row r="5757" spans="1:4">
      <c r="A5757" s="7">
        <f ca="1">IFERROR(__xludf.DUMMYFUNCTION("""COMPUTED_VALUE"""),44532)</f>
        <v>44532</v>
      </c>
      <c r="B5757" s="6" t="str">
        <f ca="1">IFERROR(__xludf.DUMMYFUNCTION("""COMPUTED_VALUE"""),"-33.392847-71.122878")</f>
        <v>-33.392847-71.122878</v>
      </c>
      <c r="C5757" s="6" t="str">
        <f ca="1">IFERROR(__xludf.DUMMYFUNCTION("""COMPUTED_VALUE"""),"MANUEL GANDARILLAS 2120")</f>
        <v>MANUEL GANDARILLAS 2120</v>
      </c>
      <c r="D5757" s="6" t="str">
        <f ca="1">IFERROR(__xludf.DUMMYFUNCTION("""COMPUTED_VALUE"""),"CURACAVI")</f>
        <v>CURACAVI</v>
      </c>
    </row>
    <row r="5758" spans="1:4">
      <c r="A5758" s="7">
        <f ca="1">IFERROR(__xludf.DUMMYFUNCTION("""COMPUTED_VALUE"""),44532)</f>
        <v>44532</v>
      </c>
      <c r="B5758" s="6" t="str">
        <f ca="1">IFERROR(__xludf.DUMMYFUNCTION("""COMPUTED_VALUE"""),"-33.417834-71.143929")</f>
        <v>-33.417834-71.143929</v>
      </c>
      <c r="C5758" s="6" t="str">
        <f ca="1">IFERROR(__xludf.DUMMYFUNCTION("""COMPUTED_VALUE"""),"LO AGUILA LOTE 7")</f>
        <v>LO AGUILA LOTE 7</v>
      </c>
      <c r="D5758" s="6" t="str">
        <f ca="1">IFERROR(__xludf.DUMMYFUNCTION("""COMPUTED_VALUE"""),"CURACAVI")</f>
        <v>CURACAVI</v>
      </c>
    </row>
    <row r="5759" spans="1:4">
      <c r="A5759" s="7">
        <f ca="1">IFERROR(__xludf.DUMMYFUNCTION("""COMPUTED_VALUE"""),44532)</f>
        <v>44532</v>
      </c>
      <c r="B5759" s="6" t="str">
        <f ca="1">IFERROR(__xludf.DUMMYFUNCTION("""COMPUTED_VALUE"""),"-33.629188-71.250095")</f>
        <v>-33.629188-71.250095</v>
      </c>
      <c r="C5759" s="6" t="str">
        <f ca="1">IFERROR(__xludf.DUMMYFUNCTION("""COMPUTED_VALUE"""),"VILLA ALEGRE S/N")</f>
        <v>VILLA ALEGRE S/N</v>
      </c>
      <c r="D5759" s="6" t="str">
        <f ca="1">IFERROR(__xludf.DUMMYFUNCTION("""COMPUTED_VALUE"""),"MELIPILLA")</f>
        <v>MELIPILLA</v>
      </c>
    </row>
    <row r="5760" spans="1:4">
      <c r="A5760" s="7">
        <f ca="1">IFERROR(__xludf.DUMMYFUNCTION("""COMPUTED_VALUE"""),44532)</f>
        <v>44532</v>
      </c>
      <c r="B5760" s="6" t="str">
        <f ca="1">IFERROR(__xludf.DUMMYFUNCTION("""COMPUTED_VALUE"""),"-33.629188-71.250095")</f>
        <v>-33.629188-71.250095</v>
      </c>
      <c r="C5760" s="6" t="str">
        <f ca="1">IFERROR(__xludf.DUMMYFUNCTION("""COMPUTED_VALUE"""),"VILLA ALEGRE S/N")</f>
        <v>VILLA ALEGRE S/N</v>
      </c>
      <c r="D5760" s="6" t="str">
        <f ca="1">IFERROR(__xludf.DUMMYFUNCTION("""COMPUTED_VALUE"""),"MELIPILLA")</f>
        <v>MELIPILLA</v>
      </c>
    </row>
    <row r="5761" spans="1:4">
      <c r="A5761" s="7">
        <f ca="1">IFERROR(__xludf.DUMMYFUNCTION("""COMPUTED_VALUE"""),44532)</f>
        <v>44532</v>
      </c>
      <c r="B5761" s="6" t="str">
        <f ca="1">IFERROR(__xludf.DUMMYFUNCTION("""COMPUTED_VALUE"""),"-33.7276814-70.5535175")</f>
        <v>-33.7276814-70.5535175</v>
      </c>
      <c r="C5761" s="6" t="str">
        <f ca="1">IFERROR(__xludf.DUMMYFUNCTION("""COMPUTED_VALUE"""),"CERRO EL CORAZON 1975")</f>
        <v>CERRO EL CORAZON 1975</v>
      </c>
      <c r="D5761" s="6" t="str">
        <f ca="1">IFERROR(__xludf.DUMMYFUNCTION("""COMPUTED_VALUE"""),"PIRQUE")</f>
        <v>PIRQUE</v>
      </c>
    </row>
    <row r="5762" spans="1:4">
      <c r="A5762" s="7">
        <f ca="1">IFERROR(__xludf.DUMMYFUNCTION("""COMPUTED_VALUE"""),44532)</f>
        <v>44532</v>
      </c>
      <c r="B5762" s="6" t="str">
        <f ca="1">IFERROR(__xludf.DUMMYFUNCTION("""COMPUTED_VALUE"""),"-33.7050662-70.547675")</f>
        <v>-33.7050662-70.547675</v>
      </c>
      <c r="C5762" s="6" t="str">
        <f ca="1">IFERROR(__xludf.DUMMYFUNCTION("""COMPUTED_VALUE"""),"ORILLA DEL RIO 153 A")</f>
        <v>ORILLA DEL RIO 153 A</v>
      </c>
      <c r="D5762" s="6" t="str">
        <f ca="1">IFERROR(__xludf.DUMMYFUNCTION("""COMPUTED_VALUE"""),"PIRQUE")</f>
        <v>PIRQUE</v>
      </c>
    </row>
    <row r="5763" spans="1:4">
      <c r="A5763" s="7">
        <f ca="1">IFERROR(__xludf.DUMMYFUNCTION("""COMPUTED_VALUE"""),44532)</f>
        <v>44532</v>
      </c>
      <c r="B5763" s="6" t="str">
        <f ca="1">IFERROR(__xludf.DUMMYFUNCTION("""COMPUTED_VALUE"""),"-33.7050662-70.547675")</f>
        <v>-33.7050662-70.547675</v>
      </c>
      <c r="C5763" s="6" t="str">
        <f ca="1">IFERROR(__xludf.DUMMYFUNCTION("""COMPUTED_VALUE"""),"ORILLA DEL RIO 153 A")</f>
        <v>ORILLA DEL RIO 153 A</v>
      </c>
      <c r="D5763" s="6" t="str">
        <f ca="1">IFERROR(__xludf.DUMMYFUNCTION("""COMPUTED_VALUE"""),"PIRQUE")</f>
        <v>PIRQUE</v>
      </c>
    </row>
    <row r="5764" spans="1:4">
      <c r="A5764" s="7">
        <f ca="1">IFERROR(__xludf.DUMMYFUNCTION("""COMPUTED_VALUE"""),44532)</f>
        <v>44532</v>
      </c>
      <c r="B5764" s="6" t="str">
        <f ca="1">IFERROR(__xludf.DUMMYFUNCTION("""COMPUTED_VALUE"""),"-33.803987,-70.714951")</f>
        <v>-33.803987,-70.714951</v>
      </c>
      <c r="C5764" s="6" t="str">
        <f ca="1">IFERROR(__xludf.DUMMYFUNCTION("""COMPUTED_VALUE"""),"PASAJE CUATRO 294")</f>
        <v>PASAJE CUATRO 294</v>
      </c>
      <c r="D5764" s="6" t="str">
        <f ca="1">IFERROR(__xludf.DUMMYFUNCTION("""COMPUTED_VALUE"""),"PAINE")</f>
        <v>PAINE</v>
      </c>
    </row>
    <row r="5765" spans="1:4">
      <c r="A5765" s="7">
        <f ca="1">IFERROR(__xludf.DUMMYFUNCTION("""COMPUTED_VALUE"""),44532)</f>
        <v>44532</v>
      </c>
      <c r="B5765" s="6" t="str">
        <f ca="1">IFERROR(__xludf.DUMMYFUNCTION("""COMPUTED_VALUE"""),"-33.424285,-70.31549W")</f>
        <v>-33.424285,-70.31549W</v>
      </c>
      <c r="C5765" s="6" t="str">
        <f ca="1">IFERROR(__xludf.DUMMYFUNCTION("""COMPUTED_VALUE"""),"RESERVA  CORA 4 PC3D")</f>
        <v>RESERVA  CORA 4 PC3D</v>
      </c>
      <c r="D5765" s="6" t="str">
        <f ca="1">IFERROR(__xludf.DUMMYFUNCTION("""COMPUTED_VALUE"""),"PIRQUE")</f>
        <v>PIRQUE</v>
      </c>
    </row>
    <row r="5766" spans="1:4">
      <c r="A5766" s="7">
        <f ca="1">IFERROR(__xludf.DUMMYFUNCTION("""COMPUTED_VALUE"""),44532)</f>
        <v>44532</v>
      </c>
      <c r="B5766" s="6" t="str">
        <f ca="1">IFERROR(__xludf.DUMMYFUNCTION("""COMPUTED_VALUE"""),"-33.424285,-70.31549W")</f>
        <v>-33.424285,-70.31549W</v>
      </c>
      <c r="C5766" s="6" t="str">
        <f ca="1">IFERROR(__xludf.DUMMYFUNCTION("""COMPUTED_VALUE"""),"RESERVA CORA 4 PC3D")</f>
        <v>RESERVA CORA 4 PC3D</v>
      </c>
      <c r="D5766" s="6" t="str">
        <f ca="1">IFERROR(__xludf.DUMMYFUNCTION("""COMPUTED_VALUE"""),"PIRQUE")</f>
        <v>PIRQUE</v>
      </c>
    </row>
    <row r="5767" spans="1:4">
      <c r="A5767" s="7">
        <f ca="1">IFERROR(__xludf.DUMMYFUNCTION("""COMPUTED_VALUE"""),44532)</f>
        <v>44532</v>
      </c>
      <c r="B5767" s="6" t="str">
        <f ca="1">IFERROR(__xludf.DUMMYFUNCTION("""COMPUTED_VALUE"""),"-33.7119840,-70.5326270")</f>
        <v>-33.7119840,-70.5326270</v>
      </c>
      <c r="C5767" s="6" t="str">
        <f ca="1">IFERROR(__xludf.DUMMYFUNCTION("""COMPUTED_VALUE"""),"EL PRINCIPAL 14 PC4B")</f>
        <v>EL PRINCIPAL 14 PC4B</v>
      </c>
      <c r="D5767" s="6" t="str">
        <f ca="1">IFERROR(__xludf.DUMMYFUNCTION("""COMPUTED_VALUE"""),"PIRQUE")</f>
        <v>PIRQUE</v>
      </c>
    </row>
    <row r="5768" spans="1:4">
      <c r="A5768" s="7">
        <f ca="1">IFERROR(__xludf.DUMMYFUNCTION("""COMPUTED_VALUE"""),44532)</f>
        <v>44532</v>
      </c>
      <c r="B5768" s="6" t="str">
        <f ca="1">IFERROR(__xludf.DUMMYFUNCTION("""COMPUTED_VALUE"""),"-33.675332,-70.583191")</f>
        <v>-33.675332,-70.583191</v>
      </c>
      <c r="C5768" s="6" t="str">
        <f ca="1">IFERROR(__xludf.DUMMYFUNCTION("""COMPUTED_VALUE"""),"LOS LIRIOS 3984")</f>
        <v>LOS LIRIOS 3984</v>
      </c>
      <c r="D5768" s="6" t="str">
        <f ca="1">IFERROR(__xludf.DUMMYFUNCTION("""COMPUTED_VALUE"""),"PIRQUE")</f>
        <v>PIRQUE</v>
      </c>
    </row>
    <row r="5769" spans="1:4">
      <c r="A5769" s="7">
        <f ca="1">IFERROR(__xludf.DUMMYFUNCTION("""COMPUTED_VALUE"""),44532)</f>
        <v>44532</v>
      </c>
      <c r="B5769" s="6" t="str">
        <f ca="1">IFERROR(__xludf.DUMMYFUNCTION("""COMPUTED_VALUE"""),"-33.8043223,-707153326")</f>
        <v>-33.8043223,-707153326</v>
      </c>
      <c r="C5769" s="6" t="str">
        <f ca="1">IFERROR(__xludf.DUMMYFUNCTION("""COMPUTED_VALUE"""),"PASAJE SEIS 2036")</f>
        <v>PASAJE SEIS 2036</v>
      </c>
      <c r="D5769" s="6" t="str">
        <f ca="1">IFERROR(__xludf.DUMMYFUNCTION("""COMPUTED_VALUE"""),"PAINE")</f>
        <v>PAINE</v>
      </c>
    </row>
    <row r="5770" spans="1:4">
      <c r="A5770" s="7">
        <f ca="1">IFERROR(__xludf.DUMMYFUNCTION("""COMPUTED_VALUE"""),44532)</f>
        <v>44532</v>
      </c>
      <c r="B5770" s="6" t="str">
        <f ca="1">IFERROR(__xludf.DUMMYFUNCTION("""COMPUTED_VALUE"""),"-33.675653,-70.582781")</f>
        <v>-33.675653,-70.582781</v>
      </c>
      <c r="C5770" s="6" t="str">
        <f ca="1">IFERROR(__xludf.DUMMYFUNCTION("""COMPUTED_VALUE"""),"LAS ORQUIDEAS 3937")</f>
        <v>LAS ORQUIDEAS 3937</v>
      </c>
      <c r="D5770" s="6" t="str">
        <f ca="1">IFERROR(__xludf.DUMMYFUNCTION("""COMPUTED_VALUE"""),"PIRQUE")</f>
        <v>PIRQUE</v>
      </c>
    </row>
    <row r="5771" spans="1:4">
      <c r="A5771" s="7">
        <f ca="1">IFERROR(__xludf.DUMMYFUNCTION("""COMPUTED_VALUE"""),44532)</f>
        <v>44532</v>
      </c>
      <c r="B5771" s="6" t="str">
        <f ca="1">IFERROR(__xludf.DUMMYFUNCTION("""COMPUTED_VALUE"""),"-33.811264,-70.730213")</f>
        <v>-33.811264,-70.730213</v>
      </c>
      <c r="C5771" s="6" t="str">
        <f ca="1">IFERROR(__xludf.DUMMYFUNCTION("""COMPUTED_VALUE"""),"PJE MAINQUE 893")</f>
        <v>PJE MAINQUE 893</v>
      </c>
      <c r="D5771" s="6" t="str">
        <f ca="1">IFERROR(__xludf.DUMMYFUNCTION("""COMPUTED_VALUE"""),"PAINE")</f>
        <v>PAINE</v>
      </c>
    </row>
    <row r="5772" spans="1:4">
      <c r="A5772" s="7">
        <f ca="1">IFERROR(__xludf.DUMMYFUNCTION("""COMPUTED_VALUE"""),44532)</f>
        <v>44532</v>
      </c>
      <c r="B5772" s="6" t="str">
        <f ca="1">IFERROR(__xludf.DUMMYFUNCTION("""COMPUTED_VALUE"""),"-33.735966,-70.966983")</f>
        <v>-33.735966,-70.966983</v>
      </c>
      <c r="C5772" s="6" t="str">
        <f ca="1">IFERROR(__xludf.DUMMYFUNCTION("""COMPUTED_VALUE"""),"SAN ANTONIO 7309")</f>
        <v>SAN ANTONIO 7309</v>
      </c>
      <c r="D5772" s="6" t="str">
        <f ca="1">IFERROR(__xludf.DUMMYFUNCTION("""COMPUTED_VALUE"""),"ISLA DE MAIPO")</f>
        <v>ISLA DE MAIPO</v>
      </c>
    </row>
    <row r="5773" spans="1:4">
      <c r="A5773" s="7">
        <f ca="1">IFERROR(__xludf.DUMMYFUNCTION("""COMPUTED_VALUE"""),44532)</f>
        <v>44532</v>
      </c>
      <c r="B5773" s="6" t="str">
        <f ca="1">IFERROR(__xludf.DUMMYFUNCTION("""COMPUTED_VALUE"""),"-33.893433,-71.454825")</f>
        <v>-33.893433,-71.454825</v>
      </c>
      <c r="C5773" s="6" t="str">
        <f ca="1">IFERROR(__xludf.DUMMYFUNCTION("""COMPUTED_VALUE"""),"PASAJE COLON 1")</f>
        <v>PASAJE COLON 1</v>
      </c>
      <c r="D5773" s="6" t="str">
        <f ca="1">IFERROR(__xludf.DUMMYFUNCTION("""COMPUTED_VALUE"""),"SAN PEDRO")</f>
        <v>SAN PEDRO</v>
      </c>
    </row>
    <row r="5774" spans="1:4">
      <c r="A5774" s="7">
        <f ca="1">IFERROR(__xludf.DUMMYFUNCTION("""COMPUTED_VALUE"""),44532)</f>
        <v>44532</v>
      </c>
      <c r="B5774" s="6" t="str">
        <f ca="1">IFERROR(__xludf.DUMMYFUNCTION("""COMPUTED_VALUE"""),"-33.902994,-71.449433")</f>
        <v>-33.902994,-71.449433</v>
      </c>
      <c r="C5774" s="6" t="str">
        <f ca="1">IFERROR(__xludf.DUMMYFUNCTION("""COMPUTED_VALUE"""),"CAMINO EL ACCESO SAN PEDRO S/N")</f>
        <v>CAMINO EL ACCESO SAN PEDRO S/N</v>
      </c>
      <c r="D5774" s="6" t="str">
        <f ca="1">IFERROR(__xludf.DUMMYFUNCTION("""COMPUTED_VALUE"""),"SAN PEDRO")</f>
        <v>SAN PEDRO</v>
      </c>
    </row>
    <row r="5775" spans="1:4">
      <c r="A5775" s="7">
        <f ca="1">IFERROR(__xludf.DUMMYFUNCTION("""COMPUTED_VALUE"""),44532)</f>
        <v>44532</v>
      </c>
      <c r="B5775" s="8" t="str">
        <f ca="1">IFERROR(__xludf.DUMMYFUNCTION("""COMPUTED_VALUE"""),"-33.674937.-71.180450")</f>
        <v>-33.674937.-71.180450</v>
      </c>
      <c r="C5775" s="6" t="str">
        <f ca="1">IFERROR(__xludf.DUMMYFUNCTION("""COMPUTED_VALUE"""),"PAISES BAJOS 171")</f>
        <v>PAISES BAJOS 171</v>
      </c>
      <c r="D5775" s="6" t="str">
        <f ca="1">IFERROR(__xludf.DUMMYFUNCTION("""COMPUTED_VALUE"""),"MELIPILLA")</f>
        <v>MELIPILLA</v>
      </c>
    </row>
    <row r="5776" spans="1:4">
      <c r="A5776" s="7">
        <f ca="1">IFERROR(__xludf.DUMMYFUNCTION("""COMPUTED_VALUE"""),44532)</f>
        <v>44532</v>
      </c>
      <c r="B5776" s="8" t="str">
        <f ca="1">IFERROR(__xludf.DUMMYFUNCTION("""COMPUTED_VALUE"""),"-33.649649,-70.928243")</f>
        <v>-33.649649,-70.928243</v>
      </c>
      <c r="C5776" s="6" t="str">
        <f ca="1">IFERROR(__xludf.DUMMYFUNCTION("""COMPUTED_VALUE"""),"CHORRILLOS 24")</f>
        <v>CHORRILLOS 24</v>
      </c>
      <c r="D5776" s="6" t="str">
        <f ca="1">IFERROR(__xludf.DUMMYFUNCTION("""COMPUTED_VALUE"""),"TALAGANTE")</f>
        <v>TALAGANTE</v>
      </c>
    </row>
    <row r="5777" spans="1:4">
      <c r="A5777" s="7">
        <f ca="1">IFERROR(__xludf.DUMMYFUNCTION("""COMPUTED_VALUE"""),44532)</f>
        <v>44532</v>
      </c>
      <c r="B5777" s="6" t="str">
        <f ca="1">IFERROR(__xludf.DUMMYFUNCTION("""COMPUTED_VALUE"""),"-33.0519-71.4242")</f>
        <v>-33.0519-71.4242</v>
      </c>
      <c r="C5777" s="6" t="str">
        <f ca="1">IFERROR(__xludf.DUMMYFUNCTION("""COMPUTED_VALUE"""),"OVALLE 1121")</f>
        <v>OVALLE 1121</v>
      </c>
      <c r="D5777" s="6" t="str">
        <f ca="1">IFERROR(__xludf.DUMMYFUNCTION("""COMPUTED_VALUE"""),"QUILPUÉ")</f>
        <v>QUILPUÉ</v>
      </c>
    </row>
    <row r="5778" spans="1:4">
      <c r="A5778" s="7">
        <f ca="1">IFERROR(__xludf.DUMMYFUNCTION("""COMPUTED_VALUE"""),44532)</f>
        <v>44532</v>
      </c>
      <c r="B5778" s="6" t="str">
        <f ca="1">IFERROR(__xludf.DUMMYFUNCTION("""COMPUTED_VALUE"""),"-33.825221,-70.732216")</f>
        <v>-33.825221,-70.732216</v>
      </c>
      <c r="C5778" s="6" t="str">
        <f ca="1">IFERROR(__xludf.DUMMYFUNCTION("""COMPUTED_VALUE"""),"ANACENA Y MONCKEBER")</f>
        <v>ANACENA Y MONCKEBER</v>
      </c>
      <c r="D5778" s="6" t="str">
        <f ca="1">IFERROR(__xludf.DUMMYFUNCTION("""COMPUTED_VALUE"""),"PAINE")</f>
        <v>PAINE</v>
      </c>
    </row>
    <row r="5779" spans="1:4">
      <c r="A5779" s="7">
        <f ca="1">IFERROR(__xludf.DUMMYFUNCTION("""COMPUTED_VALUE"""),44532)</f>
        <v>44532</v>
      </c>
      <c r="B5779" s="6" t="str">
        <f ca="1">IFERROR(__xludf.DUMMYFUNCTION("""COMPUTED_VALUE"""),"-33.825266,-70.731820")</f>
        <v>-33.825266,-70.731820</v>
      </c>
      <c r="C5779" s="6" t="str">
        <f ca="1">IFERROR(__xludf.DUMMYFUNCTION("""COMPUTED_VALUE"""),"DIECIOCHO DE SEPTIEMBRE 42")</f>
        <v>DIECIOCHO DE SEPTIEMBRE 42</v>
      </c>
      <c r="D5779" s="6" t="str">
        <f ca="1">IFERROR(__xludf.DUMMYFUNCTION("""COMPUTED_VALUE"""),"PAINE")</f>
        <v>PAINE</v>
      </c>
    </row>
    <row r="5780" spans="1:4">
      <c r="A5780" s="7">
        <f ca="1">IFERROR(__xludf.DUMMYFUNCTION("""COMPUTED_VALUE"""),44532)</f>
        <v>44532</v>
      </c>
      <c r="B5780" s="6" t="str">
        <f ca="1">IFERROR(__xludf.DUMMYFUNCTION("""COMPUTED_VALUE"""),"-33.800661,-70.681628")</f>
        <v>-33.800661,-70.681628</v>
      </c>
      <c r="C5780" s="6" t="str">
        <f ca="1">IFERROR(__xludf.DUMMYFUNCTION("""COMPUTED_VALUE"""),"24 DE ABRIL 79 LOTE B")</f>
        <v>24 DE ABRIL 79 LOTE B</v>
      </c>
      <c r="D5780" s="6" t="str">
        <f ca="1">IFERROR(__xludf.DUMMYFUNCTION("""COMPUTED_VALUE"""),"PAINE")</f>
        <v>PAINE</v>
      </c>
    </row>
    <row r="5781" spans="1:4">
      <c r="A5781" s="7">
        <f ca="1">IFERROR(__xludf.DUMMYFUNCTION("""COMPUTED_VALUE"""),44532)</f>
        <v>44532</v>
      </c>
      <c r="B5781" s="6" t="str">
        <f ca="1">IFERROR(__xludf.DUMMYFUNCTION("""COMPUTED_VALUE"""),"-33.4911665,-70.435296")</f>
        <v>-33.4911665,-70.435296</v>
      </c>
      <c r="C5781" s="6" t="str">
        <f ca="1">IFERROR(__xludf.DUMMYFUNCTION("""COMPUTED_VALUE"""),"AVDA EL VILLAR PARCELA 12")</f>
        <v>AVDA EL VILLAR PARCELA 12</v>
      </c>
      <c r="D5781" s="6" t="str">
        <f ca="1">IFERROR(__xludf.DUMMYFUNCTION("""COMPUTED_VALUE"""),"PAINE")</f>
        <v>PAINE</v>
      </c>
    </row>
    <row r="5782" spans="1:4">
      <c r="A5782" s="7">
        <f ca="1">IFERROR(__xludf.DUMMYFUNCTION("""COMPUTED_VALUE"""),44533)</f>
        <v>44533</v>
      </c>
      <c r="B5782" s="6" t="str">
        <f ca="1">IFERROR(__xludf.DUMMYFUNCTION("""COMPUTED_VALUE"""),"-33.622208-71.248965")</f>
        <v>-33.622208-71.248965</v>
      </c>
      <c r="C5782" s="6" t="str">
        <f ca="1">IFERROR(__xludf.DUMMYFUNCTION("""COMPUTED_VALUE"""),"VILLA ALEGRE PARCELA 14")</f>
        <v>VILLA ALEGRE PARCELA 14</v>
      </c>
      <c r="D5782" s="6" t="str">
        <f ca="1">IFERROR(__xludf.DUMMYFUNCTION("""COMPUTED_VALUE"""),"MELIPILLA")</f>
        <v>MELIPILLA</v>
      </c>
    </row>
    <row r="5783" spans="1:4">
      <c r="A5783" s="7">
        <f ca="1">IFERROR(__xludf.DUMMYFUNCTION("""COMPUTED_VALUE"""),44533)</f>
        <v>44533</v>
      </c>
      <c r="B5783" s="6" t="str">
        <f ca="1">IFERROR(__xludf.DUMMYFUNCTION("""COMPUTED_VALUE"""),"-33.23971-70.76562")</f>
        <v>-33.23971-70.76562</v>
      </c>
      <c r="C5783" s="6" t="str">
        <f ca="1">IFERROR(__xludf.DUMMYFUNCTION("""COMPUTED_VALUE"""),"RUTA G 148")</f>
        <v>RUTA G 148</v>
      </c>
      <c r="D5783" s="6" t="str">
        <f ca="1">IFERROR(__xludf.DUMMYFUNCTION("""COMPUTED_VALUE"""),"LAMPA")</f>
        <v>LAMPA</v>
      </c>
    </row>
    <row r="5784" spans="1:4">
      <c r="A5784" s="7">
        <f ca="1">IFERROR(__xludf.DUMMYFUNCTION("""COMPUTED_VALUE"""),44533)</f>
        <v>44533</v>
      </c>
      <c r="B5784" s="6" t="str">
        <f ca="1">IFERROR(__xludf.DUMMYFUNCTION("""COMPUTED_VALUE"""),"-33.14145-70.79739")</f>
        <v>-33.14145-70.79739</v>
      </c>
      <c r="C5784" s="6" t="str">
        <f ca="1">IFERROR(__xludf.DUMMYFUNCTION("""COMPUTED_VALUE"""),"2 ORIENTE 349 LOTE 9")</f>
        <v>2 ORIENTE 349 LOTE 9</v>
      </c>
      <c r="D5784" s="6" t="str">
        <f ca="1">IFERROR(__xludf.DUMMYFUNCTION("""COMPUTED_VALUE"""),"TIL TIL")</f>
        <v>TIL TIL</v>
      </c>
    </row>
    <row r="5785" spans="1:4">
      <c r="A5785" s="7">
        <f ca="1">IFERROR(__xludf.DUMMYFUNCTION("""COMPUTED_VALUE"""),44533)</f>
        <v>44533</v>
      </c>
      <c r="B5785" s="6" t="str">
        <f ca="1">IFERROR(__xludf.DUMMYFUNCTION("""COMPUTED_VALUE"""),"-33.14145-70.79739")</f>
        <v>-33.14145-70.79739</v>
      </c>
      <c r="C5785" s="6" t="str">
        <f ca="1">IFERROR(__xludf.DUMMYFUNCTION("""COMPUTED_VALUE"""),"2 ORIENTE 349 LOTE 9")</f>
        <v>2 ORIENTE 349 LOTE 9</v>
      </c>
      <c r="D5785" s="6" t="str">
        <f ca="1">IFERROR(__xludf.DUMMYFUNCTION("""COMPUTED_VALUE"""),"TIL TIL")</f>
        <v>TIL TIL</v>
      </c>
    </row>
    <row r="5786" spans="1:4">
      <c r="A5786" s="7">
        <f ca="1">IFERROR(__xludf.DUMMYFUNCTION("""COMPUTED_VALUE"""),44533)</f>
        <v>44533</v>
      </c>
      <c r="B5786" s="6" t="str">
        <f ca="1">IFERROR(__xludf.DUMMYFUNCTION("""COMPUTED_VALUE"""),"-33.14162-70.79762")</f>
        <v>-33.14162-70.79762</v>
      </c>
      <c r="C5786" s="6" t="str">
        <f ca="1">IFERROR(__xludf.DUMMYFUNCTION("""COMPUTED_VALUE"""),"2 ORIENTE 349 LOTE 9")</f>
        <v>2 ORIENTE 349 LOTE 9</v>
      </c>
      <c r="D5786" s="6" t="str">
        <f ca="1">IFERROR(__xludf.DUMMYFUNCTION("""COMPUTED_VALUE"""),"TIL TIL")</f>
        <v>TIL TIL</v>
      </c>
    </row>
    <row r="5787" spans="1:4">
      <c r="A5787" s="7">
        <f ca="1">IFERROR(__xludf.DUMMYFUNCTION("""COMPUTED_VALUE"""),44533)</f>
        <v>44533</v>
      </c>
      <c r="B5787" s="6" t="str">
        <f ca="1">IFERROR(__xludf.DUMMYFUNCTION("""COMPUTED_VALUE"""),"-33.6389087-70.3522757")</f>
        <v>-33.6389087-70.3522757</v>
      </c>
      <c r="C5787" s="6" t="str">
        <f ca="1">IFERROR(__xludf.DUMMYFUNCTION("""COMPUTED_VALUE"""),"DEL CERRO S/N")</f>
        <v>DEL CERRO S/N</v>
      </c>
      <c r="D5787" s="6" t="str">
        <f ca="1">IFERROR(__xludf.DUMMYFUNCTION("""COMPUTED_VALUE"""),"SAN JOSE DE MAIPO")</f>
        <v>SAN JOSE DE MAIPO</v>
      </c>
    </row>
    <row r="5788" spans="1:4">
      <c r="A5788" s="7">
        <f ca="1">IFERROR(__xludf.DUMMYFUNCTION("""COMPUTED_VALUE"""),44533)</f>
        <v>44533</v>
      </c>
      <c r="B5788" s="6" t="str">
        <f ca="1">IFERROR(__xludf.DUMMYFUNCTION("""COMPUTED_VALUE"""),"-33.5880574-70.4627369")</f>
        <v>-33.5880574-70.4627369</v>
      </c>
      <c r="C5788" s="6" t="str">
        <f ca="1">IFERROR(__xludf.DUMMYFUNCTION("""COMPUTED_VALUE"""),"VISTA HERMOSA 0471")</f>
        <v>VISTA HERMOSA 0471</v>
      </c>
      <c r="D5788" s="6" t="str">
        <f ca="1">IFERROR(__xludf.DUMMYFUNCTION("""COMPUTED_VALUE"""),"SAN JOSE DE MAIPO")</f>
        <v>SAN JOSE DE MAIPO</v>
      </c>
    </row>
    <row r="5789" spans="1:4">
      <c r="A5789" s="7">
        <f ca="1">IFERROR(__xludf.DUMMYFUNCTION("""COMPUTED_VALUE"""),44533)</f>
        <v>44533</v>
      </c>
      <c r="B5789" s="6" t="str">
        <f ca="1">IFERROR(__xludf.DUMMYFUNCTION("""COMPUTED_VALUE"""),"-33.5880574-70.4627359")</f>
        <v>-33.5880574-70.4627359</v>
      </c>
      <c r="C5789" s="6" t="str">
        <f ca="1">IFERROR(__xludf.DUMMYFUNCTION("""COMPUTED_VALUE"""),"VISTA HERMOSA 0471")</f>
        <v>VISTA HERMOSA 0471</v>
      </c>
      <c r="D5789" s="6" t="str">
        <f ca="1">IFERROR(__xludf.DUMMYFUNCTION("""COMPUTED_VALUE"""),"SAN JOSE DE MAIPO")</f>
        <v>SAN JOSE DE MAIPO</v>
      </c>
    </row>
    <row r="5790" spans="1:4">
      <c r="A5790" s="7">
        <f ca="1">IFERROR(__xludf.DUMMYFUNCTION("""COMPUTED_VALUE"""),44533)</f>
        <v>44533</v>
      </c>
      <c r="B5790" s="6" t="str">
        <f ca="1">IFERROR(__xludf.DUMMYFUNCTION("""COMPUTED_VALUE"""),"-33.821316,-70.742125")</f>
        <v>-33.821316,-70.742125</v>
      </c>
      <c r="C5790" s="6" t="str">
        <f ca="1">IFERROR(__xludf.DUMMYFUNCTION("""COMPUTED_VALUE"""),"AV ARRECIFE 1623")</f>
        <v>AV ARRECIFE 1623</v>
      </c>
      <c r="D5790" s="6" t="str">
        <f ca="1">IFERROR(__xludf.DUMMYFUNCTION("""COMPUTED_VALUE"""),"PAINE")</f>
        <v>PAINE</v>
      </c>
    </row>
    <row r="5791" spans="1:4">
      <c r="A5791" s="7">
        <f ca="1">IFERROR(__xludf.DUMMYFUNCTION("""COMPUTED_VALUE"""),44533)</f>
        <v>44533</v>
      </c>
      <c r="B5791" s="6" t="str">
        <f ca="1">IFERROR(__xludf.DUMMYFUNCTION("""COMPUTED_VALUE"""),"-33.822018,-70.741979")</f>
        <v>-33.822018,-70.741979</v>
      </c>
      <c r="C5791" s="6" t="str">
        <f ca="1">IFERROR(__xludf.DUMMYFUNCTION("""COMPUTED_VALUE"""),"AV ARRECIFE 1627")</f>
        <v>AV ARRECIFE 1627</v>
      </c>
      <c r="D5791" s="6" t="str">
        <f ca="1">IFERROR(__xludf.DUMMYFUNCTION("""COMPUTED_VALUE"""),"PAINE")</f>
        <v>PAINE</v>
      </c>
    </row>
    <row r="5792" spans="1:4">
      <c r="A5792" s="7">
        <f ca="1">IFERROR(__xludf.DUMMYFUNCTION("""COMPUTED_VALUE"""),44533)</f>
        <v>44533</v>
      </c>
      <c r="B5792" s="6" t="str">
        <f ca="1">IFERROR(__xludf.DUMMYFUNCTION("""COMPUTED_VALUE"""),"-33.7062473,-70.335626")</f>
        <v>-33.7062473,-70.335626</v>
      </c>
      <c r="C5792" s="6" t="str">
        <f ca="1">IFERROR(__xludf.DUMMYFUNCTION("""COMPUTED_VALUE"""),"EL PRINCIPAL 169 LOTE 5")</f>
        <v>EL PRINCIPAL 169 LOTE 5</v>
      </c>
      <c r="D5792" s="6" t="str">
        <f ca="1">IFERROR(__xludf.DUMMYFUNCTION("""COMPUTED_VALUE"""),"PIRQUE")</f>
        <v>PIRQUE</v>
      </c>
    </row>
    <row r="5793" spans="1:4">
      <c r="A5793" s="7">
        <f ca="1">IFERROR(__xludf.DUMMYFUNCTION("""COMPUTED_VALUE"""),44533)</f>
        <v>44533</v>
      </c>
      <c r="B5793" s="6" t="str">
        <f ca="1">IFERROR(__xludf.DUMMYFUNCTION("""COMPUTED_VALUE"""),"-33.675776,-70.580067")</f>
        <v>-33.675776,-70.580067</v>
      </c>
      <c r="C5793" s="6" t="str">
        <f ca="1">IFERROR(__xludf.DUMMYFUNCTION("""COMPUTED_VALUE"""),"LAS CAMELIAS 1326")</f>
        <v>LAS CAMELIAS 1326</v>
      </c>
      <c r="D5793" s="6" t="str">
        <f ca="1">IFERROR(__xludf.DUMMYFUNCTION("""COMPUTED_VALUE"""),"PIRQUE")</f>
        <v>PIRQUE</v>
      </c>
    </row>
    <row r="5794" spans="1:4">
      <c r="A5794" s="7">
        <f ca="1">IFERROR(__xludf.DUMMYFUNCTION("""COMPUTED_VALUE"""),44533)</f>
        <v>44533</v>
      </c>
      <c r="B5794" s="6" t="str">
        <f ca="1">IFERROR(__xludf.DUMMYFUNCTION("""COMPUTED_VALUE"""),"-33.711693,-70.532373")</f>
        <v>-33.711693,-70.532373</v>
      </c>
      <c r="C5794" s="6" t="str">
        <f ca="1">IFERROR(__xludf.DUMMYFUNCTION("""COMPUTED_VALUE"""),"EL PRINCIPAL 14 CASA B")</f>
        <v>EL PRINCIPAL 14 CASA B</v>
      </c>
      <c r="D5794" s="6" t="str">
        <f ca="1">IFERROR(__xludf.DUMMYFUNCTION("""COMPUTED_VALUE"""),"PIRQUE")</f>
        <v>PIRQUE</v>
      </c>
    </row>
    <row r="5795" spans="1:4">
      <c r="A5795" s="7">
        <f ca="1">IFERROR(__xludf.DUMMYFUNCTION("""COMPUTED_VALUE"""),44533)</f>
        <v>44533</v>
      </c>
      <c r="B5795" s="6" t="str">
        <f ca="1">IFERROR(__xludf.DUMMYFUNCTION("""COMPUTED_VALUE"""),"-33.714504,-70.533599")</f>
        <v>-33.714504,-70.533599</v>
      </c>
      <c r="C5795" s="6" t="str">
        <f ca="1">IFERROR(__xludf.DUMMYFUNCTION("""COMPUTED_VALUE"""),"RESERVA CORA S/N PP292565 PC20")</f>
        <v>RESERVA CORA S/N PP292565 PC20</v>
      </c>
      <c r="D5795" s="6" t="str">
        <f ca="1">IFERROR(__xludf.DUMMYFUNCTION("""COMPUTED_VALUE"""),"PIRQUE")</f>
        <v>PIRQUE</v>
      </c>
    </row>
    <row r="5796" spans="1:4">
      <c r="A5796" s="7">
        <f ca="1">IFERROR(__xludf.DUMMYFUNCTION("""COMPUTED_VALUE"""),44533)</f>
        <v>44533</v>
      </c>
      <c r="B5796" s="6" t="str">
        <f ca="1">IFERROR(__xludf.DUMMYFUNCTION("""COMPUTED_VALUE"""),"-33.716571,-70.568610")</f>
        <v>-33.716571,-70.568610</v>
      </c>
      <c r="C5796" s="6" t="str">
        <f ca="1">IFERROR(__xludf.DUMMYFUNCTION("""COMPUTED_VALUE"""),"CALLE RINCONADA 131")</f>
        <v>CALLE RINCONADA 131</v>
      </c>
      <c r="D5796" s="6" t="str">
        <f ca="1">IFERROR(__xludf.DUMMYFUNCTION("""COMPUTED_VALUE"""),"PIRQUE")</f>
        <v>PIRQUE</v>
      </c>
    </row>
    <row r="5797" spans="1:4">
      <c r="A5797" s="7">
        <f ca="1">IFERROR(__xludf.DUMMYFUNCTION("""COMPUTED_VALUE"""),44533)</f>
        <v>44533</v>
      </c>
      <c r="B5797" s="6" t="str">
        <f ca="1">IFERROR(__xludf.DUMMYFUNCTION("""COMPUTED_VALUE"""),"33.8042508,-70.7153175")</f>
        <v>33.8042508,-70.7153175</v>
      </c>
      <c r="C5797" s="6" t="str">
        <f ca="1">IFERROR(__xludf.DUMMYFUNCTION("""COMPUTED_VALUE"""),"PASAJE SEIS 2035")</f>
        <v>PASAJE SEIS 2035</v>
      </c>
      <c r="D5797" s="6" t="str">
        <f ca="1">IFERROR(__xludf.DUMMYFUNCTION("""COMPUTED_VALUE"""),"PAINE")</f>
        <v>PAINE</v>
      </c>
    </row>
    <row r="5798" spans="1:4">
      <c r="A5798" s="7">
        <f ca="1">IFERROR(__xludf.DUMMYFUNCTION("""COMPUTED_VALUE"""),44533)</f>
        <v>44533</v>
      </c>
      <c r="B5798" s="6" t="str">
        <f ca="1">IFERROR(__xludf.DUMMYFUNCTION("""COMPUTED_VALUE"""),"-33.868707,-70.743771")</f>
        <v>-33.868707,-70.743771</v>
      </c>
      <c r="C5798" s="6" t="str">
        <f ca="1">IFERROR(__xludf.DUMMYFUNCTION("""COMPUTED_VALUE"""),"LAS BODEGAS N°12")</f>
        <v>LAS BODEGAS N°12</v>
      </c>
      <c r="D5798" s="6" t="str">
        <f ca="1">IFERROR(__xludf.DUMMYFUNCTION("""COMPUTED_VALUE"""),"PAINE")</f>
        <v>PAINE</v>
      </c>
    </row>
    <row r="5799" spans="1:4">
      <c r="A5799" s="7">
        <f ca="1">IFERROR(__xludf.DUMMYFUNCTION("""COMPUTED_VALUE"""),44533)</f>
        <v>44533</v>
      </c>
      <c r="B5799" s="8" t="str">
        <f ca="1">IFERROR(__xludf.DUMMYFUNCTION("""COMPUTED_VALUE"""),"-33.815772,-71289526")</f>
        <v>-33.815772,-71289526</v>
      </c>
      <c r="C5799" s="6" t="str">
        <f ca="1">IFERROR(__xludf.DUMMYFUNCTION("""COMPUTED_VALUE"""),"RUTA 6774")</f>
        <v>RUTA 6774</v>
      </c>
      <c r="D5799" s="6" t="str">
        <f ca="1">IFERROR(__xludf.DUMMYFUNCTION("""COMPUTED_VALUE"""),"MELIPILLA")</f>
        <v>MELIPILLA</v>
      </c>
    </row>
    <row r="5800" spans="1:4">
      <c r="A5800" s="7">
        <f ca="1">IFERROR(__xludf.DUMMYFUNCTION("""COMPUTED_VALUE"""),44533)</f>
        <v>44533</v>
      </c>
      <c r="B5800" s="8" t="str">
        <f ca="1">IFERROR(__xludf.DUMMYFUNCTION("""COMPUTED_VALUE"""),"-33.770046,-71.262662")</f>
        <v>-33.770046,-71.262662</v>
      </c>
      <c r="C5800" s="6" t="str">
        <f ca="1">IFERROR(__xludf.DUMMYFUNCTION("""COMPUTED_VALUE"""),"SAN MANUEL CASA #13")</f>
        <v>SAN MANUEL CASA #13</v>
      </c>
      <c r="D5800" s="6" t="str">
        <f ca="1">IFERROR(__xludf.DUMMYFUNCTION("""COMPUTED_VALUE"""),"MELIPILLA")</f>
        <v>MELIPILLA</v>
      </c>
    </row>
    <row r="5801" spans="1:4">
      <c r="A5801" s="7">
        <f ca="1">IFERROR(__xludf.DUMMYFUNCTION("""COMPUTED_VALUE"""),44533)</f>
        <v>44533</v>
      </c>
      <c r="B5801" s="6" t="str">
        <f ca="1">IFERROR(__xludf.DUMMYFUNCTION("""COMPUTED_VALUE"""),"-33288869-70874282")</f>
        <v>-33288869-70874282</v>
      </c>
      <c r="C5801" s="6" t="str">
        <f ca="1">IFERROR(__xludf.DUMMYFUNCTION("""COMPUTED_VALUE"""),"JUAN DE DIOS SALAS 1151 ")</f>
        <v xml:space="preserve">JUAN DE DIOS SALAS 1151 </v>
      </c>
      <c r="D5801" s="6" t="str">
        <f ca="1">IFERROR(__xludf.DUMMYFUNCTION("""COMPUTED_VALUE"""),"LAMPA")</f>
        <v>LAMPA</v>
      </c>
    </row>
    <row r="5802" spans="1:4">
      <c r="A5802" s="7">
        <f ca="1">IFERROR(__xludf.DUMMYFUNCTION("""COMPUTED_VALUE"""),44533)</f>
        <v>44533</v>
      </c>
      <c r="B5802" s="6" t="str">
        <f ca="1">IFERROR(__xludf.DUMMYFUNCTION("""COMPUTED_VALUE"""),"-33.800353,-70.681944")</f>
        <v>-33.800353,-70.681944</v>
      </c>
      <c r="C5802" s="6" t="str">
        <f ca="1">IFERROR(__xludf.DUMMYFUNCTION("""COMPUTED_VALUE"""),"24 DE ABRIL SITIO 79")</f>
        <v>24 DE ABRIL SITIO 79</v>
      </c>
      <c r="D5802" s="6" t="str">
        <f ca="1">IFERROR(__xludf.DUMMYFUNCTION("""COMPUTED_VALUE"""),"PAINE")</f>
        <v>PAINE</v>
      </c>
    </row>
    <row r="5803" spans="1:4">
      <c r="A5803" s="7">
        <f ca="1">IFERROR(__xludf.DUMMYFUNCTION("""COMPUTED_VALUE"""),44533)</f>
        <v>44533</v>
      </c>
      <c r="B5803" s="6" t="str">
        <f ca="1">IFERROR(__xludf.DUMMYFUNCTION("""COMPUTED_VALUE"""),"-33819625-70753616")</f>
        <v>-33819625-70753616</v>
      </c>
      <c r="C5803" s="6" t="str">
        <f ca="1">IFERROR(__xludf.DUMMYFUNCTION("""COMPUTED_VALUE"""),"LONGISUR 269")</f>
        <v>LONGISUR 269</v>
      </c>
      <c r="D5803" s="6" t="str">
        <f ca="1">IFERROR(__xludf.DUMMYFUNCTION("""COMPUTED_VALUE"""),"PAINE")</f>
        <v>PAINE</v>
      </c>
    </row>
    <row r="5804" spans="1:4">
      <c r="A5804" s="7">
        <f ca="1">IFERROR(__xludf.DUMMYFUNCTION("""COMPUTED_VALUE"""),44534)</f>
        <v>44534</v>
      </c>
      <c r="B5804" s="6" t="str">
        <f ca="1">IFERROR(__xludf.DUMMYFUNCTION("""COMPUTED_VALUE"""),"-33.418048-71.048124")</f>
        <v>-33.418048-71.048124</v>
      </c>
      <c r="C5804" s="6" t="str">
        <f ca="1">IFERROR(__xludf.DUMMYFUNCTION("""COMPUTED_VALUE"""),"RUTA 68 KM 41,58")</f>
        <v>RUTA 68 KM 41,58</v>
      </c>
      <c r="D5804" s="6" t="str">
        <f ca="1">IFERROR(__xludf.DUMMYFUNCTION("""COMPUTED_VALUE"""),"CURACAVI")</f>
        <v>CURACAVI</v>
      </c>
    </row>
    <row r="5805" spans="1:4">
      <c r="A5805" s="7">
        <f ca="1">IFERROR(__xludf.DUMMYFUNCTION("""COMPUTED_VALUE"""),44534)</f>
        <v>44534</v>
      </c>
      <c r="B5805" s="6" t="str">
        <f ca="1">IFERROR(__xludf.DUMMYFUNCTION("""COMPUTED_VALUE"""),"-33.851263,-70.767694")</f>
        <v>-33.851263,-70.767694</v>
      </c>
      <c r="C5805" s="6" t="str">
        <f ca="1">IFERROR(__xludf.DUMMYFUNCTION("""COMPUTED_VALUE"""),"LAS CAMELIAS D-9")</f>
        <v>LAS CAMELIAS D-9</v>
      </c>
      <c r="D5805" s="6" t="str">
        <f ca="1">IFERROR(__xludf.DUMMYFUNCTION("""COMPUTED_VALUE"""),"PAINE")</f>
        <v>PAINE</v>
      </c>
    </row>
    <row r="5806" spans="1:4">
      <c r="A5806" s="7">
        <f ca="1">IFERROR(__xludf.DUMMYFUNCTION("""COMPUTED_VALUE"""),44534)</f>
        <v>44534</v>
      </c>
      <c r="B5806" s="6" t="str">
        <f ca="1">IFERROR(__xludf.DUMMYFUNCTION("""COMPUTED_VALUE"""),"-33.820092,-70.736991")</f>
        <v>-33.820092,-70.736991</v>
      </c>
      <c r="C5806" s="6" t="str">
        <f ca="1">IFERROR(__xludf.DUMMYFUNCTION("""COMPUTED_VALUE"""),"PARQUE NACIONAL CUCAO1512")</f>
        <v>PARQUE NACIONAL CUCAO1512</v>
      </c>
      <c r="D5806" s="6" t="str">
        <f ca="1">IFERROR(__xludf.DUMMYFUNCTION("""COMPUTED_VALUE"""),"PAINE")</f>
        <v>PAINE</v>
      </c>
    </row>
    <row r="5807" spans="1:4">
      <c r="A5807" s="7">
        <f ca="1">IFERROR(__xludf.DUMMYFUNCTION("""COMPUTED_VALUE"""),44534)</f>
        <v>44534</v>
      </c>
      <c r="B5807" s="6" t="str">
        <f ca="1">IFERROR(__xludf.DUMMYFUNCTION("""COMPUTED_VALUE"""),"-33.795764,-70.723112")</f>
        <v>-33.795764,-70.723112</v>
      </c>
      <c r="C5807" s="6" t="str">
        <f ca="1">IFERROR(__xludf.DUMMYFUNCTION("""COMPUTED_VALUE"""),"PARCELA 68-B")</f>
        <v>PARCELA 68-B</v>
      </c>
      <c r="D5807" s="6" t="str">
        <f ca="1">IFERROR(__xludf.DUMMYFUNCTION("""COMPUTED_VALUE"""),"PAINE")</f>
        <v>PAINE</v>
      </c>
    </row>
    <row r="5808" spans="1:4">
      <c r="A5808" s="7">
        <f ca="1">IFERROR(__xludf.DUMMYFUNCTION("""COMPUTED_VALUE"""),44535)</f>
        <v>44535</v>
      </c>
      <c r="B5808" s="6" t="str">
        <f ca="1">IFERROR(__xludf.DUMMYFUNCTION("""COMPUTED_VALUE"""),"-33.396594-71.128253")</f>
        <v>-33.396594-71.128253</v>
      </c>
      <c r="C5808" s="6" t="str">
        <f ca="1">IFERROR(__xludf.DUMMYFUNCTION("""COMPUTED_VALUE"""),"PRESBITERO MORAGA 606")</f>
        <v>PRESBITERO MORAGA 606</v>
      </c>
      <c r="D5808" s="6" t="str">
        <f ca="1">IFERROR(__xludf.DUMMYFUNCTION("""COMPUTED_VALUE"""),"CURACAVI")</f>
        <v>CURACAVI</v>
      </c>
    </row>
    <row r="5809" spans="1:4">
      <c r="A5809" s="7">
        <f ca="1">IFERROR(__xludf.DUMMYFUNCTION("""COMPUTED_VALUE"""),44535)</f>
        <v>44535</v>
      </c>
      <c r="B5809" s="6" t="str">
        <f ca="1">IFERROR(__xludf.DUMMYFUNCTION("""COMPUTED_VALUE"""),"-33.391017-71.128061")</f>
        <v>-33.391017-71.128061</v>
      </c>
      <c r="C5809" s="6" t="str">
        <f ca="1">IFERROR(__xludf.DUMMYFUNCTION("""COMPUTED_VALUE"""),"PRESBITERO MORAGA 1128")</f>
        <v>PRESBITERO MORAGA 1128</v>
      </c>
      <c r="D5809" s="6" t="str">
        <f ca="1">IFERROR(__xludf.DUMMYFUNCTION("""COMPUTED_VALUE"""),"CURACAVI")</f>
        <v>CURACAVI</v>
      </c>
    </row>
    <row r="5810" spans="1:4">
      <c r="A5810" s="7">
        <f ca="1">IFERROR(__xludf.DUMMYFUNCTION("""COMPUTED_VALUE"""),44535)</f>
        <v>44535</v>
      </c>
      <c r="B5810" s="6" t="str">
        <f ca="1">IFERROR(__xludf.DUMMYFUNCTION("""COMPUTED_VALUE"""),"-33.392972-71.122986")</f>
        <v>-33.392972-71.122986</v>
      </c>
      <c r="C5810" s="6" t="str">
        <f ca="1">IFERROR(__xludf.DUMMYFUNCTION("""COMPUTED_VALUE"""),"SANTIAGO BUERAS 2130")</f>
        <v>SANTIAGO BUERAS 2130</v>
      </c>
      <c r="D5810" s="6" t="str">
        <f ca="1">IFERROR(__xludf.DUMMYFUNCTION("""COMPUTED_VALUE"""),"CURACAVI")</f>
        <v>CURACAVI</v>
      </c>
    </row>
    <row r="5811" spans="1:4">
      <c r="A5811" s="7">
        <f ca="1">IFERROR(__xludf.DUMMYFUNCTION("""COMPUTED_VALUE"""),44536)</f>
        <v>44536</v>
      </c>
      <c r="B5811" s="6" t="str">
        <f ca="1">IFERROR(__xludf.DUMMYFUNCTION("""COMPUTED_VALUE"""),"-33.813266,-70.737303")</f>
        <v>-33.813266,-70.737303</v>
      </c>
      <c r="C5811" s="6" t="str">
        <f ca="1">IFERROR(__xludf.DUMMYFUNCTION("""COMPUTED_VALUE"""),"A BERNARDO O'HIGGINS 852")</f>
        <v>A BERNARDO O'HIGGINS 852</v>
      </c>
      <c r="D5811" s="6" t="str">
        <f ca="1">IFERROR(__xludf.DUMMYFUNCTION("""COMPUTED_VALUE"""),"PAINE")</f>
        <v>PAINE</v>
      </c>
    </row>
    <row r="5812" spans="1:4">
      <c r="A5812" s="7">
        <f ca="1">IFERROR(__xludf.DUMMYFUNCTION("""COMPUTED_VALUE"""),44536)</f>
        <v>44536</v>
      </c>
      <c r="B5812" s="6" t="str">
        <f ca="1">IFERROR(__xludf.DUMMYFUNCTION("""COMPUTED_VALUE"""),"-33.818960,-70.733016")</f>
        <v>-33.818960,-70.733016</v>
      </c>
      <c r="C5812" s="6" t="str">
        <f ca="1">IFERROR(__xludf.DUMMYFUNCTION("""COMPUTED_VALUE"""),"LOS COPIHUE 3")</f>
        <v>LOS COPIHUE 3</v>
      </c>
      <c r="D5812" s="6" t="str">
        <f ca="1">IFERROR(__xludf.DUMMYFUNCTION("""COMPUTED_VALUE"""),"PAINE")</f>
        <v>PAINE</v>
      </c>
    </row>
    <row r="5813" spans="1:4">
      <c r="A5813" s="7">
        <f ca="1">IFERROR(__xludf.DUMMYFUNCTION("""COMPUTED_VALUE"""),44536)</f>
        <v>44536</v>
      </c>
      <c r="B5813" s="6" t="str">
        <f ca="1">IFERROR(__xludf.DUMMYFUNCTION("""COMPUTED_VALUE"""),"-33.7159000,-70.5329950")</f>
        <v>-33.7159000,-70.5329950</v>
      </c>
      <c r="C5813" s="6" t="str">
        <f ca="1">IFERROR(__xludf.DUMMYFUNCTION("""COMPUTED_VALUE"""),"LOS ROBLES 1212")</f>
        <v>LOS ROBLES 1212</v>
      </c>
      <c r="D5813" s="6" t="str">
        <f ca="1">IFERROR(__xludf.DUMMYFUNCTION("""COMPUTED_VALUE"""),"PIRQUE")</f>
        <v>PIRQUE</v>
      </c>
    </row>
    <row r="5814" spans="1:4">
      <c r="A5814" s="7">
        <f ca="1">IFERROR(__xludf.DUMMYFUNCTION("""COMPUTED_VALUE"""),44536)</f>
        <v>44536</v>
      </c>
      <c r="B5814" s="8" t="str">
        <f ca="1">IFERROR(__xludf.DUMMYFUNCTION("""COMPUTED_VALUE"""),"-33.593794,-70.777665")</f>
        <v>-33.593794,-70.777665</v>
      </c>
      <c r="C5814" s="6" t="str">
        <f ca="1">IFERROR(__xludf.DUMMYFUNCTION("""COMPUTED_VALUE"""),"SANTA SOFIA PARCELA 14")</f>
        <v>SANTA SOFIA PARCELA 14</v>
      </c>
      <c r="D5814" s="6" t="str">
        <f ca="1">IFERROR(__xludf.DUMMYFUNCTION("""COMPUTED_VALUE"""),"CALERA DE TANGO")</f>
        <v>CALERA DE TANGO</v>
      </c>
    </row>
    <row r="5815" spans="1:4">
      <c r="A5815" s="7">
        <f ca="1">IFERROR(__xludf.DUMMYFUNCTION("""COMPUTED_VALUE"""),44536)</f>
        <v>44536</v>
      </c>
      <c r="B5815" s="8" t="str">
        <f ca="1">IFERROR(__xludf.DUMMYFUNCTION("""COMPUTED_VALUE"""),"-33.618957,-70.766375")</f>
        <v>-33.618957,-70.766375</v>
      </c>
      <c r="C5815" s="6" t="str">
        <f ca="1">IFERROR(__xludf.DUMMYFUNCTION("""COMPUTED_VALUE"""),"SAN AGUSTIN PARCELA 7 SITIO 5 ")</f>
        <v xml:space="preserve">SAN AGUSTIN PARCELA 7 SITIO 5 </v>
      </c>
      <c r="D5815" s="6" t="str">
        <f ca="1">IFERROR(__xludf.DUMMYFUNCTION("""COMPUTED_VALUE"""),"CALERA DE TANGO")</f>
        <v>CALERA DE TANGO</v>
      </c>
    </row>
    <row r="5816" spans="1:4">
      <c r="A5816" s="7">
        <f ca="1">IFERROR(__xludf.DUMMYFUNCTION("""COMPUTED_VALUE"""),44536)</f>
        <v>44536</v>
      </c>
      <c r="B5816" s="8" t="str">
        <f ca="1">IFERROR(__xludf.DUMMYFUNCTION("""COMPUTED_VALUE"""),"-33.123273,-70.402360")</f>
        <v>-33.123273,-70.402360</v>
      </c>
      <c r="C5816" s="6" t="str">
        <f ca="1">IFERROR(__xludf.DUMMYFUNCTION("""COMPUTED_VALUE"""),"COSTA AZUL 0405")</f>
        <v>COSTA AZUL 0405</v>
      </c>
      <c r="D5816" s="6" t="str">
        <f ca="1">IFERROR(__xludf.DUMMYFUNCTION("""COMPUTED_VALUE"""),"COLINA")</f>
        <v>COLINA</v>
      </c>
    </row>
    <row r="5817" spans="1:4">
      <c r="A5817" s="7">
        <f ca="1">IFERROR(__xludf.DUMMYFUNCTION("""COMPUTED_VALUE"""),44536)</f>
        <v>44536</v>
      </c>
      <c r="B5817" s="6" t="str">
        <f ca="1">IFERROR(__xludf.DUMMYFUNCTION("""COMPUTED_VALUE"""),"-33.797890,-70.680811")</f>
        <v>-33.797890,-70.680811</v>
      </c>
      <c r="C5817" s="6" t="str">
        <f ca="1">IFERROR(__xludf.DUMMYFUNCTION("""COMPUTED_VALUE"""),"RUCAHUE 70")</f>
        <v>RUCAHUE 70</v>
      </c>
      <c r="D5817" s="6" t="str">
        <f ca="1">IFERROR(__xludf.DUMMYFUNCTION("""COMPUTED_VALUE"""),"PAINE")</f>
        <v>PAINE</v>
      </c>
    </row>
    <row r="5818" spans="1:4">
      <c r="A5818" s="7">
        <f ca="1">IFERROR(__xludf.DUMMYFUNCTION("""COMPUTED_VALUE"""),44536)</f>
        <v>44536</v>
      </c>
      <c r="B5818" s="6" t="str">
        <f ca="1">IFERROR(__xludf.DUMMYFUNCTION("""COMPUTED_VALUE"""),"-33.797938,-70.680769")</f>
        <v>-33.797938,-70.680769</v>
      </c>
      <c r="C5818" s="6" t="str">
        <f ca="1">IFERROR(__xludf.DUMMYFUNCTION("""COMPUTED_VALUE"""),"RUCAHUE 74C")</f>
        <v>RUCAHUE 74C</v>
      </c>
      <c r="D5818" s="6" t="str">
        <f ca="1">IFERROR(__xludf.DUMMYFUNCTION("""COMPUTED_VALUE"""),"PAINE")</f>
        <v>PAINE</v>
      </c>
    </row>
    <row r="5819" spans="1:4">
      <c r="A5819" s="7">
        <f ca="1">IFERROR(__xludf.DUMMYFUNCTION("""COMPUTED_VALUE"""),44536)</f>
        <v>44536</v>
      </c>
      <c r="B5819" s="6" t="str">
        <f ca="1">IFERROR(__xludf.DUMMYFUNCTION("""COMPUTED_VALUE"""),"-33.816902,-70.740091")</f>
        <v>-33.816902,-70.740091</v>
      </c>
      <c r="C5819" s="6" t="str">
        <f ca="1">IFERROR(__xludf.DUMMYFUNCTION("""COMPUTED_VALUE"""),"ARRECIFE 1344")</f>
        <v>ARRECIFE 1344</v>
      </c>
      <c r="D5819" s="6" t="str">
        <f ca="1">IFERROR(__xludf.DUMMYFUNCTION("""COMPUTED_VALUE"""),"PAINE")</f>
        <v>PAINE</v>
      </c>
    </row>
    <row r="5820" spans="1:4">
      <c r="A5820" s="7">
        <f ca="1">IFERROR(__xludf.DUMMYFUNCTION("""COMPUTED_VALUE"""),44537)</f>
        <v>44537</v>
      </c>
      <c r="B5820" s="6" t="str">
        <f ca="1">IFERROR(__xludf.DUMMYFUNCTION("""COMPUTED_VALUE"""),"-33.397724-71.129691")</f>
        <v>-33.397724-71.129691</v>
      </c>
      <c r="C5820" s="6" t="str">
        <f ca="1">IFERROR(__xludf.DUMMYFUNCTION("""COMPUTED_VALUE"""),"LOS COPIHUES 568")</f>
        <v>LOS COPIHUES 568</v>
      </c>
      <c r="D5820" s="6" t="str">
        <f ca="1">IFERROR(__xludf.DUMMYFUNCTION("""COMPUTED_VALUE"""),"CURACAVI")</f>
        <v>CURACAVI</v>
      </c>
    </row>
    <row r="5821" spans="1:4">
      <c r="A5821" s="7">
        <f ca="1">IFERROR(__xludf.DUMMYFUNCTION("""COMPUTED_VALUE"""),44537)</f>
        <v>44537</v>
      </c>
      <c r="B5821" s="6" t="str">
        <f ca="1">IFERROR(__xludf.DUMMYFUNCTION("""COMPUTED_VALUE"""),"-33.400143-71.120080")</f>
        <v>-33.400143-71.120080</v>
      </c>
      <c r="C5821" s="6" t="str">
        <f ca="1">IFERROR(__xludf.DUMMYFUNCTION("""COMPUTED_VALUE"""),"PASAJE DOS 2215")</f>
        <v>PASAJE DOS 2215</v>
      </c>
      <c r="D5821" s="6" t="str">
        <f ca="1">IFERROR(__xludf.DUMMYFUNCTION("""COMPUTED_VALUE"""),"CURACAVI")</f>
        <v>CURACAVI</v>
      </c>
    </row>
    <row r="5822" spans="1:4">
      <c r="A5822" s="7">
        <f ca="1">IFERROR(__xludf.DUMMYFUNCTION("""COMPUTED_VALUE"""),44537)</f>
        <v>44537</v>
      </c>
      <c r="B5822" s="6" t="str">
        <f ca="1">IFERROR(__xludf.DUMMYFUNCTION("""COMPUTED_VALUE"""),"-33.6381-70.35407")</f>
        <v>-33.6381-70.35407</v>
      </c>
      <c r="C5822" s="6" t="str">
        <f ca="1">IFERROR(__xludf.DUMMYFUNCTION("""COMPUTED_VALUE"""),"DEL RIO 19492")</f>
        <v>DEL RIO 19492</v>
      </c>
      <c r="D5822" s="6" t="str">
        <f ca="1">IFERROR(__xludf.DUMMYFUNCTION("""COMPUTED_VALUE"""),"SAN JOSE DE MAIPO")</f>
        <v>SAN JOSE DE MAIPO</v>
      </c>
    </row>
    <row r="5823" spans="1:4">
      <c r="A5823" s="7">
        <f ca="1">IFERROR(__xludf.DUMMYFUNCTION("""COMPUTED_VALUE"""),44537)</f>
        <v>44537</v>
      </c>
      <c r="B5823" s="6" t="str">
        <f ca="1">IFERROR(__xludf.DUMMYFUNCTION("""COMPUTED_VALUE"""),"-33.58403-70.48468")</f>
        <v>-33.58403-70.48468</v>
      </c>
      <c r="C5823" s="6" t="str">
        <f ca="1">IFERROR(__xludf.DUMMYFUNCTION("""COMPUTED_VALUE"""),"LAS PIRCAS 128")</f>
        <v>LAS PIRCAS 128</v>
      </c>
      <c r="D5823" s="6" t="str">
        <f ca="1">IFERROR(__xludf.DUMMYFUNCTION("""COMPUTED_VALUE"""),"SAN JOSE DE MAIPO")</f>
        <v>SAN JOSE DE MAIPO</v>
      </c>
    </row>
    <row r="5824" spans="1:4">
      <c r="A5824" s="7">
        <f ca="1">IFERROR(__xludf.DUMMYFUNCTION("""COMPUTED_VALUE"""),44537)</f>
        <v>44537</v>
      </c>
      <c r="B5824" s="6" t="str">
        <f ca="1">IFERROR(__xludf.DUMMYFUNCTION("""COMPUTED_VALUE"""),"-33.60559-70.3521899")</f>
        <v>-33.60559-70.3521899</v>
      </c>
      <c r="C5824" s="6" t="str">
        <f ca="1">IFERROR(__xludf.DUMMYFUNCTION("""COMPUTED_VALUE"""),"CAMINO AL VOLCAN 15395")</f>
        <v>CAMINO AL VOLCAN 15395</v>
      </c>
      <c r="D5824" s="6" t="str">
        <f ca="1">IFERROR(__xludf.DUMMYFUNCTION("""COMPUTED_VALUE"""),"SAN JOSE DE MAIPO")</f>
        <v>SAN JOSE DE MAIPO</v>
      </c>
    </row>
    <row r="5825" spans="1:4">
      <c r="A5825" s="7">
        <f ca="1">IFERROR(__xludf.DUMMYFUNCTION("""COMPUTED_VALUE"""),44537)</f>
        <v>44537</v>
      </c>
      <c r="B5825" s="6" t="str">
        <f ca="1">IFERROR(__xludf.DUMMYFUNCTION("""COMPUTED_VALUE"""),"-33.6351429-70.3522437")</f>
        <v>-33.6351429-70.3522437</v>
      </c>
      <c r="C5825" s="6" t="str">
        <f ca="1">IFERROR(__xludf.DUMMYFUNCTION("""COMPUTED_VALUE"""),"COMERCIO 19165")</f>
        <v>COMERCIO 19165</v>
      </c>
      <c r="D5825" s="6" t="str">
        <f ca="1">IFERROR(__xludf.DUMMYFUNCTION("""COMPUTED_VALUE"""),"SAN JOSE DE MAIPO")</f>
        <v>SAN JOSE DE MAIPO</v>
      </c>
    </row>
    <row r="5826" spans="1:4">
      <c r="A5826" s="7">
        <f ca="1">IFERROR(__xludf.DUMMYFUNCTION("""COMPUTED_VALUE"""),44537)</f>
        <v>44537</v>
      </c>
      <c r="B5826" s="6" t="str">
        <f ca="1">IFERROR(__xludf.DUMMYFUNCTION("""COMPUTED_VALUE"""),"-33.599353-70.877872")</f>
        <v>-33.599353-70.877872</v>
      </c>
      <c r="C5826" s="6" t="str">
        <f ca="1">IFERROR(__xludf.DUMMYFUNCTION("""COMPUTED_VALUE"""),"CENTENARIO 95")</f>
        <v>CENTENARIO 95</v>
      </c>
      <c r="D5826" s="6" t="str">
        <f ca="1">IFERROR(__xludf.DUMMYFUNCTION("""COMPUTED_VALUE"""),"PEÑAFLOR")</f>
        <v>PEÑAFLOR</v>
      </c>
    </row>
    <row r="5827" spans="1:4">
      <c r="A5827" s="7">
        <f ca="1">IFERROR(__xludf.DUMMYFUNCTION("""COMPUTED_VALUE"""),44537)</f>
        <v>44537</v>
      </c>
      <c r="B5827" s="6" t="str">
        <f ca="1">IFERROR(__xludf.DUMMYFUNCTION("""COMPUTED_VALUE"""),"-33.722440,-70.548705")</f>
        <v>-33.722440,-70.548705</v>
      </c>
      <c r="C5827" s="6" t="str">
        <f ca="1">IFERROR(__xludf.DUMMYFUNCTION("""COMPUTED_VALUE"""),"CALLE LA ESCUELA 72 LOTE 1C")</f>
        <v>CALLE LA ESCUELA 72 LOTE 1C</v>
      </c>
      <c r="D5827" s="6" t="str">
        <f ca="1">IFERROR(__xludf.DUMMYFUNCTION("""COMPUTED_VALUE"""),"PIRQUE")</f>
        <v>PIRQUE</v>
      </c>
    </row>
    <row r="5828" spans="1:4">
      <c r="A5828" s="7">
        <f ca="1">IFERROR(__xludf.DUMMYFUNCTION("""COMPUTED_VALUE"""),44537)</f>
        <v>44537</v>
      </c>
      <c r="B5828" s="6" t="str">
        <f ca="1">IFERROR(__xludf.DUMMYFUNCTION("""COMPUTED_VALUE"""),"-33.431975,-70.33186")</f>
        <v>-33.431975,-70.33186</v>
      </c>
      <c r="C5828" s="6" t="str">
        <f ca="1">IFERROR(__xludf.DUMMYFUNCTION("""COMPUTED_VALUE"""),"PARC.119 LOTE F EL PRINCIPAL")</f>
        <v>PARC.119 LOTE F EL PRINCIPAL</v>
      </c>
      <c r="D5828" s="6" t="str">
        <f ca="1">IFERROR(__xludf.DUMMYFUNCTION("""COMPUTED_VALUE"""),"PIRQUE")</f>
        <v>PIRQUE</v>
      </c>
    </row>
    <row r="5829" spans="1:4">
      <c r="A5829" s="7">
        <f ca="1">IFERROR(__xludf.DUMMYFUNCTION("""COMPUTED_VALUE"""),44537)</f>
        <v>44537</v>
      </c>
      <c r="B5829" s="8" t="str">
        <f ca="1">IFERROR(__xludf.DUMMYFUNCTION("""COMPUTED_VALUE"""),"-33.405635,-70.55073w")</f>
        <v>-33.405635,-70.55073w</v>
      </c>
      <c r="C5829" s="6" t="str">
        <f ca="1">IFERROR(__xludf.DUMMYFUNCTION("""COMPUTED_VALUE"""),"PARCELA SANTA CLARA ")</f>
        <v xml:space="preserve">PARCELA SANTA CLARA </v>
      </c>
      <c r="D5829" s="6" t="str">
        <f ca="1">IFERROR(__xludf.DUMMYFUNCTION("""COMPUTED_VALUE"""),"TALAGANTE")</f>
        <v>TALAGANTE</v>
      </c>
    </row>
    <row r="5830" spans="1:4">
      <c r="A5830" s="7">
        <f ca="1">IFERROR(__xludf.DUMMYFUNCTION("""COMPUTED_VALUE"""),44537)</f>
        <v>44537</v>
      </c>
      <c r="B5830" s="8" t="str">
        <f ca="1">IFERROR(__xludf.DUMMYFUNCTION("""COMPUTED_VALUE"""),"-33.587731,-70.767551")</f>
        <v>-33.587731,-70.767551</v>
      </c>
      <c r="C5830" s="6" t="str">
        <f ca="1">IFERROR(__xludf.DUMMYFUNCTION("""COMPUTED_VALUE"""),"CAMINO LO ERMITA #1")</f>
        <v>CAMINO LO ERMITA #1</v>
      </c>
      <c r="D5830" s="6" t="str">
        <f ca="1">IFERROR(__xludf.DUMMYFUNCTION("""COMPUTED_VALUE"""),"CALERA DE TANGO")</f>
        <v>CALERA DE TANGO</v>
      </c>
    </row>
    <row r="5831" spans="1:4">
      <c r="A5831" s="7">
        <f ca="1">IFERROR(__xludf.DUMMYFUNCTION("""COMPUTED_VALUE"""),44537)</f>
        <v>44537</v>
      </c>
      <c r="B5831" s="6" t="str">
        <f ca="1">IFERROR(__xludf.DUMMYFUNCTION("""COMPUTED_VALUE"""),"-33.837672,-70.639492")</f>
        <v>-33.837672,-70.639492</v>
      </c>
      <c r="C5831" s="6" t="str">
        <f ca="1">IFERROR(__xludf.DUMMYFUNCTION("""COMPUTED_VALUE"""),"AVDA VICTORIA SITIO 9 S/N")</f>
        <v>AVDA VICTORIA SITIO 9 S/N</v>
      </c>
      <c r="D5831" s="6" t="str">
        <f ca="1">IFERROR(__xludf.DUMMYFUNCTION("""COMPUTED_VALUE"""),"PAINE")</f>
        <v>PAINE</v>
      </c>
    </row>
    <row r="5832" spans="1:4">
      <c r="A5832" s="7">
        <f ca="1">IFERROR(__xludf.DUMMYFUNCTION("""COMPUTED_VALUE"""),44537)</f>
        <v>44537</v>
      </c>
      <c r="B5832" s="6" t="str">
        <f ca="1">IFERROR(__xludf.DUMMYFUNCTION("""COMPUTED_VALUE"""),"-33.837281,-70.639545")</f>
        <v>-33.837281,-70.639545</v>
      </c>
      <c r="C5832" s="6" t="str">
        <f ca="1">IFERROR(__xludf.DUMMYFUNCTION("""COMPUTED_VALUE"""),"LA VICTORIA CASA2")</f>
        <v>LA VICTORIA CASA2</v>
      </c>
      <c r="D5832" s="6" t="str">
        <f ca="1">IFERROR(__xludf.DUMMYFUNCTION("""COMPUTED_VALUE"""),"PAINE")</f>
        <v>PAINE</v>
      </c>
    </row>
    <row r="5833" spans="1:4">
      <c r="A5833" s="7">
        <f ca="1">IFERROR(__xludf.DUMMYFUNCTION("""COMPUTED_VALUE"""),44537)</f>
        <v>44537</v>
      </c>
      <c r="B5833" s="6" t="str">
        <f ca="1">IFERROR(__xludf.DUMMYFUNCTION("""COMPUTED_VALUE"""),"-33808200-70736114")</f>
        <v>-33808200-70736114</v>
      </c>
      <c r="C5833" s="6" t="str">
        <f ca="1">IFERROR(__xludf.DUMMYFUNCTION("""COMPUTED_VALUE"""),"AVDA 18 DE SEPTIEMBRE 414")</f>
        <v>AVDA 18 DE SEPTIEMBRE 414</v>
      </c>
      <c r="D5833" s="6" t="str">
        <f ca="1">IFERROR(__xludf.DUMMYFUNCTION("""COMPUTED_VALUE"""),"PAINE")</f>
        <v>PAINE</v>
      </c>
    </row>
    <row r="5834" spans="1:4">
      <c r="A5834" s="7">
        <f ca="1">IFERROR(__xludf.DUMMYFUNCTION("""COMPUTED_VALUE"""),44537)</f>
        <v>44537</v>
      </c>
      <c r="B5834" s="6" t="str">
        <f ca="1">IFERROR(__xludf.DUMMYFUNCTION("""COMPUTED_VALUE"""),"-33808455-70736178")</f>
        <v>-33808455-70736178</v>
      </c>
      <c r="C5834" s="6" t="str">
        <f ca="1">IFERROR(__xludf.DUMMYFUNCTION("""COMPUTED_VALUE"""),"AVDA OHIGGINS 7")</f>
        <v>AVDA OHIGGINS 7</v>
      </c>
      <c r="D5834" s="6" t="str">
        <f ca="1">IFERROR(__xludf.DUMMYFUNCTION("""COMPUTED_VALUE"""),"PAINE")</f>
        <v>PAINE</v>
      </c>
    </row>
    <row r="5835" spans="1:4">
      <c r="A5835" s="7">
        <f ca="1">IFERROR(__xludf.DUMMYFUNCTION("""COMPUTED_VALUE"""),44538)</f>
        <v>44538</v>
      </c>
      <c r="B5835" s="6" t="str">
        <f ca="1">IFERROR(__xludf.DUMMYFUNCTION("""COMPUTED_VALUE"""),"-33.29187-70.87694")</f>
        <v>-33.29187-70.87694</v>
      </c>
      <c r="C5835" s="6" t="str">
        <f ca="1">IFERROR(__xludf.DUMMYFUNCTION("""COMPUTED_VALUE"""),"EL PELLIN 1279")</f>
        <v>EL PELLIN 1279</v>
      </c>
      <c r="D5835" s="6" t="str">
        <f ca="1">IFERROR(__xludf.DUMMYFUNCTION("""COMPUTED_VALUE"""),"LAMPA")</f>
        <v>LAMPA</v>
      </c>
    </row>
    <row r="5836" spans="1:4">
      <c r="A5836" s="7">
        <f ca="1">IFERROR(__xludf.DUMMYFUNCTION("""COMPUTED_VALUE"""),44538)</f>
        <v>44538</v>
      </c>
      <c r="B5836" s="6" t="str">
        <f ca="1">IFERROR(__xludf.DUMMYFUNCTION("""COMPUTED_VALUE"""),"-33.676386,-70.582219")</f>
        <v>-33.676386,-70.582219</v>
      </c>
      <c r="C5836" s="6" t="str">
        <f ca="1">IFERROR(__xludf.DUMMYFUNCTION("""COMPUTED_VALUE"""),"LAS MARGARITAS 1334")</f>
        <v>LAS MARGARITAS 1334</v>
      </c>
      <c r="D5836" s="6" t="str">
        <f ca="1">IFERROR(__xludf.DUMMYFUNCTION("""COMPUTED_VALUE"""),"PIRQUE")</f>
        <v>PIRQUE</v>
      </c>
    </row>
    <row r="5837" spans="1:4">
      <c r="A5837" s="7">
        <f ca="1">IFERROR(__xludf.DUMMYFUNCTION("""COMPUTED_VALUE"""),44539)</f>
        <v>44539</v>
      </c>
      <c r="B5837" s="6" t="str">
        <f ca="1">IFERROR(__xludf.DUMMYFUNCTION("""COMPUTED_VALUE"""),"-33.601172-70.876325")</f>
        <v>-33.601172-70.876325</v>
      </c>
      <c r="C5837" s="6" t="str">
        <f ca="1">IFERROR(__xludf.DUMMYFUNCTION("""COMPUTED_VALUE"""),"AV LARRAIN 2228")</f>
        <v>AV LARRAIN 2228</v>
      </c>
      <c r="D5837" s="6" t="str">
        <f ca="1">IFERROR(__xludf.DUMMYFUNCTION("""COMPUTED_VALUE"""),"PEÑAFLOR")</f>
        <v>PEÑAFLOR</v>
      </c>
    </row>
    <row r="5838" spans="1:4">
      <c r="A5838" s="7">
        <f ca="1">IFERROR(__xludf.DUMMYFUNCTION("""COMPUTED_VALUE"""),44539)</f>
        <v>44539</v>
      </c>
      <c r="B5838" s="6" t="str">
        <f ca="1">IFERROR(__xludf.DUMMYFUNCTION("""COMPUTED_VALUE"""),"-33.6377-70.34914")</f>
        <v>-33.6377-70.34914</v>
      </c>
      <c r="C5838" s="6" t="str">
        <f ca="1">IFERROR(__xludf.DUMMYFUNCTION("""COMPUTED_VALUE"""),"AV CEMENTERIO 19378")</f>
        <v>AV CEMENTERIO 19378</v>
      </c>
      <c r="D5838" s="6" t="str">
        <f ca="1">IFERROR(__xludf.DUMMYFUNCTION("""COMPUTED_VALUE"""),"SAN JOSE DE MAIPO")</f>
        <v>SAN JOSE DE MAIPO</v>
      </c>
    </row>
    <row r="5839" spans="1:4">
      <c r="A5839" s="7">
        <f ca="1">IFERROR(__xludf.DUMMYFUNCTION("""COMPUTED_VALUE"""),44539)</f>
        <v>44539</v>
      </c>
      <c r="B5839" s="6" t="str">
        <f ca="1">IFERROR(__xludf.DUMMYFUNCTION("""COMPUTED_VALUE"""),"-33.6377-70.34914")</f>
        <v>-33.6377-70.34914</v>
      </c>
      <c r="C5839" s="6" t="str">
        <f ca="1">IFERROR(__xludf.DUMMYFUNCTION("""COMPUTED_VALUE"""),"AV CEMENTERIO 19378")</f>
        <v>AV CEMENTERIO 19378</v>
      </c>
      <c r="D5839" s="6" t="str">
        <f ca="1">IFERROR(__xludf.DUMMYFUNCTION("""COMPUTED_VALUE"""),"SAN JOSE DE MAIPO")</f>
        <v>SAN JOSE DE MAIPO</v>
      </c>
    </row>
    <row r="5840" spans="1:4">
      <c r="A5840" s="7">
        <f ca="1">IFERROR(__xludf.DUMMYFUNCTION("""COMPUTED_VALUE"""),44539)</f>
        <v>44539</v>
      </c>
      <c r="B5840" s="6" t="str">
        <f ca="1">IFERROR(__xludf.DUMMYFUNCTION("""COMPUTED_VALUE"""),"-33.6387321-70.3512088")</f>
        <v>-33.6387321-70.3512088</v>
      </c>
      <c r="C5840" s="6" t="str">
        <f ca="1">IFERROR(__xludf.DUMMYFUNCTION("""COMPUTED_VALUE"""),"AV DEL CERRO 286")</f>
        <v>AV DEL CERRO 286</v>
      </c>
      <c r="D5840" s="6" t="str">
        <f ca="1">IFERROR(__xludf.DUMMYFUNCTION("""COMPUTED_VALUE"""),"SAN JOSE DE MAIPO")</f>
        <v>SAN JOSE DE MAIPO</v>
      </c>
    </row>
    <row r="5841" spans="1:4">
      <c r="A5841" s="7">
        <f ca="1">IFERROR(__xludf.DUMMYFUNCTION("""COMPUTED_VALUE"""),44539)</f>
        <v>44539</v>
      </c>
      <c r="B5841" s="6" t="str">
        <f ca="1">IFERROR(__xludf.DUMMYFUNCTION("""COMPUTED_VALUE"""),"-33.7089448-70.3325564")</f>
        <v>-33.7089448-70.3325564</v>
      </c>
      <c r="C5841" s="6" t="str">
        <f ca="1">IFERROR(__xludf.DUMMYFUNCTION("""COMPUTED_VALUE"""),"CAMINO AL VOLCAN 28898")</f>
        <v>CAMINO AL VOLCAN 28898</v>
      </c>
      <c r="D5841" s="6" t="str">
        <f ca="1">IFERROR(__xludf.DUMMYFUNCTION("""COMPUTED_VALUE"""),"SAN JOSE DE MAIPO")</f>
        <v>SAN JOSE DE MAIPO</v>
      </c>
    </row>
    <row r="5842" spans="1:4">
      <c r="A5842" s="7">
        <f ca="1">IFERROR(__xludf.DUMMYFUNCTION("""COMPUTED_VALUE"""),44539)</f>
        <v>44539</v>
      </c>
      <c r="B5842" s="6" t="str">
        <f ca="1">IFERROR(__xludf.DUMMYFUNCTION("""COMPUTED_VALUE"""),"-33.5894722-70.4619639")</f>
        <v>-33.5894722-70.4619639</v>
      </c>
      <c r="C5842" s="6" t="str">
        <f ca="1">IFERROR(__xludf.DUMMYFUNCTION("""COMPUTED_VALUE"""),"LOS ALMENDROS 3644")</f>
        <v>LOS ALMENDROS 3644</v>
      </c>
      <c r="D5842" s="6" t="str">
        <f ca="1">IFERROR(__xludf.DUMMYFUNCTION("""COMPUTED_VALUE"""),"SAN JOSE DE MAIPO")</f>
        <v>SAN JOSE DE MAIPO</v>
      </c>
    </row>
    <row r="5843" spans="1:4">
      <c r="A5843" s="7">
        <f ca="1">IFERROR(__xludf.DUMMYFUNCTION("""COMPUTED_VALUE"""),44539)</f>
        <v>44539</v>
      </c>
      <c r="B5843" s="6" t="str">
        <f ca="1">IFERROR(__xludf.DUMMYFUNCTION("""COMPUTED_VALUE"""),"-33.58758-70.47966")</f>
        <v>-33.58758-70.47966</v>
      </c>
      <c r="C5843" s="6" t="str">
        <f ca="1">IFERROR(__xludf.DUMMYFUNCTION("""COMPUTED_VALUE"""),"CAMINO AL VOLCAN 1150")</f>
        <v>CAMINO AL VOLCAN 1150</v>
      </c>
      <c r="D5843" s="6" t="str">
        <f ca="1">IFERROR(__xludf.DUMMYFUNCTION("""COMPUTED_VALUE"""),"SAN JOSE DE MAIPO")</f>
        <v>SAN JOSE DE MAIPO</v>
      </c>
    </row>
    <row r="5844" spans="1:4">
      <c r="A5844" s="7">
        <f ca="1">IFERROR(__xludf.DUMMYFUNCTION("""COMPUTED_VALUE"""),44539)</f>
        <v>44539</v>
      </c>
      <c r="B5844" s="8" t="str">
        <f ca="1">IFERROR(__xludf.DUMMYFUNCTION("""COMPUTED_VALUE"""),"-33.6060700,-70.7912844")</f>
        <v>-33.6060700,-70.7912844</v>
      </c>
      <c r="C5844" s="6" t="str">
        <f ca="1">IFERROR(__xludf.DUMMYFUNCTION("""COMPUTED_VALUE"""),"LA VICTORIA 29 51")</f>
        <v>LA VICTORIA 29 51</v>
      </c>
      <c r="D5844" s="6" t="str">
        <f ca="1">IFERROR(__xludf.DUMMYFUNCTION("""COMPUTED_VALUE"""),"CALERA DE TANGO")</f>
        <v>CALERA DE TANGO</v>
      </c>
    </row>
    <row r="5845" spans="1:4">
      <c r="A5845" s="7">
        <f ca="1">IFERROR(__xludf.DUMMYFUNCTION("""COMPUTED_VALUE"""),44539)</f>
        <v>44539</v>
      </c>
      <c r="B5845" s="8" t="str">
        <f ca="1">IFERROR(__xludf.DUMMYFUNCTION("""COMPUTED_VALUE"""),"-33.727969,-70.769839")</f>
        <v>-33.727969,-70.769839</v>
      </c>
      <c r="C5845" s="6" t="str">
        <f ca="1">IFERROR(__xludf.DUMMYFUNCTION("""COMPUTED_VALUE"""),"ENRIQUE CHACON 2835")</f>
        <v>ENRIQUE CHACON 2835</v>
      </c>
      <c r="D5845" s="6" t="str">
        <f ca="1">IFERROR(__xludf.DUMMYFUNCTION("""COMPUTED_VALUE"""),"BUIN")</f>
        <v>BUIN</v>
      </c>
    </row>
    <row r="5846" spans="1:4">
      <c r="A5846" s="7">
        <f ca="1">IFERROR(__xludf.DUMMYFUNCTION("""COMPUTED_VALUE"""),44539)</f>
        <v>44539</v>
      </c>
      <c r="B5846" s="8" t="str">
        <f ca="1">IFERROR(__xludf.DUMMYFUNCTION("""COMPUTED_VALUE"""),"-33.742139,-70.683120")</f>
        <v>-33.742139,-70.683120</v>
      </c>
      <c r="C5846" s="6" t="str">
        <f ca="1">IFERROR(__xludf.DUMMYFUNCTION("""COMPUTED_VALUE"""),"SAN LUIS 691")</f>
        <v>SAN LUIS 691</v>
      </c>
      <c r="D5846" s="6" t="str">
        <f ca="1">IFERROR(__xludf.DUMMYFUNCTION("""COMPUTED_VALUE"""),"BUIN")</f>
        <v>BUIN</v>
      </c>
    </row>
    <row r="5847" spans="1:4">
      <c r="A5847" s="7">
        <f ca="1">IFERROR(__xludf.DUMMYFUNCTION("""COMPUTED_VALUE"""),44539)</f>
        <v>44539</v>
      </c>
      <c r="B5847" s="8" t="str">
        <f ca="1">IFERROR(__xludf.DUMMYFUNCTION("""COMPUTED_VALUE"""),"-33.128060,-70.800218")</f>
        <v>-33.128060,-70.800218</v>
      </c>
      <c r="C5847" s="6" t="str">
        <f ca="1">IFERROR(__xludf.DUMMYFUNCTION("""COMPUTED_VALUE"""),"5 ORIENTE 091")</f>
        <v>5 ORIENTE 091</v>
      </c>
      <c r="D5847" s="6" t="str">
        <f ca="1">IFERROR(__xludf.DUMMYFUNCTION("""COMPUTED_VALUE"""),"TIL TIL")</f>
        <v>TIL TIL</v>
      </c>
    </row>
    <row r="5848" spans="1:4">
      <c r="A5848" s="7">
        <f ca="1">IFERROR(__xludf.DUMMYFUNCTION("""COMPUTED_VALUE"""),44539)</f>
        <v>44539</v>
      </c>
      <c r="B5848" s="8" t="str">
        <f ca="1">IFERROR(__xludf.DUMMYFUNCTION("""COMPUTED_VALUE"""),"-33.313117,-70850190")</f>
        <v>-33.313117,-70850190</v>
      </c>
      <c r="C5848" s="6" t="str">
        <f ca="1">IFERROR(__xludf.DUMMYFUNCTION("""COMPUTED_VALUE"""),"CAMINO INTERIOR PARCELA 99 Y 100 LOTE 19")</f>
        <v>CAMINO INTERIOR PARCELA 99 Y 100 LOTE 19</v>
      </c>
      <c r="D5848" s="6" t="str">
        <f ca="1">IFERROR(__xludf.DUMMYFUNCTION("""COMPUTED_VALUE"""),"LAMPA")</f>
        <v>LAMPA</v>
      </c>
    </row>
    <row r="5849" spans="1:4">
      <c r="A5849" s="7">
        <f ca="1">IFERROR(__xludf.DUMMYFUNCTION("""COMPUTED_VALUE"""),44539)</f>
        <v>44539</v>
      </c>
      <c r="B5849" s="8" t="str">
        <f ca="1">IFERROR(__xludf.DUMMYFUNCTION("""COMPUTED_VALUE"""),"-33.270167,-70.710417")</f>
        <v>-33.270167,-70.710417</v>
      </c>
      <c r="C5849" s="6" t="str">
        <f ca="1">IFERROR(__xludf.DUMMYFUNCTION("""COMPUTED_VALUE"""),"SANTA INEZ DE MIRAFLORES 57")</f>
        <v>SANTA INEZ DE MIRAFLORES 57</v>
      </c>
      <c r="D5849" s="6" t="str">
        <f ca="1">IFERROR(__xludf.DUMMYFUNCTION("""COMPUTED_VALUE"""),"COLINA")</f>
        <v>COLINA</v>
      </c>
    </row>
    <row r="5850" spans="1:4">
      <c r="A5850" s="7">
        <f ca="1">IFERROR(__xludf.DUMMYFUNCTION("""COMPUTED_VALUE"""),44539)</f>
        <v>44539</v>
      </c>
      <c r="B5850" s="6" t="str">
        <f ca="1">IFERROR(__xludf.DUMMYFUNCTION("""COMPUTED_VALUE"""),"-338335165-70645243")</f>
        <v>-338335165-70645243</v>
      </c>
      <c r="C5850" s="6" t="str">
        <f ca="1">IFERROR(__xludf.DUMMYFUNCTION("""COMPUTED_VALUE"""),"STA TERESA 27 LOTE 2B")</f>
        <v>STA TERESA 27 LOTE 2B</v>
      </c>
      <c r="D5850" s="6" t="str">
        <f ca="1">IFERROR(__xludf.DUMMYFUNCTION("""COMPUTED_VALUE"""),"PAINE")</f>
        <v>PAINE</v>
      </c>
    </row>
    <row r="5851" spans="1:4">
      <c r="A5851" s="7">
        <f ca="1">IFERROR(__xludf.DUMMYFUNCTION("""COMPUTED_VALUE"""),44539)</f>
        <v>44539</v>
      </c>
      <c r="B5851" s="6" t="str">
        <f ca="1">IFERROR(__xludf.DUMMYFUNCTION("""COMPUTED_VALUE"""),"-33.8376744,-70.641103")</f>
        <v>-33.8376744,-70.641103</v>
      </c>
      <c r="C5851" s="6" t="str">
        <f ca="1">IFERROR(__xludf.DUMMYFUNCTION("""COMPUTED_VALUE"""),"AVDA CAMPESINA 24 ")</f>
        <v xml:space="preserve">AVDA CAMPESINA 24 </v>
      </c>
      <c r="D5851" s="6" t="str">
        <f ca="1">IFERROR(__xludf.DUMMYFUNCTION("""COMPUTED_VALUE"""),"PAINE")</f>
        <v>PAINE</v>
      </c>
    </row>
    <row r="5852" spans="1:4">
      <c r="A5852" s="7">
        <f ca="1">IFERROR(__xludf.DUMMYFUNCTION("""COMPUTED_VALUE"""),44539)</f>
        <v>44539</v>
      </c>
      <c r="B5852" s="6" t="str">
        <f ca="1">IFERROR(__xludf.DUMMYFUNCTION("""COMPUTED_VALUE"""),"-33.837818,-70.640269")</f>
        <v>-33.837818,-70.640269</v>
      </c>
      <c r="C5852" s="6" t="str">
        <f ca="1">IFERROR(__xludf.DUMMYFUNCTION("""COMPUTED_VALUE"""),"AVDA VICTORIA CAMPESINA 24CASA3")</f>
        <v>AVDA VICTORIA CAMPESINA 24CASA3</v>
      </c>
      <c r="D5852" s="6" t="str">
        <f ca="1">IFERROR(__xludf.DUMMYFUNCTION("""COMPUTED_VALUE"""),"PAINE")</f>
        <v>PAINE</v>
      </c>
    </row>
    <row r="5853" spans="1:4">
      <c r="A5853" s="7">
        <f ca="1">IFERROR(__xludf.DUMMYFUNCTION("""COMPUTED_VALUE"""),44540)</f>
        <v>44540</v>
      </c>
      <c r="B5853" s="6" t="str">
        <f ca="1">IFERROR(__xludf.DUMMYFUNCTION("""COMPUTED_VALUE"""),"-33.855072-70.773169")</f>
        <v>-33.855072-70.773169</v>
      </c>
      <c r="C5853" s="6" t="str">
        <f ca="1">IFERROR(__xludf.DUMMYFUNCTION("""COMPUTED_VALUE"""),"DARIO PAVEZ 1820")</f>
        <v>DARIO PAVEZ 1820</v>
      </c>
      <c r="D5853" s="6" t="str">
        <f ca="1">IFERROR(__xludf.DUMMYFUNCTION("""COMPUTED_VALUE"""),"PAINE")</f>
        <v>PAINE</v>
      </c>
    </row>
    <row r="5854" spans="1:4">
      <c r="A5854" s="7">
        <f ca="1">IFERROR(__xludf.DUMMYFUNCTION("""COMPUTED_VALUE"""),44540)</f>
        <v>44540</v>
      </c>
      <c r="B5854" s="6" t="str">
        <f ca="1">IFERROR(__xludf.DUMMYFUNCTION("""COMPUTED_VALUE"""),"-33.854835-70.772496")</f>
        <v>-33.854835-70.772496</v>
      </c>
      <c r="C5854" s="6" t="str">
        <f ca="1">IFERROR(__xludf.DUMMYFUNCTION("""COMPUTED_VALUE"""),"MANZEL INTERIOR PARCELA 1")</f>
        <v>MANZEL INTERIOR PARCELA 1</v>
      </c>
      <c r="D5854" s="6" t="str">
        <f ca="1">IFERROR(__xludf.DUMMYFUNCTION("""COMPUTED_VALUE"""),"PAINE")</f>
        <v>PAINE</v>
      </c>
    </row>
    <row r="5855" spans="1:4">
      <c r="A5855" s="7">
        <f ca="1">IFERROR(__xludf.DUMMYFUNCTION("""COMPUTED_VALUE"""),44540)</f>
        <v>44540</v>
      </c>
      <c r="B5855" s="6" t="str">
        <f ca="1">IFERROR(__xludf.DUMMYFUNCTION("""COMPUTED_VALUE"""),"-33.846075-70.765553")</f>
        <v>-33.846075-70.765553</v>
      </c>
      <c r="C5855" s="6" t="str">
        <f ca="1">IFERROR(__xludf.DUMMYFUNCTION("""COMPUTED_VALUE"""),"LAS CAMELIAS 21")</f>
        <v>LAS CAMELIAS 21</v>
      </c>
      <c r="D5855" s="6" t="str">
        <f ca="1">IFERROR(__xludf.DUMMYFUNCTION("""COMPUTED_VALUE"""),"PAINE")</f>
        <v>PAINE</v>
      </c>
    </row>
    <row r="5856" spans="1:4">
      <c r="A5856" s="7">
        <f ca="1">IFERROR(__xludf.DUMMYFUNCTION("""COMPUTED_VALUE"""),44540)</f>
        <v>44540</v>
      </c>
      <c r="B5856" s="6" t="str">
        <f ca="1">IFERROR(__xludf.DUMMYFUNCTION("""COMPUTED_VALUE"""),"-33.14424-70.79624")</f>
        <v>-33.14424-70.79624</v>
      </c>
      <c r="C5856" s="6" t="str">
        <f ca="1">IFERROR(__xludf.DUMMYFUNCTION("""COMPUTED_VALUE"""),"3 ORIENTE 420")</f>
        <v>3 ORIENTE 420</v>
      </c>
      <c r="D5856" s="6" t="str">
        <f ca="1">IFERROR(__xludf.DUMMYFUNCTION("""COMPUTED_VALUE"""),"TIL TIL")</f>
        <v>TIL TIL</v>
      </c>
    </row>
    <row r="5857" spans="1:4">
      <c r="A5857" s="7">
        <f ca="1">IFERROR(__xludf.DUMMYFUNCTION("""COMPUTED_VALUE"""),44540)</f>
        <v>44540</v>
      </c>
      <c r="B5857" s="6" t="str">
        <f ca="1">IFERROR(__xludf.DUMMYFUNCTION("""COMPUTED_VALUE"""),"-33.14588-70.79822")</f>
        <v>-33.14588-70.79822</v>
      </c>
      <c r="C5857" s="6" t="str">
        <f ca="1">IFERROR(__xludf.DUMMYFUNCTION("""COMPUTED_VALUE"""),"1 ORIENTE 424 LOTE 282")</f>
        <v>1 ORIENTE 424 LOTE 282</v>
      </c>
      <c r="D5857" s="6" t="str">
        <f ca="1">IFERROR(__xludf.DUMMYFUNCTION("""COMPUTED_VALUE"""),"LAMPA")</f>
        <v>LAMPA</v>
      </c>
    </row>
    <row r="5858" spans="1:4">
      <c r="A5858" s="7">
        <f ca="1">IFERROR(__xludf.DUMMYFUNCTION("""COMPUTED_VALUE"""),44540)</f>
        <v>44540</v>
      </c>
      <c r="B5858" s="6" t="str">
        <f ca="1">IFERROR(__xludf.DUMMYFUNCTION("""COMPUTED_VALUE"""),"-33.13939-70.79864")</f>
        <v>-33.13939-70.79864</v>
      </c>
      <c r="C5858" s="6" t="str">
        <f ca="1">IFERROR(__xludf.DUMMYFUNCTION("""COMPUTED_VALUE"""),"TRES SUR 246")</f>
        <v>TRES SUR 246</v>
      </c>
      <c r="D5858" s="6" t="str">
        <f ca="1">IFERROR(__xludf.DUMMYFUNCTION("""COMPUTED_VALUE"""),"LAMPA")</f>
        <v>LAMPA</v>
      </c>
    </row>
    <row r="5859" spans="1:4">
      <c r="A5859" s="7">
        <f ca="1">IFERROR(__xludf.DUMMYFUNCTION("""COMPUTED_VALUE"""),44540)</f>
        <v>44540</v>
      </c>
      <c r="B5859" s="6" t="str">
        <f ca="1">IFERROR(__xludf.DUMMYFUNCTION("""COMPUTED_VALUE"""),"-33.2291-70.80271")</f>
        <v>-33.2291-70.80271</v>
      </c>
      <c r="C5859" s="6" t="str">
        <f ca="1">IFERROR(__xludf.DUMMYFUNCTION("""COMPUTED_VALUE"""),"COSTA RICA 764")</f>
        <v>COSTA RICA 764</v>
      </c>
      <c r="D5859" s="6" t="str">
        <f ca="1">IFERROR(__xludf.DUMMYFUNCTION("""COMPUTED_VALUE"""),"LAMPA")</f>
        <v>LAMPA</v>
      </c>
    </row>
    <row r="5860" spans="1:4">
      <c r="A5860" s="7">
        <f ca="1">IFERROR(__xludf.DUMMYFUNCTION("""COMPUTED_VALUE"""),44540)</f>
        <v>44540</v>
      </c>
      <c r="B5860" s="8" t="str">
        <f ca="1">IFERROR(__xludf.DUMMYFUNCTION("""COMPUTED_VALUE"""),"-33.741005,-70.742394")</f>
        <v>-33.741005,-70.742394</v>
      </c>
      <c r="C5860" s="6" t="str">
        <f ca="1">IFERROR(__xludf.DUMMYFUNCTION("""COMPUTED_VALUE"""),"MARTA BRUNET 382")</f>
        <v>MARTA BRUNET 382</v>
      </c>
      <c r="D5860" s="6" t="str">
        <f ca="1">IFERROR(__xludf.DUMMYFUNCTION("""COMPUTED_VALUE"""),"BUIN")</f>
        <v>BUIN</v>
      </c>
    </row>
    <row r="5861" spans="1:4">
      <c r="A5861" s="7">
        <f ca="1">IFERROR(__xludf.DUMMYFUNCTION("""COMPUTED_VALUE"""),44540)</f>
        <v>44540</v>
      </c>
      <c r="B5861" s="6" t="str">
        <f ca="1">IFERROR(__xludf.DUMMYFUNCTION("""COMPUTED_VALUE"""),"-33.0389-71.4783")</f>
        <v>-33.0389-71.4783</v>
      </c>
      <c r="C5861" s="6" t="str">
        <f ca="1">IFERROR(__xludf.DUMMYFUNCTION("""COMPUTED_VALUE"""),"LOS ANGELES 135")</f>
        <v>LOS ANGELES 135</v>
      </c>
      <c r="D5861" s="6" t="str">
        <f ca="1">IFERROR(__xludf.DUMMYFUNCTION("""COMPUTED_VALUE"""),"QUILPUÉ")</f>
        <v>QUILPUÉ</v>
      </c>
    </row>
    <row r="5862" spans="1:4">
      <c r="A5862" s="7">
        <f ca="1">IFERROR(__xludf.DUMMYFUNCTION("""COMPUTED_VALUE"""),44540)</f>
        <v>44540</v>
      </c>
      <c r="B5862" s="6" t="str">
        <f ca="1">IFERROR(__xludf.DUMMYFUNCTION("""COMPUTED_VALUE"""),"-33.0490-71.4813")</f>
        <v>-33.0490-71.4813</v>
      </c>
      <c r="C5862" s="6" t="str">
        <f ca="1">IFERROR(__xludf.DUMMYFUNCTION("""COMPUTED_VALUE"""),"PJE CHILCO 2145")</f>
        <v>PJE CHILCO 2145</v>
      </c>
      <c r="D5862" s="6" t="str">
        <f ca="1">IFERROR(__xludf.DUMMYFUNCTION("""COMPUTED_VALUE"""),"QUILPUÉ")</f>
        <v>QUILPUÉ</v>
      </c>
    </row>
    <row r="5863" spans="1:4">
      <c r="A5863" s="7">
        <f ca="1">IFERROR(__xludf.DUMMYFUNCTION("""COMPUTED_VALUE"""),44541)</f>
        <v>44541</v>
      </c>
      <c r="B5863" s="6" t="str">
        <f ca="1">IFERROR(__xludf.DUMMYFUNCTION("""COMPUTED_VALUE"""),"-33.397112-71.171777")</f>
        <v>-33.397112-71.171777</v>
      </c>
      <c r="C5863" s="6" t="str">
        <f ca="1">IFERROR(__xludf.DUMMYFUNCTION("""COMPUTED_VALUE"""),"EL NARANJO 1")</f>
        <v>EL NARANJO 1</v>
      </c>
      <c r="D5863" s="6" t="str">
        <f ca="1">IFERROR(__xludf.DUMMYFUNCTION("""COMPUTED_VALUE"""),"CURACAVI")</f>
        <v>CURACAVI</v>
      </c>
    </row>
    <row r="5864" spans="1:4">
      <c r="A5864" s="7">
        <f ca="1">IFERROR(__xludf.DUMMYFUNCTION("""COMPUTED_VALUE"""),44541)</f>
        <v>44541</v>
      </c>
      <c r="B5864" s="6" t="str">
        <f ca="1">IFERROR(__xludf.DUMMYFUNCTION("""COMPUTED_VALUE"""),"-33.399027-71.123437")</f>
        <v>-33.399027-71.123437</v>
      </c>
      <c r="C5864" s="6" t="str">
        <f ca="1">IFERROR(__xludf.DUMMYFUNCTION("""COMPUTED_VALUE"""),"EL QUILLAY 2152")</f>
        <v>EL QUILLAY 2152</v>
      </c>
      <c r="D5864" s="6" t="str">
        <f ca="1">IFERROR(__xludf.DUMMYFUNCTION("""COMPUTED_VALUE"""),"CURACAVI")</f>
        <v>CURACAVI</v>
      </c>
    </row>
    <row r="5865" spans="1:4">
      <c r="A5865" s="7">
        <f ca="1">IFERROR(__xludf.DUMMYFUNCTION("""COMPUTED_VALUE"""),44541)</f>
        <v>44541</v>
      </c>
      <c r="B5865" s="6" t="str">
        <f ca="1">IFERROR(__xludf.DUMMYFUNCTION("""COMPUTED_VALUE"""),"-33.537532,-70.827196")</f>
        <v>-33.537532,-70.827196</v>
      </c>
      <c r="C5865" s="6" t="str">
        <f ca="1">IFERROR(__xludf.DUMMYFUNCTION("""COMPUTED_VALUE"""),"EL TREBAL SITIO 29")</f>
        <v>EL TREBAL SITIO 29</v>
      </c>
      <c r="D5865" s="6" t="str">
        <f ca="1">IFERROR(__xludf.DUMMYFUNCTION("""COMPUTED_VALUE"""),"PADRE HURTADO")</f>
        <v>PADRE HURTADO</v>
      </c>
    </row>
    <row r="5866" spans="1:4">
      <c r="A5866" s="7">
        <f ca="1">IFERROR(__xludf.DUMMYFUNCTION("""COMPUTED_VALUE"""),44541)</f>
        <v>44541</v>
      </c>
      <c r="B5866" s="6" t="str">
        <f ca="1">IFERROR(__xludf.DUMMYFUNCTION("""COMPUTED_VALUE"""),"-33.676479,-71.234040")</f>
        <v>-33.676479,-71.234040</v>
      </c>
      <c r="C5866" s="6" t="str">
        <f ca="1">IFERROR(__xludf.DUMMYFUNCTION("""COMPUTED_VALUE"""),"TRES PONIENTE 31")</f>
        <v>TRES PONIENTE 31</v>
      </c>
      <c r="D5866" s="6" t="str">
        <f ca="1">IFERROR(__xludf.DUMMYFUNCTION("""COMPUTED_VALUE"""),"MELIPILLA")</f>
        <v>MELIPILLA</v>
      </c>
    </row>
    <row r="5867" spans="1:4">
      <c r="A5867" s="7">
        <f ca="1">IFERROR(__xludf.DUMMYFUNCTION("""COMPUTED_VALUE"""),44543)</f>
        <v>44543</v>
      </c>
      <c r="B5867" s="6" t="str">
        <f ca="1">IFERROR(__xludf.DUMMYFUNCTION("""COMPUTED_VALUE"""),"-33.45379-71.02564")</f>
        <v>-33.45379-71.02564</v>
      </c>
      <c r="C5867" s="6" t="str">
        <f ca="1">IFERROR(__xludf.DUMMYFUNCTION("""COMPUTED_VALUE"""),"UNION CHILENA 36 LOTE 1")</f>
        <v>UNION CHILENA 36 LOTE 1</v>
      </c>
      <c r="D5867" s="6" t="str">
        <f ca="1">IFERROR(__xludf.DUMMYFUNCTION("""COMPUTED_VALUE"""),"CURACAVI")</f>
        <v>CURACAVI</v>
      </c>
    </row>
    <row r="5868" spans="1:4">
      <c r="A5868" s="7">
        <f ca="1">IFERROR(__xludf.DUMMYFUNCTION("""COMPUTED_VALUE"""),44543)</f>
        <v>44543</v>
      </c>
      <c r="B5868" s="6" t="str">
        <f ca="1">IFERROR(__xludf.DUMMYFUNCTION("""COMPUTED_VALUE"""),"-33.48103-71.07262")</f>
        <v>-33.48103-71.07262</v>
      </c>
      <c r="C5868" s="6" t="str">
        <f ca="1">IFERROR(__xludf.DUMMYFUNCTION("""COMPUTED_VALUE"""),"BATALLA SAN JUAN 14 C")</f>
        <v>BATALLA SAN JUAN 14 C</v>
      </c>
      <c r="D5868" s="6" t="str">
        <f ca="1">IFERROR(__xludf.DUMMYFUNCTION("""COMPUTED_VALUE"""),"CURACAVI")</f>
        <v>CURACAVI</v>
      </c>
    </row>
    <row r="5869" spans="1:4">
      <c r="A5869" s="7">
        <f ca="1">IFERROR(__xludf.DUMMYFUNCTION("""COMPUTED_VALUE"""),44543)</f>
        <v>44543</v>
      </c>
      <c r="B5869" s="6" t="str">
        <f ca="1">IFERROR(__xludf.DUMMYFUNCTION("""COMPUTED_VALUE"""),"-33.6049037-70.3532098")</f>
        <v>-33.6049037-70.3532098</v>
      </c>
      <c r="C5869" s="6" t="str">
        <f ca="1">IFERROR(__xludf.DUMMYFUNCTION("""COMPUTED_VALUE"""),"CAMINO AL VOLCAN 15469")</f>
        <v>CAMINO AL VOLCAN 15469</v>
      </c>
      <c r="D5869" s="6" t="str">
        <f ca="1">IFERROR(__xludf.DUMMYFUNCTION("""COMPUTED_VALUE"""),"SAN JOSE DE MAIPO")</f>
        <v>SAN JOSE DE MAIPO</v>
      </c>
    </row>
    <row r="5870" spans="1:4">
      <c r="A5870" s="7">
        <f ca="1">IFERROR(__xludf.DUMMYFUNCTION("""COMPUTED_VALUE"""),44543)</f>
        <v>44543</v>
      </c>
      <c r="B5870" s="6" t="str">
        <f ca="1">IFERROR(__xludf.DUMMYFUNCTION("""COMPUTED_VALUE"""),"-33.7089599-70.3326174")</f>
        <v>-33.7089599-70.3326174</v>
      </c>
      <c r="C5870" s="6" t="str">
        <f ca="1">IFERROR(__xludf.DUMMYFUNCTION("""COMPUTED_VALUE"""),"CAMINO AL VOLCAN 28900")</f>
        <v>CAMINO AL VOLCAN 28900</v>
      </c>
      <c r="D5870" s="6" t="str">
        <f ca="1">IFERROR(__xludf.DUMMYFUNCTION("""COMPUTED_VALUE"""),"SAN JOSE DE MAIPO")</f>
        <v>SAN JOSE DE MAIPO</v>
      </c>
    </row>
    <row r="5871" spans="1:4">
      <c r="A5871" s="7">
        <f ca="1">IFERROR(__xludf.DUMMYFUNCTION("""COMPUTED_VALUE"""),44543)</f>
        <v>44543</v>
      </c>
      <c r="B5871" s="6" t="str">
        <f ca="1">IFERROR(__xludf.DUMMYFUNCTION("""COMPUTED_VALUE"""),"-33.727550-70.771508")</f>
        <v>-33.727550-70.771508</v>
      </c>
      <c r="C5871" s="6" t="str">
        <f ca="1">IFERROR(__xludf.DUMMYFUNCTION("""COMPUTED_VALUE"""),"CARLOS SABATIER 371")</f>
        <v>CARLOS SABATIER 371</v>
      </c>
      <c r="D5871" s="6" t="str">
        <f ca="1">IFERROR(__xludf.DUMMYFUNCTION("""COMPUTED_VALUE"""),"BUIN")</f>
        <v>BUIN</v>
      </c>
    </row>
    <row r="5872" spans="1:4">
      <c r="A5872" s="7">
        <f ca="1">IFERROR(__xludf.DUMMYFUNCTION("""COMPUTED_VALUE"""),44543)</f>
        <v>44543</v>
      </c>
      <c r="B5872" s="6" t="str">
        <f ca="1">IFERROR(__xludf.DUMMYFUNCTION("""COMPUTED_VALUE"""),"-33.709932,-70.530471")</f>
        <v>-33.709932,-70.530471</v>
      </c>
      <c r="C5872" s="6" t="str">
        <f ca="1">IFERROR(__xludf.DUMMYFUNCTION("""COMPUTED_VALUE"""),"ORILLA DEL RIO 171")</f>
        <v>ORILLA DEL RIO 171</v>
      </c>
      <c r="D5872" s="6" t="str">
        <f ca="1">IFERROR(__xludf.DUMMYFUNCTION("""COMPUTED_VALUE"""),"PIRQUE")</f>
        <v>PIRQUE</v>
      </c>
    </row>
    <row r="5873" spans="1:4">
      <c r="A5873" s="7">
        <f ca="1">IFERROR(__xludf.DUMMYFUNCTION("""COMPUTED_VALUE"""),44543)</f>
        <v>44543</v>
      </c>
      <c r="B5873" s="8" t="str">
        <f ca="1">IFERROR(__xludf.DUMMYFUNCTION("""COMPUTED_VALUE"""),"-33.715611,-70.738373")</f>
        <v>-33.715611,-70.738373</v>
      </c>
      <c r="C5873" s="6" t="str">
        <f ca="1">IFERROR(__xludf.DUMMYFUNCTION("""COMPUTED_VALUE"""),"LAS GAMELAS 0366")</f>
        <v>LAS GAMELAS 0366</v>
      </c>
      <c r="D5873" s="6" t="str">
        <f ca="1">IFERROR(__xludf.DUMMYFUNCTION("""COMPUTED_VALUE"""),"BUIN")</f>
        <v>BUIN</v>
      </c>
    </row>
    <row r="5874" spans="1:4">
      <c r="A5874" s="7">
        <f ca="1">IFERROR(__xludf.DUMMYFUNCTION("""COMPUTED_VALUE"""),44543)</f>
        <v>44543</v>
      </c>
      <c r="B5874" s="8" t="str">
        <f ca="1">IFERROR(__xludf.DUMMYFUNCTION("""COMPUTED_VALUE"""),"-33.395763,-70551237")</f>
        <v>-33.395763,-70551237</v>
      </c>
      <c r="C5874" s="6" t="str">
        <f ca="1">IFERROR(__xludf.DUMMYFUNCTION("""COMPUTED_VALUE"""),"MARCOS CALVO 1358")</f>
        <v>MARCOS CALVO 1358</v>
      </c>
      <c r="D5874" s="6" t="str">
        <f ca="1">IFERROR(__xludf.DUMMYFUNCTION("""COMPUTED_VALUE"""),"TALAGANTE")</f>
        <v>TALAGANTE</v>
      </c>
    </row>
    <row r="5875" spans="1:4">
      <c r="A5875" s="7">
        <f ca="1">IFERROR(__xludf.DUMMYFUNCTION("""COMPUTED_VALUE"""),44543)</f>
        <v>44543</v>
      </c>
      <c r="B5875" s="8" t="str">
        <f ca="1">IFERROR(__xludf.DUMMYFUNCTION("""COMPUTED_VALUE"""),"-33.704944,-70868675")</f>
        <v>-33.704944,-70868675</v>
      </c>
      <c r="C5875" s="6" t="str">
        <f ca="1">IFERROR(__xludf.DUMMYFUNCTION("""COMPUTED_VALUE"""),"CALLE EL MANZANO PARCELA 20 SITIO 2")</f>
        <v>CALLE EL MANZANO PARCELA 20 SITIO 2</v>
      </c>
      <c r="D5875" s="6" t="str">
        <f ca="1">IFERROR(__xludf.DUMMYFUNCTION("""COMPUTED_VALUE"""),"TALAGANTE")</f>
        <v>TALAGANTE</v>
      </c>
    </row>
    <row r="5876" spans="1:4">
      <c r="A5876" s="7">
        <f ca="1">IFERROR(__xludf.DUMMYFUNCTION("""COMPUTED_VALUE"""),44543)</f>
        <v>44543</v>
      </c>
      <c r="B5876" s="8" t="str">
        <f ca="1">IFERROR(__xludf.DUMMYFUNCTION("""COMPUTED_VALUE"""),"-33.647171,-70.902870")</f>
        <v>-33.647171,-70.902870</v>
      </c>
      <c r="C5876" s="6" t="str">
        <f ca="1">IFERROR(__xludf.DUMMYFUNCTION("""COMPUTED_VALUE"""),"SAN ALBERTO PARADERO 25")</f>
        <v>SAN ALBERTO PARADERO 25</v>
      </c>
      <c r="D5876" s="6" t="str">
        <f ca="1">IFERROR(__xludf.DUMMYFUNCTION("""COMPUTED_VALUE"""),"TALAGANTE")</f>
        <v>TALAGANTE</v>
      </c>
    </row>
    <row r="5877" spans="1:4">
      <c r="A5877" s="7">
        <f ca="1">IFERROR(__xludf.DUMMYFUNCTION("""COMPUTED_VALUE"""),44543)</f>
        <v>44543</v>
      </c>
      <c r="B5877" s="8" t="str">
        <f ca="1">IFERROR(__xludf.DUMMYFUNCTION("""COMPUTED_VALUE"""),"-33.747432,-70.921849")</f>
        <v>-33.747432,-70.921849</v>
      </c>
      <c r="C5877" s="6" t="str">
        <f ca="1">IFERROR(__xludf.DUMMYFUNCTION("""COMPUTED_VALUE"""),"SANTELICES 2712")</f>
        <v>SANTELICES 2712</v>
      </c>
      <c r="D5877" s="6" t="str">
        <f ca="1">IFERROR(__xludf.DUMMYFUNCTION("""COMPUTED_VALUE"""),"ISLA DE MAIPO")</f>
        <v>ISLA DE MAIPO</v>
      </c>
    </row>
    <row r="5878" spans="1:4">
      <c r="A5878" s="7">
        <f ca="1">IFERROR(__xludf.DUMMYFUNCTION("""COMPUTED_VALUE"""),44543)</f>
        <v>44543</v>
      </c>
      <c r="B5878" s="8" t="str">
        <f ca="1">IFERROR(__xludf.DUMMYFUNCTION("""COMPUTED_VALUE"""),"-33.747432,-70.921932")</f>
        <v>-33.747432,-70.921932</v>
      </c>
      <c r="C5878" s="6" t="str">
        <f ca="1">IFERROR(__xludf.DUMMYFUNCTION("""COMPUTED_VALUE"""),"SANTELICES 2712")</f>
        <v>SANTELICES 2712</v>
      </c>
      <c r="D5878" s="6" t="str">
        <f ca="1">IFERROR(__xludf.DUMMYFUNCTION("""COMPUTED_VALUE"""),"ISLA DE MAIPO")</f>
        <v>ISLA DE MAIPO</v>
      </c>
    </row>
    <row r="5879" spans="1:4">
      <c r="A5879" s="7">
        <f ca="1">IFERROR(__xludf.DUMMYFUNCTION("""COMPUTED_VALUE"""),44543)</f>
        <v>44543</v>
      </c>
      <c r="B5879" s="6" t="str">
        <f ca="1">IFERROR(__xludf.DUMMYFUNCTION("""COMPUTED_VALUE"""),"-33.307233,-70.858950")</f>
        <v>-33.307233,-70.858950</v>
      </c>
      <c r="C5879" s="6" t="str">
        <f ca="1">IFERROR(__xludf.DUMMYFUNCTION("""COMPUTED_VALUE"""),"CAMP. SOL DE SEPTIEMBRE C102")</f>
        <v>CAMP. SOL DE SEPTIEMBRE C102</v>
      </c>
      <c r="D5879" s="6" t="str">
        <f ca="1">IFERROR(__xludf.DUMMYFUNCTION("""COMPUTED_VALUE"""),"LAMPA")</f>
        <v>LAMPA</v>
      </c>
    </row>
    <row r="5880" spans="1:4">
      <c r="A5880" s="7">
        <f ca="1">IFERROR(__xludf.DUMMYFUNCTION("""COMPUTED_VALUE"""),44544)</f>
        <v>44544</v>
      </c>
      <c r="B5880" s="6" t="str">
        <f ca="1">IFERROR(__xludf.DUMMYFUNCTION("""COMPUTED_VALUE"""),"-33.7261633-70.542045")</f>
        <v>-33.7261633-70.542045</v>
      </c>
      <c r="C5880" s="6" t="str">
        <f ca="1">IFERROR(__xludf.DUMMYFUNCTION("""COMPUTED_VALUE"""),"EL PRINCIPAL 78 B")</f>
        <v>EL PRINCIPAL 78 B</v>
      </c>
      <c r="D5880" s="6" t="str">
        <f ca="1">IFERROR(__xludf.DUMMYFUNCTION("""COMPUTED_VALUE"""),"PIRQUE")</f>
        <v>PIRQUE</v>
      </c>
    </row>
    <row r="5881" spans="1:4">
      <c r="A5881" s="7">
        <f ca="1">IFERROR(__xludf.DUMMYFUNCTION("""COMPUTED_VALUE"""),44544)</f>
        <v>44544</v>
      </c>
      <c r="B5881" s="6" t="str">
        <f ca="1">IFERROR(__xludf.DUMMYFUNCTION("""COMPUTED_VALUE"""),"-33.6877713-70.5877149")</f>
        <v>-33.6877713-70.5877149</v>
      </c>
      <c r="C5881" s="6" t="str">
        <f ca="1">IFERROR(__xludf.DUMMYFUNCTION("""COMPUTED_VALUE"""),"QUILLAYES 5")</f>
        <v>QUILLAYES 5</v>
      </c>
      <c r="D5881" s="6" t="str">
        <f ca="1">IFERROR(__xludf.DUMMYFUNCTION("""COMPUTED_VALUE"""),"PIRQUE")</f>
        <v>PIRQUE</v>
      </c>
    </row>
    <row r="5882" spans="1:4">
      <c r="A5882" s="7">
        <f ca="1">IFERROR(__xludf.DUMMYFUNCTION("""COMPUTED_VALUE"""),44544)</f>
        <v>44544</v>
      </c>
      <c r="B5882" s="6" t="str">
        <f ca="1">IFERROR(__xludf.DUMMYFUNCTION("""COMPUTED_VALUE"""),"-33.6895687-70.5755546")</f>
        <v>-33.6895687-70.5755546</v>
      </c>
      <c r="C5882" s="6" t="str">
        <f ca="1">IFERROR(__xludf.DUMMYFUNCTION("""COMPUTED_VALUE"""),"LAS BANDURRIAS SITIO 11")</f>
        <v>LAS BANDURRIAS SITIO 11</v>
      </c>
      <c r="D5882" s="6" t="str">
        <f ca="1">IFERROR(__xludf.DUMMYFUNCTION("""COMPUTED_VALUE"""),"PIRQUE")</f>
        <v>PIRQUE</v>
      </c>
    </row>
    <row r="5883" spans="1:4">
      <c r="A5883" s="7">
        <f ca="1">IFERROR(__xludf.DUMMYFUNCTION("""COMPUTED_VALUE"""),44544)</f>
        <v>44544</v>
      </c>
      <c r="B5883" s="6" t="str">
        <f ca="1">IFERROR(__xludf.DUMMYFUNCTION("""COMPUTED_VALUE"""),"-33.399126-71.161014")</f>
        <v>-33.399126-71.161014</v>
      </c>
      <c r="C5883" s="6" t="str">
        <f ca="1">IFERROR(__xludf.DUMMYFUNCTION("""COMPUTED_VALUE"""),"HACIENDA DE CURACAVI L17")</f>
        <v>HACIENDA DE CURACAVI L17</v>
      </c>
      <c r="D5883" s="6" t="str">
        <f ca="1">IFERROR(__xludf.DUMMYFUNCTION("""COMPUTED_VALUE"""),"CURACAVI")</f>
        <v>CURACAVI</v>
      </c>
    </row>
    <row r="5884" spans="1:4">
      <c r="A5884" s="7">
        <f ca="1">IFERROR(__xludf.DUMMYFUNCTION("""COMPUTED_VALUE"""),44544)</f>
        <v>44544</v>
      </c>
      <c r="B5884" s="6" t="str">
        <f ca="1">IFERROR(__xludf.DUMMYFUNCTION("""COMPUTED_VALUE"""),"-33.407035-71.134883")</f>
        <v>-33.407035-71.134883</v>
      </c>
      <c r="C5884" s="6" t="str">
        <f ca="1">IFERROR(__xludf.DUMMYFUNCTION("""COMPUTED_VALUE"""),"SAN MARCO 251")</f>
        <v>SAN MARCO 251</v>
      </c>
      <c r="D5884" s="6" t="str">
        <f ca="1">IFERROR(__xludf.DUMMYFUNCTION("""COMPUTED_VALUE"""),"CURACAVI")</f>
        <v>CURACAVI</v>
      </c>
    </row>
    <row r="5885" spans="1:4">
      <c r="A5885" s="7">
        <f ca="1">IFERROR(__xludf.DUMMYFUNCTION("""COMPUTED_VALUE"""),44544)</f>
        <v>44544</v>
      </c>
      <c r="B5885" s="6" t="str">
        <f ca="1">IFERROR(__xludf.DUMMYFUNCTION("""COMPUTED_VALUE"""),"-33.76563-71.27399")</f>
        <v>-33.76563-71.27399</v>
      </c>
      <c r="C5885" s="6" t="str">
        <f ca="1">IFERROR(__xludf.DUMMYFUNCTION("""COMPUTED_VALUE"""),"SAN MANUEL 9787")</f>
        <v>SAN MANUEL 9787</v>
      </c>
      <c r="D5885" s="6" t="str">
        <f ca="1">IFERROR(__xludf.DUMMYFUNCTION("""COMPUTED_VALUE"""),"MELIPILLA")</f>
        <v>MELIPILLA</v>
      </c>
    </row>
    <row r="5886" spans="1:4">
      <c r="A5886" s="7">
        <f ca="1">IFERROR(__xludf.DUMMYFUNCTION("""COMPUTED_VALUE"""),44544)</f>
        <v>44544</v>
      </c>
      <c r="B5886" s="6" t="str">
        <f ca="1">IFERROR(__xludf.DUMMYFUNCTION("""COMPUTED_VALUE"""),"-33.76563-71.27399")</f>
        <v>-33.76563-71.27399</v>
      </c>
      <c r="C5886" s="6" t="str">
        <f ca="1">IFERROR(__xludf.DUMMYFUNCTION("""COMPUTED_VALUE"""),"SAN MANUEL 9787")</f>
        <v>SAN MANUEL 9787</v>
      </c>
      <c r="D5886" s="6" t="str">
        <f ca="1">IFERROR(__xludf.DUMMYFUNCTION("""COMPUTED_VALUE"""),"MELIPILLA")</f>
        <v>MELIPILLA</v>
      </c>
    </row>
    <row r="5887" spans="1:4">
      <c r="A5887" s="7">
        <f ca="1">IFERROR(__xludf.DUMMYFUNCTION("""COMPUTED_VALUE"""),44544)</f>
        <v>44544</v>
      </c>
      <c r="B5887" s="6" t="str">
        <f ca="1">IFERROR(__xludf.DUMMYFUNCTION("""COMPUTED_VALUE"""),"-33.69317-71.19155")</f>
        <v>-33.69317-71.19155</v>
      </c>
      <c r="C5887" s="6" t="str">
        <f ca="1">IFERROR(__xludf.DUMMYFUNCTION("""COMPUTED_VALUE"""),"EL BAJO S/N")</f>
        <v>EL BAJO S/N</v>
      </c>
      <c r="D5887" s="6" t="str">
        <f ca="1">IFERROR(__xludf.DUMMYFUNCTION("""COMPUTED_VALUE"""),"MELIPILLA")</f>
        <v>MELIPILLA</v>
      </c>
    </row>
    <row r="5888" spans="1:4">
      <c r="A5888" s="7">
        <f ca="1">IFERROR(__xludf.DUMMYFUNCTION("""COMPUTED_VALUE"""),44544)</f>
        <v>44544</v>
      </c>
      <c r="B5888" s="6" t="str">
        <f ca="1">IFERROR(__xludf.DUMMYFUNCTION("""COMPUTED_VALUE"""),"-33.67767-71.18781")</f>
        <v>-33.67767-71.18781</v>
      </c>
      <c r="C5888" s="6" t="str">
        <f ca="1">IFERROR(__xludf.DUMMYFUNCTION("""COMPUTED_VALUE"""),"LA RINCONADA 1072")</f>
        <v>LA RINCONADA 1072</v>
      </c>
      <c r="D5888" s="6" t="str">
        <f ca="1">IFERROR(__xludf.DUMMYFUNCTION("""COMPUTED_VALUE"""),"MELIPILLA")</f>
        <v>MELIPILLA</v>
      </c>
    </row>
    <row r="5889" spans="1:4">
      <c r="A5889" s="7">
        <f ca="1">IFERROR(__xludf.DUMMYFUNCTION("""COMPUTED_VALUE"""),44544)</f>
        <v>44544</v>
      </c>
      <c r="B5889" s="6" t="str">
        <f ca="1">IFERROR(__xludf.DUMMYFUNCTION("""COMPUTED_VALUE"""),"-33.185769,-70.673493")</f>
        <v>-33.185769,-70.673493</v>
      </c>
      <c r="C5889" s="6" t="str">
        <f ca="1">IFERROR(__xludf.DUMMYFUNCTION("""COMPUTED_VALUE"""),"S. DIEGO 6 ")</f>
        <v xml:space="preserve">S. DIEGO 6 </v>
      </c>
      <c r="D5889" s="6" t="str">
        <f ca="1">IFERROR(__xludf.DUMMYFUNCTION("""COMPUTED_VALUE"""),"COLINA")</f>
        <v>COLINA</v>
      </c>
    </row>
    <row r="5890" spans="1:4">
      <c r="A5890" s="7">
        <f ca="1">IFERROR(__xludf.DUMMYFUNCTION("""COMPUTED_VALUE"""),44544)</f>
        <v>44544</v>
      </c>
      <c r="B5890" s="6" t="str">
        <f ca="1">IFERROR(__xludf.DUMMYFUNCTION("""COMPUTED_VALUE"""),"-33.711600,-70.5317190")</f>
        <v>-33.711600,-70.5317190</v>
      </c>
      <c r="C5890" s="6" t="str">
        <f ca="1">IFERROR(__xludf.DUMMYFUNCTION("""COMPUTED_VALUE"""),"ORILLA DEL RIO P11 PARC.C")</f>
        <v>ORILLA DEL RIO P11 PARC.C</v>
      </c>
      <c r="D5890" s="6" t="str">
        <f ca="1">IFERROR(__xludf.DUMMYFUNCTION("""COMPUTED_VALUE"""),"PIRQUE")</f>
        <v>PIRQUE</v>
      </c>
    </row>
    <row r="5891" spans="1:4">
      <c r="A5891" s="7">
        <f ca="1">IFERROR(__xludf.DUMMYFUNCTION("""COMPUTED_VALUE"""),44544)</f>
        <v>44544</v>
      </c>
      <c r="B5891" s="6" t="str">
        <f ca="1">IFERROR(__xludf.DUMMYFUNCTION("""COMPUTED_VALUE"""),"-33.790254,-71.398567")</f>
        <v>-33.790254,-71.398567</v>
      </c>
      <c r="C5891" s="6" t="str">
        <f ca="1">IFERROR(__xludf.DUMMYFUNCTION("""COMPUTED_VALUE"""),"LA UNION S/N  CV-42")</f>
        <v>LA UNION S/N  CV-42</v>
      </c>
      <c r="D5891" s="6" t="str">
        <f ca="1">IFERROR(__xludf.DUMMYFUNCTION("""COMPUTED_VALUE"""),"MELIPILLA")</f>
        <v>MELIPILLA</v>
      </c>
    </row>
    <row r="5892" spans="1:4">
      <c r="A5892" s="7">
        <f ca="1">IFERROR(__xludf.DUMMYFUNCTION("""COMPUTED_VALUE"""),44544)</f>
        <v>44544</v>
      </c>
      <c r="B5892" s="6" t="str">
        <f ca="1">IFERROR(__xludf.DUMMYFUNCTION("""COMPUTED_VALUE"""),"-33.790278,-71.393020")</f>
        <v>-33.790278,-71.393020</v>
      </c>
      <c r="C5892" s="6" t="str">
        <f ca="1">IFERROR(__xludf.DUMMYFUNCTION("""COMPUTED_VALUE"""),"  CO CODIGUA P9 ")</f>
        <v xml:space="preserve">  CO CODIGUA P9 </v>
      </c>
      <c r="D5892" s="6" t="str">
        <f ca="1">IFERROR(__xludf.DUMMYFUNCTION("""COMPUTED_VALUE"""),"MELIPILLA")</f>
        <v>MELIPILLA</v>
      </c>
    </row>
    <row r="5893" spans="1:4">
      <c r="A5893" s="7">
        <f ca="1">IFERROR(__xludf.DUMMYFUNCTION("""COMPUTED_VALUE"""),44544)</f>
        <v>44544</v>
      </c>
      <c r="B5893" s="8" t="str">
        <f ca="1">IFERROR(__xludf.DUMMYFUNCTION("""COMPUTED_VALUE"""),"-33.278041,-70.888015")</f>
        <v>-33.278041,-70.888015</v>
      </c>
      <c r="C5893" s="6" t="str">
        <f ca="1">IFERROR(__xludf.DUMMYFUNCTION("""COMPUTED_VALUE"""),"canelillo 51")</f>
        <v>canelillo 51</v>
      </c>
      <c r="D5893" s="6" t="str">
        <f ca="1">IFERROR(__xludf.DUMMYFUNCTION("""COMPUTED_VALUE"""),"LAMPA")</f>
        <v>LAMPA</v>
      </c>
    </row>
    <row r="5894" spans="1:4">
      <c r="A5894" s="7">
        <f ca="1">IFERROR(__xludf.DUMMYFUNCTION("""COMPUTED_VALUE"""),44544)</f>
        <v>44544</v>
      </c>
      <c r="B5894" s="8" t="str">
        <f ca="1">IFERROR(__xludf.DUMMYFUNCTION("""COMPUTED_VALUE"""),"-33.231033,-70.794192")</f>
        <v>-33.231033,-70.794192</v>
      </c>
      <c r="C5894" s="6" t="str">
        <f ca="1">IFERROR(__xludf.DUMMYFUNCTION("""COMPUTED_VALUE"""),"LAS MALVAS PARCELA  50")</f>
        <v>LAS MALVAS PARCELA  50</v>
      </c>
      <c r="D5894" s="6" t="str">
        <f ca="1">IFERROR(__xludf.DUMMYFUNCTION("""COMPUTED_VALUE"""),"LAMPA")</f>
        <v>LAMPA</v>
      </c>
    </row>
    <row r="5895" spans="1:4">
      <c r="A5895" s="7">
        <f ca="1">IFERROR(__xludf.DUMMYFUNCTION("""COMPUTED_VALUE"""),44544)</f>
        <v>44544</v>
      </c>
      <c r="B5895" s="8" t="str">
        <f ca="1">IFERROR(__xludf.DUMMYFUNCTION("""COMPUTED_VALUE"""),"-33.278858,-70.843698")</f>
        <v>-33.278858,-70.843698</v>
      </c>
      <c r="C5895" s="6" t="str">
        <f ca="1">IFERROR(__xludf.DUMMYFUNCTION("""COMPUTED_VALUE"""),"NUEVO PORVENIR A-1")</f>
        <v>NUEVO PORVENIR A-1</v>
      </c>
      <c r="D5895" s="6" t="str">
        <f ca="1">IFERROR(__xludf.DUMMYFUNCTION("""COMPUTED_VALUE"""),"LAMPA")</f>
        <v>LAMPA</v>
      </c>
    </row>
    <row r="5896" spans="1:4">
      <c r="A5896" s="7">
        <f ca="1">IFERROR(__xludf.DUMMYFUNCTION("""COMPUTED_VALUE"""),44544)</f>
        <v>44544</v>
      </c>
      <c r="B5896" s="8" t="str">
        <f ca="1">IFERROR(__xludf.DUMMYFUNCTION("""COMPUTED_VALUE"""),"-33.802215,-71.304115")</f>
        <v>-33.802215,-71.304115</v>
      </c>
      <c r="C5896" s="6" t="str">
        <f ca="1">IFERROR(__xludf.DUMMYFUNCTION("""COMPUTED_VALUE"""),"SECTOR 4 POPETA ")</f>
        <v xml:space="preserve">SECTOR 4 POPETA </v>
      </c>
      <c r="D5896" s="6" t="str">
        <f ca="1">IFERROR(__xludf.DUMMYFUNCTION("""COMPUTED_VALUE"""),"MELIPILLA")</f>
        <v>MELIPILLA</v>
      </c>
    </row>
    <row r="5897" spans="1:4">
      <c r="A5897" s="7">
        <f ca="1">IFERROR(__xludf.DUMMYFUNCTION("""COMPUTED_VALUE"""),44544)</f>
        <v>44544</v>
      </c>
      <c r="B5897" s="8" t="str">
        <f ca="1">IFERROR(__xludf.DUMMYFUNCTION("""COMPUTED_VALUE"""),"-33.707345,-71.216343")</f>
        <v>-33.707345,-71.216343</v>
      </c>
      <c r="C5897" s="6" t="str">
        <f ca="1">IFERROR(__xludf.DUMMYFUNCTION("""COMPUTED_VALUE"""),"HUILCO BAJO 1266")</f>
        <v>HUILCO BAJO 1266</v>
      </c>
      <c r="D5897" s="6" t="str">
        <f ca="1">IFERROR(__xludf.DUMMYFUNCTION("""COMPUTED_VALUE"""),"MELIPILLA")</f>
        <v>MELIPILLA</v>
      </c>
    </row>
    <row r="5898" spans="1:4">
      <c r="A5898" s="7">
        <f ca="1">IFERROR(__xludf.DUMMYFUNCTION("""COMPUTED_VALUE"""),44544)</f>
        <v>44544</v>
      </c>
      <c r="B5898" s="8" t="str">
        <f ca="1">IFERROR(__xludf.DUMMYFUNCTION("""COMPUTED_VALUE"""),"-33.628913,-70.801700")</f>
        <v>-33.628913,-70.801700</v>
      </c>
      <c r="C5898" s="6" t="str">
        <f ca="1">IFERROR(__xludf.DUMMYFUNCTION("""COMPUTED_VALUE"""),"SANTA INEZ SITIO 31")</f>
        <v>SANTA INEZ SITIO 31</v>
      </c>
      <c r="D5898" s="6" t="str">
        <f ca="1">IFERROR(__xludf.DUMMYFUNCTION("""COMPUTED_VALUE"""),"CALERA DE TANGO")</f>
        <v>CALERA DE TANGO</v>
      </c>
    </row>
    <row r="5899" spans="1:4">
      <c r="A5899" s="7">
        <f ca="1">IFERROR(__xludf.DUMMYFUNCTION("""COMPUTED_VALUE"""),44544)</f>
        <v>44544</v>
      </c>
      <c r="B5899" s="8" t="str">
        <f ca="1">IFERROR(__xludf.DUMMYFUNCTION("""COMPUTED_VALUE"""),"-33.630904,-70.774942")</f>
        <v>-33.630904,-70.774942</v>
      </c>
      <c r="C5899" s="6" t="str">
        <f ca="1">IFERROR(__xludf.DUMMYFUNCTION("""COMPUTED_VALUE"""),"RIO MAIPO 143")</f>
        <v>RIO MAIPO 143</v>
      </c>
      <c r="D5899" s="6" t="str">
        <f ca="1">IFERROR(__xludf.DUMMYFUNCTION("""COMPUTED_VALUE"""),"ISLA DE MAIPO")</f>
        <v>ISLA DE MAIPO</v>
      </c>
    </row>
    <row r="5900" spans="1:4">
      <c r="A5900" s="7">
        <f ca="1">IFERROR(__xludf.DUMMYFUNCTION("""COMPUTED_VALUE"""),44544)</f>
        <v>44544</v>
      </c>
      <c r="B5900" s="8" t="str">
        <f ca="1">IFERROR(__xludf.DUMMYFUNCTION("""COMPUTED_VALUE"""),"-33.669355,-70.860340")</f>
        <v>-33.669355,-70.860340</v>
      </c>
      <c r="C5900" s="6" t="str">
        <f ca="1">IFERROR(__xludf.DUMMYFUNCTION("""COMPUTED_VALUE"""),"EL OLIVETO 3500")</f>
        <v>EL OLIVETO 3500</v>
      </c>
      <c r="D5900" s="6" t="str">
        <f ca="1">IFERROR(__xludf.DUMMYFUNCTION("""COMPUTED_VALUE"""),"TALAGANTE")</f>
        <v>TALAGANTE</v>
      </c>
    </row>
    <row r="5901" spans="1:4">
      <c r="A5901" s="7">
        <f ca="1">IFERROR(__xludf.DUMMYFUNCTION("""COMPUTED_VALUE"""),44544)</f>
        <v>44544</v>
      </c>
      <c r="B5901" s="6" t="str">
        <f ca="1">IFERROR(__xludf.DUMMYFUNCTION("""COMPUTED_VALUE"""),"-33.0493-71.4812")</f>
        <v>-33.0493-71.4812</v>
      </c>
      <c r="C5901" s="6" t="str">
        <f ca="1">IFERROR(__xludf.DUMMYFUNCTION("""COMPUTED_VALUE"""),"PJE CALAFATE 2158")</f>
        <v>PJE CALAFATE 2158</v>
      </c>
      <c r="D5901" s="6" t="str">
        <f ca="1">IFERROR(__xludf.DUMMYFUNCTION("""COMPUTED_VALUE"""),"QUILPUÉ")</f>
        <v>QUILPUÉ</v>
      </c>
    </row>
    <row r="5902" spans="1:4">
      <c r="A5902" s="7">
        <f ca="1">IFERROR(__xludf.DUMMYFUNCTION("""COMPUTED_VALUE"""),44544)</f>
        <v>44544</v>
      </c>
      <c r="B5902" s="6" t="str">
        <f ca="1">IFERROR(__xludf.DUMMYFUNCTION("""COMPUTED_VALUE"""),"-33.0470-71.4399")</f>
        <v>-33.0470-71.4399</v>
      </c>
      <c r="C5902" s="6" t="str">
        <f ca="1">IFERROR(__xludf.DUMMYFUNCTION("""COMPUTED_VALUE"""),"THOMPSON 812")</f>
        <v>THOMPSON 812</v>
      </c>
      <c r="D5902" s="6" t="str">
        <f ca="1">IFERROR(__xludf.DUMMYFUNCTION("""COMPUTED_VALUE"""),"QUILPUÉ")</f>
        <v>QUILPUÉ</v>
      </c>
    </row>
    <row r="5903" spans="1:4">
      <c r="A5903" s="7">
        <f ca="1">IFERROR(__xludf.DUMMYFUNCTION("""COMPUTED_VALUE"""),44544)</f>
        <v>44544</v>
      </c>
      <c r="B5903" s="6" t="str">
        <f ca="1">IFERROR(__xludf.DUMMYFUNCTION("""COMPUTED_VALUE"""),"-33546485 S 704526721 W")</f>
        <v>-33546485 S 704526721 W</v>
      </c>
      <c r="C5903" s="6" t="str">
        <f ca="1">IFERROR(__xludf.DUMMYFUNCTION("""COMPUTED_VALUE"""),"PARCELA 40SITIO 4 LOTE A1")</f>
        <v>PARCELA 40SITIO 4 LOTE A1</v>
      </c>
      <c r="D5903" s="6" t="str">
        <f ca="1">IFERROR(__xludf.DUMMYFUNCTION("""COMPUTED_VALUE"""),"PAINE")</f>
        <v>PAINE</v>
      </c>
    </row>
    <row r="5904" spans="1:4">
      <c r="A5904" s="7">
        <f ca="1">IFERROR(__xludf.DUMMYFUNCTION("""COMPUTED_VALUE"""),44544)</f>
        <v>44544</v>
      </c>
      <c r="B5904" s="6" t="str">
        <f ca="1">IFERROR(__xludf.DUMMYFUNCTION("""COMPUTED_VALUE"""),"-33.306923,-70.859327")</f>
        <v>-33.306923,-70.859327</v>
      </c>
      <c r="C5904" s="6" t="str">
        <f ca="1">IFERROR(__xludf.DUMMYFUNCTION("""COMPUTED_VALUE"""),"CAMP. SOL DE SEPTIEMBRE C101")</f>
        <v>CAMP. SOL DE SEPTIEMBRE C101</v>
      </c>
      <c r="D5904" s="6" t="str">
        <f ca="1">IFERROR(__xludf.DUMMYFUNCTION("""COMPUTED_VALUE"""),"LAMPA")</f>
        <v>LAMPA</v>
      </c>
    </row>
    <row r="5905" spans="1:4">
      <c r="A5905" s="7">
        <f ca="1">IFERROR(__xludf.DUMMYFUNCTION("""COMPUTED_VALUE"""),44544)</f>
        <v>44544</v>
      </c>
      <c r="B5905" s="6" t="str">
        <f ca="1">IFERROR(__xludf.DUMMYFUNCTION("""COMPUTED_VALUE"""),"-33.304299,-70.857246")</f>
        <v>-33.304299,-70.857246</v>
      </c>
      <c r="C5905" s="6" t="str">
        <f ca="1">IFERROR(__xludf.DUMMYFUNCTION("""COMPUTED_VALUE"""),"ACONCAGUA 90")</f>
        <v>ACONCAGUA 90</v>
      </c>
      <c r="D5905" s="6" t="str">
        <f ca="1">IFERROR(__xludf.DUMMYFUNCTION("""COMPUTED_VALUE"""),"LAMPA")</f>
        <v>LAMPA</v>
      </c>
    </row>
    <row r="5906" spans="1:4">
      <c r="A5906" s="7">
        <f ca="1">IFERROR(__xludf.DUMMYFUNCTION("""COMPUTED_VALUE"""),44545)</f>
        <v>44545</v>
      </c>
      <c r="B5906" s="6" t="str">
        <f ca="1">IFERROR(__xludf.DUMMYFUNCTION("""COMPUTED_VALUE"""),"-33.615468-70.860367")</f>
        <v>-33.615468-70.860367</v>
      </c>
      <c r="C5906" s="6" t="str">
        <f ca="1">IFERROR(__xludf.DUMMYFUNCTION("""COMPUTED_VALUE"""),"BALMACEDA 1512")</f>
        <v>BALMACEDA 1512</v>
      </c>
      <c r="D5906" s="6" t="str">
        <f ca="1">IFERROR(__xludf.DUMMYFUNCTION("""COMPUTED_VALUE"""),"PEÑAFLOR")</f>
        <v>PEÑAFLOR</v>
      </c>
    </row>
    <row r="5907" spans="1:4">
      <c r="A5907" s="7">
        <f ca="1">IFERROR(__xludf.DUMMYFUNCTION("""COMPUTED_VALUE"""),44545)</f>
        <v>44545</v>
      </c>
      <c r="B5907" s="6" t="str">
        <f ca="1">IFERROR(__xludf.DUMMYFUNCTION("""COMPUTED_VALUE"""),"-33.4174879-71.1598906")</f>
        <v>-33.4174879-71.1598906</v>
      </c>
      <c r="C5907" s="6" t="str">
        <f ca="1">IFERROR(__xludf.DUMMYFUNCTION("""COMPUTED_VALUE"""),"ISABEL RIQUELME 571")</f>
        <v>ISABEL RIQUELME 571</v>
      </c>
      <c r="D5907" s="6" t="str">
        <f ca="1">IFERROR(__xludf.DUMMYFUNCTION("""COMPUTED_VALUE"""),"CURACAVI")</f>
        <v>CURACAVI</v>
      </c>
    </row>
    <row r="5908" spans="1:4">
      <c r="A5908" s="7">
        <f ca="1">IFERROR(__xludf.DUMMYFUNCTION("""COMPUTED_VALUE"""),44545)</f>
        <v>44545</v>
      </c>
      <c r="B5908" s="6" t="str">
        <f ca="1">IFERROR(__xludf.DUMMYFUNCTION("""COMPUTED_VALUE"""),"-33.406674-71.0747637")</f>
        <v>-33.406674-71.0747637</v>
      </c>
      <c r="C5908" s="6" t="str">
        <f ca="1">IFERROR(__xludf.DUMMYFUNCTION("""COMPUTED_VALUE"""),"ESTRELLA DE MIRAFLORES S-40")</f>
        <v>ESTRELLA DE MIRAFLORES S-40</v>
      </c>
      <c r="D5908" s="6" t="str">
        <f ca="1">IFERROR(__xludf.DUMMYFUNCTION("""COMPUTED_VALUE"""),"CURACAVI")</f>
        <v>CURACAVI</v>
      </c>
    </row>
    <row r="5909" spans="1:4">
      <c r="A5909" s="7">
        <f ca="1">IFERROR(__xludf.DUMMYFUNCTION("""COMPUTED_VALUE"""),44545)</f>
        <v>44545</v>
      </c>
      <c r="B5909" s="6" t="str">
        <f ca="1">IFERROR(__xludf.DUMMYFUNCTION("""COMPUTED_VALUE"""),"-33.477412-71.0261903")</f>
        <v>-33.477412-71.0261903</v>
      </c>
      <c r="C5909" s="6" t="str">
        <f ca="1">IFERROR(__xludf.DUMMYFUNCTION("""COMPUTED_VALUE"""),"SAN JOQUIN PARC 1")</f>
        <v>SAN JOQUIN PARC 1</v>
      </c>
      <c r="D5909" s="6" t="str">
        <f ca="1">IFERROR(__xludf.DUMMYFUNCTION("""COMPUTED_VALUE"""),"CURACAVI")</f>
        <v>CURACAVI</v>
      </c>
    </row>
    <row r="5910" spans="1:4">
      <c r="A5910" s="7">
        <f ca="1">IFERROR(__xludf.DUMMYFUNCTION("""COMPUTED_VALUE"""),44545)</f>
        <v>44545</v>
      </c>
      <c r="B5910" s="6" t="str">
        <f ca="1">IFERROR(__xludf.DUMMYFUNCTION("""COMPUTED_VALUE"""),"-33.8456636-70.765837")</f>
        <v>-33.8456636-70.765837</v>
      </c>
      <c r="C5910" s="6" t="str">
        <f ca="1">IFERROR(__xludf.DUMMYFUNCTION("""COMPUTED_VALUE"""),"LAS CAMELIAS 21")</f>
        <v>LAS CAMELIAS 21</v>
      </c>
      <c r="D5910" s="6" t="str">
        <f ca="1">IFERROR(__xludf.DUMMYFUNCTION("""COMPUTED_VALUE"""),"PAINE")</f>
        <v>PAINE</v>
      </c>
    </row>
    <row r="5911" spans="1:4">
      <c r="A5911" s="7">
        <f ca="1">IFERROR(__xludf.DUMMYFUNCTION("""COMPUTED_VALUE"""),44545)</f>
        <v>44545</v>
      </c>
      <c r="B5911" s="6" t="str">
        <f ca="1">IFERROR(__xludf.DUMMYFUNCTION("""COMPUTED_VALUE"""),"-33.877796-70.739738")</f>
        <v>-33.877796-70.739738</v>
      </c>
      <c r="C5911" s="6" t="str">
        <f ca="1">IFERROR(__xludf.DUMMYFUNCTION("""COMPUTED_VALUE"""),"DIEGO PORTALES SUR 37")</f>
        <v>DIEGO PORTALES SUR 37</v>
      </c>
      <c r="D5911" s="6" t="str">
        <f ca="1">IFERROR(__xludf.DUMMYFUNCTION("""COMPUTED_VALUE"""),"PAINE")</f>
        <v>PAINE</v>
      </c>
    </row>
    <row r="5912" spans="1:4">
      <c r="A5912" s="7">
        <f ca="1">IFERROR(__xludf.DUMMYFUNCTION("""COMPUTED_VALUE"""),44545)</f>
        <v>44545</v>
      </c>
      <c r="B5912" s="6" t="str">
        <f ca="1">IFERROR(__xludf.DUMMYFUNCTION("""COMPUTED_VALUE"""),"-33.854728-70.774160")</f>
        <v>-33.854728-70.774160</v>
      </c>
      <c r="C5912" s="6" t="str">
        <f ca="1">IFERROR(__xludf.DUMMYFUNCTION("""COMPUTED_VALUE"""),"DARIO PAVEZ 1820")</f>
        <v>DARIO PAVEZ 1820</v>
      </c>
      <c r="D5912" s="6" t="str">
        <f ca="1">IFERROR(__xludf.DUMMYFUNCTION("""COMPUTED_VALUE"""),"PAINE")</f>
        <v>PAINE</v>
      </c>
    </row>
    <row r="5913" spans="1:4">
      <c r="A5913" s="7">
        <f ca="1">IFERROR(__xludf.DUMMYFUNCTION("""COMPUTED_VALUE"""),44545)</f>
        <v>44545</v>
      </c>
      <c r="B5913" s="6" t="str">
        <f ca="1">IFERROR(__xludf.DUMMYFUNCTION("""COMPUTED_VALUE"""),"-33.40149-71.17602")</f>
        <v>-33.40149-71.17602</v>
      </c>
      <c r="C5913" s="6" t="str">
        <f ca="1">IFERROR(__xludf.DUMMYFUNCTION("""COMPUTED_VALUE"""),"EX HACIENDA CURACAVI 92")</f>
        <v>EX HACIENDA CURACAVI 92</v>
      </c>
      <c r="D5913" s="6" t="str">
        <f ca="1">IFERROR(__xludf.DUMMYFUNCTION("""COMPUTED_VALUE"""),"CURACAVI")</f>
        <v>CURACAVI</v>
      </c>
    </row>
    <row r="5914" spans="1:4">
      <c r="A5914" s="7">
        <f ca="1">IFERROR(__xludf.DUMMYFUNCTION("""COMPUTED_VALUE"""),44545)</f>
        <v>44545</v>
      </c>
      <c r="B5914" s="6" t="str">
        <f ca="1">IFERROR(__xludf.DUMMYFUNCTION("""COMPUTED_VALUE"""),"-33.707534,-70.55595")</f>
        <v>-33.707534,-70.55595</v>
      </c>
      <c r="C5914" s="6" t="str">
        <f ca="1">IFERROR(__xludf.DUMMYFUNCTION("""COMPUTED_VALUE"""),"ARAUCARIA 854")</f>
        <v>ARAUCARIA 854</v>
      </c>
      <c r="D5914" s="6" t="str">
        <f ca="1">IFERROR(__xludf.DUMMYFUNCTION("""COMPUTED_VALUE"""),"PIRQUE")</f>
        <v>PIRQUE</v>
      </c>
    </row>
    <row r="5915" spans="1:4">
      <c r="A5915" s="7">
        <f ca="1">IFERROR(__xludf.DUMMYFUNCTION("""COMPUTED_VALUE"""),44545)</f>
        <v>44545</v>
      </c>
      <c r="B5915" s="6" t="str">
        <f ca="1">IFERROR(__xludf.DUMMYFUNCTION("""COMPUTED_VALUE"""),"-33.715465,-70.588351")</f>
        <v>-33.715465,-70.588351</v>
      </c>
      <c r="C5915" s="6" t="str">
        <f ca="1">IFERROR(__xludf.DUMMYFUNCTION("""COMPUTED_VALUE"""),"CALLE LAS BANDURRIAS PARC 2")</f>
        <v>CALLE LAS BANDURRIAS PARC 2</v>
      </c>
      <c r="D5915" s="6" t="str">
        <f ca="1">IFERROR(__xludf.DUMMYFUNCTION("""COMPUTED_VALUE"""),"PIRQUE")</f>
        <v>PIRQUE</v>
      </c>
    </row>
    <row r="5916" spans="1:4">
      <c r="A5916" s="7">
        <f ca="1">IFERROR(__xludf.DUMMYFUNCTION("""COMPUTED_VALUE"""),44545)</f>
        <v>44545</v>
      </c>
      <c r="B5916" s="8" t="str">
        <f ca="1">IFERROR(__xludf.DUMMYFUNCTION("""COMPUTED_VALUE"""),"-33.6755535,-70.5819577")</f>
        <v>-33.6755535,-70.5819577</v>
      </c>
      <c r="C5916" s="6" t="str">
        <f ca="1">IFERROR(__xludf.DUMMYFUNCTION("""COMPUTED_VALUE"""),"CALLE LAS CAMELIAS 1318")</f>
        <v>CALLE LAS CAMELIAS 1318</v>
      </c>
      <c r="D5916" s="6" t="str">
        <f ca="1">IFERROR(__xludf.DUMMYFUNCTION("""COMPUTED_VALUE"""),"PIRQUE")</f>
        <v>PIRQUE</v>
      </c>
    </row>
    <row r="5917" spans="1:4">
      <c r="A5917" s="7">
        <f ca="1">IFERROR(__xludf.DUMMYFUNCTION("""COMPUTED_VALUE"""),44545)</f>
        <v>44545</v>
      </c>
      <c r="B5917" s="8" t="str">
        <f ca="1">IFERROR(__xludf.DUMMYFUNCTION("""COMPUTED_VALUE"""),"-33.7184141,-70.5490390")</f>
        <v>-33.7184141,-70.5490390</v>
      </c>
      <c r="C5917" s="6" t="str">
        <f ca="1">IFERROR(__xludf.DUMMYFUNCTION("""COMPUTED_VALUE"""),"EL CHOLACO 65 SITIO 5")</f>
        <v>EL CHOLACO 65 SITIO 5</v>
      </c>
      <c r="D5917" s="6" t="str">
        <f ca="1">IFERROR(__xludf.DUMMYFUNCTION("""COMPUTED_VALUE"""),"PIRQUE")</f>
        <v>PIRQUE</v>
      </c>
    </row>
    <row r="5918" spans="1:4">
      <c r="A5918" s="7">
        <f ca="1">IFERROR(__xludf.DUMMYFUNCTION("""COMPUTED_VALUE"""),44545)</f>
        <v>44545</v>
      </c>
      <c r="B5918" s="6" t="str">
        <f ca="1">IFERROR(__xludf.DUMMYFUNCTION("""COMPUTED_VALUE"""),"-33.244384,-70.887626")</f>
        <v>-33.244384,-70.887626</v>
      </c>
      <c r="C5918" s="6" t="str">
        <f ca="1">IFERROR(__xludf.DUMMYFUNCTION("""COMPUTED_VALUE"""),"LIBERTAD 56 ")</f>
        <v xml:space="preserve">LIBERTAD 56 </v>
      </c>
      <c r="D5918" s="6" t="str">
        <f ca="1">IFERROR(__xludf.DUMMYFUNCTION("""COMPUTED_VALUE"""),"LAMPA")</f>
        <v>LAMPA</v>
      </c>
    </row>
    <row r="5919" spans="1:4">
      <c r="A5919" s="7">
        <f ca="1">IFERROR(__xludf.DUMMYFUNCTION("""COMPUTED_VALUE"""),44545)</f>
        <v>44545</v>
      </c>
      <c r="B5919" s="6" t="str">
        <f ca="1">IFERROR(__xludf.DUMMYFUNCTION("""COMPUTED_VALUE"""),"-33.792131,-71.389099")</f>
        <v>-33.792131,-71.389099</v>
      </c>
      <c r="C5919" s="6" t="str">
        <f ca="1">IFERROR(__xludf.DUMMYFUNCTION("""COMPUTED_VALUE"""),"LA UNION S/N  ")</f>
        <v xml:space="preserve">LA UNION S/N  </v>
      </c>
      <c r="D5919" s="6" t="str">
        <f ca="1">IFERROR(__xludf.DUMMYFUNCTION("""COMPUTED_VALUE"""),"MELIPILLA")</f>
        <v>MELIPILLA</v>
      </c>
    </row>
    <row r="5920" spans="1:4">
      <c r="A5920" s="7">
        <f ca="1">IFERROR(__xludf.DUMMYFUNCTION("""COMPUTED_VALUE"""),44545)</f>
        <v>44545</v>
      </c>
      <c r="B5920" s="6" t="str">
        <f ca="1">IFERROR(__xludf.DUMMYFUNCTION("""COMPUTED_VALUE"""),"-33.759995,-71.328067")</f>
        <v>-33.759995,-71.328067</v>
      </c>
      <c r="C5920" s="6" t="str">
        <f ca="1">IFERROR(__xludf.DUMMYFUNCTION("""COMPUTED_VALUE"""),"CO PUBLICO S/N-CV3 EL AROMO")</f>
        <v>CO PUBLICO S/N-CV3 EL AROMO</v>
      </c>
      <c r="D5920" s="6" t="str">
        <f ca="1">IFERROR(__xludf.DUMMYFUNCTION("""COMPUTED_VALUE"""),"MELIPILLA")</f>
        <v>MELIPILLA</v>
      </c>
    </row>
    <row r="5921" spans="1:4">
      <c r="A5921" s="7">
        <f ca="1">IFERROR(__xludf.DUMMYFUNCTION("""COMPUTED_VALUE"""),44545)</f>
        <v>44545</v>
      </c>
      <c r="B5921" s="8" t="str">
        <f ca="1">IFERROR(__xludf.DUMMYFUNCTION("""COMPUTED_VALUE"""),"-33.737587,-70.678877")</f>
        <v>-33.737587,-70.678877</v>
      </c>
      <c r="C5921" s="6" t="str">
        <f ca="1">IFERROR(__xludf.DUMMYFUNCTION("""COMPUTED_VALUE"""),"LOS QUILLAYES 213")</f>
        <v>LOS QUILLAYES 213</v>
      </c>
      <c r="D5921" s="6" t="str">
        <f ca="1">IFERROR(__xludf.DUMMYFUNCTION("""COMPUTED_VALUE"""),"BUIN")</f>
        <v>BUIN</v>
      </c>
    </row>
    <row r="5922" spans="1:4">
      <c r="A5922" s="7">
        <f ca="1">IFERROR(__xludf.DUMMYFUNCTION("""COMPUTED_VALUE"""),44545)</f>
        <v>44545</v>
      </c>
      <c r="B5922" s="8" t="str">
        <f ca="1">IFERROR(__xludf.DUMMYFUNCTION("""COMPUTED_VALUE"""),"-33.724920,-70.740825")</f>
        <v>-33.724920,-70.740825</v>
      </c>
      <c r="C5922" s="6" t="str">
        <f ca="1">IFERROR(__xludf.DUMMYFUNCTION("""COMPUTED_VALUE"""),"WALKEN 265")</f>
        <v>WALKEN 265</v>
      </c>
      <c r="D5922" s="6" t="str">
        <f ca="1">IFERROR(__xludf.DUMMYFUNCTION("""COMPUTED_VALUE"""),"BUIN")</f>
        <v>BUIN</v>
      </c>
    </row>
    <row r="5923" spans="1:4">
      <c r="A5923" s="7">
        <f ca="1">IFERROR(__xludf.DUMMYFUNCTION("""COMPUTED_VALUE"""),44545)</f>
        <v>44545</v>
      </c>
      <c r="B5923" s="8" t="str">
        <f ca="1">IFERROR(__xludf.DUMMYFUNCTION("""COMPUTED_VALUE"""),"-33.731946,-70.748110")</f>
        <v>-33.731946,-70.748110</v>
      </c>
      <c r="C5923" s="6" t="str">
        <f ca="1">IFERROR(__xludf.DUMMYFUNCTION("""COMPUTED_VALUE"""),"O HIGGINS 316")</f>
        <v>O HIGGINS 316</v>
      </c>
      <c r="D5923" s="6" t="str">
        <f ca="1">IFERROR(__xludf.DUMMYFUNCTION("""COMPUTED_VALUE"""),"BUIN")</f>
        <v>BUIN</v>
      </c>
    </row>
    <row r="5924" spans="1:4">
      <c r="A5924" s="7">
        <f ca="1">IFERROR(__xludf.DUMMYFUNCTION("""COMPUTED_VALUE"""),44545)</f>
        <v>44545</v>
      </c>
      <c r="B5924" s="8" t="str">
        <f ca="1">IFERROR(__xludf.DUMMYFUNCTION("""COMPUTED_VALUE"""),"-33.889851,-71.453854")</f>
        <v>-33.889851,-71.453854</v>
      </c>
      <c r="C5924" s="6" t="str">
        <f ca="1">IFERROR(__xludf.DUMMYFUNCTION("""COMPUTED_VALUE"""),"CRISTOBAL COLO 55")</f>
        <v>CRISTOBAL COLO 55</v>
      </c>
      <c r="D5924" s="6" t="str">
        <f ca="1">IFERROR(__xludf.DUMMYFUNCTION("""COMPUTED_VALUE"""),"MELIPILLA")</f>
        <v>MELIPILLA</v>
      </c>
    </row>
    <row r="5925" spans="1:4">
      <c r="A5925" s="7">
        <f ca="1">IFERROR(__xludf.DUMMYFUNCTION("""COMPUTED_VALUE"""),44545)</f>
        <v>44545</v>
      </c>
      <c r="B5925" s="8" t="str">
        <f ca="1">IFERROR(__xludf.DUMMYFUNCTION("""COMPUTED_VALUE"""),"-33.683478,-71.226013")</f>
        <v>-33.683478,-71.226013</v>
      </c>
      <c r="C5925" s="6" t="str">
        <f ca="1">IFERROR(__xludf.DUMMYFUNCTION("""COMPUTED_VALUE"""),"BAZTAN 259")</f>
        <v>BAZTAN 259</v>
      </c>
      <c r="D5925" s="6" t="str">
        <f ca="1">IFERROR(__xludf.DUMMYFUNCTION("""COMPUTED_VALUE"""),"MELIPILLA")</f>
        <v>MELIPILLA</v>
      </c>
    </row>
    <row r="5926" spans="1:4">
      <c r="A5926" s="7">
        <f ca="1">IFERROR(__xludf.DUMMYFUNCTION("""COMPUTED_VALUE"""),44545)</f>
        <v>44545</v>
      </c>
      <c r="B5926" s="8" t="str">
        <f ca="1">IFERROR(__xludf.DUMMYFUNCTION("""COMPUTED_VALUE"""),"-33.666038,-70.838097")</f>
        <v>-33.666038,-70.838097</v>
      </c>
      <c r="C5926" s="6" t="str">
        <f ca="1">IFERROR(__xludf.DUMMYFUNCTION("""COMPUTED_VALUE"""),"VILLA NÚMERO 3, SITIO 10")</f>
        <v>VILLA NÚMERO 3, SITIO 10</v>
      </c>
      <c r="D5926" s="6" t="str">
        <f ca="1">IFERROR(__xludf.DUMMYFUNCTION("""COMPUTED_VALUE"""),"TALAGANTE")</f>
        <v>TALAGANTE</v>
      </c>
    </row>
    <row r="5927" spans="1:4">
      <c r="A5927" s="7">
        <f ca="1">IFERROR(__xludf.DUMMYFUNCTION("""COMPUTED_VALUE"""),44545)</f>
        <v>44545</v>
      </c>
      <c r="B5927" s="8" t="str">
        <f ca="1">IFERROR(__xludf.DUMMYFUNCTION("""COMPUTED_VALUE"""),"-33.633469,-70.760612")</f>
        <v>-33.633469,-70.760612</v>
      </c>
      <c r="C5927" s="6" t="str">
        <f ca="1">IFERROR(__xludf.DUMMYFUNCTION("""COMPUTED_VALUE"""),"DOC MACLINE 270")</f>
        <v>DOC MACLINE 270</v>
      </c>
      <c r="D5927" s="6" t="str">
        <f ca="1">IFERROR(__xludf.DUMMYFUNCTION("""COMPUTED_VALUE"""),"CALERA DE TANGO")</f>
        <v>CALERA DE TANGO</v>
      </c>
    </row>
    <row r="5928" spans="1:4">
      <c r="A5928" s="7">
        <f ca="1">IFERROR(__xludf.DUMMYFUNCTION("""COMPUTED_VALUE"""),44545)</f>
        <v>44545</v>
      </c>
      <c r="B5928" s="8" t="str">
        <f ca="1">IFERROR(__xludf.DUMMYFUNCTION("""COMPUTED_VALUE"""),"-33.621262,-70.800827")</f>
        <v>-33.621262,-70.800827</v>
      </c>
      <c r="C5928" s="6" t="str">
        <f ca="1">IFERROR(__xludf.DUMMYFUNCTION("""COMPUTED_VALUE"""),"MANUEL CASTILLO 5")</f>
        <v>MANUEL CASTILLO 5</v>
      </c>
      <c r="D5928" s="6" t="str">
        <f ca="1">IFERROR(__xludf.DUMMYFUNCTION("""COMPUTED_VALUE"""),"CALERA DE TANGO")</f>
        <v>CALERA DE TANGO</v>
      </c>
    </row>
    <row r="5929" spans="1:4">
      <c r="A5929" s="7">
        <f ca="1">IFERROR(__xludf.DUMMYFUNCTION("""COMPUTED_VALUE"""),44545)</f>
        <v>44545</v>
      </c>
      <c r="B5929" s="6" t="str">
        <f ca="1">IFERROR(__xludf.DUMMYFUNCTION("""COMPUTED_VALUE"""),"-33.235912,-70.823386")</f>
        <v>-33.235912,-70.823386</v>
      </c>
      <c r="C5929" s="6" t="str">
        <f ca="1">IFERROR(__xludf.DUMMYFUNCTION("""COMPUTED_VALUE"""),"CAMINO INT S/N PARC35 MZN9")</f>
        <v>CAMINO INT S/N PARC35 MZN9</v>
      </c>
      <c r="D5929" s="6" t="str">
        <f ca="1">IFERROR(__xludf.DUMMYFUNCTION("""COMPUTED_VALUE"""),"LAMPA")</f>
        <v>LAMPA</v>
      </c>
    </row>
    <row r="5930" spans="1:4">
      <c r="A5930" s="7">
        <f ca="1">IFERROR(__xludf.DUMMYFUNCTION("""COMPUTED_VALUE"""),44546)</f>
        <v>44546</v>
      </c>
      <c r="B5930" s="6" t="str">
        <f ca="1">IFERROR(__xludf.DUMMYFUNCTION("""COMPUTED_VALUE"""),"-33.68451-71.21717")</f>
        <v>-33.68451-71.21717</v>
      </c>
      <c r="C5930" s="6" t="str">
        <f ca="1">IFERROR(__xludf.DUMMYFUNCTION("""COMPUTED_VALUE"""),"SAN MIGUEL 727")</f>
        <v>SAN MIGUEL 727</v>
      </c>
      <c r="D5930" s="6" t="str">
        <f ca="1">IFERROR(__xludf.DUMMYFUNCTION("""COMPUTED_VALUE"""),"MELIPILLA")</f>
        <v>MELIPILLA</v>
      </c>
    </row>
    <row r="5931" spans="1:4">
      <c r="A5931" s="7">
        <f ca="1">IFERROR(__xludf.DUMMYFUNCTION("""COMPUTED_VALUE"""),44546)</f>
        <v>44546</v>
      </c>
      <c r="B5931" s="6" t="str">
        <f ca="1">IFERROR(__xludf.DUMMYFUNCTION("""COMPUTED_VALUE"""),"-33.6167-70.91673")</f>
        <v>-33.6167-70.91673</v>
      </c>
      <c r="C5931" s="6" t="str">
        <f ca="1">IFERROR(__xludf.DUMMYFUNCTION("""COMPUTED_VALUE"""),"AV. MIRAFLORES 1135")</f>
        <v>AV. MIRAFLORES 1135</v>
      </c>
      <c r="D5931" s="6" t="str">
        <f ca="1">IFERROR(__xludf.DUMMYFUNCTION("""COMPUTED_VALUE"""),"PEÑAFLOR")</f>
        <v>PEÑAFLOR</v>
      </c>
    </row>
    <row r="5932" spans="1:4">
      <c r="A5932" s="7">
        <f ca="1">IFERROR(__xludf.DUMMYFUNCTION("""COMPUTED_VALUE"""),44546)</f>
        <v>44546</v>
      </c>
      <c r="B5932" s="6" t="str">
        <f ca="1">IFERROR(__xludf.DUMMYFUNCTION("""COMPUTED_VALUE"""),"-33.615154-70.860044")</f>
        <v>-33.615154-70.860044</v>
      </c>
      <c r="C5932" s="6" t="str">
        <f ca="1">IFERROR(__xludf.DUMMYFUNCTION("""COMPUTED_VALUE"""),"BALMACEDA 1512")</f>
        <v>BALMACEDA 1512</v>
      </c>
      <c r="D5932" s="6" t="str">
        <f ca="1">IFERROR(__xludf.DUMMYFUNCTION("""COMPUTED_VALUE"""),"PEÑAFLOR")</f>
        <v>PEÑAFLOR</v>
      </c>
    </row>
    <row r="5933" spans="1:4">
      <c r="A5933" s="7">
        <f ca="1">IFERROR(__xludf.DUMMYFUNCTION("""COMPUTED_VALUE"""),44546)</f>
        <v>44546</v>
      </c>
      <c r="B5933" s="6" t="str">
        <f ca="1">IFERROR(__xludf.DUMMYFUNCTION("""COMPUTED_VALUE"""),"-33.6366693-70.3561171")</f>
        <v>-33.6366693-70.3561171</v>
      </c>
      <c r="C5933" s="6" t="str">
        <f ca="1">IFERROR(__xludf.DUMMYFUNCTION("""COMPUTED_VALUE"""),"SIN CALLE S/N")</f>
        <v>SIN CALLE S/N</v>
      </c>
      <c r="D5933" s="6" t="str">
        <f ca="1">IFERROR(__xludf.DUMMYFUNCTION("""COMPUTED_VALUE"""),"SAN JOSE DE MAIPO")</f>
        <v>SAN JOSE DE MAIPO</v>
      </c>
    </row>
    <row r="5934" spans="1:4">
      <c r="A5934" s="7">
        <f ca="1">IFERROR(__xludf.DUMMYFUNCTION("""COMPUTED_VALUE"""),44546)</f>
        <v>44546</v>
      </c>
      <c r="B5934" s="6" t="str">
        <f ca="1">IFERROR(__xludf.DUMMYFUNCTION("""COMPUTED_VALUE"""),"-33.6377482-70.3548707")</f>
        <v>-33.6377482-70.3548707</v>
      </c>
      <c r="C5934" s="6" t="str">
        <f ca="1">IFERROR(__xludf.DUMMYFUNCTION("""COMPUTED_VALUE"""),"SIN CALLE S/N")</f>
        <v>SIN CALLE S/N</v>
      </c>
      <c r="D5934" s="6" t="str">
        <f ca="1">IFERROR(__xludf.DUMMYFUNCTION("""COMPUTED_VALUE"""),"SAN JOSE DE MAIPO")</f>
        <v>SAN JOSE DE MAIPO</v>
      </c>
    </row>
    <row r="5935" spans="1:4">
      <c r="A5935" s="7">
        <f ca="1">IFERROR(__xludf.DUMMYFUNCTION("""COMPUTED_VALUE"""),44546)</f>
        <v>44546</v>
      </c>
      <c r="B5935" s="6" t="str">
        <f ca="1">IFERROR(__xludf.DUMMYFUNCTION("""COMPUTED_VALUE"""),"-33.300753,-70.873044")</f>
        <v>-33.300753,-70.873044</v>
      </c>
      <c r="C5935" s="6" t="str">
        <f ca="1">IFERROR(__xludf.DUMMYFUNCTION("""COMPUTED_VALUE"""),"AV. LA HACIENDA 3016-6")</f>
        <v>AV. LA HACIENDA 3016-6</v>
      </c>
      <c r="D5935" s="6" t="str">
        <f ca="1">IFERROR(__xludf.DUMMYFUNCTION("""COMPUTED_VALUE"""),"LAMPA")</f>
        <v>LAMPA</v>
      </c>
    </row>
    <row r="5936" spans="1:4">
      <c r="A5936" s="7">
        <f ca="1">IFERROR(__xludf.DUMMYFUNCTION("""COMPUTED_VALUE"""),44546)</f>
        <v>44546</v>
      </c>
      <c r="B5936" s="6" t="str">
        <f ca="1">IFERROR(__xludf.DUMMYFUNCTION("""COMPUTED_VALUE"""),"-33.821121,-70.741008")</f>
        <v>-33.821121,-70.741008</v>
      </c>
      <c r="C5936" s="6" t="str">
        <f ca="1">IFERROR(__xludf.DUMMYFUNCTION("""COMPUTED_VALUE"""),"PASAJE URUGUAY 252")</f>
        <v>PASAJE URUGUAY 252</v>
      </c>
      <c r="D5936" s="6" t="str">
        <f ca="1">IFERROR(__xludf.DUMMYFUNCTION("""COMPUTED_VALUE"""),"PAINE")</f>
        <v>PAINE</v>
      </c>
    </row>
    <row r="5937" spans="1:4">
      <c r="A5937" s="7">
        <f ca="1">IFERROR(__xludf.DUMMYFUNCTION("""COMPUTED_VALUE"""),44546)</f>
        <v>44546</v>
      </c>
      <c r="B5937" s="6" t="str">
        <f ca="1">IFERROR(__xludf.DUMMYFUNCTION("""COMPUTED_VALUE"""),"-33.820272,-70.737408")</f>
        <v>-33.820272,-70.737408</v>
      </c>
      <c r="C5937" s="6" t="str">
        <f ca="1">IFERROR(__xludf.DUMMYFUNCTION("""COMPUTED_VALUE"""),"PARQUE NACIONAL HUERQUE 1528")</f>
        <v>PARQUE NACIONAL HUERQUE 1528</v>
      </c>
      <c r="D5937" s="6" t="str">
        <f ca="1">IFERROR(__xludf.DUMMYFUNCTION("""COMPUTED_VALUE"""),"PAINE")</f>
        <v>PAINE</v>
      </c>
    </row>
    <row r="5938" spans="1:4">
      <c r="A5938" s="7">
        <f ca="1">IFERROR(__xludf.DUMMYFUNCTION("""COMPUTED_VALUE"""),44546)</f>
        <v>44546</v>
      </c>
      <c r="B5938" s="6" t="str">
        <f ca="1">IFERROR(__xludf.DUMMYFUNCTION("""COMPUTED_VALUE"""),"-33.820429,-70.737257")</f>
        <v>-33.820429,-70.737257</v>
      </c>
      <c r="C5938" s="6" t="str">
        <f ca="1">IFERROR(__xludf.DUMMYFUNCTION("""COMPUTED_VALUE"""),"PARQUE NACIONAL CUCAO 1523")</f>
        <v>PARQUE NACIONAL CUCAO 1523</v>
      </c>
      <c r="D5938" s="6" t="str">
        <f ca="1">IFERROR(__xludf.DUMMYFUNCTION("""COMPUTED_VALUE"""),"PAINE")</f>
        <v>PAINE</v>
      </c>
    </row>
    <row r="5939" spans="1:4">
      <c r="A5939" s="7">
        <f ca="1">IFERROR(__xludf.DUMMYFUNCTION("""COMPUTED_VALUE"""),44546)</f>
        <v>44546</v>
      </c>
      <c r="B5939" s="8" t="str">
        <f ca="1">IFERROR(__xludf.DUMMYFUNCTION("""COMPUTED_VALUE"""),"-33.8041886,-70.7151033")</f>
        <v>-33.8041886,-70.7151033</v>
      </c>
      <c r="C5939" s="6" t="str">
        <f ca="1">IFERROR(__xludf.DUMMYFUNCTION("""COMPUTED_VALUE"""),"PASAJE SEIS 2059")</f>
        <v>PASAJE SEIS 2059</v>
      </c>
      <c r="D5939" s="6" t="str">
        <f ca="1">IFERROR(__xludf.DUMMYFUNCTION("""COMPUTED_VALUE"""),"PAINE")</f>
        <v>PAINE</v>
      </c>
    </row>
    <row r="5940" spans="1:4">
      <c r="A5940" s="7">
        <f ca="1">IFERROR(__xludf.DUMMYFUNCTION("""COMPUTED_VALUE"""),44546)</f>
        <v>44546</v>
      </c>
      <c r="B5940" s="8" t="str">
        <f ca="1">IFERROR(__xludf.DUMMYFUNCTION("""COMPUTED_VALUE"""),"-33.8039517,-70.7363012")</f>
        <v>-33.8039517,-70.7363012</v>
      </c>
      <c r="C5940" s="6" t="str">
        <f ca="1">IFERROR(__xludf.DUMMYFUNCTION("""COMPUTED_VALUE"""),"PASAJE D 42 ")</f>
        <v xml:space="preserve">PASAJE D 42 </v>
      </c>
      <c r="D5940" s="6" t="str">
        <f ca="1">IFERROR(__xludf.DUMMYFUNCTION("""COMPUTED_VALUE"""),"PAINE")</f>
        <v>PAINE</v>
      </c>
    </row>
    <row r="5941" spans="1:4">
      <c r="A5941" s="7">
        <f ca="1">IFERROR(__xludf.DUMMYFUNCTION("""COMPUTED_VALUE"""),44546)</f>
        <v>44546</v>
      </c>
      <c r="B5941" s="8" t="str">
        <f ca="1">IFERROR(__xludf.DUMMYFUNCTION("""COMPUTED_VALUE"""),"-33.8038251,-70.7367447")</f>
        <v>-33.8038251,-70.7367447</v>
      </c>
      <c r="C5941" s="6" t="str">
        <f ca="1">IFERROR(__xludf.DUMMYFUNCTION("""COMPUTED_VALUE"""),"PASAJE C 304")</f>
        <v>PASAJE C 304</v>
      </c>
      <c r="D5941" s="6" t="str">
        <f ca="1">IFERROR(__xludf.DUMMYFUNCTION("""COMPUTED_VALUE"""),"PAINE")</f>
        <v>PAINE</v>
      </c>
    </row>
    <row r="5942" spans="1:4">
      <c r="A5942" s="7">
        <f ca="1">IFERROR(__xludf.DUMMYFUNCTION("""COMPUTED_VALUE"""),44546)</f>
        <v>44546</v>
      </c>
      <c r="B5942" s="8" t="str">
        <f ca="1">IFERROR(__xludf.DUMMYFUNCTION("""COMPUTED_VALUE"""),"-33.803318,-70.715648")</f>
        <v>-33.803318,-70.715648</v>
      </c>
      <c r="C5942" s="6" t="str">
        <f ca="1">IFERROR(__xludf.DUMMYFUNCTION("""COMPUTED_VALUE"""),"PASAJE DOS 296")</f>
        <v>PASAJE DOS 296</v>
      </c>
      <c r="D5942" s="6" t="str">
        <f ca="1">IFERROR(__xludf.DUMMYFUNCTION("""COMPUTED_VALUE"""),"PAINE")</f>
        <v>PAINE</v>
      </c>
    </row>
    <row r="5943" spans="1:4">
      <c r="A5943" s="7">
        <f ca="1">IFERROR(__xludf.DUMMYFUNCTION("""COMPUTED_VALUE"""),44546)</f>
        <v>44546</v>
      </c>
      <c r="B5943" s="6" t="str">
        <f ca="1">IFERROR(__xludf.DUMMYFUNCTION("""COMPUTED_VALUE"""),"-33.819919,-70.742782")</f>
        <v>-33.819919,-70.742782</v>
      </c>
      <c r="C5943" s="6" t="str">
        <f ca="1">IFERROR(__xludf.DUMMYFUNCTION("""COMPUTED_VALUE"""),"INES DE SUAREZ 130")</f>
        <v>INES DE SUAREZ 130</v>
      </c>
      <c r="D5943" s="6" t="str">
        <f ca="1">IFERROR(__xludf.DUMMYFUNCTION("""COMPUTED_VALUE"""),"PAINE")</f>
        <v>PAINE</v>
      </c>
    </row>
    <row r="5944" spans="1:4">
      <c r="A5944" s="7">
        <f ca="1">IFERROR(__xludf.DUMMYFUNCTION("""COMPUTED_VALUE"""),44546)</f>
        <v>44546</v>
      </c>
      <c r="B5944" s="6" t="str">
        <f ca="1">IFERROR(__xludf.DUMMYFUNCTION("""COMPUTED_VALUE"""),"-33.696385,-70.710254")</f>
        <v>-33.696385,-70.710254</v>
      </c>
      <c r="C5944" s="6" t="str">
        <f ca="1">IFERROR(__xludf.DUMMYFUNCTION("""COMPUTED_VALUE"""),"CA GENERAL BACHELET 181 ")</f>
        <v xml:space="preserve">CA GENERAL BACHELET 181 </v>
      </c>
      <c r="D5944" s="6" t="str">
        <f ca="1">IFERROR(__xludf.DUMMYFUNCTION("""COMPUTED_VALUE"""),"BUIN")</f>
        <v>BUIN</v>
      </c>
    </row>
    <row r="5945" spans="1:4">
      <c r="A5945" s="7">
        <f ca="1">IFERROR(__xludf.DUMMYFUNCTION("""COMPUTED_VALUE"""),44546)</f>
        <v>44546</v>
      </c>
      <c r="B5945" s="8" t="str">
        <f ca="1">IFERROR(__xludf.DUMMYFUNCTION("""COMPUTED_VALUE"""),"-33.681011,-71.222257")</f>
        <v>-33.681011,-71.222257</v>
      </c>
      <c r="C5945" s="6" t="str">
        <f ca="1">IFERROR(__xludf.DUMMYFUNCTION("""COMPUTED_VALUE"""),"LAS ARAUCARIAS 1068")</f>
        <v>LAS ARAUCARIAS 1068</v>
      </c>
      <c r="D5945" s="6" t="str">
        <f ca="1">IFERROR(__xludf.DUMMYFUNCTION("""COMPUTED_VALUE"""),"MELIPILLA")</f>
        <v>MELIPILLA</v>
      </c>
    </row>
    <row r="5946" spans="1:4">
      <c r="A5946" s="7">
        <f ca="1">IFERROR(__xludf.DUMMYFUNCTION("""COMPUTED_VALUE"""),44546)</f>
        <v>44546</v>
      </c>
      <c r="B5946" s="8" t="str">
        <f ca="1">IFERROR(__xludf.DUMMYFUNCTION("""COMPUTED_VALUE"""),"-33.769922,-71.171502")</f>
        <v>-33.769922,-71.171502</v>
      </c>
      <c r="C5946" s="6" t="str">
        <f ca="1">IFERROR(__xludf.DUMMYFUNCTION("""COMPUTED_VALUE"""),"PARCELA 23 EMANANTIALES ")</f>
        <v xml:space="preserve">PARCELA 23 EMANANTIALES </v>
      </c>
      <c r="D5946" s="6" t="str">
        <f ca="1">IFERROR(__xludf.DUMMYFUNCTION("""COMPUTED_VALUE"""),"MELIPILLA")</f>
        <v>MELIPILLA</v>
      </c>
    </row>
    <row r="5947" spans="1:4">
      <c r="A5947" s="7">
        <f ca="1">IFERROR(__xludf.DUMMYFUNCTION("""COMPUTED_VALUE"""),44546)</f>
        <v>44546</v>
      </c>
      <c r="B5947" s="8" t="str">
        <f ca="1">IFERROR(__xludf.DUMMYFUNCTION("""COMPUTED_VALUE"""),"-33.277645,-70.667114")</f>
        <v>-33.277645,-70.667114</v>
      </c>
      <c r="C5947" s="6" t="str">
        <f ca="1">IFERROR(__xludf.DUMMYFUNCTION("""COMPUTED_VALUE""")," condominio los algarrobos 4b casa 63 ")</f>
        <v xml:space="preserve"> condominio los algarrobos 4b casa 63 </v>
      </c>
      <c r="D5947" s="6" t="str">
        <f ca="1">IFERROR(__xludf.DUMMYFUNCTION("""COMPUTED_VALUE"""),"COLINA")</f>
        <v>COLINA</v>
      </c>
    </row>
    <row r="5948" spans="1:4">
      <c r="A5948" s="7">
        <f ca="1">IFERROR(__xludf.DUMMYFUNCTION("""COMPUTED_VALUE"""),44546)</f>
        <v>44546</v>
      </c>
      <c r="B5948" s="8" t="str">
        <f ca="1">IFERROR(__xludf.DUMMYFUNCTION("""COMPUTED_VALUE"""),"-33.220897,-70.685485")</f>
        <v>-33.220897,-70.685485</v>
      </c>
      <c r="C5948" s="6" t="str">
        <f ca="1">IFERROR(__xludf.DUMMYFUNCTION("""COMPUTED_VALUE"""),"los corrales 1570")</f>
        <v>los corrales 1570</v>
      </c>
      <c r="D5948" s="6" t="str">
        <f ca="1">IFERROR(__xludf.DUMMYFUNCTION("""COMPUTED_VALUE"""),"COLINA")</f>
        <v>COLINA</v>
      </c>
    </row>
    <row r="5949" spans="1:4">
      <c r="A5949" s="7">
        <f ca="1">IFERROR(__xludf.DUMMYFUNCTION("""COMPUTED_VALUE"""),44546)</f>
        <v>44546</v>
      </c>
      <c r="B5949" s="8" t="str">
        <f ca="1">IFERROR(__xludf.DUMMYFUNCTION("""COMPUTED_VALUE"""),"-33.629493,-70.766543")</f>
        <v>-33.629493,-70.766543</v>
      </c>
      <c r="C5949" s="6" t="str">
        <f ca="1">IFERROR(__xludf.DUMMYFUNCTION("""COMPUTED_VALUE"""),"LOS PICUNCHES ROL 1-44")</f>
        <v>LOS PICUNCHES ROL 1-44</v>
      </c>
      <c r="D5949" s="6" t="str">
        <f ca="1">IFERROR(__xludf.DUMMYFUNCTION("""COMPUTED_VALUE"""),"CALERA DE TANGO")</f>
        <v>CALERA DE TANGO</v>
      </c>
    </row>
    <row r="5950" spans="1:4">
      <c r="A5950" s="7">
        <f ca="1">IFERROR(__xludf.DUMMYFUNCTION("""COMPUTED_VALUE"""),44546)</f>
        <v>44546</v>
      </c>
      <c r="B5950" s="8" t="str">
        <f ca="1">IFERROR(__xludf.DUMMYFUNCTION("""COMPUTED_VALUE"""),"-33.629429,-70.768720")</f>
        <v>-33.629429,-70.768720</v>
      </c>
      <c r="C5950" s="6" t="str">
        <f ca="1">IFERROR(__xludf.DUMMYFUNCTION("""COMPUTED_VALUE"""),"AVENIDA CARMEN S/N CASA 15")</f>
        <v>AVENIDA CARMEN S/N CASA 15</v>
      </c>
      <c r="D5950" s="6" t="str">
        <f ca="1">IFERROR(__xludf.DUMMYFUNCTION("""COMPUTED_VALUE"""),"CALERA DE TANGO")</f>
        <v>CALERA DE TANGO</v>
      </c>
    </row>
    <row r="5951" spans="1:4">
      <c r="A5951" s="7">
        <f ca="1">IFERROR(__xludf.DUMMYFUNCTION("""COMPUTED_VALUE"""),44546)</f>
        <v>44546</v>
      </c>
      <c r="B5951" s="6" t="str">
        <f ca="1">IFERROR(__xludf.DUMMYFUNCTION("""COMPUTED_VALUE"""),"-33.814059,-70.733186")</f>
        <v>-33.814059,-70.733186</v>
      </c>
      <c r="C5951" s="6" t="str">
        <f ca="1">IFERROR(__xludf.DUMMYFUNCTION("""COMPUTED_VALUE"""),"LOS PAJARITOS 722")</f>
        <v>LOS PAJARITOS 722</v>
      </c>
      <c r="D5951" s="6" t="str">
        <f ca="1">IFERROR(__xludf.DUMMYFUNCTION("""COMPUTED_VALUE"""),"PAINE")</f>
        <v>PAINE</v>
      </c>
    </row>
    <row r="5952" spans="1:4">
      <c r="A5952" s="7">
        <f ca="1">IFERROR(__xludf.DUMMYFUNCTION("""COMPUTED_VALUE"""),44546)</f>
        <v>44546</v>
      </c>
      <c r="B5952" s="6" t="str">
        <f ca="1">IFERROR(__xludf.DUMMYFUNCTION("""COMPUTED_VALUE"""),"-33.805429,-70.730533")</f>
        <v>-33.805429,-70.730533</v>
      </c>
      <c r="C5952" s="6" t="str">
        <f ca="1">IFERROR(__xludf.DUMMYFUNCTION("""COMPUTED_VALUE"""),"JORGE PAVEZ RODRIGUEZ 624")</f>
        <v>JORGE PAVEZ RODRIGUEZ 624</v>
      </c>
      <c r="D5952" s="6" t="str">
        <f ca="1">IFERROR(__xludf.DUMMYFUNCTION("""COMPUTED_VALUE"""),"PAINE")</f>
        <v>PAINE</v>
      </c>
    </row>
    <row r="5953" spans="1:4">
      <c r="A5953" s="7">
        <f ca="1">IFERROR(__xludf.DUMMYFUNCTION("""COMPUTED_VALUE"""),44547)</f>
        <v>44547</v>
      </c>
      <c r="B5953" s="6" t="str">
        <f ca="1">IFERROR(__xludf.DUMMYFUNCTION("""COMPUTED_VALUE"""),"-33.8163616-70.1727613")</f>
        <v>-33.8163616-70.1727613</v>
      </c>
      <c r="C5953" s="6" t="str">
        <f ca="1">IFERROR(__xludf.DUMMYFUNCTION("""COMPUTED_VALUE"""),"SAN JOSE ALTO S/N")</f>
        <v>SAN JOSE ALTO S/N</v>
      </c>
      <c r="D5953" s="6" t="str">
        <f ca="1">IFERROR(__xludf.DUMMYFUNCTION("""COMPUTED_VALUE"""),"SAN JOSE DE MAIPO")</f>
        <v>SAN JOSE DE MAIPO</v>
      </c>
    </row>
    <row r="5954" spans="1:4">
      <c r="A5954" s="7">
        <f ca="1">IFERROR(__xludf.DUMMYFUNCTION("""COMPUTED_VALUE"""),44547)</f>
        <v>44547</v>
      </c>
      <c r="B5954" s="6" t="str">
        <f ca="1">IFERROR(__xludf.DUMMYFUNCTION("""COMPUTED_VALUE"""),"-33.604797-70.3532248")</f>
        <v>-33.604797-70.3532248</v>
      </c>
      <c r="C5954" s="6" t="str">
        <f ca="1">IFERROR(__xludf.DUMMYFUNCTION("""COMPUTED_VALUE"""),"CAMINO AL VOLCAN 15469")</f>
        <v>CAMINO AL VOLCAN 15469</v>
      </c>
      <c r="D5954" s="6" t="str">
        <f ca="1">IFERROR(__xludf.DUMMYFUNCTION("""COMPUTED_VALUE"""),"SAN JOSE DE MAIPO")</f>
        <v>SAN JOSE DE MAIPO</v>
      </c>
    </row>
    <row r="5955" spans="1:4">
      <c r="A5955" s="7">
        <f ca="1">IFERROR(__xludf.DUMMYFUNCTION("""COMPUTED_VALUE"""),44547)</f>
        <v>44547</v>
      </c>
      <c r="B5955" s="6" t="str">
        <f ca="1">IFERROR(__xludf.DUMMYFUNCTION("""COMPUTED_VALUE"""),"-33.820801,-70.739726")</f>
        <v>-33.820801,-70.739726</v>
      </c>
      <c r="C5955" s="6" t="str">
        <f ca="1">IFERROR(__xludf.DUMMYFUNCTION("""COMPUTED_VALUE"""),"ARGENTINA 1534")</f>
        <v>ARGENTINA 1534</v>
      </c>
      <c r="D5955" s="6" t="str">
        <f ca="1">IFERROR(__xludf.DUMMYFUNCTION("""COMPUTED_VALUE"""),"PAINE")</f>
        <v>PAINE</v>
      </c>
    </row>
    <row r="5956" spans="1:4">
      <c r="A5956" s="7">
        <f ca="1">IFERROR(__xludf.DUMMYFUNCTION("""COMPUTED_VALUE"""),44547)</f>
        <v>44547</v>
      </c>
      <c r="B5956" s="6" t="str">
        <f ca="1">IFERROR(__xludf.DUMMYFUNCTION("""COMPUTED_VALUE"""),"-33.855896,-70.762344")</f>
        <v>-33.855896,-70.762344</v>
      </c>
      <c r="C5956" s="6" t="str">
        <f ca="1">IFERROR(__xludf.DUMMYFUNCTION("""COMPUTED_VALUE"""),"DARIO PAVEZ 129")</f>
        <v>DARIO PAVEZ 129</v>
      </c>
      <c r="D5956" s="6" t="str">
        <f ca="1">IFERROR(__xludf.DUMMYFUNCTION("""COMPUTED_VALUE"""),"PAINE")</f>
        <v>PAINE</v>
      </c>
    </row>
    <row r="5957" spans="1:4">
      <c r="A5957" s="7">
        <f ca="1">IFERROR(__xludf.DUMMYFUNCTION("""COMPUTED_VALUE"""),44547)</f>
        <v>44547</v>
      </c>
      <c r="B5957" s="6" t="str">
        <f ca="1">IFERROR(__xludf.DUMMYFUNCTION("""COMPUTED_VALUE"""),"-33.733857,-70.783442")</f>
        <v>-33.733857,-70.783442</v>
      </c>
      <c r="C5957" s="6" t="str">
        <f ca="1">IFERROR(__xludf.DUMMYFUNCTION("""COMPUTED_VALUE"""),"CLEMENTE DIAZ 505")</f>
        <v>CLEMENTE DIAZ 505</v>
      </c>
      <c r="D5957" s="6" t="str">
        <f ca="1">IFERROR(__xludf.DUMMYFUNCTION("""COMPUTED_VALUE"""),"BUIN")</f>
        <v>BUIN</v>
      </c>
    </row>
    <row r="5958" spans="1:4">
      <c r="A5958" s="7">
        <f ca="1">IFERROR(__xludf.DUMMYFUNCTION("""COMPUTED_VALUE"""),44547)</f>
        <v>44547</v>
      </c>
      <c r="B5958" s="6" t="str">
        <f ca="1">IFERROR(__xludf.DUMMYFUNCTION("""COMPUTED_VALUE"""),"-35.453100,-71.700694")</f>
        <v>-35.453100,-71.700694</v>
      </c>
      <c r="C5958" s="6" t="str">
        <f ca="1">IFERROR(__xludf.DUMMYFUNCTION("""COMPUTED_VALUE"""),"PA DOCE 1657 LOTEO PUERTASDEL SUR")</f>
        <v>PA DOCE 1657 LOTEO PUERTASDEL SUR</v>
      </c>
      <c r="D5958" s="6" t="str">
        <f ca="1">IFERROR(__xludf.DUMMYFUNCTION("""COMPUTED_VALUE"""),"TALCA")</f>
        <v>TALCA</v>
      </c>
    </row>
    <row r="5959" spans="1:4">
      <c r="A5959" s="7">
        <f ca="1">IFERROR(__xludf.DUMMYFUNCTION("""COMPUTED_VALUE"""),44547)</f>
        <v>44547</v>
      </c>
      <c r="B5959" s="6" t="str">
        <f ca="1">IFERROR(__xludf.DUMMYFUNCTION("""COMPUTED_VALUE"""),"-35.449411, -71.673600")</f>
        <v>-35.449411, -71.673600</v>
      </c>
      <c r="C5959" s="6" t="str">
        <f ca="1">IFERROR(__xludf.DUMMYFUNCTION("""COMPUTED_VALUE"""),"PA UNO PONIENTE B 0591 VILLA PUCARA")</f>
        <v>PA UNO PONIENTE B 0591 VILLA PUCARA</v>
      </c>
      <c r="D5959" s="6" t="str">
        <f ca="1">IFERROR(__xludf.DUMMYFUNCTION("""COMPUTED_VALUE"""),"TALCA")</f>
        <v>TALCA</v>
      </c>
    </row>
    <row r="5960" spans="1:4">
      <c r="A5960" s="7">
        <f ca="1">IFERROR(__xludf.DUMMYFUNCTION("""COMPUTED_VALUE"""),44547)</f>
        <v>44547</v>
      </c>
      <c r="B5960" s="8" t="str">
        <f ca="1">IFERROR(__xludf.DUMMYFUNCTION("""COMPUTED_VALUE"""),"-33.621124,-70.800761")</f>
        <v>-33.621124,-70.800761</v>
      </c>
      <c r="C5960" s="6" t="str">
        <f ca="1">IFERROR(__xludf.DUMMYFUNCTION("""COMPUTED_VALUE"""),"manuel castillo 5")</f>
        <v>manuel castillo 5</v>
      </c>
      <c r="D5960" s="6" t="str">
        <f ca="1">IFERROR(__xludf.DUMMYFUNCTION("""COMPUTED_VALUE"""),"CALERA DE TANGO")</f>
        <v>CALERA DE TANGO</v>
      </c>
    </row>
    <row r="5961" spans="1:4">
      <c r="A5961" s="7">
        <f ca="1">IFERROR(__xludf.DUMMYFUNCTION("""COMPUTED_VALUE"""),44547)</f>
        <v>44547</v>
      </c>
      <c r="B5961" s="8" t="str">
        <f ca="1">IFERROR(__xludf.DUMMYFUNCTION("""COMPUTED_VALUE"""),"-33.292030,-70.873577")</f>
        <v>-33.292030,-70.873577</v>
      </c>
      <c r="C5961" s="6" t="str">
        <f ca="1">IFERROR(__xludf.DUMMYFUNCTION("""COMPUTED_VALUE"""),"EL MARAI 1559")</f>
        <v>EL MARAI 1559</v>
      </c>
      <c r="D5961" s="6" t="str">
        <f ca="1">IFERROR(__xludf.DUMMYFUNCTION("""COMPUTED_VALUE"""),"LAMPA")</f>
        <v>LAMPA</v>
      </c>
    </row>
    <row r="5962" spans="1:4">
      <c r="A5962" s="7">
        <f ca="1">IFERROR(__xludf.DUMMYFUNCTION("""COMPUTED_VALUE"""),44547)</f>
        <v>44547</v>
      </c>
      <c r="B5962" s="8" t="str">
        <f ca="1">IFERROR(__xludf.DUMMYFUNCTION("""COMPUTED_VALUE"""),"-33.655227,-70.912939")</f>
        <v>-33.655227,-70.912939</v>
      </c>
      <c r="C5962" s="6" t="str">
        <f ca="1">IFERROR(__xludf.DUMMYFUNCTION("""COMPUTED_VALUE"""),"PASAJE RIO PALENA 600")</f>
        <v>PASAJE RIO PALENA 600</v>
      </c>
      <c r="D5962" s="6" t="str">
        <f ca="1">IFERROR(__xludf.DUMMYFUNCTION("""COMPUTED_VALUE"""),"TALAGANTE")</f>
        <v>TALAGANTE</v>
      </c>
    </row>
    <row r="5963" spans="1:4">
      <c r="A5963" s="7">
        <f ca="1">IFERROR(__xludf.DUMMYFUNCTION("""COMPUTED_VALUE"""),44547)</f>
        <v>44547</v>
      </c>
      <c r="B5963" s="6" t="str">
        <f ca="1">IFERROR(__xludf.DUMMYFUNCTION("""COMPUTED_VALUE"""),"-33.86384857,-70.38579")</f>
        <v>-33.86384857,-70.38579</v>
      </c>
      <c r="C5963" s="6" t="str">
        <f ca="1">IFERROR(__xludf.DUMMYFUNCTION("""COMPUTED_VALUE"""),"LA VEGA SITIO 18B")</f>
        <v>LA VEGA SITIO 18B</v>
      </c>
      <c r="D5963" s="6" t="str">
        <f ca="1">IFERROR(__xludf.DUMMYFUNCTION("""COMPUTED_VALUE"""),"PAINE")</f>
        <v>PAINE</v>
      </c>
    </row>
    <row r="5964" spans="1:4">
      <c r="A5964" s="7">
        <f ca="1">IFERROR(__xludf.DUMMYFUNCTION("""COMPUTED_VALUE"""),44548)</f>
        <v>44548</v>
      </c>
      <c r="B5964" s="6" t="str">
        <f ca="1">IFERROR(__xludf.DUMMYFUNCTION("""COMPUTED_VALUE"""),"-33.23507-70.69731")</f>
        <v>-33.23507-70.69731</v>
      </c>
      <c r="C5964" s="6" t="str">
        <f ca="1">IFERROR(__xludf.DUMMYFUNCTION("""COMPUTED_VALUE"""),"SAN JUAN 46")</f>
        <v>SAN JUAN 46</v>
      </c>
      <c r="D5964" s="6" t="str">
        <f ca="1">IFERROR(__xludf.DUMMYFUNCTION("""COMPUTED_VALUE"""),"COLINA")</f>
        <v>COLINA</v>
      </c>
    </row>
    <row r="5965" spans="1:4">
      <c r="A5965" s="7">
        <f ca="1">IFERROR(__xludf.DUMMYFUNCTION("""COMPUTED_VALUE"""),44548)</f>
        <v>44548</v>
      </c>
      <c r="B5965" s="6" t="str">
        <f ca="1">IFERROR(__xludf.DUMMYFUNCTION("""COMPUTED_VALUE"""),"-33.23525-70.69713")</f>
        <v>-33.23525-70.69713</v>
      </c>
      <c r="C5965" s="6" t="str">
        <f ca="1">IFERROR(__xludf.DUMMYFUNCTION("""COMPUTED_VALUE"""),"SAN ISIDRO 37")</f>
        <v>SAN ISIDRO 37</v>
      </c>
      <c r="D5965" s="6" t="str">
        <f ca="1">IFERROR(__xludf.DUMMYFUNCTION("""COMPUTED_VALUE"""),"COLINA")</f>
        <v>COLINA</v>
      </c>
    </row>
    <row r="5966" spans="1:4">
      <c r="A5966" s="7">
        <f ca="1">IFERROR(__xludf.DUMMYFUNCTION("""COMPUTED_VALUE"""),44548)</f>
        <v>44548</v>
      </c>
      <c r="B5966" s="6" t="str">
        <f ca="1">IFERROR(__xludf.DUMMYFUNCTION("""COMPUTED_VALUE"""),"-33.23525-70.69713")</f>
        <v>-33.23525-70.69713</v>
      </c>
      <c r="C5966" s="6" t="str">
        <f ca="1">IFERROR(__xludf.DUMMYFUNCTION("""COMPUTED_VALUE"""),"SAN ISIDRO 37")</f>
        <v>SAN ISIDRO 37</v>
      </c>
      <c r="D5966" s="6" t="str">
        <f ca="1">IFERROR(__xludf.DUMMYFUNCTION("""COMPUTED_VALUE"""),"COLINA")</f>
        <v>COLINA</v>
      </c>
    </row>
    <row r="5967" spans="1:4">
      <c r="A5967" s="7">
        <f ca="1">IFERROR(__xludf.DUMMYFUNCTION("""COMPUTED_VALUE"""),44548)</f>
        <v>44548</v>
      </c>
      <c r="B5967" s="6" t="str">
        <f ca="1">IFERROR(__xludf.DUMMYFUNCTION("""COMPUTED_VALUE"""),"-33.23358-70.69368")</f>
        <v>-33.23358-70.69368</v>
      </c>
      <c r="C5967" s="6" t="str">
        <f ca="1">IFERROR(__xludf.DUMMYFUNCTION("""COMPUTED_VALUE"""),"GENERAL SAN MARTIN P-27")</f>
        <v>GENERAL SAN MARTIN P-27</v>
      </c>
      <c r="D5967" s="6" t="str">
        <f ca="1">IFERROR(__xludf.DUMMYFUNCTION("""COMPUTED_VALUE"""),"COLINA")</f>
        <v>COLINA</v>
      </c>
    </row>
    <row r="5968" spans="1:4">
      <c r="A5968" s="7">
        <f ca="1">IFERROR(__xludf.DUMMYFUNCTION("""COMPUTED_VALUE"""),44548)</f>
        <v>44548</v>
      </c>
      <c r="B5968" s="6" t="str">
        <f ca="1">IFERROR(__xludf.DUMMYFUNCTION("""COMPUTED_VALUE"""),"-33.23446-70.69468")</f>
        <v>-33.23446-70.69468</v>
      </c>
      <c r="C5968" s="6" t="str">
        <f ca="1">IFERROR(__xludf.DUMMYFUNCTION("""COMPUTED_VALUE"""),"GENERAL SAN MARTIN P-27")</f>
        <v>GENERAL SAN MARTIN P-27</v>
      </c>
      <c r="D5968" s="6" t="str">
        <f ca="1">IFERROR(__xludf.DUMMYFUNCTION("""COMPUTED_VALUE"""),"COLINA")</f>
        <v>COLINA</v>
      </c>
    </row>
    <row r="5969" spans="1:4">
      <c r="A5969" s="7">
        <f ca="1">IFERROR(__xludf.DUMMYFUNCTION("""COMPUTED_VALUE"""),44548)</f>
        <v>44548</v>
      </c>
      <c r="B5969" s="6" t="str">
        <f ca="1">IFERROR(__xludf.DUMMYFUNCTION("""COMPUTED_VALUE"""),"-33.6634853-70.3503497")</f>
        <v>-33.6634853-70.3503497</v>
      </c>
      <c r="C5969" s="6" t="str">
        <f ca="1">IFERROR(__xludf.DUMMYFUNCTION("""COMPUTED_VALUE"""),"SAN JOSE ALTO S/N")</f>
        <v>SAN JOSE ALTO S/N</v>
      </c>
      <c r="D5969" s="6" t="str">
        <f ca="1">IFERROR(__xludf.DUMMYFUNCTION("""COMPUTED_VALUE"""),"SAN JOSE DE MAIPO")</f>
        <v>SAN JOSE DE MAIPO</v>
      </c>
    </row>
    <row r="5970" spans="1:4">
      <c r="A5970" s="7">
        <f ca="1">IFERROR(__xludf.DUMMYFUNCTION("""COMPUTED_VALUE"""),44548)</f>
        <v>44548</v>
      </c>
      <c r="B5970" s="6" t="str">
        <f ca="1">IFERROR(__xludf.DUMMYFUNCTION("""COMPUTED_VALUE"""),"-33.589493-70.4706565")</f>
        <v>-33.589493-70.4706565</v>
      </c>
      <c r="C5970" s="6" t="str">
        <f ca="1">IFERROR(__xludf.DUMMYFUNCTION("""COMPUTED_VALUE"""),"LOS RETAMOS 0279")</f>
        <v>LOS RETAMOS 0279</v>
      </c>
      <c r="D5970" s="6" t="str">
        <f ca="1">IFERROR(__xludf.DUMMYFUNCTION("""COMPUTED_VALUE"""),"SAN JOSE DE MAIPO")</f>
        <v>SAN JOSE DE MAIPO</v>
      </c>
    </row>
    <row r="5971" spans="1:4">
      <c r="A5971" s="7">
        <f ca="1">IFERROR(__xludf.DUMMYFUNCTION("""COMPUTED_VALUE"""),44548)</f>
        <v>44548</v>
      </c>
      <c r="B5971" s="6" t="str">
        <f ca="1">IFERROR(__xludf.DUMMYFUNCTION("""COMPUTED_VALUE"""),"-33.421050-71.138195")</f>
        <v>-33.421050-71.138195</v>
      </c>
      <c r="C5971" s="6" t="str">
        <f ca="1">IFERROR(__xludf.DUMMYFUNCTION("""COMPUTED_VALUE"""),"LOS AGUILA PARC 23")</f>
        <v>LOS AGUILA PARC 23</v>
      </c>
      <c r="D5971" s="6" t="str">
        <f ca="1">IFERROR(__xludf.DUMMYFUNCTION("""COMPUTED_VALUE"""),"CURACAVI")</f>
        <v>CURACAVI</v>
      </c>
    </row>
    <row r="5972" spans="1:4">
      <c r="A5972" s="7">
        <f ca="1">IFERROR(__xludf.DUMMYFUNCTION("""COMPUTED_VALUE"""),44548)</f>
        <v>44548</v>
      </c>
      <c r="B5972" s="6" t="str">
        <f ca="1">IFERROR(__xludf.DUMMYFUNCTION("""COMPUTED_VALUE"""),"-33.409076-71.149345")</f>
        <v>-33.409076-71.149345</v>
      </c>
      <c r="C5972" s="6" t="str">
        <f ca="1">IFERROR(__xludf.DUMMYFUNCTION("""COMPUTED_VALUE"""),"PJE DOS  1581")</f>
        <v>PJE DOS  1581</v>
      </c>
      <c r="D5972" s="6" t="str">
        <f ca="1">IFERROR(__xludf.DUMMYFUNCTION("""COMPUTED_VALUE"""),"CURACAVI")</f>
        <v>CURACAVI</v>
      </c>
    </row>
    <row r="5973" spans="1:4">
      <c r="A5973" s="7">
        <f ca="1">IFERROR(__xludf.DUMMYFUNCTION("""COMPUTED_VALUE"""),44548)</f>
        <v>44548</v>
      </c>
      <c r="B5973" s="6" t="str">
        <f ca="1">IFERROR(__xludf.DUMMYFUNCTION("""COMPUTED_VALUE"""),"-33.821449,-70.741956")</f>
        <v>-33.821449,-70.741956</v>
      </c>
      <c r="C5973" s="6" t="str">
        <f ca="1">IFERROR(__xludf.DUMMYFUNCTION("""COMPUTED_VALUE"""),"ARRECIFE 1635")</f>
        <v>ARRECIFE 1635</v>
      </c>
      <c r="D5973" s="6" t="str">
        <f ca="1">IFERROR(__xludf.DUMMYFUNCTION("""COMPUTED_VALUE"""),"PAINE")</f>
        <v>PAINE</v>
      </c>
    </row>
    <row r="5974" spans="1:4">
      <c r="A5974" s="7">
        <f ca="1">IFERROR(__xludf.DUMMYFUNCTION("""COMPUTED_VALUE"""),44548)</f>
        <v>44548</v>
      </c>
      <c r="B5974" s="6" t="str">
        <f ca="1">IFERROR(__xludf.DUMMYFUNCTION("""COMPUTED_VALUE"""),"-33.820460,-70.742498")</f>
        <v>-33.820460,-70.742498</v>
      </c>
      <c r="C5974" s="6" t="str">
        <f ca="1">IFERROR(__xludf.DUMMYFUNCTION("""COMPUTED_VALUE"""),"ALONSO DE MONROY 159")</f>
        <v>ALONSO DE MONROY 159</v>
      </c>
      <c r="D5974" s="6" t="str">
        <f ca="1">IFERROR(__xludf.DUMMYFUNCTION("""COMPUTED_VALUE"""),"PAINE")</f>
        <v>PAINE</v>
      </c>
    </row>
    <row r="5975" spans="1:4">
      <c r="A5975" s="7">
        <f ca="1">IFERROR(__xludf.DUMMYFUNCTION("""COMPUTED_VALUE"""),44548)</f>
        <v>44548</v>
      </c>
      <c r="B5975" s="6" t="str">
        <f ca="1">IFERROR(__xludf.DUMMYFUNCTION("""COMPUTED_VALUE"""),"-33.721855,-70.555389")</f>
        <v>-33.721855,-70.555389</v>
      </c>
      <c r="C5975" s="6" t="str">
        <f ca="1">IFERROR(__xludf.DUMMYFUNCTION("""COMPUTED_VALUE"""),"PRINCIPAL 119 LOTE F")</f>
        <v>PRINCIPAL 119 LOTE F</v>
      </c>
      <c r="D5975" s="6" t="str">
        <f ca="1">IFERROR(__xludf.DUMMYFUNCTION("""COMPUTED_VALUE"""),"PIRQUE")</f>
        <v>PIRQUE</v>
      </c>
    </row>
    <row r="5976" spans="1:4">
      <c r="A5976" s="7">
        <f ca="1">IFERROR(__xludf.DUMMYFUNCTION("""COMPUTED_VALUE"""),44548)</f>
        <v>44548</v>
      </c>
      <c r="B5976" s="8" t="str">
        <f ca="1">IFERROR(__xludf.DUMMYFUNCTION("""COMPUTED_VALUE"""),"-33.690763,-71.075422")</f>
        <v>-33.690763,-71.075422</v>
      </c>
      <c r="C5976" s="6" t="str">
        <f ca="1">IFERROR(__xludf.DUMMYFUNCTION("""COMPUTED_VALUE"""),"AV.LOS LIBERTADORES 4180")</f>
        <v>AV.LOS LIBERTADORES 4180</v>
      </c>
      <c r="D5976" s="6" t="str">
        <f ca="1">IFERROR(__xludf.DUMMYFUNCTION("""COMPUTED_VALUE"""),"EL MONTE")</f>
        <v>EL MONTE</v>
      </c>
    </row>
    <row r="5977" spans="1:4">
      <c r="A5977" s="7">
        <f ca="1">IFERROR(__xludf.DUMMYFUNCTION("""COMPUTED_VALUE"""),44548)</f>
        <v>44548</v>
      </c>
      <c r="B5977" s="6" t="str">
        <f ca="1">IFERROR(__xludf.DUMMYFUNCTION("""COMPUTED_VALUE"""),"-33.821107,-70.742136")</f>
        <v>-33.821107,-70.742136</v>
      </c>
      <c r="C5977" s="6" t="str">
        <f ca="1">IFERROR(__xludf.DUMMYFUNCTION("""COMPUTED_VALUE"""),"MARTIN ALONSO PINZON 1616")</f>
        <v>MARTIN ALONSO PINZON 1616</v>
      </c>
      <c r="D5977" s="6" t="str">
        <f ca="1">IFERROR(__xludf.DUMMYFUNCTION("""COMPUTED_VALUE"""),"PAINE")</f>
        <v>PAINE</v>
      </c>
    </row>
    <row r="5978" spans="1:4">
      <c r="A5978" s="7">
        <f ca="1">IFERROR(__xludf.DUMMYFUNCTION("""COMPUTED_VALUE"""),44548)</f>
        <v>44548</v>
      </c>
      <c r="B5978" s="6" t="str">
        <f ca="1">IFERROR(__xludf.DUMMYFUNCTION("""COMPUTED_VALUE"""),"-33.537903,-70.826761")</f>
        <v>-33.537903,-70.826761</v>
      </c>
      <c r="C5978" s="6" t="str">
        <f ca="1">IFERROR(__xludf.DUMMYFUNCTION("""COMPUTED_VALUE"""),"SIN CALLE SIT 20")</f>
        <v>SIN CALLE SIT 20</v>
      </c>
      <c r="D5978" s="6" t="str">
        <f ca="1">IFERROR(__xludf.DUMMYFUNCTION("""COMPUTED_VALUE"""),"PADRE HURTADO")</f>
        <v>PADRE HURTADO</v>
      </c>
    </row>
    <row r="5979" spans="1:4">
      <c r="A5979" s="7">
        <f ca="1">IFERROR(__xludf.DUMMYFUNCTION("""COMPUTED_VALUE"""),44548)</f>
        <v>44548</v>
      </c>
      <c r="B5979" s="8" t="str">
        <f ca="1">IFERROR(__xludf.DUMMYFUNCTION("""COMPUTED_VALUE"""),"-33.834704,-70.646850")</f>
        <v>-33.834704,-70.646850</v>
      </c>
      <c r="C5979" s="6" t="str">
        <f ca="1">IFERROR(__xludf.DUMMYFUNCTION("""COMPUTED_VALUE"""),"JAIME ATRIA  7000")</f>
        <v>JAIME ATRIA  7000</v>
      </c>
      <c r="D5979" s="6" t="str">
        <f ca="1">IFERROR(__xludf.DUMMYFUNCTION("""COMPUTED_VALUE"""),"PAINE")</f>
        <v>PAINE</v>
      </c>
    </row>
    <row r="5980" spans="1:4">
      <c r="A5980" s="7">
        <f ca="1">IFERROR(__xludf.DUMMYFUNCTION("""COMPUTED_VALUE"""),44548)</f>
        <v>44548</v>
      </c>
      <c r="B5980" s="8" t="str">
        <f ca="1">IFERROR(__xludf.DUMMYFUNCTION("""COMPUTED_VALUE"""),"-33.804743,-70.852234")</f>
        <v>-33.804743,-70.852234</v>
      </c>
      <c r="C5980" s="6" t="str">
        <f ca="1">IFERROR(__xludf.DUMMYFUNCTION("""COMPUTED_VALUE"""),"LAS LILAS 45")</f>
        <v>LAS LILAS 45</v>
      </c>
      <c r="D5980" s="6" t="str">
        <f ca="1">IFERROR(__xludf.DUMMYFUNCTION("""COMPUTED_VALUE"""),"BUIN")</f>
        <v>BUIN</v>
      </c>
    </row>
    <row r="5981" spans="1:4">
      <c r="A5981" s="7">
        <f ca="1">IFERROR(__xludf.DUMMYFUNCTION("""COMPUTED_VALUE"""),44548)</f>
        <v>44548</v>
      </c>
      <c r="B5981" s="8" t="str">
        <f ca="1">IFERROR(__xludf.DUMMYFUNCTION("""COMPUTED_VALUE"""),"-33.733056,-70.682377")</f>
        <v>-33.733056,-70.682377</v>
      </c>
      <c r="C5981" s="6" t="str">
        <f ca="1">IFERROR(__xludf.DUMMYFUNCTION("""COMPUTED_VALUE"""),"CALLE MARTA RAMOS 323")</f>
        <v>CALLE MARTA RAMOS 323</v>
      </c>
      <c r="D5981" s="6" t="str">
        <f ca="1">IFERROR(__xludf.DUMMYFUNCTION("""COMPUTED_VALUE"""),"BUIN")</f>
        <v>BUIN</v>
      </c>
    </row>
    <row r="5982" spans="1:4">
      <c r="A5982" s="7">
        <f ca="1">IFERROR(__xludf.DUMMYFUNCTION("""COMPUTED_VALUE"""),44548)</f>
        <v>44548</v>
      </c>
      <c r="B5982" s="6" t="str">
        <f ca="1">IFERROR(__xludf.DUMMYFUNCTION("""COMPUTED_VALUE"""),"-33.8618001,-70.7502684")</f>
        <v>-33.8618001,-70.7502684</v>
      </c>
      <c r="C5982" s="6" t="str">
        <f ca="1">IFERROR(__xludf.DUMMYFUNCTION("""COMPUTED_VALUE"""),"LAS ACACIAS 92")</f>
        <v>LAS ACACIAS 92</v>
      </c>
      <c r="D5982" s="6" t="str">
        <f ca="1">IFERROR(__xludf.DUMMYFUNCTION("""COMPUTED_VALUE"""),"PAINE")</f>
        <v>PAINE</v>
      </c>
    </row>
    <row r="5983" spans="1:4">
      <c r="A5983" s="7">
        <f ca="1">IFERROR(__xludf.DUMMYFUNCTION("""COMPUTED_VALUE"""),44548)</f>
        <v>44548</v>
      </c>
      <c r="B5983" s="6" t="str">
        <f ca="1">IFERROR(__xludf.DUMMYFUNCTION("""COMPUTED_VALUE"""),"-33.8662946,-70.7506137")</f>
        <v>-33.8662946,-70.7506137</v>
      </c>
      <c r="C5983" s="6" t="str">
        <f ca="1">IFERROR(__xludf.DUMMYFUNCTION("""COMPUTED_VALUE"""),"LOS PALTOS PARCELA 5")</f>
        <v>LOS PALTOS PARCELA 5</v>
      </c>
      <c r="D5983" s="6" t="str">
        <f ca="1">IFERROR(__xludf.DUMMYFUNCTION("""COMPUTED_VALUE"""),"PAINE")</f>
        <v>PAINE</v>
      </c>
    </row>
    <row r="5984" spans="1:4">
      <c r="A5984" s="7">
        <f ca="1">IFERROR(__xludf.DUMMYFUNCTION("""COMPUTED_VALUE"""),44548)</f>
        <v>44548</v>
      </c>
      <c r="B5984" s="6" t="str">
        <f ca="1">IFERROR(__xludf.DUMMYFUNCTION("""COMPUTED_VALUE"""),"-33.8639792,-70.7503606")</f>
        <v>-33.8639792,-70.7503606</v>
      </c>
      <c r="C5984" s="6" t="str">
        <f ca="1">IFERROR(__xludf.DUMMYFUNCTION("""COMPUTED_VALUE"""),"LAS ACACIAS 1190")</f>
        <v>LAS ACACIAS 1190</v>
      </c>
      <c r="D5984" s="6" t="str">
        <f ca="1">IFERROR(__xludf.DUMMYFUNCTION("""COMPUTED_VALUE"""),"PAINE")</f>
        <v>PAINE</v>
      </c>
    </row>
    <row r="5985" spans="1:4">
      <c r="A5985" s="7">
        <f ca="1">IFERROR(__xludf.DUMMYFUNCTION("""COMPUTED_VALUE"""),44548)</f>
        <v>44548</v>
      </c>
      <c r="B5985" s="6" t="str">
        <f ca="1">IFERROR(__xludf.DUMMYFUNCTION("""COMPUTED_VALUE"""),"-33.7356317,-70.7595793")</f>
        <v>-33.7356317,-70.7595793</v>
      </c>
      <c r="C5985" s="6" t="str">
        <f ca="1">IFERROR(__xludf.DUMMYFUNCTION("""COMPUTED_VALUE"""),"KAMEL HAVACH 133")</f>
        <v>KAMEL HAVACH 133</v>
      </c>
      <c r="D5985" s="6" t="str">
        <f ca="1">IFERROR(__xludf.DUMMYFUNCTION("""COMPUTED_VALUE"""),"BUIN")</f>
        <v>BUIN</v>
      </c>
    </row>
    <row r="5986" spans="1:4">
      <c r="A5986" s="7">
        <f ca="1">IFERROR(__xludf.DUMMYFUNCTION("""COMPUTED_VALUE"""),44549)</f>
        <v>44549</v>
      </c>
      <c r="B5986" s="6" t="str">
        <f ca="1">IFERROR(__xludf.DUMMYFUNCTION("""COMPUTED_VALUE"""),"-33.8357931,-70.6424167")</f>
        <v>-33.8357931,-70.6424167</v>
      </c>
      <c r="C5986" s="6" t="str">
        <f ca="1">IFERROR(__xludf.DUMMYFUNCTION("""COMPUTED_VALUE"""),"STA. TERESA  48")</f>
        <v>STA. TERESA  48</v>
      </c>
      <c r="D5986" s="6" t="str">
        <f ca="1">IFERROR(__xludf.DUMMYFUNCTION("""COMPUTED_VALUE"""),"PAINE")</f>
        <v>PAINE</v>
      </c>
    </row>
    <row r="5987" spans="1:4">
      <c r="A5987" s="7">
        <f ca="1">IFERROR(__xludf.DUMMYFUNCTION("""COMPUTED_VALUE"""),44550)</f>
        <v>44550</v>
      </c>
      <c r="B5987" s="6" t="str">
        <f ca="1">IFERROR(__xludf.DUMMYFUNCTION("""COMPUTED_VALUE"""),"-33.5849532-70.4017945")</f>
        <v>-33.5849532-70.4017945</v>
      </c>
      <c r="C5987" s="6" t="str">
        <f ca="1">IFERROR(__xludf.DUMMYFUNCTION("""COMPUTED_VALUE"""),"CAMINO INTERIOR PARTICULAR 060")</f>
        <v>CAMINO INTERIOR PARTICULAR 060</v>
      </c>
      <c r="D5987" s="6" t="str">
        <f ca="1">IFERROR(__xludf.DUMMYFUNCTION("""COMPUTED_VALUE"""),"SAN JOSE DE MAIPO")</f>
        <v>SAN JOSE DE MAIPO</v>
      </c>
    </row>
    <row r="5988" spans="1:4">
      <c r="A5988" s="7">
        <f ca="1">IFERROR(__xludf.DUMMYFUNCTION("""COMPUTED_VALUE"""),44550)</f>
        <v>44550</v>
      </c>
      <c r="B5988" s="6" t="str">
        <f ca="1">IFERROR(__xludf.DUMMYFUNCTION("""COMPUTED_VALUE"""),"-33.5849532-70.4017945")</f>
        <v>-33.5849532-70.4017945</v>
      </c>
      <c r="C5988" s="6" t="str">
        <f ca="1">IFERROR(__xludf.DUMMYFUNCTION("""COMPUTED_VALUE"""),"CAMINO INTERIOR PARTICULAR 060")</f>
        <v>CAMINO INTERIOR PARTICULAR 060</v>
      </c>
      <c r="D5988" s="6" t="str">
        <f ca="1">IFERROR(__xludf.DUMMYFUNCTION("""COMPUTED_VALUE"""),"SAN JOSE DE MAIPO")</f>
        <v>SAN JOSE DE MAIPO</v>
      </c>
    </row>
    <row r="5989" spans="1:4">
      <c r="A5989" s="7">
        <f ca="1">IFERROR(__xludf.DUMMYFUNCTION("""COMPUTED_VALUE"""),44550)</f>
        <v>44550</v>
      </c>
      <c r="B5989" s="6" t="str">
        <f ca="1">IFERROR(__xludf.DUMMYFUNCTION("""COMPUTED_VALUE"""),"-33.612987-70.894976")</f>
        <v>-33.612987-70.894976</v>
      </c>
      <c r="C5989" s="6" t="str">
        <f ca="1">IFERROR(__xludf.DUMMYFUNCTION("""COMPUTED_VALUE"""),"FRANCISCO HIDALGO 133")</f>
        <v>FRANCISCO HIDALGO 133</v>
      </c>
      <c r="D5989" s="6" t="str">
        <f ca="1">IFERROR(__xludf.DUMMYFUNCTION("""COMPUTED_VALUE"""),"PEÑAFLOR")</f>
        <v>PEÑAFLOR</v>
      </c>
    </row>
    <row r="5990" spans="1:4">
      <c r="A5990" s="7">
        <f ca="1">IFERROR(__xludf.DUMMYFUNCTION("""COMPUTED_VALUE"""),44550)</f>
        <v>44550</v>
      </c>
      <c r="B5990" s="6" t="str">
        <f ca="1">IFERROR(__xludf.DUMMYFUNCTION("""COMPUTED_VALUE"""),"-33.595849-70.852401")</f>
        <v>-33.595849-70.852401</v>
      </c>
      <c r="C5990" s="6" t="str">
        <f ca="1">IFERROR(__xludf.DUMMYFUNCTION("""COMPUTED_VALUE"""),"PARROCO LOBOS 2550")</f>
        <v>PARROCO LOBOS 2550</v>
      </c>
      <c r="D5990" s="6" t="str">
        <f ca="1">IFERROR(__xludf.DUMMYFUNCTION("""COMPUTED_VALUE"""),"PEÑAFLOR")</f>
        <v>PEÑAFLOR</v>
      </c>
    </row>
    <row r="5991" spans="1:4">
      <c r="A5991" s="7">
        <f ca="1">IFERROR(__xludf.DUMMYFUNCTION("""COMPUTED_VALUE"""),44550)</f>
        <v>44550</v>
      </c>
      <c r="B5991" s="6" t="str">
        <f ca="1">IFERROR(__xludf.DUMMYFUNCTION("""COMPUTED_VALUE"""),"-33.33875-70.81658")</f>
        <v>-33.33875-70.81658</v>
      </c>
      <c r="C5991" s="6" t="str">
        <f ca="1">IFERROR(__xludf.DUMMYFUNCTION("""COMPUTED_VALUE"""),"CAMINO INTERIOR LOTE 22")</f>
        <v>CAMINO INTERIOR LOTE 22</v>
      </c>
      <c r="D5991" s="6" t="str">
        <f ca="1">IFERROR(__xludf.DUMMYFUNCTION("""COMPUTED_VALUE"""),"LAMPA")</f>
        <v>LAMPA</v>
      </c>
    </row>
    <row r="5992" spans="1:4">
      <c r="A5992" s="7">
        <f ca="1">IFERROR(__xludf.DUMMYFUNCTION("""COMPUTED_VALUE"""),44550)</f>
        <v>44550</v>
      </c>
      <c r="B5992" s="6" t="str">
        <f ca="1">IFERROR(__xludf.DUMMYFUNCTION("""COMPUTED_VALUE"""),"-33.818755,-70.742434")</f>
        <v>-33.818755,-70.742434</v>
      </c>
      <c r="C5992" s="6" t="str">
        <f ca="1">IFERROR(__xludf.DUMMYFUNCTION("""COMPUTED_VALUE"""),"DIEGO DE ALMAGRO 131")</f>
        <v>DIEGO DE ALMAGRO 131</v>
      </c>
      <c r="D5992" s="6" t="str">
        <f ca="1">IFERROR(__xludf.DUMMYFUNCTION("""COMPUTED_VALUE"""),"PAINE")</f>
        <v>PAINE</v>
      </c>
    </row>
    <row r="5993" spans="1:4">
      <c r="A5993" s="7">
        <f ca="1">IFERROR(__xludf.DUMMYFUNCTION("""COMPUTED_VALUE"""),44550)</f>
        <v>44550</v>
      </c>
      <c r="B5993" s="6" t="str">
        <f ca="1">IFERROR(__xludf.DUMMYFUNCTION("""COMPUTED_VALUE"""),"-33.818689,-70.742303")</f>
        <v>-33.818689,-70.742303</v>
      </c>
      <c r="C5993" s="6" t="str">
        <f ca="1">IFERROR(__xludf.DUMMYFUNCTION("""COMPUTED_VALUE"""),"DIEGO DE ALMAGRO 134")</f>
        <v>DIEGO DE ALMAGRO 134</v>
      </c>
      <c r="D5993" s="6" t="str">
        <f ca="1">IFERROR(__xludf.DUMMYFUNCTION("""COMPUTED_VALUE"""),"PAINE")</f>
        <v>PAINE</v>
      </c>
    </row>
    <row r="5994" spans="1:4">
      <c r="A5994" s="7">
        <f ca="1">IFERROR(__xludf.DUMMYFUNCTION("""COMPUTED_VALUE"""),44550)</f>
        <v>44550</v>
      </c>
      <c r="B5994" s="6" t="str">
        <f ca="1">IFERROR(__xludf.DUMMYFUNCTION("""COMPUTED_VALUE"""),"-33.41577,-70.33465w")</f>
        <v>-33.41577,-70.33465w</v>
      </c>
      <c r="C5994" s="6" t="str">
        <f ca="1">IFERROR(__xludf.DUMMYFUNCTION("""COMPUTED_VALUE"""),"PRINCIPAL LOTE-C")</f>
        <v>PRINCIPAL LOTE-C</v>
      </c>
      <c r="D5994" s="6" t="str">
        <f ca="1">IFERROR(__xludf.DUMMYFUNCTION("""COMPUTED_VALUE"""),"PIRQUE")</f>
        <v>PIRQUE</v>
      </c>
    </row>
    <row r="5995" spans="1:4">
      <c r="A5995" s="7">
        <f ca="1">IFERROR(__xludf.DUMMYFUNCTION("""COMPUTED_VALUE"""),44550)</f>
        <v>44550</v>
      </c>
      <c r="B5995" s="6" t="str">
        <f ca="1">IFERROR(__xludf.DUMMYFUNCTION("""COMPUTED_VALUE"""),"-33.44019,-70.34128w")</f>
        <v>-33.44019,-70.34128w</v>
      </c>
      <c r="C5995" s="6" t="str">
        <f ca="1">IFERROR(__xludf.DUMMYFUNCTION("""COMPUTED_VALUE"""),"PRINCIPAL 1185")</f>
        <v>PRINCIPAL 1185</v>
      </c>
      <c r="D5995" s="6" t="str">
        <f ca="1">IFERROR(__xludf.DUMMYFUNCTION("""COMPUTED_VALUE"""),"PIRQUE")</f>
        <v>PIRQUE</v>
      </c>
    </row>
    <row r="5996" spans="1:4">
      <c r="A5996" s="7">
        <f ca="1">IFERROR(__xludf.DUMMYFUNCTION("""COMPUTED_VALUE"""),44550)</f>
        <v>44550</v>
      </c>
      <c r="B5996" s="8" t="str">
        <f ca="1">IFERROR(__xludf.DUMMYFUNCTION("""COMPUTED_VALUE"""),"-33.8276435,-70.4856923")</f>
        <v>-33.8276435,-70.4856923</v>
      </c>
      <c r="C5996" s="6" t="str">
        <f ca="1">IFERROR(__xludf.DUMMYFUNCTION("""COMPUTED_VALUE"""),"LOTE 11 A12 RANGE")</f>
        <v>LOTE 11 A12 RANGE</v>
      </c>
      <c r="D5996" s="6" t="str">
        <f ca="1">IFERROR(__xludf.DUMMYFUNCTION("""COMPUTED_VALUE"""),"PAINE")</f>
        <v>PAINE</v>
      </c>
    </row>
    <row r="5997" spans="1:4">
      <c r="A5997" s="7">
        <f ca="1">IFERROR(__xludf.DUMMYFUNCTION("""COMPUTED_VALUE"""),44550)</f>
        <v>44550</v>
      </c>
      <c r="B5997" s="6" t="str">
        <f ca="1">IFERROR(__xludf.DUMMYFUNCTION("""COMPUTED_VALUE"""),"-33.815392,-70.739157")</f>
        <v>-33.815392,-70.739157</v>
      </c>
      <c r="C5997" s="6" t="str">
        <f ca="1">IFERROR(__xludf.DUMMYFUNCTION("""COMPUTED_VALUE"""),"CORINTO 286")</f>
        <v>CORINTO 286</v>
      </c>
      <c r="D5997" s="6" t="str">
        <f ca="1">IFERROR(__xludf.DUMMYFUNCTION("""COMPUTED_VALUE"""),"PAINE")</f>
        <v>PAINE</v>
      </c>
    </row>
    <row r="5998" spans="1:4">
      <c r="A5998" s="7">
        <f ca="1">IFERROR(__xludf.DUMMYFUNCTION("""COMPUTED_VALUE"""),44550)</f>
        <v>44550</v>
      </c>
      <c r="B5998" s="6" t="str">
        <f ca="1">IFERROR(__xludf.DUMMYFUNCTION("""COMPUTED_VALUE"""),"-33.761713,-70.910523")</f>
        <v>-33.761713,-70.910523</v>
      </c>
      <c r="C5998" s="6" t="str">
        <f ca="1">IFERROR(__xludf.DUMMYFUNCTION("""COMPUTED_VALUE"""),"ALVAREZ 393")</f>
        <v>ALVAREZ 393</v>
      </c>
      <c r="D5998" s="6" t="str">
        <f ca="1">IFERROR(__xludf.DUMMYFUNCTION("""COMPUTED_VALUE"""),"ISLA DE MAIPO")</f>
        <v>ISLA DE MAIPO</v>
      </c>
    </row>
    <row r="5999" spans="1:4">
      <c r="A5999" s="7">
        <f ca="1">IFERROR(__xludf.DUMMYFUNCTION("""COMPUTED_VALUE"""),44550)</f>
        <v>44550</v>
      </c>
      <c r="B5999" s="6" t="str">
        <f ca="1">IFERROR(__xludf.DUMMYFUNCTION("""COMPUTED_VALUE"""),"-33.848299,-71.183315")</f>
        <v>-33.848299,-71.183315</v>
      </c>
      <c r="C5999" s="6" t="str">
        <f ca="1">IFERROR(__xludf.DUMMYFUNCTION("""COMPUTED_VALUE"""),"SECTOR TANTEHUE 4034-10 LOTE 10")</f>
        <v>SECTOR TANTEHUE 4034-10 LOTE 10</v>
      </c>
      <c r="D5999" s="6" t="str">
        <f ca="1">IFERROR(__xludf.DUMMYFUNCTION("""COMPUTED_VALUE"""),"MELIPILLA")</f>
        <v>MELIPILLA</v>
      </c>
    </row>
    <row r="6000" spans="1:4">
      <c r="A6000" s="7">
        <f ca="1">IFERROR(__xludf.DUMMYFUNCTION("""COMPUTED_VALUE"""),44550)</f>
        <v>44550</v>
      </c>
      <c r="B6000" s="6" t="str">
        <f ca="1">IFERROR(__xludf.DUMMYFUNCTION("""COMPUTED_VALUE"""),"-35.435457,-71.661417")</f>
        <v>-35.435457,-71.661417</v>
      </c>
      <c r="C6000" s="6" t="str">
        <f ca="1">IFERROR(__xludf.DUMMYFUNCTION("""COMPUTED_VALUE"""),"COLOMBIA 451 M COSTANERA")</f>
        <v>COLOMBIA 451 M COSTANERA</v>
      </c>
      <c r="D6000" s="6" t="str">
        <f ca="1">IFERROR(__xludf.DUMMYFUNCTION("""COMPUTED_VALUE"""),"TALCA")</f>
        <v>TALCA</v>
      </c>
    </row>
    <row r="6001" spans="1:4">
      <c r="A6001" s="7">
        <f ca="1">IFERROR(__xludf.DUMMYFUNCTION("""COMPUTED_VALUE"""),44550)</f>
        <v>44550</v>
      </c>
      <c r="B6001" s="6" t="str">
        <f ca="1">IFERROR(__xludf.DUMMYFUNCTION("""COMPUTED_VALUE"""),"-35.450905,-71.674291")</f>
        <v>-35.450905,-71.674291</v>
      </c>
      <c r="C6001" s="6" t="str">
        <f ca="1">IFERROR(__xludf.DUMMYFUNCTION("""COMPUTED_VALUE"""),"PASAJE 1 PONIENTE A 991")</f>
        <v>PASAJE 1 PONIENTE A 991</v>
      </c>
      <c r="D6001" s="6" t="str">
        <f ca="1">IFERROR(__xludf.DUMMYFUNCTION("""COMPUTED_VALUE"""),"TALCA")</f>
        <v>TALCA</v>
      </c>
    </row>
    <row r="6002" spans="1:4">
      <c r="A6002" s="7">
        <f ca="1">IFERROR(__xludf.DUMMYFUNCTION("""COMPUTED_VALUE"""),44550)</f>
        <v>44550</v>
      </c>
      <c r="B6002" s="6" t="str">
        <f ca="1">IFERROR(__xludf.DUMMYFUNCTION("""COMPUTED_VALUE"""),"-35.451526,-71.674567")</f>
        <v>-35.451526,-71.674567</v>
      </c>
      <c r="C6002" s="6" t="str">
        <f ca="1">IFERROR(__xludf.DUMMYFUNCTION("""COMPUTED_VALUE"""),"PASAJE 1 PONIENTE 1381")</f>
        <v>PASAJE 1 PONIENTE 1381</v>
      </c>
      <c r="D6002" s="6" t="str">
        <f ca="1">IFERROR(__xludf.DUMMYFUNCTION("""COMPUTED_VALUE"""),"TALCA")</f>
        <v>TALCA</v>
      </c>
    </row>
    <row r="6003" spans="1:4">
      <c r="A6003" s="7">
        <f ca="1">IFERROR(__xludf.DUMMYFUNCTION("""COMPUTED_VALUE"""),44550)</f>
        <v>44550</v>
      </c>
      <c r="B6003" s="6" t="str">
        <f ca="1">IFERROR(__xludf.DUMMYFUNCTION("""COMPUTED_VALUE"""),"-35.451207,-71.674611")</f>
        <v>-35.451207,-71.674611</v>
      </c>
      <c r="C6003" s="6" t="str">
        <f ca="1">IFERROR(__xludf.DUMMYFUNCTION("""COMPUTED_VALUE"""),"PASAJE 1 PONIENTE B 1240")</f>
        <v>PASAJE 1 PONIENTE B 1240</v>
      </c>
      <c r="D6003" s="6" t="str">
        <f ca="1">IFERROR(__xludf.DUMMYFUNCTION("""COMPUTED_VALUE"""),"TALCA")</f>
        <v>TALCA</v>
      </c>
    </row>
    <row r="6004" spans="1:4">
      <c r="A6004" s="7">
        <f ca="1">IFERROR(__xludf.DUMMYFUNCTION("""COMPUTED_VALUE"""),44550)</f>
        <v>44550</v>
      </c>
      <c r="B6004" s="8" t="str">
        <f ca="1">IFERROR(__xludf.DUMMYFUNCTION("""COMPUTED_VALUE"""),"-33.732154,-70.682042")</f>
        <v>-33.732154,-70.682042</v>
      </c>
      <c r="C6004" s="6" t="str">
        <f ca="1">IFERROR(__xludf.DUMMYFUNCTION("""COMPUTED_VALUE"""),"MARTA RAMOS BERRIOS 344")</f>
        <v>MARTA RAMOS BERRIOS 344</v>
      </c>
      <c r="D6004" s="6" t="str">
        <f ca="1">IFERROR(__xludf.DUMMYFUNCTION("""COMPUTED_VALUE"""),"BUIN")</f>
        <v>BUIN</v>
      </c>
    </row>
    <row r="6005" spans="1:4">
      <c r="A6005" s="7">
        <f ca="1">IFERROR(__xludf.DUMMYFUNCTION("""COMPUTED_VALUE"""),44550)</f>
        <v>44550</v>
      </c>
      <c r="B6005" s="8" t="str">
        <f ca="1">IFERROR(__xludf.DUMMYFUNCTION("""COMPUTED_VALUE"""),"-33.732683,-70.711278")</f>
        <v>-33.732683,-70.711278</v>
      </c>
      <c r="C6005" s="6" t="str">
        <f ca="1">IFERROR(__xludf.DUMMYFUNCTION("""COMPUTED_VALUE"""),"ENRIQUE ORELLANA 1120")</f>
        <v>ENRIQUE ORELLANA 1120</v>
      </c>
      <c r="D6005" s="6" t="str">
        <f ca="1">IFERROR(__xludf.DUMMYFUNCTION("""COMPUTED_VALUE"""),"BUIN")</f>
        <v>BUIN</v>
      </c>
    </row>
    <row r="6006" spans="1:4">
      <c r="A6006" s="7">
        <f ca="1">IFERROR(__xludf.DUMMYFUNCTION("""COMPUTED_VALUE"""),44550)</f>
        <v>44550</v>
      </c>
      <c r="B6006" s="8" t="str">
        <f ca="1">IFERROR(__xludf.DUMMYFUNCTION("""COMPUTED_VALUE"""),"-33.724820,-70.742283")</f>
        <v>-33.724820,-70.742283</v>
      </c>
      <c r="C6006" s="6" t="str">
        <f ca="1">IFERROR(__xludf.DUMMYFUNCTION("""COMPUTED_VALUE"""),"CARLOS STRUZT 0331")</f>
        <v>CARLOS STRUZT 0331</v>
      </c>
      <c r="D6006" s="6" t="str">
        <f ca="1">IFERROR(__xludf.DUMMYFUNCTION("""COMPUTED_VALUE"""),"BUIN")</f>
        <v>BUIN</v>
      </c>
    </row>
    <row r="6007" spans="1:4">
      <c r="A6007" s="7">
        <f ca="1">IFERROR(__xludf.DUMMYFUNCTION("""COMPUTED_VALUE"""),44550)</f>
        <v>44550</v>
      </c>
      <c r="B6007" s="8" t="str">
        <f ca="1">IFERROR(__xludf.DUMMYFUNCTION("""COMPUTED_VALUE"""),"-33.800570,-71.297085")</f>
        <v>-33.800570,-71.297085</v>
      </c>
      <c r="C6007" s="6" t="str">
        <f ca="1">IFERROR(__xludf.DUMMYFUNCTION("""COMPUTED_VALUE"""),"POPETA PARCELA 192")</f>
        <v>POPETA PARCELA 192</v>
      </c>
      <c r="D6007" s="6" t="str">
        <f ca="1">IFERROR(__xludf.DUMMYFUNCTION("""COMPUTED_VALUE"""),"MELIPILLA")</f>
        <v>MELIPILLA</v>
      </c>
    </row>
    <row r="6008" spans="1:4">
      <c r="A6008" s="7">
        <f ca="1">IFERROR(__xludf.DUMMYFUNCTION("""COMPUTED_VALUE"""),44550)</f>
        <v>44550</v>
      </c>
      <c r="B6008" s="8" t="str">
        <f ca="1">IFERROR(__xludf.DUMMYFUNCTION("""COMPUTED_VALUE"""),"-33.788651,-71.151550")</f>
        <v>-33.788651,-71.151550</v>
      </c>
      <c r="C6008" s="6" t="str">
        <f ca="1">IFERROR(__xludf.DUMMYFUNCTION("""COMPUTED_VALUE"""),"CULIPRAN PARCELA 269")</f>
        <v>CULIPRAN PARCELA 269</v>
      </c>
      <c r="D6008" s="6" t="str">
        <f ca="1">IFERROR(__xludf.DUMMYFUNCTION("""COMPUTED_VALUE"""),"MELIPILLA")</f>
        <v>MELIPILLA</v>
      </c>
    </row>
    <row r="6009" spans="1:4">
      <c r="A6009" s="7">
        <f ca="1">IFERROR(__xludf.DUMMYFUNCTION("""COMPUTED_VALUE"""),44550)</f>
        <v>44550</v>
      </c>
      <c r="B6009" s="8" t="str">
        <f ca="1">IFERROR(__xludf.DUMMYFUNCTION("""COMPUTED_VALUE"""),"-33.815821,-71.306986")</f>
        <v>-33.815821,-71.306986</v>
      </c>
      <c r="C6009" s="6" t="str">
        <f ca="1">IFERROR(__xludf.DUMMYFUNCTION("""COMPUTED_VALUE"""),"ALTOS POPETA PARCELA 16B")</f>
        <v>ALTOS POPETA PARCELA 16B</v>
      </c>
      <c r="D6009" s="6" t="str">
        <f ca="1">IFERROR(__xludf.DUMMYFUNCTION("""COMPUTED_VALUE"""),"MELIPILLA")</f>
        <v>MELIPILLA</v>
      </c>
    </row>
    <row r="6010" spans="1:4">
      <c r="A6010" s="7">
        <f ca="1">IFERROR(__xludf.DUMMYFUNCTION("""COMPUTED_VALUE"""),44550)</f>
        <v>44550</v>
      </c>
      <c r="B6010" s="8" t="str">
        <f ca="1">IFERROR(__xludf.DUMMYFUNCTION("""COMPUTED_VALUE"""),"-33.681330,-70.892396")</f>
        <v>-33.681330,-70.892396</v>
      </c>
      <c r="C6010" s="6" t="str">
        <f ca="1">IFERROR(__xludf.DUMMYFUNCTION("""COMPUTED_VALUE"""),"PARCELA ANTILCO S/N CARAMPANGUE ")</f>
        <v xml:space="preserve">PARCELA ANTILCO S/N CARAMPANGUE </v>
      </c>
      <c r="D6010" s="6" t="str">
        <f ca="1">IFERROR(__xludf.DUMMYFUNCTION("""COMPUTED_VALUE"""),"TALAGANTE")</f>
        <v>TALAGANTE</v>
      </c>
    </row>
    <row r="6011" spans="1:4">
      <c r="A6011" s="7">
        <f ca="1">IFERROR(__xludf.DUMMYFUNCTION("""COMPUTED_VALUE"""),44550)</f>
        <v>44550</v>
      </c>
      <c r="B6011" s="8" t="str">
        <f ca="1">IFERROR(__xludf.DUMMYFUNCTION("""COMPUTED_VALUE"""),"-33.677555,-70.877282")</f>
        <v>-33.677555,-70.877282</v>
      </c>
      <c r="C6011" s="6" t="str">
        <f ca="1">IFERROR(__xludf.DUMMYFUNCTION("""COMPUTED_VALUE"""),"CAMINO LORETO 858")</f>
        <v>CAMINO LORETO 858</v>
      </c>
      <c r="D6011" s="6" t="str">
        <f ca="1">IFERROR(__xludf.DUMMYFUNCTION("""COMPUTED_VALUE"""),"TALAGANTE")</f>
        <v>TALAGANTE</v>
      </c>
    </row>
    <row r="6012" spans="1:4">
      <c r="A6012" s="7">
        <f ca="1">IFERROR(__xludf.DUMMYFUNCTION("""COMPUTED_VALUE"""),44550)</f>
        <v>44550</v>
      </c>
      <c r="B6012" s="6" t="str">
        <f ca="1">IFERROR(__xludf.DUMMYFUNCTION("""COMPUTED_VALUE"""),"-33.053668-71.434875")</f>
        <v>-33.053668-71.434875</v>
      </c>
      <c r="C6012" s="6" t="str">
        <f ca="1">IFERROR(__xludf.DUMMYFUNCTION("""COMPUTED_VALUE"""),"LAUTARO 1373 CASA 37")</f>
        <v>LAUTARO 1373 CASA 37</v>
      </c>
      <c r="D6012" s="6" t="str">
        <f ca="1">IFERROR(__xludf.DUMMYFUNCTION("""COMPUTED_VALUE"""),"QUILPUÉ")</f>
        <v>QUILPUÉ</v>
      </c>
    </row>
    <row r="6013" spans="1:4">
      <c r="A6013" s="7">
        <f ca="1">IFERROR(__xludf.DUMMYFUNCTION("""COMPUTED_VALUE"""),44550)</f>
        <v>44550</v>
      </c>
      <c r="B6013" s="6" t="str">
        <f ca="1">IFERROR(__xludf.DUMMYFUNCTION("""COMPUTED_VALUE"""),"-33.041286-71.402706")</f>
        <v>-33.041286-71.402706</v>
      </c>
      <c r="C6013" s="6" t="str">
        <f ca="1">IFERROR(__xludf.DUMMYFUNCTION("""COMPUTED_VALUE"""),"LINCOYAN 502")</f>
        <v>LINCOYAN 502</v>
      </c>
      <c r="D6013" s="6" t="str">
        <f ca="1">IFERROR(__xludf.DUMMYFUNCTION("""COMPUTED_VALUE"""),"QUILPUÉ")</f>
        <v>QUILPUÉ</v>
      </c>
    </row>
    <row r="6014" spans="1:4">
      <c r="A6014" s="7">
        <f ca="1">IFERROR(__xludf.DUMMYFUNCTION("""COMPUTED_VALUE"""),44550)</f>
        <v>44550</v>
      </c>
      <c r="B6014" s="6" t="str">
        <f ca="1">IFERROR(__xludf.DUMMYFUNCTION("""COMPUTED_VALUE"""),"-33.807043,-70.737237")</f>
        <v>-33.807043,-70.737237</v>
      </c>
      <c r="C6014" s="6" t="str">
        <f ca="1">IFERROR(__xludf.DUMMYFUNCTION("""COMPUTED_VALUE"""),"ISLA LENOX 316")</f>
        <v>ISLA LENOX 316</v>
      </c>
      <c r="D6014" s="6" t="str">
        <f ca="1">IFERROR(__xludf.DUMMYFUNCTION("""COMPUTED_VALUE"""),"PAINE")</f>
        <v>PAINE</v>
      </c>
    </row>
    <row r="6015" spans="1:4">
      <c r="A6015" s="7">
        <f ca="1">IFERROR(__xludf.DUMMYFUNCTION("""COMPUTED_VALUE"""),44550)</f>
        <v>44550</v>
      </c>
      <c r="B6015" s="6" t="str">
        <f ca="1">IFERROR(__xludf.DUMMYFUNCTION("""COMPUTED_VALUE"""),"-33.810806,-70.732512")</f>
        <v>-33.810806,-70.732512</v>
      </c>
      <c r="C6015" s="6" t="str">
        <f ca="1">IFERROR(__xludf.DUMMYFUNCTION("""COMPUTED_VALUE"""),"BUIN 520")</f>
        <v>BUIN 520</v>
      </c>
      <c r="D6015" s="6" t="str">
        <f ca="1">IFERROR(__xludf.DUMMYFUNCTION("""COMPUTED_VALUE"""),"PAINE")</f>
        <v>PAINE</v>
      </c>
    </row>
    <row r="6016" spans="1:4">
      <c r="A6016" s="7">
        <f ca="1">IFERROR(__xludf.DUMMYFUNCTION("""COMPUTED_VALUE"""),44550)</f>
        <v>44550</v>
      </c>
      <c r="B6016" s="6" t="str">
        <f ca="1">IFERROR(__xludf.DUMMYFUNCTION("""COMPUTED_VALUE"""),"-33.806465,-70.737443")</f>
        <v>-33.806465,-70.737443</v>
      </c>
      <c r="C6016" s="6" t="str">
        <f ca="1">IFERROR(__xludf.DUMMYFUNCTION("""COMPUTED_VALUE"""),"ISLA DE PASCUA 319")</f>
        <v>ISLA DE PASCUA 319</v>
      </c>
      <c r="D6016" s="6" t="str">
        <f ca="1">IFERROR(__xludf.DUMMYFUNCTION("""COMPUTED_VALUE"""),"PAINE")</f>
        <v>PAINE</v>
      </c>
    </row>
    <row r="6017" spans="1:4">
      <c r="A6017" s="7">
        <f ca="1">IFERROR(__xludf.DUMMYFUNCTION("""COMPUTED_VALUE"""),44550)</f>
        <v>44550</v>
      </c>
      <c r="B6017" s="6" t="str">
        <f ca="1">IFERROR(__xludf.DUMMYFUNCTION("""COMPUTED_VALUE"""),"-33.806628,-70.737414")</f>
        <v>-33.806628,-70.737414</v>
      </c>
      <c r="C6017" s="6" t="str">
        <f ca="1">IFERROR(__xludf.DUMMYFUNCTION("""COMPUTED_VALUE"""),"ISLA DE PASCUA 325")</f>
        <v>ISLA DE PASCUA 325</v>
      </c>
      <c r="D6017" s="6" t="str">
        <f ca="1">IFERROR(__xludf.DUMMYFUNCTION("""COMPUTED_VALUE"""),"PAINE")</f>
        <v>PAINE</v>
      </c>
    </row>
    <row r="6018" spans="1:4">
      <c r="A6018" s="7">
        <f ca="1">IFERROR(__xludf.DUMMYFUNCTION("""COMPUTED_VALUE"""),44550)</f>
        <v>44550</v>
      </c>
      <c r="B6018" s="6" t="str">
        <f ca="1">IFERROR(__xludf.DUMMYFUNCTION("""COMPUTED_VALUE"""),"-33.8621033,-70.7496786")</f>
        <v>-33.8621033,-70.7496786</v>
      </c>
      <c r="C6018" s="6" t="str">
        <f ca="1">IFERROR(__xludf.DUMMYFUNCTION("""COMPUTED_VALUE"""),"LAS ACACIAS 94")</f>
        <v>LAS ACACIAS 94</v>
      </c>
      <c r="D6018" s="6" t="str">
        <f ca="1">IFERROR(__xludf.DUMMYFUNCTION("""COMPUTED_VALUE"""),"PAINE")</f>
        <v>PAINE</v>
      </c>
    </row>
    <row r="6019" spans="1:4">
      <c r="A6019" s="7">
        <f ca="1">IFERROR(__xludf.DUMMYFUNCTION("""COMPUTED_VALUE"""),44550)</f>
        <v>44550</v>
      </c>
      <c r="B6019" s="6" t="str">
        <f ca="1">IFERROR(__xludf.DUMMYFUNCTION("""COMPUTED_VALUE"""),"-33.872426,-70.7340715")</f>
        <v>-33.872426,-70.7340715</v>
      </c>
      <c r="C6019" s="6" t="str">
        <f ca="1">IFERROR(__xludf.DUMMYFUNCTION("""COMPUTED_VALUE"""),"LAS ACACIAS PARCELA 144")</f>
        <v>LAS ACACIAS PARCELA 144</v>
      </c>
      <c r="D6019" s="6" t="str">
        <f ca="1">IFERROR(__xludf.DUMMYFUNCTION("""COMPUTED_VALUE"""),"PAINE")</f>
        <v>PAINE</v>
      </c>
    </row>
    <row r="6020" spans="1:4">
      <c r="A6020" s="7">
        <f ca="1">IFERROR(__xludf.DUMMYFUNCTION("""COMPUTED_VALUE"""),44550)</f>
        <v>44550</v>
      </c>
      <c r="B6020" s="6" t="str">
        <f ca="1">IFERROR(__xludf.DUMMYFUNCTION("""COMPUTED_VALUE"""),"-33.291875,-70.881819")</f>
        <v>-33.291875,-70.881819</v>
      </c>
      <c r="C6020" s="6" t="str">
        <f ca="1">IFERROR(__xludf.DUMMYFUNCTION("""COMPUTED_VALUE"""),"PJE. GENARO ARAYA P 607")</f>
        <v>PJE. GENARO ARAYA P 607</v>
      </c>
      <c r="D6020" s="6" t="str">
        <f ca="1">IFERROR(__xludf.DUMMYFUNCTION("""COMPUTED_VALUE"""),"LAMPA")</f>
        <v>LAMPA</v>
      </c>
    </row>
    <row r="6021" spans="1:4">
      <c r="A6021" s="7">
        <f ca="1">IFERROR(__xludf.DUMMYFUNCTION("""COMPUTED_VALUE"""),44550)</f>
        <v>44550</v>
      </c>
      <c r="B6021" s="6" t="str">
        <f ca="1">IFERROR(__xludf.DUMMYFUNCTION("""COMPUTED_VALUE"""),"-33.277471,-70.889436")</f>
        <v>-33.277471,-70.889436</v>
      </c>
      <c r="C6021" s="6" t="str">
        <f ca="1">IFERROR(__xludf.DUMMYFUNCTION("""COMPUTED_VALUE"""),"MANUEL RODRIGUEZ 029")</f>
        <v>MANUEL RODRIGUEZ 029</v>
      </c>
      <c r="D6021" s="6" t="str">
        <f ca="1">IFERROR(__xludf.DUMMYFUNCTION("""COMPUTED_VALUE"""),"LAMPA")</f>
        <v>LAMPA</v>
      </c>
    </row>
    <row r="6022" spans="1:4">
      <c r="A6022" s="7">
        <f ca="1">IFERROR(__xludf.DUMMYFUNCTION("""COMPUTED_VALUE"""),44551)</f>
        <v>44551</v>
      </c>
      <c r="B6022" s="8" t="str">
        <f ca="1">IFERROR(__xludf.DUMMYFUNCTION("""COMPUTED_VALUE"""),"-33.788262,-70.8938474")</f>
        <v>-33.788262,-70.8938474</v>
      </c>
      <c r="C6022" s="6" t="str">
        <f ca="1">IFERROR(__xludf.DUMMYFUNCTION("""COMPUTED_VALUE"""),"MONTE LAS MERCEDES 2565")</f>
        <v>MONTE LAS MERCEDES 2565</v>
      </c>
      <c r="D6022" s="6" t="str">
        <f ca="1">IFERROR(__xludf.DUMMYFUNCTION("""COMPUTED_VALUE"""),"ISLA DE MAIPO")</f>
        <v>ISLA DE MAIPO</v>
      </c>
    </row>
    <row r="6023" spans="1:4">
      <c r="A6023" s="7">
        <f ca="1">IFERROR(__xludf.DUMMYFUNCTION("""COMPUTED_VALUE"""),44551)</f>
        <v>44551</v>
      </c>
      <c r="B6023" s="8" t="str">
        <f ca="1">IFERROR(__xludf.DUMMYFUNCTION("""COMPUTED_VALUE"""),"-33.7428012, -70.966375")</f>
        <v>-33.7428012, -70.966375</v>
      </c>
      <c r="C6023" s="6" t="str">
        <f ca="1">IFERROR(__xludf.DUMMYFUNCTION("""COMPUTED_VALUE"""),"LAS GUIAS  6410")</f>
        <v>LAS GUIAS  6410</v>
      </c>
      <c r="D6023" s="6" t="str">
        <f ca="1">IFERROR(__xludf.DUMMYFUNCTION("""COMPUTED_VALUE"""),"ISLA DE MAIPO")</f>
        <v>ISLA DE MAIPO</v>
      </c>
    </row>
    <row r="6024" spans="1:4">
      <c r="A6024" s="7">
        <f ca="1">IFERROR(__xludf.DUMMYFUNCTION("""COMPUTED_VALUE"""),44551)</f>
        <v>44551</v>
      </c>
      <c r="B6024" s="8" t="str">
        <f ca="1">IFERROR(__xludf.DUMMYFUNCTION("""COMPUTED_VALUE"""),"-33.7750373, -70.9005997")</f>
        <v>-33.7750373, -70.9005997</v>
      </c>
      <c r="C6024" s="6" t="str">
        <f ca="1">IFERROR(__xludf.DUMMYFUNCTION("""COMPUTED_VALUE"""),"OLEA 201")</f>
        <v>OLEA 201</v>
      </c>
      <c r="D6024" s="6" t="str">
        <f ca="1">IFERROR(__xludf.DUMMYFUNCTION("""COMPUTED_VALUE"""),"ISLA DE MAIPO")</f>
        <v>ISLA DE MAIPO</v>
      </c>
    </row>
    <row r="6025" spans="1:4">
      <c r="A6025" s="7">
        <f ca="1">IFERROR(__xludf.DUMMYFUNCTION("""COMPUTED_VALUE"""),44551)</f>
        <v>44551</v>
      </c>
      <c r="B6025" s="8" t="str">
        <f ca="1">IFERROR(__xludf.DUMMYFUNCTION("""COMPUTED_VALUE"""),"-33.7386426, -71.021008")</f>
        <v>-33.7386426, -71.021008</v>
      </c>
      <c r="C6025" s="6" t="str">
        <f ca="1">IFERROR(__xludf.DUMMYFUNCTION("""COMPUTED_VALUE"""),"LOS ACACIOS  56")</f>
        <v>LOS ACACIOS  56</v>
      </c>
      <c r="D6025" s="6" t="str">
        <f ca="1">IFERROR(__xludf.DUMMYFUNCTION("""COMPUTED_VALUE"""),"ISLA DE MAIPO")</f>
        <v>ISLA DE MAIPO</v>
      </c>
    </row>
    <row r="6026" spans="1:4">
      <c r="A6026" s="7">
        <f ca="1">IFERROR(__xludf.DUMMYFUNCTION("""COMPUTED_VALUE"""),44551)</f>
        <v>44551</v>
      </c>
      <c r="B6026" s="8" t="str">
        <f ca="1">IFERROR(__xludf.DUMMYFUNCTION("""COMPUTED_VALUE"""),"-33.7746364, -70.9004401")</f>
        <v>-33.7746364, -70.9004401</v>
      </c>
      <c r="C6026" s="6" t="str">
        <f ca="1">IFERROR(__xludf.DUMMYFUNCTION("""COMPUTED_VALUE"""),"OLEA 201")</f>
        <v>OLEA 201</v>
      </c>
      <c r="D6026" s="6" t="str">
        <f ca="1">IFERROR(__xludf.DUMMYFUNCTION("""COMPUTED_VALUE"""),"ISLA DE MAIPO")</f>
        <v>ISLA DE MAIPO</v>
      </c>
    </row>
    <row r="6027" spans="1:4">
      <c r="A6027" s="7">
        <f ca="1">IFERROR(__xludf.DUMMYFUNCTION("""COMPUTED_VALUE"""),44551)</f>
        <v>44551</v>
      </c>
      <c r="B6027" s="6" t="str">
        <f ca="1">IFERROR(__xludf.DUMMYFUNCTION("""COMPUTED_VALUE"""),"-33.409289-71.149176")</f>
        <v>-33.409289-71.149176</v>
      </c>
      <c r="C6027" s="6" t="str">
        <f ca="1">IFERROR(__xludf.DUMMYFUNCTION("""COMPUTED_VALUE"""),"ISABEL RIQUELME 156")</f>
        <v>ISABEL RIQUELME 156</v>
      </c>
      <c r="D6027" s="6" t="str">
        <f ca="1">IFERROR(__xludf.DUMMYFUNCTION("""COMPUTED_VALUE"""),"CURACAVI")</f>
        <v>CURACAVI</v>
      </c>
    </row>
    <row r="6028" spans="1:4">
      <c r="A6028" s="7">
        <f ca="1">IFERROR(__xludf.DUMMYFUNCTION("""COMPUTED_VALUE"""),44551)</f>
        <v>44551</v>
      </c>
      <c r="B6028" s="6" t="str">
        <f ca="1">IFERROR(__xludf.DUMMYFUNCTION("""COMPUTED_VALUE"""),"-33.415496-71.113840")</f>
        <v>-33.415496-71.113840</v>
      </c>
      <c r="C6028" s="6" t="str">
        <f ca="1">IFERROR(__xludf.DUMMYFUNCTION("""COMPUTED_VALUE"""),"LAS ROSAS S/N")</f>
        <v>LAS ROSAS S/N</v>
      </c>
      <c r="D6028" s="6" t="str">
        <f ca="1">IFERROR(__xludf.DUMMYFUNCTION("""COMPUTED_VALUE"""),"CURACAVI")</f>
        <v>CURACAVI</v>
      </c>
    </row>
    <row r="6029" spans="1:4">
      <c r="A6029" s="7">
        <f ca="1">IFERROR(__xludf.DUMMYFUNCTION("""COMPUTED_VALUE"""),44551)</f>
        <v>44551</v>
      </c>
      <c r="B6029" s="6" t="str">
        <f ca="1">IFERROR(__xludf.DUMMYFUNCTION("""COMPUTED_VALUE"""),"-33.691933-70.703428")</f>
        <v>-33.691933-70.703428</v>
      </c>
      <c r="C6029" s="6" t="str">
        <f ca="1">IFERROR(__xludf.DUMMYFUNCTION("""COMPUTED_VALUE"""),"EL RECURSO 2291")</f>
        <v>EL RECURSO 2291</v>
      </c>
      <c r="D6029" s="6" t="str">
        <f ca="1">IFERROR(__xludf.DUMMYFUNCTION("""COMPUTED_VALUE"""),"BUIN")</f>
        <v>BUIN</v>
      </c>
    </row>
    <row r="6030" spans="1:4">
      <c r="A6030" s="7">
        <f ca="1">IFERROR(__xludf.DUMMYFUNCTION("""COMPUTED_VALUE"""),44551)</f>
        <v>44551</v>
      </c>
      <c r="B6030" s="6" t="str">
        <f ca="1">IFERROR(__xludf.DUMMYFUNCTION("""COMPUTED_VALUE"""),"-33.698375-70.673528")</f>
        <v>-33.698375-70.673528</v>
      </c>
      <c r="C6030" s="6" t="str">
        <f ca="1">IFERROR(__xludf.DUMMYFUNCTION("""COMPUTED_VALUE"""),"PADRE HURTADO 3844 SITIO 16")</f>
        <v>PADRE HURTADO 3844 SITIO 16</v>
      </c>
      <c r="D6030" s="6" t="str">
        <f ca="1">IFERROR(__xludf.DUMMYFUNCTION("""COMPUTED_VALUE"""),"BUIN")</f>
        <v>BUIN</v>
      </c>
    </row>
    <row r="6031" spans="1:4">
      <c r="A6031" s="7">
        <f ca="1">IFERROR(__xludf.DUMMYFUNCTION("""COMPUTED_VALUE"""),44551)</f>
        <v>44551</v>
      </c>
      <c r="B6031" s="6" t="str">
        <f ca="1">IFERROR(__xludf.DUMMYFUNCTION("""COMPUTED_VALUE"""),"-33.803329,-70.738194")</f>
        <v>-33.803329,-70.738194</v>
      </c>
      <c r="C6031" s="6" t="str">
        <f ca="1">IFERROR(__xludf.DUMMYFUNCTION("""COMPUTED_VALUE"""),"PASAJE C 313")</f>
        <v>PASAJE C 313</v>
      </c>
      <c r="D6031" s="6" t="str">
        <f ca="1">IFERROR(__xludf.DUMMYFUNCTION("""COMPUTED_VALUE"""),"PAINE")</f>
        <v>PAINE</v>
      </c>
    </row>
    <row r="6032" spans="1:4">
      <c r="A6032" s="7">
        <f ca="1">IFERROR(__xludf.DUMMYFUNCTION("""COMPUTED_VALUE"""),44551)</f>
        <v>44551</v>
      </c>
      <c r="B6032" s="6" t="str">
        <f ca="1">IFERROR(__xludf.DUMMYFUNCTION("""COMPUTED_VALUE"""),"-33.807139,-70.734038")</f>
        <v>-33.807139,-70.734038</v>
      </c>
      <c r="C6032" s="6" t="str">
        <f ca="1">IFERROR(__xludf.DUMMYFUNCTION("""COMPUTED_VALUE"""),"LA AVELLANITA 190")</f>
        <v>LA AVELLANITA 190</v>
      </c>
      <c r="D6032" s="6" t="str">
        <f ca="1">IFERROR(__xludf.DUMMYFUNCTION("""COMPUTED_VALUE"""),"PAINE")</f>
        <v>PAINE</v>
      </c>
    </row>
    <row r="6033" spans="1:4">
      <c r="A6033" s="7">
        <f ca="1">IFERROR(__xludf.DUMMYFUNCTION("""COMPUTED_VALUE"""),44551)</f>
        <v>44551</v>
      </c>
      <c r="B6033" s="6" t="str">
        <f ca="1">IFERROR(__xludf.DUMMYFUNCTION("""COMPUTED_VALUE"""),"-33.8453536,-70.5976914")</f>
        <v>-33.8453536,-70.5976914</v>
      </c>
      <c r="C6033" s="6" t="str">
        <f ca="1">IFERROR(__xludf.DUMMYFUNCTION("""COMPUTED_VALUE"""),"P118 LA PORTADA")</f>
        <v>P118 LA PORTADA</v>
      </c>
      <c r="D6033" s="6" t="str">
        <f ca="1">IFERROR(__xludf.DUMMYFUNCTION("""COMPUTED_VALUE"""),"PAINE")</f>
        <v>PAINE</v>
      </c>
    </row>
    <row r="6034" spans="1:4">
      <c r="A6034" s="7">
        <f ca="1">IFERROR(__xludf.DUMMYFUNCTION("""COMPUTED_VALUE"""),44551)</f>
        <v>44551</v>
      </c>
      <c r="B6034" s="6" t="str">
        <f ca="1">IFERROR(__xludf.DUMMYFUNCTION("""COMPUTED_VALUE"""),"-33.8453536,-70.5976915")</f>
        <v>-33.8453536,-70.5976915</v>
      </c>
      <c r="C6034" s="6" t="str">
        <f ca="1">IFERROR(__xludf.DUMMYFUNCTION("""COMPUTED_VALUE"""),"P118 LA PORTADA B")</f>
        <v>P118 LA PORTADA B</v>
      </c>
      <c r="D6034" s="6" t="str">
        <f ca="1">IFERROR(__xludf.DUMMYFUNCTION("""COMPUTED_VALUE"""),"PAINE")</f>
        <v>PAINE</v>
      </c>
    </row>
    <row r="6035" spans="1:4">
      <c r="A6035" s="7">
        <f ca="1">IFERROR(__xludf.DUMMYFUNCTION("""COMPUTED_VALUE"""),44551)</f>
        <v>44551</v>
      </c>
      <c r="B6035" s="6" t="str">
        <f ca="1">IFERROR(__xludf.DUMMYFUNCTION("""COMPUTED_VALUE"""),"-33.703803,-70.563668")</f>
        <v>-33.703803,-70.563668</v>
      </c>
      <c r="C6035" s="6" t="str">
        <f ca="1">IFERROR(__xludf.DUMMYFUNCTION("""COMPUTED_VALUE"""),"EL PRINCIPAL 20 ")</f>
        <v xml:space="preserve">EL PRINCIPAL 20 </v>
      </c>
      <c r="D6035" s="6" t="str">
        <f ca="1">IFERROR(__xludf.DUMMYFUNCTION("""COMPUTED_VALUE"""),"PIRQUE")</f>
        <v>PIRQUE</v>
      </c>
    </row>
    <row r="6036" spans="1:4">
      <c r="A6036" s="7">
        <f ca="1">IFERROR(__xludf.DUMMYFUNCTION("""COMPUTED_VALUE"""),44551)</f>
        <v>44551</v>
      </c>
      <c r="B6036" s="6" t="str">
        <f ca="1">IFERROR(__xludf.DUMMYFUNCTION("""COMPUTED_VALUE"""),"-33.674954,-71.176998")</f>
        <v>-33.674954,-71.176998</v>
      </c>
      <c r="C6036" s="6" t="str">
        <f ca="1">IFERROR(__xludf.DUMMYFUNCTION("""COMPUTED_VALUE"""),"ESPAÑA 2033")</f>
        <v>ESPAÑA 2033</v>
      </c>
      <c r="D6036" s="6" t="str">
        <f ca="1">IFERROR(__xludf.DUMMYFUNCTION("""COMPUTED_VALUE"""),"MELIPILLA")</f>
        <v>MELIPILLA</v>
      </c>
    </row>
    <row r="6037" spans="1:4">
      <c r="A6037" s="7">
        <f ca="1">IFERROR(__xludf.DUMMYFUNCTION("""COMPUTED_VALUE"""),44551)</f>
        <v>44551</v>
      </c>
      <c r="B6037" s="6" t="str">
        <f ca="1">IFERROR(__xludf.DUMMYFUNCTION("""COMPUTED_VALUE"""),"-33.746245,-70.866568")</f>
        <v>-33.746245,-70.866568</v>
      </c>
      <c r="C6037" s="6" t="str">
        <f ca="1">IFERROR(__xludf.DUMMYFUNCTION("""COMPUTED_VALUE"""),"SANTA JULIA 100")</f>
        <v>SANTA JULIA 100</v>
      </c>
      <c r="D6037" s="6" t="str">
        <f ca="1">IFERROR(__xludf.DUMMYFUNCTION("""COMPUTED_VALUE"""),"ISLA DE MAIPO")</f>
        <v>ISLA DE MAIPO</v>
      </c>
    </row>
    <row r="6038" spans="1:4">
      <c r="A6038" s="7">
        <f ca="1">IFERROR(__xludf.DUMMYFUNCTION("""COMPUTED_VALUE"""),44551)</f>
        <v>44551</v>
      </c>
      <c r="B6038" s="6" t="str">
        <f ca="1">IFERROR(__xludf.DUMMYFUNCTION("""COMPUTED_VALUE"""),"-35.450372,-71.675215")</f>
        <v>-35.450372,-71.675215</v>
      </c>
      <c r="C6038" s="6" t="str">
        <f ca="1">IFERROR(__xludf.DUMMYFUNCTION("""COMPUTED_VALUE"""),"AV 26 SUR 1 PONIENTE C 714")</f>
        <v>AV 26 SUR 1 PONIENTE C 714</v>
      </c>
      <c r="D6038" s="6" t="str">
        <f ca="1">IFERROR(__xludf.DUMMYFUNCTION("""COMPUTED_VALUE"""),"TALCA")</f>
        <v>TALCA</v>
      </c>
    </row>
    <row r="6039" spans="1:4">
      <c r="A6039" s="7">
        <f ca="1">IFERROR(__xludf.DUMMYFUNCTION("""COMPUTED_VALUE"""),44551)</f>
        <v>44551</v>
      </c>
      <c r="B6039" s="6" t="str">
        <f ca="1">IFERROR(__xludf.DUMMYFUNCTION("""COMPUTED_VALUE"""),"-35.450884,-71.677090")</f>
        <v>-35.450884,-71.677090</v>
      </c>
      <c r="C6039" s="6" t="str">
        <f ca="1">IFERROR(__xludf.DUMMYFUNCTION("""COMPUTED_VALUE"""),"PSJE 1 1/2 PONIENTE B 01101")</f>
        <v>PSJE 1 1/2 PONIENTE B 01101</v>
      </c>
      <c r="D6039" s="6" t="str">
        <f ca="1">IFERROR(__xludf.DUMMYFUNCTION("""COMPUTED_VALUE"""),"TALCA")</f>
        <v>TALCA</v>
      </c>
    </row>
    <row r="6040" spans="1:4">
      <c r="A6040" s="7">
        <f ca="1">IFERROR(__xludf.DUMMYFUNCTION("""COMPUTED_VALUE"""),44551)</f>
        <v>44551</v>
      </c>
      <c r="B6040" s="6" t="str">
        <f ca="1">IFERROR(__xludf.DUMMYFUNCTION("""COMPUTED_VALUE"""),"-35.448906,-71.673280")</f>
        <v>-35.448906,-71.673280</v>
      </c>
      <c r="C6040" s="6" t="str">
        <f ca="1">IFERROR(__xludf.DUMMYFUNCTION("""COMPUTED_VALUE"""),"25 SUR 749 PUCARÁ")</f>
        <v>25 SUR 749 PUCARÁ</v>
      </c>
      <c r="D6040" s="6" t="str">
        <f ca="1">IFERROR(__xludf.DUMMYFUNCTION("""COMPUTED_VALUE"""),"TALCA")</f>
        <v>TALCA</v>
      </c>
    </row>
    <row r="6041" spans="1:4">
      <c r="A6041" s="7">
        <f ca="1">IFERROR(__xludf.DUMMYFUNCTION("""COMPUTED_VALUE"""),44551)</f>
        <v>44551</v>
      </c>
      <c r="B6041" s="8" t="str">
        <f ca="1">IFERROR(__xludf.DUMMYFUNCTION("""COMPUTED_VALUE"""),"-33.625493,-70.776657")</f>
        <v>-33.625493,-70.776657</v>
      </c>
      <c r="C6041" s="6" t="str">
        <f ca="1">IFERROR(__xludf.DUMMYFUNCTION("""COMPUTED_VALUE"""),"CALERA DE TANGO PARADERO 8")</f>
        <v>CALERA DE TANGO PARADERO 8</v>
      </c>
      <c r="D6041" s="6" t="str">
        <f ca="1">IFERROR(__xludf.DUMMYFUNCTION("""COMPUTED_VALUE"""),"CALERA DE TANGO")</f>
        <v>CALERA DE TANGO</v>
      </c>
    </row>
    <row r="6042" spans="1:4">
      <c r="A6042" s="7">
        <f ca="1">IFERROR(__xludf.DUMMYFUNCTION("""COMPUTED_VALUE"""),44551)</f>
        <v>44551</v>
      </c>
      <c r="B6042" s="8" t="str">
        <f ca="1">IFERROR(__xludf.DUMMYFUNCTION("""COMPUTED_VALUE"""),"-33.635707,-70.811353")</f>
        <v>-33.635707,-70.811353</v>
      </c>
      <c r="C6042" s="6" t="str">
        <f ca="1">IFERROR(__xludf.DUMMYFUNCTION("""COMPUTED_VALUE"""),"LONQUEN SUR PARCELA 21 SITIO 1")</f>
        <v>LONQUEN SUR PARCELA 21 SITIO 1</v>
      </c>
      <c r="D6042" s="6" t="str">
        <f ca="1">IFERROR(__xludf.DUMMYFUNCTION("""COMPUTED_VALUE"""),"CALERA DE TANGO")</f>
        <v>CALERA DE TANGO</v>
      </c>
    </row>
    <row r="6043" spans="1:4">
      <c r="A6043" s="7">
        <f ca="1">IFERROR(__xludf.DUMMYFUNCTION("""COMPUTED_VALUE"""),44551)</f>
        <v>44551</v>
      </c>
      <c r="B6043" s="8" t="str">
        <f ca="1">IFERROR(__xludf.DUMMYFUNCTION("""COMPUTED_VALUE"""),"-33.723124,-71.193719")</f>
        <v>-33.723124,-71.193719</v>
      </c>
      <c r="C6043" s="6" t="str">
        <f ca="1">IFERROR(__xludf.DUMMYFUNCTION("""COMPUTED_VALUE"""),"CARMEN BAJO HUERTO 16")</f>
        <v>CARMEN BAJO HUERTO 16</v>
      </c>
      <c r="D6043" s="6" t="str">
        <f ca="1">IFERROR(__xludf.DUMMYFUNCTION("""COMPUTED_VALUE"""),"MELIPILLA")</f>
        <v>MELIPILLA</v>
      </c>
    </row>
    <row r="6044" spans="1:4">
      <c r="A6044" s="7">
        <f ca="1">IFERROR(__xludf.DUMMYFUNCTION("""COMPUTED_VALUE"""),44551)</f>
        <v>44551</v>
      </c>
      <c r="B6044" s="8" t="str">
        <f ca="1">IFERROR(__xludf.DUMMYFUNCTION("""COMPUTED_VALUE"""),"-33.724095,-71.198138")</f>
        <v>-33.724095,-71.198138</v>
      </c>
      <c r="C6044" s="6" t="str">
        <f ca="1">IFERROR(__xludf.DUMMYFUNCTION("""COMPUTED_VALUE"""),"CARMEN BAJO NUMERO 16")</f>
        <v>CARMEN BAJO NUMERO 16</v>
      </c>
      <c r="D6044" s="6" t="str">
        <f ca="1">IFERROR(__xludf.DUMMYFUNCTION("""COMPUTED_VALUE"""),"MELIPILLA")</f>
        <v>MELIPILLA</v>
      </c>
    </row>
    <row r="6045" spans="1:4">
      <c r="A6045" s="7">
        <f ca="1">IFERROR(__xludf.DUMMYFUNCTION("""COMPUTED_VALUE"""),44551)</f>
        <v>44551</v>
      </c>
      <c r="B6045" s="8" t="str">
        <f ca="1">IFERROR(__xludf.DUMMYFUNCTION("""COMPUTED_VALUE"""),"-33.770513,-71263258")</f>
        <v>-33.770513,-71263258</v>
      </c>
      <c r="C6045" s="6" t="str">
        <f ca="1">IFERROR(__xludf.DUMMYFUNCTION("""COMPUTED_VALUE"""),"CAMINO CODIGUA 13")</f>
        <v>CAMINO CODIGUA 13</v>
      </c>
      <c r="D6045" s="6" t="str">
        <f ca="1">IFERROR(__xludf.DUMMYFUNCTION("""COMPUTED_VALUE"""),"MELIPILLA")</f>
        <v>MELIPILLA</v>
      </c>
    </row>
    <row r="6046" spans="1:4">
      <c r="A6046" s="7">
        <f ca="1">IFERROR(__xludf.DUMMYFUNCTION("""COMPUTED_VALUE"""),44551)</f>
        <v>44551</v>
      </c>
      <c r="B6046" s="8" t="str">
        <f ca="1">IFERROR(__xludf.DUMMYFUNCTION("""COMPUTED_VALUE"""),"-33.577578,-70.870893")</f>
        <v>-33.577578,-70.870893</v>
      </c>
      <c r="C6046" s="6" t="str">
        <f ca="1">IFERROR(__xludf.DUMMYFUNCTION("""COMPUTED_VALUE"""),"PASAJE RAULI 981")</f>
        <v>PASAJE RAULI 981</v>
      </c>
      <c r="D6046" s="6" t="str">
        <f ca="1">IFERROR(__xludf.DUMMYFUNCTION("""COMPUTED_VALUE"""),"PADRE HURTADO")</f>
        <v>PADRE HURTADO</v>
      </c>
    </row>
    <row r="6047" spans="1:4">
      <c r="A6047" s="7">
        <f ca="1">IFERROR(__xludf.DUMMYFUNCTION("""COMPUTED_VALUE"""),44551)</f>
        <v>44551</v>
      </c>
      <c r="B6047" s="8" t="str">
        <f ca="1">IFERROR(__xludf.DUMMYFUNCTION("""COMPUTED_VALUE"""),"-33.207570,-70.670827")</f>
        <v>-33.207570,-70.670827</v>
      </c>
      <c r="C6047" s="6" t="str">
        <f ca="1">IFERROR(__xludf.DUMMYFUNCTION("""COMPUTED_VALUE"""),"LOS VILOS 0136")</f>
        <v>LOS VILOS 0136</v>
      </c>
      <c r="D6047" s="6" t="str">
        <f ca="1">IFERROR(__xludf.DUMMYFUNCTION("""COMPUTED_VALUE"""),"COLINA")</f>
        <v>COLINA</v>
      </c>
    </row>
    <row r="6048" spans="1:4">
      <c r="A6048" s="7">
        <f ca="1">IFERROR(__xludf.DUMMYFUNCTION("""COMPUTED_VALUE"""),44551)</f>
        <v>44551</v>
      </c>
      <c r="B6048" s="8" t="str">
        <f ca="1">IFERROR(__xludf.DUMMYFUNCTION("""COMPUTED_VALUE"""),"-33.719975,-70.72383")</f>
        <v>-33.719975,-70.72383</v>
      </c>
      <c r="C6048" s="6" t="str">
        <f ca="1">IFERROR(__xludf.DUMMYFUNCTION("""COMPUTED_VALUE"""),"CLAUDIO BARROSO 262")</f>
        <v>CLAUDIO BARROSO 262</v>
      </c>
      <c r="D6048" s="6" t="str">
        <f ca="1">IFERROR(__xludf.DUMMYFUNCTION("""COMPUTED_VALUE"""),"BUIN")</f>
        <v>BUIN</v>
      </c>
    </row>
    <row r="6049" spans="1:4">
      <c r="A6049" s="7">
        <f ca="1">IFERROR(__xludf.DUMMYFUNCTION("""COMPUTED_VALUE"""),44551)</f>
        <v>44551</v>
      </c>
      <c r="B6049" s="8" t="str">
        <f ca="1">IFERROR(__xludf.DUMMYFUNCTION("""COMPUTED_VALUE"""),"-33.266220,-70.758644")</f>
        <v>-33.266220,-70.758644</v>
      </c>
      <c r="C6049" s="6" t="str">
        <f ca="1">IFERROR(__xludf.DUMMYFUNCTION("""COMPUTED_VALUE"""),"SANTA ROSA 1 LAS VEGAS 2PARCELA D-4")</f>
        <v>SANTA ROSA 1 LAS VEGAS 2PARCELA D-4</v>
      </c>
      <c r="D6049" s="6" t="str">
        <f ca="1">IFERROR(__xludf.DUMMYFUNCTION("""COMPUTED_VALUE"""),"LAMPA")</f>
        <v>LAMPA</v>
      </c>
    </row>
    <row r="6050" spans="1:4">
      <c r="A6050" s="7">
        <f ca="1">IFERROR(__xludf.DUMMYFUNCTION("""COMPUTED_VALUE"""),44551)</f>
        <v>44551</v>
      </c>
      <c r="B6050" s="6" t="str">
        <f ca="1">IFERROR(__xludf.DUMMYFUNCTION("""COMPUTED_VALUE"""),"-33.823341,-70.730850")</f>
        <v>-33.823341,-70.730850</v>
      </c>
      <c r="C6050" s="6" t="str">
        <f ca="1">IFERROR(__xludf.DUMMYFUNCTION("""COMPUTED_VALUE"""),"ORELLANA MARTINEZ 963")</f>
        <v>ORELLANA MARTINEZ 963</v>
      </c>
      <c r="D6050" s="6" t="str">
        <f ca="1">IFERROR(__xludf.DUMMYFUNCTION("""COMPUTED_VALUE"""),"PAINE")</f>
        <v>PAINE</v>
      </c>
    </row>
    <row r="6051" spans="1:4">
      <c r="A6051" s="7">
        <f ca="1">IFERROR(__xludf.DUMMYFUNCTION("""COMPUTED_VALUE"""),44551)</f>
        <v>44551</v>
      </c>
      <c r="B6051" s="6" t="str">
        <f ca="1">IFERROR(__xludf.DUMMYFUNCTION("""COMPUTED_VALUE"""),"-33.803508,-70.736164")</f>
        <v>-33.803508,-70.736164</v>
      </c>
      <c r="C6051" s="6" t="str">
        <f ca="1">IFERROR(__xludf.DUMMYFUNCTION("""COMPUTED_VALUE"""),"GRAN AVENIDA 322")</f>
        <v>GRAN AVENIDA 322</v>
      </c>
      <c r="D6051" s="6" t="str">
        <f ca="1">IFERROR(__xludf.DUMMYFUNCTION("""COMPUTED_VALUE"""),"PAINE")</f>
        <v>PAINE</v>
      </c>
    </row>
    <row r="6052" spans="1:4">
      <c r="A6052" s="7">
        <f ca="1">IFERROR(__xludf.DUMMYFUNCTION("""COMPUTED_VALUE"""),44551)</f>
        <v>44551</v>
      </c>
      <c r="B6052" s="6" t="str">
        <f ca="1">IFERROR(__xludf.DUMMYFUNCTION("""COMPUTED_VALUE"""),"-33.803485,-70.734519")</f>
        <v>-33.803485,-70.734519</v>
      </c>
      <c r="C6052" s="6" t="str">
        <f ca="1">IFERROR(__xludf.DUMMYFUNCTION("""COMPUTED_VALUE"""),"GRAN AVENIDA 424")</f>
        <v>GRAN AVENIDA 424</v>
      </c>
      <c r="D6052" s="6" t="str">
        <f ca="1">IFERROR(__xludf.DUMMYFUNCTION("""COMPUTED_VALUE"""),"PAINE")</f>
        <v>PAINE</v>
      </c>
    </row>
    <row r="6053" spans="1:4">
      <c r="A6053" s="7">
        <f ca="1">IFERROR(__xludf.DUMMYFUNCTION("""COMPUTED_VALUE"""),44551)</f>
        <v>44551</v>
      </c>
      <c r="B6053" s="6" t="str">
        <f ca="1">IFERROR(__xludf.DUMMYFUNCTION("""COMPUTED_VALUE"""),"-33.802736,-70.714761")</f>
        <v>-33.802736,-70.714761</v>
      </c>
      <c r="C6053" s="6" t="str">
        <f ca="1">IFERROR(__xludf.DUMMYFUNCTION("""COMPUTED_VALUE"""),"NUEVA ESPERANZA 45")</f>
        <v>NUEVA ESPERANZA 45</v>
      </c>
      <c r="D6053" s="6" t="str">
        <f ca="1">IFERROR(__xludf.DUMMYFUNCTION("""COMPUTED_VALUE"""),"PAINE")</f>
        <v>PAINE</v>
      </c>
    </row>
    <row r="6054" spans="1:4">
      <c r="A6054" s="7">
        <f ca="1">IFERROR(__xludf.DUMMYFUNCTION("""COMPUTED_VALUE"""),44551)</f>
        <v>44551</v>
      </c>
      <c r="B6054" s="6" t="str">
        <f ca="1">IFERROR(__xludf.DUMMYFUNCTION("""COMPUTED_VALUE"""),"-33.5666684,-70.788462")</f>
        <v>-33.5666684,-70.788462</v>
      </c>
      <c r="C6054" s="6" t="str">
        <f ca="1">IFERROR(__xludf.DUMMYFUNCTION("""COMPUTED_VALUE"""),"TERCERA TRANSVERSAL 213")</f>
        <v>TERCERA TRANSVERSAL 213</v>
      </c>
      <c r="D6054" s="6" t="str">
        <f ca="1">IFERROR(__xludf.DUMMYFUNCTION("""COMPUTED_VALUE"""),"PADRE HURTADO")</f>
        <v>PADRE HURTADO</v>
      </c>
    </row>
    <row r="6055" spans="1:4">
      <c r="A6055" s="7">
        <f ca="1">IFERROR(__xludf.DUMMYFUNCTION("""COMPUTED_VALUE"""),44551)</f>
        <v>44551</v>
      </c>
      <c r="B6055" s="6" t="str">
        <f ca="1">IFERROR(__xludf.DUMMYFUNCTION("""COMPUTED_VALUE"""),"-33.812736,-70.734382")</f>
        <v>-33.812736,-70.734382</v>
      </c>
      <c r="C6055" s="6" t="str">
        <f ca="1">IFERROR(__xludf.DUMMYFUNCTION("""COMPUTED_VALUE"""),"LOS HEROES 873")</f>
        <v>LOS HEROES 873</v>
      </c>
      <c r="D6055" s="6" t="str">
        <f ca="1">IFERROR(__xludf.DUMMYFUNCTION("""COMPUTED_VALUE"""),"PAINE")</f>
        <v>PAINE</v>
      </c>
    </row>
    <row r="6056" spans="1:4">
      <c r="A6056" s="7">
        <f ca="1">IFERROR(__xludf.DUMMYFUNCTION("""COMPUTED_VALUE"""),44551)</f>
        <v>44551</v>
      </c>
      <c r="B6056" s="6" t="str">
        <f ca="1">IFERROR(__xludf.DUMMYFUNCTION("""COMPUTED_VALUE"""),"-33.816344,-70.742579")</f>
        <v>-33.816344,-70.742579</v>
      </c>
      <c r="C6056" s="6" t="str">
        <f ca="1">IFERROR(__xludf.DUMMYFUNCTION("""COMPUTED_VALUE"""),"MIGUEL CAMPINO 66")</f>
        <v>MIGUEL CAMPINO 66</v>
      </c>
      <c r="D6056" s="6" t="str">
        <f ca="1">IFERROR(__xludf.DUMMYFUNCTION("""COMPUTED_VALUE"""),"PAINE")</f>
        <v>PAINE</v>
      </c>
    </row>
    <row r="6057" spans="1:4">
      <c r="A6057" s="7">
        <f ca="1">IFERROR(__xludf.DUMMYFUNCTION("""COMPUTED_VALUE"""),44552)</f>
        <v>44552</v>
      </c>
      <c r="B6057" s="8" t="str">
        <f ca="1">IFERROR(__xludf.DUMMYFUNCTION("""COMPUTED_VALUE"""),"-33.7373812, -71.0218427")</f>
        <v>-33.7373812, -71.0218427</v>
      </c>
      <c r="C6057" s="6" t="str">
        <f ca="1">IFERROR(__xludf.DUMMYFUNCTION("""COMPUTED_VALUE"""),"LOS SILOS 39")</f>
        <v>LOS SILOS 39</v>
      </c>
      <c r="D6057" s="6" t="str">
        <f ca="1">IFERROR(__xludf.DUMMYFUNCTION("""COMPUTED_VALUE"""),"ISLA DE MAIPO")</f>
        <v>ISLA DE MAIPO</v>
      </c>
    </row>
    <row r="6058" spans="1:4">
      <c r="A6058" s="7">
        <f ca="1">IFERROR(__xludf.DUMMYFUNCTION("""COMPUTED_VALUE"""),44552)</f>
        <v>44552</v>
      </c>
      <c r="B6058" s="8" t="str">
        <f ca="1">IFERROR(__xludf.DUMMYFUNCTION("""COMPUTED_VALUE"""),"-33.7317316, -70.9092802")</f>
        <v>-33.7317316, -70.9092802</v>
      </c>
      <c r="C6058" s="6" t="str">
        <f ca="1">IFERROR(__xludf.DUMMYFUNCTION("""COMPUTED_VALUE"""),"LOS PALTOS 70")</f>
        <v>LOS PALTOS 70</v>
      </c>
      <c r="D6058" s="6" t="str">
        <f ca="1">IFERROR(__xludf.DUMMYFUNCTION("""COMPUTED_VALUE"""),"ISLA DE MAIPO")</f>
        <v>ISLA DE MAIPO</v>
      </c>
    </row>
    <row r="6059" spans="1:4">
      <c r="A6059" s="7">
        <f ca="1">IFERROR(__xludf.DUMMYFUNCTION("""COMPUTED_VALUE"""),44552)</f>
        <v>44552</v>
      </c>
      <c r="B6059" s="8" t="str">
        <f ca="1">IFERROR(__xludf.DUMMYFUNCTION("""COMPUTED_VALUE"""),"-33.7493033, -70.8700842")</f>
        <v>-33.7493033, -70.8700842</v>
      </c>
      <c r="C6059" s="6" t="str">
        <f ca="1">IFERROR(__xludf.DUMMYFUNCTION("""COMPUTED_VALUE"""),"LOS SALTARINES  408")</f>
        <v>LOS SALTARINES  408</v>
      </c>
      <c r="D6059" s="6" t="str">
        <f ca="1">IFERROR(__xludf.DUMMYFUNCTION("""COMPUTED_VALUE"""),"ISLA DE MAIPO")</f>
        <v>ISLA DE MAIPO</v>
      </c>
    </row>
    <row r="6060" spans="1:4">
      <c r="A6060" s="7">
        <f ca="1">IFERROR(__xludf.DUMMYFUNCTION("""COMPUTED_VALUE"""),44552)</f>
        <v>44552</v>
      </c>
      <c r="B6060" s="8" t="str">
        <f ca="1">IFERROR(__xludf.DUMMYFUNCTION("""COMPUTED_VALUE"""),"-33.747555, -70.9116347")</f>
        <v>-33.747555, -70.9116347</v>
      </c>
      <c r="C6060" s="6" t="str">
        <f ca="1">IFERROR(__xludf.DUMMYFUNCTION("""COMPUTED_VALUE"""),"LO MARTINEZ 970 L2")</f>
        <v>LO MARTINEZ 970 L2</v>
      </c>
      <c r="D6060" s="6" t="str">
        <f ca="1">IFERROR(__xludf.DUMMYFUNCTION("""COMPUTED_VALUE"""),"ISLA DE MAIPO")</f>
        <v>ISLA DE MAIPO</v>
      </c>
    </row>
    <row r="6061" spans="1:4">
      <c r="A6061" s="7">
        <f ca="1">IFERROR(__xludf.DUMMYFUNCTION("""COMPUTED_VALUE"""),44552)</f>
        <v>44552</v>
      </c>
      <c r="B6061" s="6" t="str">
        <f ca="1">IFERROR(__xludf.DUMMYFUNCTION("""COMPUTED_VALUE"""),"-33.611785-70.901585")</f>
        <v>-33.611785-70.901585</v>
      </c>
      <c r="C6061" s="6" t="str">
        <f ca="1">IFERROR(__xludf.DUMMYFUNCTION("""COMPUTED_VALUE"""),"BASTERRICA 57")</f>
        <v>BASTERRICA 57</v>
      </c>
      <c r="D6061" s="6" t="str">
        <f ca="1">IFERROR(__xludf.DUMMYFUNCTION("""COMPUTED_VALUE"""),"PEÑAFLOR")</f>
        <v>PEÑAFLOR</v>
      </c>
    </row>
    <row r="6062" spans="1:4">
      <c r="A6062" s="7">
        <f ca="1">IFERROR(__xludf.DUMMYFUNCTION("""COMPUTED_VALUE"""),44552)</f>
        <v>44552</v>
      </c>
      <c r="B6062" s="6" t="str">
        <f ca="1">IFERROR(__xludf.DUMMYFUNCTION("""COMPUTED_VALUE"""),"-33.6532861-70.3475846")</f>
        <v>-33.6532861-70.3475846</v>
      </c>
      <c r="C6062" s="6" t="str">
        <f ca="1">IFERROR(__xludf.DUMMYFUNCTION("""COMPUTED_VALUE"""),"CAMINO A LAGUNILLA 21664")</f>
        <v>CAMINO A LAGUNILLA 21664</v>
      </c>
      <c r="D6062" s="6" t="str">
        <f ca="1">IFERROR(__xludf.DUMMYFUNCTION("""COMPUTED_VALUE"""),"SAN JOSE DE MAIPO")</f>
        <v>SAN JOSE DE MAIPO</v>
      </c>
    </row>
    <row r="6063" spans="1:4">
      <c r="A6063" s="7">
        <f ca="1">IFERROR(__xludf.DUMMYFUNCTION("""COMPUTED_VALUE"""),44552)</f>
        <v>44552</v>
      </c>
      <c r="B6063" s="6" t="str">
        <f ca="1">IFERROR(__xludf.DUMMYFUNCTION("""COMPUTED_VALUE"""),"-33.6373927-70.3570731")</f>
        <v>-33.6373927-70.3570731</v>
      </c>
      <c r="C6063" s="6" t="str">
        <f ca="1">IFERROR(__xludf.DUMMYFUNCTION("""COMPUTED_VALUE"""),"CANADA NORTE 19590")</f>
        <v>CANADA NORTE 19590</v>
      </c>
      <c r="D6063" s="6" t="str">
        <f ca="1">IFERROR(__xludf.DUMMYFUNCTION("""COMPUTED_VALUE"""),"SAN JOSE DE MAIPO")</f>
        <v>SAN JOSE DE MAIPO</v>
      </c>
    </row>
    <row r="6064" spans="1:4">
      <c r="A6064" s="7">
        <f ca="1">IFERROR(__xludf.DUMMYFUNCTION("""COMPUTED_VALUE"""),44552)</f>
        <v>44552</v>
      </c>
      <c r="B6064" s="6" t="str">
        <f ca="1">IFERROR(__xludf.DUMMYFUNCTION("""COMPUTED_VALUE"""),"-33.681519-71.015528")</f>
        <v>-33.681519-71.015528</v>
      </c>
      <c r="C6064" s="6" t="str">
        <f ca="1">IFERROR(__xludf.DUMMYFUNCTION("""COMPUTED_VALUE"""),"SANTA JUANA PARC 118")</f>
        <v>SANTA JUANA PARC 118</v>
      </c>
      <c r="D6064" s="6" t="str">
        <f ca="1">IFERROR(__xludf.DUMMYFUNCTION("""COMPUTED_VALUE"""),"EL MONTE")</f>
        <v>EL MONTE</v>
      </c>
    </row>
    <row r="6065" spans="1:4">
      <c r="A6065" s="7">
        <f ca="1">IFERROR(__xludf.DUMMYFUNCTION("""COMPUTED_VALUE"""),44552)</f>
        <v>44552</v>
      </c>
      <c r="B6065" s="6" t="str">
        <f ca="1">IFERROR(__xludf.DUMMYFUNCTION("""COMPUTED_VALUE"""),"-33.682969-71.015708")</f>
        <v>-33.682969-71.015708</v>
      </c>
      <c r="C6065" s="6" t="str">
        <f ca="1">IFERROR(__xludf.DUMMYFUNCTION("""COMPUTED_VALUE"""),"SANTA JUANA PARC 118")</f>
        <v>SANTA JUANA PARC 118</v>
      </c>
      <c r="D6065" s="6" t="str">
        <f ca="1">IFERROR(__xludf.DUMMYFUNCTION("""COMPUTED_VALUE"""),"EL MONTE")</f>
        <v>EL MONTE</v>
      </c>
    </row>
    <row r="6066" spans="1:4">
      <c r="A6066" s="7">
        <f ca="1">IFERROR(__xludf.DUMMYFUNCTION("""COMPUTED_VALUE"""),44552)</f>
        <v>44552</v>
      </c>
      <c r="B6066" s="6" t="str">
        <f ca="1">IFERROR(__xludf.DUMMYFUNCTION("""COMPUTED_VALUE"""),"-33.724764,-70.594589")</f>
        <v>-33.724764,-70.594589</v>
      </c>
      <c r="C6066" s="6" t="str">
        <f ca="1">IFERROR(__xludf.DUMMYFUNCTION("""COMPUTED_VALUE"""),"LA ESCUELA 75")</f>
        <v>LA ESCUELA 75</v>
      </c>
      <c r="D6066" s="6" t="str">
        <f ca="1">IFERROR(__xludf.DUMMYFUNCTION("""COMPUTED_VALUE"""),"PIRQUE")</f>
        <v>PIRQUE</v>
      </c>
    </row>
    <row r="6067" spans="1:4">
      <c r="A6067" s="7">
        <f ca="1">IFERROR(__xludf.DUMMYFUNCTION("""COMPUTED_VALUE"""),44552)</f>
        <v>44552</v>
      </c>
      <c r="B6067" s="6" t="str">
        <f ca="1">IFERROR(__xludf.DUMMYFUNCTION("""COMPUTED_VALUE"""),"-33.698491,-70.567482")</f>
        <v>-33.698491,-70.567482</v>
      </c>
      <c r="C6067" s="6" t="str">
        <f ca="1">IFERROR(__xludf.DUMMYFUNCTION("""COMPUTED_VALUE"""),"LOS OLMO 8-A")</f>
        <v>LOS OLMO 8-A</v>
      </c>
      <c r="D6067" s="6" t="str">
        <f ca="1">IFERROR(__xludf.DUMMYFUNCTION("""COMPUTED_VALUE"""),"PIRQUE")</f>
        <v>PIRQUE</v>
      </c>
    </row>
    <row r="6068" spans="1:4">
      <c r="A6068" s="7">
        <f ca="1">IFERROR(__xludf.DUMMYFUNCTION("""COMPUTED_VALUE"""),44552)</f>
        <v>44552</v>
      </c>
      <c r="B6068" s="6" t="str">
        <f ca="1">IFERROR(__xludf.DUMMYFUNCTION("""COMPUTED_VALUE"""),"-33.716081,-70.549537")</f>
        <v>-33.716081,-70.549537</v>
      </c>
      <c r="C6068" s="6" t="str">
        <f ca="1">IFERROR(__xludf.DUMMYFUNCTION("""COMPUTED_VALUE"""),"CHALACO 59")</f>
        <v>CHALACO 59</v>
      </c>
      <c r="D6068" s="6" t="str">
        <f ca="1">IFERROR(__xludf.DUMMYFUNCTION("""COMPUTED_VALUE"""),"PIRQUE")</f>
        <v>PIRQUE</v>
      </c>
    </row>
    <row r="6069" spans="1:4">
      <c r="A6069" s="7">
        <f ca="1">IFERROR(__xludf.DUMMYFUNCTION("""COMPUTED_VALUE"""),44552)</f>
        <v>44552</v>
      </c>
      <c r="B6069" s="6" t="str">
        <f ca="1">IFERROR(__xludf.DUMMYFUNCTION("""COMPUTED_VALUE"""),"-33.746422,-70.872215")</f>
        <v>-33.746422,-70.872215</v>
      </c>
      <c r="C6069" s="6" t="str">
        <f ca="1">IFERROR(__xludf.DUMMYFUNCTION("""COMPUTED_VALUE"""),"CONCHA CARRERA 1640")</f>
        <v>CONCHA CARRERA 1640</v>
      </c>
      <c r="D6069" s="6" t="str">
        <f ca="1">IFERROR(__xludf.DUMMYFUNCTION("""COMPUTED_VALUE"""),"ISLA DE MAIPO")</f>
        <v>ISLA DE MAIPO</v>
      </c>
    </row>
    <row r="6070" spans="1:4">
      <c r="A6070" s="7">
        <f ca="1">IFERROR(__xludf.DUMMYFUNCTION("""COMPUTED_VALUE"""),44552)</f>
        <v>44552</v>
      </c>
      <c r="B6070" s="6" t="str">
        <f ca="1">IFERROR(__xludf.DUMMYFUNCTION("""COMPUTED_VALUE"""),"-33.640677,-70.914436")</f>
        <v>-33.640677,-70.914436</v>
      </c>
      <c r="C6070" s="6" t="str">
        <f ca="1">IFERROR(__xludf.DUMMYFUNCTION("""COMPUTED_VALUE"""),"AV LUCAS PACHECO 2845 EX-0135")</f>
        <v>AV LUCAS PACHECO 2845 EX-0135</v>
      </c>
      <c r="D6070" s="6" t="str">
        <f ca="1">IFERROR(__xludf.DUMMYFUNCTION("""COMPUTED_VALUE"""),"TALAGANTE")</f>
        <v>TALAGANTE</v>
      </c>
    </row>
    <row r="6071" spans="1:4">
      <c r="A6071" s="7">
        <f ca="1">IFERROR(__xludf.DUMMYFUNCTION("""COMPUTED_VALUE"""),44552)</f>
        <v>44552</v>
      </c>
      <c r="B6071" s="6" t="str">
        <f ca="1">IFERROR(__xludf.DUMMYFUNCTION("""COMPUTED_VALUE"""),"-33.596588,-70.878075")</f>
        <v>-33.596588,-70.878075</v>
      </c>
      <c r="C6071" s="6" t="str">
        <f ca="1">IFERROR(__xludf.DUMMYFUNCTION("""COMPUTED_VALUE"""),"AV LUCAS PACHECO 2845 ")</f>
        <v xml:space="preserve">AV LUCAS PACHECO 2845 </v>
      </c>
      <c r="D6071" s="6" t="str">
        <f ca="1">IFERROR(__xludf.DUMMYFUNCTION("""COMPUTED_VALUE"""),"TALAGANTE")</f>
        <v>TALAGANTE</v>
      </c>
    </row>
    <row r="6072" spans="1:4">
      <c r="A6072" s="7">
        <f ca="1">IFERROR(__xludf.DUMMYFUNCTION("""COMPUTED_VALUE"""),44552)</f>
        <v>44552</v>
      </c>
      <c r="B6072" s="8" t="str">
        <f ca="1">IFERROR(__xludf.DUMMYFUNCTION("""COMPUTED_VALUE"""),"-33.779230,-71.241275")</f>
        <v>-33.779230,-71.241275</v>
      </c>
      <c r="C6072" s="6" t="str">
        <f ca="1">IFERROR(__xludf.DUMMYFUNCTION("""COMPUTED_VALUE"""),"ARCILLA 17 CULIPRAN ")</f>
        <v xml:space="preserve">ARCILLA 17 CULIPRAN </v>
      </c>
      <c r="D6072" s="6" t="str">
        <f ca="1">IFERROR(__xludf.DUMMYFUNCTION("""COMPUTED_VALUE"""),"MELIPILLA")</f>
        <v>MELIPILLA</v>
      </c>
    </row>
    <row r="6073" spans="1:4">
      <c r="A6073" s="7">
        <f ca="1">IFERROR(__xludf.DUMMYFUNCTION("""COMPUTED_VALUE"""),44552)</f>
        <v>44552</v>
      </c>
      <c r="B6073" s="8" t="str">
        <f ca="1">IFERROR(__xludf.DUMMYFUNCTION("""COMPUTED_VALUE"""),"-33.814697,-71.314522")</f>
        <v>-33.814697,-71.314522</v>
      </c>
      <c r="C6073" s="6" t="str">
        <f ca="1">IFERROR(__xludf.DUMMYFUNCTION("""COMPUTED_VALUE"""),"CALLEJON LAS GOLONDRINAS ")</f>
        <v xml:space="preserve">CALLEJON LAS GOLONDRINAS </v>
      </c>
      <c r="D6073" s="6" t="str">
        <f ca="1">IFERROR(__xludf.DUMMYFUNCTION("""COMPUTED_VALUE"""),"MELIPILLA")</f>
        <v>MELIPILLA</v>
      </c>
    </row>
    <row r="6074" spans="1:4">
      <c r="A6074" s="7">
        <f ca="1">IFERROR(__xludf.DUMMYFUNCTION("""COMPUTED_VALUE"""),44552)</f>
        <v>44552</v>
      </c>
      <c r="B6074" s="8" t="str">
        <f ca="1">IFERROR(__xludf.DUMMYFUNCTION("""COMPUTED_VALUE"""),"-33.779008,-71.149613")</f>
        <v>-33.779008,-71.149613</v>
      </c>
      <c r="C6074" s="6" t="str">
        <f ca="1">IFERROR(__xludf.DUMMYFUNCTION("""COMPUTED_VALUE"""),"PARCELA NUMERO 30 CHOLQUI ")</f>
        <v xml:space="preserve">PARCELA NUMERO 30 CHOLQUI </v>
      </c>
      <c r="D6074" s="6" t="str">
        <f ca="1">IFERROR(__xludf.DUMMYFUNCTION("""COMPUTED_VALUE"""),"MELIPILLA")</f>
        <v>MELIPILLA</v>
      </c>
    </row>
    <row r="6075" spans="1:4">
      <c r="A6075" s="7">
        <f ca="1">IFERROR(__xludf.DUMMYFUNCTION("""COMPUTED_VALUE"""),44552)</f>
        <v>44552</v>
      </c>
      <c r="B6075" s="8" t="str">
        <f ca="1">IFERROR(__xludf.DUMMYFUNCTION("""COMPUTED_VALUE"""),"-33.779842,-71.146632")</f>
        <v>-33.779842,-71.146632</v>
      </c>
      <c r="C6075" s="6" t="str">
        <f ca="1">IFERROR(__xludf.DUMMYFUNCTION("""COMPUTED_VALUE"""),"PARCELA NUMERO 30 CHOLQUI ")</f>
        <v xml:space="preserve">PARCELA NUMERO 30 CHOLQUI </v>
      </c>
      <c r="D6075" s="6" t="str">
        <f ca="1">IFERROR(__xludf.DUMMYFUNCTION("""COMPUTED_VALUE"""),"MELIPILLA")</f>
        <v>MELIPILLA</v>
      </c>
    </row>
    <row r="6076" spans="1:4">
      <c r="A6076" s="7">
        <f ca="1">IFERROR(__xludf.DUMMYFUNCTION("""COMPUTED_VALUE"""),44552)</f>
        <v>44552</v>
      </c>
      <c r="B6076" s="8" t="str">
        <f ca="1">IFERROR(__xludf.DUMMYFUNCTION("""COMPUTED_VALUE"""),"-33.787718,-70.786567")</f>
        <v>-33.787718,-70.786567</v>
      </c>
      <c r="C6076" s="6" t="str">
        <f ca="1">IFERROR(__xludf.DUMMYFUNCTION("""COMPUTED_VALUE"""),"VILUCO 5000 lote 2")</f>
        <v>VILUCO 5000 lote 2</v>
      </c>
      <c r="D6076" s="6" t="str">
        <f ca="1">IFERROR(__xludf.DUMMYFUNCTION("""COMPUTED_VALUE"""),"BUIN")</f>
        <v>BUIN</v>
      </c>
    </row>
    <row r="6077" spans="1:4">
      <c r="A6077" s="7">
        <f ca="1">IFERROR(__xludf.DUMMYFUNCTION("""COMPUTED_VALUE"""),44552)</f>
        <v>44552</v>
      </c>
      <c r="B6077" s="8" t="str">
        <f ca="1">IFERROR(__xludf.DUMMYFUNCTION("""COMPUTED_VALUE"""),"-33.721596,-71.735680")</f>
        <v>-33.721596,-71.735680</v>
      </c>
      <c r="C6077" s="6" t="str">
        <f ca="1">IFERROR(__xludf.DUMMYFUNCTION("""COMPUTED_VALUE"""),"AV EL PARQUE 576")</f>
        <v>AV EL PARQUE 576</v>
      </c>
      <c r="D6077" s="6" t="str">
        <f ca="1">IFERROR(__xludf.DUMMYFUNCTION("""COMPUTED_VALUE"""),"BUIN")</f>
        <v>BUIN</v>
      </c>
    </row>
    <row r="6078" spans="1:4">
      <c r="A6078" s="7">
        <f ca="1">IFERROR(__xludf.DUMMYFUNCTION("""COMPUTED_VALUE"""),44552)</f>
        <v>44552</v>
      </c>
      <c r="B6078" s="8" t="str">
        <f ca="1">IFERROR(__xludf.DUMMYFUNCTION("""COMPUTED_VALUE"""),"-33.788752,-70.820260")</f>
        <v>-33.788752,-70.820260</v>
      </c>
      <c r="C6078" s="6" t="str">
        <f ca="1">IFERROR(__xludf.DUMMYFUNCTION("""COMPUTED_VALUE"""),"CAMPUSANO 3827")</f>
        <v>CAMPUSANO 3827</v>
      </c>
      <c r="D6078" s="6" t="str">
        <f ca="1">IFERROR(__xludf.DUMMYFUNCTION("""COMPUTED_VALUE"""),"BUIN")</f>
        <v>BUIN</v>
      </c>
    </row>
    <row r="6079" spans="1:4">
      <c r="A6079" s="7">
        <f ca="1">IFERROR(__xludf.DUMMYFUNCTION("""COMPUTED_VALUE"""),44552)</f>
        <v>44552</v>
      </c>
      <c r="B6079" s="8" t="str">
        <f ca="1">IFERROR(__xludf.DUMMYFUNCTION("""COMPUTED_VALUE"""),"-33.661671,-70.920670")</f>
        <v>-33.661671,-70.920670</v>
      </c>
      <c r="C6079" s="6" t="str">
        <f ca="1">IFERROR(__xludf.DUMMYFUNCTION("""COMPUTED_VALUE"""),"ESMERALDA 461")</f>
        <v>ESMERALDA 461</v>
      </c>
      <c r="D6079" s="6" t="str">
        <f ca="1">IFERROR(__xludf.DUMMYFUNCTION("""COMPUTED_VALUE"""),"TALAGANTE")</f>
        <v>TALAGANTE</v>
      </c>
    </row>
    <row r="6080" spans="1:4">
      <c r="A6080" s="7">
        <f ca="1">IFERROR(__xludf.DUMMYFUNCTION("""COMPUTED_VALUE"""),44552)</f>
        <v>44552</v>
      </c>
      <c r="B6080" s="8" t="str">
        <f ca="1">IFERROR(__xludf.DUMMYFUNCTION("""COMPUTED_VALUE"""),"-33.563533,-70.764315")</f>
        <v>-33.563533,-70.764315</v>
      </c>
      <c r="C6080" s="6" t="str">
        <f ca="1">IFERROR(__xludf.DUMMYFUNCTION("""COMPUTED_VALUE"""),"CAMINO LONQUEN PARCELA 74 D")</f>
        <v>CAMINO LONQUEN PARCELA 74 D</v>
      </c>
      <c r="D6080" s="6" t="str">
        <f ca="1">IFERROR(__xludf.DUMMYFUNCTION("""COMPUTED_VALUE"""),"CALERA DE TANGO")</f>
        <v>CALERA DE TANGO</v>
      </c>
    </row>
    <row r="6081" spans="1:4">
      <c r="A6081" s="7">
        <f ca="1">IFERROR(__xludf.DUMMYFUNCTION("""COMPUTED_VALUE"""),44552)</f>
        <v>44552</v>
      </c>
      <c r="B6081" s="6" t="str">
        <f ca="1">IFERROR(__xludf.DUMMYFUNCTION("""COMPUTED_VALUE"""),"-33.043760-71.402147")</f>
        <v>-33.043760-71.402147</v>
      </c>
      <c r="C6081" s="6" t="str">
        <f ca="1">IFERROR(__xludf.DUMMYFUNCTION("""COMPUTED_VALUE"""),"BELGRANO 325")</f>
        <v>BELGRANO 325</v>
      </c>
      <c r="D6081" s="6" t="str">
        <f ca="1">IFERROR(__xludf.DUMMYFUNCTION("""COMPUTED_VALUE"""),"QUILPUÉ")</f>
        <v>QUILPUÉ</v>
      </c>
    </row>
    <row r="6082" spans="1:4">
      <c r="A6082" s="7">
        <f ca="1">IFERROR(__xludf.DUMMYFUNCTION("""COMPUTED_VALUE"""),44552)</f>
        <v>44552</v>
      </c>
      <c r="B6082" s="6" t="str">
        <f ca="1">IFERROR(__xludf.DUMMYFUNCTION("""COMPUTED_VALUE"""),"-33.042690-71.405441")</f>
        <v>-33.042690-71.405441</v>
      </c>
      <c r="C6082" s="6" t="str">
        <f ca="1">IFERROR(__xludf.DUMMYFUNCTION("""COMPUTED_VALUE"""),"GOMEZ CARREÑO 349")</f>
        <v>GOMEZ CARREÑO 349</v>
      </c>
      <c r="D6082" s="6" t="str">
        <f ca="1">IFERROR(__xludf.DUMMYFUNCTION("""COMPUTED_VALUE"""),"QUILPUÉ")</f>
        <v>QUILPUÉ</v>
      </c>
    </row>
    <row r="6083" spans="1:4">
      <c r="A6083" s="7">
        <f ca="1">IFERROR(__xludf.DUMMYFUNCTION("""COMPUTED_VALUE"""),44552)</f>
        <v>44552</v>
      </c>
      <c r="B6083" s="6" t="str">
        <f ca="1">IFERROR(__xludf.DUMMYFUNCTION("""COMPUTED_VALUE"""),"-33.047544-71.402225")</f>
        <v>-33.047544-71.402225</v>
      </c>
      <c r="C6083" s="6" t="str">
        <f ca="1">IFERROR(__xludf.DUMMYFUNCTION("""COMPUTED_VALUE"""),"INES DE SUAREZ 16")</f>
        <v>INES DE SUAREZ 16</v>
      </c>
      <c r="D6083" s="6" t="str">
        <f ca="1">IFERROR(__xludf.DUMMYFUNCTION("""COMPUTED_VALUE"""),"QUILPUÉ")</f>
        <v>QUILPUÉ</v>
      </c>
    </row>
    <row r="6084" spans="1:4">
      <c r="A6084" s="7">
        <f ca="1">IFERROR(__xludf.DUMMYFUNCTION("""COMPUTED_VALUE"""),44552)</f>
        <v>44552</v>
      </c>
      <c r="B6084" s="6" t="str">
        <f ca="1">IFERROR(__xludf.DUMMYFUNCTION("""COMPUTED_VALUE"""),"-33.034293-71.407742")</f>
        <v>-33.034293-71.407742</v>
      </c>
      <c r="C6084" s="6" t="str">
        <f ca="1">IFERROR(__xludf.DUMMYFUNCTION("""COMPUTED_VALUE"""),"AV. EL BELLOTO 1078")</f>
        <v>AV. EL BELLOTO 1078</v>
      </c>
      <c r="D6084" s="6" t="str">
        <f ca="1">IFERROR(__xludf.DUMMYFUNCTION("""COMPUTED_VALUE"""),"QUILPUÉ")</f>
        <v>QUILPUÉ</v>
      </c>
    </row>
    <row r="6085" spans="1:4">
      <c r="A6085" s="7">
        <f ca="1">IFERROR(__xludf.DUMMYFUNCTION("""COMPUTED_VALUE"""),44552)</f>
        <v>44552</v>
      </c>
      <c r="B6085" s="6" t="str">
        <f ca="1">IFERROR(__xludf.DUMMYFUNCTION("""COMPUTED_VALUE"""),"-33.823056,-70.731342")</f>
        <v>-33.823056,-70.731342</v>
      </c>
      <c r="C6085" s="6" t="str">
        <f ca="1">IFERROR(__xludf.DUMMYFUNCTION("""COMPUTED_VALUE"""),"CONTRERAS BELTRAN 947")</f>
        <v>CONTRERAS BELTRAN 947</v>
      </c>
      <c r="D6085" s="6" t="str">
        <f ca="1">IFERROR(__xludf.DUMMYFUNCTION("""COMPUTED_VALUE"""),"PAINE")</f>
        <v>PAINE</v>
      </c>
    </row>
    <row r="6086" spans="1:4">
      <c r="A6086" s="7">
        <f ca="1">IFERROR(__xludf.DUMMYFUNCTION("""COMPUTED_VALUE"""),44552)</f>
        <v>44552</v>
      </c>
      <c r="B6086" s="6" t="str">
        <f ca="1">IFERROR(__xludf.DUMMYFUNCTION("""COMPUTED_VALUE"""),"-33.878069,-70.742877")</f>
        <v>-33.878069,-70.742877</v>
      </c>
      <c r="C6086" s="6" t="str">
        <f ca="1">IFERROR(__xludf.DUMMYFUNCTION("""COMPUTED_VALUE"""),"LAS MULAS 12")</f>
        <v>LAS MULAS 12</v>
      </c>
      <c r="D6086" s="6" t="str">
        <f ca="1">IFERROR(__xludf.DUMMYFUNCTION("""COMPUTED_VALUE"""),"PAINE")</f>
        <v>PAINE</v>
      </c>
    </row>
    <row r="6087" spans="1:4">
      <c r="A6087" s="7">
        <f ca="1">IFERROR(__xludf.DUMMYFUNCTION("""COMPUTED_VALUE"""),44552)</f>
        <v>44552</v>
      </c>
      <c r="B6087" s="6" t="str">
        <f ca="1">IFERROR(__xludf.DUMMYFUNCTION("""COMPUTED_VALUE"""),"-33.863599,-70.75077")</f>
        <v>-33.863599,-70.75077</v>
      </c>
      <c r="C6087" s="6" t="str">
        <f ca="1">IFERROR(__xludf.DUMMYFUNCTION("""COMPUTED_VALUE"""),"LAS ACACIAS 1164")</f>
        <v>LAS ACACIAS 1164</v>
      </c>
      <c r="D6087" s="6" t="str">
        <f ca="1">IFERROR(__xludf.DUMMYFUNCTION("""COMPUTED_VALUE"""),"PAINE")</f>
        <v>PAINE</v>
      </c>
    </row>
    <row r="6088" spans="1:4">
      <c r="A6088" s="7">
        <f ca="1">IFERROR(__xludf.DUMMYFUNCTION("""COMPUTED_VALUE"""),44552)</f>
        <v>44552</v>
      </c>
      <c r="B6088" s="6" t="str">
        <f ca="1">IFERROR(__xludf.DUMMYFUNCTION("""COMPUTED_VALUE"""),"-33.871305,-70.744420")</f>
        <v>-33.871305,-70.744420</v>
      </c>
      <c r="C6088" s="6" t="str">
        <f ca="1">IFERROR(__xludf.DUMMYFUNCTION("""COMPUTED_VALUE"""),"EL HUERTO 22")</f>
        <v>EL HUERTO 22</v>
      </c>
      <c r="D6088" s="6" t="str">
        <f ca="1">IFERROR(__xludf.DUMMYFUNCTION("""COMPUTED_VALUE"""),"PAINE")</f>
        <v>PAINE</v>
      </c>
    </row>
    <row r="6089" spans="1:4">
      <c r="A6089" s="7">
        <f ca="1">IFERROR(__xludf.DUMMYFUNCTION("""COMPUTED_VALUE"""),44552)</f>
        <v>44552</v>
      </c>
      <c r="B6089" s="6" t="str">
        <f ca="1">IFERROR(__xludf.DUMMYFUNCTION("""COMPUTED_VALUE"""),"-33.871464,-70.744690")</f>
        <v>-33.871464,-70.744690</v>
      </c>
      <c r="C6089" s="6" t="str">
        <f ca="1">IFERROR(__xludf.DUMMYFUNCTION("""COMPUTED_VALUE"""),"EL HUERTO 22")</f>
        <v>EL HUERTO 22</v>
      </c>
      <c r="D6089" s="6" t="str">
        <f ca="1">IFERROR(__xludf.DUMMYFUNCTION("""COMPUTED_VALUE"""),"PAINE")</f>
        <v>PAINE</v>
      </c>
    </row>
    <row r="6090" spans="1:4">
      <c r="A6090" s="7">
        <f ca="1">IFERROR(__xludf.DUMMYFUNCTION("""COMPUTED_VALUE"""),44552)</f>
        <v>44552</v>
      </c>
      <c r="B6090" s="6" t="str">
        <f ca="1">IFERROR(__xludf.DUMMYFUNCTION("""COMPUTED_VALUE"""),"-33.837435,-70.64283")</f>
        <v>-33.837435,-70.64283</v>
      </c>
      <c r="C6090" s="6" t="str">
        <f ca="1">IFERROR(__xludf.DUMMYFUNCTION("""COMPUTED_VALUE"""),"SANTA TERESA SITIO 44")</f>
        <v>SANTA TERESA SITIO 44</v>
      </c>
      <c r="D6090" s="6" t="str">
        <f ca="1">IFERROR(__xludf.DUMMYFUNCTION("""COMPUTED_VALUE"""),"PAINE")</f>
        <v>PAINE</v>
      </c>
    </row>
    <row r="6091" spans="1:4">
      <c r="A6091" s="7">
        <f ca="1">IFERROR(__xludf.DUMMYFUNCTION("""COMPUTED_VALUE"""),44552)</f>
        <v>44552</v>
      </c>
      <c r="B6091" s="6" t="str">
        <f ca="1">IFERROR(__xludf.DUMMYFUNCTION("""COMPUTED_VALUE"""),"-33.837435,-70.64283")</f>
        <v>-33.837435,-70.64283</v>
      </c>
      <c r="C6091" s="6" t="str">
        <f ca="1">IFERROR(__xludf.DUMMYFUNCTION("""COMPUTED_VALUE"""),"SANTA TERESA SITIO 44 CASA ")</f>
        <v xml:space="preserve">SANTA TERESA SITIO 44 CASA </v>
      </c>
      <c r="D6091" s="6" t="str">
        <f ca="1">IFERROR(__xludf.DUMMYFUNCTION("""COMPUTED_VALUE"""),"PAINE")</f>
        <v>PAINE</v>
      </c>
    </row>
    <row r="6092" spans="1:4">
      <c r="A6092" s="7">
        <f ca="1">IFERROR(__xludf.DUMMYFUNCTION("""COMPUTED_VALUE"""),44552)</f>
        <v>44552</v>
      </c>
      <c r="B6092" s="6" t="str">
        <f ca="1">IFERROR(__xludf.DUMMYFUNCTION("""COMPUTED_VALUE"""),"-33.855625,-70.759552")</f>
        <v>-33.855625,-70.759552</v>
      </c>
      <c r="C6092" s="6" t="str">
        <f ca="1">IFERROR(__xludf.DUMMYFUNCTION("""COMPUTED_VALUE"""),"DARIO PEREZ 126")</f>
        <v>DARIO PEREZ 126</v>
      </c>
      <c r="D6092" s="6" t="str">
        <f ca="1">IFERROR(__xludf.DUMMYFUNCTION("""COMPUTED_VALUE"""),"PAINE")</f>
        <v>PAINE</v>
      </c>
    </row>
    <row r="6093" spans="1:4">
      <c r="A6093" s="7">
        <f ca="1">IFERROR(__xludf.DUMMYFUNCTION("""COMPUTED_VALUE"""),44552)</f>
        <v>44552</v>
      </c>
      <c r="B6093" s="6" t="str">
        <f ca="1">IFERROR(__xludf.DUMMYFUNCTION("""COMPUTED_VALUE"""),"-33.818145,-70.741931")</f>
        <v>-33.818145,-70.741931</v>
      </c>
      <c r="C6093" s="6" t="str">
        <f ca="1">IFERROR(__xludf.DUMMYFUNCTION("""COMPUTED_VALUE"""),"PJE CUATRO 1184 POBL STA MARIA")</f>
        <v>PJE CUATRO 1184 POBL STA MARIA</v>
      </c>
      <c r="D6093" s="6" t="str">
        <f ca="1">IFERROR(__xludf.DUMMYFUNCTION("""COMPUTED_VALUE"""),"PAINE")</f>
        <v>PAINE</v>
      </c>
    </row>
    <row r="6094" spans="1:4">
      <c r="A6094" s="7">
        <f ca="1">IFERROR(__xludf.DUMMYFUNCTION("""COMPUTED_VALUE"""),44552)</f>
        <v>44552</v>
      </c>
      <c r="B6094" s="6" t="str">
        <f ca="1">IFERROR(__xludf.DUMMYFUNCTION("""COMPUTED_VALUE"""),"-33780446,-70.639087")</f>
        <v>-33780446,-70.639087</v>
      </c>
      <c r="C6094" s="6" t="str">
        <f ca="1">IFERROR(__xludf.DUMMYFUNCTION("""COMPUTED_VALUE"""),"APARICION S/N DE PAINE SITIO19")</f>
        <v>APARICION S/N DE PAINE SITIO19</v>
      </c>
      <c r="D6094" s="6" t="str">
        <f ca="1">IFERROR(__xludf.DUMMYFUNCTION("""COMPUTED_VALUE"""),"PAINE")</f>
        <v>PAINE</v>
      </c>
    </row>
    <row r="6095" spans="1:4">
      <c r="A6095" s="7">
        <f ca="1">IFERROR(__xludf.DUMMYFUNCTION("""COMPUTED_VALUE"""),44553)</f>
        <v>44553</v>
      </c>
      <c r="B6095" s="6" t="str">
        <f ca="1">IFERROR(__xludf.DUMMYFUNCTION("""COMPUTED_VALUE"""),"-33.689684-70.700134")</f>
        <v>-33.689684-70.700134</v>
      </c>
      <c r="C6095" s="6" t="str">
        <f ca="1">IFERROR(__xludf.DUMMYFUNCTION("""COMPUTED_VALUE"""),"EL RECURSO 47")</f>
        <v>EL RECURSO 47</v>
      </c>
      <c r="D6095" s="6" t="str">
        <f ca="1">IFERROR(__xludf.DUMMYFUNCTION("""COMPUTED_VALUE"""),"BUIN")</f>
        <v>BUIN</v>
      </c>
    </row>
    <row r="6096" spans="1:4">
      <c r="A6096" s="7">
        <f ca="1">IFERROR(__xludf.DUMMYFUNCTION("""COMPUTED_VALUE"""),44553)</f>
        <v>44553</v>
      </c>
      <c r="B6096" s="6" t="str">
        <f ca="1">IFERROR(__xludf.DUMMYFUNCTION("""COMPUTED_VALUE"""),"-33.689863-70.699936")</f>
        <v>-33.689863-70.699936</v>
      </c>
      <c r="C6096" s="6" t="str">
        <f ca="1">IFERROR(__xludf.DUMMYFUNCTION("""COMPUTED_VALUE"""),"EL RECURSO 47")</f>
        <v>EL RECURSO 47</v>
      </c>
      <c r="D6096" s="6" t="str">
        <f ca="1">IFERROR(__xludf.DUMMYFUNCTION("""COMPUTED_VALUE"""),"BUIN")</f>
        <v>BUIN</v>
      </c>
    </row>
    <row r="6097" spans="1:4">
      <c r="A6097" s="7">
        <f ca="1">IFERROR(__xludf.DUMMYFUNCTION("""COMPUTED_VALUE"""),44553)</f>
        <v>44553</v>
      </c>
      <c r="B6097" s="6" t="str">
        <f ca="1">IFERROR(__xludf.DUMMYFUNCTION("""COMPUTED_VALUE"""),"-33.6370053-70.3475423")</f>
        <v>-33.6370053-70.3475423</v>
      </c>
      <c r="C6097" s="6" t="str">
        <f ca="1">IFERROR(__xludf.DUMMYFUNCTION("""COMPUTED_VALUE"""),"AV, CEMENTERIO 19304")</f>
        <v>AV, CEMENTERIO 19304</v>
      </c>
      <c r="D6097" s="6" t="str">
        <f ca="1">IFERROR(__xludf.DUMMYFUNCTION("""COMPUTED_VALUE"""),"SAN JOSE DE MAIPO")</f>
        <v>SAN JOSE DE MAIPO</v>
      </c>
    </row>
    <row r="6098" spans="1:4">
      <c r="A6098" s="7">
        <f ca="1">IFERROR(__xludf.DUMMYFUNCTION("""COMPUTED_VALUE"""),44553)</f>
        <v>44553</v>
      </c>
      <c r="B6098" s="6" t="str">
        <f ca="1">IFERROR(__xludf.DUMMYFUNCTION("""COMPUTED_VALUE"""),"-33.6274397-70.3494")</f>
        <v>-33.6274397-70.3494</v>
      </c>
      <c r="C6098" s="6" t="str">
        <f ca="1">IFERROR(__xludf.DUMMYFUNCTION("""COMPUTED_VALUE"""),"AV EL ESFUERZO 18279")</f>
        <v>AV EL ESFUERZO 18279</v>
      </c>
      <c r="D6098" s="6" t="str">
        <f ca="1">IFERROR(__xludf.DUMMYFUNCTION("""COMPUTED_VALUE"""),"SAN JOSE DE MAIPO")</f>
        <v>SAN JOSE DE MAIPO</v>
      </c>
    </row>
    <row r="6099" spans="1:4">
      <c r="A6099" s="7">
        <f ca="1">IFERROR(__xludf.DUMMYFUNCTION("""COMPUTED_VALUE"""),44553)</f>
        <v>44553</v>
      </c>
      <c r="B6099" s="6" t="str">
        <f ca="1">IFERROR(__xludf.DUMMYFUNCTION("""COMPUTED_VALUE"""),"-33-5879759-70.473283")</f>
        <v>-33-5879759-70.473283</v>
      </c>
      <c r="C6099" s="6" t="str">
        <f ca="1">IFERROR(__xludf.DUMMYFUNCTION("""COMPUTED_VALUE"""),"LAS COMPUERTAS 140")</f>
        <v>LAS COMPUERTAS 140</v>
      </c>
      <c r="D6099" s="6" t="str">
        <f ca="1">IFERROR(__xludf.DUMMYFUNCTION("""COMPUTED_VALUE"""),"SAN JOSE DE MAIPO")</f>
        <v>SAN JOSE DE MAIPO</v>
      </c>
    </row>
    <row r="6100" spans="1:4">
      <c r="A6100" s="7">
        <f ca="1">IFERROR(__xludf.DUMMYFUNCTION("""COMPUTED_VALUE"""),44553)</f>
        <v>44553</v>
      </c>
      <c r="B6100" s="6" t="str">
        <f ca="1">IFERROR(__xludf.DUMMYFUNCTION("""COMPUTED_VALUE"""),"-33.719407,-70.553475")</f>
        <v>-33.719407,-70.553475</v>
      </c>
      <c r="C6100" s="6" t="str">
        <f ca="1">IFERROR(__xludf.DUMMYFUNCTION("""COMPUTED_VALUE"""),"EL PRINCIPAL 116")</f>
        <v>EL PRINCIPAL 116</v>
      </c>
      <c r="D6100" s="6" t="str">
        <f ca="1">IFERROR(__xludf.DUMMYFUNCTION("""COMPUTED_VALUE"""),"PIRQUE")</f>
        <v>PIRQUE</v>
      </c>
    </row>
    <row r="6101" spans="1:4">
      <c r="A6101" s="7">
        <f ca="1">IFERROR(__xludf.DUMMYFUNCTION("""COMPUTED_VALUE"""),44553)</f>
        <v>44553</v>
      </c>
      <c r="B6101" s="6" t="str">
        <f ca="1">IFERROR(__xludf.DUMMYFUNCTION("""COMPUTED_VALUE"""),"-33.722441,-70.548943")</f>
        <v>-33.722441,-70.548943</v>
      </c>
      <c r="C6101" s="6" t="str">
        <f ca="1">IFERROR(__xludf.DUMMYFUNCTION("""COMPUTED_VALUE"""),"LA ESCUELA 71-D")</f>
        <v>LA ESCUELA 71-D</v>
      </c>
      <c r="D6101" s="6" t="str">
        <f ca="1">IFERROR(__xludf.DUMMYFUNCTION("""COMPUTED_VALUE"""),"PIRQUE")</f>
        <v>PIRQUE</v>
      </c>
    </row>
    <row r="6102" spans="1:4">
      <c r="A6102" s="7">
        <f ca="1">IFERROR(__xludf.DUMMYFUNCTION("""COMPUTED_VALUE"""),44553)</f>
        <v>44553</v>
      </c>
      <c r="B6102" s="6" t="str">
        <f ca="1">IFERROR(__xludf.DUMMYFUNCTION("""COMPUTED_VALUE"""),"-33.707264,-70.551389")</f>
        <v>-33.707264,-70.551389</v>
      </c>
      <c r="C6102" s="6" t="str">
        <f ca="1">IFERROR(__xludf.DUMMYFUNCTION("""COMPUTED_VALUE"""),"VILLARIO SAN MANUEL 179-E")</f>
        <v>VILLARIO SAN MANUEL 179-E</v>
      </c>
      <c r="D6102" s="6" t="str">
        <f ca="1">IFERROR(__xludf.DUMMYFUNCTION("""COMPUTED_VALUE"""),"PIRQUE")</f>
        <v>PIRQUE</v>
      </c>
    </row>
    <row r="6103" spans="1:4">
      <c r="A6103" s="7">
        <f ca="1">IFERROR(__xludf.DUMMYFUNCTION("""COMPUTED_VALUE"""),44553)</f>
        <v>44553</v>
      </c>
      <c r="B6103" s="6" t="str">
        <f ca="1">IFERROR(__xludf.DUMMYFUNCTION("""COMPUTED_VALUE"""),"-33.774708,-70.897962")</f>
        <v>-33.774708,-70.897962</v>
      </c>
      <c r="C6103" s="6" t="str">
        <f ca="1">IFERROR(__xludf.DUMMYFUNCTION("""COMPUTED_VALUE"""),"OLEA 478")</f>
        <v>OLEA 478</v>
      </c>
      <c r="D6103" s="6" t="str">
        <f ca="1">IFERROR(__xludf.DUMMYFUNCTION("""COMPUTED_VALUE"""),"ISLA DE MAIPO")</f>
        <v>ISLA DE MAIPO</v>
      </c>
    </row>
    <row r="6104" spans="1:4">
      <c r="A6104" s="7">
        <f ca="1">IFERROR(__xludf.DUMMYFUNCTION("""COMPUTED_VALUE"""),44553)</f>
        <v>44553</v>
      </c>
      <c r="B6104" s="6" t="str">
        <f ca="1">IFERROR(__xludf.DUMMYFUNCTION("""COMPUTED_VALUE"""),"-33.746361,-70.869265")</f>
        <v>-33.746361,-70.869265</v>
      </c>
      <c r="C6104" s="6" t="str">
        <f ca="1">IFERROR(__xludf.DUMMYFUNCTION("""COMPUTED_VALUE"""),"BENJAMIN ULLOA 308")</f>
        <v>BENJAMIN ULLOA 308</v>
      </c>
      <c r="D6104" s="6" t="str">
        <f ca="1">IFERROR(__xludf.DUMMYFUNCTION("""COMPUTED_VALUE"""),"ISLA DE MAIPO")</f>
        <v>ISLA DE MAIPO</v>
      </c>
    </row>
    <row r="6105" spans="1:4">
      <c r="A6105" s="7">
        <f ca="1">IFERROR(__xludf.DUMMYFUNCTION("""COMPUTED_VALUE"""),44553)</f>
        <v>44553</v>
      </c>
      <c r="B6105" s="6" t="str">
        <f ca="1">IFERROR(__xludf.DUMMYFUNCTION("""COMPUTED_VALUE"""),"-33.890276,-71.402761")</f>
        <v>-33.890276,-71.402761</v>
      </c>
      <c r="C6105" s="6" t="str">
        <f ca="1">IFERROR(__xludf.DUMMYFUNCTION("""COMPUTED_VALUE"""),"LOS CULENES 1")</f>
        <v>LOS CULENES 1</v>
      </c>
      <c r="D6105" s="6" t="str">
        <f ca="1">IFERROR(__xludf.DUMMYFUNCTION("""COMPUTED_VALUE"""),"SAN PEDRO")</f>
        <v>SAN PEDRO</v>
      </c>
    </row>
    <row r="6106" spans="1:4">
      <c r="A6106" s="7">
        <f ca="1">IFERROR(__xludf.DUMMYFUNCTION("""COMPUTED_VALUE"""),44553)</f>
        <v>44553</v>
      </c>
      <c r="B6106" s="6" t="str">
        <f ca="1">IFERROR(__xludf.DUMMYFUNCTION("""COMPUTED_VALUE"""),"-33.868868,-71.487105")</f>
        <v>-33.868868,-71.487105</v>
      </c>
      <c r="C6106" s="6" t="str">
        <f ca="1">IFERROR(__xludf.DUMMYFUNCTION("""COMPUTED_VALUE"""),"LO ENCANADO S/N ")</f>
        <v xml:space="preserve">LO ENCANADO S/N </v>
      </c>
      <c r="D6106" s="6" t="str">
        <f ca="1">IFERROR(__xludf.DUMMYFUNCTION("""COMPUTED_VALUE"""),"SAN PEDRO")</f>
        <v>SAN PEDRO</v>
      </c>
    </row>
    <row r="6107" spans="1:4">
      <c r="A6107" s="7">
        <f ca="1">IFERROR(__xludf.DUMMYFUNCTION("""COMPUTED_VALUE"""),44553)</f>
        <v>44553</v>
      </c>
      <c r="B6107" s="8" t="str">
        <f ca="1">IFERROR(__xludf.DUMMYFUNCTION("""COMPUTED_VALUE"""),"-33.662994,-71.313271")</f>
        <v>-33.662994,-71.313271</v>
      </c>
      <c r="C6107" s="6" t="str">
        <f ca="1">IFERROR(__xludf.DUMMYFUNCTION("""COMPUTED_VALUE"""),"TROPEZON SITIO B3")</f>
        <v>TROPEZON SITIO B3</v>
      </c>
      <c r="D6107" s="6" t="str">
        <f ca="1">IFERROR(__xludf.DUMMYFUNCTION("""COMPUTED_VALUE"""),"MELIPILLA")</f>
        <v>MELIPILLA</v>
      </c>
    </row>
    <row r="6108" spans="1:4">
      <c r="A6108" s="7">
        <f ca="1">IFERROR(__xludf.DUMMYFUNCTION("""COMPUTED_VALUE"""),44553)</f>
        <v>44553</v>
      </c>
      <c r="B6108" s="8" t="str">
        <f ca="1">IFERROR(__xludf.DUMMYFUNCTION("""COMPUTED_VALUE"""),"-33.664864,-71.268122")</f>
        <v>-33.664864,-71.268122</v>
      </c>
      <c r="C6108" s="6" t="str">
        <f ca="1">IFERROR(__xludf.DUMMYFUNCTION("""COMPUTED_VALUE"""),"ESMERALDA 30")</f>
        <v>ESMERALDA 30</v>
      </c>
      <c r="D6108" s="6" t="str">
        <f ca="1">IFERROR(__xludf.DUMMYFUNCTION("""COMPUTED_VALUE"""),"MELIPILLA")</f>
        <v>MELIPILLA</v>
      </c>
    </row>
    <row r="6109" spans="1:4">
      <c r="A6109" s="7">
        <f ca="1">IFERROR(__xludf.DUMMYFUNCTION("""COMPUTED_VALUE"""),44553)</f>
        <v>44553</v>
      </c>
      <c r="B6109" s="8" t="str">
        <f ca="1">IFERROR(__xludf.DUMMYFUNCTION("""COMPUTED_VALUE"""),"-33.779759,-71.117092")</f>
        <v>-33.779759,-71.117092</v>
      </c>
      <c r="C6109" s="6" t="str">
        <f ca="1">IFERROR(__xludf.DUMMYFUNCTION("""COMPUTED_VALUE"""),"LOTE 5 PARCELA 17 SAN CARLOS CHOLQUI")</f>
        <v>LOTE 5 PARCELA 17 SAN CARLOS CHOLQUI</v>
      </c>
      <c r="D6109" s="6" t="str">
        <f ca="1">IFERROR(__xludf.DUMMYFUNCTION("""COMPUTED_VALUE"""),"MELIPILLA")</f>
        <v>MELIPILLA</v>
      </c>
    </row>
    <row r="6110" spans="1:4">
      <c r="A6110" s="7">
        <f ca="1">IFERROR(__xludf.DUMMYFUNCTION("""COMPUTED_VALUE"""),44553)</f>
        <v>44553</v>
      </c>
      <c r="B6110" s="8" t="str">
        <f ca="1">IFERROR(__xludf.DUMMYFUNCTION("""COMPUTED_VALUE"""),"-33.776784,-71.117802")</f>
        <v>-33.776784,-71.117802</v>
      </c>
      <c r="C6110" s="6" t="str">
        <f ca="1">IFERROR(__xludf.DUMMYFUNCTION("""COMPUTED_VALUE"""),"PARCELA 17 C5 SAN CARLOS CHOLQUI ")</f>
        <v xml:space="preserve">PARCELA 17 C5 SAN CARLOS CHOLQUI </v>
      </c>
      <c r="D6110" s="6" t="str">
        <f ca="1">IFERROR(__xludf.DUMMYFUNCTION("""COMPUTED_VALUE"""),"MELIPILLA")</f>
        <v>MELIPILLA</v>
      </c>
    </row>
    <row r="6111" spans="1:4">
      <c r="A6111" s="7">
        <f ca="1">IFERROR(__xludf.DUMMYFUNCTION("""COMPUTED_VALUE"""),44553)</f>
        <v>44553</v>
      </c>
      <c r="B6111" s="8" t="str">
        <f ca="1">IFERROR(__xludf.DUMMYFUNCTION("""COMPUTED_VALUE"""),"-33.771215,-71.126578")</f>
        <v>-33.771215,-71.126578</v>
      </c>
      <c r="C6111" s="6" t="str">
        <f ca="1">IFERROR(__xludf.DUMMYFUNCTION("""COMPUTED_VALUE"""),"PARCELA 10 SAN CARLOS DE CHOLQUI ")</f>
        <v xml:space="preserve">PARCELA 10 SAN CARLOS DE CHOLQUI </v>
      </c>
      <c r="D6111" s="6" t="str">
        <f ca="1">IFERROR(__xludf.DUMMYFUNCTION("""COMPUTED_VALUE"""),"MELIPILLA")</f>
        <v>MELIPILLA</v>
      </c>
    </row>
    <row r="6112" spans="1:4">
      <c r="A6112" s="7">
        <f ca="1">IFERROR(__xludf.DUMMYFUNCTION("""COMPUTED_VALUE"""),44553)</f>
        <v>44553</v>
      </c>
      <c r="B6112" s="8" t="str">
        <f ca="1">IFERROR(__xludf.DUMMYFUNCTION("""COMPUTED_VALUE"""),"-33.789834,-71.285036")</f>
        <v>-33.789834,-71.285036</v>
      </c>
      <c r="C6112" s="6" t="str">
        <f ca="1">IFERROR(__xludf.DUMMYFUNCTION("""COMPUTED_VALUE"""),"CAMINO VIEJO SITIO 4 MANDINGUE")</f>
        <v>CAMINO VIEJO SITIO 4 MANDINGUE</v>
      </c>
      <c r="D6112" s="6" t="str">
        <f ca="1">IFERROR(__xludf.DUMMYFUNCTION("""COMPUTED_VALUE"""),"MELIPILLA")</f>
        <v>MELIPILLA</v>
      </c>
    </row>
    <row r="6113" spans="1:4">
      <c r="A6113" s="7">
        <f ca="1">IFERROR(__xludf.DUMMYFUNCTION("""COMPUTED_VALUE"""),44553)</f>
        <v>44553</v>
      </c>
      <c r="B6113" s="8" t="str">
        <f ca="1">IFERROR(__xludf.DUMMYFUNCTION("""COMPUTED_VALUE"""),"-33.693813,-70.853477")</f>
        <v>-33.693813,-70.853477</v>
      </c>
      <c r="C6113" s="6" t="str">
        <f ca="1">IFERROR(__xludf.DUMMYFUNCTION("""COMPUTED_VALUE"""),"LONQUEN SUR 39")</f>
        <v>LONQUEN SUR 39</v>
      </c>
      <c r="D6113" s="6" t="str">
        <f ca="1">IFERROR(__xludf.DUMMYFUNCTION("""COMPUTED_VALUE"""),"TALAGANTE")</f>
        <v>TALAGANTE</v>
      </c>
    </row>
    <row r="6114" spans="1:4">
      <c r="A6114" s="7">
        <f ca="1">IFERROR(__xludf.DUMMYFUNCTION("""COMPUTED_VALUE"""),44553)</f>
        <v>44553</v>
      </c>
      <c r="B6114" s="8" t="str">
        <f ca="1">IFERROR(__xludf.DUMMYFUNCTION("""COMPUTED_VALUE"""),"-33.650661,-70.927722")</f>
        <v>-33.650661,-70.927722</v>
      </c>
      <c r="C6114" s="6" t="str">
        <f ca="1">IFERROR(__xludf.DUMMYFUNCTION("""COMPUTED_VALUE"""),"MANUEL RODRIGUEZ 50")</f>
        <v>MANUEL RODRIGUEZ 50</v>
      </c>
      <c r="D6114" s="6" t="str">
        <f ca="1">IFERROR(__xludf.DUMMYFUNCTION("""COMPUTED_VALUE"""),"TALAGANTE")</f>
        <v>TALAGANTE</v>
      </c>
    </row>
    <row r="6115" spans="1:4">
      <c r="A6115" s="7">
        <f ca="1">IFERROR(__xludf.DUMMYFUNCTION("""COMPUTED_VALUE"""),44553)</f>
        <v>44553</v>
      </c>
      <c r="B6115" s="8" t="str">
        <f ca="1">IFERROR(__xludf.DUMMYFUNCTION("""COMPUTED_VALUE"""),"-33.589998,-70.781281")</f>
        <v>-33.589998,-70.781281</v>
      </c>
      <c r="C6115" s="6" t="str">
        <f ca="1">IFERROR(__xludf.DUMMYFUNCTION("""COMPUTED_VALUE"""),"LONQUEN NORTE P 6 Y MEDIO SITIO 2")</f>
        <v>LONQUEN NORTE P 6 Y MEDIO SITIO 2</v>
      </c>
      <c r="D6115" s="6" t="str">
        <f ca="1">IFERROR(__xludf.DUMMYFUNCTION("""COMPUTED_VALUE"""),"CALERA DE TANGO")</f>
        <v>CALERA DE TANGO</v>
      </c>
    </row>
    <row r="6116" spans="1:4">
      <c r="A6116" s="7">
        <f ca="1">IFERROR(__xludf.DUMMYFUNCTION("""COMPUTED_VALUE"""),44553)</f>
        <v>44553</v>
      </c>
      <c r="B6116" s="6" t="str">
        <f ca="1">IFERROR(__xludf.DUMMYFUNCTION("""COMPUTED_VALUE"""),"-33.0418-71.4001")</f>
        <v>-33.0418-71.4001</v>
      </c>
      <c r="C6116" s="6" t="str">
        <f ca="1">IFERROR(__xludf.DUMMYFUNCTION("""COMPUTED_VALUE"""),"SAN JUAN 122 CASA 6")</f>
        <v>SAN JUAN 122 CASA 6</v>
      </c>
      <c r="D6116" s="6" t="str">
        <f ca="1">IFERROR(__xludf.DUMMYFUNCTION("""COMPUTED_VALUE"""),"QUILPUÉ")</f>
        <v>QUILPUÉ</v>
      </c>
    </row>
    <row r="6117" spans="1:4">
      <c r="A6117" s="7">
        <f ca="1">IFERROR(__xludf.DUMMYFUNCTION("""COMPUTED_VALUE"""),44553)</f>
        <v>44553</v>
      </c>
      <c r="B6117" s="6" t="str">
        <f ca="1">IFERROR(__xludf.DUMMYFUNCTION("""COMPUTED_VALUE"""),"-33.0536-71.4291")</f>
        <v>-33.0536-71.4291</v>
      </c>
      <c r="C6117" s="6" t="str">
        <f ca="1">IFERROR(__xludf.DUMMYFUNCTION("""COMPUTED_VALUE"""),"PJE SOFIA 1322")</f>
        <v>PJE SOFIA 1322</v>
      </c>
      <c r="D6117" s="6" t="str">
        <f ca="1">IFERROR(__xludf.DUMMYFUNCTION("""COMPUTED_VALUE"""),"QUILPUÉ")</f>
        <v>QUILPUÉ</v>
      </c>
    </row>
    <row r="6118" spans="1:4">
      <c r="A6118" s="7">
        <f ca="1">IFERROR(__xludf.DUMMYFUNCTION("""COMPUTED_VALUE"""),44553)</f>
        <v>44553</v>
      </c>
      <c r="B6118" s="6" t="str">
        <f ca="1">IFERROR(__xludf.DUMMYFUNCTION("""COMPUTED_VALUE"""),"-33.812337,-70.736930")</f>
        <v>-33.812337,-70.736930</v>
      </c>
      <c r="C6118" s="6" t="str">
        <f ca="1">IFERROR(__xludf.DUMMYFUNCTION("""COMPUTED_VALUE"""),"OHIGGINS 871")</f>
        <v>OHIGGINS 871</v>
      </c>
      <c r="D6118" s="6" t="str">
        <f ca="1">IFERROR(__xludf.DUMMYFUNCTION("""COMPUTED_VALUE"""),"PAINE")</f>
        <v>PAINE</v>
      </c>
    </row>
    <row r="6119" spans="1:4">
      <c r="A6119" s="7">
        <f ca="1">IFERROR(__xludf.DUMMYFUNCTION("""COMPUTED_VALUE"""),44553)</f>
        <v>44553</v>
      </c>
      <c r="B6119" s="6" t="str">
        <f ca="1">IFERROR(__xludf.DUMMYFUNCTION("""COMPUTED_VALUE"""),"-33.823907,-70.732232")</f>
        <v>-33.823907,-70.732232</v>
      </c>
      <c r="C6119" s="6" t="str">
        <f ca="1">IFERROR(__xludf.DUMMYFUNCTION("""COMPUTED_VALUE"""),"PEREZ NAVARRO 920")</f>
        <v>PEREZ NAVARRO 920</v>
      </c>
      <c r="D6119" s="6" t="str">
        <f ca="1">IFERROR(__xludf.DUMMYFUNCTION("""COMPUTED_VALUE"""),"PAINE")</f>
        <v>PAINE</v>
      </c>
    </row>
    <row r="6120" spans="1:4">
      <c r="A6120" s="7">
        <f ca="1">IFERROR(__xludf.DUMMYFUNCTION("""COMPUTED_VALUE"""),44553)</f>
        <v>44553</v>
      </c>
      <c r="B6120" s="6" t="str">
        <f ca="1">IFERROR(__xludf.DUMMYFUNCTION("""COMPUTED_VALUE"""),"-33.810474-70.740944")</f>
        <v>-33.810474-70.740944</v>
      </c>
      <c r="C6120" s="6" t="str">
        <f ca="1">IFERROR(__xludf.DUMMYFUNCTION("""COMPUTED_VALUE"""),"SANTA MARIA 756")</f>
        <v>SANTA MARIA 756</v>
      </c>
      <c r="D6120" s="6" t="str">
        <f ca="1">IFERROR(__xludf.DUMMYFUNCTION("""COMPUTED_VALUE"""),"PAINE")</f>
        <v>PAINE</v>
      </c>
    </row>
    <row r="6121" spans="1:4">
      <c r="A6121" s="7">
        <f ca="1">IFERROR(__xludf.DUMMYFUNCTION("""COMPUTED_VALUE"""),44553)</f>
        <v>44553</v>
      </c>
      <c r="B6121" s="6" t="str">
        <f ca="1">IFERROR(__xludf.DUMMYFUNCTION("""COMPUTED_VALUE"""),"-33.858275,-70.613424")</f>
        <v>-33.858275,-70.613424</v>
      </c>
      <c r="C6121" s="6" t="str">
        <f ca="1">IFERROR(__xludf.DUMMYFUNCTION("""COMPUTED_VALUE"""),"EL ESCORIAL SITIO 46 CASA E")</f>
        <v>EL ESCORIAL SITIO 46 CASA E</v>
      </c>
      <c r="D6121" s="6" t="str">
        <f ca="1">IFERROR(__xludf.DUMMYFUNCTION("""COMPUTED_VALUE"""),"PAINE")</f>
        <v>PAINE</v>
      </c>
    </row>
    <row r="6122" spans="1:4">
      <c r="A6122" s="7">
        <f ca="1">IFERROR(__xludf.DUMMYFUNCTION("""COMPUTED_VALUE"""),44553)</f>
        <v>44553</v>
      </c>
      <c r="B6122" s="6" t="str">
        <f ca="1">IFERROR(__xludf.DUMMYFUNCTION("""COMPUTED_VALUE"""),"-33.847733,-70.638757")</f>
        <v>-33.847733,-70.638757</v>
      </c>
      <c r="C6122" s="6" t="str">
        <f ca="1">IFERROR(__xludf.DUMMYFUNCTION("""COMPUTED_VALUE"""),"CARDONAL ALTO SITIO 6 CASA A")</f>
        <v>CARDONAL ALTO SITIO 6 CASA A</v>
      </c>
      <c r="D6122" s="6" t="str">
        <f ca="1">IFERROR(__xludf.DUMMYFUNCTION("""COMPUTED_VALUE"""),"PAINE")</f>
        <v>PAINE</v>
      </c>
    </row>
    <row r="6123" spans="1:4">
      <c r="A6123" s="7">
        <f ca="1">IFERROR(__xludf.DUMMYFUNCTION("""COMPUTED_VALUE"""),44553)</f>
        <v>44553</v>
      </c>
      <c r="B6123" s="6" t="str">
        <f ca="1">IFERROR(__xludf.DUMMYFUNCTION("""COMPUTED_VALUE"""),"-33.704357,-70.676893")</f>
        <v>-33.704357,-70.676893</v>
      </c>
      <c r="C6123" s="6" t="str">
        <f ca="1">IFERROR(__xludf.DUMMYFUNCTION("""COMPUTED_VALUE"""),"LAS MONJITAS 102")</f>
        <v>LAS MONJITAS 102</v>
      </c>
      <c r="D6123" s="6" t="str">
        <f ca="1">IFERROR(__xludf.DUMMYFUNCTION("""COMPUTED_VALUE"""),"PADRE HURTADO")</f>
        <v>PADRE HURTADO</v>
      </c>
    </row>
    <row r="6124" spans="1:4">
      <c r="A6124" s="7">
        <f ca="1">IFERROR(__xludf.DUMMYFUNCTION("""COMPUTED_VALUE"""),44553)</f>
        <v>44553</v>
      </c>
      <c r="B6124" s="6" t="str">
        <f ca="1">IFERROR(__xludf.DUMMYFUNCTION("""COMPUTED_VALUE"""),"-33.704357,-70.676893")</f>
        <v>-33.704357,-70.676893</v>
      </c>
      <c r="C6124" s="6" t="str">
        <f ca="1">IFERROR(__xludf.DUMMYFUNCTION("""COMPUTED_VALUE"""),"HUELLE 09")</f>
        <v>HUELLE 09</v>
      </c>
      <c r="D6124" s="6" t="str">
        <f ca="1">IFERROR(__xludf.DUMMYFUNCTION("""COMPUTED_VALUE"""),"PADRE HURTADO")</f>
        <v>PADRE HURTADO</v>
      </c>
    </row>
    <row r="6125" spans="1:4">
      <c r="A6125" s="7">
        <f ca="1">IFERROR(__xludf.DUMMYFUNCTION("""COMPUTED_VALUE"""),44553)</f>
        <v>44553</v>
      </c>
      <c r="B6125" s="6" t="str">
        <f ca="1">IFERROR(__xludf.DUMMYFUNCTION("""COMPUTED_VALUE"""),"-33.574985,-70.807823")</f>
        <v>-33.574985,-70.807823</v>
      </c>
      <c r="C6125" s="6" t="str">
        <f ca="1">IFERROR(__xludf.DUMMYFUNCTION("""COMPUTED_VALUE"""),"PARIS 1020")</f>
        <v>PARIS 1020</v>
      </c>
      <c r="D6125" s="6" t="str">
        <f ca="1">IFERROR(__xludf.DUMMYFUNCTION("""COMPUTED_VALUE"""),"PADRE HURTADO")</f>
        <v>PADRE HURTADO</v>
      </c>
    </row>
    <row r="6126" spans="1:4">
      <c r="A6126" s="7">
        <f ca="1">IFERROR(__xludf.DUMMYFUNCTION("""COMPUTED_VALUE"""),44554)</f>
        <v>44554</v>
      </c>
      <c r="B6126" s="6" t="str">
        <f ca="1">IFERROR(__xludf.DUMMYFUNCTION("""COMPUTED_VALUE"""),"-33.667807-70.892523")</f>
        <v>-33.667807-70.892523</v>
      </c>
      <c r="C6126" s="6" t="str">
        <f ca="1">IFERROR(__xludf.DUMMYFUNCTION("""COMPUTED_VALUE"""),"LOS QUELTEHUES PAR 70")</f>
        <v>LOS QUELTEHUES PAR 70</v>
      </c>
      <c r="D6126" s="6" t="str">
        <f ca="1">IFERROR(__xludf.DUMMYFUNCTION("""COMPUTED_VALUE"""),"TALAGANTE")</f>
        <v>TALAGANTE</v>
      </c>
    </row>
    <row r="6127" spans="1:4">
      <c r="A6127" s="7">
        <f ca="1">IFERROR(__xludf.DUMMYFUNCTION("""COMPUTED_VALUE"""),44554)</f>
        <v>44554</v>
      </c>
      <c r="B6127" s="6" t="str">
        <f ca="1">IFERROR(__xludf.DUMMYFUNCTION("""COMPUTED_VALUE"""),"-33.707264,-70.551389")</f>
        <v>-33.707264,-70.551389</v>
      </c>
      <c r="C6127" s="6" t="str">
        <f ca="1">IFERROR(__xludf.DUMMYFUNCTION("""COMPUTED_VALUE"""),"VILLAEIO SAN MANUEL 179-E")</f>
        <v>VILLAEIO SAN MANUEL 179-E</v>
      </c>
      <c r="D6127" s="6" t="str">
        <f ca="1">IFERROR(__xludf.DUMMYFUNCTION("""COMPUTED_VALUE"""),"PIRQUE")</f>
        <v>PIRQUE</v>
      </c>
    </row>
    <row r="6128" spans="1:4">
      <c r="A6128" s="7">
        <f ca="1">IFERROR(__xludf.DUMMYFUNCTION("""COMPUTED_VALUE"""),44554)</f>
        <v>44554</v>
      </c>
      <c r="B6128" s="6" t="str">
        <f ca="1">IFERROR(__xludf.DUMMYFUNCTION("""COMPUTED_VALUE"""),"-33.710131,-70.556541")</f>
        <v>-33.710131,-70.556541</v>
      </c>
      <c r="C6128" s="6" t="str">
        <f ca="1">IFERROR(__xludf.DUMMYFUNCTION("""COMPUTED_VALUE"""),"CALLE NUEVA41-B.2")</f>
        <v>CALLE NUEVA41-B.2</v>
      </c>
      <c r="D6128" s="6" t="str">
        <f ca="1">IFERROR(__xludf.DUMMYFUNCTION("""COMPUTED_VALUE"""),"PIRQUE")</f>
        <v>PIRQUE</v>
      </c>
    </row>
    <row r="6129" spans="1:4">
      <c r="A6129" s="7">
        <f ca="1">IFERROR(__xludf.DUMMYFUNCTION("""COMPUTED_VALUE"""),44554)</f>
        <v>44554</v>
      </c>
      <c r="B6129" s="6" t="str">
        <f ca="1">IFERROR(__xludf.DUMMYFUNCTION("""COMPUTED_VALUE"""),"-33.820301,-70.737224")</f>
        <v>-33.820301,-70.737224</v>
      </c>
      <c r="C6129" s="6" t="str">
        <f ca="1">IFERROR(__xludf.DUMMYFUNCTION("""COMPUTED_VALUE"""),"PARQUE NACIONAL CUCAO 1527")</f>
        <v>PARQUE NACIONAL CUCAO 1527</v>
      </c>
      <c r="D6129" s="6" t="str">
        <f ca="1">IFERROR(__xludf.DUMMYFUNCTION("""COMPUTED_VALUE"""),"PAINE")</f>
        <v>PAINE</v>
      </c>
    </row>
    <row r="6130" spans="1:4">
      <c r="A6130" s="7">
        <f ca="1">IFERROR(__xludf.DUMMYFUNCTION("""COMPUTED_VALUE"""),44554)</f>
        <v>44554</v>
      </c>
      <c r="B6130" s="8" t="str">
        <f ca="1">IFERROR(__xludf.DUMMYFUNCTION("""COMPUTED_VALUE"""),"-33.185712,-70.66726")</f>
        <v>-33.185712,-70.66726</v>
      </c>
      <c r="C6130" s="6" t="str">
        <f ca="1">IFERROR(__xludf.DUMMYFUNCTION("""COMPUTED_VALUE"""),"FRAY PEDRO DE FIGUEROA 2397")</f>
        <v>FRAY PEDRO DE FIGUEROA 2397</v>
      </c>
      <c r="D6130" s="6" t="str">
        <f ca="1">IFERROR(__xludf.DUMMYFUNCTION("""COMPUTED_VALUE"""),"COLINA")</f>
        <v>COLINA</v>
      </c>
    </row>
    <row r="6131" spans="1:4">
      <c r="A6131" s="7">
        <f ca="1">IFERROR(__xludf.DUMMYFUNCTION("""COMPUTED_VALUE"""),44554)</f>
        <v>44554</v>
      </c>
      <c r="B6131" s="8" t="str">
        <f ca="1">IFERROR(__xludf.DUMMYFUNCTION("""COMPUTED_VALUE"""),"-33.266963,-70.719232")</f>
        <v>-33.266963,-70.719232</v>
      </c>
      <c r="C6131" s="6" t="str">
        <f ca="1">IFERROR(__xludf.DUMMYFUNCTION("""COMPUTED_VALUE"""),"LAS ENCINAS SITIO 7")</f>
        <v>LAS ENCINAS SITIO 7</v>
      </c>
      <c r="D6131" s="6" t="str">
        <f ca="1">IFERROR(__xludf.DUMMYFUNCTION("""COMPUTED_VALUE"""),"COLINA")</f>
        <v>COLINA</v>
      </c>
    </row>
    <row r="6132" spans="1:4">
      <c r="A6132" s="7">
        <f ca="1">IFERROR(__xludf.DUMMYFUNCTION("""COMPUTED_VALUE"""),44554)</f>
        <v>44554</v>
      </c>
      <c r="B6132" s="8" t="str">
        <f ca="1">IFERROR(__xludf.DUMMYFUNCTION("""COMPUTED_VALUE"""),"-33.643289,-71.190199")</f>
        <v>-33.643289,-71.190199</v>
      </c>
      <c r="C6132" s="6" t="str">
        <f ca="1">IFERROR(__xludf.DUMMYFUNCTION("""COMPUTED_VALUE"""),"EL TRANSITO 297")</f>
        <v>EL TRANSITO 297</v>
      </c>
      <c r="D6132" s="6" t="str">
        <f ca="1">IFERROR(__xludf.DUMMYFUNCTION("""COMPUTED_VALUE"""),"MELIPILLA")</f>
        <v>MELIPILLA</v>
      </c>
    </row>
    <row r="6133" spans="1:4">
      <c r="A6133" s="7">
        <f ca="1">IFERROR(__xludf.DUMMYFUNCTION("""COMPUTED_VALUE"""),44554)</f>
        <v>44554</v>
      </c>
      <c r="B6133" s="8" t="str">
        <f ca="1">IFERROR(__xludf.DUMMYFUNCTION("""COMPUTED_VALUE"""),"-33.693176,-71.225579")</f>
        <v>-33.693176,-71.225579</v>
      </c>
      <c r="C6133" s="6" t="str">
        <f ca="1">IFERROR(__xludf.DUMMYFUNCTION("""COMPUTED_VALUE"""),"MAIPO 1100 EL PARQUE ")</f>
        <v xml:space="preserve">MAIPO 1100 EL PARQUE </v>
      </c>
      <c r="D6133" s="6" t="str">
        <f ca="1">IFERROR(__xludf.DUMMYFUNCTION("""COMPUTED_VALUE"""),"MELIPILLA")</f>
        <v>MELIPILLA</v>
      </c>
    </row>
    <row r="6134" spans="1:4">
      <c r="A6134" s="7">
        <f ca="1">IFERROR(__xludf.DUMMYFUNCTION("""COMPUTED_VALUE"""),44554)</f>
        <v>44554</v>
      </c>
      <c r="B6134" s="6" t="str">
        <f ca="1">IFERROR(__xludf.DUMMYFUNCTION("""COMPUTED_VALUE"""),"-33.8113279,-70.729017")</f>
        <v>-33.8113279,-70.729017</v>
      </c>
      <c r="C6134" s="6" t="str">
        <f ca="1">IFERROR(__xludf.DUMMYFUNCTION("""COMPUTED_VALUE"""),"MAIRQUE 930")</f>
        <v>MAIRQUE 930</v>
      </c>
      <c r="D6134" s="6" t="str">
        <f ca="1">IFERROR(__xludf.DUMMYFUNCTION("""COMPUTED_VALUE"""),"PAINE")</f>
        <v>PAINE</v>
      </c>
    </row>
    <row r="6135" spans="1:4">
      <c r="A6135" s="7">
        <f ca="1">IFERROR(__xludf.DUMMYFUNCTION("""COMPUTED_VALUE"""),44554)</f>
        <v>44554</v>
      </c>
      <c r="B6135" s="6" t="str">
        <f ca="1">IFERROR(__xludf.DUMMYFUNCTION("""COMPUTED_VALUE"""),"-33.8475753,-70.6384048")</f>
        <v>-33.8475753,-70.6384048</v>
      </c>
      <c r="C6135" s="6" t="str">
        <f ca="1">IFERROR(__xludf.DUMMYFUNCTION("""COMPUTED_VALUE"""),"CARDONAL ALTO SITIO 6 CASA C")</f>
        <v>CARDONAL ALTO SITIO 6 CASA C</v>
      </c>
      <c r="D6135" s="6" t="str">
        <f ca="1">IFERROR(__xludf.DUMMYFUNCTION("""COMPUTED_VALUE"""),"PAINE")</f>
        <v>PAINE</v>
      </c>
    </row>
    <row r="6136" spans="1:4">
      <c r="A6136" s="7">
        <f ca="1">IFERROR(__xludf.DUMMYFUNCTION("""COMPUTED_VALUE"""),44554)</f>
        <v>44554</v>
      </c>
      <c r="B6136" s="6" t="str">
        <f ca="1">IFERROR(__xludf.DUMMYFUNCTION("""COMPUTED_VALUE"""),"-33.780457,-70.639290")</f>
        <v>-33.780457,-70.639290</v>
      </c>
      <c r="C6136" s="6" t="str">
        <f ca="1">IFERROR(__xludf.DUMMYFUNCTION("""COMPUTED_VALUE"""),"APARICION S/N DE PAINE SITIO19")</f>
        <v>APARICION S/N DE PAINE SITIO19</v>
      </c>
      <c r="D6136" s="6" t="str">
        <f ca="1">IFERROR(__xludf.DUMMYFUNCTION("""COMPUTED_VALUE"""),"PAINE")</f>
        <v>PAINE</v>
      </c>
    </row>
    <row r="6137" spans="1:4">
      <c r="A6137" s="7">
        <f ca="1">IFERROR(__xludf.DUMMYFUNCTION("""COMPUTED_VALUE"""),44554)</f>
        <v>44554</v>
      </c>
      <c r="B6137" s="6" t="str">
        <f ca="1">IFERROR(__xludf.DUMMYFUNCTION("""COMPUTED_VALUE"""),"-33.780646,-70.638914")</f>
        <v>-33.780646,-70.638914</v>
      </c>
      <c r="C6137" s="6" t="str">
        <f ca="1">IFERROR(__xludf.DUMMYFUNCTION("""COMPUTED_VALUE"""),"APARICION 18 DE PAINE")</f>
        <v>APARICION 18 DE PAINE</v>
      </c>
      <c r="D6137" s="6" t="str">
        <f ca="1">IFERROR(__xludf.DUMMYFUNCTION("""COMPUTED_VALUE"""),"PAINE")</f>
        <v>PAINE</v>
      </c>
    </row>
    <row r="6138" spans="1:4">
      <c r="A6138" s="7">
        <f ca="1">IFERROR(__xludf.DUMMYFUNCTION("""COMPUTED_VALUE"""),44557)</f>
        <v>44557</v>
      </c>
      <c r="B6138" s="8" t="str">
        <f ca="1">IFERROR(__xludf.DUMMYFUNCTION("""COMPUTED_VALUE"""),"-33.7489779, -70.8704002")</f>
        <v>-33.7489779, -70.8704002</v>
      </c>
      <c r="C6138" s="6" t="str">
        <f ca="1">IFERROR(__xludf.DUMMYFUNCTION("""COMPUTED_VALUE"""),"LAS SULTANINAS 413")</f>
        <v>LAS SULTANINAS 413</v>
      </c>
      <c r="D6138" s="6" t="str">
        <f ca="1">IFERROR(__xludf.DUMMYFUNCTION("""COMPUTED_VALUE"""),"ISLA DE MAIPO")</f>
        <v>ISLA DE MAIPO</v>
      </c>
    </row>
    <row r="6139" spans="1:4">
      <c r="A6139" s="7">
        <f ca="1">IFERROR(__xludf.DUMMYFUNCTION("""COMPUTED_VALUE"""),44557)</f>
        <v>44557</v>
      </c>
      <c r="B6139" s="8" t="str">
        <f ca="1">IFERROR(__xludf.DUMMYFUNCTION("""COMPUTED_VALUE"""),"-33.7492167, -70.8688378")</f>
        <v>-33.7492167, -70.8688378</v>
      </c>
      <c r="C6139" s="6" t="str">
        <f ca="1">IFERROR(__xludf.DUMMYFUNCTION("""COMPUTED_VALUE"""),"EL CUARTEL 603")</f>
        <v>EL CUARTEL 603</v>
      </c>
      <c r="D6139" s="6" t="str">
        <f ca="1">IFERROR(__xludf.DUMMYFUNCTION("""COMPUTED_VALUE"""),"ISLA DE MAIPO")</f>
        <v>ISLA DE MAIPO</v>
      </c>
    </row>
    <row r="6140" spans="1:4">
      <c r="A6140" s="7">
        <f ca="1">IFERROR(__xludf.DUMMYFUNCTION("""COMPUTED_VALUE"""),44557)</f>
        <v>44557</v>
      </c>
      <c r="B6140" s="8" t="str">
        <f ca="1">IFERROR(__xludf.DUMMYFUNCTION("""COMPUTED_VALUE"""),"-33.752813, -70.416847")</f>
        <v>-33.752813, -70.416847</v>
      </c>
      <c r="C6140" s="6" t="str">
        <f ca="1">IFERROR(__xludf.DUMMYFUNCTION("""COMPUTED_VALUE"""),"AV SANTALICES")</f>
        <v>AV SANTALICES</v>
      </c>
      <c r="D6140" s="6" t="str">
        <f ca="1">IFERROR(__xludf.DUMMYFUNCTION("""COMPUTED_VALUE"""),"ISLA DE MAIPO")</f>
        <v>ISLA DE MAIPO</v>
      </c>
    </row>
    <row r="6141" spans="1:4">
      <c r="A6141" s="7">
        <f ca="1">IFERROR(__xludf.DUMMYFUNCTION("""COMPUTED_VALUE"""),44557)</f>
        <v>44557</v>
      </c>
      <c r="B6141" s="8" t="str">
        <f ca="1">IFERROR(__xludf.DUMMYFUNCTION("""COMPUTED_VALUE"""),"-33.748333, -70.8704442")</f>
        <v>-33.748333, -70.8704442</v>
      </c>
      <c r="C6141" s="6" t="str">
        <f ca="1">IFERROR(__xludf.DUMMYFUNCTION("""COMPUTED_VALUE"""),"LAS FRUTAS 3225")</f>
        <v>LAS FRUTAS 3225</v>
      </c>
      <c r="D6141" s="6" t="str">
        <f ca="1">IFERROR(__xludf.DUMMYFUNCTION("""COMPUTED_VALUE"""),"ISLA DE MAIPO")</f>
        <v>ISLA DE MAIPO</v>
      </c>
    </row>
    <row r="6142" spans="1:4">
      <c r="A6142" s="7">
        <f ca="1">IFERROR(__xludf.DUMMYFUNCTION("""COMPUTED_VALUE"""),44557)</f>
        <v>44557</v>
      </c>
      <c r="B6142" s="8" t="str">
        <f ca="1">IFERROR(__xludf.DUMMYFUNCTION("""COMPUTED_VALUE"""),"-33.736888, -70.8607846")</f>
        <v>-33.736888, -70.8607846</v>
      </c>
      <c r="C6142" s="6" t="str">
        <f ca="1">IFERROR(__xludf.DUMMYFUNCTION("""COMPUTED_VALUE"""),"CAPERANA 4386")</f>
        <v>CAPERANA 4386</v>
      </c>
      <c r="D6142" s="6" t="str">
        <f ca="1">IFERROR(__xludf.DUMMYFUNCTION("""COMPUTED_VALUE"""),"ISLA DE MAIPO")</f>
        <v>ISLA DE MAIPO</v>
      </c>
    </row>
    <row r="6143" spans="1:4">
      <c r="A6143" s="7">
        <f ca="1">IFERROR(__xludf.DUMMYFUNCTION("""COMPUTED_VALUE"""),44557)</f>
        <v>44557</v>
      </c>
      <c r="B6143" s="8" t="str">
        <f ca="1">IFERROR(__xludf.DUMMYFUNCTION("""COMPUTED_VALUE"""),"-33.735695, -70.8630335")</f>
        <v>-33.735695, -70.8630335</v>
      </c>
      <c r="C6143" s="6" t="str">
        <f ca="1">IFERROR(__xludf.DUMMYFUNCTION("""COMPUTED_VALUE"""),"EL MANIO  363")</f>
        <v>EL MANIO  363</v>
      </c>
      <c r="D6143" s="6" t="str">
        <f ca="1">IFERROR(__xludf.DUMMYFUNCTION("""COMPUTED_VALUE"""),"ISLA DE MAIPO")</f>
        <v>ISLA DE MAIPO</v>
      </c>
    </row>
    <row r="6144" spans="1:4">
      <c r="A6144" s="7">
        <f ca="1">IFERROR(__xludf.DUMMYFUNCTION("""COMPUTED_VALUE"""),44557)</f>
        <v>44557</v>
      </c>
      <c r="B6144" s="6" t="str">
        <f ca="1">IFERROR(__xludf.DUMMYFUNCTION("""COMPUTED_VALUE"""),"-33.7045788-70.547162")</f>
        <v>-33.7045788-70.547162</v>
      </c>
      <c r="C6144" s="6" t="str">
        <f ca="1">IFERROR(__xludf.DUMMYFUNCTION("""COMPUTED_VALUE"""),"ORILLA DEL RIO 153 A")</f>
        <v>ORILLA DEL RIO 153 A</v>
      </c>
      <c r="D6144" s="6" t="str">
        <f ca="1">IFERROR(__xludf.DUMMYFUNCTION("""COMPUTED_VALUE"""),"PIRQUE")</f>
        <v>PIRQUE</v>
      </c>
    </row>
    <row r="6145" spans="1:4">
      <c r="A6145" s="7">
        <f ca="1">IFERROR(__xludf.DUMMYFUNCTION("""COMPUTED_VALUE"""),44557)</f>
        <v>44557</v>
      </c>
      <c r="B6145" s="6" t="str">
        <f ca="1">IFERROR(__xludf.DUMMYFUNCTION("""COMPUTED_VALUE"""),"-33.68471353-70.57802117")</f>
        <v>-33.68471353-70.57802117</v>
      </c>
      <c r="C6145" s="6" t="str">
        <f ca="1">IFERROR(__xludf.DUMMYFUNCTION("""COMPUTED_VALUE"""),"LAS BANDURRIAS SITIO 11")</f>
        <v>LAS BANDURRIAS SITIO 11</v>
      </c>
      <c r="D6145" s="6" t="str">
        <f ca="1">IFERROR(__xludf.DUMMYFUNCTION("""COMPUTED_VALUE"""),"PIRQUE")</f>
        <v>PIRQUE</v>
      </c>
    </row>
    <row r="6146" spans="1:4">
      <c r="A6146" s="7">
        <f ca="1">IFERROR(__xludf.DUMMYFUNCTION("""COMPUTED_VALUE"""),44557)</f>
        <v>44557</v>
      </c>
      <c r="B6146" s="6" t="str">
        <f ca="1">IFERROR(__xludf.DUMMYFUNCTION("""COMPUTED_VALUE"""),"-33.819448,-70.739684")</f>
        <v>-33.819448,-70.739684</v>
      </c>
      <c r="C6146" s="6" t="str">
        <f ca="1">IFERROR(__xludf.DUMMYFUNCTION("""COMPUTED_VALUE"""),"MAINTENCILLO 298")</f>
        <v>MAINTENCILLO 298</v>
      </c>
      <c r="D6146" s="6" t="str">
        <f ca="1">IFERROR(__xludf.DUMMYFUNCTION("""COMPUTED_VALUE"""),"PAINE")</f>
        <v>PAINE</v>
      </c>
    </row>
    <row r="6147" spans="1:4">
      <c r="A6147" s="7">
        <f ca="1">IFERROR(__xludf.DUMMYFUNCTION("""COMPUTED_VALUE"""),44557)</f>
        <v>44557</v>
      </c>
      <c r="B6147" s="6" t="str">
        <f ca="1">IFERROR(__xludf.DUMMYFUNCTION("""COMPUTED_VALUE"""),"-33.42261,-70.33051W")</f>
        <v>-33.42261,-70.33051W</v>
      </c>
      <c r="C6147" s="6" t="str">
        <f ca="1">IFERROR(__xludf.DUMMYFUNCTION("""COMPUTED_VALUE"""),"ORILLA DEL RIO 179E")</f>
        <v>ORILLA DEL RIO 179E</v>
      </c>
      <c r="D6147" s="6" t="str">
        <f ca="1">IFERROR(__xludf.DUMMYFUNCTION("""COMPUTED_VALUE"""),"PIRQUE")</f>
        <v>PIRQUE</v>
      </c>
    </row>
    <row r="6148" spans="1:4">
      <c r="A6148" s="7">
        <f ca="1">IFERROR(__xludf.DUMMYFUNCTION("""COMPUTED_VALUE"""),44557)</f>
        <v>44557</v>
      </c>
      <c r="B6148" s="6" t="str">
        <f ca="1">IFERROR(__xludf.DUMMYFUNCTION("""COMPUTED_VALUE"""),"-33.422615,70.331051")</f>
        <v>-33.422615,70.331051</v>
      </c>
      <c r="C6148" s="6" t="str">
        <f ca="1">IFERROR(__xludf.DUMMYFUNCTION("""COMPUTED_VALUE"""),"VILLARIO SAN MANUEL ")</f>
        <v xml:space="preserve">VILLARIO SAN MANUEL </v>
      </c>
      <c r="D6148" s="6" t="str">
        <f ca="1">IFERROR(__xludf.DUMMYFUNCTION("""COMPUTED_VALUE"""),"PIRQUE")</f>
        <v>PIRQUE</v>
      </c>
    </row>
    <row r="6149" spans="1:4">
      <c r="A6149" s="7">
        <f ca="1">IFERROR(__xludf.DUMMYFUNCTION("""COMPUTED_VALUE"""),44557)</f>
        <v>44557</v>
      </c>
      <c r="B6149" s="6" t="str">
        <f ca="1">IFERROR(__xludf.DUMMYFUNCTION("""COMPUTED_VALUE"""),"-33.721419,-70.554584")</f>
        <v>-33.721419,-70.554584</v>
      </c>
      <c r="C6149" s="6" t="str">
        <f ca="1">IFERROR(__xludf.DUMMYFUNCTION("""COMPUTED_VALUE"""),"PJE NAVARRETE 118")</f>
        <v>PJE NAVARRETE 118</v>
      </c>
      <c r="D6149" s="6" t="str">
        <f ca="1">IFERROR(__xludf.DUMMYFUNCTION("""COMPUTED_VALUE"""),"PIRQUE")</f>
        <v>PIRQUE</v>
      </c>
    </row>
    <row r="6150" spans="1:4">
      <c r="A6150" s="7">
        <f ca="1">IFERROR(__xludf.DUMMYFUNCTION("""COMPUTED_VALUE"""),44557)</f>
        <v>44557</v>
      </c>
      <c r="B6150" s="6" t="str">
        <f ca="1">IFERROR(__xludf.DUMMYFUNCTION("""COMPUTED_VALUE"""),"-33.733800,-70.570555")</f>
        <v>-33.733800,-70.570555</v>
      </c>
      <c r="C6150" s="6" t="str">
        <f ca="1">IFERROR(__xludf.DUMMYFUNCTION("""COMPUTED_VALUE"""),"LOS QUILLAYES 1185")</f>
        <v>LOS QUILLAYES 1185</v>
      </c>
      <c r="D6150" s="6" t="str">
        <f ca="1">IFERROR(__xludf.DUMMYFUNCTION("""COMPUTED_VALUE"""),"PIRQUE")</f>
        <v>PIRQUE</v>
      </c>
    </row>
    <row r="6151" spans="1:4">
      <c r="A6151" s="7">
        <f ca="1">IFERROR(__xludf.DUMMYFUNCTION("""COMPUTED_VALUE"""),44557)</f>
        <v>44557</v>
      </c>
      <c r="B6151" s="6" t="str">
        <f ca="1">IFERROR(__xludf.DUMMYFUNCTION("""COMPUTED_VALUE"""),"-33.746242,-70.868950")</f>
        <v>-33.746242,-70.868950</v>
      </c>
      <c r="C6151" s="6" t="str">
        <f ca="1">IFERROR(__xludf.DUMMYFUNCTION("""COMPUTED_VALUE"""),"PA PADRE BENJAMIN ULLOA 268")</f>
        <v>PA PADRE BENJAMIN ULLOA 268</v>
      </c>
      <c r="D6151" s="6" t="str">
        <f ca="1">IFERROR(__xludf.DUMMYFUNCTION("""COMPUTED_VALUE"""),"ISLA DE MAIPO")</f>
        <v>ISLA DE MAIPO</v>
      </c>
    </row>
    <row r="6152" spans="1:4">
      <c r="A6152" s="7">
        <f ca="1">IFERROR(__xludf.DUMMYFUNCTION("""COMPUTED_VALUE"""),44557)</f>
        <v>44557</v>
      </c>
      <c r="B6152" s="6" t="str">
        <f ca="1">IFERROR(__xludf.DUMMYFUNCTION("""COMPUTED_VALUE"""),"-33.643577,-70.625045")</f>
        <v>-33.643577,-70.625045</v>
      </c>
      <c r="C6152" s="6" t="str">
        <f ca="1">IFERROR(__xludf.DUMMYFUNCTION("""COMPUTED_VALUE"""),"AV VIRGINIA SUBERCASEUX 4000")</f>
        <v>AV VIRGINIA SUBERCASEUX 4000</v>
      </c>
      <c r="D6152" s="6" t="str">
        <f ca="1">IFERROR(__xludf.DUMMYFUNCTION("""COMPUTED_VALUE"""),"PIRQUE")</f>
        <v>PIRQUE</v>
      </c>
    </row>
    <row r="6153" spans="1:4">
      <c r="A6153" s="7">
        <f ca="1">IFERROR(__xludf.DUMMYFUNCTION("""COMPUTED_VALUE"""),44557)</f>
        <v>44557</v>
      </c>
      <c r="B6153" s="6" t="str">
        <f ca="1">IFERROR(__xludf.DUMMYFUNCTION("""COMPUTED_VALUE"""),"-33.643577,-70.625045")</f>
        <v>-33.643577,-70.625045</v>
      </c>
      <c r="C6153" s="6" t="str">
        <f ca="1">IFERROR(__xludf.DUMMYFUNCTION("""COMPUTED_VALUE"""),"AV VIRGINIA SUBERCASEUX 4000")</f>
        <v>AV VIRGINIA SUBERCASEUX 4000</v>
      </c>
      <c r="D6153" s="6" t="str">
        <f ca="1">IFERROR(__xludf.DUMMYFUNCTION("""COMPUTED_VALUE"""),"PIRQUE")</f>
        <v>PIRQUE</v>
      </c>
    </row>
    <row r="6154" spans="1:4">
      <c r="A6154" s="7">
        <f ca="1">IFERROR(__xludf.DUMMYFUNCTION("""COMPUTED_VALUE"""),44557)</f>
        <v>44557</v>
      </c>
      <c r="B6154" s="8" t="str">
        <f ca="1">IFERROR(__xludf.DUMMYFUNCTION("""COMPUTED_VALUE"""),"-33282891,-70878957")</f>
        <v>-33282891,-70878957</v>
      </c>
      <c r="C6154" s="6" t="str">
        <f ca="1">IFERROR(__xludf.DUMMYFUNCTION("""COMPUTED_VALUE"""),"BAQUEDANO 674")</f>
        <v>BAQUEDANO 674</v>
      </c>
      <c r="D6154" s="6" t="str">
        <f ca="1">IFERROR(__xludf.DUMMYFUNCTION("""COMPUTED_VALUE"""),"LAMPA")</f>
        <v>LAMPA</v>
      </c>
    </row>
    <row r="6155" spans="1:4">
      <c r="A6155" s="7">
        <f ca="1">IFERROR(__xludf.DUMMYFUNCTION("""COMPUTED_VALUE"""),44557)</f>
        <v>44557</v>
      </c>
      <c r="B6155" s="8" t="str">
        <f ca="1">IFERROR(__xludf.DUMMYFUNCTION("""COMPUTED_VALUE"""),"-33.143837,-70.786823")</f>
        <v>-33.143837,-70.786823</v>
      </c>
      <c r="C6155" s="6" t="str">
        <f ca="1">IFERROR(__xludf.DUMMYFUNCTION("""COMPUTED_VALUE"""),"DOR ORIENTE 410")</f>
        <v>DOR ORIENTE 410</v>
      </c>
      <c r="D6155" s="6" t="str">
        <f ca="1">IFERROR(__xludf.DUMMYFUNCTION("""COMPUTED_VALUE"""),"TIL TIL")</f>
        <v>TIL TIL</v>
      </c>
    </row>
    <row r="6156" spans="1:4">
      <c r="A6156" s="7">
        <f ca="1">IFERROR(__xludf.DUMMYFUNCTION("""COMPUTED_VALUE"""),44557)</f>
        <v>44557</v>
      </c>
      <c r="B6156" s="8" t="str">
        <f ca="1">IFERROR(__xludf.DUMMYFUNCTION("""COMPUTED_VALUE"""),"-33.143837,-70.786823")</f>
        <v>-33.143837,-70.786823</v>
      </c>
      <c r="C6156" s="6" t="str">
        <f ca="1">IFERROR(__xludf.DUMMYFUNCTION("""COMPUTED_VALUE"""),"DOS ORIENTE 411")</f>
        <v>DOS ORIENTE 411</v>
      </c>
      <c r="D6156" s="6" t="str">
        <f ca="1">IFERROR(__xludf.DUMMYFUNCTION("""COMPUTED_VALUE"""),"TIL TIL")</f>
        <v>TIL TIL</v>
      </c>
    </row>
    <row r="6157" spans="1:4">
      <c r="A6157" s="7">
        <f ca="1">IFERROR(__xludf.DUMMYFUNCTION("""COMPUTED_VALUE"""),44557)</f>
        <v>44557</v>
      </c>
      <c r="B6157" s="8" t="str">
        <f ca="1">IFERROR(__xludf.DUMMYFUNCTION("""COMPUTED_VALUE"""),"-34.054493,-71.228058")</f>
        <v>-34.054493,-71.228058</v>
      </c>
      <c r="C6157" s="6" t="str">
        <f ca="1">IFERROR(__xludf.DUMMYFUNCTION("""COMPUTED_VALUE"""),"EL LLANO 146")</f>
        <v>EL LLANO 146</v>
      </c>
      <c r="D6157" s="6" t="str">
        <f ca="1">IFERROR(__xludf.DUMMYFUNCTION("""COMPUTED_VALUE"""),"ALHUÉ")</f>
        <v>ALHUÉ</v>
      </c>
    </row>
    <row r="6158" spans="1:4">
      <c r="A6158" s="7">
        <f ca="1">IFERROR(__xludf.DUMMYFUNCTION("""COMPUTED_VALUE"""),44557)</f>
        <v>44557</v>
      </c>
      <c r="B6158" s="8" t="str">
        <f ca="1">IFERROR(__xludf.DUMMYFUNCTION("""COMPUTED_VALUE"""),"-34.054493,-71.228058")</f>
        <v>-34.054493,-71.228058</v>
      </c>
      <c r="C6158" s="6" t="str">
        <f ca="1">IFERROR(__xludf.DUMMYFUNCTION("""COMPUTED_VALUE"""),"EL LLANO 147")</f>
        <v>EL LLANO 147</v>
      </c>
      <c r="D6158" s="6" t="str">
        <f ca="1">IFERROR(__xludf.DUMMYFUNCTION("""COMPUTED_VALUE"""),"ALHUÉ")</f>
        <v>ALHUÉ</v>
      </c>
    </row>
    <row r="6159" spans="1:4">
      <c r="A6159" s="7">
        <f ca="1">IFERROR(__xludf.DUMMYFUNCTION("""COMPUTED_VALUE"""),44557)</f>
        <v>44557</v>
      </c>
      <c r="B6159" s="8" t="str">
        <f ca="1">IFERROR(__xludf.DUMMYFUNCTION("""COMPUTED_VALUE"""),"-34.051991,-71.223652")</f>
        <v>-34.051991,-71.223652</v>
      </c>
      <c r="C6159" s="6" t="str">
        <f ca="1">IFERROR(__xludf.DUMMYFUNCTION("""COMPUTED_VALUE"""),"EL LLANO parcela 26")</f>
        <v>EL LLANO parcela 26</v>
      </c>
      <c r="D6159" s="6" t="str">
        <f ca="1">IFERROR(__xludf.DUMMYFUNCTION("""COMPUTED_VALUE"""),"ALHUÉ")</f>
        <v>ALHUÉ</v>
      </c>
    </row>
    <row r="6160" spans="1:4">
      <c r="A6160" s="7">
        <f ca="1">IFERROR(__xludf.DUMMYFUNCTION("""COMPUTED_VALUE"""),44557)</f>
        <v>44557</v>
      </c>
      <c r="B6160" s="6" t="str">
        <f ca="1">IFERROR(__xludf.DUMMYFUNCTION("""COMPUTED_VALUE"""),"-33.043517-71.403451")</f>
        <v>-33.043517-71.403451</v>
      </c>
      <c r="C6160" s="6" t="str">
        <f ca="1">IFERROR(__xludf.DUMMYFUNCTION("""COMPUTED_VALUE"""),"AVIADOR ACEVEDO 500 PASAJE G")</f>
        <v>AVIADOR ACEVEDO 500 PASAJE G</v>
      </c>
      <c r="D6160" s="6" t="str">
        <f ca="1">IFERROR(__xludf.DUMMYFUNCTION("""COMPUTED_VALUE"""),"QUILPUÉ")</f>
        <v>QUILPUÉ</v>
      </c>
    </row>
    <row r="6161" spans="1:4">
      <c r="A6161" s="7">
        <f ca="1">IFERROR(__xludf.DUMMYFUNCTION("""COMPUTED_VALUE"""),44557)</f>
        <v>44557</v>
      </c>
      <c r="B6161" s="6" t="str">
        <f ca="1">IFERROR(__xludf.DUMMYFUNCTION("""COMPUTED_VALUE"""),"-33.047566-71.422794")</f>
        <v>-33.047566-71.422794</v>
      </c>
      <c r="C6161" s="6" t="str">
        <f ca="1">IFERROR(__xludf.DUMMYFUNCTION("""COMPUTED_VALUE"""),"QUINTO CENTENARIO 1819")</f>
        <v>QUINTO CENTENARIO 1819</v>
      </c>
      <c r="D6161" s="6" t="str">
        <f ca="1">IFERROR(__xludf.DUMMYFUNCTION("""COMPUTED_VALUE"""),"QUILPUÉ")</f>
        <v>QUILPUÉ</v>
      </c>
    </row>
    <row r="6162" spans="1:4">
      <c r="A6162" s="7">
        <f ca="1">IFERROR(__xludf.DUMMYFUNCTION("""COMPUTED_VALUE"""),44557)</f>
        <v>44557</v>
      </c>
      <c r="B6162" s="6" t="str">
        <f ca="1">IFERROR(__xludf.DUMMYFUNCTION("""COMPUTED_VALUE"""),"-33.8473991,-70.6386687")</f>
        <v>-33.8473991,-70.6386687</v>
      </c>
      <c r="C6162" s="6" t="str">
        <f ca="1">IFERROR(__xludf.DUMMYFUNCTION("""COMPUTED_VALUE"""),"CARDONAL ALTO SITIO 6 CASA E")</f>
        <v>CARDONAL ALTO SITIO 6 CASA E</v>
      </c>
      <c r="D6162" s="6" t="str">
        <f ca="1">IFERROR(__xludf.DUMMYFUNCTION("""COMPUTED_VALUE"""),"PAINE")</f>
        <v>PAINE</v>
      </c>
    </row>
    <row r="6163" spans="1:4">
      <c r="A6163" s="7">
        <f ca="1">IFERROR(__xludf.DUMMYFUNCTION("""COMPUTED_VALUE"""),44557)</f>
        <v>44557</v>
      </c>
      <c r="B6163" s="6" t="str">
        <f ca="1">IFERROR(__xludf.DUMMYFUNCTION("""COMPUTED_VALUE"""),"-33..8473804,-70.6388953")</f>
        <v>-33..8473804,-70.6388953</v>
      </c>
      <c r="C6163" s="6" t="str">
        <f ca="1">IFERROR(__xludf.DUMMYFUNCTION("""COMPUTED_VALUE"""),"CARDONAL ALTO 6 CASA D")</f>
        <v>CARDONAL ALTO 6 CASA D</v>
      </c>
      <c r="D6163" s="6" t="str">
        <f ca="1">IFERROR(__xludf.DUMMYFUNCTION("""COMPUTED_VALUE"""),"PAINE")</f>
        <v>PAINE</v>
      </c>
    </row>
    <row r="6164" spans="1:4">
      <c r="A6164" s="7">
        <f ca="1">IFERROR(__xludf.DUMMYFUNCTION("""COMPUTED_VALUE"""),44557)</f>
        <v>44557</v>
      </c>
      <c r="B6164" s="6" t="str">
        <f ca="1">IFERROR(__xludf.DUMMYFUNCTION("""COMPUTED_VALUE"""),"-33.8027124,-70.6935383")</f>
        <v>-33.8027124,-70.6935383</v>
      </c>
      <c r="C6164" s="6" t="str">
        <f ca="1">IFERROR(__xludf.DUMMYFUNCTION("""COMPUTED_VALUE"""),"18 DE SEPTIEMBRE 4110 SITIO 13")</f>
        <v>18 DE SEPTIEMBRE 4110 SITIO 13</v>
      </c>
      <c r="D6164" s="6" t="str">
        <f ca="1">IFERROR(__xludf.DUMMYFUNCTION("""COMPUTED_VALUE"""),"PAINE")</f>
        <v>PAINE</v>
      </c>
    </row>
    <row r="6165" spans="1:4">
      <c r="A6165" s="7">
        <f ca="1">IFERROR(__xludf.DUMMYFUNCTION("""COMPUTED_VALUE"""),44557)</f>
        <v>44557</v>
      </c>
      <c r="B6165" s="6" t="str">
        <f ca="1">IFERROR(__xludf.DUMMYFUNCTION("""COMPUTED_VALUE"""),"-33.814274,-70.736849")</f>
        <v>-33.814274,-70.736849</v>
      </c>
      <c r="C6165" s="6" t="str">
        <f ca="1">IFERROR(__xludf.DUMMYFUNCTION("""COMPUTED_VALUE"""),"PEREZ CANTO 591")</f>
        <v>PEREZ CANTO 591</v>
      </c>
      <c r="D6165" s="6" t="str">
        <f ca="1">IFERROR(__xludf.DUMMYFUNCTION("""COMPUTED_VALUE"""),"PAINE")</f>
        <v>PAINE</v>
      </c>
    </row>
    <row r="6166" spans="1:4">
      <c r="A6166" s="7">
        <f ca="1">IFERROR(__xludf.DUMMYFUNCTION("""COMPUTED_VALUE"""),44557)</f>
        <v>44557</v>
      </c>
      <c r="B6166" s="6" t="str">
        <f ca="1">IFERROR(__xludf.DUMMYFUNCTION("""COMPUTED_VALUE"""),"-33.894328,-70.661322")</f>
        <v>-33.894328,-70.661322</v>
      </c>
      <c r="C6166" s="6" t="str">
        <f ca="1">IFERROR(__xludf.DUMMYFUNCTION("""COMPUTED_VALUE"""),"CHADA SECTOR NORTE S/N ")</f>
        <v xml:space="preserve">CHADA SECTOR NORTE S/N </v>
      </c>
      <c r="D6166" s="6" t="str">
        <f ca="1">IFERROR(__xludf.DUMMYFUNCTION("""COMPUTED_VALUE"""),"PAINE")</f>
        <v>PAINE</v>
      </c>
    </row>
    <row r="6167" spans="1:4">
      <c r="A6167" s="7">
        <f ca="1">IFERROR(__xludf.DUMMYFUNCTION("""COMPUTED_VALUE"""),44557)</f>
        <v>44557</v>
      </c>
      <c r="B6167" s="6" t="str">
        <f ca="1">IFERROR(__xludf.DUMMYFUNCTION("""COMPUTED_VALUE"""),"-33.814151, -70.738974")</f>
        <v>-33.814151, -70.738974</v>
      </c>
      <c r="C6167" s="6" t="str">
        <f ca="1">IFERROR(__xludf.DUMMYFUNCTION("""COMPUTED_VALUE"""),"NUEVA ESPERANZA 45-B")</f>
        <v>NUEVA ESPERANZA 45-B</v>
      </c>
      <c r="D6167" s="6" t="str">
        <f ca="1">IFERROR(__xludf.DUMMYFUNCTION("""COMPUTED_VALUE"""),"PAINE")</f>
        <v>PAINE</v>
      </c>
    </row>
    <row r="6168" spans="1:4">
      <c r="A6168" s="7">
        <f ca="1">IFERROR(__xludf.DUMMYFUNCTION("""COMPUTED_VALUE"""),44557)</f>
        <v>44557</v>
      </c>
      <c r="B6168" s="6" t="str">
        <f ca="1">IFERROR(__xludf.DUMMYFUNCTION("""COMPUTED_VALUE"""),"-33.870372, -70.724957")</f>
        <v>-33.870372, -70.724957</v>
      </c>
      <c r="C6168" s="6" t="str">
        <f ca="1">IFERROR(__xludf.DUMMYFUNCTION("""COMPUTED_VALUE"""),"CHADA  10 SECTOR NORTE S/N ")</f>
        <v xml:space="preserve">CHADA  10 SECTOR NORTE S/N </v>
      </c>
      <c r="D6168" s="6" t="str">
        <f ca="1">IFERROR(__xludf.DUMMYFUNCTION("""COMPUTED_VALUE"""),"PAINE")</f>
        <v>PAINE</v>
      </c>
    </row>
    <row r="6169" spans="1:4">
      <c r="A6169" s="7">
        <f ca="1">IFERROR(__xludf.DUMMYFUNCTION("""COMPUTED_VALUE"""),44557)</f>
        <v>44557</v>
      </c>
      <c r="B6169" s="6" t="str">
        <f ca="1">IFERROR(__xludf.DUMMYFUNCTION("""COMPUTED_VALUE"""),"-33.802710,-70.719756")</f>
        <v>-33.802710,-70.719756</v>
      </c>
      <c r="C6169" s="6" t="str">
        <f ca="1">IFERROR(__xludf.DUMMYFUNCTION("""COMPUTED_VALUE"""),"NUEVA ESPERANZA 43")</f>
        <v>NUEVA ESPERANZA 43</v>
      </c>
      <c r="D6169" s="6" t="str">
        <f ca="1">IFERROR(__xludf.DUMMYFUNCTION("""COMPUTED_VALUE"""),"PAINE")</f>
        <v>PAINE</v>
      </c>
    </row>
    <row r="6170" spans="1:4">
      <c r="A6170" s="7">
        <f ca="1">IFERROR(__xludf.DUMMYFUNCTION("""COMPUTED_VALUE"""),44557)</f>
        <v>44557</v>
      </c>
      <c r="B6170" s="6" t="str">
        <f ca="1">IFERROR(__xludf.DUMMYFUNCTION("""COMPUTED_VALUE"""),"-33.572234,-70.81055")</f>
        <v>-33.572234,-70.81055</v>
      </c>
      <c r="C6170" s="6" t="str">
        <f ca="1">IFERROR(__xludf.DUMMYFUNCTION("""COMPUTED_VALUE"""),"PARIS 1028")</f>
        <v>PARIS 1028</v>
      </c>
      <c r="D6170" s="6" t="str">
        <f ca="1">IFERROR(__xludf.DUMMYFUNCTION("""COMPUTED_VALUE"""),"PADRE HURTADO")</f>
        <v>PADRE HURTADO</v>
      </c>
    </row>
    <row r="6171" spans="1:4">
      <c r="A6171" s="7">
        <f ca="1">IFERROR(__xludf.DUMMYFUNCTION("""COMPUTED_VALUE"""),44557)</f>
        <v>44557</v>
      </c>
      <c r="B6171" s="6" t="str">
        <f ca="1">IFERROR(__xludf.DUMMYFUNCTION("""COMPUTED_VALUE"""),"-33.324398,-70.749361")</f>
        <v>-33.324398,-70.749361</v>
      </c>
      <c r="C6171" s="6" t="str">
        <f ca="1">IFERROR(__xludf.DUMMYFUNCTION("""COMPUTED_VALUE"""),"SAN LUIS 2750")</f>
        <v>SAN LUIS 2750</v>
      </c>
      <c r="D6171" s="6" t="str">
        <f ca="1">IFERROR(__xludf.DUMMYFUNCTION("""COMPUTED_VALUE"""),"LAMPA")</f>
        <v>LAMPA</v>
      </c>
    </row>
    <row r="6172" spans="1:4">
      <c r="A6172" s="7">
        <f ca="1">IFERROR(__xludf.DUMMYFUNCTION("""COMPUTED_VALUE"""),44557)</f>
        <v>44557</v>
      </c>
      <c r="B6172" s="6" t="str">
        <f ca="1">IFERROR(__xludf.DUMMYFUNCTION("""COMPUTED_VALUE"""),"-33.308190,-70.837378")</f>
        <v>-33.308190,-70.837378</v>
      </c>
      <c r="C6172" s="6" t="str">
        <f ca="1">IFERROR(__xludf.DUMMYFUNCTION("""COMPUTED_VALUE"""),"CONDM. PUESTA DEL SOL P.20")</f>
        <v>CONDM. PUESTA DEL SOL P.20</v>
      </c>
      <c r="D6172" s="6" t="str">
        <f ca="1">IFERROR(__xludf.DUMMYFUNCTION("""COMPUTED_VALUE"""),"LAMPA")</f>
        <v>LAMPA</v>
      </c>
    </row>
    <row r="6173" spans="1:4">
      <c r="A6173" s="7">
        <f ca="1">IFERROR(__xludf.DUMMYFUNCTION("""COMPUTED_VALUE"""),44558)</f>
        <v>44558</v>
      </c>
      <c r="B6173" s="8" t="str">
        <f ca="1">IFERROR(__xludf.DUMMYFUNCTION("""COMPUTED_VALUE"""),"-33.7445259, -70.893724")</f>
        <v>-33.7445259, -70.893724</v>
      </c>
      <c r="C6173" s="6" t="str">
        <f ca="1">IFERROR(__xludf.DUMMYFUNCTION("""COMPUTED_VALUE"""),"SANTA INES  3")</f>
        <v>SANTA INES  3</v>
      </c>
      <c r="D6173" s="6" t="str">
        <f ca="1">IFERROR(__xludf.DUMMYFUNCTION("""COMPUTED_VALUE"""),"ISLA DE MAIPO")</f>
        <v>ISLA DE MAIPO</v>
      </c>
    </row>
    <row r="6174" spans="1:4">
      <c r="A6174" s="7">
        <f ca="1">IFERROR(__xludf.DUMMYFUNCTION("""COMPUTED_VALUE"""),44558)</f>
        <v>44558</v>
      </c>
      <c r="B6174" s="8" t="str">
        <f ca="1">IFERROR(__xludf.DUMMYFUNCTION("""COMPUTED_VALUE"""),"-33.7839337, -70.8917098")</f>
        <v>-33.7839337, -70.8917098</v>
      </c>
      <c r="C6174" s="6" t="str">
        <f ca="1">IFERROR(__xludf.DUMMYFUNCTION("""COMPUTED_VALUE"""),"JUAN FRANCISCO FRESNOS 402")</f>
        <v>JUAN FRANCISCO FRESNOS 402</v>
      </c>
      <c r="D6174" s="6" t="str">
        <f ca="1">IFERROR(__xludf.DUMMYFUNCTION("""COMPUTED_VALUE"""),"ISLA DE MAIPO")</f>
        <v>ISLA DE MAIPO</v>
      </c>
    </row>
    <row r="6175" spans="1:4">
      <c r="A6175" s="7">
        <f ca="1">IFERROR(__xludf.DUMMYFUNCTION("""COMPUTED_VALUE"""),44558)</f>
        <v>44558</v>
      </c>
      <c r="B6175" s="8" t="str">
        <f ca="1">IFERROR(__xludf.DUMMYFUNCTION("""COMPUTED_VALUE"""),"-33.6325763, -70.9155613")</f>
        <v>-33.6325763, -70.9155613</v>
      </c>
      <c r="C6175" s="6" t="str">
        <f ca="1">IFERROR(__xludf.DUMMYFUNCTION("""COMPUTED_VALUE"""),"STO TORIBIO S/N")</f>
        <v>STO TORIBIO S/N</v>
      </c>
      <c r="D6175" s="6" t="str">
        <f ca="1">IFERROR(__xludf.DUMMYFUNCTION("""COMPUTED_VALUE"""),"PEÑAFLOR")</f>
        <v>PEÑAFLOR</v>
      </c>
    </row>
    <row r="6176" spans="1:4">
      <c r="A6176" s="7">
        <f ca="1">IFERROR(__xludf.DUMMYFUNCTION("""COMPUTED_VALUE"""),44558)</f>
        <v>44558</v>
      </c>
      <c r="B6176" s="8" t="str">
        <f ca="1">IFERROR(__xludf.DUMMYFUNCTION("""COMPUTED_VALUE"""),"-33.6325763, -70.9155613")</f>
        <v>-33.6325763, -70.9155613</v>
      </c>
      <c r="C6176" s="6" t="str">
        <f ca="1">IFERROR(__xludf.DUMMYFUNCTION("""COMPUTED_VALUE"""),"CALLE SANTA  LUCIA  INTERIOR S/N")</f>
        <v>CALLE SANTA  LUCIA  INTERIOR S/N</v>
      </c>
      <c r="D6176" s="6" t="str">
        <f ca="1">IFERROR(__xludf.DUMMYFUNCTION("""COMPUTED_VALUE"""),"MELIPILLA")</f>
        <v>MELIPILLA</v>
      </c>
    </row>
    <row r="6177" spans="1:4">
      <c r="A6177" s="7">
        <f ca="1">IFERROR(__xludf.DUMMYFUNCTION("""COMPUTED_VALUE"""),44558)</f>
        <v>44558</v>
      </c>
      <c r="B6177" s="8" t="str">
        <f ca="1">IFERROR(__xludf.DUMMYFUNCTION("""COMPUTED_VALUE"""),"-33.73880-70.867552")</f>
        <v>-33.73880-70.867552</v>
      </c>
      <c r="C6177" s="6" t="str">
        <f ca="1">IFERROR(__xludf.DUMMYFUNCTION("""COMPUTED_VALUE"""),"VISTA HERMOSA 545")</f>
        <v>VISTA HERMOSA 545</v>
      </c>
      <c r="D6177" s="6" t="str">
        <f ca="1">IFERROR(__xludf.DUMMYFUNCTION("""COMPUTED_VALUE"""),"ISLA DE MAIPO")</f>
        <v>ISLA DE MAIPO</v>
      </c>
    </row>
    <row r="6178" spans="1:4">
      <c r="A6178" s="7">
        <f ca="1">IFERROR(__xludf.DUMMYFUNCTION("""COMPUTED_VALUE"""),44558)</f>
        <v>44558</v>
      </c>
      <c r="B6178" s="6" t="str">
        <f ca="1">IFERROR(__xludf.DUMMYFUNCTION("""COMPUTED_VALUE"""),"-33.509644-71.140922")</f>
        <v>-33.509644-71.140922</v>
      </c>
      <c r="C6178" s="6" t="str">
        <f ca="1">IFERROR(__xludf.DUMMYFUNCTION("""COMPUTED_VALUE"""),"EL ROSARIO S/N")</f>
        <v>EL ROSARIO S/N</v>
      </c>
      <c r="D6178" s="6" t="str">
        <f ca="1">IFERROR(__xludf.DUMMYFUNCTION("""COMPUTED_VALUE"""),"MARIA PINTO")</f>
        <v>MARIA PINTO</v>
      </c>
    </row>
    <row r="6179" spans="1:4">
      <c r="A6179" s="7">
        <f ca="1">IFERROR(__xludf.DUMMYFUNCTION("""COMPUTED_VALUE"""),44558)</f>
        <v>44558</v>
      </c>
      <c r="B6179" s="6" t="str">
        <f ca="1">IFERROR(__xludf.DUMMYFUNCTION("""COMPUTED_VALUE"""),"-33.2778302-70.8779881")</f>
        <v>-33.2778302-70.8779881</v>
      </c>
      <c r="C6179" s="6" t="str">
        <f ca="1">IFERROR(__xludf.DUMMYFUNCTION("""COMPUTED_VALUE"""),"CALLE MIRAFLORES 1121")</f>
        <v>CALLE MIRAFLORES 1121</v>
      </c>
      <c r="D6179" s="6" t="str">
        <f ca="1">IFERROR(__xludf.DUMMYFUNCTION("""COMPUTED_VALUE"""),"LAMPA")</f>
        <v>LAMPA</v>
      </c>
    </row>
    <row r="6180" spans="1:4">
      <c r="A6180" s="7">
        <f ca="1">IFERROR(__xludf.DUMMYFUNCTION("""COMPUTED_VALUE"""),44558)</f>
        <v>44558</v>
      </c>
      <c r="B6180" s="6" t="str">
        <f ca="1">IFERROR(__xludf.DUMMYFUNCTION("""COMPUTED_VALUE"""),"-33.2778302-70.8779881")</f>
        <v>-33.2778302-70.8779881</v>
      </c>
      <c r="C6180" s="6" t="str">
        <f ca="1">IFERROR(__xludf.DUMMYFUNCTION("""COMPUTED_VALUE"""),"CALLE MIRAFLORES 1121")</f>
        <v>CALLE MIRAFLORES 1121</v>
      </c>
      <c r="D6180" s="6" t="str">
        <f ca="1">IFERROR(__xludf.DUMMYFUNCTION("""COMPUTED_VALUE"""),"LAMPA")</f>
        <v>LAMPA</v>
      </c>
    </row>
    <row r="6181" spans="1:4">
      <c r="A6181" s="7">
        <f ca="1">IFERROR(__xludf.DUMMYFUNCTION("""COMPUTED_VALUE"""),44558)</f>
        <v>44558</v>
      </c>
      <c r="B6181" s="6" t="str">
        <f ca="1">IFERROR(__xludf.DUMMYFUNCTION("""COMPUTED_VALUE"""),"-33.509644-71.140922")</f>
        <v>-33.509644-71.140922</v>
      </c>
      <c r="C6181" s="6" t="str">
        <f ca="1">IFERROR(__xludf.DUMMYFUNCTION("""COMPUTED_VALUE"""),"EL ROSARIO S/N")</f>
        <v>EL ROSARIO S/N</v>
      </c>
      <c r="D6181" s="6" t="str">
        <f ca="1">IFERROR(__xludf.DUMMYFUNCTION("""COMPUTED_VALUE"""),"MARIA PINTO")</f>
        <v>MARIA PINTO</v>
      </c>
    </row>
    <row r="6182" spans="1:4">
      <c r="A6182" s="7">
        <f ca="1">IFERROR(__xludf.DUMMYFUNCTION("""COMPUTED_VALUE"""),44558)</f>
        <v>44558</v>
      </c>
      <c r="B6182" s="6" t="str">
        <f ca="1">IFERROR(__xludf.DUMMYFUNCTION("""COMPUTED_VALUE"""),"-33.52748-70.47968")</f>
        <v>-33.52748-70.47968</v>
      </c>
      <c r="C6182" s="6" t="str">
        <f ca="1">IFERROR(__xludf.DUMMYFUNCTION("""COMPUTED_VALUE"""),"CAMINO EL VOLCAN 1150")</f>
        <v>CAMINO EL VOLCAN 1150</v>
      </c>
      <c r="D6182" s="6" t="str">
        <f ca="1">IFERROR(__xludf.DUMMYFUNCTION("""COMPUTED_VALUE"""),"SAN JOSE DE MAIPO")</f>
        <v>SAN JOSE DE MAIPO</v>
      </c>
    </row>
    <row r="6183" spans="1:4">
      <c r="A6183" s="7">
        <f ca="1">IFERROR(__xludf.DUMMYFUNCTION("""COMPUTED_VALUE"""),44558)</f>
        <v>44558</v>
      </c>
      <c r="B6183" s="6" t="str">
        <f ca="1">IFERROR(__xludf.DUMMYFUNCTION("""COMPUTED_VALUE"""),"-33.58749-70.47909")</f>
        <v>-33.58749-70.47909</v>
      </c>
      <c r="C6183" s="6" t="str">
        <f ca="1">IFERROR(__xludf.DUMMYFUNCTION("""COMPUTED_VALUE"""),"CAMINO EL VOLCAN 1150")</f>
        <v>CAMINO EL VOLCAN 1150</v>
      </c>
      <c r="D6183" s="6" t="str">
        <f ca="1">IFERROR(__xludf.DUMMYFUNCTION("""COMPUTED_VALUE"""),"SAN JOSE DE MAIPO")</f>
        <v>SAN JOSE DE MAIPO</v>
      </c>
    </row>
    <row r="6184" spans="1:4">
      <c r="A6184" s="7">
        <f ca="1">IFERROR(__xludf.DUMMYFUNCTION("""COMPUTED_VALUE"""),44558)</f>
        <v>44558</v>
      </c>
      <c r="B6184" s="6" t="str">
        <f ca="1">IFERROR(__xludf.DUMMYFUNCTION("""COMPUTED_VALUE"""),"-33.807562,-70.736875")</f>
        <v>-33.807562,-70.736875</v>
      </c>
      <c r="C6184" s="6" t="str">
        <f ca="1">IFERROR(__xludf.DUMMYFUNCTION("""COMPUTED_VALUE"""),"PASAJE ISLA LENOZ 330")</f>
        <v>PASAJE ISLA LENOZ 330</v>
      </c>
      <c r="D6184" s="6" t="str">
        <f ca="1">IFERROR(__xludf.DUMMYFUNCTION("""COMPUTED_VALUE"""),"PAINE")</f>
        <v>PAINE</v>
      </c>
    </row>
    <row r="6185" spans="1:4">
      <c r="A6185" s="7">
        <f ca="1">IFERROR(__xludf.DUMMYFUNCTION("""COMPUTED_VALUE"""),44558)</f>
        <v>44558</v>
      </c>
      <c r="B6185" s="6" t="str">
        <f ca="1">IFERROR(__xludf.DUMMYFUNCTION("""COMPUTED_VALUE"""),"-33.738083,-70.857980")</f>
        <v>-33.738083,-70.857980</v>
      </c>
      <c r="C6185" s="6" t="str">
        <f ca="1">IFERROR(__xludf.DUMMYFUNCTION("""COMPUTED_VALUE"""),"PATRICIO BECERRA 137")</f>
        <v>PATRICIO BECERRA 137</v>
      </c>
      <c r="D6185" s="6" t="str">
        <f ca="1">IFERROR(__xludf.DUMMYFUNCTION("""COMPUTED_VALUE"""),"ISLA DE MAIPO")</f>
        <v>ISLA DE MAIPO</v>
      </c>
    </row>
    <row r="6186" spans="1:4">
      <c r="A6186" s="7">
        <f ca="1">IFERROR(__xludf.DUMMYFUNCTION("""COMPUTED_VALUE"""),44558)</f>
        <v>44558</v>
      </c>
      <c r="B6186" s="6" t="str">
        <f ca="1">IFERROR(__xludf.DUMMYFUNCTION("""COMPUTED_VALUE"""),"-33.968375,-71.578021")</f>
        <v>-33.968375,-71.578021</v>
      </c>
      <c r="C6186" s="6" t="str">
        <f ca="1">IFERROR(__xludf.DUMMYFUNCTION("""COMPUTED_VALUE"""),"SECTOR NIHUE S/N")</f>
        <v>SECTOR NIHUE S/N</v>
      </c>
      <c r="D6186" s="6" t="str">
        <f ca="1">IFERROR(__xludf.DUMMYFUNCTION("""COMPUTED_VALUE"""),"SAN PEDRO")</f>
        <v>SAN PEDRO</v>
      </c>
    </row>
    <row r="6187" spans="1:4">
      <c r="A6187" s="7">
        <f ca="1">IFERROR(__xludf.DUMMYFUNCTION("""COMPUTED_VALUE"""),44558)</f>
        <v>44558</v>
      </c>
      <c r="B6187" s="6" t="str">
        <f ca="1">IFERROR(__xludf.DUMMYFUNCTION("""COMPUTED_VALUE"""),"-35.451753,-71.674506")</f>
        <v>-35.451753,-71.674506</v>
      </c>
      <c r="C6187" s="6" t="str">
        <f ca="1">IFERROR(__xludf.DUMMYFUNCTION("""COMPUTED_VALUE"""),"PA UNO  PONIENTE A 1382 VILLA PUCARA")</f>
        <v>PA UNO  PONIENTE A 1382 VILLA PUCARA</v>
      </c>
      <c r="D6187" s="6" t="str">
        <f ca="1">IFERROR(__xludf.DUMMYFUNCTION("""COMPUTED_VALUE"""),"TALCA")</f>
        <v>TALCA</v>
      </c>
    </row>
    <row r="6188" spans="1:4">
      <c r="A6188" s="7">
        <f ca="1">IFERROR(__xludf.DUMMYFUNCTION("""COMPUTED_VALUE"""),44558)</f>
        <v>44558</v>
      </c>
      <c r="B6188" s="6" t="str">
        <f ca="1">IFERROR(__xludf.DUMMYFUNCTION("""COMPUTED_VALUE"""),"-35.450544,-71.670188")</f>
        <v>-35.450544,-71.670188</v>
      </c>
      <c r="C6188" s="6" t="str">
        <f ca="1">IFERROR(__xludf.DUMMYFUNCTION("""COMPUTED_VALUE"""),"PA  TRES ORIENTE  0484 V PUCARA V ETAPA")</f>
        <v>PA  TRES ORIENTE  0484 V PUCARA V ETAPA</v>
      </c>
      <c r="D6188" s="6" t="str">
        <f ca="1">IFERROR(__xludf.DUMMYFUNCTION("""COMPUTED_VALUE"""),"TALCA")</f>
        <v>TALCA</v>
      </c>
    </row>
    <row r="6189" spans="1:4">
      <c r="A6189" s="7">
        <f ca="1">IFERROR(__xludf.DUMMYFUNCTION("""COMPUTED_VALUE"""),44558)</f>
        <v>44558</v>
      </c>
      <c r="B6189" s="8" t="str">
        <f ca="1">IFERROR(__xludf.DUMMYFUNCTION("""COMPUTED_VALUE"""),"-33.684970,-71.233713")</f>
        <v>-33.684970,-71.233713</v>
      </c>
      <c r="C6189" s="6" t="str">
        <f ca="1">IFERROR(__xludf.DUMMYFUNCTION("""COMPUTED_VALUE"""),"ALTOS EL LINGUE 2117")</f>
        <v>ALTOS EL LINGUE 2117</v>
      </c>
      <c r="D6189" s="6" t="str">
        <f ca="1">IFERROR(__xludf.DUMMYFUNCTION("""COMPUTED_VALUE"""),"MELIPILLA")</f>
        <v>MELIPILLA</v>
      </c>
    </row>
    <row r="6190" spans="1:4">
      <c r="A6190" s="7">
        <f ca="1">IFERROR(__xludf.DUMMYFUNCTION("""COMPUTED_VALUE"""),44558)</f>
        <v>44558</v>
      </c>
      <c r="B6190" s="8" t="str">
        <f ca="1">IFERROR(__xludf.DUMMYFUNCTION("""COMPUTED_VALUE"""),"-33.663399,-71.313557")</f>
        <v>-33.663399,-71.313557</v>
      </c>
      <c r="C6190" s="6" t="str">
        <f ca="1">IFERROR(__xludf.DUMMYFUNCTION("""COMPUTED_VALUE"""),"TROPEZON 170")</f>
        <v>TROPEZON 170</v>
      </c>
      <c r="D6190" s="6" t="str">
        <f ca="1">IFERROR(__xludf.DUMMYFUNCTION("""COMPUTED_VALUE"""),"MELIPILLA")</f>
        <v>MELIPILLA</v>
      </c>
    </row>
    <row r="6191" spans="1:4">
      <c r="A6191" s="7">
        <f ca="1">IFERROR(__xludf.DUMMYFUNCTION("""COMPUTED_VALUE"""),44558)</f>
        <v>44558</v>
      </c>
      <c r="B6191" s="6" t="str">
        <f ca="1">IFERROR(__xludf.DUMMYFUNCTION("""COMPUTED_VALUE"""),"-33.055927-71.434906")</f>
        <v>-33.055927-71.434906</v>
      </c>
      <c r="C6191" s="6" t="str">
        <f ca="1">IFERROR(__xludf.DUMMYFUNCTION("""COMPUTED_VALUE"""),"LAS PATAGUAS1588 B")</f>
        <v>LAS PATAGUAS1588 B</v>
      </c>
      <c r="D6191" s="6" t="str">
        <f ca="1">IFERROR(__xludf.DUMMYFUNCTION("""COMPUTED_VALUE"""),"QUILPUÉ")</f>
        <v>QUILPUÉ</v>
      </c>
    </row>
    <row r="6192" spans="1:4">
      <c r="A6192" s="7">
        <f ca="1">IFERROR(__xludf.DUMMYFUNCTION("""COMPUTED_VALUE"""),44558)</f>
        <v>44558</v>
      </c>
      <c r="B6192" s="6" t="str">
        <f ca="1">IFERROR(__xludf.DUMMYFUNCTION("""COMPUTED_VALUE"""),"-33.055647-71.435081")</f>
        <v>-33.055647-71.435081</v>
      </c>
      <c r="C6192" s="6" t="str">
        <f ca="1">IFERROR(__xludf.DUMMYFUNCTION("""COMPUTED_VALUE"""),"LAS PATAGUAS 1566")</f>
        <v>LAS PATAGUAS 1566</v>
      </c>
      <c r="D6192" s="6" t="str">
        <f ca="1">IFERROR(__xludf.DUMMYFUNCTION("""COMPUTED_VALUE"""),"QUILPUÉ")</f>
        <v>QUILPUÉ</v>
      </c>
    </row>
    <row r="6193" spans="1:4">
      <c r="A6193" s="7">
        <f ca="1">IFERROR(__xludf.DUMMYFUNCTION("""COMPUTED_VALUE"""),44558)</f>
        <v>44558</v>
      </c>
      <c r="B6193" s="6" t="str">
        <f ca="1">IFERROR(__xludf.DUMMYFUNCTION("""COMPUTED_VALUE"""),"-33.036284-71.404369")</f>
        <v>-33.036284-71.404369</v>
      </c>
      <c r="C6193" s="6" t="str">
        <f ca="1">IFERROR(__xludf.DUMMYFUNCTION("""COMPUTED_VALUE"""),"PJE PROYECTADO 1127")</f>
        <v>PJE PROYECTADO 1127</v>
      </c>
      <c r="D6193" s="6" t="str">
        <f ca="1">IFERROR(__xludf.DUMMYFUNCTION("""COMPUTED_VALUE"""),"QUILPUÉ")</f>
        <v>QUILPUÉ</v>
      </c>
    </row>
    <row r="6194" spans="1:4">
      <c r="A6194" s="7">
        <f ca="1">IFERROR(__xludf.DUMMYFUNCTION("""COMPUTED_VALUE"""),44558)</f>
        <v>44558</v>
      </c>
      <c r="B6194" s="6" t="str">
        <f ca="1">IFERROR(__xludf.DUMMYFUNCTION("""COMPUTED_VALUE"""),"-33.811970,-70.733739")</f>
        <v>-33.811970,-70.733739</v>
      </c>
      <c r="C6194" s="6" t="str">
        <f ca="1">IFERROR(__xludf.DUMMYFUNCTION("""COMPUTED_VALUE"""),"CURICO 631")</f>
        <v>CURICO 631</v>
      </c>
      <c r="D6194" s="6" t="str">
        <f ca="1">IFERROR(__xludf.DUMMYFUNCTION("""COMPUTED_VALUE"""),"PAINE")</f>
        <v>PAINE</v>
      </c>
    </row>
    <row r="6195" spans="1:4">
      <c r="A6195" s="7">
        <f ca="1">IFERROR(__xludf.DUMMYFUNCTION("""COMPUTED_VALUE"""),44559)</f>
        <v>44559</v>
      </c>
      <c r="B6195" s="8" t="str">
        <f ca="1">IFERROR(__xludf.DUMMYFUNCTION("""COMPUTED_VALUE"""),"-33.745752-70.869383")</f>
        <v>-33.745752-70.869383</v>
      </c>
      <c r="C6195" s="6" t="str">
        <f ca="1">IFERROR(__xludf.DUMMYFUNCTION("""COMPUTED_VALUE"""),"MARIO BERTILUCCI  332")</f>
        <v>MARIO BERTILUCCI  332</v>
      </c>
      <c r="D6195" s="6" t="str">
        <f ca="1">IFERROR(__xludf.DUMMYFUNCTION("""COMPUTED_VALUE"""),"ISLA DE MAIPO")</f>
        <v>ISLA DE MAIPO</v>
      </c>
    </row>
    <row r="6196" spans="1:4">
      <c r="A6196" s="7">
        <f ca="1">IFERROR(__xludf.DUMMYFUNCTION("""COMPUTED_VALUE"""),44559)</f>
        <v>44559</v>
      </c>
      <c r="B6196" s="8" t="str">
        <f ca="1">IFERROR(__xludf.DUMMYFUNCTION("""COMPUTED_VALUE"""),"-33.759441-70.896888")</f>
        <v>-33.759441-70.896888</v>
      </c>
      <c r="C6196" s="6" t="str">
        <f ca="1">IFERROR(__xludf.DUMMYFUNCTION("""COMPUTED_VALUE"""),"PARAISO NORTE 73")</f>
        <v>PARAISO NORTE 73</v>
      </c>
      <c r="D6196" s="6" t="str">
        <f ca="1">IFERROR(__xludf.DUMMYFUNCTION("""COMPUTED_VALUE"""),"ISLA DE MAIPO")</f>
        <v>ISLA DE MAIPO</v>
      </c>
    </row>
    <row r="6197" spans="1:4">
      <c r="A6197" s="7">
        <f ca="1">IFERROR(__xludf.DUMMYFUNCTION("""COMPUTED_VALUE"""),44559)</f>
        <v>44559</v>
      </c>
      <c r="B6197" s="8" t="str">
        <f ca="1">IFERROR(__xludf.DUMMYFUNCTION("""COMPUTED_VALUE"""),"-33.733955-70.863940")</f>
        <v>-33.733955-70.863940</v>
      </c>
      <c r="C6197" s="6" t="str">
        <f ca="1">IFERROR(__xludf.DUMMYFUNCTION("""COMPUTED_VALUE"""),"LOS PALTOS 4503")</f>
        <v>LOS PALTOS 4503</v>
      </c>
      <c r="D6197" s="6" t="str">
        <f ca="1">IFERROR(__xludf.DUMMYFUNCTION("""COMPUTED_VALUE"""),"ISLA DE MAIPO")</f>
        <v>ISLA DE MAIPO</v>
      </c>
    </row>
    <row r="6198" spans="1:4">
      <c r="A6198" s="7">
        <f ca="1">IFERROR(__xludf.DUMMYFUNCTION("""COMPUTED_VALUE"""),44559)</f>
        <v>44559</v>
      </c>
      <c r="B6198" s="8" t="str">
        <f ca="1">IFERROR(__xludf.DUMMYFUNCTION("""COMPUTED_VALUE"""),"-33.759972-70.897303")</f>
        <v>-33.759972-70.897303</v>
      </c>
      <c r="C6198" s="6" t="str">
        <f ca="1">IFERROR(__xludf.DUMMYFUNCTION("""COMPUTED_VALUE"""),"PARAISO SUR 56")</f>
        <v>PARAISO SUR 56</v>
      </c>
      <c r="D6198" s="6" t="str">
        <f ca="1">IFERROR(__xludf.DUMMYFUNCTION("""COMPUTED_VALUE"""),"ISLA DE MAIPO")</f>
        <v>ISLA DE MAIPO</v>
      </c>
    </row>
    <row r="6199" spans="1:4">
      <c r="A6199" s="7">
        <f ca="1">IFERROR(__xludf.DUMMYFUNCTION("""COMPUTED_VALUE"""),44559)</f>
        <v>44559</v>
      </c>
      <c r="B6199" s="6" t="str">
        <f ca="1">IFERROR(__xludf.DUMMYFUNCTION("""COMPUTED_VALUE"""),"-33.627415-70.3493683")</f>
        <v>-33.627415-70.3493683</v>
      </c>
      <c r="C6199" s="6" t="str">
        <f ca="1">IFERROR(__xludf.DUMMYFUNCTION("""COMPUTED_VALUE"""),"AV EL ESFUERZO 18279")</f>
        <v>AV EL ESFUERZO 18279</v>
      </c>
      <c r="D6199" s="6" t="str">
        <f ca="1">IFERROR(__xludf.DUMMYFUNCTION("""COMPUTED_VALUE"""),"SAN JOSE DE MAIPO")</f>
        <v>SAN JOSE DE MAIPO</v>
      </c>
    </row>
    <row r="6200" spans="1:4">
      <c r="A6200" s="7">
        <f ca="1">IFERROR(__xludf.DUMMYFUNCTION("""COMPUTED_VALUE"""),44559)</f>
        <v>44559</v>
      </c>
      <c r="B6200" s="6" t="str">
        <f ca="1">IFERROR(__xludf.DUMMYFUNCTION("""COMPUTED_VALUE"""),"-33.6392832-70.3547215")</f>
        <v>-33.6392832-70.3547215</v>
      </c>
      <c r="C6200" s="6" t="str">
        <f ca="1">IFERROR(__xludf.DUMMYFUNCTION("""COMPUTED_VALUE"""),"CAMINO DEL RIO 19631")</f>
        <v>CAMINO DEL RIO 19631</v>
      </c>
      <c r="D6200" s="6" t="str">
        <f ca="1">IFERROR(__xludf.DUMMYFUNCTION("""COMPUTED_VALUE"""),"SAN JOSE DE MAIPO")</f>
        <v>SAN JOSE DE MAIPO</v>
      </c>
    </row>
    <row r="6201" spans="1:4">
      <c r="A6201" s="7">
        <f ca="1">IFERROR(__xludf.DUMMYFUNCTION("""COMPUTED_VALUE"""),44559)</f>
        <v>44559</v>
      </c>
      <c r="B6201" s="6" t="str">
        <f ca="1">IFERROR(__xludf.DUMMYFUNCTION("""COMPUTED_VALUE"""),"-33.76559-71.27375")</f>
        <v>-33.76559-71.27375</v>
      </c>
      <c r="C6201" s="6" t="str">
        <f ca="1">IFERROR(__xludf.DUMMYFUNCTION("""COMPUTED_VALUE"""),"SAN MANUEL S/N L/S")</f>
        <v>SAN MANUEL S/N L/S</v>
      </c>
      <c r="D6201" s="6" t="str">
        <f ca="1">IFERROR(__xludf.DUMMYFUNCTION("""COMPUTED_VALUE"""),"MELIPILLA")</f>
        <v>MELIPILLA</v>
      </c>
    </row>
    <row r="6202" spans="1:4">
      <c r="A6202" s="7">
        <f ca="1">IFERROR(__xludf.DUMMYFUNCTION("""COMPUTED_VALUE"""),44559)</f>
        <v>44559</v>
      </c>
      <c r="B6202" s="6" t="str">
        <f ca="1">IFERROR(__xludf.DUMMYFUNCTION("""COMPUTED_VALUE"""),"-33.76578-71.27399")</f>
        <v>-33.76578-71.27399</v>
      </c>
      <c r="C6202" s="6" t="str">
        <f ca="1">IFERROR(__xludf.DUMMYFUNCTION("""COMPUTED_VALUE"""),"SAN MANUEL S/N L/S")</f>
        <v>SAN MANUEL S/N L/S</v>
      </c>
      <c r="D6202" s="6" t="str">
        <f ca="1">IFERROR(__xludf.DUMMYFUNCTION("""COMPUTED_VALUE"""),"MELIPILLA")</f>
        <v>MELIPILLA</v>
      </c>
    </row>
    <row r="6203" spans="1:4">
      <c r="A6203" s="7">
        <f ca="1">IFERROR(__xludf.DUMMYFUNCTION("""COMPUTED_VALUE"""),44559)</f>
        <v>44559</v>
      </c>
      <c r="B6203" s="6" t="str">
        <f ca="1">IFERROR(__xludf.DUMMYFUNCTION("""COMPUTED_VALUE"""),"-33.67334-71.21134")</f>
        <v>-33.67334-71.21134</v>
      </c>
      <c r="C6203" s="6" t="str">
        <f ca="1">IFERROR(__xludf.DUMMYFUNCTION("""COMPUTED_VALUE"""),"PJE GRICELDA ALVAREZ DE ROMANINI 285")</f>
        <v>PJE GRICELDA ALVAREZ DE ROMANINI 285</v>
      </c>
      <c r="D6203" s="6" t="str">
        <f ca="1">IFERROR(__xludf.DUMMYFUNCTION("""COMPUTED_VALUE"""),"MELIPILLA")</f>
        <v>MELIPILLA</v>
      </c>
    </row>
    <row r="6204" spans="1:4">
      <c r="A6204" s="7">
        <f ca="1">IFERROR(__xludf.DUMMYFUNCTION("""COMPUTED_VALUE"""),44559)</f>
        <v>44559</v>
      </c>
      <c r="B6204" s="6" t="str">
        <f ca="1">IFERROR(__xludf.DUMMYFUNCTION("""COMPUTED_VALUE"""),"-33.905742,-70.742363")</f>
        <v>-33.905742,-70.742363</v>
      </c>
      <c r="C6204" s="6" t="str">
        <f ca="1">IFERROR(__xludf.DUMMYFUNCTION("""COMPUTED_VALUE"""),"PARCELA 44 AGUILA SUR ")</f>
        <v xml:space="preserve">PARCELA 44 AGUILA SUR </v>
      </c>
      <c r="D6204" s="6" t="str">
        <f ca="1">IFERROR(__xludf.DUMMYFUNCTION("""COMPUTED_VALUE"""),"PAINE")</f>
        <v>PAINE</v>
      </c>
    </row>
    <row r="6205" spans="1:4">
      <c r="A6205" s="7">
        <f ca="1">IFERROR(__xludf.DUMMYFUNCTION("""COMPUTED_VALUE"""),44559)</f>
        <v>44559</v>
      </c>
      <c r="B6205" s="6" t="str">
        <f ca="1">IFERROR(__xludf.DUMMYFUNCTION("""COMPUTED_VALUE"""),"-33.727812,-70.739843")</f>
        <v>-33.727812,-70.739843</v>
      </c>
      <c r="C6205" s="6" t="str">
        <f ca="1">IFERROR(__xludf.DUMMYFUNCTION("""COMPUTED_VALUE"""),"LUXEMBURGO 355")</f>
        <v>LUXEMBURGO 355</v>
      </c>
      <c r="D6205" s="6" t="str">
        <f ca="1">IFERROR(__xludf.DUMMYFUNCTION("""COMPUTED_VALUE"""),"BUIN")</f>
        <v>BUIN</v>
      </c>
    </row>
    <row r="6206" spans="1:4">
      <c r="A6206" s="7">
        <f ca="1">IFERROR(__xludf.DUMMYFUNCTION("""COMPUTED_VALUE"""),44559)</f>
        <v>44559</v>
      </c>
      <c r="B6206" s="8" t="str">
        <f ca="1">IFERROR(__xludf.DUMMYFUNCTION("""COMPUTED_VALUE"""),"-33.208938.-70.680313")</f>
        <v>-33.208938.-70.680313</v>
      </c>
      <c r="C6206" s="6" t="str">
        <f ca="1">IFERROR(__xludf.DUMMYFUNCTION("""COMPUTED_VALUE"""),"JUAN XXIII 0142")</f>
        <v>JUAN XXIII 0142</v>
      </c>
      <c r="D6206" s="6" t="str">
        <f ca="1">IFERROR(__xludf.DUMMYFUNCTION("""COMPUTED_VALUE"""),"COLINA")</f>
        <v>COLINA</v>
      </c>
    </row>
    <row r="6207" spans="1:4">
      <c r="A6207" s="7">
        <f ca="1">IFERROR(__xludf.DUMMYFUNCTION("""COMPUTED_VALUE"""),44559)</f>
        <v>44559</v>
      </c>
      <c r="B6207" s="8" t="str">
        <f ca="1">IFERROR(__xludf.DUMMYFUNCTION("""COMPUTED_VALUE"""),"-33.208938.-70.680313")</f>
        <v>-33.208938.-70.680313</v>
      </c>
      <c r="C6207" s="6" t="str">
        <f ca="1">IFERROR(__xludf.DUMMYFUNCTION("""COMPUTED_VALUE"""),"JUAN XXIII 0142")</f>
        <v>JUAN XXIII 0142</v>
      </c>
      <c r="D6207" s="6" t="str">
        <f ca="1">IFERROR(__xludf.DUMMYFUNCTION("""COMPUTED_VALUE"""),"COLINA")</f>
        <v>COLINA</v>
      </c>
    </row>
    <row r="6208" spans="1:4">
      <c r="A6208" s="7">
        <f ca="1">IFERROR(__xludf.DUMMYFUNCTION("""COMPUTED_VALUE"""),44559)</f>
        <v>44559</v>
      </c>
      <c r="B6208" s="8" t="str">
        <f ca="1">IFERROR(__xludf.DUMMYFUNCTION("""COMPUTED_VALUE"""),"-33.124535-70.42093W")</f>
        <v>-33.124535-70.42093W</v>
      </c>
      <c r="C6208" s="6" t="str">
        <f ca="1">IFERROR(__xludf.DUMMYFUNCTION("""COMPUTED_VALUE"""),"M. COLLINS 198")</f>
        <v>M. COLLINS 198</v>
      </c>
      <c r="D6208" s="6" t="str">
        <f ca="1">IFERROR(__xludf.DUMMYFUNCTION("""COMPUTED_VALUE"""),"COLINA")</f>
        <v>COLINA</v>
      </c>
    </row>
    <row r="6209" spans="1:4">
      <c r="A6209" s="7">
        <f ca="1">IFERROR(__xludf.DUMMYFUNCTION("""COMPUTED_VALUE"""),44559)</f>
        <v>44559</v>
      </c>
      <c r="B6209" s="8" t="str">
        <f ca="1">IFERROR(__xludf.DUMMYFUNCTION("""COMPUTED_VALUE"""),"-33.104415,-70.38590W")</f>
        <v>-33.104415,-70.38590W</v>
      </c>
      <c r="C6209" s="6" t="str">
        <f ca="1">IFERROR(__xludf.DUMMYFUNCTION("""COMPUTED_VALUE"""),"MICHAEL  198")</f>
        <v>MICHAEL  198</v>
      </c>
      <c r="D6209" s="6" t="str">
        <f ca="1">IFERROR(__xludf.DUMMYFUNCTION("""COMPUTED_VALUE"""),"COLINA")</f>
        <v>COLINA</v>
      </c>
    </row>
    <row r="6210" spans="1:4">
      <c r="A6210" s="7">
        <f ca="1">IFERROR(__xludf.DUMMYFUNCTION("""COMPUTED_VALUE"""),44559)</f>
        <v>44559</v>
      </c>
      <c r="B6210" s="8" t="str">
        <f ca="1">IFERROR(__xludf.DUMMYFUNCTION("""COMPUTED_VALUE"""),"-33.10597,-70.39163")</f>
        <v>-33.10597,-70.39163</v>
      </c>
      <c r="C6210" s="6" t="str">
        <f ca="1">IFERROR(__xludf.DUMMYFUNCTION("""COMPUTED_VALUE"""),"SAN NICOLAS 2926")</f>
        <v>SAN NICOLAS 2926</v>
      </c>
      <c r="D6210" s="6" t="str">
        <f ca="1">IFERROR(__xludf.DUMMYFUNCTION("""COMPUTED_VALUE"""),"COLINA")</f>
        <v>COLINA</v>
      </c>
    </row>
    <row r="6211" spans="1:4">
      <c r="A6211" s="7">
        <f ca="1">IFERROR(__xludf.DUMMYFUNCTION("""COMPUTED_VALUE"""),44559)</f>
        <v>44559</v>
      </c>
      <c r="B6211" s="8" t="str">
        <f ca="1">IFERROR(__xludf.DUMMYFUNCTION("""COMPUTED_VALUE"""),"-33.181647,-70.667666")</f>
        <v>-33.181647,-70.667666</v>
      </c>
      <c r="C6211" s="6" t="str">
        <f ca="1">IFERROR(__xludf.DUMMYFUNCTION("""COMPUTED_VALUE"""),"EDUARDO BARRIO 1796")</f>
        <v>EDUARDO BARRIO 1796</v>
      </c>
      <c r="D6211" s="6" t="str">
        <f ca="1">IFERROR(__xludf.DUMMYFUNCTION("""COMPUTED_VALUE"""),"COLINA")</f>
        <v>COLINA</v>
      </c>
    </row>
    <row r="6212" spans="1:4">
      <c r="A6212" s="7">
        <f ca="1">IFERROR(__xludf.DUMMYFUNCTION("""COMPUTED_VALUE"""),44559)</f>
        <v>44559</v>
      </c>
      <c r="B6212" s="6" t="str">
        <f ca="1">IFERROR(__xludf.DUMMYFUNCTION("""COMPUTED_VALUE"""),"-33.869425,-70.747231")</f>
        <v>-33.869425,-70.747231</v>
      </c>
      <c r="C6212" s="6" t="str">
        <f ca="1">IFERROR(__xludf.DUMMYFUNCTION("""COMPUTED_VALUE"""),"DIEGO PORTALES 32")</f>
        <v>DIEGO PORTALES 32</v>
      </c>
      <c r="D6212" s="6" t="str">
        <f ca="1">IFERROR(__xludf.DUMMYFUNCTION("""COMPUTED_VALUE"""),"PAINE")</f>
        <v>PAINE</v>
      </c>
    </row>
    <row r="6213" spans="1:4">
      <c r="A6213" s="7">
        <f ca="1">IFERROR(__xludf.DUMMYFUNCTION("""COMPUTED_VALUE"""),44559)</f>
        <v>44559</v>
      </c>
      <c r="B6213" s="6" t="str">
        <f ca="1">IFERROR(__xludf.DUMMYFUNCTION("""COMPUTED_VALUE"""),"-33.741998,-70.867888")</f>
        <v>-33.741998,-70.867888</v>
      </c>
      <c r="C6213" s="6" t="str">
        <f ca="1">IFERROR(__xludf.DUMMYFUNCTION("""COMPUTED_VALUE"""),"PEDRO HERRERA 377 VILLA BICENTENARIO")</f>
        <v>PEDRO HERRERA 377 VILLA BICENTENARIO</v>
      </c>
      <c r="D6213" s="6" t="str">
        <f ca="1">IFERROR(__xludf.DUMMYFUNCTION("""COMPUTED_VALUE"""),"ISLA DE MAIPO")</f>
        <v>ISLA DE MAIPO</v>
      </c>
    </row>
    <row r="6214" spans="1:4">
      <c r="A6214" s="7">
        <f ca="1">IFERROR(__xludf.DUMMYFUNCTION("""COMPUTED_VALUE"""),44559)</f>
        <v>44559</v>
      </c>
      <c r="B6214" s="6" t="str">
        <f ca="1">IFERROR(__xludf.DUMMYFUNCTION("""COMPUTED_VALUE"""),"-33.913910,-71.442746")</f>
        <v>-33.913910,-71.442746</v>
      </c>
      <c r="C6214" s="6" t="str">
        <f ca="1">IFERROR(__xludf.DUMMYFUNCTION("""COMPUTED_VALUE"""),"CA UNO 13")</f>
        <v>CA UNO 13</v>
      </c>
      <c r="D6214" s="6" t="str">
        <f ca="1">IFERROR(__xludf.DUMMYFUNCTION("""COMPUTED_VALUE"""),"SAN PEDRO")</f>
        <v>SAN PEDRO</v>
      </c>
    </row>
    <row r="6215" spans="1:4">
      <c r="A6215" s="7">
        <f ca="1">IFERROR(__xludf.DUMMYFUNCTION("""COMPUTED_VALUE"""),44559)</f>
        <v>44559</v>
      </c>
      <c r="B6215" s="6" t="str">
        <f ca="1">IFERROR(__xludf.DUMMYFUNCTION("""COMPUTED_VALUE"""),"-33.897110,-71.453738")</f>
        <v>-33.897110,-71.453738</v>
      </c>
      <c r="C6215" s="6" t="str">
        <f ca="1">IFERROR(__xludf.DUMMYFUNCTION("""COMPUTED_VALUE"""),"CAMINO LA MINA S/N LOTE 3")</f>
        <v>CAMINO LA MINA S/N LOTE 3</v>
      </c>
      <c r="D6215" s="6" t="str">
        <f ca="1">IFERROR(__xludf.DUMMYFUNCTION("""COMPUTED_VALUE"""),"SAN PEDRO")</f>
        <v>SAN PEDRO</v>
      </c>
    </row>
    <row r="6216" spans="1:4">
      <c r="A6216" s="7">
        <f ca="1">IFERROR(__xludf.DUMMYFUNCTION("""COMPUTED_VALUE"""),44559)</f>
        <v>44559</v>
      </c>
      <c r="B6216" s="8" t="str">
        <f ca="1">IFERROR(__xludf.DUMMYFUNCTION("""COMPUTED_VALUE"""),"-33.778203,-71.117557")</f>
        <v>-33.778203,-71.117557</v>
      </c>
      <c r="C6216" s="6" t="str">
        <f ca="1">IFERROR(__xludf.DUMMYFUNCTION("""COMPUTED_VALUE"""),"PARCELA 17 C LOTE C3")</f>
        <v>PARCELA 17 C LOTE C3</v>
      </c>
      <c r="D6216" s="6" t="str">
        <f ca="1">IFERROR(__xludf.DUMMYFUNCTION("""COMPUTED_VALUE"""),"MELIPILLA")</f>
        <v>MELIPILLA</v>
      </c>
    </row>
    <row r="6217" spans="1:4">
      <c r="A6217" s="7">
        <f ca="1">IFERROR(__xludf.DUMMYFUNCTION("""COMPUTED_VALUE"""),44559)</f>
        <v>44559</v>
      </c>
      <c r="B6217" s="8" t="str">
        <f ca="1">IFERROR(__xludf.DUMMYFUNCTION("""COMPUTED_VALUE"""),"-33.683551,-71.226015")</f>
        <v>-33.683551,-71.226015</v>
      </c>
      <c r="C6217" s="6" t="str">
        <f ca="1">IFERROR(__xludf.DUMMYFUNCTION("""COMPUTED_VALUE"""),"BAZTAN 265")</f>
        <v>BAZTAN 265</v>
      </c>
      <c r="D6217" s="6" t="str">
        <f ca="1">IFERROR(__xludf.DUMMYFUNCTION("""COMPUTED_VALUE"""),"MELIPILLA")</f>
        <v>MELIPILLA</v>
      </c>
    </row>
    <row r="6218" spans="1:4">
      <c r="A6218" s="7">
        <f ca="1">IFERROR(__xludf.DUMMYFUNCTION("""COMPUTED_VALUE"""),44559)</f>
        <v>44559</v>
      </c>
      <c r="B6218" s="6" t="str">
        <f ca="1">IFERROR(__xludf.DUMMYFUNCTION("""COMPUTED_VALUE"""),"-33.811970,-70.733739")</f>
        <v>-33.811970,-70.733739</v>
      </c>
      <c r="C6218" s="6" t="str">
        <f ca="1">IFERROR(__xludf.DUMMYFUNCTION("""COMPUTED_VALUE"""),"CURICO 632")</f>
        <v>CURICO 632</v>
      </c>
      <c r="D6218" s="6" t="str">
        <f ca="1">IFERROR(__xludf.DUMMYFUNCTION("""COMPUTED_VALUE"""),"PAINE")</f>
        <v>PAINE</v>
      </c>
    </row>
    <row r="6219" spans="1:4">
      <c r="A6219" s="7">
        <f ca="1">IFERROR(__xludf.DUMMYFUNCTION("""COMPUTED_VALUE"""),44560)</f>
        <v>44560</v>
      </c>
      <c r="B6219" s="8" t="str">
        <f ca="1">IFERROR(__xludf.DUMMYFUNCTION("""COMPUTED_VALUE"""),"-33.587251-70.813452")</f>
        <v>-33.587251-70.813452</v>
      </c>
      <c r="C6219" s="6" t="str">
        <f ca="1">IFERROR(__xludf.DUMMYFUNCTION("""COMPUTED_VALUE"""),"EL ROSAL  636")</f>
        <v>EL ROSAL  636</v>
      </c>
      <c r="D6219" s="6" t="str">
        <f ca="1">IFERROR(__xludf.DUMMYFUNCTION("""COMPUTED_VALUE"""),"PADRE HURTADO")</f>
        <v>PADRE HURTADO</v>
      </c>
    </row>
    <row r="6220" spans="1:4">
      <c r="A6220" s="7">
        <f ca="1">IFERROR(__xludf.DUMMYFUNCTION("""COMPUTED_VALUE"""),44560)</f>
        <v>44560</v>
      </c>
      <c r="B6220" s="8" t="str">
        <f ca="1">IFERROR(__xludf.DUMMYFUNCTION("""COMPUTED_VALUE"""),"-33.602573-70.889734")</f>
        <v>-33.602573-70.889734</v>
      </c>
      <c r="C6220" s="6" t="str">
        <f ca="1">IFERROR(__xludf.DUMMYFUNCTION("""COMPUTED_VALUE"""),"LOS TILOS  297")</f>
        <v>LOS TILOS  297</v>
      </c>
      <c r="D6220" s="6" t="str">
        <f ca="1">IFERROR(__xludf.DUMMYFUNCTION("""COMPUTED_VALUE"""),"PEÑAFLOR")</f>
        <v>PEÑAFLOR</v>
      </c>
    </row>
    <row r="6221" spans="1:4">
      <c r="A6221" s="7">
        <f ca="1">IFERROR(__xludf.DUMMYFUNCTION("""COMPUTED_VALUE"""),44560)</f>
        <v>44560</v>
      </c>
      <c r="B6221" s="8" t="str">
        <f ca="1">IFERROR(__xludf.DUMMYFUNCTION("""COMPUTED_VALUE"""),"-33.732667-71.029789")</f>
        <v>-33.732667-71.029789</v>
      </c>
      <c r="C6221" s="6" t="str">
        <f ca="1">IFERROR(__xludf.DUMMYFUNCTION("""COMPUTED_VALUE"""),"EL CLAVEL SITIO 7")</f>
        <v>EL CLAVEL SITIO 7</v>
      </c>
      <c r="D6221" s="6" t="str">
        <f ca="1">IFERROR(__xludf.DUMMYFUNCTION("""COMPUTED_VALUE"""),"ISLA DE MAIPO")</f>
        <v>ISLA DE MAIPO</v>
      </c>
    </row>
    <row r="6222" spans="1:4">
      <c r="A6222" s="7">
        <f ca="1">IFERROR(__xludf.DUMMYFUNCTION("""COMPUTED_VALUE"""),44560)</f>
        <v>44560</v>
      </c>
      <c r="B6222" s="8" t="str">
        <f ca="1">IFERROR(__xludf.DUMMYFUNCTION("""COMPUTED_VALUE"""),"-33.727386-71.027739")</f>
        <v>-33.727386-71.027739</v>
      </c>
      <c r="C6222" s="6" t="str">
        <f ca="1">IFERROR(__xludf.DUMMYFUNCTION("""COMPUTED_VALUE"""),"PRINCIPAL 911")</f>
        <v>PRINCIPAL 911</v>
      </c>
      <c r="D6222" s="6" t="str">
        <f ca="1">IFERROR(__xludf.DUMMYFUNCTION("""COMPUTED_VALUE"""),"ISLA DE MAIPO")</f>
        <v>ISLA DE MAIPO</v>
      </c>
    </row>
    <row r="6223" spans="1:4">
      <c r="A6223" s="7">
        <f ca="1">IFERROR(__xludf.DUMMYFUNCTION("""COMPUTED_VALUE"""),44560)</f>
        <v>44560</v>
      </c>
      <c r="B6223" s="6" t="str">
        <f ca="1">IFERROR(__xludf.DUMMYFUNCTION("""COMPUTED_VALUE"""),"-33.6345597-70.350829")</f>
        <v>-33.6345597-70.350829</v>
      </c>
      <c r="C6223" s="6" t="str">
        <f ca="1">IFERROR(__xludf.DUMMYFUNCTION("""COMPUTED_VALUE"""),"CAMINO INTERIOR 052")</f>
        <v>CAMINO INTERIOR 052</v>
      </c>
      <c r="D6223" s="6" t="str">
        <f ca="1">IFERROR(__xludf.DUMMYFUNCTION("""COMPUTED_VALUE"""),"SAN JOSE DE MAIPO")</f>
        <v>SAN JOSE DE MAIPO</v>
      </c>
    </row>
    <row r="6224" spans="1:4">
      <c r="A6224" s="7">
        <f ca="1">IFERROR(__xludf.DUMMYFUNCTION("""COMPUTED_VALUE"""),44560)</f>
        <v>44560</v>
      </c>
      <c r="B6224" s="6" t="str">
        <f ca="1">IFERROR(__xludf.DUMMYFUNCTION("""COMPUTED_VALUE"""),"-33.5906146-70.4657012")</f>
        <v>-33.5906146-70.4657012</v>
      </c>
      <c r="C6224" s="6" t="str">
        <f ca="1">IFERROR(__xludf.DUMMYFUNCTION("""COMPUTED_VALUE"""),"LOS ALMENDROS 3255")</f>
        <v>LOS ALMENDROS 3255</v>
      </c>
      <c r="D6224" s="6" t="str">
        <f ca="1">IFERROR(__xludf.DUMMYFUNCTION("""COMPUTED_VALUE"""),"SAN JOSE DE MAIPO")</f>
        <v>SAN JOSE DE MAIPO</v>
      </c>
    </row>
    <row r="6225" spans="1:4">
      <c r="A6225" s="7">
        <f ca="1">IFERROR(__xludf.DUMMYFUNCTION("""COMPUTED_VALUE"""),44560)</f>
        <v>44560</v>
      </c>
      <c r="B6225" s="6" t="str">
        <f ca="1">IFERROR(__xludf.DUMMYFUNCTION("""COMPUTED_VALUE"""),"-33.3045733-70.8396617")</f>
        <v>-33.3045733-70.8396617</v>
      </c>
      <c r="C6225" s="6" t="str">
        <f ca="1">IFERROR(__xludf.DUMMYFUNCTION("""COMPUTED_VALUE"""),"SN LOTE 13 CA2")</f>
        <v>SN LOTE 13 CA2</v>
      </c>
      <c r="D6225" s="6" t="str">
        <f ca="1">IFERROR(__xludf.DUMMYFUNCTION("""COMPUTED_VALUE"""),"LAMPA")</f>
        <v>LAMPA</v>
      </c>
    </row>
    <row r="6226" spans="1:4">
      <c r="A6226" s="7">
        <f ca="1">IFERROR(__xludf.DUMMYFUNCTION("""COMPUTED_VALUE"""),44560)</f>
        <v>44560</v>
      </c>
      <c r="B6226" s="6" t="str">
        <f ca="1">IFERROR(__xludf.DUMMYFUNCTION("""COMPUTED_VALUE"""),"-33.3045733-70.8396617")</f>
        <v>-33.3045733-70.8396617</v>
      </c>
      <c r="C6226" s="6" t="str">
        <f ca="1">IFERROR(__xludf.DUMMYFUNCTION("""COMPUTED_VALUE"""),"SN LOTE 13 CA2")</f>
        <v>SN LOTE 13 CA2</v>
      </c>
      <c r="D6226" s="6" t="str">
        <f ca="1">IFERROR(__xludf.DUMMYFUNCTION("""COMPUTED_VALUE"""),"LAMPA")</f>
        <v>LAMPA</v>
      </c>
    </row>
    <row r="6227" spans="1:4">
      <c r="A6227" s="7">
        <f ca="1">IFERROR(__xludf.DUMMYFUNCTION("""COMPUTED_VALUE"""),44560)</f>
        <v>44560</v>
      </c>
      <c r="B6227" s="6" t="str">
        <f ca="1">IFERROR(__xludf.DUMMYFUNCTION("""COMPUTED_VALUE"""),"-33.3045733-70.8396617")</f>
        <v>-33.3045733-70.8396617</v>
      </c>
      <c r="C6227" s="6" t="str">
        <f ca="1">IFERROR(__xludf.DUMMYFUNCTION("""COMPUTED_VALUE"""),"SN LOTE 13 CA2")</f>
        <v>SN LOTE 13 CA2</v>
      </c>
      <c r="D6227" s="6" t="str">
        <f ca="1">IFERROR(__xludf.DUMMYFUNCTION("""COMPUTED_VALUE"""),"LAMPA")</f>
        <v>LAMPA</v>
      </c>
    </row>
    <row r="6228" spans="1:4">
      <c r="A6228" s="7">
        <f ca="1">IFERROR(__xludf.DUMMYFUNCTION("""COMPUTED_VALUE"""),44560)</f>
        <v>44560</v>
      </c>
      <c r="B6228" s="6" t="str">
        <f ca="1">IFERROR(__xludf.DUMMYFUNCTION("""COMPUTED_VALUE"""),"-33.8441826,-70.747873")</f>
        <v>-33.8441826,-70.747873</v>
      </c>
      <c r="C6228" s="6" t="str">
        <f ca="1">IFERROR(__xludf.DUMMYFUNCTION("""COMPUTED_VALUE"""),"GENERAL BAQUEDANO 1121")</f>
        <v>GENERAL BAQUEDANO 1121</v>
      </c>
      <c r="D6228" s="6" t="str">
        <f ca="1">IFERROR(__xludf.DUMMYFUNCTION("""COMPUTED_VALUE"""),"PAINE")</f>
        <v>PAINE</v>
      </c>
    </row>
    <row r="6229" spans="1:4">
      <c r="A6229" s="7">
        <f ca="1">IFERROR(__xludf.DUMMYFUNCTION("""COMPUTED_VALUE"""),44560)</f>
        <v>44560</v>
      </c>
      <c r="B6229" s="8" t="str">
        <f ca="1">IFERROR(__xludf.DUMMYFUNCTION("""COMPUTED_VALUE"""),"-33.10419,-70.39199")</f>
        <v>-33.10419,-70.39199</v>
      </c>
      <c r="C6229" s="6" t="str">
        <f ca="1">IFERROR(__xludf.DUMMYFUNCTION("""COMPUTED_VALUE"""),"PADRE SOTO 358")</f>
        <v>PADRE SOTO 358</v>
      </c>
      <c r="D6229" s="6" t="str">
        <f ca="1">IFERROR(__xludf.DUMMYFUNCTION("""COMPUTED_VALUE"""),"COLINA")</f>
        <v>COLINA</v>
      </c>
    </row>
    <row r="6230" spans="1:4">
      <c r="A6230" s="7">
        <f ca="1">IFERROR(__xludf.DUMMYFUNCTION("""COMPUTED_VALUE"""),44560)</f>
        <v>44560</v>
      </c>
      <c r="B6230" s="8" t="str">
        <f ca="1">IFERROR(__xludf.DUMMYFUNCTION("""COMPUTED_VALUE"""),"-33.178196,-70.655774")</f>
        <v>-33.178196,-70.655774</v>
      </c>
      <c r="C6230" s="6" t="str">
        <f ca="1">IFERROR(__xludf.DUMMYFUNCTION("""COMPUTED_VALUE"""),"PADRE SOTO 358")</f>
        <v>PADRE SOTO 358</v>
      </c>
      <c r="D6230" s="6" t="str">
        <f ca="1">IFERROR(__xludf.DUMMYFUNCTION("""COMPUTED_VALUE"""),"COLINA")</f>
        <v>COLINA</v>
      </c>
    </row>
    <row r="6231" spans="1:4">
      <c r="A6231" s="7">
        <f ca="1">IFERROR(__xludf.DUMMYFUNCTION("""COMPUTED_VALUE"""),44560)</f>
        <v>44560</v>
      </c>
      <c r="B6231" s="8" t="str">
        <f ca="1">IFERROR(__xludf.DUMMYFUNCTION("""COMPUTED_VALUE"""),"-33.178411,-70.655235")</f>
        <v>-33.178411,-70.655235</v>
      </c>
      <c r="C6231" s="6" t="str">
        <f ca="1">IFERROR(__xludf.DUMMYFUNCTION("""COMPUTED_VALUE"""),"PADRE SOTO 358")</f>
        <v>PADRE SOTO 358</v>
      </c>
      <c r="D6231" s="6" t="str">
        <f ca="1">IFERROR(__xludf.DUMMYFUNCTION("""COMPUTED_VALUE"""),"COLINA")</f>
        <v>COLINA</v>
      </c>
    </row>
    <row r="6232" spans="1:4">
      <c r="A6232" s="7">
        <f ca="1">IFERROR(__xludf.DUMMYFUNCTION("""COMPUTED_VALUE"""),44560)</f>
        <v>44560</v>
      </c>
      <c r="B6232" s="8" t="str">
        <f ca="1">IFERROR(__xludf.DUMMYFUNCTION("""COMPUTED_VALUE"""),"-33.11332,-70.40506")</f>
        <v>-33.11332,-70.40506</v>
      </c>
      <c r="C6232" s="6" t="str">
        <f ca="1">IFERROR(__xludf.DUMMYFUNCTION("""COMPUTED_VALUE"""),"ALGARROBO 852")</f>
        <v>ALGARROBO 852</v>
      </c>
      <c r="D6232" s="6" t="str">
        <f ca="1">IFERROR(__xludf.DUMMYFUNCTION("""COMPUTED_VALUE"""),"COLINA")</f>
        <v>COLINA</v>
      </c>
    </row>
    <row r="6233" spans="1:4">
      <c r="A6233" s="7">
        <f ca="1">IFERROR(__xludf.DUMMYFUNCTION("""COMPUTED_VALUE"""),44560)</f>
        <v>44560</v>
      </c>
      <c r="B6233" s="6" t="str">
        <f ca="1">IFERROR(__xludf.DUMMYFUNCTION("""COMPUTED_VALUE"""),"-33.853280,-70.762469")</f>
        <v>-33.853280,-70.762469</v>
      </c>
      <c r="C6233" s="6" t="str">
        <f ca="1">IFERROR(__xludf.DUMMYFUNCTION("""COMPUTED_VALUE"""),"MANUEL RODRIGUEZ 339")</f>
        <v>MANUEL RODRIGUEZ 339</v>
      </c>
      <c r="D6233" s="6" t="str">
        <f ca="1">IFERROR(__xludf.DUMMYFUNCTION("""COMPUTED_VALUE"""),"PAINE")</f>
        <v>PAINE</v>
      </c>
    </row>
    <row r="6234" spans="1:4">
      <c r="A6234" s="7">
        <f ca="1">IFERROR(__xludf.DUMMYFUNCTION("""COMPUTED_VALUE"""),44560)</f>
        <v>44560</v>
      </c>
      <c r="B6234" s="6" t="str">
        <f ca="1">IFERROR(__xludf.DUMMYFUNCTION("""COMPUTED_VALUE"""),"-35.450342,-71.669753")</f>
        <v>-35.450342,-71.669753</v>
      </c>
      <c r="C6234" s="6" t="str">
        <f ca="1">IFERROR(__xludf.DUMMYFUNCTION("""COMPUTED_VALUE"""),"PA TRES Y MEDIO ORIENTE A 445 VILLA PUCARA V")</f>
        <v>PA TRES Y MEDIO ORIENTE A 445 VILLA PUCARA V</v>
      </c>
      <c r="D6234" s="6" t="str">
        <f ca="1">IFERROR(__xludf.DUMMYFUNCTION("""COMPUTED_VALUE"""),"TALCA")</f>
        <v>TALCA</v>
      </c>
    </row>
    <row r="6235" spans="1:4">
      <c r="A6235" s="7">
        <f ca="1">IFERROR(__xludf.DUMMYFUNCTION("""COMPUTED_VALUE"""),44560)</f>
        <v>44560</v>
      </c>
      <c r="B6235" s="6" t="str">
        <f ca="1">IFERROR(__xludf.DUMMYFUNCTION("""COMPUTED_VALUE"""),"-35.450822,-71.675405")</f>
        <v>-35.450822,-71.675405</v>
      </c>
      <c r="C6235" s="6" t="str">
        <f ca="1">IFERROR(__xludf.DUMMYFUNCTION("""COMPUTED_VALUE"""),"UNO Y MEDIO PONIENTE 01005 PUCARA IX ")</f>
        <v xml:space="preserve">UNO Y MEDIO PONIENTE 01005 PUCARA IX </v>
      </c>
      <c r="D6235" s="6" t="str">
        <f ca="1">IFERROR(__xludf.DUMMYFUNCTION("""COMPUTED_VALUE"""),"TALCA")</f>
        <v>TALCA</v>
      </c>
    </row>
    <row r="6236" spans="1:4">
      <c r="A6236" s="7">
        <f ca="1">IFERROR(__xludf.DUMMYFUNCTION("""COMPUTED_VALUE"""),44560)</f>
        <v>44560</v>
      </c>
      <c r="B6236" s="6" t="str">
        <f ca="1">IFERROR(__xludf.DUMMYFUNCTION("""COMPUTED_VALUE"""),"-35.44375,-71.66858")</f>
        <v>-35.44375,-71.66858</v>
      </c>
      <c r="C6236" s="6" t="str">
        <f ca="1">IFERROR(__xludf.DUMMYFUNCTION("""COMPUTED_VALUE"""),"PA GASSET 0126 COOP H DE YOHING")</f>
        <v>PA GASSET 0126 COOP H DE YOHING</v>
      </c>
      <c r="D6236" s="6" t="str">
        <f ca="1">IFERROR(__xludf.DUMMYFUNCTION("""COMPUTED_VALUE"""),"TALCA")</f>
        <v>TALCA</v>
      </c>
    </row>
    <row r="6237" spans="1:4">
      <c r="A6237" s="7">
        <f ca="1">IFERROR(__xludf.DUMMYFUNCTION("""COMPUTED_VALUE"""),44561)</f>
        <v>44561</v>
      </c>
      <c r="B6237" s="6" t="str">
        <f ca="1">IFERROR(__xludf.DUMMYFUNCTION("""COMPUTED_VALUE"""),"-33.6370024-70.3477561")</f>
        <v>-33.6370024-70.3477561</v>
      </c>
      <c r="C6237" s="6" t="str">
        <f ca="1">IFERROR(__xludf.DUMMYFUNCTION("""COMPUTED_VALUE"""),"AV. CEMENTERIO 19304")</f>
        <v>AV. CEMENTERIO 19304</v>
      </c>
      <c r="D6237" s="6" t="str">
        <f ca="1">IFERROR(__xludf.DUMMYFUNCTION("""COMPUTED_VALUE"""),"SAN JOSE DE MAIPO")</f>
        <v>SAN JOSE DE MAIPO</v>
      </c>
    </row>
    <row r="6238" spans="1:4">
      <c r="A6238" s="7">
        <f ca="1">IFERROR(__xludf.DUMMYFUNCTION("""COMPUTED_VALUE"""),44561)</f>
        <v>44561</v>
      </c>
      <c r="B6238" s="6" t="str">
        <f ca="1">IFERROR(__xludf.DUMMYFUNCTION("""COMPUTED_VALUE"""),"-33.804127,-70.736904")</f>
        <v>-33.804127,-70.736904</v>
      </c>
      <c r="C6238" s="6" t="str">
        <f ca="1">IFERROR(__xludf.DUMMYFUNCTION("""COMPUTED_VALUE"""),"BERNARDO O'HIGGINS 42")</f>
        <v>BERNARDO O'HIGGINS 42</v>
      </c>
      <c r="D6238" s="6" t="str">
        <f ca="1">IFERROR(__xludf.DUMMYFUNCTION("""COMPUTED_VALUE"""),"PAINE")</f>
        <v>PAINE</v>
      </c>
    </row>
    <row r="6239" spans="1:4">
      <c r="A6239" s="7">
        <f ca="1">IFERROR(__xludf.DUMMYFUNCTION("""COMPUTED_VALUE"""),44561)</f>
        <v>44561</v>
      </c>
      <c r="B6239" s="6" t="str">
        <f ca="1">IFERROR(__xludf.DUMMYFUNCTION("""COMPUTED_VALUE"""),"-33.724745,-70.544583")</f>
        <v>-33.724745,-70.544583</v>
      </c>
      <c r="C6239" s="6" t="str">
        <f ca="1">IFERROR(__xludf.DUMMYFUNCTION("""COMPUTED_VALUE"""),"LA ESCUELA 75 A")</f>
        <v>LA ESCUELA 75 A</v>
      </c>
      <c r="D6239" s="6" t="str">
        <f ca="1">IFERROR(__xludf.DUMMYFUNCTION("""COMPUTED_VALUE"""),"PIRQUE")</f>
        <v>PIRQUE</v>
      </c>
    </row>
    <row r="6240" spans="1:4">
      <c r="A6240" s="7">
        <f ca="1">IFERROR(__xludf.DUMMYFUNCTION("""COMPUTED_VALUE"""),44561)</f>
        <v>44561</v>
      </c>
      <c r="B6240" s="6" t="str">
        <f ca="1">IFERROR(__xludf.DUMMYFUNCTION("""COMPUTED_VALUE"""),"-33.212568,-70.806733")</f>
        <v>-33.212568,-70.806733</v>
      </c>
      <c r="C6240" s="6" t="str">
        <f ca="1">IFERROR(__xludf.DUMMYFUNCTION("""COMPUTED_VALUE"""),"SN LAMPA")</f>
        <v>SN LAMPA</v>
      </c>
      <c r="D6240" s="6" t="str">
        <f ca="1">IFERROR(__xludf.DUMMYFUNCTION("""COMPUTED_VALUE"""),"LAMPA")</f>
        <v>LAMPA</v>
      </c>
    </row>
    <row r="6241" spans="1:4">
      <c r="A6241" s="7">
        <f ca="1">IFERROR(__xludf.DUMMYFUNCTION("""COMPUTED_VALUE"""),44561)</f>
        <v>44561</v>
      </c>
      <c r="B6241" s="6" t="str">
        <f ca="1">IFERROR(__xludf.DUMMYFUNCTION("""COMPUTED_VALUE"""),"-33.810521,-70.731083")</f>
        <v>-33.810521,-70.731083</v>
      </c>
      <c r="C6241" s="6" t="str">
        <f ca="1">IFERROR(__xludf.DUMMYFUNCTION("""COMPUTED_VALUE"""),"AV. DEL VILLAR 595")</f>
        <v>AV. DEL VILLAR 595</v>
      </c>
      <c r="D6241" s="6" t="str">
        <f ca="1">IFERROR(__xludf.DUMMYFUNCTION("""COMPUTED_VALUE"""),"PAINE")</f>
        <v>PAINE</v>
      </c>
    </row>
    <row r="6242" spans="1:4">
      <c r="A6242" s="7">
        <f ca="1">IFERROR(__xludf.DUMMYFUNCTION("""COMPUTED_VALUE"""),44561)</f>
        <v>44561</v>
      </c>
      <c r="B6242" s="6" t="str">
        <f ca="1">IFERROR(__xludf.DUMMYFUNCTION("""COMPUTED_VALUE"""),"-33.810209,-70.730836")</f>
        <v>-33.810209,-70.730836</v>
      </c>
      <c r="C6242" s="6" t="str">
        <f ca="1">IFERROR(__xludf.DUMMYFUNCTION("""COMPUTED_VALUE"""),"LOTA 550")</f>
        <v>LOTA 550</v>
      </c>
      <c r="D6242" s="6" t="str">
        <f ca="1">IFERROR(__xludf.DUMMYFUNCTION("""COMPUTED_VALUE"""),"PAINE")</f>
        <v>PAINE</v>
      </c>
    </row>
    <row r="6243" spans="1:4">
      <c r="A6243" s="7">
        <f ca="1">IFERROR(__xludf.DUMMYFUNCTION("""COMPUTED_VALUE"""),44564)</f>
        <v>44564</v>
      </c>
      <c r="B6243" s="8" t="str">
        <f ca="1">IFERROR(__xludf.DUMMYFUNCTION("""COMPUTED_VALUE"""),"-33.674985-71.1177615")</f>
        <v>-33.674985-71.1177615</v>
      </c>
      <c r="C6243" s="6" t="str">
        <f ca="1">IFERROR(__xludf.DUMMYFUNCTION("""COMPUTED_VALUE"""),"AUSTRIA 123")</f>
        <v>AUSTRIA 123</v>
      </c>
      <c r="D6243" s="6" t="str">
        <f ca="1">IFERROR(__xludf.DUMMYFUNCTION("""COMPUTED_VALUE"""),"MELIPILLA")</f>
        <v>MELIPILLA</v>
      </c>
    </row>
    <row r="6244" spans="1:4">
      <c r="A6244" s="7">
        <f ca="1">IFERROR(__xludf.DUMMYFUNCTION("""COMPUTED_VALUE"""),44564)</f>
        <v>44564</v>
      </c>
      <c r="B6244" s="8" t="str">
        <f ca="1">IFERROR(__xludf.DUMMYFUNCTION("""COMPUTED_VALUE"""),"-33.8479217-70.6433765")</f>
        <v>-33.8479217-70.6433765</v>
      </c>
      <c r="C6244" s="6" t="str">
        <f ca="1">IFERROR(__xludf.DUMMYFUNCTION("""COMPUTED_VALUE"""),"ARZA1251")</f>
        <v>ARZA1251</v>
      </c>
      <c r="D6244" s="6" t="str">
        <f ca="1">IFERROR(__xludf.DUMMYFUNCTION("""COMPUTED_VALUE"""),"MELIPILLA")</f>
        <v>MELIPILLA</v>
      </c>
    </row>
    <row r="6245" spans="1:4">
      <c r="A6245" s="7">
        <f ca="1">IFERROR(__xludf.DUMMYFUNCTION("""COMPUTED_VALUE"""),44564)</f>
        <v>44564</v>
      </c>
      <c r="B6245" s="6" t="str">
        <f ca="1">IFERROR(__xludf.DUMMYFUNCTION("""COMPUTED_VALUE"""),"-33.6447658-70.3534583")</f>
        <v>-33.6447658-70.3534583</v>
      </c>
      <c r="C6245" s="6" t="str">
        <f ca="1">IFERROR(__xludf.DUMMYFUNCTION("""COMPUTED_VALUE"""),"PJE CONCEPCION 1227")</f>
        <v>PJE CONCEPCION 1227</v>
      </c>
      <c r="D6245" s="6" t="str">
        <f ca="1">IFERROR(__xludf.DUMMYFUNCTION("""COMPUTED_VALUE"""),"SAN JOSE DE MAIPO")</f>
        <v>SAN JOSE DE MAIPO</v>
      </c>
    </row>
    <row r="6246" spans="1:4">
      <c r="A6246" s="7">
        <f ca="1">IFERROR(__xludf.DUMMYFUNCTION("""COMPUTED_VALUE"""),44564)</f>
        <v>44564</v>
      </c>
      <c r="B6246" s="6" t="str">
        <f ca="1">IFERROR(__xludf.DUMMYFUNCTION("""COMPUTED_VALUE"""),"-33.6370691-70.559097")</f>
        <v>-33.6370691-70.559097</v>
      </c>
      <c r="C6246" s="6" t="str">
        <f ca="1">IFERROR(__xludf.DUMMYFUNCTION("""COMPUTED_VALUE"""),"CALLE B 467")</f>
        <v>CALLE B 467</v>
      </c>
      <c r="D6246" s="6" t="str">
        <f ca="1">IFERROR(__xludf.DUMMYFUNCTION("""COMPUTED_VALUE"""),"SAN JOSE DE MAIPO")</f>
        <v>SAN JOSE DE MAIPO</v>
      </c>
    </row>
    <row r="6247" spans="1:4">
      <c r="A6247" s="7">
        <f ca="1">IFERROR(__xludf.DUMMYFUNCTION("""COMPUTED_VALUE"""),44564)</f>
        <v>44564</v>
      </c>
      <c r="B6247" s="6" t="str">
        <f ca="1">IFERROR(__xludf.DUMMYFUNCTION("""COMPUTED_VALUE"""),"-33.699206,-70.563161")</f>
        <v>-33.699206,-70.563161</v>
      </c>
      <c r="C6247" s="6" t="str">
        <f ca="1">IFERROR(__xludf.DUMMYFUNCTION("""COMPUTED_VALUE"""),"EL PRINCIPAL 4")</f>
        <v>EL PRINCIPAL 4</v>
      </c>
      <c r="D6247" s="6" t="str">
        <f ca="1">IFERROR(__xludf.DUMMYFUNCTION("""COMPUTED_VALUE"""),"PIRQUE")</f>
        <v>PIRQUE</v>
      </c>
    </row>
    <row r="6248" spans="1:4">
      <c r="A6248" s="7">
        <f ca="1">IFERROR(__xludf.DUMMYFUNCTION("""COMPUTED_VALUE"""),44564)</f>
        <v>44564</v>
      </c>
      <c r="B6248" s="6" t="str">
        <f ca="1">IFERROR(__xludf.DUMMYFUNCTION("""COMPUTED_VALUE"""),"-33.696308,-70.595660")</f>
        <v>-33.696308,-70.595660</v>
      </c>
      <c r="C6248" s="6" t="str">
        <f ca="1">IFERROR(__xludf.DUMMYFUNCTION("""COMPUTED_VALUE"""),"MACUL CERCO 1E")</f>
        <v>MACUL CERCO 1E</v>
      </c>
      <c r="D6248" s="6" t="str">
        <f ca="1">IFERROR(__xludf.DUMMYFUNCTION("""COMPUTED_VALUE"""),"PIRQUE")</f>
        <v>PIRQUE</v>
      </c>
    </row>
    <row r="6249" spans="1:4">
      <c r="A6249" s="7">
        <f ca="1">IFERROR(__xludf.DUMMYFUNCTION("""COMPUTED_VALUE"""),44564)</f>
        <v>44564</v>
      </c>
      <c r="B6249" s="8" t="str">
        <f ca="1">IFERROR(__xludf.DUMMYFUNCTION("""COMPUTED_VALUE"""),"-33.697616,-70.563427")</f>
        <v>-33.697616,-70.563427</v>
      </c>
      <c r="C6249" s="6" t="str">
        <f ca="1">IFERROR(__xludf.DUMMYFUNCTION("""COMPUTED_VALUE"""),"AV.ALCALDE HERNAN PRIETO 133-A")</f>
        <v>AV.ALCALDE HERNAN PRIETO 133-A</v>
      </c>
      <c r="D6249" s="6" t="str">
        <f ca="1">IFERROR(__xludf.DUMMYFUNCTION("""COMPUTED_VALUE"""),"PIRQUE")</f>
        <v>PIRQUE</v>
      </c>
    </row>
    <row r="6250" spans="1:4">
      <c r="A6250" s="7">
        <f ca="1">IFERROR(__xludf.DUMMYFUNCTION("""COMPUTED_VALUE"""),44564)</f>
        <v>44564</v>
      </c>
      <c r="B6250" s="6" t="str">
        <f ca="1">IFERROR(__xludf.DUMMYFUNCTION("""COMPUTED_VALUE"""),"-33.754319,-70.913542")</f>
        <v>-33.754319,-70.913542</v>
      </c>
      <c r="C6250" s="6" t="str">
        <f ca="1">IFERROR(__xludf.DUMMYFUNCTION("""COMPUTED_VALUE"""),"ACEVEDO 587")</f>
        <v>ACEVEDO 587</v>
      </c>
      <c r="D6250" s="6" t="str">
        <f ca="1">IFERROR(__xludf.DUMMYFUNCTION("""COMPUTED_VALUE"""),"ISLA DE MAIPO")</f>
        <v>ISLA DE MAIPO</v>
      </c>
    </row>
    <row r="6251" spans="1:4">
      <c r="A6251" s="7">
        <f ca="1">IFERROR(__xludf.DUMMYFUNCTION("""COMPUTED_VALUE"""),44564)</f>
        <v>44564</v>
      </c>
      <c r="B6251" s="6" t="str">
        <f ca="1">IFERROR(__xludf.DUMMYFUNCTION("""COMPUTED_VALUE"""),"-33.855732,-71.486041")</f>
        <v>-33.855732,-71.486041</v>
      </c>
      <c r="C6251" s="6" t="str">
        <f ca="1">IFERROR(__xludf.DUMMYFUNCTION("""COMPUTED_VALUE"""),"LO ENCANADO S/N")</f>
        <v>LO ENCANADO S/N</v>
      </c>
      <c r="D6251" s="6" t="str">
        <f ca="1">IFERROR(__xludf.DUMMYFUNCTION("""COMPUTED_VALUE"""),"SAN PEDRO")</f>
        <v>SAN PEDRO</v>
      </c>
    </row>
    <row r="6252" spans="1:4">
      <c r="A6252" s="7">
        <f ca="1">IFERROR(__xludf.DUMMYFUNCTION("""COMPUTED_VALUE"""),44564)</f>
        <v>44564</v>
      </c>
      <c r="B6252" s="8" t="str">
        <f ca="1">IFERROR(__xludf.DUMMYFUNCTION("""COMPUTED_VALUE"""),"-33.817560,-71.287653")</f>
        <v>-33.817560,-71.287653</v>
      </c>
      <c r="C6252" s="6" t="str">
        <f ca="1">IFERROR(__xludf.DUMMYFUNCTION("""COMPUTED_VALUE"""),"PARCELA 36 POPETA")</f>
        <v>PARCELA 36 POPETA</v>
      </c>
      <c r="D6252" s="6" t="str">
        <f ca="1">IFERROR(__xludf.DUMMYFUNCTION("""COMPUTED_VALUE"""),"MELIPILLA")</f>
        <v>MELIPILLA</v>
      </c>
    </row>
    <row r="6253" spans="1:4">
      <c r="A6253" s="7">
        <f ca="1">IFERROR(__xludf.DUMMYFUNCTION("""COMPUTED_VALUE"""),44564)</f>
        <v>44564</v>
      </c>
      <c r="B6253" s="8" t="str">
        <f ca="1">IFERROR(__xludf.DUMMYFUNCTION("""COMPUTED_VALUE"""),"-33.689712,-71.206078")</f>
        <v>-33.689712,-71.206078</v>
      </c>
      <c r="C6253" s="6" t="str">
        <f ca="1">IFERROR(__xludf.DUMMYFUNCTION("""COMPUTED_VALUE"""),"MONTURA 0146")</f>
        <v>MONTURA 0146</v>
      </c>
      <c r="D6253" s="6" t="str">
        <f ca="1">IFERROR(__xludf.DUMMYFUNCTION("""COMPUTED_VALUE"""),"MELIPILLA")</f>
        <v>MELIPILLA</v>
      </c>
    </row>
    <row r="6254" spans="1:4">
      <c r="A6254" s="7">
        <f ca="1">IFERROR(__xludf.DUMMYFUNCTION("""COMPUTED_VALUE"""),44564)</f>
        <v>44564</v>
      </c>
      <c r="B6254" s="8" t="str">
        <f ca="1">IFERROR(__xludf.DUMMYFUNCTION("""COMPUTED_VALUE"""),"-33282891,-70878957")</f>
        <v>-33282891,-70878957</v>
      </c>
      <c r="C6254" s="6" t="str">
        <f ca="1">IFERROR(__xludf.DUMMYFUNCTION("""COMPUTED_VALUE"""),"BAQUEDANO 674")</f>
        <v>BAQUEDANO 674</v>
      </c>
      <c r="D6254" s="6" t="str">
        <f ca="1">IFERROR(__xludf.DUMMYFUNCTION("""COMPUTED_VALUE"""),"LAMPA")</f>
        <v>LAMPA</v>
      </c>
    </row>
    <row r="6255" spans="1:4">
      <c r="A6255" s="7">
        <f ca="1">IFERROR(__xludf.DUMMYFUNCTION("""COMPUTED_VALUE"""),44564)</f>
        <v>44564</v>
      </c>
      <c r="B6255" s="8" t="str">
        <f ca="1">IFERROR(__xludf.DUMMYFUNCTION("""COMPUTED_VALUE"""),"-33282891,-70878957")</f>
        <v>-33282891,-70878957</v>
      </c>
      <c r="C6255" s="6" t="str">
        <f ca="1">IFERROR(__xludf.DUMMYFUNCTION("""COMPUTED_VALUE"""),"BAQUEDANO 674")</f>
        <v>BAQUEDANO 674</v>
      </c>
      <c r="D6255" s="6" t="str">
        <f ca="1">IFERROR(__xludf.DUMMYFUNCTION("""COMPUTED_VALUE"""),"LAMPA")</f>
        <v>LAMPA</v>
      </c>
    </row>
    <row r="6256" spans="1:4">
      <c r="A6256" s="7">
        <f ca="1">IFERROR(__xludf.DUMMYFUNCTION("""COMPUTED_VALUE"""),44564)</f>
        <v>44564</v>
      </c>
      <c r="B6256" s="6" t="str">
        <f ca="1">IFERROR(__xludf.DUMMYFUNCTION("""COMPUTED_VALUE"""),"-33.821411,-70.741156")</f>
        <v>-33.821411,-70.741156</v>
      </c>
      <c r="C6256" s="6" t="str">
        <f ca="1">IFERROR(__xludf.DUMMYFUNCTION("""COMPUTED_VALUE"""),"PJE. UNO 1707")</f>
        <v>PJE. UNO 1707</v>
      </c>
      <c r="D6256" s="6" t="str">
        <f ca="1">IFERROR(__xludf.DUMMYFUNCTION("""COMPUTED_VALUE"""),"PAINE")</f>
        <v>PAINE</v>
      </c>
    </row>
    <row r="6257" spans="1:4">
      <c r="A6257" s="7">
        <f ca="1">IFERROR(__xludf.DUMMYFUNCTION("""COMPUTED_VALUE"""),44564)</f>
        <v>44564</v>
      </c>
      <c r="B6257" s="6" t="str">
        <f ca="1">IFERROR(__xludf.DUMMYFUNCTION("""COMPUTED_VALUE"""),"-33.824833,-70.768049")</f>
        <v>-33.824833,-70.768049</v>
      </c>
      <c r="C6257" s="6" t="str">
        <f ca="1">IFERROR(__xludf.DUMMYFUNCTION("""COMPUTED_VALUE"""),"JUAN ANTONIO RIOS S/N PARC. 22B")</f>
        <v>JUAN ANTONIO RIOS S/N PARC. 22B</v>
      </c>
      <c r="D6257" s="6" t="str">
        <f ca="1">IFERROR(__xludf.DUMMYFUNCTION("""COMPUTED_VALUE"""),"PAINE")</f>
        <v>PAINE</v>
      </c>
    </row>
    <row r="6258" spans="1:4">
      <c r="A6258" s="7">
        <f ca="1">IFERROR(__xludf.DUMMYFUNCTION("""COMPUTED_VALUE"""),44565)</f>
        <v>44565</v>
      </c>
      <c r="B6258" s="6" t="str">
        <f ca="1">IFERROR(__xludf.DUMMYFUNCTION("""COMPUTED_VALUE"""),"-33.604446-70.879802")</f>
        <v>-33.604446-70.879802</v>
      </c>
      <c r="C6258" s="6" t="str">
        <f ca="1">IFERROR(__xludf.DUMMYFUNCTION("""COMPUTED_VALUE"""),"CUATRO SUR 2375")</f>
        <v>CUATRO SUR 2375</v>
      </c>
      <c r="D6258" s="6" t="str">
        <f ca="1">IFERROR(__xludf.DUMMYFUNCTION("""COMPUTED_VALUE"""),"PEÑAFLOR")</f>
        <v>PEÑAFLOR</v>
      </c>
    </row>
    <row r="6259" spans="1:4">
      <c r="A6259" s="7">
        <f ca="1">IFERROR(__xludf.DUMMYFUNCTION("""COMPUTED_VALUE"""),44565)</f>
        <v>44565</v>
      </c>
      <c r="B6259" s="6" t="str">
        <f ca="1">IFERROR(__xludf.DUMMYFUNCTION("""COMPUTED_VALUE"""),"-33.7045613-70.5470337")</f>
        <v>-33.7045613-70.5470337</v>
      </c>
      <c r="C6259" s="6" t="str">
        <f ca="1">IFERROR(__xludf.DUMMYFUNCTION("""COMPUTED_VALUE"""),"ORILLA DEL RIO 153 A")</f>
        <v>ORILLA DEL RIO 153 A</v>
      </c>
      <c r="D6259" s="6" t="str">
        <f ca="1">IFERROR(__xludf.DUMMYFUNCTION("""COMPUTED_VALUE"""),"PIRQUE")</f>
        <v>PIRQUE</v>
      </c>
    </row>
    <row r="6260" spans="1:4">
      <c r="A6260" s="7">
        <f ca="1">IFERROR(__xludf.DUMMYFUNCTION("""COMPUTED_VALUE"""),44565)</f>
        <v>44565</v>
      </c>
      <c r="B6260" s="6" t="str">
        <f ca="1">IFERROR(__xludf.DUMMYFUNCTION("""COMPUTED_VALUE"""),"-33.6881284-70.5871872")</f>
        <v>-33.6881284-70.5871872</v>
      </c>
      <c r="C6260" s="6" t="str">
        <f ca="1">IFERROR(__xludf.DUMMYFUNCTION("""COMPUTED_VALUE"""),"LOS QUILLAYES 5")</f>
        <v>LOS QUILLAYES 5</v>
      </c>
      <c r="D6260" s="6" t="str">
        <f ca="1">IFERROR(__xludf.DUMMYFUNCTION("""COMPUTED_VALUE"""),"PIRQUE")</f>
        <v>PIRQUE</v>
      </c>
    </row>
    <row r="6261" spans="1:4">
      <c r="A6261" s="7">
        <f ca="1">IFERROR(__xludf.DUMMYFUNCTION("""COMPUTED_VALUE"""),44565)</f>
        <v>44565</v>
      </c>
      <c r="B6261" s="6" t="str">
        <f ca="1">IFERROR(__xludf.DUMMYFUNCTION("""COMPUTED_VALUE"""),"-33.8878537,-71.4552022")</f>
        <v>-33.8878537,-71.4552022</v>
      </c>
      <c r="C6261" s="6" t="str">
        <f ca="1">IFERROR(__xludf.DUMMYFUNCTION("""COMPUTED_VALUE"""),"CO CEMENTERIO 2")</f>
        <v>CO CEMENTERIO 2</v>
      </c>
      <c r="D6261" s="6" t="str">
        <f ca="1">IFERROR(__xludf.DUMMYFUNCTION("""COMPUTED_VALUE"""),"SAN PEDRO")</f>
        <v>SAN PEDRO</v>
      </c>
    </row>
    <row r="6262" spans="1:4">
      <c r="A6262" s="7">
        <f ca="1">IFERROR(__xludf.DUMMYFUNCTION("""COMPUTED_VALUE"""),44565)</f>
        <v>44565</v>
      </c>
      <c r="B6262" s="6" t="str">
        <f ca="1">IFERROR(__xludf.DUMMYFUNCTION("""COMPUTED_VALUE"""),"-33.855732,-71.486041")</f>
        <v>-33.855732,-71.486041</v>
      </c>
      <c r="C6262" s="6" t="str">
        <f ca="1">IFERROR(__xludf.DUMMYFUNCTION("""COMPUTED_VALUE"""),"LO ENCANADO S/N")</f>
        <v>LO ENCANADO S/N</v>
      </c>
      <c r="D6262" s="6" t="str">
        <f ca="1">IFERROR(__xludf.DUMMYFUNCTION("""COMPUTED_VALUE"""),"SAN PEDRO")</f>
        <v>SAN PEDRO</v>
      </c>
    </row>
    <row r="6263" spans="1:4">
      <c r="A6263" s="7">
        <f ca="1">IFERROR(__xludf.DUMMYFUNCTION("""COMPUTED_VALUE"""),44565)</f>
        <v>44565</v>
      </c>
      <c r="B6263" s="6" t="str">
        <f ca="1">IFERROR(__xludf.DUMMYFUNCTION("""COMPUTED_VALUE"""),"-33.733152,-70.864972")</f>
        <v>-33.733152,-70.864972</v>
      </c>
      <c r="C6263" s="6" t="str">
        <f ca="1">IFERROR(__xludf.DUMMYFUNCTION("""COMPUTED_VALUE"""),"SANTA INES 659")</f>
        <v>SANTA INES 659</v>
      </c>
      <c r="D6263" s="6" t="str">
        <f ca="1">IFERROR(__xludf.DUMMYFUNCTION("""COMPUTED_VALUE"""),"ISLA DE MAIPO")</f>
        <v>ISLA DE MAIPO</v>
      </c>
    </row>
    <row r="6264" spans="1:4">
      <c r="A6264" s="7">
        <f ca="1">IFERROR(__xludf.DUMMYFUNCTION("""COMPUTED_VALUE"""),44565)</f>
        <v>44565</v>
      </c>
      <c r="B6264" s="6" t="str">
        <f ca="1">IFERROR(__xludf.DUMMYFUNCTION("""COMPUTED_VALUE"""),"-35.4510254,-71.676511")</f>
        <v>-35.4510254,-71.676511</v>
      </c>
      <c r="C6264" s="6" t="str">
        <f ca="1">IFERROR(__xludf.DUMMYFUNCTION("""COMPUTED_VALUE"""),"1 1/2 PONIENTE B 29 SUR 01102")</f>
        <v>1 1/2 PONIENTE B 29 SUR 01102</v>
      </c>
      <c r="D6264" s="6" t="str">
        <f ca="1">IFERROR(__xludf.DUMMYFUNCTION("""COMPUTED_VALUE"""),"TALCA")</f>
        <v>TALCA</v>
      </c>
    </row>
    <row r="6265" spans="1:4">
      <c r="A6265" s="7">
        <f ca="1">IFERROR(__xludf.DUMMYFUNCTION("""COMPUTED_VALUE"""),44565)</f>
        <v>44565</v>
      </c>
      <c r="B6265" s="6" t="str">
        <f ca="1">IFERROR(__xludf.DUMMYFUNCTION("""COMPUTED_VALUE"""),"-35.413244,-71.616073")</f>
        <v>-35.413244,-71.616073</v>
      </c>
      <c r="C6265" s="6" t="str">
        <f ca="1">IFERROR(__xludf.DUMMYFUNCTION("""COMPUTED_VALUE"""),"PA VEINTISIETE ORIENTE A 3430 BICENTENARIO")</f>
        <v>PA VEINTISIETE ORIENTE A 3430 BICENTENARIO</v>
      </c>
      <c r="D6265" s="6" t="str">
        <f ca="1">IFERROR(__xludf.DUMMYFUNCTION("""COMPUTED_VALUE"""),"TALCA")</f>
        <v>TALCA</v>
      </c>
    </row>
    <row r="6266" spans="1:4">
      <c r="A6266" s="7">
        <f ca="1">IFERROR(__xludf.DUMMYFUNCTION("""COMPUTED_VALUE"""),44565)</f>
        <v>44565</v>
      </c>
      <c r="B6266" s="6" t="str">
        <f ca="1">IFERROR(__xludf.DUMMYFUNCTION("""COMPUTED_VALUE"""),"-35.411400,-71.619270")</f>
        <v>-35.411400,-71.619270</v>
      </c>
      <c r="C6266" s="6" t="str">
        <f ca="1">IFERROR(__xludf.DUMMYFUNCTION("""COMPUTED_VALUE"""),"PA VEINTICINCO Y MEDIO ORIENTE 3401 BICENTENARIO")</f>
        <v>PA VEINTICINCO Y MEDIO ORIENTE 3401 BICENTENARIO</v>
      </c>
      <c r="D6266" s="6" t="str">
        <f ca="1">IFERROR(__xludf.DUMMYFUNCTION("""COMPUTED_VALUE"""),"TALCA")</f>
        <v>TALCA</v>
      </c>
    </row>
    <row r="6267" spans="1:4">
      <c r="A6267" s="7">
        <f ca="1">IFERROR(__xludf.DUMMYFUNCTION("""COMPUTED_VALUE"""),44565)</f>
        <v>44565</v>
      </c>
      <c r="B6267" s="8" t="str">
        <f ca="1">IFERROR(__xludf.DUMMYFUNCTION("""COMPUTED_VALUE"""),"-33.288788,-70.868554")</f>
        <v>-33.288788,-70.868554</v>
      </c>
      <c r="C6267" s="6" t="str">
        <f ca="1">IFERROR(__xludf.DUMMYFUNCTION("""COMPUTED_VALUE"""),"ARTURO PRAT 1091")</f>
        <v>ARTURO PRAT 1091</v>
      </c>
      <c r="D6267" s="6" t="str">
        <f ca="1">IFERROR(__xludf.DUMMYFUNCTION("""COMPUTED_VALUE"""),"LAMPA")</f>
        <v>LAMPA</v>
      </c>
    </row>
    <row r="6268" spans="1:4">
      <c r="A6268" s="7">
        <f ca="1">IFERROR(__xludf.DUMMYFUNCTION("""COMPUTED_VALUE"""),44565)</f>
        <v>44565</v>
      </c>
      <c r="B6268" s="8" t="str">
        <f ca="1">IFERROR(__xludf.DUMMYFUNCTION("""COMPUTED_VALUE"""),"-33.288788,-70.868554")</f>
        <v>-33.288788,-70.868554</v>
      </c>
      <c r="C6268" s="6" t="str">
        <f ca="1">IFERROR(__xludf.DUMMYFUNCTION("""COMPUTED_VALUE"""),"ARTURO PRAT 1091")</f>
        <v>ARTURO PRAT 1091</v>
      </c>
      <c r="D6268" s="6" t="str">
        <f ca="1">IFERROR(__xludf.DUMMYFUNCTION("""COMPUTED_VALUE"""),"LAMPA")</f>
        <v>LAMPA</v>
      </c>
    </row>
    <row r="6269" spans="1:4">
      <c r="A6269" s="7">
        <f ca="1">IFERROR(__xludf.DUMMYFUNCTION("""COMPUTED_VALUE"""),44565)</f>
        <v>44565</v>
      </c>
      <c r="B6269" s="8" t="str">
        <f ca="1">IFERROR(__xludf.DUMMYFUNCTION("""COMPUTED_VALUE"""),"-33.753007,-70.827630")</f>
        <v>-33.753007,-70.827630</v>
      </c>
      <c r="C6269" s="6" t="str">
        <f ca="1">IFERROR(__xludf.DUMMYFUNCTION("""COMPUTED_VALUE"""),"EL MAICILLO 4429")</f>
        <v>EL MAICILLO 4429</v>
      </c>
      <c r="D6269" s="6" t="str">
        <f ca="1">IFERROR(__xludf.DUMMYFUNCTION("""COMPUTED_VALUE"""),"ISLA DE MAIPO")</f>
        <v>ISLA DE MAIPO</v>
      </c>
    </row>
    <row r="6270" spans="1:4">
      <c r="A6270" s="7">
        <f ca="1">IFERROR(__xludf.DUMMYFUNCTION("""COMPUTED_VALUE"""),44565)</f>
        <v>44565</v>
      </c>
      <c r="B6270" s="8" t="str">
        <f ca="1">IFERROR(__xludf.DUMMYFUNCTION("""COMPUTED_VALUE"""),"-33.663592,-71.313442")</f>
        <v>-33.663592,-71.313442</v>
      </c>
      <c r="C6270" s="6" t="str">
        <f ca="1">IFERROR(__xludf.DUMMYFUNCTION("""COMPUTED_VALUE"""),"TROPEZON PUANGUE SITIO G 152")</f>
        <v>TROPEZON PUANGUE SITIO G 152</v>
      </c>
      <c r="D6270" s="6" t="str">
        <f ca="1">IFERROR(__xludf.DUMMYFUNCTION("""COMPUTED_VALUE"""),"MELIPILLA")</f>
        <v>MELIPILLA</v>
      </c>
    </row>
    <row r="6271" spans="1:4">
      <c r="A6271" s="7">
        <f ca="1">IFERROR(__xludf.DUMMYFUNCTION("""COMPUTED_VALUE"""),44565)</f>
        <v>44565</v>
      </c>
      <c r="B6271" s="6" t="str">
        <f ca="1">IFERROR(__xludf.DUMMYFUNCTION("""COMPUTED_VALUE"""),"-33.047647-71.422679")</f>
        <v>-33.047647-71.422679</v>
      </c>
      <c r="C6271" s="6" t="str">
        <f ca="1">IFERROR(__xludf.DUMMYFUNCTION("""COMPUTED_VALUE"""),"AV. CENTENARIO 1819")</f>
        <v>AV. CENTENARIO 1819</v>
      </c>
      <c r="D6271" s="6" t="str">
        <f ca="1">IFERROR(__xludf.DUMMYFUNCTION("""COMPUTED_VALUE"""),"QUILPUÉ")</f>
        <v>QUILPUÉ</v>
      </c>
    </row>
    <row r="6272" spans="1:4">
      <c r="A6272" s="7">
        <f ca="1">IFERROR(__xludf.DUMMYFUNCTION("""COMPUTED_VALUE"""),44565)</f>
        <v>44565</v>
      </c>
      <c r="B6272" s="6" t="str">
        <f ca="1">IFERROR(__xludf.DUMMYFUNCTION("""COMPUTED_VALUE"""),"-33.057198-71.426669")</f>
        <v>-33.057198-71.426669</v>
      </c>
      <c r="C6272" s="6" t="str">
        <f ca="1">IFERROR(__xludf.DUMMYFUNCTION("""COMPUTED_VALUE"""),"LAS ELENAS 1931")</f>
        <v>LAS ELENAS 1931</v>
      </c>
      <c r="D6272" s="6" t="str">
        <f ca="1">IFERROR(__xludf.DUMMYFUNCTION("""COMPUTED_VALUE"""),"QUILPUÉ")</f>
        <v>QUILPUÉ</v>
      </c>
    </row>
    <row r="6273" spans="1:4">
      <c r="A6273" s="7">
        <f ca="1">IFERROR(__xludf.DUMMYFUNCTION("""COMPUTED_VALUE"""),44565)</f>
        <v>44565</v>
      </c>
      <c r="B6273" s="6" t="str">
        <f ca="1">IFERROR(__xludf.DUMMYFUNCTION("""COMPUTED_VALUE"""),"-33.052881-71.435911")</f>
        <v>-33.052881-71.435911</v>
      </c>
      <c r="C6273" s="6" t="str">
        <f ca="1">IFERROR(__xludf.DUMMYFUNCTION("""COMPUTED_VALUE"""),"LAUTARO 1337 CASA 48")</f>
        <v>LAUTARO 1337 CASA 48</v>
      </c>
      <c r="D6273" s="6" t="str">
        <f ca="1">IFERROR(__xludf.DUMMYFUNCTION("""COMPUTED_VALUE"""),"QUILPUÉ")</f>
        <v>QUILPUÉ</v>
      </c>
    </row>
    <row r="6274" spans="1:4">
      <c r="A6274" s="7">
        <f ca="1">IFERROR(__xludf.DUMMYFUNCTION("""COMPUTED_VALUE"""),44565)</f>
        <v>44565</v>
      </c>
      <c r="B6274" s="6" t="str">
        <f ca="1">IFERROR(__xludf.DUMMYFUNCTION("""COMPUTED_VALUE"""),"-33.071959-71.423422")</f>
        <v>-33.071959-71.423422</v>
      </c>
      <c r="C6274" s="6" t="str">
        <f ca="1">IFERROR(__xludf.DUMMYFUNCTION("""COMPUTED_VALUE"""),"VALLE ESPERANZA 2729")</f>
        <v>VALLE ESPERANZA 2729</v>
      </c>
      <c r="D6274" s="6" t="str">
        <f ca="1">IFERROR(__xludf.DUMMYFUNCTION("""COMPUTED_VALUE"""),"QUILPUÉ")</f>
        <v>QUILPUÉ</v>
      </c>
    </row>
    <row r="6275" spans="1:4">
      <c r="A6275" s="7">
        <f ca="1">IFERROR(__xludf.DUMMYFUNCTION("""COMPUTED_VALUE"""),44566)</f>
        <v>44566</v>
      </c>
      <c r="B6275" s="8" t="str">
        <f ca="1">IFERROR(__xludf.DUMMYFUNCTION("""COMPUTED_VALUE"""),"-33.749638-70.861921")</f>
        <v>-33.749638-70.861921</v>
      </c>
      <c r="C6275" s="6" t="str">
        <f ca="1">IFERROR(__xludf.DUMMYFUNCTION("""COMPUTED_VALUE"""),"LAS TAGUITAS 436")</f>
        <v>LAS TAGUITAS 436</v>
      </c>
      <c r="D6275" s="6" t="str">
        <f ca="1">IFERROR(__xludf.DUMMYFUNCTION("""COMPUTED_VALUE"""),"ISLA DE MAIPO")</f>
        <v>ISLA DE MAIPO</v>
      </c>
    </row>
    <row r="6276" spans="1:4">
      <c r="A6276" s="7">
        <f ca="1">IFERROR(__xludf.DUMMYFUNCTION("""COMPUTED_VALUE"""),44566)</f>
        <v>44566</v>
      </c>
      <c r="B6276" s="6" t="str">
        <f ca="1">IFERROR(__xludf.DUMMYFUNCTION("""COMPUTED_VALUE"""),"-33.3954161-71.1243711")</f>
        <v>-33.3954161-71.1243711</v>
      </c>
      <c r="C6276" s="6" t="str">
        <f ca="1">IFERROR(__xludf.DUMMYFUNCTION("""COMPUTED_VALUE"""),"CUYUNCAVI 671")</f>
        <v>CUYUNCAVI 671</v>
      </c>
      <c r="D6276" s="6" t="str">
        <f ca="1">IFERROR(__xludf.DUMMYFUNCTION("""COMPUTED_VALUE"""),"CURACAVI")</f>
        <v>CURACAVI</v>
      </c>
    </row>
    <row r="6277" spans="1:4">
      <c r="A6277" s="7">
        <f ca="1">IFERROR(__xludf.DUMMYFUNCTION("""COMPUTED_VALUE"""),44566)</f>
        <v>44566</v>
      </c>
      <c r="B6277" s="6" t="str">
        <f ca="1">IFERROR(__xludf.DUMMYFUNCTION("""COMPUTED_VALUE"""),"-33.49175262-71.0297012")</f>
        <v>-33.49175262-71.0297012</v>
      </c>
      <c r="C6277" s="6" t="str">
        <f ca="1">IFERROR(__xludf.DUMMYFUNCTION("""COMPUTED_VALUE"""),"EL AJIAL S/N")</f>
        <v>EL AJIAL S/N</v>
      </c>
      <c r="D6277" s="6" t="str">
        <f ca="1">IFERROR(__xludf.DUMMYFUNCTION("""COMPUTED_VALUE"""),"CURACAVI")</f>
        <v>CURACAVI</v>
      </c>
    </row>
    <row r="6278" spans="1:4">
      <c r="A6278" s="7">
        <f ca="1">IFERROR(__xludf.DUMMYFUNCTION("""COMPUTED_VALUE"""),44566)</f>
        <v>44566</v>
      </c>
      <c r="B6278" s="6" t="str">
        <f ca="1">IFERROR(__xludf.DUMMYFUNCTION("""COMPUTED_VALUE"""),"-33.4812-70.35165")</f>
        <v>-33.4812-70.35165</v>
      </c>
      <c r="C6278" s="6" t="str">
        <f ca="1">IFERROR(__xludf.DUMMYFUNCTION("""COMPUTED_VALUE"""),"CAMINO EL VOLCAN 20672")</f>
        <v>CAMINO EL VOLCAN 20672</v>
      </c>
      <c r="D6278" s="6" t="str">
        <f ca="1">IFERROR(__xludf.DUMMYFUNCTION("""COMPUTED_VALUE"""),"SAN JOSE DE MAIPO")</f>
        <v>SAN JOSE DE MAIPO</v>
      </c>
    </row>
    <row r="6279" spans="1:4">
      <c r="A6279" s="7">
        <f ca="1">IFERROR(__xludf.DUMMYFUNCTION("""COMPUTED_VALUE"""),44566)</f>
        <v>44566</v>
      </c>
      <c r="B6279" s="6" t="str">
        <f ca="1">IFERROR(__xludf.DUMMYFUNCTION("""COMPUTED_VALUE"""),"-33.63597-70.35651")</f>
        <v>-33.63597-70.35651</v>
      </c>
      <c r="C6279" s="6" t="str">
        <f ca="1">IFERROR(__xludf.DUMMYFUNCTION("""COMPUTED_VALUE"""),"P RIO MAIPO 0379")</f>
        <v>P RIO MAIPO 0379</v>
      </c>
      <c r="D6279" s="6" t="str">
        <f ca="1">IFERROR(__xludf.DUMMYFUNCTION("""COMPUTED_VALUE"""),"SAN JOSE DE MAIPO")</f>
        <v>SAN JOSE DE MAIPO</v>
      </c>
    </row>
    <row r="6280" spans="1:4">
      <c r="A6280" s="7">
        <f ca="1">IFERROR(__xludf.DUMMYFUNCTION("""COMPUTED_VALUE"""),44566)</f>
        <v>44566</v>
      </c>
      <c r="B6280" s="8" t="str">
        <f ca="1">IFERROR(__xludf.DUMMYFUNCTION("""COMPUTED_VALUE"""),"-33.180686,-70.661009")</f>
        <v>-33.180686,-70.661009</v>
      </c>
      <c r="C6280" s="6" t="str">
        <f ca="1">IFERROR(__xludf.DUMMYFUNCTION("""COMPUTED_VALUE"""),"LOS LITRES 1378")</f>
        <v>LOS LITRES 1378</v>
      </c>
      <c r="D6280" s="6" t="str">
        <f ca="1">IFERROR(__xludf.DUMMYFUNCTION("""COMPUTED_VALUE"""),"COLINA")</f>
        <v>COLINA</v>
      </c>
    </row>
    <row r="6281" spans="1:4">
      <c r="A6281" s="7">
        <f ca="1">IFERROR(__xludf.DUMMYFUNCTION("""COMPUTED_VALUE"""),44566)</f>
        <v>44566</v>
      </c>
      <c r="B6281" s="6" t="str">
        <f ca="1">IFERROR(__xludf.DUMMYFUNCTION("""COMPUTED_VALUE"""),"-33.749714,-70.893971")</f>
        <v>-33.749714,-70.893971</v>
      </c>
      <c r="C6281" s="6" t="str">
        <f ca="1">IFERROR(__xludf.DUMMYFUNCTION("""COMPUTED_VALUE"""),"INDEPENDENCIA 254")</f>
        <v>INDEPENDENCIA 254</v>
      </c>
      <c r="D6281" s="6" t="str">
        <f ca="1">IFERROR(__xludf.DUMMYFUNCTION("""COMPUTED_VALUE"""),"ISLA DE MAIPO")</f>
        <v>ISLA DE MAIPO</v>
      </c>
    </row>
    <row r="6282" spans="1:4">
      <c r="A6282" s="7">
        <f ca="1">IFERROR(__xludf.DUMMYFUNCTION("""COMPUTED_VALUE"""),44566)</f>
        <v>44566</v>
      </c>
      <c r="B6282" s="6" t="str">
        <f ca="1">IFERROR(__xludf.DUMMYFUNCTION("""COMPUTED_VALUE"""),"-33.745823,-70.868337")</f>
        <v>-33.745823,-70.868337</v>
      </c>
      <c r="C6282" s="6" t="str">
        <f ca="1">IFERROR(__xludf.DUMMYFUNCTION("""COMPUTED_VALUE"""),"PA SUPERINTENDENTE HUGO CORVALAN IZQUIERDO 260")</f>
        <v>PA SUPERINTENDENTE HUGO CORVALAN IZQUIERDO 260</v>
      </c>
      <c r="D6282" s="6" t="str">
        <f ca="1">IFERROR(__xludf.DUMMYFUNCTION("""COMPUTED_VALUE"""),"ISLA DE MAIPO")</f>
        <v>ISLA DE MAIPO</v>
      </c>
    </row>
    <row r="6283" spans="1:4">
      <c r="A6283" s="7">
        <f ca="1">IFERROR(__xludf.DUMMYFUNCTION("""COMPUTED_VALUE"""),44566)</f>
        <v>44566</v>
      </c>
      <c r="B6283" s="8" t="str">
        <f ca="1">IFERROR(__xludf.DUMMYFUNCTION("""COMPUTED_VALUE"""),"-33.817638,-71.287062")</f>
        <v>-33.817638,-71.287062</v>
      </c>
      <c r="C6283" s="6" t="str">
        <f ca="1">IFERROR(__xludf.DUMMYFUNCTION("""COMPUTED_VALUE"""),"PARCELA 36 POPETA ")</f>
        <v xml:space="preserve">PARCELA 36 POPETA </v>
      </c>
      <c r="D6283" s="6" t="str">
        <f ca="1">IFERROR(__xludf.DUMMYFUNCTION("""COMPUTED_VALUE"""),"MELIPILLA")</f>
        <v>MELIPILLA</v>
      </c>
    </row>
    <row r="6284" spans="1:4">
      <c r="A6284" s="7">
        <f ca="1">IFERROR(__xludf.DUMMYFUNCTION("""COMPUTED_VALUE"""),44566)</f>
        <v>44566</v>
      </c>
      <c r="B6284" s="8" t="str">
        <f ca="1">IFERROR(__xludf.DUMMYFUNCTION("""COMPUTED_VALUE"""),"-33.714132,-71.191538")</f>
        <v>-33.714132,-71.191538</v>
      </c>
      <c r="C6284" s="6" t="str">
        <f ca="1">IFERROR(__xludf.DUMMYFUNCTION("""COMPUTED_VALUE"""),"CARMEN BAJO HUERTO NUMERO 14")</f>
        <v>CARMEN BAJO HUERTO NUMERO 14</v>
      </c>
      <c r="D6284" s="6" t="str">
        <f ca="1">IFERROR(__xludf.DUMMYFUNCTION("""COMPUTED_VALUE"""),"MELIPILLA")</f>
        <v>MELIPILLA</v>
      </c>
    </row>
    <row r="6285" spans="1:4">
      <c r="A6285" s="7">
        <f ca="1">IFERROR(__xludf.DUMMYFUNCTION("""COMPUTED_VALUE"""),44566)</f>
        <v>44566</v>
      </c>
      <c r="B6285" s="8" t="str">
        <f ca="1">IFERROR(__xludf.DUMMYFUNCTION("""COMPUTED_VALUE"""),"-33.288845,-70.879482")</f>
        <v>-33.288845,-70.879482</v>
      </c>
      <c r="C6285" s="6" t="str">
        <f ca="1">IFERROR(__xludf.DUMMYFUNCTION("""COMPUTED_VALUE"""),"ALCALDE MANUEL HUICHIPOCO 151")</f>
        <v>ALCALDE MANUEL HUICHIPOCO 151</v>
      </c>
      <c r="D6285" s="6" t="str">
        <f ca="1">IFERROR(__xludf.DUMMYFUNCTION("""COMPUTED_VALUE"""),"LAMPA")</f>
        <v>LAMPA</v>
      </c>
    </row>
    <row r="6286" spans="1:4">
      <c r="A6286" s="7">
        <f ca="1">IFERROR(__xludf.DUMMYFUNCTION("""COMPUTED_VALUE"""),44566)</f>
        <v>44566</v>
      </c>
      <c r="B6286" s="8" t="str">
        <f ca="1">IFERROR(__xludf.DUMMYFUNCTION("""COMPUTED_VALUE"""),"-33.786965,-70.786079")</f>
        <v>-33.786965,-70.786079</v>
      </c>
      <c r="C6286" s="6" t="str">
        <f ca="1">IFERROR(__xludf.DUMMYFUNCTION("""COMPUTED_VALUE"""),"VILUCO 5000 lote 25")</f>
        <v>VILUCO 5000 lote 25</v>
      </c>
      <c r="D6286" s="6" t="str">
        <f ca="1">IFERROR(__xludf.DUMMYFUNCTION("""COMPUTED_VALUE"""),"BUIN")</f>
        <v>BUIN</v>
      </c>
    </row>
    <row r="6287" spans="1:4">
      <c r="A6287" s="7">
        <f ca="1">IFERROR(__xludf.DUMMYFUNCTION("""COMPUTED_VALUE"""),44566)</f>
        <v>44566</v>
      </c>
      <c r="B6287" s="8" t="str">
        <f ca="1">IFERROR(__xludf.DUMMYFUNCTION("""COMPUTED_VALUE"""),"-33.787739,-70.893029")</f>
        <v>-33.787739,-70.893029</v>
      </c>
      <c r="C6287" s="6" t="str">
        <f ca="1">IFERROR(__xludf.DUMMYFUNCTION("""COMPUTED_VALUE"""),"MONTE LAS MERCEDES 2575")</f>
        <v>MONTE LAS MERCEDES 2575</v>
      </c>
      <c r="D6287" s="6" t="str">
        <f ca="1">IFERROR(__xludf.DUMMYFUNCTION("""COMPUTED_VALUE"""),"ISLA DE MAIPO")</f>
        <v>ISLA DE MAIPO</v>
      </c>
    </row>
    <row r="6288" spans="1:4">
      <c r="A6288" s="7">
        <f ca="1">IFERROR(__xludf.DUMMYFUNCTION("""COMPUTED_VALUE"""),44566)</f>
        <v>44566</v>
      </c>
      <c r="B6288" s="8" t="str">
        <f ca="1">IFERROR(__xludf.DUMMYFUNCTION("""COMPUTED_VALUE"""),"-33.603408,-70.783153")</f>
        <v>-33.603408,-70.783153</v>
      </c>
      <c r="C6288" s="6" t="str">
        <f ca="1">IFERROR(__xludf.DUMMYFUNCTION("""COMPUTED_VALUE"""),"C.SANTA FILOMENA PARCELA 40")</f>
        <v>C.SANTA FILOMENA PARCELA 40</v>
      </c>
      <c r="D6288" s="6" t="str">
        <f ca="1">IFERROR(__xludf.DUMMYFUNCTION("""COMPUTED_VALUE"""),"CALERA DE TANGO")</f>
        <v>CALERA DE TANGO</v>
      </c>
    </row>
    <row r="6289" spans="1:4">
      <c r="A6289" s="7">
        <f ca="1">IFERROR(__xludf.DUMMYFUNCTION("""COMPUTED_VALUE"""),44566)</f>
        <v>44566</v>
      </c>
      <c r="B6289" s="6" t="str">
        <f ca="1">IFERROR(__xludf.DUMMYFUNCTION("""COMPUTED_VALUE"""),"-33.829188,-70.730469")</f>
        <v>-33.829188,-70.730469</v>
      </c>
      <c r="C6289" s="6" t="str">
        <f ca="1">IFERROR(__xludf.DUMMYFUNCTION("""COMPUTED_VALUE"""),"NUEVO HORIZONTE 5 SITIO 1 ")</f>
        <v xml:space="preserve">NUEVO HORIZONTE 5 SITIO 1 </v>
      </c>
      <c r="D6289" s="6" t="str">
        <f ca="1">IFERROR(__xludf.DUMMYFUNCTION("""COMPUTED_VALUE"""),"PAINE")</f>
        <v>PAINE</v>
      </c>
    </row>
    <row r="6290" spans="1:4">
      <c r="A6290" s="7">
        <f ca="1">IFERROR(__xludf.DUMMYFUNCTION("""COMPUTED_VALUE"""),44566)</f>
        <v>44566</v>
      </c>
      <c r="B6290" s="6" t="str">
        <f ca="1">IFERROR(__xludf.DUMMYFUNCTION("""COMPUTED_VALUE"""),"-33.829237,-70.730226")</f>
        <v>-33.829237,-70.730226</v>
      </c>
      <c r="C6290" s="6" t="str">
        <f ca="1">IFERROR(__xludf.DUMMYFUNCTION("""COMPUTED_VALUE"""),"NUEVO HORIZONTE 5 SITIO 1 ")</f>
        <v xml:space="preserve">NUEVO HORIZONTE 5 SITIO 1 </v>
      </c>
      <c r="D6290" s="6" t="str">
        <f ca="1">IFERROR(__xludf.DUMMYFUNCTION("""COMPUTED_VALUE"""),"PAINE")</f>
        <v>PAINE</v>
      </c>
    </row>
    <row r="6291" spans="1:4">
      <c r="A6291" s="7">
        <f ca="1">IFERROR(__xludf.DUMMYFUNCTION("""COMPUTED_VALUE"""),44567)</f>
        <v>44567</v>
      </c>
      <c r="B6291" s="8" t="str">
        <f ca="1">IFERROR(__xludf.DUMMYFUNCTION("""COMPUTED_VALUE"""),"-33.736183-71.013516")</f>
        <v>-33.736183-71.013516</v>
      </c>
      <c r="C6291" s="6" t="str">
        <f ca="1">IFERROR(__xludf.DUMMYFUNCTION("""COMPUTED_VALUE"""),"LAS TURBINAS  62")</f>
        <v>LAS TURBINAS  62</v>
      </c>
      <c r="D6291" s="6" t="str">
        <f ca="1">IFERROR(__xludf.DUMMYFUNCTION("""COMPUTED_VALUE"""),"ISLA DE MAIPO")</f>
        <v>ISLA DE MAIPO</v>
      </c>
    </row>
    <row r="6292" spans="1:4">
      <c r="A6292" s="7">
        <f ca="1">IFERROR(__xludf.DUMMYFUNCTION("""COMPUTED_VALUE"""),44567)</f>
        <v>44567</v>
      </c>
      <c r="B6292" s="8" t="str">
        <f ca="1">IFERROR(__xludf.DUMMYFUNCTION("""COMPUTED_VALUE"""),"-33.704872-70.877809")</f>
        <v>-33.704872-70.877809</v>
      </c>
      <c r="C6292" s="6" t="str">
        <f ca="1">IFERROR(__xludf.DUMMYFUNCTION("""COMPUTED_VALUE"""),"CARAMPANGUE PARCELA 6,")</f>
        <v>CARAMPANGUE PARCELA 6,</v>
      </c>
      <c r="D6292" s="6" t="str">
        <f ca="1">IFERROR(__xludf.DUMMYFUNCTION("""COMPUTED_VALUE"""),"ISLA DE MAIPO")</f>
        <v>ISLA DE MAIPO</v>
      </c>
    </row>
    <row r="6293" spans="1:4">
      <c r="A6293" s="7">
        <f ca="1">IFERROR(__xludf.DUMMYFUNCTION("""COMPUTED_VALUE"""),44567)</f>
        <v>44567</v>
      </c>
      <c r="B6293" s="6" t="str">
        <f ca="1">IFERROR(__xludf.DUMMYFUNCTION("""COMPUTED_VALUE"""),"-33.2450037-70.8815479")</f>
        <v>-33.2450037-70.8815479</v>
      </c>
      <c r="C6293" s="6" t="str">
        <f ca="1">IFERROR(__xludf.DUMMYFUNCTION("""COMPUTED_VALUE"""),"CHINCOL NORTE 778")</f>
        <v>CHINCOL NORTE 778</v>
      </c>
      <c r="D6293" s="6" t="str">
        <f ca="1">IFERROR(__xludf.DUMMYFUNCTION("""COMPUTED_VALUE"""),"LAMPA")</f>
        <v>LAMPA</v>
      </c>
    </row>
    <row r="6294" spans="1:4">
      <c r="A6294" s="7">
        <f ca="1">IFERROR(__xludf.DUMMYFUNCTION("""COMPUTED_VALUE"""),44567)</f>
        <v>44567</v>
      </c>
      <c r="B6294" s="6" t="str">
        <f ca="1">IFERROR(__xludf.DUMMYFUNCTION("""COMPUTED_VALUE"""),"-33.2984425-70.873023")</f>
        <v>-33.2984425-70.873023</v>
      </c>
      <c r="C6294" s="6" t="str">
        <f ca="1">IFERROR(__xludf.DUMMYFUNCTION("""COMPUTED_VALUE"""),"AV. LA HACIENDA PONIENTE 2764")</f>
        <v>AV. LA HACIENDA PONIENTE 2764</v>
      </c>
      <c r="D6294" s="6" t="str">
        <f ca="1">IFERROR(__xludf.DUMMYFUNCTION("""COMPUTED_VALUE"""),"LAMPA")</f>
        <v>LAMPA</v>
      </c>
    </row>
    <row r="6295" spans="1:4">
      <c r="A6295" s="7">
        <f ca="1">IFERROR(__xludf.DUMMYFUNCTION("""COMPUTED_VALUE"""),44567)</f>
        <v>44567</v>
      </c>
      <c r="B6295" s="6" t="str">
        <f ca="1">IFERROR(__xludf.DUMMYFUNCTION("""COMPUTED_VALUE"""),"-33.2979765-70.8704078")</f>
        <v>-33.2979765-70.8704078</v>
      </c>
      <c r="C6295" s="6" t="str">
        <f ca="1">IFERROR(__xludf.DUMMYFUNCTION("""COMPUTED_VALUE"""),"PJE LAS MAGNOLIAS PONIENTE 2772")</f>
        <v>PJE LAS MAGNOLIAS PONIENTE 2772</v>
      </c>
      <c r="D6295" s="6" t="str">
        <f ca="1">IFERROR(__xludf.DUMMYFUNCTION("""COMPUTED_VALUE"""),"LAMPA")</f>
        <v>LAMPA</v>
      </c>
    </row>
    <row r="6296" spans="1:4">
      <c r="A6296" s="7">
        <f ca="1">IFERROR(__xludf.DUMMYFUNCTION("""COMPUTED_VALUE"""),44567)</f>
        <v>44567</v>
      </c>
      <c r="B6296" s="6" t="str">
        <f ca="1">IFERROR(__xludf.DUMMYFUNCTION("""COMPUTED_VALUE"""),"-33.27534-70.85458")</f>
        <v>-33.27534-70.85458</v>
      </c>
      <c r="C6296" s="6" t="str">
        <f ca="1">IFERROR(__xludf.DUMMYFUNCTION("""COMPUTED_VALUE"""),"LO VARGAS P20 S-17")</f>
        <v>LO VARGAS P20 S-17</v>
      </c>
      <c r="D6296" s="6" t="str">
        <f ca="1">IFERROR(__xludf.DUMMYFUNCTION("""COMPUTED_VALUE"""),"LAMPA")</f>
        <v>LAMPA</v>
      </c>
    </row>
    <row r="6297" spans="1:4">
      <c r="A6297" s="7">
        <f ca="1">IFERROR(__xludf.DUMMYFUNCTION("""COMPUTED_VALUE"""),44567)</f>
        <v>44567</v>
      </c>
      <c r="B6297" s="6" t="str">
        <f ca="1">IFERROR(__xludf.DUMMYFUNCTION("""COMPUTED_VALUE"""),"-33.29454-70.88398")</f>
        <v>-33.29454-70.88398</v>
      </c>
      <c r="C6297" s="6" t="str">
        <f ca="1">IFERROR(__xludf.DUMMYFUNCTION("""COMPUTED_VALUE"""),"SAUCE AMARGO 516")</f>
        <v>SAUCE AMARGO 516</v>
      </c>
      <c r="D6297" s="6" t="str">
        <f ca="1">IFERROR(__xludf.DUMMYFUNCTION("""COMPUTED_VALUE"""),"LAMPA")</f>
        <v>LAMPA</v>
      </c>
    </row>
    <row r="6298" spans="1:4">
      <c r="A6298" s="7">
        <f ca="1">IFERROR(__xludf.DUMMYFUNCTION("""COMPUTED_VALUE"""),44567)</f>
        <v>44567</v>
      </c>
      <c r="B6298" s="6" t="str">
        <f ca="1">IFERROR(__xludf.DUMMYFUNCTION("""COMPUTED_VALUE"""),"-33.3266-70.77063")</f>
        <v>-33.3266-70.77063</v>
      </c>
      <c r="C6298" s="6" t="str">
        <f ca="1">IFERROR(__xludf.DUMMYFUNCTION("""COMPUTED_VALUE"""),"CARPINTERO NEGRO 341")</f>
        <v>CARPINTERO NEGRO 341</v>
      </c>
      <c r="D6298" s="6" t="str">
        <f ca="1">IFERROR(__xludf.DUMMYFUNCTION("""COMPUTED_VALUE"""),"LAMPA")</f>
        <v>LAMPA</v>
      </c>
    </row>
    <row r="6299" spans="1:4">
      <c r="A6299" s="7">
        <f ca="1">IFERROR(__xludf.DUMMYFUNCTION("""COMPUTED_VALUE"""),44567)</f>
        <v>44567</v>
      </c>
      <c r="B6299" s="8" t="str">
        <f ca="1">IFERROR(__xludf.DUMMYFUNCTION("""COMPUTED_VALUE"""),"-33.283124,-70.634216")</f>
        <v>-33.283124,-70.634216</v>
      </c>
      <c r="C6299" s="6" t="str">
        <f ca="1">IFERROR(__xludf.DUMMYFUNCTION("""COMPUTED_VALUE"""),"LAS PIRCAS ORIENTE 1198")</f>
        <v>LAS PIRCAS ORIENTE 1198</v>
      </c>
      <c r="D6299" s="6" t="str">
        <f ca="1">IFERROR(__xludf.DUMMYFUNCTION("""COMPUTED_VALUE"""),"COLINA")</f>
        <v>COLINA</v>
      </c>
    </row>
    <row r="6300" spans="1:4">
      <c r="A6300" s="7">
        <f ca="1">IFERROR(__xludf.DUMMYFUNCTION("""COMPUTED_VALUE"""),44567)</f>
        <v>44567</v>
      </c>
      <c r="B6300" s="8" t="str">
        <f ca="1">IFERROR(__xludf.DUMMYFUNCTION("""COMPUTED_VALUE"""),"-33.202456,-70.680783")</f>
        <v>-33.202456,-70.680783</v>
      </c>
      <c r="C6300" s="6" t="str">
        <f ca="1">IFERROR(__xludf.DUMMYFUNCTION("""COMPUTED_VALUE"""),"PJE LAS ÑIPAS 0247 AGAPANTOS")</f>
        <v>PJE LAS ÑIPAS 0247 AGAPANTOS</v>
      </c>
      <c r="D6300" s="6" t="str">
        <f ca="1">IFERROR(__xludf.DUMMYFUNCTION("""COMPUTED_VALUE"""),"COLINA")</f>
        <v>COLINA</v>
      </c>
    </row>
    <row r="6301" spans="1:4">
      <c r="A6301" s="7">
        <f ca="1">IFERROR(__xludf.DUMMYFUNCTION("""COMPUTED_VALUE"""),44567)</f>
        <v>44567</v>
      </c>
      <c r="B6301" s="6" t="str">
        <f ca="1">IFERROR(__xludf.DUMMYFUNCTION("""COMPUTED_VALUE"""),"-33.199465,-70.675926")</f>
        <v>-33.199465,-70.675926</v>
      </c>
      <c r="C6301" s="6" t="str">
        <f ca="1">IFERROR(__xludf.DUMMYFUNCTION("""COMPUTED_VALUE"""),"PJE CALAFQUEN 355")</f>
        <v>PJE CALAFQUEN 355</v>
      </c>
      <c r="D6301" s="6" t="str">
        <f ca="1">IFERROR(__xludf.DUMMYFUNCTION("""COMPUTED_VALUE"""),"COLINA")</f>
        <v>COLINA</v>
      </c>
    </row>
    <row r="6302" spans="1:4">
      <c r="A6302" s="7">
        <f ca="1">IFERROR(__xludf.DUMMYFUNCTION("""COMPUTED_VALUE"""),44567)</f>
        <v>44567</v>
      </c>
      <c r="B6302" s="6" t="str">
        <f ca="1">IFERROR(__xludf.DUMMYFUNCTION("""COMPUTED_VALUE"""),"-33.2769227,-70.888876")</f>
        <v>-33.2769227,-70.888876</v>
      </c>
      <c r="C6302" s="6" t="str">
        <f ca="1">IFERROR(__xludf.DUMMYFUNCTION("""COMPUTED_VALUE"""),"MANUEL RODRIGUEZ 18")</f>
        <v>MANUEL RODRIGUEZ 18</v>
      </c>
      <c r="D6302" s="6" t="str">
        <f ca="1">IFERROR(__xludf.DUMMYFUNCTION("""COMPUTED_VALUE"""),"LAMPA")</f>
        <v>LAMPA</v>
      </c>
    </row>
    <row r="6303" spans="1:4">
      <c r="A6303" s="7">
        <f ca="1">IFERROR(__xludf.DUMMYFUNCTION("""COMPUTED_VALUE"""),44567)</f>
        <v>44567</v>
      </c>
      <c r="B6303" s="6" t="str">
        <f ca="1">IFERROR(__xludf.DUMMYFUNCTION("""COMPUTED_VALUE"""),"-33.734402,-70.864101")</f>
        <v>-33.734402,-70.864101</v>
      </c>
      <c r="C6303" s="6" t="str">
        <f ca="1">IFERROR(__xludf.DUMMYFUNCTION("""COMPUTED_VALUE"""),"EL MAITEN 528")</f>
        <v>EL MAITEN 528</v>
      </c>
      <c r="D6303" s="6" t="str">
        <f ca="1">IFERROR(__xludf.DUMMYFUNCTION("""COMPUTED_VALUE"""),"ISLA DE MAIPO")</f>
        <v>ISLA DE MAIPO</v>
      </c>
    </row>
    <row r="6304" spans="1:4">
      <c r="A6304" s="7">
        <f ca="1">IFERROR(__xludf.DUMMYFUNCTION("""COMPUTED_VALUE"""),44567)</f>
        <v>44567</v>
      </c>
      <c r="B6304" s="6" t="str">
        <f ca="1">IFERROR(__xludf.DUMMYFUNCTION("""COMPUTED_VALUE"""),"-33.740578.-70.864235")</f>
        <v>-33.740578.-70.864235</v>
      </c>
      <c r="C6304" s="6" t="str">
        <f ca="1">IFERROR(__xludf.DUMMYFUNCTION("""COMPUTED_VALUE"""),"VISTA HERMOSA 197")</f>
        <v>VISTA HERMOSA 197</v>
      </c>
      <c r="D6304" s="6" t="str">
        <f ca="1">IFERROR(__xludf.DUMMYFUNCTION("""COMPUTED_VALUE"""),"ISLA DE MAIPO")</f>
        <v>ISLA DE MAIPO</v>
      </c>
    </row>
    <row r="6305" spans="1:4">
      <c r="A6305" s="7">
        <f ca="1">IFERROR(__xludf.DUMMYFUNCTION("""COMPUTED_VALUE"""),44567)</f>
        <v>44567</v>
      </c>
      <c r="B6305" s="6" t="str">
        <f ca="1">IFERROR(__xludf.DUMMYFUNCTION("""COMPUTED_VALUE"""),"-35.450967,-71.678618")</f>
        <v>-35.450967,-71.678618</v>
      </c>
      <c r="C6305" s="6" t="str">
        <f ca="1">IFERROR(__xludf.DUMMYFUNCTION("""COMPUTED_VALUE"""),"CUATRO PONIENTE  01300")</f>
        <v>CUATRO PONIENTE  01300</v>
      </c>
      <c r="D6305" s="6" t="str">
        <f ca="1">IFERROR(__xludf.DUMMYFUNCTION("""COMPUTED_VALUE"""),"TALCA")</f>
        <v>TALCA</v>
      </c>
    </row>
    <row r="6306" spans="1:4">
      <c r="A6306" s="7">
        <f ca="1">IFERROR(__xludf.DUMMYFUNCTION("""COMPUTED_VALUE"""),44567)</f>
        <v>44567</v>
      </c>
      <c r="B6306" s="6" t="str">
        <f ca="1">IFERROR(__xludf.DUMMYFUNCTION("""COMPUTED_VALUE"""),"-35.451158,-71.676194")</f>
        <v>-35.451158,-71.676194</v>
      </c>
      <c r="C6306" s="6" t="str">
        <f ca="1">IFERROR(__xludf.DUMMYFUNCTION("""COMPUTED_VALUE"""),"31 SUR 647")</f>
        <v>31 SUR 647</v>
      </c>
      <c r="D6306" s="6" t="str">
        <f ca="1">IFERROR(__xludf.DUMMYFUNCTION("""COMPUTED_VALUE"""),"TALCA")</f>
        <v>TALCA</v>
      </c>
    </row>
    <row r="6307" spans="1:4">
      <c r="A6307" s="7">
        <f ca="1">IFERROR(__xludf.DUMMYFUNCTION("""COMPUTED_VALUE"""),44567)</f>
        <v>44567</v>
      </c>
      <c r="B6307" s="6" t="str">
        <f ca="1">IFERROR(__xludf.DUMMYFUNCTION("""COMPUTED_VALUE"""),"-35.451692,-71.674740")</f>
        <v>-35.451692,-71.674740</v>
      </c>
      <c r="C6307" s="6" t="str">
        <f ca="1">IFERROR(__xludf.DUMMYFUNCTION("""COMPUTED_VALUE"""),"UNO PONIENTE B 01320")</f>
        <v>UNO PONIENTE B 01320</v>
      </c>
      <c r="D6307" s="6" t="str">
        <f ca="1">IFERROR(__xludf.DUMMYFUNCTION("""COMPUTED_VALUE"""),"TALCA")</f>
        <v>TALCA</v>
      </c>
    </row>
    <row r="6308" spans="1:4">
      <c r="A6308" s="7">
        <f ca="1">IFERROR(__xludf.DUMMYFUNCTION("""COMPUTED_VALUE"""),44567)</f>
        <v>44567</v>
      </c>
      <c r="B6308" s="6" t="str">
        <f ca="1">IFERROR(__xludf.DUMMYFUNCTION("""COMPUTED_VALUE"""),"-35.410826,-71.622668")</f>
        <v>-35.410826,-71.622668</v>
      </c>
      <c r="C6308" s="6" t="str">
        <f ca="1">IFERROR(__xludf.DUMMYFUNCTION("""COMPUTED_VALUE"""),"PA VEINTIUNO NORTE 3136 LOTEO BICENTENARIO II")</f>
        <v>PA VEINTIUNO NORTE 3136 LOTEO BICENTENARIO II</v>
      </c>
      <c r="D6308" s="6" t="str">
        <f ca="1">IFERROR(__xludf.DUMMYFUNCTION("""COMPUTED_VALUE"""),"TALCA")</f>
        <v>TALCA</v>
      </c>
    </row>
    <row r="6309" spans="1:4">
      <c r="A6309" s="7">
        <f ca="1">IFERROR(__xludf.DUMMYFUNCTION("""COMPUTED_VALUE"""),44567)</f>
        <v>44567</v>
      </c>
      <c r="B6309" s="8" t="str">
        <f ca="1">IFERROR(__xludf.DUMMYFUNCTION("""COMPUTED_VALUE"""),"-33.654618,-70.911934")</f>
        <v>-33.654618,-70.911934</v>
      </c>
      <c r="C6309" s="6" t="str">
        <f ca="1">IFERROR(__xludf.DUMMYFUNCTION("""COMPUTED_VALUE"""),"SAN MARTIN 0402")</f>
        <v>SAN MARTIN 0402</v>
      </c>
      <c r="D6309" s="6" t="str">
        <f ca="1">IFERROR(__xludf.DUMMYFUNCTION("""COMPUTED_VALUE"""),"TALAGANTE")</f>
        <v>TALAGANTE</v>
      </c>
    </row>
    <row r="6310" spans="1:4">
      <c r="A6310" s="7">
        <f ca="1">IFERROR(__xludf.DUMMYFUNCTION("""COMPUTED_VALUE"""),44567)</f>
        <v>44567</v>
      </c>
      <c r="B6310" s="8" t="str">
        <f ca="1">IFERROR(__xludf.DUMMYFUNCTION("""COMPUTED_VALUE"""),"-33.772275,-70.826232")</f>
        <v>-33.772275,-70.826232</v>
      </c>
      <c r="C6310" s="6" t="str">
        <f ca="1">IFERROR(__xludf.DUMMYFUNCTION("""COMPUTED_VALUE"""),"LA ALBORADA SITIO 13")</f>
        <v>LA ALBORADA SITIO 13</v>
      </c>
      <c r="D6310" s="6" t="str">
        <f ca="1">IFERROR(__xludf.DUMMYFUNCTION("""COMPUTED_VALUE"""),"BUIN")</f>
        <v>BUIN</v>
      </c>
    </row>
    <row r="6311" spans="1:4">
      <c r="A6311" s="7">
        <f ca="1">IFERROR(__xludf.DUMMYFUNCTION("""COMPUTED_VALUE"""),44567)</f>
        <v>44567</v>
      </c>
      <c r="B6311" s="8" t="str">
        <f ca="1">IFERROR(__xludf.DUMMYFUNCTION("""COMPUTED_VALUE"""),"-33.741951,-70.898346")</f>
        <v>-33.741951,-70.898346</v>
      </c>
      <c r="C6311" s="6" t="str">
        <f ca="1">IFERROR(__xludf.DUMMYFUNCTION("""COMPUTED_VALUE"""),"SAN ESTEBAN 322")</f>
        <v>SAN ESTEBAN 322</v>
      </c>
      <c r="D6311" s="6" t="str">
        <f ca="1">IFERROR(__xludf.DUMMYFUNCTION("""COMPUTED_VALUE"""),"ISLA DE MAIPO")</f>
        <v>ISLA DE MAIPO</v>
      </c>
    </row>
    <row r="6312" spans="1:4">
      <c r="A6312" s="7">
        <f ca="1">IFERROR(__xludf.DUMMYFUNCTION("""COMPUTED_VALUE"""),44567)</f>
        <v>44567</v>
      </c>
      <c r="B6312" s="8" t="str">
        <f ca="1">IFERROR(__xludf.DUMMYFUNCTION("""COMPUTED_VALUE"""),"-33.808178,-71.297212")</f>
        <v>-33.808178,-71.297212</v>
      </c>
      <c r="C6312" s="6" t="str">
        <f ca="1">IFERROR(__xludf.DUMMYFUNCTION("""COMPUTED_VALUE"""),"SECTOR 4 POPETA ")</f>
        <v xml:space="preserve">SECTOR 4 POPETA </v>
      </c>
      <c r="D6312" s="6" t="str">
        <f ca="1">IFERROR(__xludf.DUMMYFUNCTION("""COMPUTED_VALUE"""),"MELIPILLA")</f>
        <v>MELIPILLA</v>
      </c>
    </row>
    <row r="6313" spans="1:4">
      <c r="A6313" s="7">
        <f ca="1">IFERROR(__xludf.DUMMYFUNCTION("""COMPUTED_VALUE"""),44567)</f>
        <v>44567</v>
      </c>
      <c r="B6313" s="6" t="str">
        <f ca="1">IFERROR(__xludf.DUMMYFUNCTION("""COMPUTED_VALUE"""),"-33.054891-71.400027")</f>
        <v>-33.054891-71.400027</v>
      </c>
      <c r="C6313" s="6" t="str">
        <f ca="1">IFERROR(__xludf.DUMMYFUNCTION("""COMPUTED_VALUE"""),"MADRID 637")</f>
        <v>MADRID 637</v>
      </c>
      <c r="D6313" s="6" t="str">
        <f ca="1">IFERROR(__xludf.DUMMYFUNCTION("""COMPUTED_VALUE"""),"QUILPUÉ")</f>
        <v>QUILPUÉ</v>
      </c>
    </row>
    <row r="6314" spans="1:4">
      <c r="A6314" s="7">
        <f ca="1">IFERROR(__xludf.DUMMYFUNCTION("""COMPUTED_VALUE"""),44567)</f>
        <v>44567</v>
      </c>
      <c r="B6314" s="6" t="str">
        <f ca="1">IFERROR(__xludf.DUMMYFUNCTION("""COMPUTED_VALUE"""),"-33.072013-71.423087")</f>
        <v>-33.072013-71.423087</v>
      </c>
      <c r="C6314" s="6" t="str">
        <f ca="1">IFERROR(__xludf.DUMMYFUNCTION("""COMPUTED_VALUE"""),"VALLE ESPERANZA 2725")</f>
        <v>VALLE ESPERANZA 2725</v>
      </c>
      <c r="D6314" s="6" t="str">
        <f ca="1">IFERROR(__xludf.DUMMYFUNCTION("""COMPUTED_VALUE"""),"QUILPUÉ")</f>
        <v>QUILPUÉ</v>
      </c>
    </row>
    <row r="6315" spans="1:4">
      <c r="A6315" s="7">
        <f ca="1">IFERROR(__xludf.DUMMYFUNCTION("""COMPUTED_VALUE"""),44567)</f>
        <v>44567</v>
      </c>
      <c r="B6315" s="6" t="str">
        <f ca="1">IFERROR(__xludf.DUMMYFUNCTION("""COMPUTED_VALUE"""),"-33.072012-71.423916")</f>
        <v>-33.072012-71.423916</v>
      </c>
      <c r="C6315" s="6" t="str">
        <f ca="1">IFERROR(__xludf.DUMMYFUNCTION("""COMPUTED_VALUE"""),"VALLE ESPERANZA 2708")</f>
        <v>VALLE ESPERANZA 2708</v>
      </c>
      <c r="D6315" s="6" t="str">
        <f ca="1">IFERROR(__xludf.DUMMYFUNCTION("""COMPUTED_VALUE"""),"QUILPUÉ")</f>
        <v>QUILPUÉ</v>
      </c>
    </row>
    <row r="6316" spans="1:4">
      <c r="A6316" s="7">
        <f ca="1">IFERROR(__xludf.DUMMYFUNCTION("""COMPUTED_VALUE"""),44568)</f>
        <v>44568</v>
      </c>
      <c r="B6316" s="8" t="str">
        <f ca="1">IFERROR(__xludf.DUMMYFUNCTION("""COMPUTED_VALUE"""),"-33.732816-71.032564")</f>
        <v>-33.732816-71.032564</v>
      </c>
      <c r="C6316" s="6" t="str">
        <f ca="1">IFERROR(__xludf.DUMMYFUNCTION("""COMPUTED_VALUE"""),"EUCALIPTUS S/N P/4")</f>
        <v>EUCALIPTUS S/N P/4</v>
      </c>
      <c r="D6316" s="6" t="str">
        <f ca="1">IFERROR(__xludf.DUMMYFUNCTION("""COMPUTED_VALUE"""),"ISLA DE MAIPO")</f>
        <v>ISLA DE MAIPO</v>
      </c>
    </row>
    <row r="6317" spans="1:4">
      <c r="A6317" s="7">
        <f ca="1">IFERROR(__xludf.DUMMYFUNCTION("""COMPUTED_VALUE"""),44568)</f>
        <v>44568</v>
      </c>
      <c r="B6317" s="8" t="str">
        <f ca="1">IFERROR(__xludf.DUMMYFUNCTION("""COMPUTED_VALUE"""),"-33.73338-71.02222")</f>
        <v>-33.73338-71.02222</v>
      </c>
      <c r="C6317" s="6" t="str">
        <f ca="1">IFERROR(__xludf.DUMMYFUNCTION("""COMPUTED_VALUE"""),"EL ESTABLO  15")</f>
        <v>EL ESTABLO  15</v>
      </c>
      <c r="D6317" s="6" t="str">
        <f ca="1">IFERROR(__xludf.DUMMYFUNCTION("""COMPUTED_VALUE"""),"ISLA DE MAIPO")</f>
        <v>ISLA DE MAIPO</v>
      </c>
    </row>
    <row r="6318" spans="1:4">
      <c r="A6318" s="7">
        <f ca="1">IFERROR(__xludf.DUMMYFUNCTION("""COMPUTED_VALUE"""),44568)</f>
        <v>44568</v>
      </c>
      <c r="B6318" s="8" t="str">
        <f ca="1">IFERROR(__xludf.DUMMYFUNCTION("""COMPUTED_VALUE"""),"-33.739120-70.866366")</f>
        <v>-33.739120-70.866366</v>
      </c>
      <c r="C6318" s="6" t="str">
        <f ca="1">IFERROR(__xludf.DUMMYFUNCTION("""COMPUTED_VALUE"""),"PASAJE CINCO 4226")</f>
        <v>PASAJE CINCO 4226</v>
      </c>
      <c r="D6318" s="6" t="str">
        <f ca="1">IFERROR(__xludf.DUMMYFUNCTION("""COMPUTED_VALUE"""),"ISLA DE MAIPO")</f>
        <v>ISLA DE MAIPO</v>
      </c>
    </row>
    <row r="6319" spans="1:4">
      <c r="A6319" s="7">
        <f ca="1">IFERROR(__xludf.DUMMYFUNCTION("""COMPUTED_VALUE"""),44568)</f>
        <v>44568</v>
      </c>
      <c r="B6319" s="8" t="str">
        <f ca="1">IFERROR(__xludf.DUMMYFUNCTION("""COMPUTED_VALUE"""),"-33.739472-70.866353")</f>
        <v>-33.739472-70.866353</v>
      </c>
      <c r="C6319" s="6" t="str">
        <f ca="1">IFERROR(__xludf.DUMMYFUNCTION("""COMPUTED_VALUE"""),"VISTA HERMOSA 407")</f>
        <v>VISTA HERMOSA 407</v>
      </c>
      <c r="D6319" s="6" t="str">
        <f ca="1">IFERROR(__xludf.DUMMYFUNCTION("""COMPUTED_VALUE"""),"ISLA DE MAIPO")</f>
        <v>ISLA DE MAIPO</v>
      </c>
    </row>
    <row r="6320" spans="1:4">
      <c r="A6320" s="7">
        <f ca="1">IFERROR(__xludf.DUMMYFUNCTION("""COMPUTED_VALUE"""),44568)</f>
        <v>44568</v>
      </c>
      <c r="B6320" s="6" t="str">
        <f ca="1">IFERROR(__xludf.DUMMYFUNCTION("""COMPUTED_VALUE"""),"-33.6348139-70.3474411")</f>
        <v>-33.6348139-70.3474411</v>
      </c>
      <c r="C6320" s="6" t="str">
        <f ca="1">IFERROR(__xludf.DUMMYFUNCTION("""COMPUTED_VALUE"""),"AV. CEMENTERIO 19058")</f>
        <v>AV. CEMENTERIO 19058</v>
      </c>
      <c r="D6320" s="6" t="str">
        <f ca="1">IFERROR(__xludf.DUMMYFUNCTION("""COMPUTED_VALUE"""),"SAN JOSE DE MAIPO")</f>
        <v>SAN JOSE DE MAIPO</v>
      </c>
    </row>
    <row r="6321" spans="1:4">
      <c r="A6321" s="7">
        <f ca="1">IFERROR(__xludf.DUMMYFUNCTION("""COMPUTED_VALUE"""),44568)</f>
        <v>44568</v>
      </c>
      <c r="B6321" s="8" t="str">
        <f ca="1">IFERROR(__xludf.DUMMYFUNCTION("""COMPUTED_VALUE"""),"-33.673762,-70.989206")</f>
        <v>-33.673762,-70.989206</v>
      </c>
      <c r="C6321" s="6" t="str">
        <f ca="1">IFERROR(__xludf.DUMMYFUNCTION("""COMPUTED_VALUE"""),"LOS CEREZOS 635")</f>
        <v>LOS CEREZOS 635</v>
      </c>
      <c r="D6321" s="6" t="str">
        <f ca="1">IFERROR(__xludf.DUMMYFUNCTION("""COMPUTED_VALUE"""),"EL MONTE")</f>
        <v>EL MONTE</v>
      </c>
    </row>
    <row r="6322" spans="1:4">
      <c r="A6322" s="7">
        <f ca="1">IFERROR(__xludf.DUMMYFUNCTION("""COMPUTED_VALUE"""),44568)</f>
        <v>44568</v>
      </c>
      <c r="B6322" s="8" t="str">
        <f ca="1">IFERROR(__xludf.DUMMYFUNCTION("""COMPUTED_VALUE"""),"-34.026070,-71.104390")</f>
        <v>-34.026070,-71.104390</v>
      </c>
      <c r="C6322" s="6" t="str">
        <f ca="1">IFERROR(__xludf.DUMMYFUNCTION("""COMPUTED_VALUE"""),"LOS NOGALES 319")</f>
        <v>LOS NOGALES 319</v>
      </c>
      <c r="D6322" s="6" t="str">
        <f ca="1">IFERROR(__xludf.DUMMYFUNCTION("""COMPUTED_VALUE"""),"ALHUÉ")</f>
        <v>ALHUÉ</v>
      </c>
    </row>
    <row r="6323" spans="1:4">
      <c r="A6323" s="7">
        <f ca="1">IFERROR(__xludf.DUMMYFUNCTION("""COMPUTED_VALUE"""),44568)</f>
        <v>44568</v>
      </c>
      <c r="B6323" s="8" t="str">
        <f ca="1">IFERROR(__xludf.DUMMYFUNCTION("""COMPUTED_VALUE"""),"-33.725949,-70.742207")</f>
        <v>-33.725949,-70.742207</v>
      </c>
      <c r="C6323" s="6" t="str">
        <f ca="1">IFERROR(__xludf.DUMMYFUNCTION("""COMPUTED_VALUE"""),"OSVALDO WENSELL 459")</f>
        <v>OSVALDO WENSELL 459</v>
      </c>
      <c r="D6323" s="6" t="str">
        <f ca="1">IFERROR(__xludf.DUMMYFUNCTION("""COMPUTED_VALUE"""),"BUIN")</f>
        <v>BUIN</v>
      </c>
    </row>
    <row r="6324" spans="1:4">
      <c r="A6324" s="7">
        <f ca="1">IFERROR(__xludf.DUMMYFUNCTION("""COMPUTED_VALUE"""),44568)</f>
        <v>44568</v>
      </c>
      <c r="B6324" s="8" t="str">
        <f ca="1">IFERROR(__xludf.DUMMYFUNCTION("""COMPUTED_VALUE"""),"-33.740896,-70.677418")</f>
        <v>-33.740896,-70.677418</v>
      </c>
      <c r="C6324" s="6" t="str">
        <f ca="1">IFERROR(__xludf.DUMMYFUNCTION("""COMPUTED_VALUE"""),"ROUSSENE 48B")</f>
        <v>ROUSSENE 48B</v>
      </c>
      <c r="D6324" s="6" t="str">
        <f ca="1">IFERROR(__xludf.DUMMYFUNCTION("""COMPUTED_VALUE"""),"BUIN")</f>
        <v>BUIN</v>
      </c>
    </row>
    <row r="6325" spans="1:4">
      <c r="A6325" s="7">
        <f ca="1">IFERROR(__xludf.DUMMYFUNCTION("""COMPUTED_VALUE"""),44568)</f>
        <v>44568</v>
      </c>
      <c r="B6325" s="8" t="str">
        <f ca="1">IFERROR(__xludf.DUMMYFUNCTION("""COMPUTED_VALUE"""),"-33.796909,-71.301343")</f>
        <v>-33.796909,-71.301343</v>
      </c>
      <c r="C6325" s="6" t="str">
        <f ca="1">IFERROR(__xludf.DUMMYFUNCTION("""COMPUTED_VALUE"""),"RAULEN C42")</f>
        <v>RAULEN C42</v>
      </c>
      <c r="D6325" s="6" t="str">
        <f ca="1">IFERROR(__xludf.DUMMYFUNCTION("""COMPUTED_VALUE"""),"MELIPILLA")</f>
        <v>MELIPILLA</v>
      </c>
    </row>
    <row r="6326" spans="1:4">
      <c r="A6326" s="7">
        <f ca="1">IFERROR(__xludf.DUMMYFUNCTION("""COMPUTED_VALUE"""),44568)</f>
        <v>44568</v>
      </c>
      <c r="B6326" s="6" t="str">
        <f ca="1">IFERROR(__xludf.DUMMYFUNCTION("""COMPUTED_VALUE"""),"-33.209934,-70.691174")</f>
        <v>-33.209934,-70.691174</v>
      </c>
      <c r="C6326" s="6" t="str">
        <f ca="1">IFERROR(__xludf.DUMMYFUNCTION("""COMPUTED_VALUE"""),"LOS LIMONEROS LOTE 14 A3")</f>
        <v>LOS LIMONEROS LOTE 14 A3</v>
      </c>
      <c r="D6326" s="6" t="str">
        <f ca="1">IFERROR(__xludf.DUMMYFUNCTION("""COMPUTED_VALUE"""),"COLINA")</f>
        <v>COLINA</v>
      </c>
    </row>
    <row r="6327" spans="1:4">
      <c r="A6327" s="7">
        <f ca="1">IFERROR(__xludf.DUMMYFUNCTION("""COMPUTED_VALUE"""),44569)</f>
        <v>44569</v>
      </c>
      <c r="B6327" s="6" t="str">
        <f ca="1">IFERROR(__xludf.DUMMYFUNCTION("""COMPUTED_VALUE"""),"-33.076316-71.424502")</f>
        <v>-33.076316-71.424502</v>
      </c>
      <c r="C6327" s="6" t="str">
        <f ca="1">IFERROR(__xludf.DUMMYFUNCTION("""COMPUTED_VALUE"""),"ANDRES RIVANERO 2766")</f>
        <v>ANDRES RIVANERO 2766</v>
      </c>
      <c r="D6327" s="6" t="str">
        <f ca="1">IFERROR(__xludf.DUMMYFUNCTION("""COMPUTED_VALUE"""),"QUILPUÉ")</f>
        <v>QUILPUÉ</v>
      </c>
    </row>
    <row r="6328" spans="1:4">
      <c r="A6328" s="7">
        <f ca="1">IFERROR(__xludf.DUMMYFUNCTION("""COMPUTED_VALUE"""),44569)</f>
        <v>44569</v>
      </c>
      <c r="B6328" s="6" t="str">
        <f ca="1">IFERROR(__xludf.DUMMYFUNCTION("""COMPUTED_VALUE"""),"-33.041115-71.402516")</f>
        <v>-33.041115-71.402516</v>
      </c>
      <c r="C6328" s="6" t="str">
        <f ca="1">IFERROR(__xludf.DUMMYFUNCTION("""COMPUTED_VALUE"""),"LINCOYAN 502")</f>
        <v>LINCOYAN 502</v>
      </c>
      <c r="D6328" s="6" t="str">
        <f ca="1">IFERROR(__xludf.DUMMYFUNCTION("""COMPUTED_VALUE"""),"QUILPUÉ")</f>
        <v>QUILPUÉ</v>
      </c>
    </row>
    <row r="6329" spans="1:4">
      <c r="A6329" s="7">
        <f ca="1">IFERROR(__xludf.DUMMYFUNCTION("""COMPUTED_VALUE"""),44570)</f>
        <v>44570</v>
      </c>
      <c r="B6329" s="6" t="str">
        <f ca="1">IFERROR(__xludf.DUMMYFUNCTION("""COMPUTED_VALUE"""),"-33.643045.-70.591896")</f>
        <v>-33.643045.-70.591896</v>
      </c>
      <c r="C6329" s="6" t="str">
        <f ca="1">IFERROR(__xludf.DUMMYFUNCTION("""COMPUTED_VALUE"""),"VIRGINIA SUBERCASAUX 1765")</f>
        <v>VIRGINIA SUBERCASAUX 1765</v>
      </c>
      <c r="D6329" s="6" t="str">
        <f ca="1">IFERROR(__xludf.DUMMYFUNCTION("""COMPUTED_VALUE"""),"PIRQUE")</f>
        <v>PIRQUE</v>
      </c>
    </row>
    <row r="6330" spans="1:4">
      <c r="A6330" s="7">
        <f ca="1">IFERROR(__xludf.DUMMYFUNCTION("""COMPUTED_VALUE"""),44570)</f>
        <v>44570</v>
      </c>
      <c r="B6330" s="6" t="str">
        <f ca="1">IFERROR(__xludf.DUMMYFUNCTION("""COMPUTED_VALUE"""),"-33.061606-71.411366")</f>
        <v>-33.061606-71.411366</v>
      </c>
      <c r="C6330" s="6" t="str">
        <f ca="1">IFERROR(__xludf.DUMMYFUNCTION("""COMPUTED_VALUE"""),"TRONCO VIEJO 806")</f>
        <v>TRONCO VIEJO 806</v>
      </c>
      <c r="D6330" s="6" t="str">
        <f ca="1">IFERROR(__xludf.DUMMYFUNCTION("""COMPUTED_VALUE"""),"QUILPUÉ")</f>
        <v>QUILPUÉ</v>
      </c>
    </row>
    <row r="6331" spans="1:4">
      <c r="A6331" s="7">
        <f ca="1">IFERROR(__xludf.DUMMYFUNCTION("""COMPUTED_VALUE"""),44570)</f>
        <v>44570</v>
      </c>
      <c r="B6331" s="6" t="str">
        <f ca="1">IFERROR(__xludf.DUMMYFUNCTION("""COMPUTED_VALUE"""),"-33.047758-71.457640")</f>
        <v>-33.047758-71.457640</v>
      </c>
      <c r="C6331" s="6" t="str">
        <f ca="1">IFERROR(__xludf.DUMMYFUNCTION("""COMPUTED_VALUE"""),"DARWIN 0159")</f>
        <v>DARWIN 0159</v>
      </c>
      <c r="D6331" s="6" t="str">
        <f ca="1">IFERROR(__xludf.DUMMYFUNCTION("""COMPUTED_VALUE"""),"QUILPUÉ")</f>
        <v>QUILPUÉ</v>
      </c>
    </row>
    <row r="6332" spans="1:4">
      <c r="A6332" s="7">
        <f ca="1">IFERROR(__xludf.DUMMYFUNCTION("""COMPUTED_VALUE"""),44571)</f>
        <v>44571</v>
      </c>
      <c r="B6332" s="6" t="str">
        <f ca="1">IFERROR(__xludf.DUMMYFUNCTION("""COMPUTED_VALUE"""),"-33.6395711-70.3940782")</f>
        <v>-33.6395711-70.3940782</v>
      </c>
      <c r="C6332" s="6" t="str">
        <f ca="1">IFERROR(__xludf.DUMMYFUNCTION("""COMPUTED_VALUE"""),"CALLE DEL RIO 19650")</f>
        <v>CALLE DEL RIO 19650</v>
      </c>
      <c r="D6332" s="6" t="str">
        <f ca="1">IFERROR(__xludf.DUMMYFUNCTION("""COMPUTED_VALUE"""),"SAN JOSE DE MAIPO")</f>
        <v>SAN JOSE DE MAIPO</v>
      </c>
    </row>
    <row r="6333" spans="1:4">
      <c r="A6333" s="7">
        <f ca="1">IFERROR(__xludf.DUMMYFUNCTION("""COMPUTED_VALUE"""),44571)</f>
        <v>44571</v>
      </c>
      <c r="B6333" s="6" t="str">
        <f ca="1">IFERROR(__xludf.DUMMYFUNCTION("""COMPUTED_VALUE"""),"-33.637617-70.3508691")</f>
        <v>-33.637617-70.3508691</v>
      </c>
      <c r="C6333" s="6" t="str">
        <f ca="1">IFERROR(__xludf.DUMMYFUNCTION("""COMPUTED_VALUE"""),"DEL CERRO S/N")</f>
        <v>DEL CERRO S/N</v>
      </c>
      <c r="D6333" s="6" t="str">
        <f ca="1">IFERROR(__xludf.DUMMYFUNCTION("""COMPUTED_VALUE"""),"SAN JOSE DE MAIPO")</f>
        <v>SAN JOSE DE MAIPO</v>
      </c>
    </row>
    <row r="6334" spans="1:4">
      <c r="A6334" s="7">
        <f ca="1">IFERROR(__xludf.DUMMYFUNCTION("""COMPUTED_VALUE"""),44571)</f>
        <v>44571</v>
      </c>
      <c r="B6334" s="6" t="str">
        <f ca="1">IFERROR(__xludf.DUMMYFUNCTION("""COMPUTED_VALUE"""),"-33.731632,-71.023155")</f>
        <v>-33.731632,-71.023155</v>
      </c>
      <c r="C6334" s="6" t="str">
        <f ca="1">IFERROR(__xludf.DUMMYFUNCTION("""COMPUTED_VALUE"""),"LOS ENCINOS 14")</f>
        <v>LOS ENCINOS 14</v>
      </c>
      <c r="D6334" s="6" t="str">
        <f ca="1">IFERROR(__xludf.DUMMYFUNCTION("""COMPUTED_VALUE"""),"ISLA DE MAIPO")</f>
        <v>ISLA DE MAIPO</v>
      </c>
    </row>
    <row r="6335" spans="1:4">
      <c r="A6335" s="7">
        <f ca="1">IFERROR(__xludf.DUMMYFUNCTION("""COMPUTED_VALUE"""),44571)</f>
        <v>44571</v>
      </c>
      <c r="B6335" s="6" t="str">
        <f ca="1">IFERROR(__xludf.DUMMYFUNCTION("""COMPUTED_VALUE"""),"-33.679778,-70.947362")</f>
        <v>-33.679778,-70.947362</v>
      </c>
      <c r="C6335" s="6" t="str">
        <f ca="1">IFERROR(__xludf.DUMMYFUNCTION("""COMPUTED_VALUE"""),"CARL RITIER 1159 ")</f>
        <v xml:space="preserve">CARL RITIER 1159 </v>
      </c>
      <c r="D6335" s="6" t="str">
        <f ca="1">IFERROR(__xludf.DUMMYFUNCTION("""COMPUTED_VALUE"""),"TALAGANTE")</f>
        <v>TALAGANTE</v>
      </c>
    </row>
    <row r="6336" spans="1:4">
      <c r="A6336" s="7">
        <f ca="1">IFERROR(__xludf.DUMMYFUNCTION("""COMPUTED_VALUE"""),44571)</f>
        <v>44571</v>
      </c>
      <c r="B6336" s="8" t="str">
        <f ca="1">IFERROR(__xludf.DUMMYFUNCTION("""COMPUTED_VALUE"""),"-34.045909,-71.232583")</f>
        <v>-34.045909,-71.232583</v>
      </c>
      <c r="C6336" s="6" t="str">
        <f ca="1">IFERROR(__xludf.DUMMYFUNCTION("""COMPUTED_VALUE"""),"CAMINO EL LLANO S/N LA LINEA")</f>
        <v>CAMINO EL LLANO S/N LA LINEA</v>
      </c>
      <c r="D6336" s="6" t="str">
        <f ca="1">IFERROR(__xludf.DUMMYFUNCTION("""COMPUTED_VALUE"""),"ALHUÉ")</f>
        <v>ALHUÉ</v>
      </c>
    </row>
    <row r="6337" spans="1:4">
      <c r="A6337" s="7">
        <f ca="1">IFERROR(__xludf.DUMMYFUNCTION("""COMPUTED_VALUE"""),44571)</f>
        <v>44571</v>
      </c>
      <c r="B6337" s="8" t="str">
        <f ca="1">IFERROR(__xludf.DUMMYFUNCTION("""COMPUTED_VALUE"""),"-34.041407,-71.227457")</f>
        <v>-34.041407,-71.227457</v>
      </c>
      <c r="C6337" s="6" t="str">
        <f ca="1">IFERROR(__xludf.DUMMYFUNCTION("""COMPUTED_VALUE"""),"la linea s/n ")</f>
        <v xml:space="preserve">la linea s/n </v>
      </c>
      <c r="D6337" s="6" t="str">
        <f ca="1">IFERROR(__xludf.DUMMYFUNCTION("""COMPUTED_VALUE"""),"ALHUÉ")</f>
        <v>ALHUÉ</v>
      </c>
    </row>
    <row r="6338" spans="1:4">
      <c r="A6338" s="7">
        <f ca="1">IFERROR(__xludf.DUMMYFUNCTION("""COMPUTED_VALUE"""),44571)</f>
        <v>44571</v>
      </c>
      <c r="B6338" s="8" t="str">
        <f ca="1">IFERROR(__xludf.DUMMYFUNCTION("""COMPUTED_VALUE"""),"-33.430775,-70.411167")</f>
        <v>-33.430775,-70.411167</v>
      </c>
      <c r="C6338" s="6" t="str">
        <f ca="1">IFERROR(__xludf.DUMMYFUNCTION("""COMPUTED_VALUE"""),"EL MOLINO 381")</f>
        <v>EL MOLINO 381</v>
      </c>
      <c r="D6338" s="6" t="str">
        <f ca="1">IFERROR(__xludf.DUMMYFUNCTION("""COMPUTED_VALUE"""),"BUIN")</f>
        <v>BUIN</v>
      </c>
    </row>
    <row r="6339" spans="1:4">
      <c r="A6339" s="7">
        <f ca="1">IFERROR(__xludf.DUMMYFUNCTION("""COMPUTED_VALUE"""),44571)</f>
        <v>44571</v>
      </c>
      <c r="B6339" s="8" t="str">
        <f ca="1">IFERROR(__xludf.DUMMYFUNCTION("""COMPUTED_VALUE"""),"-33.717340,-70.741044")</f>
        <v>-33.717340,-70.741044</v>
      </c>
      <c r="C6339" s="6" t="str">
        <f ca="1">IFERROR(__xludf.DUMMYFUNCTION("""COMPUTED_VALUE"""),"MIGUEL CASTRO 842")</f>
        <v>MIGUEL CASTRO 842</v>
      </c>
      <c r="D6339" s="6" t="str">
        <f ca="1">IFERROR(__xludf.DUMMYFUNCTION("""COMPUTED_VALUE"""),"BUIN")</f>
        <v>BUIN</v>
      </c>
    </row>
    <row r="6340" spans="1:4">
      <c r="A6340" s="7">
        <f ca="1">IFERROR(__xludf.DUMMYFUNCTION("""COMPUTED_VALUE"""),44571)</f>
        <v>44571</v>
      </c>
      <c r="B6340" s="6" t="str">
        <f ca="1">IFERROR(__xludf.DUMMYFUNCTION("""COMPUTED_VALUE"""),"-33.803061,-70.717244")</f>
        <v>-33.803061,-70.717244</v>
      </c>
      <c r="C6340" s="6" t="str">
        <f ca="1">IFERROR(__xludf.DUMMYFUNCTION("""COMPUTED_VALUE"""),"COND. LOS LAURELES 219 CASA T")</f>
        <v>COND. LOS LAURELES 219 CASA T</v>
      </c>
      <c r="D6340" s="6" t="str">
        <f ca="1">IFERROR(__xludf.DUMMYFUNCTION("""COMPUTED_VALUE"""),"PAINE")</f>
        <v>PAINE</v>
      </c>
    </row>
    <row r="6341" spans="1:4">
      <c r="A6341" s="7">
        <f ca="1">IFERROR(__xludf.DUMMYFUNCTION("""COMPUTED_VALUE"""),44571)</f>
        <v>44571</v>
      </c>
      <c r="B6341" s="6" t="str">
        <f ca="1">IFERROR(__xludf.DUMMYFUNCTION("""COMPUTED_VALUE"""),"-33.825659,-70.732967")</f>
        <v>-33.825659,-70.732967</v>
      </c>
      <c r="C6341" s="6" t="str">
        <f ca="1">IFERROR(__xludf.DUMMYFUNCTION("""COMPUTED_VALUE"""),"CO LOS COPIHUES 4")</f>
        <v>CO LOS COPIHUES 4</v>
      </c>
      <c r="D6341" s="6" t="str">
        <f ca="1">IFERROR(__xludf.DUMMYFUNCTION("""COMPUTED_VALUE"""),"PAINE")</f>
        <v>PAINE</v>
      </c>
    </row>
    <row r="6342" spans="1:4">
      <c r="A6342" s="7">
        <f ca="1">IFERROR(__xludf.DUMMYFUNCTION("""COMPUTED_VALUE"""),44572)</f>
        <v>44572</v>
      </c>
      <c r="B6342" s="8" t="str">
        <f ca="1">IFERROR(__xludf.DUMMYFUNCTION("""COMPUTED_VALUE"""),"-33.573033-71.200233")</f>
        <v>-33.573033-71.200233</v>
      </c>
      <c r="C6342" s="6" t="str">
        <f ca="1">IFERROR(__xludf.DUMMYFUNCTION("""COMPUTED_VALUE"""),"LOS CARRERAS 230 BOLLENAR")</f>
        <v>LOS CARRERAS 230 BOLLENAR</v>
      </c>
      <c r="D6342" s="6" t="str">
        <f ca="1">IFERROR(__xludf.DUMMYFUNCTION("""COMPUTED_VALUE"""),"MELIPILLA")</f>
        <v>MELIPILLA</v>
      </c>
    </row>
    <row r="6343" spans="1:4">
      <c r="A6343" s="7">
        <f ca="1">IFERROR(__xludf.DUMMYFUNCTION("""COMPUTED_VALUE"""),44572)</f>
        <v>44572</v>
      </c>
      <c r="B6343" s="8" t="str">
        <f ca="1">IFERROR(__xludf.DUMMYFUNCTION("""COMPUTED_VALUE"""),"-33.5187885 -71.1231638")</f>
        <v>-33.5187885 -71.1231638</v>
      </c>
      <c r="C6343" s="6" t="str">
        <f ca="1">IFERROR(__xludf.DUMMYFUNCTION("""COMPUTED_VALUE"""),"DIEGO PORTALES 192")</f>
        <v>DIEGO PORTALES 192</v>
      </c>
      <c r="D6343" s="6" t="str">
        <f ca="1">IFERROR(__xludf.DUMMYFUNCTION("""COMPUTED_VALUE"""),"MARIA PINTO")</f>
        <v>MARIA PINTO</v>
      </c>
    </row>
    <row r="6344" spans="1:4">
      <c r="A6344" s="7">
        <f ca="1">IFERROR(__xludf.DUMMYFUNCTION("""COMPUTED_VALUE"""),44572)</f>
        <v>44572</v>
      </c>
      <c r="B6344" s="8" t="str">
        <f ca="1">IFERROR(__xludf.DUMMYFUNCTION("""COMPUTED_VALUE"""),"-33.484250-71.139252")</f>
        <v>-33.484250-71.139252</v>
      </c>
      <c r="C6344" s="6" t="str">
        <f ca="1">IFERROR(__xludf.DUMMYFUNCTION("""COMPUTED_VALUE"""),"EL REDIL CV44,")</f>
        <v>EL REDIL CV44,</v>
      </c>
      <c r="D6344" s="6" t="str">
        <f ca="1">IFERROR(__xludf.DUMMYFUNCTION("""COMPUTED_VALUE"""),"MARIA PINTO")</f>
        <v>MARIA PINTO</v>
      </c>
    </row>
    <row r="6345" spans="1:4">
      <c r="A6345" s="7">
        <f ca="1">IFERROR(__xludf.DUMMYFUNCTION("""COMPUTED_VALUE"""),44572)</f>
        <v>44572</v>
      </c>
      <c r="B6345" s="6" t="str">
        <f ca="1">IFERROR(__xludf.DUMMYFUNCTION("""COMPUTED_VALUE"""),"-33.181695-70.50228")</f>
        <v>-33.181695-70.50228</v>
      </c>
      <c r="C6345" s="6" t="str">
        <f ca="1">IFERROR(__xludf.DUMMYFUNCTION("""COMPUTED_VALUE"""),"SN LOTE 13 CA1")</f>
        <v>SN LOTE 13 CA1</v>
      </c>
      <c r="D6345" s="6" t="str">
        <f ca="1">IFERROR(__xludf.DUMMYFUNCTION("""COMPUTED_VALUE"""),"LAMPA")</f>
        <v>LAMPA</v>
      </c>
    </row>
    <row r="6346" spans="1:4">
      <c r="A6346" s="7">
        <f ca="1">IFERROR(__xludf.DUMMYFUNCTION("""COMPUTED_VALUE"""),44572)</f>
        <v>44572</v>
      </c>
      <c r="B6346" s="6" t="str">
        <f ca="1">IFERROR(__xludf.DUMMYFUNCTION("""COMPUTED_VALUE"""),"-33.45195-71.02667")</f>
        <v>-33.45195-71.02667</v>
      </c>
      <c r="C6346" s="6" t="str">
        <f ca="1">IFERROR(__xludf.DUMMYFUNCTION("""COMPUTED_VALUE"""),"UNION CHILENA S-26 L-2")</f>
        <v>UNION CHILENA S-26 L-2</v>
      </c>
      <c r="D6346" s="6" t="str">
        <f ca="1">IFERROR(__xludf.DUMMYFUNCTION("""COMPUTED_VALUE"""),"CURACAVI")</f>
        <v>CURACAVI</v>
      </c>
    </row>
    <row r="6347" spans="1:4">
      <c r="A6347" s="7">
        <f ca="1">IFERROR(__xludf.DUMMYFUNCTION("""COMPUTED_VALUE"""),44572)</f>
        <v>44572</v>
      </c>
      <c r="B6347" s="6" t="str">
        <f ca="1">IFERROR(__xludf.DUMMYFUNCTION("""COMPUTED_VALUE"""),"-33.45411-71.03176")</f>
        <v>-33.45411-71.03176</v>
      </c>
      <c r="C6347" s="6" t="str">
        <f ca="1">IFERROR(__xludf.DUMMYFUNCTION("""COMPUTED_VALUE"""),"BATALLA SAN JUAN PARC 16")</f>
        <v>BATALLA SAN JUAN PARC 16</v>
      </c>
      <c r="D6347" s="6" t="str">
        <f ca="1">IFERROR(__xludf.DUMMYFUNCTION("""COMPUTED_VALUE"""),"CURACAVI")</f>
        <v>CURACAVI</v>
      </c>
    </row>
    <row r="6348" spans="1:4">
      <c r="A6348" s="7">
        <f ca="1">IFERROR(__xludf.DUMMYFUNCTION("""COMPUTED_VALUE"""),44572)</f>
        <v>44572</v>
      </c>
      <c r="B6348" s="6" t="str">
        <f ca="1">IFERROR(__xludf.DUMMYFUNCTION("""COMPUTED_VALUE"""),"-33.735074,-71.027004")</f>
        <v>-33.735074,-71.027004</v>
      </c>
      <c r="C6348" s="6" t="str">
        <f ca="1">IFERROR(__xludf.DUMMYFUNCTION("""COMPUTED_VALUE"""),"SECTOR LA TURBINA 46 NALTAGUA")</f>
        <v>SECTOR LA TURBINA 46 NALTAGUA</v>
      </c>
      <c r="D6348" s="6" t="str">
        <f ca="1">IFERROR(__xludf.DUMMYFUNCTION("""COMPUTED_VALUE"""),"ISLA DE MAIPO")</f>
        <v>ISLA DE MAIPO</v>
      </c>
    </row>
    <row r="6349" spans="1:4">
      <c r="A6349" s="7">
        <f ca="1">IFERROR(__xludf.DUMMYFUNCTION("""COMPUTED_VALUE"""),44572)</f>
        <v>44572</v>
      </c>
      <c r="B6349" s="6" t="str">
        <f ca="1">IFERROR(__xludf.DUMMYFUNCTION("""COMPUTED_VALUE"""),"-33.733226,-71020973")</f>
        <v>-33.733226,-71020973</v>
      </c>
      <c r="C6349" s="6" t="str">
        <f ca="1">IFERROR(__xludf.DUMMYFUNCTION("""COMPUTED_VALUE"""),"SAN ANTONIO DE NANTAGUA S/N CO INTERIOR PC 17-4 A POSTE ")</f>
        <v xml:space="preserve">SAN ANTONIO DE NANTAGUA S/N CO INTERIOR PC 17-4 A POSTE </v>
      </c>
      <c r="D6349" s="6" t="str">
        <f ca="1">IFERROR(__xludf.DUMMYFUNCTION("""COMPUTED_VALUE"""),"ISLA DE MAIPO")</f>
        <v>ISLA DE MAIPO</v>
      </c>
    </row>
    <row r="6350" spans="1:4">
      <c r="A6350" s="7">
        <f ca="1">IFERROR(__xludf.DUMMYFUNCTION("""COMPUTED_VALUE"""),44572)</f>
        <v>44572</v>
      </c>
      <c r="B6350" s="6" t="str">
        <f ca="1">IFERROR(__xludf.DUMMYFUNCTION("""COMPUTED_VALUE"""),"-33.193706,-70.683160")</f>
        <v>-33.193706,-70.683160</v>
      </c>
      <c r="C6350" s="6" t="str">
        <f ca="1">IFERROR(__xludf.DUMMYFUNCTION("""COMPUTED_VALUE"""),"CALLE PALO SANTO 806")</f>
        <v>CALLE PALO SANTO 806</v>
      </c>
      <c r="D6350" s="6" t="str">
        <f ca="1">IFERROR(__xludf.DUMMYFUNCTION("""COMPUTED_VALUE"""),"COLINA")</f>
        <v>COLINA</v>
      </c>
    </row>
    <row r="6351" spans="1:4">
      <c r="A6351" s="7">
        <f ca="1">IFERROR(__xludf.DUMMYFUNCTION("""COMPUTED_VALUE"""),44572)</f>
        <v>44572</v>
      </c>
      <c r="B6351" s="6" t="str">
        <f ca="1">IFERROR(__xludf.DUMMYFUNCTION("""COMPUTED_VALUE"""),"-35.444034,-71.669315")</f>
        <v>-35.444034,-71.669315</v>
      </c>
      <c r="C6351" s="6" t="str">
        <f ca="1">IFERROR(__xludf.DUMMYFUNCTION("""COMPUTED_VALUE"""),"17 SUR 758 1 ORIENTE Y 1 PONIENTE")</f>
        <v>17 SUR 758 1 ORIENTE Y 1 PONIENTE</v>
      </c>
      <c r="D6351" s="6" t="str">
        <f ca="1">IFERROR(__xludf.DUMMYFUNCTION("""COMPUTED_VALUE"""),"TALCA")</f>
        <v>TALCA</v>
      </c>
    </row>
    <row r="6352" spans="1:4">
      <c r="A6352" s="7">
        <f ca="1">IFERROR(__xludf.DUMMYFUNCTION("""COMPUTED_VALUE"""),44572)</f>
        <v>44572</v>
      </c>
      <c r="B6352" s="6" t="str">
        <f ca="1">IFERROR(__xludf.DUMMYFUNCTION("""COMPUTED_VALUE"""),"-35.443538,-71.694086")</f>
        <v>-35.443538,-71.694086</v>
      </c>
      <c r="C6352" s="6" t="str">
        <f ca="1">IFERROR(__xludf.DUMMYFUNCTION("""COMPUTED_VALUE"""),"25 1/2 SUR 120")</f>
        <v>25 1/2 SUR 120</v>
      </c>
      <c r="D6352" s="6" t="str">
        <f ca="1">IFERROR(__xludf.DUMMYFUNCTION("""COMPUTED_VALUE"""),"TALCA")</f>
        <v>TALCA</v>
      </c>
    </row>
    <row r="6353" spans="1:4">
      <c r="A6353" s="7">
        <f ca="1">IFERROR(__xludf.DUMMYFUNCTION("""COMPUTED_VALUE"""),44572)</f>
        <v>44572</v>
      </c>
      <c r="B6353" s="6" t="str">
        <f ca="1">IFERROR(__xludf.DUMMYFUNCTION("""COMPUTED_VALUE"""),"-35.459023,-71.672091")</f>
        <v>-35.459023,-71.672091</v>
      </c>
      <c r="C6353" s="6" t="str">
        <f ca="1">IFERROR(__xludf.DUMMYFUNCTION("""COMPUTED_VALUE"""),"VALLE TIERRA 639 DOÑA IGNACIA ")</f>
        <v xml:space="preserve">VALLE TIERRA 639 DOÑA IGNACIA </v>
      </c>
      <c r="D6353" s="6" t="str">
        <f ca="1">IFERROR(__xludf.DUMMYFUNCTION("""COMPUTED_VALUE"""),"TALCA")</f>
        <v>TALCA</v>
      </c>
    </row>
    <row r="6354" spans="1:4">
      <c r="A6354" s="7">
        <f ca="1">IFERROR(__xludf.DUMMYFUNCTION("""COMPUTED_VALUE"""),44572)</f>
        <v>44572</v>
      </c>
      <c r="B6354" s="6" t="str">
        <f ca="1">IFERROR(__xludf.DUMMYFUNCTION("""COMPUTED_VALUE"""),"-35.4511394,-71.678333")</f>
        <v>-35.4511394,-71.678333</v>
      </c>
      <c r="C6354" s="6" t="str">
        <f ca="1">IFERROR(__xludf.DUMMYFUNCTION("""COMPUTED_VALUE"""),"PJE 3 ORIENTE 491")</f>
        <v>PJE 3 ORIENTE 491</v>
      </c>
      <c r="D6354" s="6" t="str">
        <f ca="1">IFERROR(__xludf.DUMMYFUNCTION("""COMPUTED_VALUE"""),"TALCA")</f>
        <v>TALCA</v>
      </c>
    </row>
    <row r="6355" spans="1:4">
      <c r="A6355" s="7">
        <f ca="1">IFERROR(__xludf.DUMMYFUNCTION("""COMPUTED_VALUE"""),44572)</f>
        <v>44572</v>
      </c>
      <c r="B6355" s="8" t="str">
        <f ca="1">IFERROR(__xludf.DUMMYFUNCTION("""COMPUTED_VALUE"""),"-33.788521,-71.893124")</f>
        <v>-33.788521,-71.893124</v>
      </c>
      <c r="C6355" s="6" t="str">
        <f ca="1">IFERROR(__xludf.DUMMYFUNCTION("""COMPUTED_VALUE"""),"MONTE LAS MERCEDES 2575")</f>
        <v>MONTE LAS MERCEDES 2575</v>
      </c>
      <c r="D6355" s="6" t="str">
        <f ca="1">IFERROR(__xludf.DUMMYFUNCTION("""COMPUTED_VALUE"""),"ISLA DE MAIPO")</f>
        <v>ISLA DE MAIPO</v>
      </c>
    </row>
    <row r="6356" spans="1:4">
      <c r="A6356" s="7">
        <f ca="1">IFERROR(__xludf.DUMMYFUNCTION("""COMPUTED_VALUE"""),44572)</f>
        <v>44572</v>
      </c>
      <c r="B6356" s="8" t="str">
        <f ca="1">IFERROR(__xludf.DUMMYFUNCTION("""COMPUTED_VALUE"""),"-33.253790,-70.827185")</f>
        <v>-33.253790,-70.827185</v>
      </c>
      <c r="C6356" s="6" t="str">
        <f ca="1">IFERROR(__xludf.DUMMYFUNCTION("""COMPUTED_VALUE"""),"EL MAICILLO 4354")</f>
        <v>EL MAICILLO 4354</v>
      </c>
      <c r="D6356" s="6" t="str">
        <f ca="1">IFERROR(__xludf.DUMMYFUNCTION("""COMPUTED_VALUE"""),"ISLA DE MAIPO")</f>
        <v>ISLA DE MAIPO</v>
      </c>
    </row>
    <row r="6357" spans="1:4">
      <c r="A6357" s="7">
        <f ca="1">IFERROR(__xludf.DUMMYFUNCTION("""COMPUTED_VALUE"""),44572)</f>
        <v>44572</v>
      </c>
      <c r="B6357" s="8" t="str">
        <f ca="1">IFERROR(__xludf.DUMMYFUNCTION("""COMPUTED_VALUE"""),"-34.037110,-71.100600")</f>
        <v>-34.037110,-71.100600</v>
      </c>
      <c r="C6357" s="6" t="str">
        <f ca="1">IFERROR(__xludf.DUMMYFUNCTION("""COMPUTED_VALUE"""),"ESMERALDA S/N")</f>
        <v>ESMERALDA S/N</v>
      </c>
      <c r="D6357" s="6" t="str">
        <f ca="1">IFERROR(__xludf.DUMMYFUNCTION("""COMPUTED_VALUE"""),"ALHUÉ")</f>
        <v>ALHUÉ</v>
      </c>
    </row>
    <row r="6358" spans="1:4">
      <c r="A6358" s="7">
        <f ca="1">IFERROR(__xludf.DUMMYFUNCTION("""COMPUTED_VALUE"""),44572)</f>
        <v>44572</v>
      </c>
      <c r="B6358" s="8" t="str">
        <f ca="1">IFERROR(__xludf.DUMMYFUNCTION("""COMPUTED_VALUE"""),"-33.797412,-70.658887")</f>
        <v>-33.797412,-70.658887</v>
      </c>
      <c r="C6358" s="6" t="str">
        <f ca="1">IFERROR(__xludf.DUMMYFUNCTION("""COMPUTED_VALUE"""),"PARCELA EL TRANSITO 6583")</f>
        <v>PARCELA EL TRANSITO 6583</v>
      </c>
      <c r="D6358" s="6" t="str">
        <f ca="1">IFERROR(__xludf.DUMMYFUNCTION("""COMPUTED_VALUE"""),"PAINE")</f>
        <v>PAINE</v>
      </c>
    </row>
    <row r="6359" spans="1:4">
      <c r="A6359" s="7">
        <f ca="1">IFERROR(__xludf.DUMMYFUNCTION("""COMPUTED_VALUE"""),44572)</f>
        <v>44572</v>
      </c>
      <c r="B6359" s="8" t="str">
        <f ca="1">IFERROR(__xludf.DUMMYFUNCTION("""COMPUTED_VALUE"""),"-33.994179,-70.429735")</f>
        <v>-33.994179,-70.429735</v>
      </c>
      <c r="C6359" s="6" t="str">
        <f ca="1">IFERROR(__xludf.DUMMYFUNCTION("""COMPUTED_VALUE"""),"LOICA ARRIBA N3")</f>
        <v>LOICA ARRIBA N3</v>
      </c>
      <c r="D6359" s="6" t="str">
        <f ca="1">IFERROR(__xludf.DUMMYFUNCTION("""COMPUTED_VALUE"""),"MELIPILLA")</f>
        <v>MELIPILLA</v>
      </c>
    </row>
    <row r="6360" spans="1:4">
      <c r="A6360" s="7">
        <f ca="1">IFERROR(__xludf.DUMMYFUNCTION("""COMPUTED_VALUE"""),44572)</f>
        <v>44572</v>
      </c>
      <c r="B6360" s="6" t="str">
        <f ca="1">IFERROR(__xludf.DUMMYFUNCTION("""COMPUTED_VALUE"""),"-33.0441805-71.426773")</f>
        <v>-33.0441805-71.426773</v>
      </c>
      <c r="C6360" s="6" t="str">
        <f ca="1">IFERROR(__xludf.DUMMYFUNCTION("""COMPUTED_VALUE"""),"SAN FRANCISCO 1896 B")</f>
        <v>SAN FRANCISCO 1896 B</v>
      </c>
      <c r="D6360" s="6" t="str">
        <f ca="1">IFERROR(__xludf.DUMMYFUNCTION("""COMPUTED_VALUE"""),"QUILPUÉ")</f>
        <v>QUILPUÉ</v>
      </c>
    </row>
    <row r="6361" spans="1:4">
      <c r="A6361" s="7">
        <f ca="1">IFERROR(__xludf.DUMMYFUNCTION("""COMPUTED_VALUE"""),44572)</f>
        <v>44572</v>
      </c>
      <c r="B6361" s="6" t="str">
        <f ca="1">IFERROR(__xludf.DUMMYFUNCTION("""COMPUTED_VALUE"""),"-33.0717423-71.4221998")</f>
        <v>-33.0717423-71.4221998</v>
      </c>
      <c r="C6361" s="6" t="str">
        <f ca="1">IFERROR(__xludf.DUMMYFUNCTION("""COMPUTED_VALUE"""),"VALLE DEL HUASCO 2784")</f>
        <v>VALLE DEL HUASCO 2784</v>
      </c>
      <c r="D6361" s="6" t="str">
        <f ca="1">IFERROR(__xludf.DUMMYFUNCTION("""COMPUTED_VALUE"""),"QUILPUÉ")</f>
        <v>QUILPUÉ</v>
      </c>
    </row>
    <row r="6362" spans="1:4">
      <c r="A6362" s="7">
        <f ca="1">IFERROR(__xludf.DUMMYFUNCTION("""COMPUTED_VALUE"""),44572)</f>
        <v>44572</v>
      </c>
      <c r="B6362" s="6" t="str">
        <f ca="1">IFERROR(__xludf.DUMMYFUNCTION("""COMPUTED_VALUE"""),"-33.803544,-70.733895")</f>
        <v>-33.803544,-70.733895</v>
      </c>
      <c r="C6362" s="6" t="str">
        <f ca="1">IFERROR(__xludf.DUMMYFUNCTION("""COMPUTED_VALUE"""),"PJE. EL PEUMO 453")</f>
        <v>PJE. EL PEUMO 453</v>
      </c>
      <c r="D6362" s="6" t="str">
        <f ca="1">IFERROR(__xludf.DUMMYFUNCTION("""COMPUTED_VALUE"""),"PAINE")</f>
        <v>PAINE</v>
      </c>
    </row>
    <row r="6363" spans="1:4">
      <c r="A6363" s="7">
        <f ca="1">IFERROR(__xludf.DUMMYFUNCTION("""COMPUTED_VALUE"""),44572)</f>
        <v>44572</v>
      </c>
      <c r="B6363" s="6" t="str">
        <f ca="1">IFERROR(__xludf.DUMMYFUNCTION("""COMPUTED_VALUE"""),"-33.825790,-70.732786")</f>
        <v>-33.825790,-70.732786</v>
      </c>
      <c r="C6363" s="6" t="str">
        <f ca="1">IFERROR(__xludf.DUMMYFUNCTION("""COMPUTED_VALUE"""),"LOS COPIHUES SITIO 4")</f>
        <v>LOS COPIHUES SITIO 4</v>
      </c>
      <c r="D6363" s="6" t="str">
        <f ca="1">IFERROR(__xludf.DUMMYFUNCTION("""COMPUTED_VALUE"""),"PAINE")</f>
        <v>PAINE</v>
      </c>
    </row>
    <row r="6364" spans="1:4">
      <c r="A6364" s="7">
        <f ca="1">IFERROR(__xludf.DUMMYFUNCTION("""COMPUTED_VALUE"""),44573)</f>
        <v>44573</v>
      </c>
      <c r="B6364" s="8" t="str">
        <f ca="1">IFERROR(__xludf.DUMMYFUNCTION("""COMPUTED_VALUE"""),"-33.736028-71.014737")</f>
        <v>-33.736028-71.014737</v>
      </c>
      <c r="C6364" s="6" t="str">
        <f ca="1">IFERROR(__xludf.DUMMYFUNCTION("""COMPUTED_VALUE"""),"LAS TURBINAS 62")</f>
        <v>LAS TURBINAS 62</v>
      </c>
      <c r="D6364" s="6" t="str">
        <f ca="1">IFERROR(__xludf.DUMMYFUNCTION("""COMPUTED_VALUE"""),"ISLA DE MAIPO")</f>
        <v>ISLA DE MAIPO</v>
      </c>
    </row>
    <row r="6365" spans="1:4">
      <c r="A6365" s="7">
        <f ca="1">IFERROR(__xludf.DUMMYFUNCTION("""COMPUTED_VALUE"""),44573)</f>
        <v>44573</v>
      </c>
      <c r="B6365" s="8" t="str">
        <f ca="1">IFERROR(__xludf.DUMMYFUNCTION("""COMPUTED_VALUE"""),"-33.730321-71.023970")</f>
        <v>-33.730321-71.023970</v>
      </c>
      <c r="C6365" s="6" t="str">
        <f ca="1">IFERROR(__xludf.DUMMYFUNCTION("""COMPUTED_VALUE"""),"AV PRINCIPAL PARCELA 17")</f>
        <v>AV PRINCIPAL PARCELA 17</v>
      </c>
      <c r="D6365" s="6" t="str">
        <f ca="1">IFERROR(__xludf.DUMMYFUNCTION("""COMPUTED_VALUE"""),"ISLA DE MAIPO")</f>
        <v>ISLA DE MAIPO</v>
      </c>
    </row>
    <row r="6366" spans="1:4">
      <c r="A6366" s="7">
        <f ca="1">IFERROR(__xludf.DUMMYFUNCTION("""COMPUTED_VALUE"""),44573)</f>
        <v>44573</v>
      </c>
      <c r="B6366" s="6" t="str">
        <f ca="1">IFERROR(__xludf.DUMMYFUNCTION("""COMPUTED_VALUE"""),"-33.6369747-70.3571083")</f>
        <v>-33.6369747-70.3571083</v>
      </c>
      <c r="C6366" s="6" t="str">
        <f ca="1">IFERROR(__xludf.DUMMYFUNCTION("""COMPUTED_VALUE"""),"CAÑADA NORTE 19534")</f>
        <v>CAÑADA NORTE 19534</v>
      </c>
      <c r="D6366" s="6" t="str">
        <f ca="1">IFERROR(__xludf.DUMMYFUNCTION("""COMPUTED_VALUE"""),"SAN JOSE DE MAIPO")</f>
        <v>SAN JOSE DE MAIPO</v>
      </c>
    </row>
    <row r="6367" spans="1:4">
      <c r="A6367" s="7">
        <f ca="1">IFERROR(__xludf.DUMMYFUNCTION("""COMPUTED_VALUE"""),44573)</f>
        <v>44573</v>
      </c>
      <c r="B6367" s="6" t="str">
        <f ca="1">IFERROR(__xludf.DUMMYFUNCTION("""COMPUTED_VALUE"""),"-33.804436-70.216931")</f>
        <v>-33.804436-70.216931</v>
      </c>
      <c r="C6367" s="6" t="str">
        <f ca="1">IFERROR(__xludf.DUMMYFUNCTION("""COMPUTED_VALUE"""),"CAMINO AL VOLCAN 22638")</f>
        <v>CAMINO AL VOLCAN 22638</v>
      </c>
      <c r="D6367" s="6" t="str">
        <f ca="1">IFERROR(__xludf.DUMMYFUNCTION("""COMPUTED_VALUE"""),"SAN JOSE DE MAIPO")</f>
        <v>SAN JOSE DE MAIPO</v>
      </c>
    </row>
    <row r="6368" spans="1:4">
      <c r="A6368" s="7">
        <f ca="1">IFERROR(__xludf.DUMMYFUNCTION("""COMPUTED_VALUE"""),44573)</f>
        <v>44573</v>
      </c>
      <c r="B6368" s="6" t="str">
        <f ca="1">IFERROR(__xludf.DUMMYFUNCTION("""COMPUTED_VALUE"""),"-33.6396888-70.352414")</f>
        <v>-33.6396888-70.352414</v>
      </c>
      <c r="C6368" s="6" t="str">
        <f ca="1">IFERROR(__xludf.DUMMYFUNCTION("""COMPUTED_VALUE"""),"AV. DOCTOR OCTAVIO GAY PATSCHE 19378")</f>
        <v>AV. DOCTOR OCTAVIO GAY PATSCHE 19378</v>
      </c>
      <c r="D6368" s="6" t="str">
        <f ca="1">IFERROR(__xludf.DUMMYFUNCTION("""COMPUTED_VALUE"""),"SAN JOSE DE MAIPO")</f>
        <v>SAN JOSE DE MAIPO</v>
      </c>
    </row>
    <row r="6369" spans="1:4">
      <c r="A6369" s="7">
        <f ca="1">IFERROR(__xludf.DUMMYFUNCTION("""COMPUTED_VALUE"""),44573)</f>
        <v>44573</v>
      </c>
      <c r="B6369" s="6" t="str">
        <f ca="1">IFERROR(__xludf.DUMMYFUNCTION("""COMPUTED_VALUE"""),"-33.5913-70.48354")</f>
        <v>-33.5913-70.48354</v>
      </c>
      <c r="C6369" s="6" t="str">
        <f ca="1">IFERROR(__xludf.DUMMYFUNCTION("""COMPUTED_VALUE"""),"LA OBRA S/N")</f>
        <v>LA OBRA S/N</v>
      </c>
      <c r="D6369" s="6" t="str">
        <f ca="1">IFERROR(__xludf.DUMMYFUNCTION("""COMPUTED_VALUE"""),"SAN JOSE DE MAIPO")</f>
        <v>SAN JOSE DE MAIPO</v>
      </c>
    </row>
    <row r="6370" spans="1:4">
      <c r="A6370" s="7">
        <f ca="1">IFERROR(__xludf.DUMMYFUNCTION("""COMPUTED_VALUE"""),44573)</f>
        <v>44573</v>
      </c>
      <c r="B6370" s="6" t="str">
        <f ca="1">IFERROR(__xludf.DUMMYFUNCTION("""COMPUTED_VALUE"""),"-33.58745-70.47954")</f>
        <v>-33.58745-70.47954</v>
      </c>
      <c r="C6370" s="6" t="str">
        <f ca="1">IFERROR(__xludf.DUMMYFUNCTION("""COMPUTED_VALUE"""),"LA OBRA S/N")</f>
        <v>LA OBRA S/N</v>
      </c>
      <c r="D6370" s="6" t="str">
        <f ca="1">IFERROR(__xludf.DUMMYFUNCTION("""COMPUTED_VALUE"""),"SAN JOSE DE MAIPO")</f>
        <v>SAN JOSE DE MAIPO</v>
      </c>
    </row>
    <row r="6371" spans="1:4">
      <c r="A6371" s="7">
        <f ca="1">IFERROR(__xludf.DUMMYFUNCTION("""COMPUTED_VALUE"""),44573)</f>
        <v>44573</v>
      </c>
      <c r="B6371" s="6" t="str">
        <f ca="1">IFERROR(__xludf.DUMMYFUNCTION("""COMPUTED_VALUE"""),"-33.58783-70.47883")</f>
        <v>-33.58783-70.47883</v>
      </c>
      <c r="C6371" s="6" t="str">
        <f ca="1">IFERROR(__xludf.DUMMYFUNCTION("""COMPUTED_VALUE"""),"LA OBRA S/N")</f>
        <v>LA OBRA S/N</v>
      </c>
      <c r="D6371" s="6" t="str">
        <f ca="1">IFERROR(__xludf.DUMMYFUNCTION("""COMPUTED_VALUE"""),"SAN JOSE DE MAIPO")</f>
        <v>SAN JOSE DE MAIPO</v>
      </c>
    </row>
    <row r="6372" spans="1:4">
      <c r="A6372" s="7">
        <f ca="1">IFERROR(__xludf.DUMMYFUNCTION("""COMPUTED_VALUE"""),44573)</f>
        <v>44573</v>
      </c>
      <c r="B6372" s="6" t="str">
        <f ca="1">IFERROR(__xludf.DUMMYFUNCTION("""COMPUTED_VALUE"""),"-33.675003,-70.583688")</f>
        <v>-33.675003,-70.583688</v>
      </c>
      <c r="C6372" s="6" t="str">
        <f ca="1">IFERROR(__xludf.DUMMYFUNCTION("""COMPUTED_VALUE"""),"HERNAN PRIETO 4800")</f>
        <v>HERNAN PRIETO 4800</v>
      </c>
      <c r="D6372" s="6" t="str">
        <f ca="1">IFERROR(__xludf.DUMMYFUNCTION("""COMPUTED_VALUE"""),"PIRQUE")</f>
        <v>PIRQUE</v>
      </c>
    </row>
    <row r="6373" spans="1:4">
      <c r="A6373" s="7">
        <f ca="1">IFERROR(__xludf.DUMMYFUNCTION("""COMPUTED_VALUE"""),44573)</f>
        <v>44573</v>
      </c>
      <c r="B6373" s="8" t="str">
        <f ca="1">IFERROR(__xludf.DUMMYFUNCTION("""COMPUTED_VALUE"""),"-33.673762,-70.989206")</f>
        <v>-33.673762,-70.989206</v>
      </c>
      <c r="C6373" s="6" t="str">
        <f ca="1">IFERROR(__xludf.DUMMYFUNCTION("""COMPUTED_VALUE"""),"LOS CEREZOS 635")</f>
        <v>LOS CEREZOS 635</v>
      </c>
      <c r="D6373" s="6" t="str">
        <f ca="1">IFERROR(__xludf.DUMMYFUNCTION("""COMPUTED_VALUE"""),"EL MONTE")</f>
        <v>EL MONTE</v>
      </c>
    </row>
    <row r="6374" spans="1:4">
      <c r="A6374" s="7">
        <f ca="1">IFERROR(__xludf.DUMMYFUNCTION("""COMPUTED_VALUE"""),44573)</f>
        <v>44573</v>
      </c>
      <c r="B6374" s="8" t="str">
        <f ca="1">IFERROR(__xludf.DUMMYFUNCTION("""COMPUTED_VALUE"""),"-33.105305,-70.392794")</f>
        <v>-33.105305,-70.392794</v>
      </c>
      <c r="C6374" s="6" t="str">
        <f ca="1">IFERROR(__xludf.DUMMYFUNCTION("""COMPUTED_VALUE"""),"PADRE SOTO 300")</f>
        <v>PADRE SOTO 300</v>
      </c>
      <c r="D6374" s="6" t="str">
        <f ca="1">IFERROR(__xludf.DUMMYFUNCTION("""COMPUTED_VALUE"""),"COLINA")</f>
        <v>COLINA</v>
      </c>
    </row>
    <row r="6375" spans="1:4">
      <c r="A6375" s="7">
        <f ca="1">IFERROR(__xludf.DUMMYFUNCTION("""COMPUTED_VALUE"""),44573)</f>
        <v>44573</v>
      </c>
      <c r="B6375" s="8" t="str">
        <f ca="1">IFERROR(__xludf.DUMMYFUNCTION("""COMPUTED_VALUE"""),"-33.105305,-70.392794")</f>
        <v>-33.105305,-70.392794</v>
      </c>
      <c r="C6375" s="6" t="str">
        <f ca="1">IFERROR(__xludf.DUMMYFUNCTION("""COMPUTED_VALUE"""),"PADRE SOTO 300")</f>
        <v>PADRE SOTO 300</v>
      </c>
      <c r="D6375" s="6" t="str">
        <f ca="1">IFERROR(__xludf.DUMMYFUNCTION("""COMPUTED_VALUE"""),"COLINA")</f>
        <v>COLINA</v>
      </c>
    </row>
    <row r="6376" spans="1:4">
      <c r="A6376" s="7">
        <f ca="1">IFERROR(__xludf.DUMMYFUNCTION("""COMPUTED_VALUE"""),44573)</f>
        <v>44573</v>
      </c>
      <c r="B6376" s="8" t="str">
        <f ca="1">IFERROR(__xludf.DUMMYFUNCTION("""COMPUTED_VALUE"""),"-33.113595,-70.40261W")</f>
        <v>-33.113595,-70.40261W</v>
      </c>
      <c r="C6376" s="6" t="str">
        <f ca="1">IFERROR(__xludf.DUMMYFUNCTION("""COMPUTED_VALUE"""),"LOS ESTEROS 1021")</f>
        <v>LOS ESTEROS 1021</v>
      </c>
      <c r="D6376" s="6" t="str">
        <f ca="1">IFERROR(__xludf.DUMMYFUNCTION("""COMPUTED_VALUE"""),"COLINA")</f>
        <v>COLINA</v>
      </c>
    </row>
    <row r="6377" spans="1:4">
      <c r="A6377" s="7">
        <f ca="1">IFERROR(__xludf.DUMMYFUNCTION("""COMPUTED_VALUE"""),44573)</f>
        <v>44573</v>
      </c>
      <c r="B6377" s="6" t="str">
        <f ca="1">IFERROR(__xludf.DUMMYFUNCTION("""COMPUTED_VALUE"""),"-33.858088,-70.751885")</f>
        <v>-33.858088,-70.751885</v>
      </c>
      <c r="C6377" s="6" t="str">
        <f ca="1">IFERROR(__xludf.DUMMYFUNCTION("""COMPUTED_VALUE"""),"LAS ACACIAS 116E")</f>
        <v>LAS ACACIAS 116E</v>
      </c>
      <c r="D6377" s="6" t="str">
        <f ca="1">IFERROR(__xludf.DUMMYFUNCTION("""COMPUTED_VALUE"""),"PAINE")</f>
        <v>PAINE</v>
      </c>
    </row>
    <row r="6378" spans="1:4">
      <c r="A6378" s="7">
        <f ca="1">IFERROR(__xludf.DUMMYFUNCTION("""COMPUTED_VALUE"""),44573)</f>
        <v>44573</v>
      </c>
      <c r="B6378" s="6" t="str">
        <f ca="1">IFERROR(__xludf.DUMMYFUNCTION("""COMPUTED_VALUE"""),"-33.749444,-70.893345")</f>
        <v>-33.749444,-70.893345</v>
      </c>
      <c r="C6378" s="6" t="str">
        <f ca="1">IFERROR(__xludf.DUMMYFUNCTION("""COMPUTED_VALUE"""),"INDEPENDENCIA 237")</f>
        <v>INDEPENDENCIA 237</v>
      </c>
      <c r="D6378" s="6" t="str">
        <f ca="1">IFERROR(__xludf.DUMMYFUNCTION("""COMPUTED_VALUE"""),"ISLA DE MAIPO")</f>
        <v>ISLA DE MAIPO</v>
      </c>
    </row>
    <row r="6379" spans="1:4">
      <c r="A6379" s="7">
        <f ca="1">IFERROR(__xludf.DUMMYFUNCTION("""COMPUTED_VALUE"""),44573)</f>
        <v>44573</v>
      </c>
      <c r="B6379" s="6" t="str">
        <f ca="1">IFERROR(__xludf.DUMMYFUNCTION("""COMPUTED_VALUE"""),"-33.922507,-71.479821")</f>
        <v>-33.922507,-71.479821</v>
      </c>
      <c r="C6379" s="6" t="str">
        <f ca="1">IFERROR(__xludf.DUMMYFUNCTION("""COMPUTED_VALUE"""),"EL YALI 6")</f>
        <v>EL YALI 6</v>
      </c>
      <c r="D6379" s="6" t="str">
        <f ca="1">IFERROR(__xludf.DUMMYFUNCTION("""COMPUTED_VALUE"""),"SAN PEDRO")</f>
        <v>SAN PEDRO</v>
      </c>
    </row>
    <row r="6380" spans="1:4">
      <c r="A6380" s="7">
        <f ca="1">IFERROR(__xludf.DUMMYFUNCTION("""COMPUTED_VALUE"""),44573)</f>
        <v>44573</v>
      </c>
      <c r="B6380" s="6" t="str">
        <f ca="1">IFERROR(__xludf.DUMMYFUNCTION("""COMPUTED_VALUE"""),"-33.922507,-71.479821")</f>
        <v>-33.922507,-71.479821</v>
      </c>
      <c r="C6380" s="6" t="str">
        <f ca="1">IFERROR(__xludf.DUMMYFUNCTION("""COMPUTED_VALUE"""),"EL YALI 6")</f>
        <v>EL YALI 6</v>
      </c>
      <c r="D6380" s="6" t="str">
        <f ca="1">IFERROR(__xludf.DUMMYFUNCTION("""COMPUTED_VALUE"""),"SAN PEDRO")</f>
        <v>SAN PEDRO</v>
      </c>
    </row>
    <row r="6381" spans="1:4">
      <c r="A6381" s="7">
        <f ca="1">IFERROR(__xludf.DUMMYFUNCTION("""COMPUTED_VALUE"""),44573)</f>
        <v>44573</v>
      </c>
      <c r="B6381" s="8" t="str">
        <f ca="1">IFERROR(__xludf.DUMMYFUNCTION("""COMPUTED_VALUE"""),"-33.630230,-70.778263")</f>
        <v>-33.630230,-70.778263</v>
      </c>
      <c r="C6381" s="6" t="str">
        <f ca="1">IFERROR(__xludf.DUMMYFUNCTION("""COMPUTED_VALUE"""),"LICANRAY 147")</f>
        <v>LICANRAY 147</v>
      </c>
      <c r="D6381" s="6" t="str">
        <f ca="1">IFERROR(__xludf.DUMMYFUNCTION("""COMPUTED_VALUE"""),"CALERA DE TANGO")</f>
        <v>CALERA DE TANGO</v>
      </c>
    </row>
    <row r="6382" spans="1:4">
      <c r="A6382" s="7">
        <f ca="1">IFERROR(__xludf.DUMMYFUNCTION("""COMPUTED_VALUE"""),44573)</f>
        <v>44573</v>
      </c>
      <c r="B6382" s="8" t="str">
        <f ca="1">IFERROR(__xludf.DUMMYFUNCTION("""COMPUTED_VALUE"""),"-33.630230,-70.778263")</f>
        <v>-33.630230,-70.778263</v>
      </c>
      <c r="C6382" s="6" t="str">
        <f ca="1">IFERROR(__xludf.DUMMYFUNCTION("""COMPUTED_VALUE"""),"LICANRAY 147")</f>
        <v>LICANRAY 147</v>
      </c>
      <c r="D6382" s="6" t="str">
        <f ca="1">IFERROR(__xludf.DUMMYFUNCTION("""COMPUTED_VALUE"""),"CALERA DE TANGO")</f>
        <v>CALERA DE TANGO</v>
      </c>
    </row>
    <row r="6383" spans="1:4">
      <c r="A6383" s="7">
        <f ca="1">IFERROR(__xludf.DUMMYFUNCTION("""COMPUTED_VALUE"""),44573)</f>
        <v>44573</v>
      </c>
      <c r="B6383" s="8" t="str">
        <f ca="1">IFERROR(__xludf.DUMMYFUNCTION("""COMPUTED_VALUE"""),"-33.793405,-71.225037")</f>
        <v>-33.793405,-71.225037</v>
      </c>
      <c r="C6383" s="6" t="str">
        <f ca="1">IFERROR(__xludf.DUMMYFUNCTION("""COMPUTED_VALUE"""),"PARCELA 47 SECTOR LA ALIANZA CULIPRAN ")</f>
        <v xml:space="preserve">PARCELA 47 SECTOR LA ALIANZA CULIPRAN </v>
      </c>
      <c r="D6383" s="6" t="str">
        <f ca="1">IFERROR(__xludf.DUMMYFUNCTION("""COMPUTED_VALUE"""),"MELIPILLA")</f>
        <v>MELIPILLA</v>
      </c>
    </row>
    <row r="6384" spans="1:4">
      <c r="A6384" s="7">
        <f ca="1">IFERROR(__xludf.DUMMYFUNCTION("""COMPUTED_VALUE"""),44573)</f>
        <v>44573</v>
      </c>
      <c r="B6384" s="8" t="str">
        <f ca="1">IFERROR(__xludf.DUMMYFUNCTION("""COMPUTED_VALUE"""),"-33.475825,-71.165305")</f>
        <v>-33.475825,-71.165305</v>
      </c>
      <c r="C6384" s="6" t="str">
        <f ca="1">IFERROR(__xludf.DUMMYFUNCTION("""COMPUTED_VALUE"""),"PARCELA 171 POPETA")</f>
        <v>PARCELA 171 POPETA</v>
      </c>
      <c r="D6384" s="6" t="str">
        <f ca="1">IFERROR(__xludf.DUMMYFUNCTION("""COMPUTED_VALUE"""),"MELIPILLA")</f>
        <v>MELIPILLA</v>
      </c>
    </row>
    <row r="6385" spans="1:4">
      <c r="A6385" s="7">
        <f ca="1">IFERROR(__xludf.DUMMYFUNCTION("""COMPUTED_VALUE"""),44573)</f>
        <v>44573</v>
      </c>
      <c r="B6385" s="8" t="str">
        <f ca="1">IFERROR(__xludf.DUMMYFUNCTION("""COMPUTED_VALUE"""),"-33.794950,71.272574")</f>
        <v>-33.794950,71.272574</v>
      </c>
      <c r="C6385" s="6" t="str">
        <f ca="1">IFERROR(__xludf.DUMMYFUNCTION("""COMPUTED_VALUE"""),"POPETA 163 SECTOR 4")</f>
        <v>POPETA 163 SECTOR 4</v>
      </c>
      <c r="D6385" s="6" t="str">
        <f ca="1">IFERROR(__xludf.DUMMYFUNCTION("""COMPUTED_VALUE"""),"MELIPILLA")</f>
        <v>MELIPILLA</v>
      </c>
    </row>
    <row r="6386" spans="1:4">
      <c r="A6386" s="7">
        <f ca="1">IFERROR(__xludf.DUMMYFUNCTION("""COMPUTED_VALUE"""),44573)</f>
        <v>44573</v>
      </c>
      <c r="B6386" s="6" t="str">
        <f ca="1">IFERROR(__xludf.DUMMYFUNCTION("""COMPUTED_VALUE"""),"-33.070026-71.424280")</f>
        <v>-33.070026-71.424280</v>
      </c>
      <c r="C6386" s="6" t="str">
        <f ca="1">IFERROR(__xludf.DUMMYFUNCTION("""COMPUTED_VALUE"""),"PJE JARCIAS 2838")</f>
        <v>PJE JARCIAS 2838</v>
      </c>
      <c r="D6386" s="6" t="str">
        <f ca="1">IFERROR(__xludf.DUMMYFUNCTION("""COMPUTED_VALUE"""),"QUILPUÉ")</f>
        <v>QUILPUÉ</v>
      </c>
    </row>
    <row r="6387" spans="1:4">
      <c r="A6387" s="7">
        <f ca="1">IFERROR(__xludf.DUMMYFUNCTION("""COMPUTED_VALUE"""),44573)</f>
        <v>44573</v>
      </c>
      <c r="B6387" s="6" t="str">
        <f ca="1">IFERROR(__xludf.DUMMYFUNCTION("""COMPUTED_VALUE"""),"-33.805868,-70.730865")</f>
        <v>-33.805868,-70.730865</v>
      </c>
      <c r="C6387" s="6" t="str">
        <f ca="1">IFERROR(__xludf.DUMMYFUNCTION("""COMPUTED_VALUE"""),"JUAN DIAZ MANRIQUEZ 600")</f>
        <v>JUAN DIAZ MANRIQUEZ 600</v>
      </c>
      <c r="D6387" s="6" t="str">
        <f ca="1">IFERROR(__xludf.DUMMYFUNCTION("""COMPUTED_VALUE"""),"PAINE")</f>
        <v>PAINE</v>
      </c>
    </row>
    <row r="6388" spans="1:4">
      <c r="A6388" s="7">
        <f ca="1">IFERROR(__xludf.DUMMYFUNCTION("""COMPUTED_VALUE"""),44573)</f>
        <v>44573</v>
      </c>
      <c r="B6388" s="6" t="str">
        <f ca="1">IFERROR(__xludf.DUMMYFUNCTION("""COMPUTED_VALUE"""),"-33.804132,-70.734238")</f>
        <v>-33.804132,-70.734238</v>
      </c>
      <c r="C6388" s="6" t="str">
        <f ca="1">IFERROR(__xludf.DUMMYFUNCTION("""COMPUTED_VALUE"""),"LA AVELLANITA 54")</f>
        <v>LA AVELLANITA 54</v>
      </c>
      <c r="D6388" s="6" t="str">
        <f ca="1">IFERROR(__xludf.DUMMYFUNCTION("""COMPUTED_VALUE"""),"PAINE")</f>
        <v>PAINE</v>
      </c>
    </row>
    <row r="6389" spans="1:4">
      <c r="A6389" s="7">
        <f ca="1">IFERROR(__xludf.DUMMYFUNCTION("""COMPUTED_VALUE"""),44574)</f>
        <v>44574</v>
      </c>
      <c r="B6389" s="8" t="str">
        <f ca="1">IFERROR(__xludf.DUMMYFUNCTION("""COMPUTED_VALUE"""),"-33.587666-71.231092")</f>
        <v>-33.587666-71.231092</v>
      </c>
      <c r="C6389" s="6" t="str">
        <f ca="1">IFERROR(__xludf.DUMMYFUNCTION("""COMPUTED_VALUE"""),"SANTA FILOMENA S/N")</f>
        <v>SANTA FILOMENA S/N</v>
      </c>
      <c r="D6389" s="6" t="str">
        <f ca="1">IFERROR(__xludf.DUMMYFUNCTION("""COMPUTED_VALUE"""),"MELIPILLA")</f>
        <v>MELIPILLA</v>
      </c>
    </row>
    <row r="6390" spans="1:4">
      <c r="A6390" s="7">
        <f ca="1">IFERROR(__xludf.DUMMYFUNCTION("""COMPUTED_VALUE"""),44574)</f>
        <v>44574</v>
      </c>
      <c r="B6390" s="6" t="str">
        <f ca="1">IFERROR(__xludf.DUMMYFUNCTION("""COMPUTED_VALUE"""),"-33.708041-70.548847")</f>
        <v>-33.708041-70.548847</v>
      </c>
      <c r="C6390" s="6" t="str">
        <f ca="1">IFERROR(__xludf.DUMMYFUNCTION("""COMPUTED_VALUE"""),"VILLA SAN MANUEL S/N 182")</f>
        <v>VILLA SAN MANUEL S/N 182</v>
      </c>
      <c r="D6390" s="6" t="str">
        <f ca="1">IFERROR(__xludf.DUMMYFUNCTION("""COMPUTED_VALUE"""),"PIRQUE")</f>
        <v>PIRQUE</v>
      </c>
    </row>
    <row r="6391" spans="1:4">
      <c r="A6391" s="7">
        <f ca="1">IFERROR(__xludf.DUMMYFUNCTION("""COMPUTED_VALUE"""),44574)</f>
        <v>44574</v>
      </c>
      <c r="B6391" s="6" t="str">
        <f ca="1">IFERROR(__xludf.DUMMYFUNCTION("""COMPUTED_VALUE"""),"-33.708041-70.548847")</f>
        <v>-33.708041-70.548847</v>
      </c>
      <c r="C6391" s="6" t="str">
        <f ca="1">IFERROR(__xludf.DUMMYFUNCTION("""COMPUTED_VALUE"""),"VILLA SAN MANUEL S/N 182")</f>
        <v>VILLA SAN MANUEL S/N 182</v>
      </c>
      <c r="D6391" s="6" t="str">
        <f ca="1">IFERROR(__xludf.DUMMYFUNCTION("""COMPUTED_VALUE"""),"PIRQUE")</f>
        <v>PIRQUE</v>
      </c>
    </row>
    <row r="6392" spans="1:4">
      <c r="A6392" s="7">
        <f ca="1">IFERROR(__xludf.DUMMYFUNCTION("""COMPUTED_VALUE"""),44574)</f>
        <v>44574</v>
      </c>
      <c r="B6392" s="6" t="str">
        <f ca="1">IFERROR(__xludf.DUMMYFUNCTION("""COMPUTED_VALUE"""),"-33.708041-70.548847")</f>
        <v>-33.708041-70.548847</v>
      </c>
      <c r="C6392" s="6" t="str">
        <f ca="1">IFERROR(__xludf.DUMMYFUNCTION("""COMPUTED_VALUE"""),"VILLA SAN MANUEL S/N 182")</f>
        <v>VILLA SAN MANUEL S/N 182</v>
      </c>
      <c r="D6392" s="6" t="str">
        <f ca="1">IFERROR(__xludf.DUMMYFUNCTION("""COMPUTED_VALUE"""),"PIRQUE")</f>
        <v>PIRQUE</v>
      </c>
    </row>
    <row r="6393" spans="1:4">
      <c r="A6393" s="7">
        <f ca="1">IFERROR(__xludf.DUMMYFUNCTION("""COMPUTED_VALUE"""),44574)</f>
        <v>44574</v>
      </c>
      <c r="B6393" s="6" t="str">
        <f ca="1">IFERROR(__xludf.DUMMYFUNCTION("""COMPUTED_VALUE"""),"-33.14062-70.79896")</f>
        <v>-33.14062-70.79896</v>
      </c>
      <c r="C6393" s="6" t="str">
        <f ca="1">IFERROR(__xludf.DUMMYFUNCTION("""COMPUTED_VALUE"""),"DOS ORIENTE 321")</f>
        <v>DOS ORIENTE 321</v>
      </c>
      <c r="D6393" s="6" t="str">
        <f ca="1">IFERROR(__xludf.DUMMYFUNCTION("""COMPUTED_VALUE"""),"TIL TIL")</f>
        <v>TIL TIL</v>
      </c>
    </row>
    <row r="6394" spans="1:4">
      <c r="A6394" s="7">
        <f ca="1">IFERROR(__xludf.DUMMYFUNCTION("""COMPUTED_VALUE"""),44574)</f>
        <v>44574</v>
      </c>
      <c r="B6394" s="6" t="str">
        <f ca="1">IFERROR(__xludf.DUMMYFUNCTION("""COMPUTED_VALUE"""),"-33.13908-70.79996")</f>
        <v>-33.13908-70.79996</v>
      </c>
      <c r="C6394" s="6" t="str">
        <f ca="1">IFERROR(__xludf.DUMMYFUNCTION("""COMPUTED_VALUE"""),"2 ORIENTE 298")</f>
        <v>2 ORIENTE 298</v>
      </c>
      <c r="D6394" s="6" t="str">
        <f ca="1">IFERROR(__xludf.DUMMYFUNCTION("""COMPUTED_VALUE"""),"TIL TIL")</f>
        <v>TIL TIL</v>
      </c>
    </row>
    <row r="6395" spans="1:4">
      <c r="A6395" s="7">
        <f ca="1">IFERROR(__xludf.DUMMYFUNCTION("""COMPUTED_VALUE"""),44574)</f>
        <v>44574</v>
      </c>
      <c r="B6395" s="6" t="str">
        <f ca="1">IFERROR(__xludf.DUMMYFUNCTION("""COMPUTED_VALUE"""),"-33.22945-70.80226")</f>
        <v>-33.22945-70.80226</v>
      </c>
      <c r="C6395" s="6" t="str">
        <f ca="1">IFERROR(__xludf.DUMMYFUNCTION("""COMPUTED_VALUE"""),"PJE COSTA RICA 764")</f>
        <v>PJE COSTA RICA 764</v>
      </c>
      <c r="D6395" s="6" t="str">
        <f ca="1">IFERROR(__xludf.DUMMYFUNCTION("""COMPUTED_VALUE"""),"LAMPA")</f>
        <v>LAMPA</v>
      </c>
    </row>
    <row r="6396" spans="1:4">
      <c r="A6396" s="7">
        <f ca="1">IFERROR(__xludf.DUMMYFUNCTION("""COMPUTED_VALUE"""),44574)</f>
        <v>44574</v>
      </c>
      <c r="B6396" s="6" t="str">
        <f ca="1">IFERROR(__xludf.DUMMYFUNCTION("""COMPUTED_VALUE"""),"-33.28159-70.75616")</f>
        <v>-33.28159-70.75616</v>
      </c>
      <c r="C6396" s="6" t="str">
        <f ca="1">IFERROR(__xludf.DUMMYFUNCTION("""COMPUTED_VALUE"""),"SELVA OSCURA II")</f>
        <v>SELVA OSCURA II</v>
      </c>
      <c r="D6396" s="6" t="str">
        <f ca="1">IFERROR(__xludf.DUMMYFUNCTION("""COMPUTED_VALUE"""),"LAMPA")</f>
        <v>LAMPA</v>
      </c>
    </row>
    <row r="6397" spans="1:4">
      <c r="A6397" s="7">
        <f ca="1">IFERROR(__xludf.DUMMYFUNCTION("""COMPUTED_VALUE"""),44574)</f>
        <v>44574</v>
      </c>
      <c r="B6397" s="6" t="str">
        <f ca="1">IFERROR(__xludf.DUMMYFUNCTION("""COMPUTED_VALUE"""),"-33.27985-70.87056")</f>
        <v>-33.27985-70.87056</v>
      </c>
      <c r="C6397" s="6" t="str">
        <f ca="1">IFERROR(__xludf.DUMMYFUNCTION("""COMPUTED_VALUE"""),"PJE PEWU 1460")</f>
        <v>PJE PEWU 1460</v>
      </c>
      <c r="D6397" s="6" t="str">
        <f ca="1">IFERROR(__xludf.DUMMYFUNCTION("""COMPUTED_VALUE"""),"LAMPA")</f>
        <v>LAMPA</v>
      </c>
    </row>
    <row r="6398" spans="1:4">
      <c r="A6398" s="7">
        <f ca="1">IFERROR(__xludf.DUMMYFUNCTION("""COMPUTED_VALUE"""),44574)</f>
        <v>44574</v>
      </c>
      <c r="B6398" s="6" t="str">
        <f ca="1">IFERROR(__xludf.DUMMYFUNCTION("""COMPUTED_VALUE"""),"-33.863379,-70.749703")</f>
        <v>-33.863379,-70.749703</v>
      </c>
      <c r="C6398" s="6" t="str">
        <f ca="1">IFERROR(__xludf.DUMMYFUNCTION("""COMPUTED_VALUE"""),"CALLE A 200")</f>
        <v>CALLE A 200</v>
      </c>
      <c r="D6398" s="6" t="str">
        <f ca="1">IFERROR(__xludf.DUMMYFUNCTION("""COMPUTED_VALUE"""),"PAINE")</f>
        <v>PAINE</v>
      </c>
    </row>
    <row r="6399" spans="1:4">
      <c r="A6399" s="7">
        <f ca="1">IFERROR(__xludf.DUMMYFUNCTION("""COMPUTED_VALUE"""),44574)</f>
        <v>44574</v>
      </c>
      <c r="B6399" s="6" t="str">
        <f ca="1">IFERROR(__xludf.DUMMYFUNCTION("""COMPUTED_VALUE"""),"-33.863208,-70.749742")</f>
        <v>-33.863208,-70.749742</v>
      </c>
      <c r="C6399" s="6" t="str">
        <f ca="1">IFERROR(__xludf.DUMMYFUNCTION("""COMPUTED_VALUE"""),"CALLE A 204")</f>
        <v>CALLE A 204</v>
      </c>
      <c r="D6399" s="6" t="str">
        <f ca="1">IFERROR(__xludf.DUMMYFUNCTION("""COMPUTED_VALUE"""),"PAINE")</f>
        <v>PAINE</v>
      </c>
    </row>
    <row r="6400" spans="1:4">
      <c r="A6400" s="7">
        <f ca="1">IFERROR(__xludf.DUMMYFUNCTION("""COMPUTED_VALUE"""),44574)</f>
        <v>44574</v>
      </c>
      <c r="B6400" s="8" t="str">
        <f ca="1">IFERROR(__xludf.DUMMYFUNCTION("""COMPUTED_VALUE"""),"-33.218964,-70.681199")</f>
        <v>-33.218964,-70.681199</v>
      </c>
      <c r="C6400" s="6" t="str">
        <f ca="1">IFERROR(__xludf.DUMMYFUNCTION("""COMPUTED_VALUE"""),"AV LOS ALAMOS 186")</f>
        <v>AV LOS ALAMOS 186</v>
      </c>
      <c r="D6400" s="6" t="str">
        <f ca="1">IFERROR(__xludf.DUMMYFUNCTION("""COMPUTED_VALUE"""),"COLINA")</f>
        <v>COLINA</v>
      </c>
    </row>
    <row r="6401" spans="1:4">
      <c r="A6401" s="7">
        <f ca="1">IFERROR(__xludf.DUMMYFUNCTION("""COMPUTED_VALUE"""),44574)</f>
        <v>44574</v>
      </c>
      <c r="B6401" s="8" t="str">
        <f ca="1">IFERROR(__xludf.DUMMYFUNCTION("""COMPUTED_VALUE"""),"-33.219265,-70.681649")</f>
        <v>-33.219265,-70.681649</v>
      </c>
      <c r="C6401" s="6" t="str">
        <f ca="1">IFERROR(__xludf.DUMMYFUNCTION("""COMPUTED_VALUE"""),"LOS ALAMOS 186")</f>
        <v>LOS ALAMOS 186</v>
      </c>
      <c r="D6401" s="6" t="str">
        <f ca="1">IFERROR(__xludf.DUMMYFUNCTION("""COMPUTED_VALUE"""),"COLINA")</f>
        <v>COLINA</v>
      </c>
    </row>
    <row r="6402" spans="1:4">
      <c r="A6402" s="7">
        <f ca="1">IFERROR(__xludf.DUMMYFUNCTION("""COMPUTED_VALUE"""),44574)</f>
        <v>44574</v>
      </c>
      <c r="B6402" s="8" t="str">
        <f ca="1">IFERROR(__xludf.DUMMYFUNCTION("""COMPUTED_VALUE"""),"-33.219265,-70.681649")</f>
        <v>-33.219265,-70.681649</v>
      </c>
      <c r="C6402" s="6" t="str">
        <f ca="1">IFERROR(__xludf.DUMMYFUNCTION("""COMPUTED_VALUE"""),"LOS ALAMOS 186")</f>
        <v>LOS ALAMOS 186</v>
      </c>
      <c r="D6402" s="6" t="str">
        <f ca="1">IFERROR(__xludf.DUMMYFUNCTION("""COMPUTED_VALUE"""),"COLINA")</f>
        <v>COLINA</v>
      </c>
    </row>
    <row r="6403" spans="1:4">
      <c r="A6403" s="7">
        <f ca="1">IFERROR(__xludf.DUMMYFUNCTION("""COMPUTED_VALUE"""),44574)</f>
        <v>44574</v>
      </c>
      <c r="B6403" s="8" t="str">
        <f ca="1">IFERROR(__xludf.DUMMYFUNCTION("""COMPUTED_VALUE"""),"-33.202456,-70.680783")</f>
        <v>-33.202456,-70.680783</v>
      </c>
      <c r="C6403" s="6" t="str">
        <f ca="1">IFERROR(__xludf.DUMMYFUNCTION("""COMPUTED_VALUE"""),"PJE LAS ÑIPAS 0247 AGAPANTOS")</f>
        <v>PJE LAS ÑIPAS 0247 AGAPANTOS</v>
      </c>
      <c r="D6403" s="6" t="str">
        <f ca="1">IFERROR(__xludf.DUMMYFUNCTION("""COMPUTED_VALUE"""),"COLINA")</f>
        <v>COLINA</v>
      </c>
    </row>
    <row r="6404" spans="1:4">
      <c r="A6404" s="7">
        <f ca="1">IFERROR(__xludf.DUMMYFUNCTION("""COMPUTED_VALUE"""),44574)</f>
        <v>44574</v>
      </c>
      <c r="B6404" s="8" t="str">
        <f ca="1">IFERROR(__xludf.DUMMYFUNCTION("""COMPUTED_VALUE"""),"-33.218964,-70.681199")</f>
        <v>-33.218964,-70.681199</v>
      </c>
      <c r="C6404" s="6" t="str">
        <f ca="1">IFERROR(__xludf.DUMMYFUNCTION("""COMPUTED_VALUE"""),"AV LOS ALAMOS 186 CASA 31")</f>
        <v>AV LOS ALAMOS 186 CASA 31</v>
      </c>
      <c r="D6404" s="6" t="str">
        <f ca="1">IFERROR(__xludf.DUMMYFUNCTION("""COMPUTED_VALUE"""),"COLINA")</f>
        <v>COLINA</v>
      </c>
    </row>
    <row r="6405" spans="1:4">
      <c r="A6405" s="7">
        <f ca="1">IFERROR(__xludf.DUMMYFUNCTION("""COMPUTED_VALUE"""),44574)</f>
        <v>44574</v>
      </c>
      <c r="B6405" s="6" t="str">
        <f ca="1">IFERROR(__xludf.DUMMYFUNCTION("""COMPUTED_VALUE"""),"-33.803967,-70.736824")</f>
        <v>-33.803967,-70.736824</v>
      </c>
      <c r="C6405" s="6" t="str">
        <f ca="1">IFERROR(__xludf.DUMMYFUNCTION("""COMPUTED_VALUE"""),"PASAJE C 316")</f>
        <v>PASAJE C 316</v>
      </c>
      <c r="D6405" s="6" t="str">
        <f ca="1">IFERROR(__xludf.DUMMYFUNCTION("""COMPUTED_VALUE"""),"PAINE")</f>
        <v>PAINE</v>
      </c>
    </row>
    <row r="6406" spans="1:4">
      <c r="A6406" s="7">
        <f ca="1">IFERROR(__xludf.DUMMYFUNCTION("""COMPUTED_VALUE"""),44574)</f>
        <v>44574</v>
      </c>
      <c r="B6406" s="6" t="str">
        <f ca="1">IFERROR(__xludf.DUMMYFUNCTION("""COMPUTED_VALUE"""),"-33.734628,-71025927")</f>
        <v>-33.734628,-71025927</v>
      </c>
      <c r="C6406" s="6" t="str">
        <f ca="1">IFERROR(__xludf.DUMMYFUNCTION("""COMPUTED_VALUE"""),"EL PEUMO SITIO 3")</f>
        <v>EL PEUMO SITIO 3</v>
      </c>
      <c r="D6406" s="6" t="str">
        <f ca="1">IFERROR(__xludf.DUMMYFUNCTION("""COMPUTED_VALUE"""),"ISLA DE MAIPO")</f>
        <v>ISLA DE MAIPO</v>
      </c>
    </row>
    <row r="6407" spans="1:4">
      <c r="A6407" s="7">
        <f ca="1">IFERROR(__xludf.DUMMYFUNCTION("""COMPUTED_VALUE"""),44574)</f>
        <v>44574</v>
      </c>
      <c r="B6407" s="6" t="str">
        <f ca="1">IFERROR(__xludf.DUMMYFUNCTION("""COMPUTED_VALUE"""),"-33.603621,-70.494030")</f>
        <v>-33.603621,-70.494030</v>
      </c>
      <c r="C6407" s="6" t="str">
        <f ca="1">IFERROR(__xludf.DUMMYFUNCTION("""COMPUTED_VALUE""")," LAS PALOMAS PARCELA 10-1")</f>
        <v xml:space="preserve"> LAS PALOMAS PARCELA 10-1</v>
      </c>
      <c r="D6407" s="6" t="str">
        <f ca="1">IFERROR(__xludf.DUMMYFUNCTION("""COMPUTED_VALUE"""),"PIRQUE")</f>
        <v>PIRQUE</v>
      </c>
    </row>
    <row r="6408" spans="1:4">
      <c r="A6408" s="7">
        <f ca="1">IFERROR(__xludf.DUMMYFUNCTION("""COMPUTED_VALUE"""),44574)</f>
        <v>44574</v>
      </c>
      <c r="B6408" s="8" t="str">
        <f ca="1">IFERROR(__xludf.DUMMYFUNCTION("""COMPUTED_VALUE"""),"-33.663561,-71.313351")</f>
        <v>-33.663561,-71.313351</v>
      </c>
      <c r="C6408" s="6" t="str">
        <f ca="1">IFERROR(__xludf.DUMMYFUNCTION("""COMPUTED_VALUE"""),"TROPEZON 61 PUANGUE ")</f>
        <v xml:space="preserve">TROPEZON 61 PUANGUE </v>
      </c>
      <c r="D6408" s="6" t="str">
        <f ca="1">IFERROR(__xludf.DUMMYFUNCTION("""COMPUTED_VALUE"""),"MELIPILLA")</f>
        <v>MELIPILLA</v>
      </c>
    </row>
    <row r="6409" spans="1:4">
      <c r="A6409" s="7">
        <f ca="1">IFERROR(__xludf.DUMMYFUNCTION("""COMPUTED_VALUE"""),44574)</f>
        <v>44574</v>
      </c>
      <c r="B6409" s="8" t="str">
        <f ca="1">IFERROR(__xludf.DUMMYFUNCTION("""COMPUTED_VALUE"""),"-33.994179,-70.429735")</f>
        <v>-33.994179,-70.429735</v>
      </c>
      <c r="C6409" s="6" t="str">
        <f ca="1">IFERROR(__xludf.DUMMYFUNCTION("""COMPUTED_VALUE"""),"LOICA ARRIBA N3")</f>
        <v>LOICA ARRIBA N3</v>
      </c>
      <c r="D6409" s="6" t="str">
        <f ca="1">IFERROR(__xludf.DUMMYFUNCTION("""COMPUTED_VALUE"""),"MELIPILLA")</f>
        <v>MELIPILLA</v>
      </c>
    </row>
    <row r="6410" spans="1:4">
      <c r="A6410" s="7">
        <f ca="1">IFERROR(__xludf.DUMMYFUNCTION("""COMPUTED_VALUE"""),44574)</f>
        <v>44574</v>
      </c>
      <c r="B6410" s="8" t="str">
        <f ca="1">IFERROR(__xludf.DUMMYFUNCTION("""COMPUTED_VALUE"""),"-33.631198,-70.778993")</f>
        <v>-33.631198,-70.778993</v>
      </c>
      <c r="C6410" s="6" t="str">
        <f ca="1">IFERROR(__xludf.DUMMYFUNCTION("""COMPUTED_VALUE"""),"LICANRAY 148")</f>
        <v>LICANRAY 148</v>
      </c>
      <c r="D6410" s="6" t="str">
        <f ca="1">IFERROR(__xludf.DUMMYFUNCTION("""COMPUTED_VALUE"""),"CALERA DE TANGO")</f>
        <v>CALERA DE TANGO</v>
      </c>
    </row>
    <row r="6411" spans="1:4">
      <c r="A6411" s="7">
        <f ca="1">IFERROR(__xludf.DUMMYFUNCTION("""COMPUTED_VALUE"""),44574)</f>
        <v>44574</v>
      </c>
      <c r="B6411" s="8" t="str">
        <f ca="1">IFERROR(__xludf.DUMMYFUNCTION("""COMPUTED_VALUE"""),"-33.631198,-70.778994")</f>
        <v>-33.631198,-70.778994</v>
      </c>
      <c r="C6411" s="6" t="str">
        <f ca="1">IFERROR(__xludf.DUMMYFUNCTION("""COMPUTED_VALUE"""),"LICANRAY 148")</f>
        <v>LICANRAY 148</v>
      </c>
      <c r="D6411" s="6" t="str">
        <f ca="1">IFERROR(__xludf.DUMMYFUNCTION("""COMPUTED_VALUE"""),"CALERA DE TANGO")</f>
        <v>CALERA DE TANGO</v>
      </c>
    </row>
    <row r="6412" spans="1:4">
      <c r="A6412" s="7">
        <f ca="1">IFERROR(__xludf.DUMMYFUNCTION("""COMPUTED_VALUE"""),44574)</f>
        <v>44574</v>
      </c>
      <c r="B6412" s="8" t="str">
        <f ca="1">IFERROR(__xludf.DUMMYFUNCTION("""COMPUTED_VALUE"""),"-33.706878,-70.577745")</f>
        <v>-33.706878,-70.577745</v>
      </c>
      <c r="C6412" s="6" t="str">
        <f ca="1">IFERROR(__xludf.DUMMYFUNCTION("""COMPUTED_VALUE"""),"LAS BANDURRIAS 21")</f>
        <v>LAS BANDURRIAS 21</v>
      </c>
      <c r="D6412" s="6" t="str">
        <f ca="1">IFERROR(__xludf.DUMMYFUNCTION("""COMPUTED_VALUE"""),"PIRQUE")</f>
        <v>PIRQUE</v>
      </c>
    </row>
    <row r="6413" spans="1:4">
      <c r="A6413" s="7">
        <f ca="1">IFERROR(__xludf.DUMMYFUNCTION("""COMPUTED_VALUE"""),44574)</f>
        <v>44574</v>
      </c>
      <c r="B6413" s="8" t="str">
        <f ca="1">IFERROR(__xludf.DUMMYFUNCTION("""COMPUTED_VALUE"""),"-33.700341,-70.931327")</f>
        <v>-33.700341,-70.931327</v>
      </c>
      <c r="C6413" s="6" t="str">
        <f ca="1">IFERROR(__xludf.DUMMYFUNCTION("""COMPUTED_VALUE"""),"JAIME GUZMAN 4226")</f>
        <v>JAIME GUZMAN 4226</v>
      </c>
      <c r="D6413" s="6" t="str">
        <f ca="1">IFERROR(__xludf.DUMMYFUNCTION("""COMPUTED_VALUE"""),"TALAGANTE")</f>
        <v>TALAGANTE</v>
      </c>
    </row>
    <row r="6414" spans="1:4">
      <c r="A6414" s="7">
        <f ca="1">IFERROR(__xludf.DUMMYFUNCTION("""COMPUTED_VALUE"""),44574)</f>
        <v>44574</v>
      </c>
      <c r="B6414" s="6" t="str">
        <f ca="1">IFERROR(__xludf.DUMMYFUNCTION("""COMPUTED_VALUE"""),"-33.077316-71.423964")</f>
        <v>-33.077316-71.423964</v>
      </c>
      <c r="C6414" s="6" t="str">
        <f ca="1">IFERROR(__xludf.DUMMYFUNCTION("""COMPUTED_VALUE"""),"ANDRES RIVANERO 2766")</f>
        <v>ANDRES RIVANERO 2766</v>
      </c>
      <c r="D6414" s="6" t="str">
        <f ca="1">IFERROR(__xludf.DUMMYFUNCTION("""COMPUTED_VALUE"""),"QUILPUÉ")</f>
        <v>QUILPUÉ</v>
      </c>
    </row>
    <row r="6415" spans="1:4">
      <c r="A6415" s="7">
        <f ca="1">IFERROR(__xludf.DUMMYFUNCTION("""COMPUTED_VALUE"""),44575)</f>
        <v>44575</v>
      </c>
      <c r="B6415" s="8" t="str">
        <f ca="1">IFERROR(__xludf.DUMMYFUNCTION("""COMPUTED_VALUE"""),"-33.754052-70.826559")</f>
        <v>-33.754052-70.826559</v>
      </c>
      <c r="C6415" s="6" t="str">
        <f ca="1">IFERROR(__xludf.DUMMYFUNCTION("""COMPUTED_VALUE"""),"EL MAICILLO 4212")</f>
        <v>EL MAICILLO 4212</v>
      </c>
      <c r="D6415" s="6" t="str">
        <f ca="1">IFERROR(__xludf.DUMMYFUNCTION("""COMPUTED_VALUE"""),"ISLA DE MAIPO")</f>
        <v>ISLA DE MAIPO</v>
      </c>
    </row>
    <row r="6416" spans="1:4">
      <c r="A6416" s="7">
        <f ca="1">IFERROR(__xludf.DUMMYFUNCTION("""COMPUTED_VALUE"""),44575)</f>
        <v>44575</v>
      </c>
      <c r="B6416" s="8" t="str">
        <f ca="1">IFERROR(__xludf.DUMMYFUNCTION("""COMPUTED_VALUE"""),"-33.738788-70.868026")</f>
        <v>-33.738788-70.868026</v>
      </c>
      <c r="C6416" s="6" t="str">
        <f ca="1">IFERROR(__xludf.DUMMYFUNCTION("""COMPUTED_VALUE"""),"SIETE 4268")</f>
        <v>SIETE 4268</v>
      </c>
      <c r="D6416" s="6" t="str">
        <f ca="1">IFERROR(__xludf.DUMMYFUNCTION("""COMPUTED_VALUE"""),"ISLA DE MAIPO")</f>
        <v>ISLA DE MAIPO</v>
      </c>
    </row>
    <row r="6417" spans="1:4">
      <c r="A6417" s="7">
        <f ca="1">IFERROR(__xludf.DUMMYFUNCTION("""COMPUTED_VALUE"""),44575)</f>
        <v>44575</v>
      </c>
      <c r="B6417" s="6" t="str">
        <f ca="1">IFERROR(__xludf.DUMMYFUNCTION("""COMPUTED_VALUE"""),"-33.804810,-70.728078")</f>
        <v>-33.804810,-70.728078</v>
      </c>
      <c r="C6417" s="6" t="str">
        <f ca="1">IFERROR(__xludf.DUMMYFUNCTION("""COMPUTED_VALUE"""),"RIO CISNES 128")</f>
        <v>RIO CISNES 128</v>
      </c>
      <c r="D6417" s="6" t="str">
        <f ca="1">IFERROR(__xludf.DUMMYFUNCTION("""COMPUTED_VALUE"""),"PAINE")</f>
        <v>PAINE</v>
      </c>
    </row>
    <row r="6418" spans="1:4">
      <c r="A6418" s="7">
        <f ca="1">IFERROR(__xludf.DUMMYFUNCTION("""COMPUTED_VALUE"""),44575)</f>
        <v>44575</v>
      </c>
      <c r="B6418" s="6" t="str">
        <f ca="1">IFERROR(__xludf.DUMMYFUNCTION("""COMPUTED_VALUE"""),"-33.863393,-70.749933")</f>
        <v>-33.863393,-70.749933</v>
      </c>
      <c r="C6418" s="6" t="str">
        <f ca="1">IFERROR(__xludf.DUMMYFUNCTION("""COMPUTED_VALUE"""),"CALLE A 204")</f>
        <v>CALLE A 204</v>
      </c>
      <c r="D6418" s="6" t="str">
        <f ca="1">IFERROR(__xludf.DUMMYFUNCTION("""COMPUTED_VALUE"""),"PAINE")</f>
        <v>PAINE</v>
      </c>
    </row>
    <row r="6419" spans="1:4">
      <c r="A6419" s="7">
        <f ca="1">IFERROR(__xludf.DUMMYFUNCTION("""COMPUTED_VALUE"""),44575)</f>
        <v>44575</v>
      </c>
      <c r="B6419" s="8" t="str">
        <f ca="1">IFERROR(__xludf.DUMMYFUNCTION("""COMPUTED_VALUE"""),"-33.119115,-70.41039W")</f>
        <v>-33.119115,-70.41039W</v>
      </c>
      <c r="C6419" s="6" t="str">
        <f ca="1">IFERROR(__xludf.DUMMYFUNCTION("""COMPUTED_VALUE"""),"CALLE TEMU 1001")</f>
        <v>CALLE TEMU 1001</v>
      </c>
      <c r="D6419" s="6" t="str">
        <f ca="1">IFERROR(__xludf.DUMMYFUNCTION("""COMPUTED_VALUE"""),"COLINA")</f>
        <v>COLINA</v>
      </c>
    </row>
    <row r="6420" spans="1:4">
      <c r="A6420" s="7">
        <f ca="1">IFERROR(__xludf.DUMMYFUNCTION("""COMPUTED_VALUE"""),44575)</f>
        <v>44575</v>
      </c>
      <c r="B6420" s="6" t="str">
        <f ca="1">IFERROR(__xludf.DUMMYFUNCTION("""COMPUTED_VALUE"""),"-33.825452,-70.734066")</f>
        <v>-33.825452,-70.734066</v>
      </c>
      <c r="C6420" s="6" t="str">
        <f ca="1">IFERROR(__xludf.DUMMYFUNCTION("""COMPUTED_VALUE"""),"LOS COPIHUES 1")</f>
        <v>LOS COPIHUES 1</v>
      </c>
      <c r="D6420" s="6" t="str">
        <f ca="1">IFERROR(__xludf.DUMMYFUNCTION("""COMPUTED_VALUE"""),"PAINE")</f>
        <v>PAINE</v>
      </c>
    </row>
    <row r="6421" spans="1:4">
      <c r="A6421" s="7">
        <f ca="1">IFERROR(__xludf.DUMMYFUNCTION("""COMPUTED_VALUE"""),44575)</f>
        <v>44575</v>
      </c>
      <c r="B6421" s="6" t="str">
        <f ca="1">IFERROR(__xludf.DUMMYFUNCTION("""COMPUTED_VALUE"""),"-33.755595,-70.891528")</f>
        <v>-33.755595,-70.891528</v>
      </c>
      <c r="C6421" s="6" t="str">
        <f ca="1">IFERROR(__xludf.DUMMYFUNCTION("""COMPUTED_VALUE"""),"PJE LOPEZ 308")</f>
        <v>PJE LOPEZ 308</v>
      </c>
      <c r="D6421" s="6" t="str">
        <f ca="1">IFERROR(__xludf.DUMMYFUNCTION("""COMPUTED_VALUE"""),"ISLA DE MAIPO")</f>
        <v>ISLA DE MAIPO</v>
      </c>
    </row>
    <row r="6422" spans="1:4">
      <c r="A6422" s="7">
        <f ca="1">IFERROR(__xludf.DUMMYFUNCTION("""COMPUTED_VALUE"""),44575)</f>
        <v>44575</v>
      </c>
      <c r="B6422" s="6" t="str">
        <f ca="1">IFERROR(__xludf.DUMMYFUNCTION("""COMPUTED_VALUE"""),"-33.328679,-70.763875")</f>
        <v>-33.328679,-70.763875</v>
      </c>
      <c r="C6422" s="6" t="str">
        <f ca="1">IFERROR(__xludf.DUMMYFUNCTION("""COMPUTED_VALUE"""),"HERRADURA 682")</f>
        <v>HERRADURA 682</v>
      </c>
      <c r="D6422" s="6" t="str">
        <f ca="1">IFERROR(__xludf.DUMMYFUNCTION("""COMPUTED_VALUE"""),"LAMPA")</f>
        <v>LAMPA</v>
      </c>
    </row>
    <row r="6423" spans="1:4">
      <c r="A6423" s="7">
        <f ca="1">IFERROR(__xludf.DUMMYFUNCTION("""COMPUTED_VALUE"""),44575)</f>
        <v>44575</v>
      </c>
      <c r="B6423" s="6" t="str">
        <f ca="1">IFERROR(__xludf.DUMMYFUNCTION("""COMPUTED_VALUE"""),"-33.188890,-70.704491")</f>
        <v>-33.188890,-70.704491</v>
      </c>
      <c r="C6423" s="6" t="str">
        <f ca="1">IFERROR(__xludf.DUMMYFUNCTION("""COMPUTED_VALUE"""),"PRIMA NORTE P48 S/29")</f>
        <v>PRIMA NORTE P48 S/29</v>
      </c>
      <c r="D6423" s="6" t="str">
        <f ca="1">IFERROR(__xludf.DUMMYFUNCTION("""COMPUTED_VALUE"""),"COLINA")</f>
        <v>COLINA</v>
      </c>
    </row>
    <row r="6424" spans="1:4">
      <c r="A6424" s="7">
        <f ca="1">IFERROR(__xludf.DUMMYFUNCTION("""COMPUTED_VALUE"""),44575)</f>
        <v>44575</v>
      </c>
      <c r="B6424" s="6" t="str">
        <f ca="1">IFERROR(__xludf.DUMMYFUNCTION("""COMPUTED_VALUE"""),"-35.406511,-71.647401")</f>
        <v>-35.406511,-71.647401</v>
      </c>
      <c r="C6424" s="6" t="str">
        <f ca="1">IFERROR(__xludf.DUMMYFUNCTION("""COMPUTED_VALUE"""),"DIECIOCHO NORTE 1585 LOTEO DON ENRIQUE")</f>
        <v>DIECIOCHO NORTE 1585 LOTEO DON ENRIQUE</v>
      </c>
      <c r="D6424" s="6" t="str">
        <f ca="1">IFERROR(__xludf.DUMMYFUNCTION("""COMPUTED_VALUE"""),"TALCA")</f>
        <v>TALCA</v>
      </c>
    </row>
    <row r="6425" spans="1:4">
      <c r="A6425" s="7">
        <f ca="1">IFERROR(__xludf.DUMMYFUNCTION("""COMPUTED_VALUE"""),44575)</f>
        <v>44575</v>
      </c>
      <c r="B6425" s="6" t="str">
        <f ca="1">IFERROR(__xludf.DUMMYFUNCTION("""COMPUTED_VALUE"""),"-35.407726,-71.648475")</f>
        <v>-35.407726,-71.648475</v>
      </c>
      <c r="C6425" s="6" t="str">
        <f ca="1">IFERROR(__xludf.DUMMYFUNCTION("""COMPUTED_VALUE"""),"DIAGONAL OCHO LOTE 2865  DON ENRIQUE")</f>
        <v>DIAGONAL OCHO LOTE 2865  DON ENRIQUE</v>
      </c>
      <c r="D6425" s="6" t="str">
        <f ca="1">IFERROR(__xludf.DUMMYFUNCTION("""COMPUTED_VALUE"""),"TALCA")</f>
        <v>TALCA</v>
      </c>
    </row>
    <row r="6426" spans="1:4">
      <c r="A6426" s="7">
        <f ca="1">IFERROR(__xludf.DUMMYFUNCTION("""COMPUTED_VALUE"""),44575)</f>
        <v>44575</v>
      </c>
      <c r="B6426" s="6" t="str">
        <f ca="1">IFERROR(__xludf.DUMMYFUNCTION("""COMPUTED_VALUE"""),"-35.410852,-71.641536")</f>
        <v>-35.410852,-71.641536</v>
      </c>
      <c r="C6426" s="6" t="str">
        <f ca="1">IFERROR(__xludf.DUMMYFUNCTION("""COMPUTED_VALUE"""),"DIAGONAL OCHO ORIENTE 2855 LOTE DON ENRIQUE")</f>
        <v>DIAGONAL OCHO ORIENTE 2855 LOTE DON ENRIQUE</v>
      </c>
      <c r="D6426" s="6" t="str">
        <f ca="1">IFERROR(__xludf.DUMMYFUNCTION("""COMPUTED_VALUE"""),"TALCA")</f>
        <v>TALCA</v>
      </c>
    </row>
    <row r="6427" spans="1:4">
      <c r="A6427" s="7">
        <f ca="1">IFERROR(__xludf.DUMMYFUNCTION("""COMPUTED_VALUE"""),44575)</f>
        <v>44575</v>
      </c>
      <c r="B6427" s="6" t="str">
        <f ca="1">IFERROR(__xludf.DUMMYFUNCTION("""COMPUTED_VALUE"""),"-35.753676,-71.684224")</f>
        <v>-35.753676,-71.684224</v>
      </c>
      <c r="C6427" s="6" t="str">
        <f ca="1">IFERROR(__xludf.DUMMYFUNCTION("""COMPUTED_VALUE"""),"CA TRES 1668 1 DOÑA IGNACIA III")</f>
        <v>CA TRES 1668 1 DOÑA IGNACIA III</v>
      </c>
      <c r="D6427" s="6" t="str">
        <f ca="1">IFERROR(__xludf.DUMMYFUNCTION("""COMPUTED_VALUE"""),"TALCA")</f>
        <v>TALCA</v>
      </c>
    </row>
    <row r="6428" spans="1:4">
      <c r="A6428" s="7">
        <f ca="1">IFERROR(__xludf.DUMMYFUNCTION("""COMPUTED_VALUE"""),44575)</f>
        <v>44575</v>
      </c>
      <c r="B6428" s="8" t="str">
        <f ca="1">IFERROR(__xludf.DUMMYFUNCTION("""COMPUTED_VALUE"""),"-33.625797,-70.780111")</f>
        <v>-33.625797,-70.780111</v>
      </c>
      <c r="C6428" s="6" t="str">
        <f ca="1">IFERROR(__xludf.DUMMYFUNCTION("""COMPUTED_VALUE"""),"CALERA DE TANGO PRCELA 2")</f>
        <v>CALERA DE TANGO PRCELA 2</v>
      </c>
      <c r="D6428" s="6" t="str">
        <f ca="1">IFERROR(__xludf.DUMMYFUNCTION("""COMPUTED_VALUE"""),"CALERA DE TANGO")</f>
        <v>CALERA DE TANGO</v>
      </c>
    </row>
    <row r="6429" spans="1:4">
      <c r="A6429" s="7">
        <f ca="1">IFERROR(__xludf.DUMMYFUNCTION("""COMPUTED_VALUE"""),44575)</f>
        <v>44575</v>
      </c>
      <c r="B6429" s="8" t="str">
        <f ca="1">IFERROR(__xludf.DUMMYFUNCTION("""COMPUTED_VALUE"""),"-33.280237,-70.681208")</f>
        <v>-33.280237,-70.681208</v>
      </c>
      <c r="C6429" s="6" t="str">
        <f ca="1">IFERROR(__xludf.DUMMYFUNCTION("""COMPUTED_VALUE"""),"LOS INGLESES 178")</f>
        <v>LOS INGLESES 178</v>
      </c>
      <c r="D6429" s="6" t="str">
        <f ca="1">IFERROR(__xludf.DUMMYFUNCTION("""COMPUTED_VALUE"""),"COLINA")</f>
        <v>COLINA</v>
      </c>
    </row>
    <row r="6430" spans="1:4">
      <c r="A6430" s="7">
        <f ca="1">IFERROR(__xludf.DUMMYFUNCTION("""COMPUTED_VALUE"""),44575)</f>
        <v>44575</v>
      </c>
      <c r="B6430" s="8" t="str">
        <f ca="1">IFERROR(__xludf.DUMMYFUNCTION("""COMPUTED_VALUE"""),"-33.232986,-70.813419")</f>
        <v>-33.232986,-70.813419</v>
      </c>
      <c r="C6430" s="6" t="str">
        <f ca="1">IFERROR(__xludf.DUMMYFUNCTION("""COMPUTED_VALUE"""),"FIGUEROA 86")</f>
        <v>FIGUEROA 86</v>
      </c>
      <c r="D6430" s="6" t="str">
        <f ca="1">IFERROR(__xludf.DUMMYFUNCTION("""COMPUTED_VALUE"""),"LAMPA")</f>
        <v>LAMPA</v>
      </c>
    </row>
    <row r="6431" spans="1:4">
      <c r="A6431" s="7">
        <f ca="1">IFERROR(__xludf.DUMMYFUNCTION("""COMPUTED_VALUE"""),44575)</f>
        <v>44575</v>
      </c>
      <c r="B6431" s="6" t="str">
        <f ca="1">IFERROR(__xludf.DUMMYFUNCTION("""COMPUTED_VALUE"""),"-33.058716-71.430377")</f>
        <v>-33.058716-71.430377</v>
      </c>
      <c r="C6431" s="6" t="str">
        <f ca="1">IFERROR(__xludf.DUMMYFUNCTION("""COMPUTED_VALUE"""),"LAS ELENAS 643")</f>
        <v>LAS ELENAS 643</v>
      </c>
      <c r="D6431" s="6" t="str">
        <f ca="1">IFERROR(__xludf.DUMMYFUNCTION("""COMPUTED_VALUE"""),"QUILPUÉ")</f>
        <v>QUILPUÉ</v>
      </c>
    </row>
    <row r="6432" spans="1:4">
      <c r="A6432" s="7">
        <f ca="1">IFERROR(__xludf.DUMMYFUNCTION("""COMPUTED_VALUE"""),44575)</f>
        <v>44575</v>
      </c>
      <c r="B6432" s="6" t="str">
        <f ca="1">IFERROR(__xludf.DUMMYFUNCTION("""COMPUTED_VALUE"""),"-33.076567-71.423794")</f>
        <v>-33.076567-71.423794</v>
      </c>
      <c r="C6432" s="6" t="str">
        <f ca="1">IFERROR(__xludf.DUMMYFUNCTION("""COMPUTED_VALUE"""),"PJE LO CURRO 3242")</f>
        <v>PJE LO CURRO 3242</v>
      </c>
      <c r="D6432" s="6" t="str">
        <f ca="1">IFERROR(__xludf.DUMMYFUNCTION("""COMPUTED_VALUE"""),"QUILPUÉ")</f>
        <v>QUILPUÉ</v>
      </c>
    </row>
    <row r="6433" spans="1:4">
      <c r="A6433" s="7">
        <f ca="1">IFERROR(__xludf.DUMMYFUNCTION("""COMPUTED_VALUE"""),44575)</f>
        <v>44575</v>
      </c>
      <c r="B6433" s="6" t="str">
        <f ca="1">IFERROR(__xludf.DUMMYFUNCTION("""COMPUTED_VALUE"""),"-33.076292-71.423849")</f>
        <v>-33.076292-71.423849</v>
      </c>
      <c r="C6433" s="6" t="str">
        <f ca="1">IFERROR(__xludf.DUMMYFUNCTION("""COMPUTED_VALUE"""),"PJE LO CURRO 3250")</f>
        <v>PJE LO CURRO 3250</v>
      </c>
      <c r="D6433" s="6" t="str">
        <f ca="1">IFERROR(__xludf.DUMMYFUNCTION("""COMPUTED_VALUE"""),"QUILPUÉ")</f>
        <v>QUILPUÉ</v>
      </c>
    </row>
    <row r="6434" spans="1:4">
      <c r="A6434" s="7">
        <f ca="1">IFERROR(__xludf.DUMMYFUNCTION("""COMPUTED_VALUE"""),44575)</f>
        <v>44575</v>
      </c>
      <c r="B6434" s="6" t="str">
        <f ca="1">IFERROR(__xludf.DUMMYFUNCTION("""COMPUTED_VALUE"""),"-33.802423,-70.739684")</f>
        <v>-33.802423,-70.739684</v>
      </c>
      <c r="C6434" s="6" t="str">
        <f ca="1">IFERROR(__xludf.DUMMYFUNCTION("""COMPUTED_VALUE"""),"PJE. EL ULMO 27")</f>
        <v>PJE. EL ULMO 27</v>
      </c>
      <c r="D6434" s="6" t="str">
        <f ca="1">IFERROR(__xludf.DUMMYFUNCTION("""COMPUTED_VALUE"""),"PAINE")</f>
        <v>PAINE</v>
      </c>
    </row>
    <row r="6435" spans="1:4">
      <c r="A6435" s="7">
        <f ca="1">IFERROR(__xludf.DUMMYFUNCTION("""COMPUTED_VALUE"""),44575)</f>
        <v>44575</v>
      </c>
      <c r="B6435" s="6" t="str">
        <f ca="1">IFERROR(__xludf.DUMMYFUNCTION("""COMPUTED_VALUE"""),"-33.608769,-70.875450")</f>
        <v>-33.608769,-70.875450</v>
      </c>
      <c r="C6435" s="6" t="str">
        <f ca="1">IFERROR(__xludf.DUMMYFUNCTION("""COMPUTED_VALUE"""),"LOS COIGUES 1060")</f>
        <v>LOS COIGUES 1060</v>
      </c>
      <c r="D6435" s="6" t="str">
        <f ca="1">IFERROR(__xludf.DUMMYFUNCTION("""COMPUTED_VALUE"""),"PEÑAFLOR")</f>
        <v>PEÑAFLOR</v>
      </c>
    </row>
    <row r="6436" spans="1:4">
      <c r="A6436" s="7">
        <f ca="1">IFERROR(__xludf.DUMMYFUNCTION("""COMPUTED_VALUE"""),44576)</f>
        <v>44576</v>
      </c>
      <c r="B6436" s="6" t="str">
        <f ca="1">IFERROR(__xludf.DUMMYFUNCTION("""COMPUTED_VALUE"""),"-33.675060,-70.583548")</f>
        <v>-33.675060,-70.583548</v>
      </c>
      <c r="C6436" s="6" t="str">
        <f ca="1">IFERROR(__xludf.DUMMYFUNCTION("""COMPUTED_VALUE"""),"HERNAN PRIETO 4800")</f>
        <v>HERNAN PRIETO 4800</v>
      </c>
      <c r="D6436" s="6" t="str">
        <f ca="1">IFERROR(__xludf.DUMMYFUNCTION("""COMPUTED_VALUE"""),"PIRQUE")</f>
        <v>PIRQUE</v>
      </c>
    </row>
    <row r="6437" spans="1:4">
      <c r="A6437" s="7">
        <f ca="1">IFERROR(__xludf.DUMMYFUNCTION("""COMPUTED_VALUE"""),44576)</f>
        <v>44576</v>
      </c>
      <c r="B6437" s="8" t="str">
        <f ca="1">IFERROR(__xludf.DUMMYFUNCTION("""COMPUTED_VALUE"""),"-33.178348,-70.655448")</f>
        <v>-33.178348,-70.655448</v>
      </c>
      <c r="C6437" s="6" t="str">
        <f ca="1">IFERROR(__xludf.DUMMYFUNCTION("""COMPUTED_VALUE"""),"PADRE SOTO 358 C")</f>
        <v>PADRE SOTO 358 C</v>
      </c>
      <c r="D6437" s="6" t="str">
        <f ca="1">IFERROR(__xludf.DUMMYFUNCTION("""COMPUTED_VALUE"""),"COLINA")</f>
        <v>COLINA</v>
      </c>
    </row>
    <row r="6438" spans="1:4">
      <c r="A6438" s="7">
        <f ca="1">IFERROR(__xludf.DUMMYFUNCTION("""COMPUTED_VALUE"""),44576)</f>
        <v>44576</v>
      </c>
      <c r="B6438" s="8" t="str">
        <f ca="1">IFERROR(__xludf.DUMMYFUNCTION("""COMPUTED_VALUE"""),"-33.185698,-70.671274")</f>
        <v>-33.185698,-70.671274</v>
      </c>
      <c r="C6438" s="6" t="str">
        <f ca="1">IFERROR(__xludf.DUMMYFUNCTION("""COMPUTED_VALUE"""),"CAPITAN ANTONIO MILLAN 2325")</f>
        <v>CAPITAN ANTONIO MILLAN 2325</v>
      </c>
      <c r="D6438" s="6" t="str">
        <f ca="1">IFERROR(__xludf.DUMMYFUNCTION("""COMPUTED_VALUE"""),"COLINA")</f>
        <v>COLINA</v>
      </c>
    </row>
    <row r="6439" spans="1:4">
      <c r="A6439" s="7">
        <f ca="1">IFERROR(__xludf.DUMMYFUNCTION("""COMPUTED_VALUE"""),44576)</f>
        <v>44576</v>
      </c>
      <c r="B6439" s="8" t="str">
        <f ca="1">IFERROR(__xludf.DUMMYFUNCTION("""COMPUTED_VALUE"""),"-33.178212,-70.655641")</f>
        <v>-33.178212,-70.655641</v>
      </c>
      <c r="C6439" s="6" t="str">
        <f ca="1">IFERROR(__xludf.DUMMYFUNCTION("""COMPUTED_VALUE"""),"PADRE SOTO 358 LOTE 3")</f>
        <v>PADRE SOTO 358 LOTE 3</v>
      </c>
      <c r="D6439" s="6" t="str">
        <f ca="1">IFERROR(__xludf.DUMMYFUNCTION("""COMPUTED_VALUE"""),"COLINA")</f>
        <v>COLINA</v>
      </c>
    </row>
    <row r="6440" spans="1:4">
      <c r="A6440" s="7">
        <f ca="1">IFERROR(__xludf.DUMMYFUNCTION("""COMPUTED_VALUE"""),44576)</f>
        <v>44576</v>
      </c>
      <c r="B6440" s="6" t="str">
        <f ca="1">IFERROR(__xludf.DUMMYFUNCTION("""COMPUTED_VALUE"""),"-33.721831,-70.551704")</f>
        <v>-33.721831,-70.551704</v>
      </c>
      <c r="C6440" s="6" t="str">
        <f ca="1">IFERROR(__xludf.DUMMYFUNCTION("""COMPUTED_VALUE"""),"LOS CORRALES 108")</f>
        <v>LOS CORRALES 108</v>
      </c>
      <c r="D6440" s="6" t="str">
        <f ca="1">IFERROR(__xludf.DUMMYFUNCTION("""COMPUTED_VALUE"""),"PIRQUE")</f>
        <v>PIRQUE</v>
      </c>
    </row>
    <row r="6441" spans="1:4">
      <c r="A6441" s="7">
        <f ca="1">IFERROR(__xludf.DUMMYFUNCTION("""COMPUTED_VALUE"""),44576)</f>
        <v>44576</v>
      </c>
      <c r="B6441" s="6" t="str">
        <f ca="1">IFERROR(__xludf.DUMMYFUNCTION("""COMPUTED_VALUE"""),"-33.212198,-70.807048")</f>
        <v>-33.212198,-70.807048</v>
      </c>
      <c r="C6441" s="6" t="str">
        <f ca="1">IFERROR(__xludf.DUMMYFUNCTION("""COMPUTED_VALUE"""),"SN LAMPA")</f>
        <v>SN LAMPA</v>
      </c>
      <c r="D6441" s="6" t="str">
        <f ca="1">IFERROR(__xludf.DUMMYFUNCTION("""COMPUTED_VALUE"""),"LAMPA")</f>
        <v>LAMPA</v>
      </c>
    </row>
    <row r="6442" spans="1:4">
      <c r="A6442" s="7">
        <f ca="1">IFERROR(__xludf.DUMMYFUNCTION("""COMPUTED_VALUE"""),44576)</f>
        <v>44576</v>
      </c>
      <c r="B6442" s="6" t="str">
        <f ca="1">IFERROR(__xludf.DUMMYFUNCTION("""COMPUTED_VALUE"""),"-33.069053-71.423609")</f>
        <v>-33.069053-71.423609</v>
      </c>
      <c r="C6442" s="6" t="str">
        <f ca="1">IFERROR(__xludf.DUMMYFUNCTION("""COMPUTED_VALUE"""),"VOLCAN NEVADO 2675")</f>
        <v>VOLCAN NEVADO 2675</v>
      </c>
      <c r="D6442" s="6" t="str">
        <f ca="1">IFERROR(__xludf.DUMMYFUNCTION("""COMPUTED_VALUE"""),"QUILPUÉ")</f>
        <v>QUILPUÉ</v>
      </c>
    </row>
    <row r="6443" spans="1:4">
      <c r="A6443" s="7">
        <f ca="1">IFERROR(__xludf.DUMMYFUNCTION("""COMPUTED_VALUE"""),44576)</f>
        <v>44576</v>
      </c>
      <c r="B6443" s="6" t="str">
        <f ca="1">IFERROR(__xludf.DUMMYFUNCTION("""COMPUTED_VALUE"""),"-33.068871-71.423788")</f>
        <v>-33.068871-71.423788</v>
      </c>
      <c r="C6443" s="6" t="str">
        <f ca="1">IFERROR(__xludf.DUMMYFUNCTION("""COMPUTED_VALUE"""),"VOLCAN NEVADO 2668")</f>
        <v>VOLCAN NEVADO 2668</v>
      </c>
      <c r="D6443" s="6" t="str">
        <f ca="1">IFERROR(__xludf.DUMMYFUNCTION("""COMPUTED_VALUE"""),"QUILPUÉ")</f>
        <v>QUILPUÉ</v>
      </c>
    </row>
    <row r="6444" spans="1:4">
      <c r="A6444" s="7">
        <f ca="1">IFERROR(__xludf.DUMMYFUNCTION("""COMPUTED_VALUE"""),44576)</f>
        <v>44576</v>
      </c>
      <c r="B6444" s="6" t="str">
        <f ca="1">IFERROR(__xludf.DUMMYFUNCTION("""COMPUTED_VALUE"""),"-33.060455-71.413685")</f>
        <v>-33.060455-71.413685</v>
      </c>
      <c r="C6444" s="6" t="str">
        <f ca="1">IFERROR(__xludf.DUMMYFUNCTION("""COMPUTED_VALUE"""),"LA AGUADA 1122")</f>
        <v>LA AGUADA 1122</v>
      </c>
      <c r="D6444" s="6" t="str">
        <f ca="1">IFERROR(__xludf.DUMMYFUNCTION("""COMPUTED_VALUE"""),"QUILPUÉ")</f>
        <v>QUILPUÉ</v>
      </c>
    </row>
    <row r="6445" spans="1:4">
      <c r="A6445" s="7">
        <f ca="1">IFERROR(__xludf.DUMMYFUNCTION("""COMPUTED_VALUE"""),44577)</f>
        <v>44577</v>
      </c>
      <c r="B6445" s="6" t="str">
        <f ca="1">IFERROR(__xludf.DUMMYFUNCTION("""COMPUTED_VALUE"""),"-33.053053-71.439456")</f>
        <v>-33.053053-71.439456</v>
      </c>
      <c r="C6445" s="6" t="str">
        <f ca="1">IFERROR(__xludf.DUMMYFUNCTION("""COMPUTED_VALUE"""),"THOMPSON 1309")</f>
        <v>THOMPSON 1309</v>
      </c>
      <c r="D6445" s="6" t="str">
        <f ca="1">IFERROR(__xludf.DUMMYFUNCTION("""COMPUTED_VALUE"""),"QUILPUÉ")</f>
        <v>QUILPUÉ</v>
      </c>
    </row>
    <row r="6446" spans="1:4">
      <c r="A6446" s="7">
        <f ca="1">IFERROR(__xludf.DUMMYFUNCTION("""COMPUTED_VALUE"""),44577)</f>
        <v>44577</v>
      </c>
      <c r="B6446" s="6" t="str">
        <f ca="1">IFERROR(__xludf.DUMMYFUNCTION("""COMPUTED_VALUE"""),"-33.061906-71.411186")</f>
        <v>-33.061906-71.411186</v>
      </c>
      <c r="C6446" s="6" t="str">
        <f ca="1">IFERROR(__xludf.DUMMYFUNCTION("""COMPUTED_VALUE"""),"TRONCOS VIEJOS 810")</f>
        <v>TRONCOS VIEJOS 810</v>
      </c>
      <c r="D6446" s="6" t="str">
        <f ca="1">IFERROR(__xludf.DUMMYFUNCTION("""COMPUTED_VALUE"""),"QUILPUÉ")</f>
        <v>QUILPUÉ</v>
      </c>
    </row>
    <row r="6447" spans="1:4">
      <c r="A6447" s="7">
        <f ca="1">IFERROR(__xludf.DUMMYFUNCTION("""COMPUTED_VALUE"""),44578)</f>
        <v>44578</v>
      </c>
      <c r="B6447" s="8" t="str">
        <f ca="1">IFERROR(__xludf.DUMMYFUNCTION("""COMPUTED_VALUE"""),"-33.712959-70.743046")</f>
        <v>-33.712959-70.743046</v>
      </c>
      <c r="C6447" s="6" t="str">
        <f ca="1">IFERROR(__xludf.DUMMYFUNCTION("""COMPUTED_VALUE"""),"ESPERANZA 389")</f>
        <v>ESPERANZA 389</v>
      </c>
      <c r="D6447" s="6" t="str">
        <f ca="1">IFERROR(__xludf.DUMMYFUNCTION("""COMPUTED_VALUE"""),"BUIN")</f>
        <v>BUIN</v>
      </c>
    </row>
    <row r="6448" spans="1:4">
      <c r="A6448" s="7">
        <f ca="1">IFERROR(__xludf.DUMMYFUNCTION("""COMPUTED_VALUE"""),44578)</f>
        <v>44578</v>
      </c>
      <c r="B6448" s="6" t="str">
        <f ca="1">IFERROR(__xludf.DUMMYFUNCTION("""COMPUTED_VALUE"""),"-33.634997-70.349235")</f>
        <v>-33.634997-70.349235</v>
      </c>
      <c r="C6448" s="6" t="str">
        <f ca="1">IFERROR(__xludf.DUMMYFUNCTION("""COMPUTED_VALUE"""),"AV. CEMENTERIO 19081")</f>
        <v>AV. CEMENTERIO 19081</v>
      </c>
      <c r="D6448" s="6" t="str">
        <f ca="1">IFERROR(__xludf.DUMMYFUNCTION("""COMPUTED_VALUE"""),"SAN JOSE DE MAIPO")</f>
        <v>SAN JOSE DE MAIPO</v>
      </c>
    </row>
    <row r="6449" spans="1:4">
      <c r="A6449" s="7">
        <f ca="1">IFERROR(__xludf.DUMMYFUNCTION("""COMPUTED_VALUE"""),44578)</f>
        <v>44578</v>
      </c>
      <c r="B6449" s="6" t="str">
        <f ca="1">IFERROR(__xludf.DUMMYFUNCTION("""COMPUTED_VALUE"""),"-33.635158-70.349139")</f>
        <v>-33.635158-70.349139</v>
      </c>
      <c r="C6449" s="6" t="str">
        <f ca="1">IFERROR(__xludf.DUMMYFUNCTION("""COMPUTED_VALUE"""),"AV. CEMENTERIO 19081")</f>
        <v>AV. CEMENTERIO 19081</v>
      </c>
      <c r="D6449" s="6" t="str">
        <f ca="1">IFERROR(__xludf.DUMMYFUNCTION("""COMPUTED_VALUE"""),"SAN JOSE DE MAIPO")</f>
        <v>SAN JOSE DE MAIPO</v>
      </c>
    </row>
    <row r="6450" spans="1:4">
      <c r="A6450" s="7">
        <f ca="1">IFERROR(__xludf.DUMMYFUNCTION("""COMPUTED_VALUE"""),44578)</f>
        <v>44578</v>
      </c>
      <c r="B6450" s="6" t="str">
        <f ca="1">IFERROR(__xludf.DUMMYFUNCTION("""COMPUTED_VALUE"""),"-33.6351965-70.3491624")</f>
        <v>-33.6351965-70.3491624</v>
      </c>
      <c r="C6450" s="6" t="str">
        <f ca="1">IFERROR(__xludf.DUMMYFUNCTION("""COMPUTED_VALUE"""),"AV. EL ESFUERZO 18298")</f>
        <v>AV. EL ESFUERZO 18298</v>
      </c>
      <c r="D6450" s="6" t="str">
        <f ca="1">IFERROR(__xludf.DUMMYFUNCTION("""COMPUTED_VALUE"""),"SAN JOSE DE MAIPO")</f>
        <v>SAN JOSE DE MAIPO</v>
      </c>
    </row>
    <row r="6451" spans="1:4">
      <c r="A6451" s="7">
        <f ca="1">IFERROR(__xludf.DUMMYFUNCTION("""COMPUTED_VALUE"""),44578)</f>
        <v>44578</v>
      </c>
      <c r="B6451" s="6" t="str">
        <f ca="1">IFERROR(__xludf.DUMMYFUNCTION("""COMPUTED_VALUE"""),"-33.739916,-70.577132")</f>
        <v>-33.739916,-70.577132</v>
      </c>
      <c r="C6451" s="6" t="str">
        <f ca="1">IFERROR(__xludf.DUMMYFUNCTION("""COMPUTED_VALUE"""),"EL PRINCIPAL 119")</f>
        <v>EL PRINCIPAL 119</v>
      </c>
      <c r="D6451" s="6" t="str">
        <f ca="1">IFERROR(__xludf.DUMMYFUNCTION("""COMPUTED_VALUE"""),"PIRQUE")</f>
        <v>PIRQUE</v>
      </c>
    </row>
    <row r="6452" spans="1:4">
      <c r="A6452" s="7">
        <f ca="1">IFERROR(__xludf.DUMMYFUNCTION("""COMPUTED_VALUE"""),44578)</f>
        <v>44578</v>
      </c>
      <c r="B6452" s="6" t="str">
        <f ca="1">IFERROR(__xludf.DUMMYFUNCTION("""COMPUTED_VALUE"""),"-33.725949,-70.553344")</f>
        <v>-33.725949,-70.553344</v>
      </c>
      <c r="C6452" s="6" t="str">
        <f ca="1">IFERROR(__xludf.DUMMYFUNCTION("""COMPUTED_VALUE"""),"CORRALES 97 LOTE 8")</f>
        <v>CORRALES 97 LOTE 8</v>
      </c>
      <c r="D6452" s="6" t="str">
        <f ca="1">IFERROR(__xludf.DUMMYFUNCTION("""COMPUTED_VALUE"""),"PIRQUE")</f>
        <v>PIRQUE</v>
      </c>
    </row>
    <row r="6453" spans="1:4">
      <c r="A6453" s="7">
        <f ca="1">IFERROR(__xludf.DUMMYFUNCTION("""COMPUTED_VALUE"""),44578)</f>
        <v>44578</v>
      </c>
      <c r="B6453" s="6" t="str">
        <f ca="1">IFERROR(__xludf.DUMMYFUNCTION("""COMPUTED_VALUE"""),"-33.732425,-70.764161")</f>
        <v>-33.732425,-70.764161</v>
      </c>
      <c r="C6453" s="6" t="str">
        <f ca="1">IFERROR(__xludf.DUMMYFUNCTION("""COMPUTED_VALUE"""),"PA JORGE CARUZ PONCE 2209")</f>
        <v>PA JORGE CARUZ PONCE 2209</v>
      </c>
      <c r="D6453" s="6" t="str">
        <f ca="1">IFERROR(__xludf.DUMMYFUNCTION("""COMPUTED_VALUE"""),"BUIN")</f>
        <v>BUIN</v>
      </c>
    </row>
    <row r="6454" spans="1:4">
      <c r="A6454" s="7">
        <f ca="1">IFERROR(__xludf.DUMMYFUNCTION("""COMPUTED_VALUE"""),44578)</f>
        <v>44578</v>
      </c>
      <c r="B6454" s="6" t="str">
        <f ca="1">IFERROR(__xludf.DUMMYFUNCTION("""COMPUTED_VALUE"""),"-33.408489,-71.138115")</f>
        <v>-33.408489,-71.138115</v>
      </c>
      <c r="C6454" s="6" t="str">
        <f ca="1">IFERROR(__xludf.DUMMYFUNCTION("""COMPUTED_VALUE"""),"AV CIRCUNVALACION 1143")</f>
        <v>AV CIRCUNVALACION 1143</v>
      </c>
      <c r="D6454" s="6" t="str">
        <f ca="1">IFERROR(__xludf.DUMMYFUNCTION("""COMPUTED_VALUE"""),"CURACAVI")</f>
        <v>CURACAVI</v>
      </c>
    </row>
    <row r="6455" spans="1:4">
      <c r="A6455" s="7">
        <f ca="1">IFERROR(__xludf.DUMMYFUNCTION("""COMPUTED_VALUE"""),44578)</f>
        <v>44578</v>
      </c>
      <c r="B6455" s="6" t="str">
        <f ca="1">IFERROR(__xludf.DUMMYFUNCTION("""COMPUTED_VALUE"""),"-33.404503,-71.127846")</f>
        <v>-33.404503,-71.127846</v>
      </c>
      <c r="C6455" s="6" t="str">
        <f ca="1">IFERROR(__xludf.DUMMYFUNCTION("""COMPUTED_VALUE"""),"MANUEL FIGUEROA PONCE (ÑUNGUITO)162 LOS RACIMOS ")</f>
        <v xml:space="preserve">MANUEL FIGUEROA PONCE (ÑUNGUITO)162 LOS RACIMOS </v>
      </c>
      <c r="D6455" s="6" t="str">
        <f ca="1">IFERROR(__xludf.DUMMYFUNCTION("""COMPUTED_VALUE"""),"CURACAVI")</f>
        <v>CURACAVI</v>
      </c>
    </row>
    <row r="6456" spans="1:4">
      <c r="A6456" s="7">
        <f ca="1">IFERROR(__xludf.DUMMYFUNCTION("""COMPUTED_VALUE"""),44578)</f>
        <v>44578</v>
      </c>
      <c r="B6456" s="6" t="str">
        <f ca="1">IFERROR(__xludf.DUMMYFUNCTION("""COMPUTED_VALUE"""),"-33.949122,-71.520120")</f>
        <v>-33.949122,-71.520120</v>
      </c>
      <c r="C6456" s="6" t="str">
        <f ca="1">IFERROR(__xludf.DUMMYFUNCTION("""COMPUTED_VALUE"""),"CALLE EL MANZANO II S/N")</f>
        <v>CALLE EL MANZANO II S/N</v>
      </c>
      <c r="D6456" s="6" t="str">
        <f ca="1">IFERROR(__xludf.DUMMYFUNCTION("""COMPUTED_VALUE"""),"SAN PEDRO")</f>
        <v>SAN PEDRO</v>
      </c>
    </row>
    <row r="6457" spans="1:4">
      <c r="A6457" s="7">
        <f ca="1">IFERROR(__xludf.DUMMYFUNCTION("""COMPUTED_VALUE"""),44578)</f>
        <v>44578</v>
      </c>
      <c r="B6457" s="8" t="str">
        <f ca="1">IFERROR(__xludf.DUMMYFUNCTION("""COMPUTED_VALUE"""),"-34.036521,-71.100350")</f>
        <v>-34.036521,-71.100350</v>
      </c>
      <c r="C6457" s="6" t="str">
        <f ca="1">IFERROR(__xludf.DUMMYFUNCTION("""COMPUTED_VALUE"""),"ESMERALDA 548 ")</f>
        <v xml:space="preserve">ESMERALDA 548 </v>
      </c>
      <c r="D6457" s="6" t="str">
        <f ca="1">IFERROR(__xludf.DUMMYFUNCTION("""COMPUTED_VALUE"""),"ALHUÉ")</f>
        <v>ALHUÉ</v>
      </c>
    </row>
    <row r="6458" spans="1:4">
      <c r="A6458" s="7">
        <f ca="1">IFERROR(__xludf.DUMMYFUNCTION("""COMPUTED_VALUE"""),44578)</f>
        <v>44578</v>
      </c>
      <c r="B6458" s="8" t="str">
        <f ca="1">IFERROR(__xludf.DUMMYFUNCTION("""COMPUTED_VALUE"""),"-33.814608,-71.319571")</f>
        <v>-33.814608,-71.319571</v>
      </c>
      <c r="C6458" s="6" t="str">
        <f ca="1">IFERROR(__xludf.DUMMYFUNCTION("""COMPUTED_VALUE"""),"LOS QUILLAYES DE POPETA PARCELA 5")</f>
        <v>LOS QUILLAYES DE POPETA PARCELA 5</v>
      </c>
      <c r="D6458" s="6" t="str">
        <f ca="1">IFERROR(__xludf.DUMMYFUNCTION("""COMPUTED_VALUE"""),"MELIPILLA")</f>
        <v>MELIPILLA</v>
      </c>
    </row>
    <row r="6459" spans="1:4">
      <c r="A6459" s="7">
        <f ca="1">IFERROR(__xludf.DUMMYFUNCTION("""COMPUTED_VALUE"""),44578)</f>
        <v>44578</v>
      </c>
      <c r="B6459" s="6" t="str">
        <f ca="1">IFERROR(__xludf.DUMMYFUNCTION("""COMPUTED_VALUE"""),"-33.303825,-70.694569")</f>
        <v>-33.303825,-70.694569</v>
      </c>
      <c r="C6459" s="6" t="str">
        <f ca="1">IFERROR(__xludf.DUMMYFUNCTION("""COMPUTED_VALUE"""),"CAMINO DEL ACTOR 10446")</f>
        <v>CAMINO DEL ACTOR 10446</v>
      </c>
      <c r="D6459" s="6" t="str">
        <f ca="1">IFERROR(__xludf.DUMMYFUNCTION("""COMPUTED_VALUE"""),"COLINA")</f>
        <v>COLINA</v>
      </c>
    </row>
    <row r="6460" spans="1:4">
      <c r="A6460" s="7">
        <f ca="1">IFERROR(__xludf.DUMMYFUNCTION("""COMPUTED_VALUE"""),44579)</f>
        <v>44579</v>
      </c>
      <c r="B6460" s="6" t="str">
        <f ca="1">IFERROR(__xludf.DUMMYFUNCTION("""COMPUTED_VALUE"""),"-33.8163617-70.172760")</f>
        <v>-33.8163617-70.172760</v>
      </c>
      <c r="C6460" s="6" t="str">
        <f ca="1">IFERROR(__xludf.DUMMYFUNCTION("""COMPUTED_VALUE"""),"SAN JOSE ALTO S/N")</f>
        <v>SAN JOSE ALTO S/N</v>
      </c>
      <c r="D6460" s="6" t="str">
        <f ca="1">IFERROR(__xludf.DUMMYFUNCTION("""COMPUTED_VALUE"""),"SAN JOSE DE MAIPO")</f>
        <v>SAN JOSE DE MAIPO</v>
      </c>
    </row>
    <row r="6461" spans="1:4">
      <c r="A6461" s="7">
        <f ca="1">IFERROR(__xludf.DUMMYFUNCTION("""COMPUTED_VALUE"""),44579)</f>
        <v>44579</v>
      </c>
      <c r="B6461" s="6" t="str">
        <f ca="1">IFERROR(__xludf.DUMMYFUNCTION("""COMPUTED_VALUE"""),"-33.6418983-70.3517768")</f>
        <v>-33.6418983-70.3517768</v>
      </c>
      <c r="C6461" s="6" t="str">
        <f ca="1">IFERROR(__xludf.DUMMYFUNCTION("""COMPUTED_VALUE"""),"AV. EL CERRO 19934")</f>
        <v>AV. EL CERRO 19934</v>
      </c>
      <c r="D6461" s="6" t="str">
        <f ca="1">IFERROR(__xludf.DUMMYFUNCTION("""COMPUTED_VALUE"""),"SAN JOSE DE MAIPO")</f>
        <v>SAN JOSE DE MAIPO</v>
      </c>
    </row>
    <row r="6462" spans="1:4">
      <c r="A6462" s="7">
        <f ca="1">IFERROR(__xludf.DUMMYFUNCTION("""COMPUTED_VALUE"""),44579)</f>
        <v>44579</v>
      </c>
      <c r="B6462" s="6" t="str">
        <f ca="1">IFERROR(__xludf.DUMMYFUNCTION("""COMPUTED_VALUE"""),"-33.25593-70.88132")</f>
        <v>-33.25593-70.88132</v>
      </c>
      <c r="C6462" s="6" t="str">
        <f ca="1">IFERROR(__xludf.DUMMYFUNCTION("""COMPUTED_VALUE"""),"CAMINO INTERIOR SIT 25 A")</f>
        <v>CAMINO INTERIOR SIT 25 A</v>
      </c>
      <c r="D6462" s="6" t="str">
        <f ca="1">IFERROR(__xludf.DUMMYFUNCTION("""COMPUTED_VALUE"""),"LAMPA")</f>
        <v>LAMPA</v>
      </c>
    </row>
    <row r="6463" spans="1:4">
      <c r="A6463" s="7">
        <f ca="1">IFERROR(__xludf.DUMMYFUNCTION("""COMPUTED_VALUE"""),44579)</f>
        <v>44579</v>
      </c>
      <c r="B6463" s="6" t="str">
        <f ca="1">IFERROR(__xludf.DUMMYFUNCTION("""COMPUTED_VALUE"""),"-33.27115-70.88002")</f>
        <v>-33.27115-70.88002</v>
      </c>
      <c r="C6463" s="6" t="str">
        <f ca="1">IFERROR(__xludf.DUMMYFUNCTION("""COMPUTED_VALUE"""),"MARTICORENA P-2")</f>
        <v>MARTICORENA P-2</v>
      </c>
      <c r="D6463" s="6" t="str">
        <f ca="1">IFERROR(__xludf.DUMMYFUNCTION("""COMPUTED_VALUE"""),"LAMPA")</f>
        <v>LAMPA</v>
      </c>
    </row>
    <row r="6464" spans="1:4">
      <c r="A6464" s="7">
        <f ca="1">IFERROR(__xludf.DUMMYFUNCTION("""COMPUTED_VALUE"""),44579)</f>
        <v>44579</v>
      </c>
      <c r="B6464" s="6" t="str">
        <f ca="1">IFERROR(__xludf.DUMMYFUNCTION("""COMPUTED_VALUE"""),"-33.28169-70.7564")</f>
        <v>-33.28169-70.7564</v>
      </c>
      <c r="C6464" s="6" t="str">
        <f ca="1">IFERROR(__xludf.DUMMYFUNCTION("""COMPUTED_VALUE"""),"SELVA OSCURA II")</f>
        <v>SELVA OSCURA II</v>
      </c>
      <c r="D6464" s="6" t="str">
        <f ca="1">IFERROR(__xludf.DUMMYFUNCTION("""COMPUTED_VALUE"""),"LAMPA")</f>
        <v>LAMPA</v>
      </c>
    </row>
    <row r="6465" spans="1:4">
      <c r="A6465" s="7">
        <f ca="1">IFERROR(__xludf.DUMMYFUNCTION("""COMPUTED_VALUE"""),44579)</f>
        <v>44579</v>
      </c>
      <c r="B6465" s="6" t="str">
        <f ca="1">IFERROR(__xludf.DUMMYFUNCTION("""COMPUTED_VALUE"""),"-33.13996-70.79769")</f>
        <v>-33.13996-70.79769</v>
      </c>
      <c r="C6465" s="6" t="str">
        <f ca="1">IFERROR(__xludf.DUMMYFUNCTION("""COMPUTED_VALUE"""),"3 SUR 270")</f>
        <v>3 SUR 270</v>
      </c>
      <c r="D6465" s="6" t="str">
        <f ca="1">IFERROR(__xludf.DUMMYFUNCTION("""COMPUTED_VALUE"""),"TIL TIL")</f>
        <v>TIL TIL</v>
      </c>
    </row>
    <row r="6466" spans="1:4">
      <c r="A6466" s="7">
        <f ca="1">IFERROR(__xludf.DUMMYFUNCTION("""COMPUTED_VALUE"""),44579)</f>
        <v>44579</v>
      </c>
      <c r="B6466" s="6" t="str">
        <f ca="1">IFERROR(__xludf.DUMMYFUNCTION("""COMPUTED_VALUE"""),"-33.657261,-70.625537")</f>
        <v>-33.657261,-70.625537</v>
      </c>
      <c r="C6466" s="6" t="str">
        <f ca="1">IFERROR(__xludf.DUMMYFUNCTION("""COMPUTED_VALUE"""),"SAN VICENTE 7 D EL PRINCIPAL 119")</f>
        <v>SAN VICENTE 7 D EL PRINCIPAL 119</v>
      </c>
      <c r="D6466" s="6" t="str">
        <f ca="1">IFERROR(__xludf.DUMMYFUNCTION("""COMPUTED_VALUE"""),"PIRQUE")</f>
        <v>PIRQUE</v>
      </c>
    </row>
    <row r="6467" spans="1:4">
      <c r="A6467" s="7">
        <f ca="1">IFERROR(__xludf.DUMMYFUNCTION("""COMPUTED_VALUE"""),44579)</f>
        <v>44579</v>
      </c>
      <c r="B6467" s="6" t="str">
        <f ca="1">IFERROR(__xludf.DUMMYFUNCTION("""COMPUTED_VALUE"""),"-33.806848,-70.736060")</f>
        <v>-33.806848,-70.736060</v>
      </c>
      <c r="C6467" s="6" t="str">
        <f ca="1">IFERROR(__xludf.DUMMYFUNCTION("""COMPUTED_VALUE"""),"ISLA CHILOE 160")</f>
        <v>ISLA CHILOE 160</v>
      </c>
      <c r="D6467" s="6" t="str">
        <f ca="1">IFERROR(__xludf.DUMMYFUNCTION("""COMPUTED_VALUE"""),"PAINE")</f>
        <v>PAINE</v>
      </c>
    </row>
    <row r="6468" spans="1:4">
      <c r="A6468" s="7">
        <f ca="1">IFERROR(__xludf.DUMMYFUNCTION("""COMPUTED_VALUE"""),44579)</f>
        <v>44579</v>
      </c>
      <c r="B6468" s="6" t="str">
        <f ca="1">IFERROR(__xludf.DUMMYFUNCTION("""COMPUTED_VALUE"""),"-33.811990,-70.734078")</f>
        <v>-33.811990,-70.734078</v>
      </c>
      <c r="C6468" s="6" t="str">
        <f ca="1">IFERROR(__xludf.DUMMYFUNCTION("""COMPUTED_VALUE"""),"LOS HEROES 789")</f>
        <v>LOS HEROES 789</v>
      </c>
      <c r="D6468" s="6" t="str">
        <f ca="1">IFERROR(__xludf.DUMMYFUNCTION("""COMPUTED_VALUE"""),"PAINE")</f>
        <v>PAINE</v>
      </c>
    </row>
    <row r="6469" spans="1:4">
      <c r="A6469" s="7">
        <f ca="1">IFERROR(__xludf.DUMMYFUNCTION("""COMPUTED_VALUE"""),44579)</f>
        <v>44579</v>
      </c>
      <c r="B6469" s="6" t="str">
        <f ca="1">IFERROR(__xludf.DUMMYFUNCTION("""COMPUTED_VALUE"""),"-33.812605,-70.731167")</f>
        <v>-33.812605,-70.731167</v>
      </c>
      <c r="C6469" s="6" t="str">
        <f ca="1">IFERROR(__xludf.DUMMYFUNCTION("""COMPUTED_VALUE"""),"KUYEN 829")</f>
        <v>KUYEN 829</v>
      </c>
      <c r="D6469" s="6" t="str">
        <f ca="1">IFERROR(__xludf.DUMMYFUNCTION("""COMPUTED_VALUE"""),"PAINE")</f>
        <v>PAINE</v>
      </c>
    </row>
    <row r="6470" spans="1:4">
      <c r="A6470" s="7">
        <f ca="1">IFERROR(__xludf.DUMMYFUNCTION("""COMPUTED_VALUE"""),44579)</f>
        <v>44579</v>
      </c>
      <c r="B6470" s="8" t="str">
        <f ca="1">IFERROR(__xludf.DUMMYFUNCTION("""COMPUTED_VALUE"""),"-33.314681,-70.870653")</f>
        <v>-33.314681,-70.870653</v>
      </c>
      <c r="C6470" s="6" t="str">
        <f ca="1">IFERROR(__xludf.DUMMYFUNCTION("""COMPUTED_VALUE"""),"PABLO NERUDA 411 ")</f>
        <v xml:space="preserve">PABLO NERUDA 411 </v>
      </c>
      <c r="D6470" s="6" t="str">
        <f ca="1">IFERROR(__xludf.DUMMYFUNCTION("""COMPUTED_VALUE"""),"PEÑAFLOR")</f>
        <v>PEÑAFLOR</v>
      </c>
    </row>
    <row r="6471" spans="1:4">
      <c r="A6471" s="7">
        <f ca="1">IFERROR(__xludf.DUMMYFUNCTION("""COMPUTED_VALUE"""),44579)</f>
        <v>44579</v>
      </c>
      <c r="B6471" s="8" t="str">
        <f ca="1">IFERROR(__xludf.DUMMYFUNCTION("""COMPUTED_VALUE"""),"-33.608302,-70.891558")</f>
        <v>-33.608302,-70.891558</v>
      </c>
      <c r="C6471" s="6" t="str">
        <f ca="1">IFERROR(__xludf.DUMMYFUNCTION("""COMPUTED_VALUE"""),"LOS QUINCHAS 2832")</f>
        <v>LOS QUINCHAS 2832</v>
      </c>
      <c r="D6471" s="6" t="str">
        <f ca="1">IFERROR(__xludf.DUMMYFUNCTION("""COMPUTED_VALUE"""),"PEÑAFLOR")</f>
        <v>PEÑAFLOR</v>
      </c>
    </row>
    <row r="6472" spans="1:4">
      <c r="A6472" s="7">
        <f ca="1">IFERROR(__xludf.DUMMYFUNCTION("""COMPUTED_VALUE"""),44579)</f>
        <v>44579</v>
      </c>
      <c r="B6472" s="8" t="str">
        <f ca="1">IFERROR(__xludf.DUMMYFUNCTION("""COMPUTED_VALUE"""),"-33.8207923,-70.7402528")</f>
        <v>-33.8207923,-70.7402528</v>
      </c>
      <c r="C6472" s="6" t="str">
        <f ca="1">IFERROR(__xludf.DUMMYFUNCTION("""COMPUTED_VALUE"""),"URUGUAY 267")</f>
        <v>URUGUAY 267</v>
      </c>
      <c r="D6472" s="6" t="str">
        <f ca="1">IFERROR(__xludf.DUMMYFUNCTION("""COMPUTED_VALUE"""),"PAINE")</f>
        <v>PAINE</v>
      </c>
    </row>
    <row r="6473" spans="1:4">
      <c r="A6473" s="7">
        <f ca="1">IFERROR(__xludf.DUMMYFUNCTION("""COMPUTED_VALUE"""),44579)</f>
        <v>44579</v>
      </c>
      <c r="B6473" s="8" t="str">
        <f ca="1">IFERROR(__xludf.DUMMYFUNCTION("""COMPUTED_VALUE"""),"-33.8206057,-70.7372438")</f>
        <v>-33.8206057,-70.7372438</v>
      </c>
      <c r="C6473" s="6" t="str">
        <f ca="1">IFERROR(__xludf.DUMMYFUNCTION("""COMPUTED_VALUE"""),"PARQUE NACIONAL HUERQUEHUE 1596")</f>
        <v>PARQUE NACIONAL HUERQUEHUE 1596</v>
      </c>
      <c r="D6473" s="6" t="str">
        <f ca="1">IFERROR(__xludf.DUMMYFUNCTION("""COMPUTED_VALUE"""),"PAINE")</f>
        <v>PAINE</v>
      </c>
    </row>
    <row r="6474" spans="1:4">
      <c r="A6474" s="7">
        <f ca="1">IFERROR(__xludf.DUMMYFUNCTION("""COMPUTED_VALUE"""),44579)</f>
        <v>44579</v>
      </c>
      <c r="B6474" s="8" t="str">
        <f ca="1">IFERROR(__xludf.DUMMYFUNCTION("""COMPUTED_VALUE"""),"-33.8160993,-70.7394484")</f>
        <v>-33.8160993,-70.7394484</v>
      </c>
      <c r="C6474" s="6" t="str">
        <f ca="1">IFERROR(__xludf.DUMMYFUNCTION("""COMPUTED_VALUE"""),"SAULO 240")</f>
        <v>SAULO 240</v>
      </c>
      <c r="D6474" s="6" t="str">
        <f ca="1">IFERROR(__xludf.DUMMYFUNCTION("""COMPUTED_VALUE"""),"PAINE")</f>
        <v>PAINE</v>
      </c>
    </row>
    <row r="6475" spans="1:4">
      <c r="A6475" s="7">
        <f ca="1">IFERROR(__xludf.DUMMYFUNCTION("""COMPUTED_VALUE"""),44579)</f>
        <v>44579</v>
      </c>
      <c r="B6475" s="6" t="str">
        <f ca="1">IFERROR(__xludf.DUMMYFUNCTION("""COMPUTED_VALUE"""),"-33.716252,-70.569871")</f>
        <v>-33.716252,-70.569871</v>
      </c>
      <c r="C6475" s="6" t="str">
        <f ca="1">IFERROR(__xludf.DUMMYFUNCTION("""COMPUTED_VALUE"""),"PARCELACION EL PRINCIPAL 17 A")</f>
        <v>PARCELACION EL PRINCIPAL 17 A</v>
      </c>
      <c r="D6475" s="6" t="str">
        <f ca="1">IFERROR(__xludf.DUMMYFUNCTION("""COMPUTED_VALUE"""),"PIRQUE")</f>
        <v>PIRQUE</v>
      </c>
    </row>
    <row r="6476" spans="1:4">
      <c r="A6476" s="7">
        <f ca="1">IFERROR(__xludf.DUMMYFUNCTION("""COMPUTED_VALUE"""),44579)</f>
        <v>44579</v>
      </c>
      <c r="B6476" s="6" t="str">
        <f ca="1">IFERROR(__xludf.DUMMYFUNCTION("""COMPUTED_VALUE"""),"-33.967977,-71.577827")</f>
        <v>-33.967977,-71.577827</v>
      </c>
      <c r="C6476" s="6" t="str">
        <f ca="1">IFERROR(__xludf.DUMMYFUNCTION("""COMPUTED_VALUE"""),"SECTOR NIHUE S/N EL PRADO")</f>
        <v>SECTOR NIHUE S/N EL PRADO</v>
      </c>
      <c r="D6476" s="6" t="str">
        <f ca="1">IFERROR(__xludf.DUMMYFUNCTION("""COMPUTED_VALUE"""),"SAN PEDRO")</f>
        <v>SAN PEDRO</v>
      </c>
    </row>
    <row r="6477" spans="1:4">
      <c r="A6477" s="7">
        <f ca="1">IFERROR(__xludf.DUMMYFUNCTION("""COMPUTED_VALUE"""),44579)</f>
        <v>44579</v>
      </c>
      <c r="B6477" s="6" t="str">
        <f ca="1">IFERROR(__xludf.DUMMYFUNCTION("""COMPUTED_VALUE"""),"-33.739789,-71.020454")</f>
        <v>-33.739789,-71.020454</v>
      </c>
      <c r="C6477" s="6" t="str">
        <f ca="1">IFERROR(__xludf.DUMMYFUNCTION("""COMPUTED_VALUE"""),"LOS ACACIOS 16 PARCELA 60")</f>
        <v>LOS ACACIOS 16 PARCELA 60</v>
      </c>
      <c r="D6477" s="6" t="str">
        <f ca="1">IFERROR(__xludf.DUMMYFUNCTION("""COMPUTED_VALUE"""),"ISLA DE MAIPO")</f>
        <v>ISLA DE MAIPO</v>
      </c>
    </row>
    <row r="6478" spans="1:4">
      <c r="A6478" s="7">
        <f ca="1">IFERROR(__xludf.DUMMYFUNCTION("""COMPUTED_VALUE"""),44579)</f>
        <v>44579</v>
      </c>
      <c r="B6478" s="6" t="str">
        <f ca="1">IFERROR(__xludf.DUMMYFUNCTION("""COMPUTED_VALUE"""),"-35.408682,-71.624640")</f>
        <v>-35.408682,-71.624640</v>
      </c>
      <c r="C6478" s="6" t="str">
        <f ca="1">IFERROR(__xludf.DUMMYFUNCTION("""COMPUTED_VALUE"""),"22 ORIENTE A 3463")</f>
        <v>22 ORIENTE A 3463</v>
      </c>
      <c r="D6478" s="6" t="str">
        <f ca="1">IFERROR(__xludf.DUMMYFUNCTION("""COMPUTED_VALUE"""),"TALCA")</f>
        <v>TALCA</v>
      </c>
    </row>
    <row r="6479" spans="1:4">
      <c r="A6479" s="7">
        <f ca="1">IFERROR(__xludf.DUMMYFUNCTION("""COMPUTED_VALUE"""),44579)</f>
        <v>44579</v>
      </c>
      <c r="B6479" s="6" t="str">
        <f ca="1">IFERROR(__xludf.DUMMYFUNCTION("""COMPUTED_VALUE"""),"-35.414545,-713616493")</f>
        <v>-35.414545,-713616493</v>
      </c>
      <c r="C6479" s="6" t="str">
        <f ca="1">IFERROR(__xludf.DUMMYFUNCTION("""COMPUTED_VALUE"""),"27 ORIENTE  G 3350")</f>
        <v>27 ORIENTE  G 3350</v>
      </c>
      <c r="D6479" s="6" t="str">
        <f ca="1">IFERROR(__xludf.DUMMYFUNCTION("""COMPUTED_VALUE"""),"TALCA")</f>
        <v>TALCA</v>
      </c>
    </row>
    <row r="6480" spans="1:4">
      <c r="A6480" s="7">
        <f ca="1">IFERROR(__xludf.DUMMYFUNCTION("""COMPUTED_VALUE"""),44579)</f>
        <v>44579</v>
      </c>
      <c r="B6480" s="6" t="str">
        <f ca="1">IFERROR(__xludf.DUMMYFUNCTION("""COMPUTED_VALUE"""),"-35.714233,-71.616008")</f>
        <v>-35.714233,-71.616008</v>
      </c>
      <c r="C6480" s="6" t="str">
        <f ca="1">IFERROR(__xludf.DUMMYFUNCTION("""COMPUTED_VALUE"""),"PA VEINTISIETE ORIENTE C 3668 BICENTENARIO")</f>
        <v>PA VEINTISIETE ORIENTE C 3668 BICENTENARIO</v>
      </c>
      <c r="D6480" s="6" t="str">
        <f ca="1">IFERROR(__xludf.DUMMYFUNCTION("""COMPUTED_VALUE"""),"TALCA")</f>
        <v>TALCA</v>
      </c>
    </row>
    <row r="6481" spans="1:4">
      <c r="A6481" s="7">
        <f ca="1">IFERROR(__xludf.DUMMYFUNCTION("""COMPUTED_VALUE"""),44579)</f>
        <v>44579</v>
      </c>
      <c r="B6481" s="6" t="str">
        <f ca="1">IFERROR(__xludf.DUMMYFUNCTION("""COMPUTED_VALUE"""),"-35.4122528,-71.622850")</f>
        <v>-35.4122528,-71.622850</v>
      </c>
      <c r="C6481" s="6" t="str">
        <f ca="1">IFERROR(__xludf.DUMMYFUNCTION("""COMPUTED_VALUE"""),"VEINTE NORTE 3259 LOTEO BICENTENARIO")</f>
        <v>VEINTE NORTE 3259 LOTEO BICENTENARIO</v>
      </c>
      <c r="D6481" s="6" t="str">
        <f ca="1">IFERROR(__xludf.DUMMYFUNCTION("""COMPUTED_VALUE"""),"TALCA")</f>
        <v>TALCA</v>
      </c>
    </row>
    <row r="6482" spans="1:4">
      <c r="A6482" s="7">
        <f ca="1">IFERROR(__xludf.DUMMYFUNCTION("""COMPUTED_VALUE"""),44579)</f>
        <v>44579</v>
      </c>
      <c r="B6482" s="8" t="str">
        <f ca="1">IFERROR(__xludf.DUMMYFUNCTION("""COMPUTED_VALUE"""),"-33.282626,-70.764787")</f>
        <v>-33.282626,-70.764787</v>
      </c>
      <c r="C6482" s="6" t="str">
        <f ca="1">IFERROR(__xludf.DUMMYFUNCTION("""COMPUTED_VALUE"""),"LO SOLAR CASA 4")</f>
        <v>LO SOLAR CASA 4</v>
      </c>
      <c r="D6482" s="6" t="str">
        <f ca="1">IFERROR(__xludf.DUMMYFUNCTION("""COMPUTED_VALUE"""),"COLINA")</f>
        <v>COLINA</v>
      </c>
    </row>
    <row r="6483" spans="1:4">
      <c r="A6483" s="7">
        <f ca="1">IFERROR(__xludf.DUMMYFUNCTION("""COMPUTED_VALUE"""),44579)</f>
        <v>44579</v>
      </c>
      <c r="B6483" s="8" t="str">
        <f ca="1">IFERROR(__xludf.DUMMYFUNCTION("""COMPUTED_VALUE"""),"-33.754037,-70.895945")</f>
        <v>-33.754037,-70.895945</v>
      </c>
      <c r="C6483" s="6" t="str">
        <f ca="1">IFERROR(__xludf.DUMMYFUNCTION("""COMPUTED_VALUE"""),"ALCALDE LOPEZ 233")</f>
        <v>ALCALDE LOPEZ 233</v>
      </c>
      <c r="D6483" s="6" t="str">
        <f ca="1">IFERROR(__xludf.DUMMYFUNCTION("""COMPUTED_VALUE"""),"ISLA DE MAIPO")</f>
        <v>ISLA DE MAIPO</v>
      </c>
    </row>
    <row r="6484" spans="1:4">
      <c r="A6484" s="7">
        <f ca="1">IFERROR(__xludf.DUMMYFUNCTION("""COMPUTED_VALUE"""),44579)</f>
        <v>44579</v>
      </c>
      <c r="B6484" s="8" t="str">
        <f ca="1">IFERROR(__xludf.DUMMYFUNCTION("""COMPUTED_VALUE"""),"-33.681968,-71.222382")</f>
        <v>-33.681968,-71.222382</v>
      </c>
      <c r="C6484" s="6" t="str">
        <f ca="1">IFERROR(__xludf.DUMMYFUNCTION("""COMPUTED_VALUE"""),"ARZA 1080")</f>
        <v>ARZA 1080</v>
      </c>
      <c r="D6484" s="6" t="str">
        <f ca="1">IFERROR(__xludf.DUMMYFUNCTION("""COMPUTED_VALUE"""),"MELIPILLA")</f>
        <v>MELIPILLA</v>
      </c>
    </row>
    <row r="6485" spans="1:4">
      <c r="A6485" s="7">
        <f ca="1">IFERROR(__xludf.DUMMYFUNCTION("""COMPUTED_VALUE"""),44579)</f>
        <v>44579</v>
      </c>
      <c r="B6485" s="6" t="str">
        <f ca="1">IFERROR(__xludf.DUMMYFUNCTION("""COMPUTED_VALUE"""),"-33.840056,-70.640706")</f>
        <v>-33.840056,-70.640706</v>
      </c>
      <c r="C6485" s="6" t="str">
        <f ca="1">IFERROR(__xludf.DUMMYFUNCTION("""COMPUTED_VALUE"""),"EL TRANSITO ST 79")</f>
        <v>EL TRANSITO ST 79</v>
      </c>
      <c r="D6485" s="6" t="str">
        <f ca="1">IFERROR(__xludf.DUMMYFUNCTION("""COMPUTED_VALUE"""),"PAINE")</f>
        <v>PAINE</v>
      </c>
    </row>
    <row r="6486" spans="1:4">
      <c r="A6486" s="7">
        <f ca="1">IFERROR(__xludf.DUMMYFUNCTION("""COMPUTED_VALUE"""),44579)</f>
        <v>44579</v>
      </c>
      <c r="B6486" s="6" t="str">
        <f ca="1">IFERROR(__xludf.DUMMYFUNCTION("""COMPUTED_VALUE"""),"-33.800291,-70.681272")</f>
        <v>-33.800291,-70.681272</v>
      </c>
      <c r="C6486" s="6" t="str">
        <f ca="1">IFERROR(__xludf.DUMMYFUNCTION("""COMPUTED_VALUE"""),"SITIO 79C 24 DE ABRIL")</f>
        <v>SITIO 79C 24 DE ABRIL</v>
      </c>
      <c r="D6486" s="6" t="str">
        <f ca="1">IFERROR(__xludf.DUMMYFUNCTION("""COMPUTED_VALUE"""),"PAINE")</f>
        <v>PAINE</v>
      </c>
    </row>
    <row r="6487" spans="1:4">
      <c r="A6487" s="7">
        <f ca="1">IFERROR(__xludf.DUMMYFUNCTION("""COMPUTED_VALUE"""),44579)</f>
        <v>44579</v>
      </c>
      <c r="B6487" s="6" t="str">
        <f ca="1">IFERROR(__xludf.DUMMYFUNCTION("""COMPUTED_VALUE"""),"-33.862777,-70.852879")</f>
        <v>-33.862777,-70.852879</v>
      </c>
      <c r="C6487" s="6" t="str">
        <f ca="1">IFERROR(__xludf.DUMMYFUNCTION("""COMPUTED_VALUE"""),"EL MANZANITO 13B")</f>
        <v>EL MANZANITO 13B</v>
      </c>
      <c r="D6487" s="6" t="str">
        <f ca="1">IFERROR(__xludf.DUMMYFUNCTION("""COMPUTED_VALUE"""),"PAINE")</f>
        <v>PAINE</v>
      </c>
    </row>
    <row r="6488" spans="1:4">
      <c r="A6488" s="7">
        <f ca="1">IFERROR(__xludf.DUMMYFUNCTION("""COMPUTED_VALUE"""),44579)</f>
        <v>44579</v>
      </c>
      <c r="B6488" s="6" t="str">
        <f ca="1">IFERROR(__xludf.DUMMYFUNCTION("""COMPUTED_VALUE"""),"-33.863004,-70.852826")</f>
        <v>-33.863004,-70.852826</v>
      </c>
      <c r="C6488" s="6" t="str">
        <f ca="1">IFERROR(__xludf.DUMMYFUNCTION("""COMPUTED_VALUE"""),"EL MANZANITO 13B")</f>
        <v>EL MANZANITO 13B</v>
      </c>
      <c r="D6488" s="6" t="str">
        <f ca="1">IFERROR(__xludf.DUMMYFUNCTION("""COMPUTED_VALUE"""),"PAINE")</f>
        <v>PAINE</v>
      </c>
    </row>
    <row r="6489" spans="1:4">
      <c r="A6489" s="7">
        <f ca="1">IFERROR(__xludf.DUMMYFUNCTION("""COMPUTED_VALUE"""),44580)</f>
        <v>44580</v>
      </c>
      <c r="B6489" s="6" t="str">
        <f ca="1">IFERROR(__xludf.DUMMYFUNCTION("""COMPUTED_VALUE"""),"-33.7088445-70.5493881")</f>
        <v>-33.7088445-70.5493881</v>
      </c>
      <c r="C6489" s="6" t="str">
        <f ca="1">IFERROR(__xludf.DUMMYFUNCTION("""COMPUTED_VALUE"""),"VILLORIO SAN MANUEL 182")</f>
        <v>VILLORIO SAN MANUEL 182</v>
      </c>
      <c r="D6489" s="6" t="str">
        <f ca="1">IFERROR(__xludf.DUMMYFUNCTION("""COMPUTED_VALUE"""),"PIRQUE")</f>
        <v>PIRQUE</v>
      </c>
    </row>
    <row r="6490" spans="1:4">
      <c r="A6490" s="7">
        <f ca="1">IFERROR(__xludf.DUMMYFUNCTION("""COMPUTED_VALUE"""),44580)</f>
        <v>44580</v>
      </c>
      <c r="B6490" s="6" t="str">
        <f ca="1">IFERROR(__xludf.DUMMYFUNCTION("""COMPUTED_VALUE"""),"-33.038604-70-5641502")</f>
        <v>-33.038604-70-5641502</v>
      </c>
      <c r="C6490" s="6" t="str">
        <f ca="1">IFERROR(__xludf.DUMMYFUNCTION("""COMPUTED_VALUE"""),"CAMINO EL PRINCIPAL 21")</f>
        <v>CAMINO EL PRINCIPAL 21</v>
      </c>
      <c r="D6490" s="6" t="str">
        <f ca="1">IFERROR(__xludf.DUMMYFUNCTION("""COMPUTED_VALUE"""),"PIRQUE")</f>
        <v>PIRQUE</v>
      </c>
    </row>
    <row r="6491" spans="1:4">
      <c r="A6491" s="7">
        <f ca="1">IFERROR(__xludf.DUMMYFUNCTION("""COMPUTED_VALUE"""),44580)</f>
        <v>44580</v>
      </c>
      <c r="B6491" s="6" t="str">
        <f ca="1">IFERROR(__xludf.DUMMYFUNCTION("""COMPUTED_VALUE"""),"-33.7168108-70.5506364")</f>
        <v>-33.7168108-70.5506364</v>
      </c>
      <c r="C6491" s="6" t="str">
        <f ca="1">IFERROR(__xludf.DUMMYFUNCTION("""COMPUTED_VALUE"""),"EL PRINCIPAL SITIO 61")</f>
        <v>EL PRINCIPAL SITIO 61</v>
      </c>
      <c r="D6491" s="6" t="str">
        <f ca="1">IFERROR(__xludf.DUMMYFUNCTION("""COMPUTED_VALUE"""),"PIRQUE")</f>
        <v>PIRQUE</v>
      </c>
    </row>
    <row r="6492" spans="1:4">
      <c r="A6492" s="7">
        <f ca="1">IFERROR(__xludf.DUMMYFUNCTION("""COMPUTED_VALUE"""),44580)</f>
        <v>44580</v>
      </c>
      <c r="B6492" s="6" t="str">
        <f ca="1">IFERROR(__xludf.DUMMYFUNCTION("""COMPUTED_VALUE"""),"-33.707449,-70.556921")</f>
        <v>-33.707449,-70.556921</v>
      </c>
      <c r="C6492" s="6" t="str">
        <f ca="1">IFERROR(__xludf.DUMMYFUNCTION("""COMPUTED_VALUE"""),"LA ARAUCARIA 765")</f>
        <v>LA ARAUCARIA 765</v>
      </c>
      <c r="D6492" s="6" t="str">
        <f ca="1">IFERROR(__xludf.DUMMYFUNCTION("""COMPUTED_VALUE"""),"PIRQUE")</f>
        <v>PIRQUE</v>
      </c>
    </row>
    <row r="6493" spans="1:4">
      <c r="A6493" s="7">
        <f ca="1">IFERROR(__xludf.DUMMYFUNCTION("""COMPUTED_VALUE"""),44580)</f>
        <v>44580</v>
      </c>
      <c r="B6493" s="8" t="str">
        <f ca="1">IFERROR(__xludf.DUMMYFUNCTION("""COMPUTED_VALUE"""),"-33.809248,-70.729112")</f>
        <v>-33.809248,-70.729112</v>
      </c>
      <c r="C6493" s="6" t="str">
        <f ca="1">IFERROR(__xludf.DUMMYFUNCTION("""COMPUTED_VALUE"""),"CORONEL 951")</f>
        <v>CORONEL 951</v>
      </c>
      <c r="D6493" s="6" t="str">
        <f ca="1">IFERROR(__xludf.DUMMYFUNCTION("""COMPUTED_VALUE"""),"PAINE")</f>
        <v>PAINE</v>
      </c>
    </row>
    <row r="6494" spans="1:4">
      <c r="A6494" s="7">
        <f ca="1">IFERROR(__xludf.DUMMYFUNCTION("""COMPUTED_VALUE"""),44580)</f>
        <v>44580</v>
      </c>
      <c r="B6494" s="8" t="str">
        <f ca="1">IFERROR(__xludf.DUMMYFUNCTION("""COMPUTED_VALUE"""),"-33.705675,-70.566902")</f>
        <v>-33.705675,-70.566902</v>
      </c>
      <c r="C6494" s="6" t="str">
        <f ca="1">IFERROR(__xludf.DUMMYFUNCTION("""COMPUTED_VALUE"""),"ALCALDE HERNAN PRIETO 339")</f>
        <v>ALCALDE HERNAN PRIETO 339</v>
      </c>
      <c r="D6494" s="6" t="str">
        <f ca="1">IFERROR(__xludf.DUMMYFUNCTION("""COMPUTED_VALUE"""),"PIRQUE")</f>
        <v>PIRQUE</v>
      </c>
    </row>
    <row r="6495" spans="1:4">
      <c r="A6495" s="7">
        <f ca="1">IFERROR(__xludf.DUMMYFUNCTION("""COMPUTED_VALUE"""),44580)</f>
        <v>44580</v>
      </c>
      <c r="B6495" s="8" t="str">
        <f ca="1">IFERROR(__xludf.DUMMYFUNCTION("""COMPUTED_VALUE"""),"-33.655834,-70.626876")</f>
        <v>-33.655834,-70.626876</v>
      </c>
      <c r="C6495" s="6" t="str">
        <f ca="1">IFERROR(__xludf.DUMMYFUNCTION("""COMPUTED_VALUE"""),"SAN VICENTE SITIO 32")</f>
        <v>SAN VICENTE SITIO 32</v>
      </c>
      <c r="D6495" s="6" t="str">
        <f ca="1">IFERROR(__xludf.DUMMYFUNCTION("""COMPUTED_VALUE"""),"PIRQUE")</f>
        <v>PIRQUE</v>
      </c>
    </row>
    <row r="6496" spans="1:4">
      <c r="A6496" s="7">
        <f ca="1">IFERROR(__xludf.DUMMYFUNCTION("""COMPUTED_VALUE"""),44580)</f>
        <v>44580</v>
      </c>
      <c r="B6496" s="8" t="str">
        <f ca="1">IFERROR(__xludf.DUMMYFUNCTION("""COMPUTED_VALUE"""),"-33.686709,-70.576427")</f>
        <v>-33.686709,-70.576427</v>
      </c>
      <c r="C6496" s="6" t="str">
        <f ca="1">IFERROR(__xludf.DUMMYFUNCTION("""COMPUTED_VALUE"""),"PAR 25 LO ARCAYA ")</f>
        <v xml:space="preserve">PAR 25 LO ARCAYA </v>
      </c>
      <c r="D6496" s="6" t="str">
        <f ca="1">IFERROR(__xludf.DUMMYFUNCTION("""COMPUTED_VALUE"""),"PIRQUE")</f>
        <v>PIRQUE</v>
      </c>
    </row>
    <row r="6497" spans="1:4">
      <c r="A6497" s="7">
        <f ca="1">IFERROR(__xludf.DUMMYFUNCTION("""COMPUTED_VALUE"""),44580)</f>
        <v>44580</v>
      </c>
      <c r="B6497" s="8" t="str">
        <f ca="1">IFERROR(__xludf.DUMMYFUNCTION("""COMPUTED_VALUE"""),"-33.601203,-70.876311")</f>
        <v>-33.601203,-70.876311</v>
      </c>
      <c r="C6497" s="6" t="str">
        <f ca="1">IFERROR(__xludf.DUMMYFUNCTION("""COMPUTED_VALUE"""),"AV. LARRAIN 2228")</f>
        <v>AV. LARRAIN 2228</v>
      </c>
      <c r="D6497" s="6" t="str">
        <f ca="1">IFERROR(__xludf.DUMMYFUNCTION("""COMPUTED_VALUE"""),"PEÑAFLOR")</f>
        <v>PEÑAFLOR</v>
      </c>
    </row>
    <row r="6498" spans="1:4">
      <c r="A6498" s="7">
        <f ca="1">IFERROR(__xludf.DUMMYFUNCTION("""COMPUTED_VALUE"""),44580)</f>
        <v>44580</v>
      </c>
      <c r="B6498" s="8" t="str">
        <f ca="1">IFERROR(__xludf.DUMMYFUNCTION("""COMPUTED_VALUE"""),"-33.877714,-70.7436611")</f>
        <v>-33.877714,-70.7436611</v>
      </c>
      <c r="C6498" s="6" t="str">
        <f ca="1">IFERROR(__xludf.DUMMYFUNCTION("""COMPUTED_VALUE"""),"EL HUERTO 32")</f>
        <v>EL HUERTO 32</v>
      </c>
      <c r="D6498" s="6" t="str">
        <f ca="1">IFERROR(__xludf.DUMMYFUNCTION("""COMPUTED_VALUE"""),"PAINE")</f>
        <v>PAINE</v>
      </c>
    </row>
    <row r="6499" spans="1:4">
      <c r="A6499" s="7">
        <f ca="1">IFERROR(__xludf.DUMMYFUNCTION("""COMPUTED_VALUE"""),44580)</f>
        <v>44580</v>
      </c>
      <c r="B6499" s="8" t="str">
        <f ca="1">IFERROR(__xludf.DUMMYFUNCTION("""COMPUTED_VALUE"""),"-33.8036320,-70.7157457")</f>
        <v>-33.8036320,-70.7157457</v>
      </c>
      <c r="C6499" s="6" t="str">
        <f ca="1">IFERROR(__xludf.DUMMYFUNCTION("""COMPUTED_VALUE"""),"CALLE UNO 2028")</f>
        <v>CALLE UNO 2028</v>
      </c>
      <c r="D6499" s="6" t="str">
        <f ca="1">IFERROR(__xludf.DUMMYFUNCTION("""COMPUTED_VALUE"""),"PAINE")</f>
        <v>PAINE</v>
      </c>
    </row>
    <row r="6500" spans="1:4">
      <c r="A6500" s="7">
        <f ca="1">IFERROR(__xludf.DUMMYFUNCTION("""COMPUTED_VALUE"""),44580)</f>
        <v>44580</v>
      </c>
      <c r="B6500" s="6" t="str">
        <f ca="1">IFERROR(__xludf.DUMMYFUNCTION("""COMPUTED_VALUE"""),"-33.633747,-70.572530")</f>
        <v>-33.633747,-70.572530</v>
      </c>
      <c r="C6500" s="6" t="str">
        <f ca="1">IFERROR(__xludf.DUMMYFUNCTION("""COMPUTED_VALUE"""),"PASAJE OSSANDON 1659")</f>
        <v>PASAJE OSSANDON 1659</v>
      </c>
      <c r="D6500" s="6" t="str">
        <f ca="1">IFERROR(__xludf.DUMMYFUNCTION("""COMPUTED_VALUE"""),"PIRQUE")</f>
        <v>PIRQUE</v>
      </c>
    </row>
    <row r="6501" spans="1:4">
      <c r="A6501" s="7">
        <f ca="1">IFERROR(__xludf.DUMMYFUNCTION("""COMPUTED_VALUE"""),44580)</f>
        <v>44580</v>
      </c>
      <c r="B6501" s="6" t="str">
        <f ca="1">IFERROR(__xludf.DUMMYFUNCTION("""COMPUTED_VALUE"""),"-33.739721,-70.020404")</f>
        <v>-33.739721,-70.020404</v>
      </c>
      <c r="C6501" s="6" t="str">
        <f ca="1">IFERROR(__xludf.DUMMYFUNCTION("""COMPUTED_VALUE"""),"LOS ACACIOS 60")</f>
        <v>LOS ACACIOS 60</v>
      </c>
      <c r="D6501" s="6" t="str">
        <f ca="1">IFERROR(__xludf.DUMMYFUNCTION("""COMPUTED_VALUE"""),"ISLA DE MAIPO")</f>
        <v>ISLA DE MAIPO</v>
      </c>
    </row>
    <row r="6502" spans="1:4">
      <c r="A6502" s="7">
        <f ca="1">IFERROR(__xludf.DUMMYFUNCTION("""COMPUTED_VALUE"""),44580)</f>
        <v>44580</v>
      </c>
      <c r="B6502" s="6" t="str">
        <f ca="1">IFERROR(__xludf.DUMMYFUNCTION("""COMPUTED_VALUE"""),"-33.945086,-71514625")</f>
        <v>-33.945086,-71514625</v>
      </c>
      <c r="C6502" s="6" t="str">
        <f ca="1">IFERROR(__xludf.DUMMYFUNCTION("""COMPUTED_VALUE"""),"CALLE EL MANZANILLO II S/N")</f>
        <v>CALLE EL MANZANILLO II S/N</v>
      </c>
      <c r="D6502" s="6" t="str">
        <f ca="1">IFERROR(__xludf.DUMMYFUNCTION("""COMPUTED_VALUE"""),"SAN PEDRO")</f>
        <v>SAN PEDRO</v>
      </c>
    </row>
    <row r="6503" spans="1:4">
      <c r="A6503" s="7">
        <f ca="1">IFERROR(__xludf.DUMMYFUNCTION("""COMPUTED_VALUE"""),44580)</f>
        <v>44580</v>
      </c>
      <c r="B6503" s="6" t="str">
        <f ca="1">IFERROR(__xludf.DUMMYFUNCTION("""COMPUTED_VALUE"""),"-35.449475,-71.650466")</f>
        <v>-35.449475,-71.650466</v>
      </c>
      <c r="C6503" s="6" t="str">
        <f ca="1">IFERROR(__xludf.DUMMYFUNCTION("""COMPUTED_VALUE"""),"VEINTICUATRO SUR LOTE  K 6 VILLA FRANCIA")</f>
        <v>VEINTICUATRO SUR LOTE  K 6 VILLA FRANCIA</v>
      </c>
      <c r="D6503" s="6" t="str">
        <f ca="1">IFERROR(__xludf.DUMMYFUNCTION("""COMPUTED_VALUE"""),"TALCA")</f>
        <v>TALCA</v>
      </c>
    </row>
    <row r="6504" spans="1:4">
      <c r="A6504" s="7">
        <f ca="1">IFERROR(__xludf.DUMMYFUNCTION("""COMPUTED_VALUE"""),44580)</f>
        <v>44580</v>
      </c>
      <c r="B6504" s="6" t="str">
        <f ca="1">IFERROR(__xludf.DUMMYFUNCTION("""COMPUTED_VALUE"""),"-35.405950,-71.619396")</f>
        <v>-35.405950,-71.619396</v>
      </c>
      <c r="C6504" s="6" t="str">
        <f ca="1">IFERROR(__xludf.DUMMYFUNCTION("""COMPUTED_VALUE"""),"PA VEINTICUATRO Y MEDIO NORTE A 3139")</f>
        <v>PA VEINTICUATRO Y MEDIO NORTE A 3139</v>
      </c>
      <c r="D6504" s="6" t="str">
        <f ca="1">IFERROR(__xludf.DUMMYFUNCTION("""COMPUTED_VALUE"""),"TALCA")</f>
        <v>TALCA</v>
      </c>
    </row>
    <row r="6505" spans="1:4">
      <c r="A6505" s="7">
        <f ca="1">IFERROR(__xludf.DUMMYFUNCTION("""COMPUTED_VALUE"""),44580)</f>
        <v>44580</v>
      </c>
      <c r="B6505" s="6" t="str">
        <f ca="1">IFERROR(__xludf.DUMMYFUNCTION("""COMPUTED_VALUE"""),"-35.455044,-71.657534")</f>
        <v>-35.455044,-71.657534</v>
      </c>
      <c r="C6505" s="6" t="str">
        <f ca="1">IFERROR(__xludf.DUMMYFUNCTION("""COMPUTED_VALUE"""),"VEINTICUATRO SUR LOTE K 6 VILLA FRANCIA ")</f>
        <v xml:space="preserve">VEINTICUATRO SUR LOTE K 6 VILLA FRANCIA </v>
      </c>
      <c r="D6505" s="6" t="str">
        <f ca="1">IFERROR(__xludf.DUMMYFUNCTION("""COMPUTED_VALUE"""),"TALCA")</f>
        <v>TALCA</v>
      </c>
    </row>
    <row r="6506" spans="1:4">
      <c r="A6506" s="7">
        <f ca="1">IFERROR(__xludf.DUMMYFUNCTION("""COMPUTED_VALUE"""),44580)</f>
        <v>44580</v>
      </c>
      <c r="B6506" s="6" t="str">
        <f ca="1">IFERROR(__xludf.DUMMYFUNCTION("""COMPUTED_VALUE"""),"-35.424662,-71.617514")</f>
        <v>-35.424662,-71.617514</v>
      </c>
      <c r="C6506" s="6" t="str">
        <f ca="1">IFERROR(__xludf.DUMMYFUNCTION("""COMPUTED_VALUE"""),"TREINTA Y DOS  Y MEDIO ORIENTE 1963")</f>
        <v>TREINTA Y DOS  Y MEDIO ORIENTE 1963</v>
      </c>
      <c r="D6506" s="6" t="str">
        <f ca="1">IFERROR(__xludf.DUMMYFUNCTION("""COMPUTED_VALUE"""),"TALCA")</f>
        <v>TALCA</v>
      </c>
    </row>
    <row r="6507" spans="1:4">
      <c r="A6507" s="7">
        <f ca="1">IFERROR(__xludf.DUMMYFUNCTION("""COMPUTED_VALUE"""),44580)</f>
        <v>44580</v>
      </c>
      <c r="B6507" s="6" t="str">
        <f ca="1">IFERROR(__xludf.DUMMYFUNCTION("""COMPUTED_VALUE"""),"-35.414982,-71.637973")</f>
        <v>-35.414982,-71.637973</v>
      </c>
      <c r="C6507" s="6" t="str">
        <f ca="1">IFERROR(__xludf.DUMMYFUNCTION("""COMPUTED_VALUE"""),"PA TRECE Y MEDIO ORIENTE A 3063 DON SEBASTIAN ")</f>
        <v xml:space="preserve">PA TRECE Y MEDIO ORIENTE A 3063 DON SEBASTIAN </v>
      </c>
      <c r="D6507" s="6" t="str">
        <f ca="1">IFERROR(__xludf.DUMMYFUNCTION("""COMPUTED_VALUE"""),"TALCA")</f>
        <v>TALCA</v>
      </c>
    </row>
    <row r="6508" spans="1:4">
      <c r="A6508" s="7">
        <f ca="1">IFERROR(__xludf.DUMMYFUNCTION("""COMPUTED_VALUE"""),44580)</f>
        <v>44580</v>
      </c>
      <c r="B6508" s="6" t="str">
        <f ca="1">IFERROR(__xludf.DUMMYFUNCTION("""COMPUTED_VALUE"""),"-35.408868,-71.637510")</f>
        <v>-35.408868,-71.637510</v>
      </c>
      <c r="C6508" s="6" t="str">
        <f ca="1">IFERROR(__xludf.DUMMYFUNCTION("""COMPUTED_VALUE"""),"PJE DOCE Y MEDIO ORIENTE B 3234")</f>
        <v>PJE DOCE Y MEDIO ORIENTE B 3234</v>
      </c>
      <c r="D6508" s="6" t="str">
        <f ca="1">IFERROR(__xludf.DUMMYFUNCTION("""COMPUTED_VALUE"""),"TALCA")</f>
        <v>TALCA</v>
      </c>
    </row>
    <row r="6509" spans="1:4">
      <c r="A6509" s="7">
        <f ca="1">IFERROR(__xludf.DUMMYFUNCTION("""COMPUTED_VALUE"""),44580)</f>
        <v>44580</v>
      </c>
      <c r="B6509" s="8" t="str">
        <f ca="1">IFERROR(__xludf.DUMMYFUNCTION("""COMPUTED_VALUE"""),"-33.809789,-71.319016")</f>
        <v>-33.809789,-71.319016</v>
      </c>
      <c r="C6509" s="6" t="str">
        <f ca="1">IFERROR(__xludf.DUMMYFUNCTION("""COMPUTED_VALUE"""),"POPETA KM 23")</f>
        <v>POPETA KM 23</v>
      </c>
      <c r="D6509" s="6" t="str">
        <f ca="1">IFERROR(__xludf.DUMMYFUNCTION("""COMPUTED_VALUE"""),"MELIPILLA")</f>
        <v>MELIPILLA</v>
      </c>
    </row>
    <row r="6510" spans="1:4">
      <c r="A6510" s="7">
        <f ca="1">IFERROR(__xludf.DUMMYFUNCTION("""COMPUTED_VALUE"""),44580)</f>
        <v>44580</v>
      </c>
      <c r="B6510" s="8" t="str">
        <f ca="1">IFERROR(__xludf.DUMMYFUNCTION("""COMPUTED_VALUE"""),"-33.810059,-71.318618")</f>
        <v>-33.810059,-71.318618</v>
      </c>
      <c r="C6510" s="6" t="str">
        <f ca="1">IFERROR(__xludf.DUMMYFUNCTION("""COMPUTED_VALUE"""),"RUTA G60 KM 23")</f>
        <v>RUTA G60 KM 23</v>
      </c>
      <c r="D6510" s="6" t="str">
        <f ca="1">IFERROR(__xludf.DUMMYFUNCTION("""COMPUTED_VALUE"""),"MELIPILLA")</f>
        <v>MELIPILLA</v>
      </c>
    </row>
    <row r="6511" spans="1:4">
      <c r="A6511" s="7">
        <f ca="1">IFERROR(__xludf.DUMMYFUNCTION("""COMPUTED_VALUE"""),44580)</f>
        <v>44580</v>
      </c>
      <c r="B6511" s="8" t="str">
        <f ca="1">IFERROR(__xludf.DUMMYFUNCTION("""COMPUTED_VALUE"""),"-33.744438,-70.867601")</f>
        <v>-33.744438,-70.867601</v>
      </c>
      <c r="C6511" s="6" t="str">
        <f ca="1">IFERROR(__xludf.DUMMYFUNCTION("""COMPUTED_VALUE"""),"ERNESTO JIMENEZ 252")</f>
        <v>ERNESTO JIMENEZ 252</v>
      </c>
      <c r="D6511" s="6" t="str">
        <f ca="1">IFERROR(__xludf.DUMMYFUNCTION("""COMPUTED_VALUE"""),"ISLA DE MAIPO")</f>
        <v>ISLA DE MAIPO</v>
      </c>
    </row>
    <row r="6512" spans="1:4">
      <c r="A6512" s="7">
        <f ca="1">IFERROR(__xludf.DUMMYFUNCTION("""COMPUTED_VALUE"""),44580)</f>
        <v>44580</v>
      </c>
      <c r="B6512" s="6" t="str">
        <f ca="1">IFERROR(__xludf.DUMMYFUNCTION("""COMPUTED_VALUE"""),"-33.05375-71.40671")</f>
        <v>-33.05375-71.40671</v>
      </c>
      <c r="C6512" s="6" t="str">
        <f ca="1">IFERROR(__xludf.DUMMYFUNCTION("""COMPUTED_VALUE"""),"GOMEZ CARREÑO 694")</f>
        <v>GOMEZ CARREÑO 694</v>
      </c>
      <c r="D6512" s="6" t="str">
        <f ca="1">IFERROR(__xludf.DUMMYFUNCTION("""COMPUTED_VALUE"""),"QUILPUÉ")</f>
        <v>QUILPUÉ</v>
      </c>
    </row>
    <row r="6513" spans="1:4">
      <c r="A6513" s="7">
        <f ca="1">IFERROR(__xludf.DUMMYFUNCTION("""COMPUTED_VALUE"""),44580)</f>
        <v>44580</v>
      </c>
      <c r="B6513" s="6" t="str">
        <f ca="1">IFERROR(__xludf.DUMMYFUNCTION("""COMPUTED_VALUE"""),"-33.0535-71.45082")</f>
        <v>-33.0535-71.45082</v>
      </c>
      <c r="C6513" s="6" t="str">
        <f ca="1">IFERROR(__xludf.DUMMYFUNCTION("""COMPUTED_VALUE"""),"PEDRO MONTT 1505")</f>
        <v>PEDRO MONTT 1505</v>
      </c>
      <c r="D6513" s="6" t="str">
        <f ca="1">IFERROR(__xludf.DUMMYFUNCTION("""COMPUTED_VALUE"""),"QUILPUÉ")</f>
        <v>QUILPUÉ</v>
      </c>
    </row>
    <row r="6514" spans="1:4">
      <c r="A6514" s="7">
        <f ca="1">IFERROR(__xludf.DUMMYFUNCTION("""COMPUTED_VALUE"""),44580)</f>
        <v>44580</v>
      </c>
      <c r="B6514" s="6" t="str">
        <f ca="1">IFERROR(__xludf.DUMMYFUNCTION("""COMPUTED_VALUE"""),"-33.053948-71.447037")</f>
        <v>-33.053948-71.447037</v>
      </c>
      <c r="C6514" s="6" t="str">
        <f ca="1">IFERROR(__xludf.DUMMYFUNCTION("""COMPUTED_VALUE"""),"VALENTIN LETELIER 1455")</f>
        <v>VALENTIN LETELIER 1455</v>
      </c>
      <c r="D6514" s="6" t="str">
        <f ca="1">IFERROR(__xludf.DUMMYFUNCTION("""COMPUTED_VALUE"""),"QUILPUÉ")</f>
        <v>QUILPUÉ</v>
      </c>
    </row>
    <row r="6515" spans="1:4">
      <c r="A6515" s="7">
        <f ca="1">IFERROR(__xludf.DUMMYFUNCTION("""COMPUTED_VALUE"""),44580)</f>
        <v>44580</v>
      </c>
      <c r="B6515" s="6" t="str">
        <f ca="1">IFERROR(__xludf.DUMMYFUNCTION("""COMPUTED_VALUE"""),"-33.052557-71.403119")</f>
        <v>-33.052557-71.403119</v>
      </c>
      <c r="C6515" s="6" t="str">
        <f ca="1">IFERROR(__xludf.DUMMYFUNCTION("""COMPUTED_VALUE"""),"PJE SANTA ANA 530")</f>
        <v>PJE SANTA ANA 530</v>
      </c>
      <c r="D6515" s="6" t="str">
        <f ca="1">IFERROR(__xludf.DUMMYFUNCTION("""COMPUTED_VALUE"""),"QUILPUÉ")</f>
        <v>QUILPUÉ</v>
      </c>
    </row>
    <row r="6516" spans="1:4">
      <c r="A6516" s="7">
        <f ca="1">IFERROR(__xludf.DUMMYFUNCTION("""COMPUTED_VALUE"""),44580)</f>
        <v>44580</v>
      </c>
      <c r="B6516" s="6" t="str">
        <f ca="1">IFERROR(__xludf.DUMMYFUNCTION("""COMPUTED_VALUE"""),"-33.863209,-70.852581")</f>
        <v>-33.863209,-70.852581</v>
      </c>
      <c r="C6516" s="6" t="str">
        <f ca="1">IFERROR(__xludf.DUMMYFUNCTION("""COMPUTED_VALUE"""),"EL MANZANITO 13B")</f>
        <v>EL MANZANITO 13B</v>
      </c>
      <c r="D6516" s="6" t="str">
        <f ca="1">IFERROR(__xludf.DUMMYFUNCTION("""COMPUTED_VALUE"""),"PAINE")</f>
        <v>PAINE</v>
      </c>
    </row>
    <row r="6517" spans="1:4">
      <c r="A6517" s="7">
        <f ca="1">IFERROR(__xludf.DUMMYFUNCTION("""COMPUTED_VALUE"""),44580)</f>
        <v>44580</v>
      </c>
      <c r="B6517" s="6" t="str">
        <f ca="1">IFERROR(__xludf.DUMMYFUNCTION("""COMPUTED_VALUE"""),"-33.863548,-70.852555")</f>
        <v>-33.863548,-70.852555</v>
      </c>
      <c r="C6517" s="6" t="str">
        <f ca="1">IFERROR(__xludf.DUMMYFUNCTION("""COMPUTED_VALUE"""),"EL MANZANITO 13A")</f>
        <v>EL MANZANITO 13A</v>
      </c>
      <c r="D6517" s="6" t="str">
        <f ca="1">IFERROR(__xludf.DUMMYFUNCTION("""COMPUTED_VALUE"""),"PAINE")</f>
        <v>PAINE</v>
      </c>
    </row>
    <row r="6518" spans="1:4">
      <c r="A6518" s="7">
        <f ca="1">IFERROR(__xludf.DUMMYFUNCTION("""COMPUTED_VALUE"""),44581)</f>
        <v>44581</v>
      </c>
      <c r="B6518" s="8" t="str">
        <f ca="1">IFERROR(__xludf.DUMMYFUNCTION("""COMPUTED_VALUE"""),"-33.728.685-70.737276")</f>
        <v>-33.728.685-70.737276</v>
      </c>
      <c r="C6518" s="6" t="str">
        <f ca="1">IFERROR(__xludf.DUMMYFUNCTION("""COMPUTED_VALUE"""),"LAS VIOLETAS 025")</f>
        <v>LAS VIOLETAS 025</v>
      </c>
      <c r="D6518" s="6" t="str">
        <f ca="1">IFERROR(__xludf.DUMMYFUNCTION("""COMPUTED_VALUE"""),"BUIN")</f>
        <v>BUIN</v>
      </c>
    </row>
    <row r="6519" spans="1:4">
      <c r="A6519" s="7">
        <f ca="1">IFERROR(__xludf.DUMMYFUNCTION("""COMPUTED_VALUE"""),44581)</f>
        <v>44581</v>
      </c>
      <c r="B6519" s="6" t="str">
        <f ca="1">IFERROR(__xludf.DUMMYFUNCTION("""COMPUTED_VALUE"""),"-33.7117225-70.556055")</f>
        <v>-33.7117225-70.556055</v>
      </c>
      <c r="C6519" s="6" t="str">
        <f ca="1">IFERROR(__xludf.DUMMYFUNCTION("""COMPUTED_VALUE"""),"PARCELA EL PRINCIPAL ST 192 C")</f>
        <v>PARCELA EL PRINCIPAL ST 192 C</v>
      </c>
      <c r="D6519" s="6" t="str">
        <f ca="1">IFERROR(__xludf.DUMMYFUNCTION("""COMPUTED_VALUE"""),"PIRQUE")</f>
        <v>PIRQUE</v>
      </c>
    </row>
    <row r="6520" spans="1:4">
      <c r="A6520" s="7">
        <f ca="1">IFERROR(__xludf.DUMMYFUNCTION("""COMPUTED_VALUE"""),44581)</f>
        <v>44581</v>
      </c>
      <c r="B6520" s="6" t="str">
        <f ca="1">IFERROR(__xludf.DUMMYFUNCTION("""COMPUTED_VALUE"""),"-33.7067299-70.546107")</f>
        <v>-33.7067299-70.546107</v>
      </c>
      <c r="C6520" s="6" t="str">
        <f ca="1">IFERROR(__xludf.DUMMYFUNCTION("""COMPUTED_VALUE"""),"ORILLA DEL RIO 155")</f>
        <v>ORILLA DEL RIO 155</v>
      </c>
      <c r="D6520" s="6" t="str">
        <f ca="1">IFERROR(__xludf.DUMMYFUNCTION("""COMPUTED_VALUE"""),"PIRQUE")</f>
        <v>PIRQUE</v>
      </c>
    </row>
    <row r="6521" spans="1:4">
      <c r="A6521" s="7">
        <f ca="1">IFERROR(__xludf.DUMMYFUNCTION("""COMPUTED_VALUE"""),44581)</f>
        <v>44581</v>
      </c>
      <c r="B6521" s="6" t="str">
        <f ca="1">IFERROR(__xludf.DUMMYFUNCTION("""COMPUTED_VALUE"""),"-33.090682-70.5505563")</f>
        <v>-33.090682-70.5505563</v>
      </c>
      <c r="C6521" s="6" t="str">
        <f ca="1">IFERROR(__xludf.DUMMYFUNCTION("""COMPUTED_VALUE"""),"CAMINO EL CHALACO 1908")</f>
        <v>CAMINO EL CHALACO 1908</v>
      </c>
      <c r="D6521" s="6" t="str">
        <f ca="1">IFERROR(__xludf.DUMMYFUNCTION("""COMPUTED_VALUE"""),"PIRQUE")</f>
        <v>PIRQUE</v>
      </c>
    </row>
    <row r="6522" spans="1:4">
      <c r="A6522" s="7">
        <f ca="1">IFERROR(__xludf.DUMMYFUNCTION("""COMPUTED_VALUE"""),44581)</f>
        <v>44581</v>
      </c>
      <c r="B6522" s="6" t="str">
        <f ca="1">IFERROR(__xludf.DUMMYFUNCTION("""COMPUTED_VALUE"""),"-33.721467,-70.554704")</f>
        <v>-33.721467,-70.554704</v>
      </c>
      <c r="C6522" s="6" t="str">
        <f ca="1">IFERROR(__xludf.DUMMYFUNCTION("""COMPUTED_VALUE"""),"PASAJE NAVARRETE 84")</f>
        <v>PASAJE NAVARRETE 84</v>
      </c>
      <c r="D6522" s="6" t="str">
        <f ca="1">IFERROR(__xludf.DUMMYFUNCTION("""COMPUTED_VALUE"""),"PIRQUE")</f>
        <v>PIRQUE</v>
      </c>
    </row>
    <row r="6523" spans="1:4">
      <c r="A6523" s="7">
        <f ca="1">IFERROR(__xludf.DUMMYFUNCTION("""COMPUTED_VALUE"""),44581)</f>
        <v>44581</v>
      </c>
      <c r="B6523" s="8" t="str">
        <f ca="1">IFERROR(__xludf.DUMMYFUNCTION("""COMPUTED_VALUE"""),"-33.406323,-71.127812")</f>
        <v>-33.406323,-71.127812</v>
      </c>
      <c r="C6523" s="6" t="str">
        <f ca="1">IFERROR(__xludf.DUMMYFUNCTION("""COMPUTED_VALUE"""),"EL OLIVA 1815")</f>
        <v>EL OLIVA 1815</v>
      </c>
      <c r="D6523" s="6" t="str">
        <f ca="1">IFERROR(__xludf.DUMMYFUNCTION("""COMPUTED_VALUE"""),"CURACAVI")</f>
        <v>CURACAVI</v>
      </c>
    </row>
    <row r="6524" spans="1:4">
      <c r="A6524" s="7">
        <f ca="1">IFERROR(__xludf.DUMMYFUNCTION("""COMPUTED_VALUE"""),44581)</f>
        <v>44581</v>
      </c>
      <c r="B6524" s="8" t="str">
        <f ca="1">IFERROR(__xludf.DUMMYFUNCTION("""COMPUTED_VALUE"""),"-33.382453,-71.191344")</f>
        <v>-33.382453,-71.191344</v>
      </c>
      <c r="C6524" s="6" t="str">
        <f ca="1">IFERROR(__xludf.DUMMYFUNCTION("""COMPUTED_VALUE"""),"EL TONOS/N V. LOS NARANJOS 122")</f>
        <v>EL TONOS/N V. LOS NARANJOS 122</v>
      </c>
      <c r="D6524" s="6" t="str">
        <f ca="1">IFERROR(__xludf.DUMMYFUNCTION("""COMPUTED_VALUE"""),"CURACAVI")</f>
        <v>CURACAVI</v>
      </c>
    </row>
    <row r="6525" spans="1:4">
      <c r="A6525" s="7">
        <f ca="1">IFERROR(__xludf.DUMMYFUNCTION("""COMPUTED_VALUE"""),44581)</f>
        <v>44581</v>
      </c>
      <c r="B6525" s="6" t="str">
        <f ca="1">IFERROR(__xludf.DUMMYFUNCTION("""COMPUTED_VALUE"""),"-33.739858,-70.577777")</f>
        <v>-33.739858,-70.577777</v>
      </c>
      <c r="C6525" s="6" t="str">
        <f ca="1">IFERROR(__xludf.DUMMYFUNCTION("""COMPUTED_VALUE"""),"PRINCIPAL P 19 LOTE7")</f>
        <v>PRINCIPAL P 19 LOTE7</v>
      </c>
      <c r="D6525" s="6" t="str">
        <f ca="1">IFERROR(__xludf.DUMMYFUNCTION("""COMPUTED_VALUE"""),"PIRQUE")</f>
        <v>PIRQUE</v>
      </c>
    </row>
    <row r="6526" spans="1:4">
      <c r="A6526" s="7">
        <f ca="1">IFERROR(__xludf.DUMMYFUNCTION("""COMPUTED_VALUE"""),44581)</f>
        <v>44581</v>
      </c>
      <c r="B6526" s="6" t="str">
        <f ca="1">IFERROR(__xludf.DUMMYFUNCTION("""COMPUTED_VALUE"""),"-33.739721,-71.020404")</f>
        <v>-33.739721,-71.020404</v>
      </c>
      <c r="C6526" s="6" t="str">
        <f ca="1">IFERROR(__xludf.DUMMYFUNCTION("""COMPUTED_VALUE"""),"LOS PENSAMIENTOS 1490")</f>
        <v>LOS PENSAMIENTOS 1490</v>
      </c>
      <c r="D6526" s="6" t="str">
        <f ca="1">IFERROR(__xludf.DUMMYFUNCTION("""COMPUTED_VALUE"""),"ISLA DE MAIPO")</f>
        <v>ISLA DE MAIPO</v>
      </c>
    </row>
    <row r="6527" spans="1:4">
      <c r="A6527" s="7">
        <f ca="1">IFERROR(__xludf.DUMMYFUNCTION("""COMPUTED_VALUE"""),44581)</f>
        <v>44581</v>
      </c>
      <c r="B6527" s="6" t="str">
        <f ca="1">IFERROR(__xludf.DUMMYFUNCTION("""COMPUTED_VALUE"""),"-33.747041,-70.921322")</f>
        <v>-33.747041,-70.921322</v>
      </c>
      <c r="C6527" s="6" t="str">
        <f ca="1">IFERROR(__xludf.DUMMYFUNCTION("""COMPUTED_VALUE"""),"AV SANTELICES 2675")</f>
        <v>AV SANTELICES 2675</v>
      </c>
      <c r="D6527" s="6" t="str">
        <f ca="1">IFERROR(__xludf.DUMMYFUNCTION("""COMPUTED_VALUE"""),"ISLA DE MAIPO")</f>
        <v>ISLA DE MAIPO</v>
      </c>
    </row>
    <row r="6528" spans="1:4">
      <c r="A6528" s="7">
        <f ca="1">IFERROR(__xludf.DUMMYFUNCTION("""COMPUTED_VALUE"""),44581)</f>
        <v>44581</v>
      </c>
      <c r="B6528" s="6" t="str">
        <f ca="1">IFERROR(__xludf.DUMMYFUNCTION("""COMPUTED_VALUE"""),"-33.6777920,-71.2348710")</f>
        <v>-33.6777920,-71.2348710</v>
      </c>
      <c r="C6528" s="6" t="str">
        <f ca="1">IFERROR(__xludf.DUMMYFUNCTION("""COMPUTED_VALUE"""),"AVENIDA TRES PONIENTE 165")</f>
        <v>AVENIDA TRES PONIENTE 165</v>
      </c>
      <c r="D6528" s="6" t="str">
        <f ca="1">IFERROR(__xludf.DUMMYFUNCTION("""COMPUTED_VALUE"""),"MELIPILLA")</f>
        <v>MELIPILLA</v>
      </c>
    </row>
    <row r="6529" spans="1:4">
      <c r="A6529" s="7">
        <f ca="1">IFERROR(__xludf.DUMMYFUNCTION("""COMPUTED_VALUE"""),44581)</f>
        <v>44581</v>
      </c>
      <c r="B6529" s="6" t="str">
        <f ca="1">IFERROR(__xludf.DUMMYFUNCTION("""COMPUTED_VALUE"""),"-33.3413835,-71.0053.0")</f>
        <v>-33.3413835,-71.0053.0</v>
      </c>
      <c r="C6529" s="6" t="str">
        <f ca="1">IFERROR(__xludf.DUMMYFUNCTION("""COMPUTED_VALUE"""),"SECTOR MALLARAUCO S/N CV 65 LOTE 1 SANTA TERESA")</f>
        <v>SECTOR MALLARAUCO S/N CV 65 LOTE 1 SANTA TERESA</v>
      </c>
      <c r="D6529" s="6" t="str">
        <f ca="1">IFERROR(__xludf.DUMMYFUNCTION("""COMPUTED_VALUE"""),"MELIPILLA")</f>
        <v>MELIPILLA</v>
      </c>
    </row>
    <row r="6530" spans="1:4">
      <c r="A6530" s="7">
        <f ca="1">IFERROR(__xludf.DUMMYFUNCTION("""COMPUTED_VALUE"""),44581)</f>
        <v>44581</v>
      </c>
      <c r="B6530" s="8" t="str">
        <f ca="1">IFERROR(__xludf.DUMMYFUNCTION("""COMPUTED_VALUE"""),"-33.753101,-70.827504")</f>
        <v>-33.753101,-70.827504</v>
      </c>
      <c r="C6530" s="6" t="str">
        <f ca="1">IFERROR(__xludf.DUMMYFUNCTION("""COMPUTED_VALUE"""),"EL MAICILLO 4429")</f>
        <v>EL MAICILLO 4429</v>
      </c>
      <c r="D6530" s="6" t="str">
        <f ca="1">IFERROR(__xludf.DUMMYFUNCTION("""COMPUTED_VALUE"""),"ISLA DE MAIPO")</f>
        <v>ISLA DE MAIPO</v>
      </c>
    </row>
    <row r="6531" spans="1:4">
      <c r="A6531" s="7">
        <f ca="1">IFERROR(__xludf.DUMMYFUNCTION("""COMPUTED_VALUE"""),44581)</f>
        <v>44581</v>
      </c>
      <c r="B6531" s="8" t="str">
        <f ca="1">IFERROR(__xludf.DUMMYFUNCTION("""COMPUTED_VALUE"""),"-33.288575,-70.875864")</f>
        <v>-33.288575,-70.875864</v>
      </c>
      <c r="C6531" s="6" t="str">
        <f ca="1">IFERROR(__xludf.DUMMYFUNCTION("""COMPUTED_VALUE"""),"LONGAVI 44")</f>
        <v>LONGAVI 44</v>
      </c>
      <c r="D6531" s="6" t="str">
        <f ca="1">IFERROR(__xludf.DUMMYFUNCTION("""COMPUTED_VALUE"""),"LAMPA")</f>
        <v>LAMPA</v>
      </c>
    </row>
    <row r="6532" spans="1:4">
      <c r="A6532" s="7">
        <f ca="1">IFERROR(__xludf.DUMMYFUNCTION("""COMPUTED_VALUE"""),44581)</f>
        <v>44581</v>
      </c>
      <c r="B6532" s="8" t="str">
        <f ca="1">IFERROR(__xludf.DUMMYFUNCTION("""COMPUTED_VALUE"""),"-33.631361,-70.818695")</f>
        <v>-33.631361,-70.818695</v>
      </c>
      <c r="C6532" s="6" t="str">
        <f ca="1">IFERROR(__xludf.DUMMYFUNCTION("""COMPUTED_VALUE"""),"CALLE BRISAS DEL SUR J 06")</f>
        <v>CALLE BRISAS DEL SUR J 06</v>
      </c>
      <c r="D6532" s="6" t="str">
        <f ca="1">IFERROR(__xludf.DUMMYFUNCTION("""COMPUTED_VALUE"""),"CALERA DE TANGO")</f>
        <v>CALERA DE TANGO</v>
      </c>
    </row>
    <row r="6533" spans="1:4">
      <c r="A6533" s="7">
        <f ca="1">IFERROR(__xludf.DUMMYFUNCTION("""COMPUTED_VALUE"""),44581)</f>
        <v>44581</v>
      </c>
      <c r="B6533" s="6" t="str">
        <f ca="1">IFERROR(__xludf.DUMMYFUNCTION("""COMPUTED_VALUE"""),"-33.069449-71.414745")</f>
        <v>-33.069449-71.414745</v>
      </c>
      <c r="C6533" s="6" t="str">
        <f ca="1">IFERROR(__xludf.DUMMYFUNCTION("""COMPUTED_VALUE"""),"ALMIRANTE GERKEN 2516")</f>
        <v>ALMIRANTE GERKEN 2516</v>
      </c>
      <c r="D6533" s="6" t="str">
        <f ca="1">IFERROR(__xludf.DUMMYFUNCTION("""COMPUTED_VALUE"""),"QUILPUÉ")</f>
        <v>QUILPUÉ</v>
      </c>
    </row>
    <row r="6534" spans="1:4">
      <c r="A6534" s="7">
        <f ca="1">IFERROR(__xludf.DUMMYFUNCTION("""COMPUTED_VALUE"""),44581)</f>
        <v>44581</v>
      </c>
      <c r="B6534" s="6" t="str">
        <f ca="1">IFERROR(__xludf.DUMMYFUNCTION("""COMPUTED_VALUE"""),"-33.060856-71.410844")</f>
        <v>-33.060856-71.410844</v>
      </c>
      <c r="C6534" s="6" t="str">
        <f ca="1">IFERROR(__xludf.DUMMYFUNCTION("""COMPUTED_VALUE"""),"PJE 809 1113")</f>
        <v>PJE 809 1113</v>
      </c>
      <c r="D6534" s="6" t="str">
        <f ca="1">IFERROR(__xludf.DUMMYFUNCTION("""COMPUTED_VALUE"""),"QUILPUÉ")</f>
        <v>QUILPUÉ</v>
      </c>
    </row>
    <row r="6535" spans="1:4">
      <c r="A6535" s="7">
        <f ca="1">IFERROR(__xludf.DUMMYFUNCTION("""COMPUTED_VALUE"""),44581)</f>
        <v>44581</v>
      </c>
      <c r="B6535" s="6" t="str">
        <f ca="1">IFERROR(__xludf.DUMMYFUNCTION("""COMPUTED_VALUE"""),"-33.297832,-70.879302")</f>
        <v>-33.297832,-70.879302</v>
      </c>
      <c r="C6535" s="6" t="str">
        <f ca="1">IFERROR(__xludf.DUMMYFUNCTION("""COMPUTED_VALUE"""),"LARAPINTA PONIENTE 2556")</f>
        <v>LARAPINTA PONIENTE 2556</v>
      </c>
      <c r="D6535" s="6" t="str">
        <f ca="1">IFERROR(__xludf.DUMMYFUNCTION("""COMPUTED_VALUE"""),"LAMPA")</f>
        <v>LAMPA</v>
      </c>
    </row>
    <row r="6536" spans="1:4">
      <c r="A6536" s="7">
        <f ca="1">IFERROR(__xludf.DUMMYFUNCTION("""COMPUTED_VALUE"""),44581)</f>
        <v>44581</v>
      </c>
      <c r="B6536" s="6" t="str">
        <f ca="1">IFERROR(__xludf.DUMMYFUNCTION("""COMPUTED_VALUE"""),"-33.244978,-70.700469")</f>
        <v>-33.244978,-70.700469</v>
      </c>
      <c r="C6536" s="6" t="str">
        <f ca="1">IFERROR(__xludf.DUMMYFUNCTION("""COMPUTED_VALUE"""),"SAN JOSE PARC 19 SITIO I 1")</f>
        <v>SAN JOSE PARC 19 SITIO I 1</v>
      </c>
      <c r="D6536" s="6" t="str">
        <f ca="1">IFERROR(__xludf.DUMMYFUNCTION("""COMPUTED_VALUE"""),"COLINA")</f>
        <v>COLINA</v>
      </c>
    </row>
    <row r="6537" spans="1:4">
      <c r="A6537" s="7">
        <f ca="1">IFERROR(__xludf.DUMMYFUNCTION("""COMPUTED_VALUE"""),44582)</f>
        <v>44582</v>
      </c>
      <c r="B6537" s="8" t="str">
        <f ca="1">IFERROR(__xludf.DUMMYFUNCTION("""COMPUTED_VALUE"""),"-33.7486045-70.8702862")</f>
        <v>-33.7486045-70.8702862</v>
      </c>
      <c r="C6537" s="6" t="str">
        <f ca="1">IFERROR(__xludf.DUMMYFUNCTION("""COMPUTED_VALUE"""),"EL WARTEK 313")</f>
        <v>EL WARTEK 313</v>
      </c>
      <c r="D6537" s="6" t="str">
        <f ca="1">IFERROR(__xludf.DUMMYFUNCTION("""COMPUTED_VALUE"""),"ISLA DE MAIPO")</f>
        <v>ISLA DE MAIPO</v>
      </c>
    </row>
    <row r="6538" spans="1:4">
      <c r="A6538" s="7">
        <f ca="1">IFERROR(__xludf.DUMMYFUNCTION("""COMPUTED_VALUE"""),44582)</f>
        <v>44582</v>
      </c>
      <c r="B6538" s="8" t="str">
        <f ca="1">IFERROR(__xludf.DUMMYFUNCTION("""COMPUTED_VALUE"""),"-33.7459256-70.8996352")</f>
        <v>-33.7459256-70.8996352</v>
      </c>
      <c r="C6538" s="6" t="str">
        <f ca="1">IFERROR(__xludf.DUMMYFUNCTION("""COMPUTED_VALUE"""),"LO HERRERA 551")</f>
        <v>LO HERRERA 551</v>
      </c>
      <c r="D6538" s="6" t="str">
        <f ca="1">IFERROR(__xludf.DUMMYFUNCTION("""COMPUTED_VALUE"""),"ISLA DE MAIPO")</f>
        <v>ISLA DE MAIPO</v>
      </c>
    </row>
    <row r="6539" spans="1:4">
      <c r="A6539" s="7">
        <f ca="1">IFERROR(__xludf.DUMMYFUNCTION("""COMPUTED_VALUE"""),44582)</f>
        <v>44582</v>
      </c>
      <c r="B6539" s="8" t="str">
        <f ca="1">IFERROR(__xludf.DUMMYFUNCTION("""COMPUTED_VALUE"""),"-33.571363-71.195034")</f>
        <v>-33.571363-71.195034</v>
      </c>
      <c r="C6539" s="6" t="str">
        <f ca="1">IFERROR(__xludf.DUMMYFUNCTION("""COMPUTED_VALUE"""),"ANSELMO ALARCON 1483")</f>
        <v>ANSELMO ALARCON 1483</v>
      </c>
      <c r="D6539" s="6" t="str">
        <f ca="1">IFERROR(__xludf.DUMMYFUNCTION("""COMPUTED_VALUE"""),"MELIPILLA")</f>
        <v>MELIPILLA</v>
      </c>
    </row>
    <row r="6540" spans="1:4">
      <c r="A6540" s="7">
        <f ca="1">IFERROR(__xludf.DUMMYFUNCTION("""COMPUTED_VALUE"""),44582)</f>
        <v>44582</v>
      </c>
      <c r="B6540" s="8" t="str">
        <f ca="1">IFERROR(__xludf.DUMMYFUNCTION("""COMPUTED_VALUE"""),"-33.771879-70.902143")</f>
        <v>-33.771879-70.902143</v>
      </c>
      <c r="C6540" s="6" t="str">
        <f ca="1">IFERROR(__xludf.DUMMYFUNCTION("""COMPUTED_VALUE"""),"GALVEZ 1590")</f>
        <v>GALVEZ 1590</v>
      </c>
      <c r="D6540" s="6" t="str">
        <f ca="1">IFERROR(__xludf.DUMMYFUNCTION("""COMPUTED_VALUE"""),"ISLA DE MAIPO")</f>
        <v>ISLA DE MAIPO</v>
      </c>
    </row>
    <row r="6541" spans="1:4">
      <c r="A6541" s="7">
        <f ca="1">IFERROR(__xludf.DUMMYFUNCTION("""COMPUTED_VALUE"""),44582)</f>
        <v>44582</v>
      </c>
      <c r="B6541" s="6" t="str">
        <f ca="1">IFERROR(__xludf.DUMMYFUNCTION("""COMPUTED_VALUE"""),"-33.708032,-70.543045")</f>
        <v>-33.708032,-70.543045</v>
      </c>
      <c r="C6541" s="6" t="str">
        <f ca="1">IFERROR(__xludf.DUMMYFUNCTION("""COMPUTED_VALUE"""),"ORILLA DEL TIO 155")</f>
        <v>ORILLA DEL TIO 155</v>
      </c>
      <c r="D6541" s="6" t="str">
        <f ca="1">IFERROR(__xludf.DUMMYFUNCTION("""COMPUTED_VALUE"""),"PIRQUE")</f>
        <v>PIRQUE</v>
      </c>
    </row>
    <row r="6542" spans="1:4">
      <c r="A6542" s="7">
        <f ca="1">IFERROR(__xludf.DUMMYFUNCTION("""COMPUTED_VALUE"""),44582)</f>
        <v>44582</v>
      </c>
      <c r="B6542" s="8" t="str">
        <f ca="1">IFERROR(__xludf.DUMMYFUNCTION("""COMPUTED_VALUE"""),"-33.678812,-70.999494")</f>
        <v>-33.678812,-70.999494</v>
      </c>
      <c r="C6542" s="6" t="str">
        <f ca="1">IFERROR(__xludf.DUMMYFUNCTION("""COMPUTED_VALUE"""),"ZOZIMO ERRAZURRI 270")</f>
        <v>ZOZIMO ERRAZURRI 270</v>
      </c>
      <c r="D6542" s="6" t="str">
        <f ca="1">IFERROR(__xludf.DUMMYFUNCTION("""COMPUTED_VALUE"""),"EL MONTE")</f>
        <v>EL MONTE</v>
      </c>
    </row>
    <row r="6543" spans="1:4">
      <c r="A6543" s="7">
        <f ca="1">IFERROR(__xludf.DUMMYFUNCTION("""COMPUTED_VALUE"""),44582)</f>
        <v>44582</v>
      </c>
      <c r="B6543" s="8" t="str">
        <f ca="1">IFERROR(__xludf.DUMMYFUNCTION("""COMPUTED_VALUE"""),"-33.683754,-71.000394")</f>
        <v>-33.683754,-71.000394</v>
      </c>
      <c r="C6543" s="6" t="str">
        <f ca="1">IFERROR(__xludf.DUMMYFUNCTION("""COMPUTED_VALUE"""),"AV. LIBERTADORES 813-A")</f>
        <v>AV. LIBERTADORES 813-A</v>
      </c>
      <c r="D6543" s="6" t="str">
        <f ca="1">IFERROR(__xludf.DUMMYFUNCTION("""COMPUTED_VALUE"""),"EL MONTE")</f>
        <v>EL MONTE</v>
      </c>
    </row>
    <row r="6544" spans="1:4">
      <c r="A6544" s="7">
        <f ca="1">IFERROR(__xludf.DUMMYFUNCTION("""COMPUTED_VALUE"""),44582)</f>
        <v>44582</v>
      </c>
      <c r="B6544" s="8" t="str">
        <f ca="1">IFERROR(__xludf.DUMMYFUNCTION("""COMPUTED_VALUE"""),"-33.8179175,-70.7433439")</f>
        <v>-33.8179175,-70.7433439</v>
      </c>
      <c r="C6544" s="6" t="str">
        <f ca="1">IFERROR(__xludf.DUMMYFUNCTION("""COMPUTED_VALUE"""),"AV BAQUEDANO 1131")</f>
        <v>AV BAQUEDANO 1131</v>
      </c>
      <c r="D6544" s="6" t="str">
        <f ca="1">IFERROR(__xludf.DUMMYFUNCTION("""COMPUTED_VALUE"""),"PAINE")</f>
        <v>PAINE</v>
      </c>
    </row>
    <row r="6545" spans="1:4">
      <c r="A6545" s="7">
        <f ca="1">IFERROR(__xludf.DUMMYFUNCTION("""COMPUTED_VALUE"""),44582)</f>
        <v>44582</v>
      </c>
      <c r="B6545" s="6" t="str">
        <f ca="1">IFERROR(__xludf.DUMMYFUNCTION("""COMPUTED_VALUE"""),"-33.736384,-70.576359")</f>
        <v>-33.736384,-70.576359</v>
      </c>
      <c r="C6545" s="6" t="str">
        <f ca="1">IFERROR(__xludf.DUMMYFUNCTION("""COMPUTED_VALUE"""),"EL PRINCIPAL SITIO 116-B")</f>
        <v>EL PRINCIPAL SITIO 116-B</v>
      </c>
      <c r="D6545" s="6" t="str">
        <f ca="1">IFERROR(__xludf.DUMMYFUNCTION("""COMPUTED_VALUE"""),"PIRQUE")</f>
        <v>PIRQUE</v>
      </c>
    </row>
    <row r="6546" spans="1:4">
      <c r="A6546" s="7">
        <f ca="1">IFERROR(__xludf.DUMMYFUNCTION("""COMPUTED_VALUE"""),44582)</f>
        <v>44582</v>
      </c>
      <c r="B6546" s="6" t="str">
        <f ca="1">IFERROR(__xludf.DUMMYFUNCTION("""COMPUTED_VALUE"""),"-33.385915,-70.51311")</f>
        <v>-33.385915,-70.51311</v>
      </c>
      <c r="C6546" s="6" t="str">
        <f ca="1">IFERROR(__xludf.DUMMYFUNCTION("""COMPUTED_VALUE"""),"MANUEL NUÑEZ 277")</f>
        <v>MANUEL NUÑEZ 277</v>
      </c>
      <c r="D6546" s="6" t="str">
        <f ca="1">IFERROR(__xludf.DUMMYFUNCTION("""COMPUTED_VALUE"""),"TALAGANTE")</f>
        <v>TALAGANTE</v>
      </c>
    </row>
    <row r="6547" spans="1:4">
      <c r="A6547" s="7">
        <f ca="1">IFERROR(__xludf.DUMMYFUNCTION("""COMPUTED_VALUE"""),44582)</f>
        <v>44582</v>
      </c>
      <c r="B6547" s="6" t="str">
        <f ca="1">IFERROR(__xludf.DUMMYFUNCTION("""COMPUTED_VALUE"""),"-35.405313,-71.657544")</f>
        <v>-35.405313,-71.657544</v>
      </c>
      <c r="C6547" s="6" t="str">
        <f ca="1">IFERROR(__xludf.DUMMYFUNCTION("""COMPUTED_VALUE"""),"TRES ORIENTE 2667  J M CARRERA")</f>
        <v>TRES ORIENTE 2667  J M CARRERA</v>
      </c>
      <c r="D6547" s="6" t="str">
        <f ca="1">IFERROR(__xludf.DUMMYFUNCTION("""COMPUTED_VALUE"""),"TALCA")</f>
        <v>TALCA</v>
      </c>
    </row>
    <row r="6548" spans="1:4">
      <c r="A6548" s="7">
        <f ca="1">IFERROR(__xludf.DUMMYFUNCTION("""COMPUTED_VALUE"""),44582)</f>
        <v>44582</v>
      </c>
      <c r="B6548" s="6" t="str">
        <f ca="1">IFERROR(__xludf.DUMMYFUNCTION("""COMPUTED_VALUE"""),"-35.436244,-71.634847")</f>
        <v>-35.436244,-71.634847</v>
      </c>
      <c r="C6548" s="6" t="str">
        <f ca="1">IFERROR(__xludf.DUMMYFUNCTION("""COMPUTED_VALUE"""),"CANCHA ACEITAL 8 ")</f>
        <v xml:space="preserve">CANCHA ACEITAL 8 </v>
      </c>
      <c r="D6548" s="6" t="str">
        <f ca="1">IFERROR(__xludf.DUMMYFUNCTION("""COMPUTED_VALUE"""),"TALCA")</f>
        <v>TALCA</v>
      </c>
    </row>
    <row r="6549" spans="1:4">
      <c r="A6549" s="7">
        <f ca="1">IFERROR(__xludf.DUMMYFUNCTION("""COMPUTED_VALUE"""),44582)</f>
        <v>44582</v>
      </c>
      <c r="B6549" s="6" t="str">
        <f ca="1">IFERROR(__xludf.DUMMYFUNCTION("""COMPUTED_VALUE"""),"-35.447764,-71.626616")</f>
        <v>-35.447764,-71.626616</v>
      </c>
      <c r="C6549" s="6" t="str">
        <f ca="1">IFERROR(__xludf.DUMMYFUNCTION("""COMPUTED_VALUE"""),"34 ORIENTE 105  11SUR ")</f>
        <v xml:space="preserve">34 ORIENTE 105  11SUR </v>
      </c>
      <c r="D6549" s="6" t="str">
        <f ca="1">IFERROR(__xludf.DUMMYFUNCTION("""COMPUTED_VALUE"""),"TALCA")</f>
        <v>TALCA</v>
      </c>
    </row>
    <row r="6550" spans="1:4">
      <c r="A6550" s="7">
        <f ca="1">IFERROR(__xludf.DUMMYFUNCTION("""COMPUTED_VALUE"""),44582)</f>
        <v>44582</v>
      </c>
      <c r="B6550" s="6" t="str">
        <f ca="1">IFERROR(__xludf.DUMMYFUNCTION("""COMPUTED_VALUE"""),"-35.445194,-71.651249")</f>
        <v>-35.445194,-71.651249</v>
      </c>
      <c r="C6550" s="6" t="str">
        <f ca="1">IFERROR(__xludf.DUMMYFUNCTION("""COMPUTED_VALUE"""),"ONCE ORIENTE 6 VILLA LOS AROMOS")</f>
        <v>ONCE ORIENTE 6 VILLA LOS AROMOS</v>
      </c>
      <c r="D6550" s="6" t="str">
        <f ca="1">IFERROR(__xludf.DUMMYFUNCTION("""COMPUTED_VALUE"""),"TALCA")</f>
        <v>TALCA</v>
      </c>
    </row>
    <row r="6551" spans="1:4">
      <c r="A6551" s="7">
        <f ca="1">IFERROR(__xludf.DUMMYFUNCTION("""COMPUTED_VALUE"""),44582)</f>
        <v>44582</v>
      </c>
      <c r="B6551" s="8" t="str">
        <f ca="1">IFERROR(__xludf.DUMMYFUNCTION("""COMPUTED_VALUE"""),"-34.026597,-71.104120")</f>
        <v>-34.026597,-71.104120</v>
      </c>
      <c r="C6551" s="6" t="str">
        <f ca="1">IFERROR(__xludf.DUMMYFUNCTION("""COMPUTED_VALUE"""),"LOS NOGALES 319 ")</f>
        <v xml:space="preserve">LOS NOGALES 319 </v>
      </c>
      <c r="D6551" s="6" t="str">
        <f ca="1">IFERROR(__xludf.DUMMYFUNCTION("""COMPUTED_VALUE"""),"ALHUÉ")</f>
        <v>ALHUÉ</v>
      </c>
    </row>
    <row r="6552" spans="1:4">
      <c r="A6552" s="7">
        <f ca="1">IFERROR(__xludf.DUMMYFUNCTION("""COMPUTED_VALUE"""),44582)</f>
        <v>44582</v>
      </c>
      <c r="B6552" s="8" t="str">
        <f ca="1">IFERROR(__xludf.DUMMYFUNCTION("""COMPUTED_VALUE"""),"-33.110872.-70.817523")</f>
        <v>-33.110872.-70.817523</v>
      </c>
      <c r="C6552" s="6" t="str">
        <f ca="1">IFERROR(__xludf.DUMMYFUNCTION("""COMPUTED_VALUE"""),"PUNTA PEUCO ")</f>
        <v xml:space="preserve">PUNTA PEUCO </v>
      </c>
      <c r="D6552" s="6" t="str">
        <f ca="1">IFERROR(__xludf.DUMMYFUNCTION("""COMPUTED_VALUE"""),"TIL TIL")</f>
        <v>TIL TIL</v>
      </c>
    </row>
    <row r="6553" spans="1:4">
      <c r="A6553" s="7">
        <f ca="1">IFERROR(__xludf.DUMMYFUNCTION("""COMPUTED_VALUE"""),44582)</f>
        <v>44582</v>
      </c>
      <c r="B6553" s="8" t="str">
        <f ca="1">IFERROR(__xludf.DUMMYFUNCTION("""COMPUTED_VALUE"""),"-33.810178,-71.319065")</f>
        <v>-33.810178,-71.319065</v>
      </c>
      <c r="C6553" s="6" t="str">
        <f ca="1">IFERROR(__xludf.DUMMYFUNCTION("""COMPUTED_VALUE"""),"ALTO DE POPETA PARCELA 371")</f>
        <v>ALTO DE POPETA PARCELA 371</v>
      </c>
      <c r="D6553" s="6" t="str">
        <f ca="1">IFERROR(__xludf.DUMMYFUNCTION("""COMPUTED_VALUE"""),"MELIPILLA")</f>
        <v>MELIPILLA</v>
      </c>
    </row>
    <row r="6554" spans="1:4">
      <c r="A6554" s="7">
        <f ca="1">IFERROR(__xludf.DUMMYFUNCTION("""COMPUTED_VALUE"""),44582)</f>
        <v>44582</v>
      </c>
      <c r="B6554" s="6" t="str">
        <f ca="1">IFERROR(__xludf.DUMMYFUNCTION("""COMPUTED_VALUE"""),"-33.068905-71.425241")</f>
        <v>-33.068905-71.425241</v>
      </c>
      <c r="C6554" s="6" t="str">
        <f ca="1">IFERROR(__xludf.DUMMYFUNCTION("""COMPUTED_VALUE"""),"VOLCAN ACONCAGUA 2609")</f>
        <v>VOLCAN ACONCAGUA 2609</v>
      </c>
      <c r="D6554" s="6" t="str">
        <f ca="1">IFERROR(__xludf.DUMMYFUNCTION("""COMPUTED_VALUE"""),"QUILPUÉ")</f>
        <v>QUILPUÉ</v>
      </c>
    </row>
    <row r="6555" spans="1:4">
      <c r="A6555" s="7">
        <f ca="1">IFERROR(__xludf.DUMMYFUNCTION("""COMPUTED_VALUE"""),44583)</f>
        <v>44583</v>
      </c>
      <c r="B6555" s="6" t="str">
        <f ca="1">IFERROR(__xludf.DUMMYFUNCTION("""COMPUTED_VALUE"""),"-33.712025,-70.551885")</f>
        <v>-33.712025,-70.551885</v>
      </c>
      <c r="C6555" s="6" t="str">
        <f ca="1">IFERROR(__xludf.DUMMYFUNCTION("""COMPUTED_VALUE"""),"NUEVA 47")</f>
        <v>NUEVA 47</v>
      </c>
      <c r="D6555" s="6" t="str">
        <f ca="1">IFERROR(__xludf.DUMMYFUNCTION("""COMPUTED_VALUE"""),"PIRQUE")</f>
        <v>PIRQUE</v>
      </c>
    </row>
    <row r="6556" spans="1:4">
      <c r="A6556" s="7">
        <f ca="1">IFERROR(__xludf.DUMMYFUNCTION("""COMPUTED_VALUE"""),44583)</f>
        <v>44583</v>
      </c>
      <c r="B6556" s="6" t="str">
        <f ca="1">IFERROR(__xludf.DUMMYFUNCTION("""COMPUTED_VALUE"""),"-33.627472,-70.539477")</f>
        <v>-33.627472,-70.539477</v>
      </c>
      <c r="C6556" s="6" t="str">
        <f ca="1">IFERROR(__xludf.DUMMYFUNCTION("""COMPUTED_VALUE"""),"LAGOS DEL SUR 3619")</f>
        <v>LAGOS DEL SUR 3619</v>
      </c>
      <c r="D6556" s="6" t="str">
        <f ca="1">IFERROR(__xludf.DUMMYFUNCTION("""COMPUTED_VALUE"""),"PIRQUE")</f>
        <v>PIRQUE</v>
      </c>
    </row>
    <row r="6557" spans="1:4">
      <c r="A6557" s="7">
        <f ca="1">IFERROR(__xludf.DUMMYFUNCTION("""COMPUTED_VALUE"""),44583)</f>
        <v>44583</v>
      </c>
      <c r="B6557" s="6" t="str">
        <f ca="1">IFERROR(__xludf.DUMMYFUNCTION("""COMPUTED_VALUE"""),"-35.409692,-71.637909")</f>
        <v>-35.409692,-71.637909</v>
      </c>
      <c r="C6557" s="6" t="str">
        <f ca="1">IFERROR(__xludf.DUMMYFUNCTION("""COMPUTED_VALUE"""),"PASAJE DOCE Y MEDIO  ORIENTE B 3238 LOTEO DON RAFAEL ")</f>
        <v xml:space="preserve">PASAJE DOCE Y MEDIO  ORIENTE B 3238 LOTEO DON RAFAEL </v>
      </c>
      <c r="D6557" s="6" t="str">
        <f ca="1">IFERROR(__xludf.DUMMYFUNCTION("""COMPUTED_VALUE"""),"TALCA")</f>
        <v>TALCA</v>
      </c>
    </row>
    <row r="6558" spans="1:4">
      <c r="A6558" s="7">
        <f ca="1">IFERROR(__xludf.DUMMYFUNCTION("""COMPUTED_VALUE"""),44583)</f>
        <v>44583</v>
      </c>
      <c r="B6558" s="6" t="str">
        <f ca="1">IFERROR(__xludf.DUMMYFUNCTION("""COMPUTED_VALUE"""),"-35.411348,-71.641096")</f>
        <v>-35.411348,-71.641096</v>
      </c>
      <c r="C6558" s="6" t="str">
        <f ca="1">IFERROR(__xludf.DUMMYFUNCTION("""COMPUTED_VALUE"""),"13 ORIENTE 19 Y 20 NORTE 3018")</f>
        <v>13 ORIENTE 19 Y 20 NORTE 3018</v>
      </c>
      <c r="D6558" s="6" t="str">
        <f ca="1">IFERROR(__xludf.DUMMYFUNCTION("""COMPUTED_VALUE"""),"TALCA")</f>
        <v>TALCA</v>
      </c>
    </row>
    <row r="6559" spans="1:4">
      <c r="A6559" s="7">
        <f ca="1">IFERROR(__xludf.DUMMYFUNCTION("""COMPUTED_VALUE"""),44583)</f>
        <v>44583</v>
      </c>
      <c r="B6559" s="6" t="str">
        <f ca="1">IFERROR(__xludf.DUMMYFUNCTION("""COMPUTED_VALUE"""),"-35.418406,-71.642618")</f>
        <v>-35.418406,-71.642618</v>
      </c>
      <c r="C6559" s="6" t="str">
        <f ca="1">IFERROR(__xludf.DUMMYFUNCTION("""COMPUTED_VALUE"""),"11 NORTE 2181")</f>
        <v>11 NORTE 2181</v>
      </c>
      <c r="D6559" s="6" t="str">
        <f ca="1">IFERROR(__xludf.DUMMYFUNCTION("""COMPUTED_VALUE"""),"TALCA")</f>
        <v>TALCA</v>
      </c>
    </row>
    <row r="6560" spans="1:4">
      <c r="A6560" s="7">
        <f ca="1">IFERROR(__xludf.DUMMYFUNCTION("""COMPUTED_VALUE"""),44585)</f>
        <v>44585</v>
      </c>
      <c r="B6560" s="8" t="str">
        <f ca="1">IFERROR(__xludf.DUMMYFUNCTION("""COMPUTED_VALUE"""),"-33.753126-70.895142")</f>
        <v>-33.753126-70.895142</v>
      </c>
      <c r="C6560" s="6" t="str">
        <f ca="1">IFERROR(__xludf.DUMMYFUNCTION("""COMPUTED_VALUE"""),"NABUEL RODRIGUEZ 139")</f>
        <v>NABUEL RODRIGUEZ 139</v>
      </c>
      <c r="D6560" s="6" t="str">
        <f ca="1">IFERROR(__xludf.DUMMYFUNCTION("""COMPUTED_VALUE"""),"ISLA DE MAIPO")</f>
        <v>ISLA DE MAIPO</v>
      </c>
    </row>
    <row r="6561" spans="1:4">
      <c r="A6561" s="7">
        <f ca="1">IFERROR(__xludf.DUMMYFUNCTION("""COMPUTED_VALUE"""),44585)</f>
        <v>44585</v>
      </c>
      <c r="B6561" s="8" t="str">
        <f ca="1">IFERROR(__xludf.DUMMYFUNCTION("""COMPUTED_VALUE"""),"-33.752128-70.915370")</f>
        <v>-33.752128-70.915370</v>
      </c>
      <c r="C6561" s="6" t="str">
        <f ca="1">IFERROR(__xludf.DUMMYFUNCTION("""COMPUTED_VALUE"""),"AV. SANTEILICES 1908")</f>
        <v>AV. SANTEILICES 1908</v>
      </c>
      <c r="D6561" s="6" t="str">
        <f ca="1">IFERROR(__xludf.DUMMYFUNCTION("""COMPUTED_VALUE"""),"ISLA DE MAIPO")</f>
        <v>ISLA DE MAIPO</v>
      </c>
    </row>
    <row r="6562" spans="1:4">
      <c r="A6562" s="7">
        <f ca="1">IFERROR(__xludf.DUMMYFUNCTION("""COMPUTED_VALUE"""),44585)</f>
        <v>44585</v>
      </c>
      <c r="B6562" s="6" t="str">
        <f ca="1">IFERROR(__xludf.DUMMYFUNCTION("""COMPUTED_VALUE"""),"-33.6372783-70.3570651")</f>
        <v>-33.6372783-70.3570651</v>
      </c>
      <c r="C6562" s="6" t="str">
        <f ca="1">IFERROR(__xludf.DUMMYFUNCTION("""COMPUTED_VALUE"""),"CAÑADA NORTE 14558")</f>
        <v>CAÑADA NORTE 14558</v>
      </c>
      <c r="D6562" s="6" t="str">
        <f ca="1">IFERROR(__xludf.DUMMYFUNCTION("""COMPUTED_VALUE"""),"SAN JOSE DE MAIPO")</f>
        <v>SAN JOSE DE MAIPO</v>
      </c>
    </row>
    <row r="6563" spans="1:4">
      <c r="A6563" s="7">
        <f ca="1">IFERROR(__xludf.DUMMYFUNCTION("""COMPUTED_VALUE"""),44585)</f>
        <v>44585</v>
      </c>
      <c r="B6563" s="6" t="str">
        <f ca="1">IFERROR(__xludf.DUMMYFUNCTION("""COMPUTED_VALUE"""),"-33.6274342-70.3494166")</f>
        <v>-33.6274342-70.3494166</v>
      </c>
      <c r="C6563" s="6" t="str">
        <f ca="1">IFERROR(__xludf.DUMMYFUNCTION("""COMPUTED_VALUE"""),"AV. EL ESFUERZO 18279")</f>
        <v>AV. EL ESFUERZO 18279</v>
      </c>
      <c r="D6563" s="6" t="str">
        <f ca="1">IFERROR(__xludf.DUMMYFUNCTION("""COMPUTED_VALUE"""),"SAN JOSE DE MAIPO")</f>
        <v>SAN JOSE DE MAIPO</v>
      </c>
    </row>
    <row r="6564" spans="1:4">
      <c r="A6564" s="7">
        <f ca="1">IFERROR(__xludf.DUMMYFUNCTION("""COMPUTED_VALUE"""),44585)</f>
        <v>44585</v>
      </c>
      <c r="B6564" s="6" t="str">
        <f ca="1">IFERROR(__xludf.DUMMYFUNCTION("""COMPUTED_VALUE"""),"-33.734330,-70.575273")</f>
        <v>-33.734330,-70.575273</v>
      </c>
      <c r="C6564" s="6" t="str">
        <f ca="1">IFERROR(__xludf.DUMMYFUNCTION("""COMPUTED_VALUE"""),"EL PRINCIPAL PARCELA 97")</f>
        <v>EL PRINCIPAL PARCELA 97</v>
      </c>
      <c r="D6564" s="6" t="str">
        <f ca="1">IFERROR(__xludf.DUMMYFUNCTION("""COMPUTED_VALUE"""),"PIRQUE")</f>
        <v>PIRQUE</v>
      </c>
    </row>
    <row r="6565" spans="1:4">
      <c r="A6565" s="7">
        <f ca="1">IFERROR(__xludf.DUMMYFUNCTION("""COMPUTED_VALUE"""),44585)</f>
        <v>44585</v>
      </c>
      <c r="B6565" s="8" t="str">
        <f ca="1">IFERROR(__xludf.DUMMYFUNCTION("""COMPUTED_VALUE"""),"-33.5047999,-70.9982433")</f>
        <v>-33.5047999,-70.9982433</v>
      </c>
      <c r="C6565" s="6" t="str">
        <f ca="1">IFERROR(__xludf.DUMMYFUNCTION("""COMPUTED_VALUE"""),"COLO COLO SITIO 36")</f>
        <v>COLO COLO SITIO 36</v>
      </c>
      <c r="D6565" s="6" t="str">
        <f ca="1">IFERROR(__xludf.DUMMYFUNCTION("""COMPUTED_VALUE"""),"CURACAVI")</f>
        <v>CURACAVI</v>
      </c>
    </row>
    <row r="6566" spans="1:4">
      <c r="A6566" s="7">
        <f ca="1">IFERROR(__xludf.DUMMYFUNCTION("""COMPUTED_VALUE"""),44585)</f>
        <v>44585</v>
      </c>
      <c r="B6566" s="6" t="str">
        <f ca="1">IFERROR(__xludf.DUMMYFUNCTION("""COMPUTED_VALUE"""),"-33.669039,-70.629255")</f>
        <v>-33.669039,-70.629255</v>
      </c>
      <c r="C6566" s="6" t="str">
        <f ca="1">IFERROR(__xludf.DUMMYFUNCTION("""COMPUTED_VALUE"""),"SAN VICENTE 70")</f>
        <v>SAN VICENTE 70</v>
      </c>
      <c r="D6566" s="6" t="str">
        <f ca="1">IFERROR(__xludf.DUMMYFUNCTION("""COMPUTED_VALUE"""),"PIRQUE")</f>
        <v>PIRQUE</v>
      </c>
    </row>
    <row r="6567" spans="1:4">
      <c r="A6567" s="7">
        <f ca="1">IFERROR(__xludf.DUMMYFUNCTION("""COMPUTED_VALUE"""),44585)</f>
        <v>44585</v>
      </c>
      <c r="B6567" s="6" t="str">
        <f ca="1">IFERROR(__xludf.DUMMYFUNCTION("""COMPUTED_VALUE"""),"-33.7248179,-70.7358364")</f>
        <v>-33.7248179,-70.7358364</v>
      </c>
      <c r="C6567" s="6" t="str">
        <f ca="1">IFERROR(__xludf.DUMMYFUNCTION("""COMPUTED_VALUE"""),"PJE LUIS COFRE PALMA 0191")</f>
        <v>PJE LUIS COFRE PALMA 0191</v>
      </c>
      <c r="D6567" s="6" t="str">
        <f ca="1">IFERROR(__xludf.DUMMYFUNCTION("""COMPUTED_VALUE"""),"BUIN")</f>
        <v>BUIN</v>
      </c>
    </row>
    <row r="6568" spans="1:4">
      <c r="A6568" s="7">
        <f ca="1">IFERROR(__xludf.DUMMYFUNCTION("""COMPUTED_VALUE"""),44585)</f>
        <v>44585</v>
      </c>
      <c r="B6568" s="6" t="str">
        <f ca="1">IFERROR(__xludf.DUMMYFUNCTION("""COMPUTED_VALUE"""),"-33.7248963,-70.7357351")</f>
        <v>-33.7248963,-70.7357351</v>
      </c>
      <c r="C6568" s="6" t="str">
        <f ca="1">IFERROR(__xludf.DUMMYFUNCTION("""COMPUTED_VALUE"""),"PJE LUIS COFRE PALMA 0184")</f>
        <v>PJE LUIS COFRE PALMA 0184</v>
      </c>
      <c r="D6568" s="6" t="str">
        <f ca="1">IFERROR(__xludf.DUMMYFUNCTION("""COMPUTED_VALUE"""),"BUIN")</f>
        <v>BUIN</v>
      </c>
    </row>
    <row r="6569" spans="1:4">
      <c r="A6569" s="7">
        <f ca="1">IFERROR(__xludf.DUMMYFUNCTION("""COMPUTED_VALUE"""),44585)</f>
        <v>44585</v>
      </c>
      <c r="B6569" s="8" t="str">
        <f ca="1">IFERROR(__xludf.DUMMYFUNCTION("""COMPUTED_VALUE"""),"-33.6623302,-70.917870")</f>
        <v>-33.6623302,-70.917870</v>
      </c>
      <c r="C6569" s="6" t="str">
        <f ca="1">IFERROR(__xludf.DUMMYFUNCTION("""COMPUTED_VALUE"""),"BELEN 312")</f>
        <v>BELEN 312</v>
      </c>
      <c r="D6569" s="6" t="str">
        <f ca="1">IFERROR(__xludf.DUMMYFUNCTION("""COMPUTED_VALUE"""),"TALAGANTE")</f>
        <v>TALAGANTE</v>
      </c>
    </row>
    <row r="6570" spans="1:4">
      <c r="A6570" s="7">
        <f ca="1">IFERROR(__xludf.DUMMYFUNCTION("""COMPUTED_VALUE"""),44585)</f>
        <v>44585</v>
      </c>
      <c r="B6570" s="8" t="str">
        <f ca="1">IFERROR(__xludf.DUMMYFUNCTION("""COMPUTED_VALUE"""),"-33.583912,-70.817664")</f>
        <v>-33.583912,-70.817664</v>
      </c>
      <c r="C6570" s="6" t="str">
        <f ca="1">IFERROR(__xludf.DUMMYFUNCTION("""COMPUTED_VALUE"""),"LOS LAURELES MANZANA 68 SITIO 2")</f>
        <v>LOS LAURELES MANZANA 68 SITIO 2</v>
      </c>
      <c r="D6570" s="6" t="str">
        <f ca="1">IFERROR(__xludf.DUMMYFUNCTION("""COMPUTED_VALUE"""),"PADRE HURTADO")</f>
        <v>PADRE HURTADO</v>
      </c>
    </row>
    <row r="6571" spans="1:4">
      <c r="A6571" s="7">
        <f ca="1">IFERROR(__xludf.DUMMYFUNCTION("""COMPUTED_VALUE"""),44585)</f>
        <v>44585</v>
      </c>
      <c r="B6571" s="6" t="str">
        <f ca="1">IFERROR(__xludf.DUMMYFUNCTION("""COMPUTED_VALUE"""),"-33.862852,-70.853069")</f>
        <v>-33.862852,-70.853069</v>
      </c>
      <c r="C6571" s="6" t="str">
        <f ca="1">IFERROR(__xludf.DUMMYFUNCTION("""COMPUTED_VALUE"""),"HUITICALAN ACULEO SITIO 4")</f>
        <v>HUITICALAN ACULEO SITIO 4</v>
      </c>
      <c r="D6571" s="6" t="str">
        <f ca="1">IFERROR(__xludf.DUMMYFUNCTION("""COMPUTED_VALUE"""),"PAINE")</f>
        <v>PAINE</v>
      </c>
    </row>
    <row r="6572" spans="1:4">
      <c r="A6572" s="7">
        <f ca="1">IFERROR(__xludf.DUMMYFUNCTION("""COMPUTED_VALUE"""),44585)</f>
        <v>44585</v>
      </c>
      <c r="B6572" s="6" t="str">
        <f ca="1">IFERROR(__xludf.DUMMYFUNCTION("""COMPUTED_VALUE"""),"-33.875683,-70.879589")</f>
        <v>-33.875683,-70.879589</v>
      </c>
      <c r="C6572" s="6" t="str">
        <f ca="1">IFERROR(__xludf.DUMMYFUNCTION("""COMPUTED_VALUE""")," CALLE S/N PARC SN FCO DE ACULEO S9")</f>
        <v xml:space="preserve"> CALLE S/N PARC SN FCO DE ACULEO S9</v>
      </c>
      <c r="D6572" s="6" t="str">
        <f ca="1">IFERROR(__xludf.DUMMYFUNCTION("""COMPUTED_VALUE"""),"PAINE")</f>
        <v>PAINE</v>
      </c>
    </row>
    <row r="6573" spans="1:4">
      <c r="A6573" s="7">
        <f ca="1">IFERROR(__xludf.DUMMYFUNCTION("""COMPUTED_VALUE"""),44586)</f>
        <v>44586</v>
      </c>
      <c r="B6573" s="8" t="str">
        <f ca="1">IFERROR(__xludf.DUMMYFUNCTION("""COMPUTED_VALUE"""),"-33.732810-70.720122")</f>
        <v>-33.732810-70.720122</v>
      </c>
      <c r="C6573" s="6" t="str">
        <f ca="1">IFERROR(__xludf.DUMMYFUNCTION("""COMPUTED_VALUE"""),"KURTSTEINMEYER 286")</f>
        <v>KURTSTEINMEYER 286</v>
      </c>
      <c r="D6573" s="6" t="str">
        <f ca="1">IFERROR(__xludf.DUMMYFUNCTION("""COMPUTED_VALUE"""),"BUIN")</f>
        <v>BUIN</v>
      </c>
    </row>
    <row r="6574" spans="1:4">
      <c r="A6574" s="7">
        <f ca="1">IFERROR(__xludf.DUMMYFUNCTION("""COMPUTED_VALUE"""),44586)</f>
        <v>44586</v>
      </c>
      <c r="B6574" s="8" t="str">
        <f ca="1">IFERROR(__xludf.DUMMYFUNCTION("""COMPUTED_VALUE"""),"-33.732983-70.720233")</f>
        <v>-33.732983-70.720233</v>
      </c>
      <c r="C6574" s="6" t="str">
        <f ca="1">IFERROR(__xludf.DUMMYFUNCTION("""COMPUTED_VALUE"""),"KURTSTEINMEYER 290")</f>
        <v>KURTSTEINMEYER 290</v>
      </c>
      <c r="D6574" s="6" t="str">
        <f ca="1">IFERROR(__xludf.DUMMYFUNCTION("""COMPUTED_VALUE"""),"BUIN")</f>
        <v>BUIN</v>
      </c>
    </row>
    <row r="6575" spans="1:4">
      <c r="A6575" s="7">
        <f ca="1">IFERROR(__xludf.DUMMYFUNCTION("""COMPUTED_VALUE"""),44586)</f>
        <v>44586</v>
      </c>
      <c r="B6575" s="6" t="str">
        <f ca="1">IFERROR(__xludf.DUMMYFUNCTION("""COMPUTED_VALUE"""),"-33.7272838-70.5371422")</f>
        <v>-33.7272838-70.5371422</v>
      </c>
      <c r="C6575" s="6" t="str">
        <f ca="1">IFERROR(__xludf.DUMMYFUNCTION("""COMPUTED_VALUE"""),"CALLE LA ESCUELA 3 C")</f>
        <v>CALLE LA ESCUELA 3 C</v>
      </c>
      <c r="D6575" s="6" t="str">
        <f ca="1">IFERROR(__xludf.DUMMYFUNCTION("""COMPUTED_VALUE"""),"PIRQUE")</f>
        <v>PIRQUE</v>
      </c>
    </row>
    <row r="6576" spans="1:4">
      <c r="A6576" s="7">
        <f ca="1">IFERROR(__xludf.DUMMYFUNCTION("""COMPUTED_VALUE"""),44586)</f>
        <v>44586</v>
      </c>
      <c r="B6576" s="6" t="str">
        <f ca="1">IFERROR(__xludf.DUMMYFUNCTION("""COMPUTED_VALUE"""),"-33.6576668-70.585494")</f>
        <v>-33.6576668-70.585494</v>
      </c>
      <c r="C6576" s="6" t="str">
        <f ca="1">IFERROR(__xludf.DUMMYFUNCTION("""COMPUTED_VALUE"""),"ALCALDE HERNAN PRIETO 1980")</f>
        <v>ALCALDE HERNAN PRIETO 1980</v>
      </c>
      <c r="D6576" s="6" t="str">
        <f ca="1">IFERROR(__xludf.DUMMYFUNCTION("""COMPUTED_VALUE"""),"PIRQUE")</f>
        <v>PIRQUE</v>
      </c>
    </row>
    <row r="6577" spans="1:4">
      <c r="A6577" s="7">
        <f ca="1">IFERROR(__xludf.DUMMYFUNCTION("""COMPUTED_VALUE"""),44586)</f>
        <v>44586</v>
      </c>
      <c r="B6577" s="8" t="str">
        <f ca="1">IFERROR(__xludf.DUMMYFUNCTION("""COMPUTED_VALUE"""),"-33.7981370,-70.6809676")</f>
        <v>-33.7981370,-70.6809676</v>
      </c>
      <c r="C6577" s="6" t="str">
        <f ca="1">IFERROR(__xludf.DUMMYFUNCTION("""COMPUTED_VALUE"""),"COÑARIPE 51")</f>
        <v>COÑARIPE 51</v>
      </c>
      <c r="D6577" s="6" t="str">
        <f ca="1">IFERROR(__xludf.DUMMYFUNCTION("""COMPUTED_VALUE"""),"PAINE")</f>
        <v>PAINE</v>
      </c>
    </row>
    <row r="6578" spans="1:4">
      <c r="A6578" s="7">
        <f ca="1">IFERROR(__xludf.DUMMYFUNCTION("""COMPUTED_VALUE"""),44586)</f>
        <v>44586</v>
      </c>
      <c r="B6578" s="8" t="str">
        <f ca="1">IFERROR(__xludf.DUMMYFUNCTION("""COMPUTED_VALUE"""),"-33.8053662,-70.7337330")</f>
        <v>-33.8053662,-70.7337330</v>
      </c>
      <c r="C6578" s="6" t="str">
        <f ca="1">IFERROR(__xludf.DUMMYFUNCTION("""COMPUTED_VALUE"""),"EL CANELO 432")</f>
        <v>EL CANELO 432</v>
      </c>
      <c r="D6578" s="6" t="str">
        <f ca="1">IFERROR(__xludf.DUMMYFUNCTION("""COMPUTED_VALUE"""),"PAINE")</f>
        <v>PAINE</v>
      </c>
    </row>
    <row r="6579" spans="1:4">
      <c r="A6579" s="7">
        <f ca="1">IFERROR(__xludf.DUMMYFUNCTION("""COMPUTED_VALUE"""),44586)</f>
        <v>44586</v>
      </c>
      <c r="B6579" s="6" t="str">
        <f ca="1">IFERROR(__xludf.DUMMYFUNCTION("""COMPUTED_VALUE"""),"-33.651896,-70539516")</f>
        <v>-33.651896,-70539516</v>
      </c>
      <c r="C6579" s="6" t="str">
        <f ca="1">IFERROR(__xludf.DUMMYFUNCTION("""COMPUTED_VALUE"""),"FUNDO LA ESPERANZA PARCELA 5-C")</f>
        <v>FUNDO LA ESPERANZA PARCELA 5-C</v>
      </c>
      <c r="D6579" s="6" t="str">
        <f ca="1">IFERROR(__xludf.DUMMYFUNCTION("""COMPUTED_VALUE"""),"PIRQUE")</f>
        <v>PIRQUE</v>
      </c>
    </row>
    <row r="6580" spans="1:4">
      <c r="A6580" s="7">
        <f ca="1">IFERROR(__xludf.DUMMYFUNCTION("""COMPUTED_VALUE"""),44586)</f>
        <v>44586</v>
      </c>
      <c r="B6580" s="6" t="str">
        <f ca="1">IFERROR(__xludf.DUMMYFUNCTION("""COMPUTED_VALUE"""),"--33.745962,-70.899460")</f>
        <v>--33.745962,-70.899460</v>
      </c>
      <c r="C6580" s="6" t="str">
        <f ca="1">IFERROR(__xludf.DUMMYFUNCTION("""COMPUTED_VALUE"""),"LO HERRERA 542")</f>
        <v>LO HERRERA 542</v>
      </c>
      <c r="D6580" s="6" t="str">
        <f ca="1">IFERROR(__xludf.DUMMYFUNCTION("""COMPUTED_VALUE"""),"ISLA DE MAIPO")</f>
        <v>ISLA DE MAIPO</v>
      </c>
    </row>
    <row r="6581" spans="1:4">
      <c r="A6581" s="7">
        <f ca="1">IFERROR(__xludf.DUMMYFUNCTION("""COMPUTED_VALUE"""),44586)</f>
        <v>44586</v>
      </c>
      <c r="B6581" s="6" t="str">
        <f ca="1">IFERROR(__xludf.DUMMYFUNCTION("""COMPUTED_VALUE"""),"-33.745424,-70.868506")</f>
        <v>-33.745424,-70.868506</v>
      </c>
      <c r="C6581" s="6" t="str">
        <f ca="1">IFERROR(__xludf.DUMMYFUNCTION("""COMPUTED_VALUE"""),"PADRE SERGIO CORREA GAC 276")</f>
        <v>PADRE SERGIO CORREA GAC 276</v>
      </c>
      <c r="D6581" s="6" t="str">
        <f ca="1">IFERROR(__xludf.DUMMYFUNCTION("""COMPUTED_VALUE"""),"ISLA DE MAIPO")</f>
        <v>ISLA DE MAIPO</v>
      </c>
    </row>
    <row r="6582" spans="1:4">
      <c r="A6582" s="7">
        <f ca="1">IFERROR(__xludf.DUMMYFUNCTION("""COMPUTED_VALUE"""),44586)</f>
        <v>44586</v>
      </c>
      <c r="B6582" s="8" t="str">
        <f ca="1">IFERROR(__xludf.DUMMYFUNCTION("""COMPUTED_VALUE"""),"-33.612258,-70.896709")</f>
        <v>-33.612258,-70.896709</v>
      </c>
      <c r="C6582" s="6" t="str">
        <f ca="1">IFERROR(__xludf.DUMMYFUNCTION("""COMPUTED_VALUE"""),"EL OMBU ORIENTE 40 ")</f>
        <v xml:space="preserve">EL OMBU ORIENTE 40 </v>
      </c>
      <c r="D6582" s="6" t="str">
        <f ca="1">IFERROR(__xludf.DUMMYFUNCTION("""COMPUTED_VALUE"""),"PEÑAFLOR")</f>
        <v>PEÑAFLOR</v>
      </c>
    </row>
    <row r="6583" spans="1:4">
      <c r="A6583" s="7">
        <f ca="1">IFERROR(__xludf.DUMMYFUNCTION("""COMPUTED_VALUE"""),44586)</f>
        <v>44586</v>
      </c>
      <c r="B6583" s="8" t="str">
        <f ca="1">IFERROR(__xludf.DUMMYFUNCTION("""COMPUTED_VALUE"""),"-33.583920,-70.817907")</f>
        <v>-33.583920,-70.817907</v>
      </c>
      <c r="C6583" s="6" t="str">
        <f ca="1">IFERROR(__xludf.DUMMYFUNCTION("""COMPUTED_VALUE"""),"LOS LAURELES MANZANA 67 ")</f>
        <v xml:space="preserve">LOS LAURELES MANZANA 67 </v>
      </c>
      <c r="D6583" s="6" t="str">
        <f ca="1">IFERROR(__xludf.DUMMYFUNCTION("""COMPUTED_VALUE"""),"PADRE HURTADO")</f>
        <v>PADRE HURTADO</v>
      </c>
    </row>
    <row r="6584" spans="1:4">
      <c r="A6584" s="7">
        <f ca="1">IFERROR(__xludf.DUMMYFUNCTION("""COMPUTED_VALUE"""),44586)</f>
        <v>44586</v>
      </c>
      <c r="B6584" s="8" t="str">
        <f ca="1">IFERROR(__xludf.DUMMYFUNCTION("""COMPUTED_VALUE"""),"-33.834710,-71.283758")</f>
        <v>-33.834710,-71.283758</v>
      </c>
      <c r="C6584" s="6" t="str">
        <f ca="1">IFERROR(__xludf.DUMMYFUNCTION("""COMPUTED_VALUE"""),"LOTE 1 PARCELA 364, POPETA")</f>
        <v>LOTE 1 PARCELA 364, POPETA</v>
      </c>
      <c r="D6584" s="6" t="str">
        <f ca="1">IFERROR(__xludf.DUMMYFUNCTION("""COMPUTED_VALUE"""),"MELIPILLA")</f>
        <v>MELIPILLA</v>
      </c>
    </row>
    <row r="6585" spans="1:4">
      <c r="A6585" s="7">
        <f ca="1">IFERROR(__xludf.DUMMYFUNCTION("""COMPUTED_VALUE"""),44586)</f>
        <v>44586</v>
      </c>
      <c r="B6585" s="6" t="str">
        <f ca="1">IFERROR(__xludf.DUMMYFUNCTION("""COMPUTED_VALUE"""),"-33.809068,-70.736768")</f>
        <v>-33.809068,-70.736768</v>
      </c>
      <c r="C6585" s="6" t="str">
        <f ca="1">IFERROR(__xludf.DUMMYFUNCTION("""COMPUTED_VALUE"""),"LA CONCEPCION 358")</f>
        <v>LA CONCEPCION 358</v>
      </c>
      <c r="D6585" s="6" t="str">
        <f ca="1">IFERROR(__xludf.DUMMYFUNCTION("""COMPUTED_VALUE"""),"PAINE")</f>
        <v>PAINE</v>
      </c>
    </row>
    <row r="6586" spans="1:4">
      <c r="A6586" s="7">
        <f ca="1">IFERROR(__xludf.DUMMYFUNCTION("""COMPUTED_VALUE"""),44586)</f>
        <v>44586</v>
      </c>
      <c r="B6586" s="6" t="str">
        <f ca="1">IFERROR(__xludf.DUMMYFUNCTION("""COMPUTED_VALUE"""),"-33.883503,-70.880346")</f>
        <v>-33.883503,-70.880346</v>
      </c>
      <c r="C6586" s="6" t="str">
        <f ca="1">IFERROR(__xludf.DUMMYFUNCTION("""COMPUTED_VALUE"""),"LOS ARENALES S/N ST 21 LT 21-A")</f>
        <v>LOS ARENALES S/N ST 21 LT 21-A</v>
      </c>
      <c r="D6586" s="6" t="str">
        <f ca="1">IFERROR(__xludf.DUMMYFUNCTION("""COMPUTED_VALUE"""),"PAINE")</f>
        <v>PAINE</v>
      </c>
    </row>
    <row r="6587" spans="1:4">
      <c r="A6587" s="7">
        <f ca="1">IFERROR(__xludf.DUMMYFUNCTION("""COMPUTED_VALUE"""),44587)</f>
        <v>44587</v>
      </c>
      <c r="B6587" s="6" t="str">
        <f ca="1">IFERROR(__xludf.DUMMYFUNCTION("""COMPUTED_VALUE"""),"-33.63695-70.34961")</f>
        <v>-33.63695-70.34961</v>
      </c>
      <c r="C6587" s="6" t="str">
        <f ca="1">IFERROR(__xludf.DUMMYFUNCTION("""COMPUTED_VALUE"""),"AV. CEMENTERIO 19378")</f>
        <v>AV. CEMENTERIO 19378</v>
      </c>
      <c r="D6587" s="6" t="str">
        <f ca="1">IFERROR(__xludf.DUMMYFUNCTION("""COMPUTED_VALUE"""),"SAN JOSE DE MAIPO")</f>
        <v>SAN JOSE DE MAIPO</v>
      </c>
    </row>
    <row r="6588" spans="1:4">
      <c r="A6588" s="7">
        <f ca="1">IFERROR(__xludf.DUMMYFUNCTION("""COMPUTED_VALUE"""),44587)</f>
        <v>44587</v>
      </c>
      <c r="B6588" s="6" t="str">
        <f ca="1">IFERROR(__xludf.DUMMYFUNCTION("""COMPUTED_VALUE"""),"-33.57594-70.45042")</f>
        <v>-33.57594-70.45042</v>
      </c>
      <c r="C6588" s="6" t="str">
        <f ca="1">IFERROR(__xludf.DUMMYFUNCTION("""COMPUTED_VALUE"""),"EL CANELO S/N")</f>
        <v>EL CANELO S/N</v>
      </c>
      <c r="D6588" s="6" t="str">
        <f ca="1">IFERROR(__xludf.DUMMYFUNCTION("""COMPUTED_VALUE"""),"SAN JOSE DE MAIPO")</f>
        <v>SAN JOSE DE MAIPO</v>
      </c>
    </row>
    <row r="6589" spans="1:4">
      <c r="A6589" s="7">
        <f ca="1">IFERROR(__xludf.DUMMYFUNCTION("""COMPUTED_VALUE"""),44587)</f>
        <v>44587</v>
      </c>
      <c r="B6589" s="6" t="str">
        <f ca="1">IFERROR(__xludf.DUMMYFUNCTION("""COMPUTED_VALUE"""),"-33.5876-70.47918")</f>
        <v>-33.5876-70.47918</v>
      </c>
      <c r="C6589" s="6" t="str">
        <f ca="1">IFERROR(__xludf.DUMMYFUNCTION("""COMPUTED_VALUE"""),"EL CANELO S/N")</f>
        <v>EL CANELO S/N</v>
      </c>
      <c r="D6589" s="6" t="str">
        <f ca="1">IFERROR(__xludf.DUMMYFUNCTION("""COMPUTED_VALUE"""),"SAN JOSE DE MAIPO")</f>
        <v>SAN JOSE DE MAIPO</v>
      </c>
    </row>
    <row r="6590" spans="1:4">
      <c r="A6590" s="7">
        <f ca="1">IFERROR(__xludf.DUMMYFUNCTION("""COMPUTED_VALUE"""),44587)</f>
        <v>44587</v>
      </c>
      <c r="B6590" s="6" t="str">
        <f ca="1">IFERROR(__xludf.DUMMYFUNCTION("""COMPUTED_VALUE"""),"-33.6002432-70.8651772")</f>
        <v>-33.6002432-70.8651772</v>
      </c>
      <c r="C6590" s="6" t="str">
        <f ca="1">IFERROR(__xludf.DUMMYFUNCTION("""COMPUTED_VALUE"""),"AV. MIRAFLORES 1357")</f>
        <v>AV. MIRAFLORES 1357</v>
      </c>
      <c r="D6590" s="6" t="str">
        <f ca="1">IFERROR(__xludf.DUMMYFUNCTION("""COMPUTED_VALUE"""),"PEÑAFLOR")</f>
        <v>PEÑAFLOR</v>
      </c>
    </row>
    <row r="6591" spans="1:4">
      <c r="A6591" s="7">
        <f ca="1">IFERROR(__xludf.DUMMYFUNCTION("""COMPUTED_VALUE"""),44587)</f>
        <v>44587</v>
      </c>
      <c r="B6591" s="6" t="str">
        <f ca="1">IFERROR(__xludf.DUMMYFUNCTION("""COMPUTED_VALUE"""),"-33.6761207-71.2069662")</f>
        <v>-33.6761207-71.2069662</v>
      </c>
      <c r="C6591" s="6" t="str">
        <f ca="1">IFERROR(__xludf.DUMMYFUNCTION("""COMPUTED_VALUE"""),"PEDRO MENDEZ 221")</f>
        <v>PEDRO MENDEZ 221</v>
      </c>
      <c r="D6591" s="6" t="str">
        <f ca="1">IFERROR(__xludf.DUMMYFUNCTION("""COMPUTED_VALUE"""),"MELIPILLA")</f>
        <v>MELIPILLA</v>
      </c>
    </row>
    <row r="6592" spans="1:4">
      <c r="A6592" s="7">
        <f ca="1">IFERROR(__xludf.DUMMYFUNCTION("""COMPUTED_VALUE"""),44587)</f>
        <v>44587</v>
      </c>
      <c r="B6592" s="6" t="str">
        <f ca="1">IFERROR(__xludf.DUMMYFUNCTION("""COMPUTED_VALUE"""),"-33.6737003-71.1790097")</f>
        <v>-33.6737003-71.1790097</v>
      </c>
      <c r="C6592" s="6" t="str">
        <f ca="1">IFERROR(__xludf.DUMMYFUNCTION("""COMPUTED_VALUE"""),"FRANCIA 1963")</f>
        <v>FRANCIA 1963</v>
      </c>
      <c r="D6592" s="6" t="str">
        <f ca="1">IFERROR(__xludf.DUMMYFUNCTION("""COMPUTED_VALUE"""),"MELIPILLA")</f>
        <v>MELIPILLA</v>
      </c>
    </row>
    <row r="6593" spans="1:4">
      <c r="A6593" s="7">
        <f ca="1">IFERROR(__xludf.DUMMYFUNCTION("""COMPUTED_VALUE"""),44587)</f>
        <v>44587</v>
      </c>
      <c r="B6593" s="6" t="str">
        <f ca="1">IFERROR(__xludf.DUMMYFUNCTION("""COMPUTED_VALUE"""),"-33.659842,-70.601016")</f>
        <v>-33.659842,-70.601016</v>
      </c>
      <c r="C6593" s="6" t="str">
        <f ca="1">IFERROR(__xludf.DUMMYFUNCTION("""COMPUTED_VALUE"""),"LOS CAPRESES PARCELA 7")</f>
        <v>LOS CAPRESES PARCELA 7</v>
      </c>
      <c r="D6593" s="6" t="str">
        <f ca="1">IFERROR(__xludf.DUMMYFUNCTION("""COMPUTED_VALUE"""),"PIRQUE")</f>
        <v>PIRQUE</v>
      </c>
    </row>
    <row r="6594" spans="1:4">
      <c r="A6594" s="7">
        <f ca="1">IFERROR(__xludf.DUMMYFUNCTION("""COMPUTED_VALUE"""),44587)</f>
        <v>44587</v>
      </c>
      <c r="B6594" s="6" t="str">
        <f ca="1">IFERROR(__xludf.DUMMYFUNCTION("""COMPUTED_VALUE"""),"-33.711511,-70.531737")</f>
        <v>-33.711511,-70.531737</v>
      </c>
      <c r="C6594" s="6" t="str">
        <f ca="1">IFERROR(__xludf.DUMMYFUNCTION("""COMPUTED_VALUE"""),"EL PRINCIPAL COINCO 3F")</f>
        <v>EL PRINCIPAL COINCO 3F</v>
      </c>
      <c r="D6594" s="6" t="str">
        <f ca="1">IFERROR(__xludf.DUMMYFUNCTION("""COMPUTED_VALUE"""),"PIRQUE")</f>
        <v>PIRQUE</v>
      </c>
    </row>
    <row r="6595" spans="1:4">
      <c r="A6595" s="7">
        <f ca="1">IFERROR(__xludf.DUMMYFUNCTION("""COMPUTED_VALUE"""),44587)</f>
        <v>44587</v>
      </c>
      <c r="B6595" s="6" t="str">
        <f ca="1">IFERROR(__xludf.DUMMYFUNCTION("""COMPUTED_VALUE"""),"-33.716340,-70.569967")</f>
        <v>-33.716340,-70.569967</v>
      </c>
      <c r="C6595" s="6" t="str">
        <f ca="1">IFERROR(__xludf.DUMMYFUNCTION("""COMPUTED_VALUE"""),"RINCONADA EL PRINCIPAL 116")</f>
        <v>RINCONADA EL PRINCIPAL 116</v>
      </c>
      <c r="D6595" s="6" t="str">
        <f ca="1">IFERROR(__xludf.DUMMYFUNCTION("""COMPUTED_VALUE"""),"PIRQUE")</f>
        <v>PIRQUE</v>
      </c>
    </row>
    <row r="6596" spans="1:4">
      <c r="A6596" s="7">
        <f ca="1">IFERROR(__xludf.DUMMYFUNCTION("""COMPUTED_VALUE"""),44587)</f>
        <v>44587</v>
      </c>
      <c r="B6596" s="6" t="str">
        <f ca="1">IFERROR(__xludf.DUMMYFUNCTION("""COMPUTED_VALUE"""),"-33.967719,-71.579543")</f>
        <v>-33.967719,-71.579543</v>
      </c>
      <c r="C6596" s="6" t="str">
        <f ca="1">IFERROR(__xludf.DUMMYFUNCTION("""COMPUTED_VALUE"""),"CALLE NIHUE BAJO S/N")</f>
        <v>CALLE NIHUE BAJO S/N</v>
      </c>
      <c r="D6596" s="6" t="str">
        <f ca="1">IFERROR(__xludf.DUMMYFUNCTION("""COMPUTED_VALUE"""),"SAN PEDRO")</f>
        <v>SAN PEDRO</v>
      </c>
    </row>
    <row r="6597" spans="1:4">
      <c r="A6597" s="7">
        <f ca="1">IFERROR(__xludf.DUMMYFUNCTION("""COMPUTED_VALUE"""),44587)</f>
        <v>44587</v>
      </c>
      <c r="B6597" s="6" t="str">
        <f ca="1">IFERROR(__xludf.DUMMYFUNCTION("""COMPUTED_VALUE"""),"-33.913534,-71.441198")</f>
        <v>-33.913534,-71.441198</v>
      </c>
      <c r="C6597" s="6" t="str">
        <f ca="1">IFERROR(__xludf.DUMMYFUNCTION("""COMPUTED_VALUE"""),"CA UNO 46 COMITE NUEVO AMANECER EL YALI")</f>
        <v>CA UNO 46 COMITE NUEVO AMANECER EL YALI</v>
      </c>
      <c r="D6597" s="6" t="str">
        <f ca="1">IFERROR(__xludf.DUMMYFUNCTION("""COMPUTED_VALUE"""),"SAN PEDRO")</f>
        <v>SAN PEDRO</v>
      </c>
    </row>
    <row r="6598" spans="1:4">
      <c r="A6598" s="7">
        <f ca="1">IFERROR(__xludf.DUMMYFUNCTION("""COMPUTED_VALUE"""),44587)</f>
        <v>44587</v>
      </c>
      <c r="B6598" s="6" t="str">
        <f ca="1">IFERROR(__xludf.DUMMYFUNCTION("""COMPUTED_VALUE"""),"-33.735432,-70.860193")</f>
        <v>-33.735432,-70.860193</v>
      </c>
      <c r="C6598" s="6" t="str">
        <f ca="1">IFERROR(__xludf.DUMMYFUNCTION("""COMPUTED_VALUE"""),"P CERRO PERALILLO 4544")</f>
        <v>P CERRO PERALILLO 4544</v>
      </c>
      <c r="D6598" s="6" t="str">
        <f ca="1">IFERROR(__xludf.DUMMYFUNCTION("""COMPUTED_VALUE"""),"ISLA DE MAIPO")</f>
        <v>ISLA DE MAIPO</v>
      </c>
    </row>
    <row r="6599" spans="1:4">
      <c r="A6599" s="7">
        <f ca="1">IFERROR(__xludf.DUMMYFUNCTION("""COMPUTED_VALUE"""),44587)</f>
        <v>44587</v>
      </c>
      <c r="B6599" s="6" t="str">
        <f ca="1">IFERROR(__xludf.DUMMYFUNCTION("""COMPUTED_VALUE"""),"-33.735450,-70.860215")</f>
        <v>-33.735450,-70.860215</v>
      </c>
      <c r="C6599" s="6" t="str">
        <f ca="1">IFERROR(__xludf.DUMMYFUNCTION("""COMPUTED_VALUE"""),"P CERRO PERALILLO 4536")</f>
        <v>P CERRO PERALILLO 4536</v>
      </c>
      <c r="D6599" s="6" t="str">
        <f ca="1">IFERROR(__xludf.DUMMYFUNCTION("""COMPUTED_VALUE"""),"ISLA DE MAIPO")</f>
        <v>ISLA DE MAIPO</v>
      </c>
    </row>
    <row r="6600" spans="1:4">
      <c r="A6600" s="7">
        <f ca="1">IFERROR(__xludf.DUMMYFUNCTION("""COMPUTED_VALUE"""),44587)</f>
        <v>44587</v>
      </c>
      <c r="B6600" s="6" t="str">
        <f ca="1">IFERROR(__xludf.DUMMYFUNCTION("""COMPUTED_VALUE"""),"-33.782287,-70.886610")</f>
        <v>-33.782287,-70.886610</v>
      </c>
      <c r="C6600" s="6" t="str">
        <f ca="1">IFERROR(__xludf.DUMMYFUNCTION("""COMPUTED_VALUE"""),"AV LOS CARDENALES 705")</f>
        <v>AV LOS CARDENALES 705</v>
      </c>
      <c r="D6600" s="6" t="str">
        <f ca="1">IFERROR(__xludf.DUMMYFUNCTION("""COMPUTED_VALUE"""),"ISLA DE MAIPO")</f>
        <v>ISLA DE MAIPO</v>
      </c>
    </row>
    <row r="6601" spans="1:4">
      <c r="A6601" s="7">
        <f ca="1">IFERROR(__xludf.DUMMYFUNCTION("""COMPUTED_VALUE"""),44587)</f>
        <v>44587</v>
      </c>
      <c r="B6601" s="6" t="str">
        <f ca="1">IFERROR(__xludf.DUMMYFUNCTION("""COMPUTED_VALUE"""),"-33.782287,-70.886610")</f>
        <v>-33.782287,-70.886610</v>
      </c>
      <c r="C6601" s="6" t="str">
        <f ca="1">IFERROR(__xludf.DUMMYFUNCTION("""COMPUTED_VALUE"""),"AV LOS CARDENALES 705")</f>
        <v>AV LOS CARDENALES 705</v>
      </c>
      <c r="D6601" s="6" t="str">
        <f ca="1">IFERROR(__xludf.DUMMYFUNCTION("""COMPUTED_VALUE"""),"ISLA DE MAIPO")</f>
        <v>ISLA DE MAIPO</v>
      </c>
    </row>
    <row r="6602" spans="1:4">
      <c r="A6602" s="7">
        <f ca="1">IFERROR(__xludf.DUMMYFUNCTION("""COMPUTED_VALUE"""),44587)</f>
        <v>44587</v>
      </c>
      <c r="B6602" s="8" t="str">
        <f ca="1">IFERROR(__xludf.DUMMYFUNCTION("""COMPUTED_VALUE"""),"-33.994689,-71.430269")</f>
        <v>-33.994689,-71.430269</v>
      </c>
      <c r="C6602" s="6" t="str">
        <f ca="1">IFERROR(__xludf.DUMMYFUNCTION("""COMPUTED_VALUE"""),"PARCELA N3 LOICA ARRIBA ")</f>
        <v xml:space="preserve">PARCELA N3 LOICA ARRIBA </v>
      </c>
      <c r="D6602" s="6" t="str">
        <f ca="1">IFERROR(__xludf.DUMMYFUNCTION("""COMPUTED_VALUE"""),"MELIPILLA")</f>
        <v>MELIPILLA</v>
      </c>
    </row>
    <row r="6603" spans="1:4">
      <c r="A6603" s="7">
        <f ca="1">IFERROR(__xludf.DUMMYFUNCTION("""COMPUTED_VALUE"""),44587)</f>
        <v>44587</v>
      </c>
      <c r="B6603" s="8" t="str">
        <f ca="1">IFERROR(__xludf.DUMMYFUNCTION("""COMPUTED_VALUE"""),"-33.994689,-71.430269")</f>
        <v>-33.994689,-71.430269</v>
      </c>
      <c r="C6603" s="6" t="str">
        <f ca="1">IFERROR(__xludf.DUMMYFUNCTION("""COMPUTED_VALUE"""),"PARCELA N3 LOICA ARRIBA ")</f>
        <v xml:space="preserve">PARCELA N3 LOICA ARRIBA </v>
      </c>
      <c r="D6603" s="6" t="str">
        <f ca="1">IFERROR(__xludf.DUMMYFUNCTION("""COMPUTED_VALUE"""),"MELIPILLA")</f>
        <v>MELIPILLA</v>
      </c>
    </row>
    <row r="6604" spans="1:4">
      <c r="A6604" s="7">
        <f ca="1">IFERROR(__xludf.DUMMYFUNCTION("""COMPUTED_VALUE"""),44587)</f>
        <v>44587</v>
      </c>
      <c r="B6604" s="8" t="str">
        <f ca="1">IFERROR(__xludf.DUMMYFUNCTION("""COMPUTED_VALUE"""),"-33.620047,-70.813371")</f>
        <v>-33.620047,-70.813371</v>
      </c>
      <c r="C6604" s="6" t="str">
        <f ca="1">IFERROR(__xludf.DUMMYFUNCTION("""COMPUTED_VALUE"""),"LOS CLAVELES 164")</f>
        <v>LOS CLAVELES 164</v>
      </c>
      <c r="D6604" s="6" t="str">
        <f ca="1">IFERROR(__xludf.DUMMYFUNCTION("""COMPUTED_VALUE"""),"CALERA DE TANGO")</f>
        <v>CALERA DE TANGO</v>
      </c>
    </row>
    <row r="6605" spans="1:4">
      <c r="A6605" s="7">
        <f ca="1">IFERROR(__xludf.DUMMYFUNCTION("""COMPUTED_VALUE"""),44587)</f>
        <v>44587</v>
      </c>
      <c r="B6605" s="6" t="str">
        <f ca="1">IFERROR(__xludf.DUMMYFUNCTION("""COMPUTED_VALUE"""),"-33.068778-71.425596")</f>
        <v>-33.068778-71.425596</v>
      </c>
      <c r="C6605" s="6" t="str">
        <f ca="1">IFERROR(__xludf.DUMMYFUNCTION("""COMPUTED_VALUE"""),"VOLCAN ACONCAGUA 2601")</f>
        <v>VOLCAN ACONCAGUA 2601</v>
      </c>
      <c r="D6605" s="6" t="str">
        <f ca="1">IFERROR(__xludf.DUMMYFUNCTION("""COMPUTED_VALUE"""),"QUILPUÉ")</f>
        <v>QUILPUÉ</v>
      </c>
    </row>
    <row r="6606" spans="1:4">
      <c r="A6606" s="7">
        <f ca="1">IFERROR(__xludf.DUMMYFUNCTION("""COMPUTED_VALUE"""),44587)</f>
        <v>44587</v>
      </c>
      <c r="B6606" s="6" t="str">
        <f ca="1">IFERROR(__xludf.DUMMYFUNCTION("""COMPUTED_VALUE"""),"-33.068929-71.424872")</f>
        <v>-33.068929-71.424872</v>
      </c>
      <c r="C6606" s="6" t="str">
        <f ca="1">IFERROR(__xludf.DUMMYFUNCTION("""COMPUTED_VALUE"""),"VOLCAN ACONCAGUA 2605")</f>
        <v>VOLCAN ACONCAGUA 2605</v>
      </c>
      <c r="D6606" s="6" t="str">
        <f ca="1">IFERROR(__xludf.DUMMYFUNCTION("""COMPUTED_VALUE"""),"QUILPUÉ")</f>
        <v>QUILPUÉ</v>
      </c>
    </row>
    <row r="6607" spans="1:4">
      <c r="A6607" s="7">
        <f ca="1">IFERROR(__xludf.DUMMYFUNCTION("""COMPUTED_VALUE"""),44587)</f>
        <v>44587</v>
      </c>
      <c r="B6607" s="6" t="str">
        <f ca="1">IFERROR(__xludf.DUMMYFUNCTION("""COMPUTED_VALUE"""),"-33.069074-71.415134")</f>
        <v>-33.069074-71.415134</v>
      </c>
      <c r="C6607" s="6" t="str">
        <f ca="1">IFERROR(__xludf.DUMMYFUNCTION("""COMPUTED_VALUE"""),"ALMIRANTE GRAU 2511")</f>
        <v>ALMIRANTE GRAU 2511</v>
      </c>
      <c r="D6607" s="6" t="str">
        <f ca="1">IFERROR(__xludf.DUMMYFUNCTION("""COMPUTED_VALUE"""),"QUILPUÉ")</f>
        <v>QUILPUÉ</v>
      </c>
    </row>
    <row r="6608" spans="1:4">
      <c r="A6608" s="7">
        <f ca="1">IFERROR(__xludf.DUMMYFUNCTION("""COMPUTED_VALUE"""),44587)</f>
        <v>44587</v>
      </c>
      <c r="B6608" s="6" t="str">
        <f ca="1">IFERROR(__xludf.DUMMYFUNCTION("""COMPUTED_VALUE"""),"-33.807690,-70.733078")</f>
        <v>-33.807690,-70.733078</v>
      </c>
      <c r="C6608" s="6" t="str">
        <f ca="1">IFERROR(__xludf.DUMMYFUNCTION("""COMPUTED_VALUE"""),"DIECIOCHO DE SEPTIEMBRE 616")</f>
        <v>DIECIOCHO DE SEPTIEMBRE 616</v>
      </c>
      <c r="D6608" s="6" t="str">
        <f ca="1">IFERROR(__xludf.DUMMYFUNCTION("""COMPUTED_VALUE"""),"PAINE")</f>
        <v>PAINE</v>
      </c>
    </row>
    <row r="6609" spans="1:4">
      <c r="A6609" s="7">
        <f ca="1">IFERROR(__xludf.DUMMYFUNCTION("""COMPUTED_VALUE"""),44587)</f>
        <v>44587</v>
      </c>
      <c r="B6609" s="6" t="str">
        <f ca="1">IFERROR(__xludf.DUMMYFUNCTION("""COMPUTED_VALUE"""),"-33.825160,-70.768069")</f>
        <v>-33.825160,-70.768069</v>
      </c>
      <c r="C6609" s="6" t="str">
        <f ca="1">IFERROR(__xludf.DUMMYFUNCTION("""COMPUTED_VALUE"""),"JUAN ANTONIO RIOS S/N PARC. 22B LT4")</f>
        <v>JUAN ANTONIO RIOS S/N PARC. 22B LT4</v>
      </c>
      <c r="D6609" s="6" t="str">
        <f ca="1">IFERROR(__xludf.DUMMYFUNCTION("""COMPUTED_VALUE"""),"PAINE")</f>
        <v>PAINE</v>
      </c>
    </row>
    <row r="6610" spans="1:4">
      <c r="A6610" s="7">
        <f ca="1">IFERROR(__xludf.DUMMYFUNCTION("""COMPUTED_VALUE"""),44588)</f>
        <v>44588</v>
      </c>
      <c r="B6610" s="8" t="str">
        <f ca="1">IFERROR(__xludf.DUMMYFUNCTION("""COMPUTED_VALUE"""),"-33.7356585-71.0159527")</f>
        <v>-33.7356585-71.0159527</v>
      </c>
      <c r="C6610" s="6" t="str">
        <f ca="1">IFERROR(__xludf.DUMMYFUNCTION("""COMPUTED_VALUE"""),"LA TURBINA PARCELA 62")</f>
        <v>LA TURBINA PARCELA 62</v>
      </c>
      <c r="D6610" s="6" t="str">
        <f ca="1">IFERROR(__xludf.DUMMYFUNCTION("""COMPUTED_VALUE"""),"ISLA DE MAIPO")</f>
        <v>ISLA DE MAIPO</v>
      </c>
    </row>
    <row r="6611" spans="1:4">
      <c r="A6611" s="7">
        <f ca="1">IFERROR(__xludf.DUMMYFUNCTION("""COMPUTED_VALUE"""),44588)</f>
        <v>44588</v>
      </c>
      <c r="B6611" s="8" t="str">
        <f ca="1">IFERROR(__xludf.DUMMYFUNCTION("""COMPUTED_VALUE"""),"-33.735896-71.018207")</f>
        <v>-33.735896-71.018207</v>
      </c>
      <c r="C6611" s="6" t="str">
        <f ca="1">IFERROR(__xludf.DUMMYFUNCTION("""COMPUTED_VALUE"""),"LA TURBINA PARELA 61")</f>
        <v>LA TURBINA PARELA 61</v>
      </c>
      <c r="D6611" s="6" t="str">
        <f ca="1">IFERROR(__xludf.DUMMYFUNCTION("""COMPUTED_VALUE"""),"ISLA DE MAIPO")</f>
        <v>ISLA DE MAIPO</v>
      </c>
    </row>
    <row r="6612" spans="1:4">
      <c r="A6612" s="7">
        <f ca="1">IFERROR(__xludf.DUMMYFUNCTION("""COMPUTED_VALUE"""),44588)</f>
        <v>44588</v>
      </c>
      <c r="B6612" s="6" t="str">
        <f ca="1">IFERROR(__xludf.DUMMYFUNCTION("""COMPUTED_VALUE"""),"-33.709305-70.551476")</f>
        <v>-33.709305-70.551476</v>
      </c>
      <c r="C6612" s="6" t="str">
        <f ca="1">IFERROR(__xludf.DUMMYFUNCTION("""COMPUTED_VALUE"""),"EL CHALACO 192 F")</f>
        <v>EL CHALACO 192 F</v>
      </c>
      <c r="D6612" s="6" t="str">
        <f ca="1">IFERROR(__xludf.DUMMYFUNCTION("""COMPUTED_VALUE"""),"PIRQUE")</f>
        <v>PIRQUE</v>
      </c>
    </row>
    <row r="6613" spans="1:4">
      <c r="A6613" s="7">
        <f ca="1">IFERROR(__xludf.DUMMYFUNCTION("""COMPUTED_VALUE"""),44588)</f>
        <v>44588</v>
      </c>
      <c r="B6613" s="6" t="str">
        <f ca="1">IFERROR(__xludf.DUMMYFUNCTION("""COMPUTED_VALUE"""),"-33.709305-70.551476")</f>
        <v>-33.709305-70.551476</v>
      </c>
      <c r="C6613" s="6" t="str">
        <f ca="1">IFERROR(__xludf.DUMMYFUNCTION("""COMPUTED_VALUE"""),"EL CHALACO 192 F")</f>
        <v>EL CHALACO 192 F</v>
      </c>
      <c r="D6613" s="6" t="str">
        <f ca="1">IFERROR(__xludf.DUMMYFUNCTION("""COMPUTED_VALUE"""),"PIRQUE")</f>
        <v>PIRQUE</v>
      </c>
    </row>
    <row r="6614" spans="1:4">
      <c r="A6614" s="7">
        <f ca="1">IFERROR(__xludf.DUMMYFUNCTION("""COMPUTED_VALUE"""),44588)</f>
        <v>44588</v>
      </c>
      <c r="B6614" s="6" t="str">
        <f ca="1">IFERROR(__xludf.DUMMYFUNCTION("""COMPUTED_VALUE"""),"-33.7103211-70.5516923")</f>
        <v>-33.7103211-70.5516923</v>
      </c>
      <c r="C6614" s="6" t="str">
        <f ca="1">IFERROR(__xludf.DUMMYFUNCTION("""COMPUTED_VALUE"""),"EL CHALACO 190 B")</f>
        <v>EL CHALACO 190 B</v>
      </c>
      <c r="D6614" s="6" t="str">
        <f ca="1">IFERROR(__xludf.DUMMYFUNCTION("""COMPUTED_VALUE"""),"PIRQUE")</f>
        <v>PIRQUE</v>
      </c>
    </row>
    <row r="6615" spans="1:4">
      <c r="A6615" s="7">
        <f ca="1">IFERROR(__xludf.DUMMYFUNCTION("""COMPUTED_VALUE"""),44588)</f>
        <v>44588</v>
      </c>
      <c r="B6615" s="6" t="str">
        <f ca="1">IFERROR(__xludf.DUMMYFUNCTION("""COMPUTED_VALUE"""),"-33.7103211-70.5516923")</f>
        <v>-33.7103211-70.5516923</v>
      </c>
      <c r="C6615" s="6" t="str">
        <f ca="1">IFERROR(__xludf.DUMMYFUNCTION("""COMPUTED_VALUE"""),"EL CHALACO 190 B")</f>
        <v>EL CHALACO 190 B</v>
      </c>
      <c r="D6615" s="6" t="str">
        <f ca="1">IFERROR(__xludf.DUMMYFUNCTION("""COMPUTED_VALUE"""),"PIRQUE")</f>
        <v>PIRQUE</v>
      </c>
    </row>
    <row r="6616" spans="1:4">
      <c r="A6616" s="7">
        <f ca="1">IFERROR(__xludf.DUMMYFUNCTION("""COMPUTED_VALUE"""),44588)</f>
        <v>44588</v>
      </c>
      <c r="B6616" s="6" t="str">
        <f ca="1">IFERROR(__xludf.DUMMYFUNCTION("""COMPUTED_VALUE"""),"-33.44635-71.02873")</f>
        <v>-33.44635-71.02873</v>
      </c>
      <c r="C6616" s="6" t="str">
        <f ca="1">IFERROR(__xludf.DUMMYFUNCTION("""COMPUTED_VALUE"""),"UNION CHILENA P16 S13")</f>
        <v>UNION CHILENA P16 S13</v>
      </c>
      <c r="D6616" s="6" t="str">
        <f ca="1">IFERROR(__xludf.DUMMYFUNCTION("""COMPUTED_VALUE"""),"CURACAVI")</f>
        <v>CURACAVI</v>
      </c>
    </row>
    <row r="6617" spans="1:4">
      <c r="A6617" s="7">
        <f ca="1">IFERROR(__xludf.DUMMYFUNCTION("""COMPUTED_VALUE"""),44588)</f>
        <v>44588</v>
      </c>
      <c r="B6617" s="6" t="str">
        <f ca="1">IFERROR(__xludf.DUMMYFUNCTION("""COMPUTED_VALUE"""),"-33.40425-71.12793")</f>
        <v>-33.40425-71.12793</v>
      </c>
      <c r="C6617" s="6" t="str">
        <f ca="1">IFERROR(__xludf.DUMMYFUNCTION("""COMPUTED_VALUE"""),"MANUEL FIGUEROA PONCE 150")</f>
        <v>MANUEL FIGUEROA PONCE 150</v>
      </c>
      <c r="D6617" s="6" t="str">
        <f ca="1">IFERROR(__xludf.DUMMYFUNCTION("""COMPUTED_VALUE"""),"CURACAVI")</f>
        <v>CURACAVI</v>
      </c>
    </row>
    <row r="6618" spans="1:4">
      <c r="A6618" s="7">
        <f ca="1">IFERROR(__xludf.DUMMYFUNCTION("""COMPUTED_VALUE"""),44588)</f>
        <v>44588</v>
      </c>
      <c r="B6618" s="6" t="str">
        <f ca="1">IFERROR(__xludf.DUMMYFUNCTION("""COMPUTED_VALUE"""),"-33.44759-71.04047")</f>
        <v>-33.44759-71.04047</v>
      </c>
      <c r="C6618" s="6" t="str">
        <f ca="1">IFERROR(__xludf.DUMMYFUNCTION("""COMPUTED_VALUE"""),"UNION CHILENA PC 16 S13")</f>
        <v>UNION CHILENA PC 16 S13</v>
      </c>
      <c r="D6618" s="6" t="str">
        <f ca="1">IFERROR(__xludf.DUMMYFUNCTION("""COMPUTED_VALUE"""),"CURACAVI")</f>
        <v>CURACAVI</v>
      </c>
    </row>
    <row r="6619" spans="1:4">
      <c r="A6619" s="7">
        <f ca="1">IFERROR(__xludf.DUMMYFUNCTION("""COMPUTED_VALUE"""),44588)</f>
        <v>44588</v>
      </c>
      <c r="B6619" s="6" t="str">
        <f ca="1">IFERROR(__xludf.DUMMYFUNCTION("""COMPUTED_VALUE"""),"-33.733885,-70.570290")</f>
        <v>-33.733885,-70.570290</v>
      </c>
      <c r="C6619" s="6" t="str">
        <f ca="1">IFERROR(__xludf.DUMMYFUNCTION("""COMPUTED_VALUE"""),"LOS GALLINEROS 94-A")</f>
        <v>LOS GALLINEROS 94-A</v>
      </c>
      <c r="D6619" s="6" t="str">
        <f ca="1">IFERROR(__xludf.DUMMYFUNCTION("""COMPUTED_VALUE"""),"PIRQUE")</f>
        <v>PIRQUE</v>
      </c>
    </row>
    <row r="6620" spans="1:4">
      <c r="A6620" s="7">
        <f ca="1">IFERROR(__xludf.DUMMYFUNCTION("""COMPUTED_VALUE"""),44588)</f>
        <v>44588</v>
      </c>
      <c r="B6620" s="6" t="str">
        <f ca="1">IFERROR(__xludf.DUMMYFUNCTION("""COMPUTED_VALUE"""),"-33.412725,-70.34773W")</f>
        <v>-33.412725,-70.34773W</v>
      </c>
      <c r="C6620" s="6" t="str">
        <f ca="1">IFERROR(__xludf.DUMMYFUNCTION("""COMPUTED_VALUE"""),"EL PRINCIPAL 6190 LO ARCAYA")</f>
        <v>EL PRINCIPAL 6190 LO ARCAYA</v>
      </c>
      <c r="D6620" s="6" t="str">
        <f ca="1">IFERROR(__xludf.DUMMYFUNCTION("""COMPUTED_VALUE"""),"PIRQUE")</f>
        <v>PIRQUE</v>
      </c>
    </row>
    <row r="6621" spans="1:4">
      <c r="A6621" s="7">
        <f ca="1">IFERROR(__xludf.DUMMYFUNCTION("""COMPUTED_VALUE"""),44588)</f>
        <v>44588</v>
      </c>
      <c r="B6621" s="6" t="str">
        <f ca="1">IFERROR(__xludf.DUMMYFUNCTION("""COMPUTED_VALUE"""),"-33.860098,-71.492283")</f>
        <v>-33.860098,-71.492283</v>
      </c>
      <c r="C6621" s="6" t="str">
        <f ca="1">IFERROR(__xludf.DUMMYFUNCTION("""COMPUTED_VALUE"""),"SECTOR NIHUE S/N EL PRADO")</f>
        <v>SECTOR NIHUE S/N EL PRADO</v>
      </c>
      <c r="D6621" s="6" t="str">
        <f ca="1">IFERROR(__xludf.DUMMYFUNCTION("""COMPUTED_VALUE"""),"SAN PEDRO")</f>
        <v>SAN PEDRO</v>
      </c>
    </row>
    <row r="6622" spans="1:4">
      <c r="A6622" s="7">
        <f ca="1">IFERROR(__xludf.DUMMYFUNCTION("""COMPUTED_VALUE"""),44588)</f>
        <v>44588</v>
      </c>
      <c r="B6622" s="6" t="str">
        <f ca="1">IFERROR(__xludf.DUMMYFUNCTION("""COMPUTED_VALUE"""),"-33.739523,-70.862480")</f>
        <v>-33.739523,-70.862480</v>
      </c>
      <c r="C6622" s="6" t="str">
        <f ca="1">IFERROR(__xludf.DUMMYFUNCTION("""COMPUTED_VALUE"""),"LA ALBORADA 050")</f>
        <v>LA ALBORADA 050</v>
      </c>
      <c r="D6622" s="6" t="str">
        <f ca="1">IFERROR(__xludf.DUMMYFUNCTION("""COMPUTED_VALUE"""),"ISLA DE MAIPO")</f>
        <v>ISLA DE MAIPO</v>
      </c>
    </row>
    <row r="6623" spans="1:4">
      <c r="A6623" s="7">
        <f ca="1">IFERROR(__xludf.DUMMYFUNCTION("""COMPUTED_VALUE"""),44588)</f>
        <v>44588</v>
      </c>
      <c r="B6623" s="6" t="str">
        <f ca="1">IFERROR(__xludf.DUMMYFUNCTION("""COMPUTED_VALUE"""),"-33.754282,-70.888661")</f>
        <v>-33.754282,-70.888661</v>
      </c>
      <c r="C6623" s="6" t="str">
        <f ca="1">IFERROR(__xludf.DUMMYFUNCTION("""COMPUTED_VALUE"""),"CANELO 452")</f>
        <v>CANELO 452</v>
      </c>
      <c r="D6623" s="6" t="str">
        <f ca="1">IFERROR(__xludf.DUMMYFUNCTION("""COMPUTED_VALUE"""),"ISLA DE MAIPO")</f>
        <v>ISLA DE MAIPO</v>
      </c>
    </row>
    <row r="6624" spans="1:4">
      <c r="A6624" s="7">
        <f ca="1">IFERROR(__xludf.DUMMYFUNCTION("""COMPUTED_VALUE"""),44588)</f>
        <v>44588</v>
      </c>
      <c r="B6624" s="6" t="str">
        <f ca="1">IFERROR(__xludf.DUMMYFUNCTION("""COMPUTED_VALUE"""),"-33.751435,-70.907802")</f>
        <v>-33.751435,-70.907802</v>
      </c>
      <c r="C6624" s="6" t="str">
        <f ca="1">IFERROR(__xludf.DUMMYFUNCTION("""COMPUTED_VALUE"""),"AVDA SENADOR JAIME GUZMAN 61")</f>
        <v>AVDA SENADOR JAIME GUZMAN 61</v>
      </c>
      <c r="D6624" s="6" t="str">
        <f ca="1">IFERROR(__xludf.DUMMYFUNCTION("""COMPUTED_VALUE"""),"ISLA DE MAIPO")</f>
        <v>ISLA DE MAIPO</v>
      </c>
    </row>
    <row r="6625" spans="1:4">
      <c r="A6625" s="7">
        <f ca="1">IFERROR(__xludf.DUMMYFUNCTION("""COMPUTED_VALUE"""),44588)</f>
        <v>44588</v>
      </c>
      <c r="B6625" s="6" t="str">
        <f ca="1">IFERROR(__xludf.DUMMYFUNCTION("""COMPUTED_VALUE"""),"-33.781998,-70.887047")</f>
        <v>-33.781998,-70.887047</v>
      </c>
      <c r="C6625" s="6" t="str">
        <f ca="1">IFERROR(__xludf.DUMMYFUNCTION("""COMPUTED_VALUE"""),"LOS CARDENALES 4016")</f>
        <v>LOS CARDENALES 4016</v>
      </c>
      <c r="D6625" s="6" t="str">
        <f ca="1">IFERROR(__xludf.DUMMYFUNCTION("""COMPUTED_VALUE"""),"ISLA DE MAIPO")</f>
        <v>ISLA DE MAIPO</v>
      </c>
    </row>
    <row r="6626" spans="1:4">
      <c r="A6626" s="7">
        <f ca="1">IFERROR(__xludf.DUMMYFUNCTION("""COMPUTED_VALUE"""),44588)</f>
        <v>44588</v>
      </c>
      <c r="B6626" s="6" t="str">
        <f ca="1">IFERROR(__xludf.DUMMYFUNCTION("""COMPUTED_VALUE"""),"-35.453206,-71.681624")</f>
        <v>-35.453206,-71.681624</v>
      </c>
      <c r="C6626" s="6" t="str">
        <f ca="1">IFERROR(__xludf.DUMMYFUNCTION("""COMPUTED_VALUE"""),"CHACARRILLA 338")</f>
        <v>CHACARRILLA 338</v>
      </c>
      <c r="D6626" s="6" t="str">
        <f ca="1">IFERROR(__xludf.DUMMYFUNCTION("""COMPUTED_VALUE"""),"TALCA")</f>
        <v>TALCA</v>
      </c>
    </row>
    <row r="6627" spans="1:4">
      <c r="A6627" s="7">
        <f ca="1">IFERROR(__xludf.DUMMYFUNCTION("""COMPUTED_VALUE"""),44588)</f>
        <v>44588</v>
      </c>
      <c r="B6627" s="6" t="str">
        <f ca="1">IFERROR(__xludf.DUMMYFUNCTION("""COMPUTED_VALUE"""),"-35.451596,-71.668506")</f>
        <v>-35.451596,-71.668506</v>
      </c>
      <c r="C6627" s="6" t="str">
        <f ca="1">IFERROR(__xludf.DUMMYFUNCTION("""COMPUTED_VALUE""")," PASAJE CUATRO ORIENTE B 0530")</f>
        <v xml:space="preserve"> PASAJE CUATRO ORIENTE B 0530</v>
      </c>
      <c r="D6627" s="6" t="str">
        <f ca="1">IFERROR(__xludf.DUMMYFUNCTION("""COMPUTED_VALUE"""),"TALCA")</f>
        <v>TALCA</v>
      </c>
    </row>
    <row r="6628" spans="1:4">
      <c r="A6628" s="7">
        <f ca="1">IFERROR(__xludf.DUMMYFUNCTION("""COMPUTED_VALUE"""),44588)</f>
        <v>44588</v>
      </c>
      <c r="B6628" s="6" t="str">
        <f ca="1">IFERROR(__xludf.DUMMYFUNCTION("""COMPUTED_VALUE"""),"-33.414400,-71.616841")</f>
        <v>-33.414400,-71.616841</v>
      </c>
      <c r="C6628" s="6" t="str">
        <f ca="1">IFERROR(__xludf.DUMMYFUNCTION("""COMPUTED_VALUE"""),"PASAJE 27 ORIENTE B 3348")</f>
        <v>PASAJE 27 ORIENTE B 3348</v>
      </c>
      <c r="D6628" s="6" t="str">
        <f ca="1">IFERROR(__xludf.DUMMYFUNCTION("""COMPUTED_VALUE"""),"TALCA")</f>
        <v>TALCA</v>
      </c>
    </row>
    <row r="6629" spans="1:4">
      <c r="A6629" s="7">
        <f ca="1">IFERROR(__xludf.DUMMYFUNCTION("""COMPUTED_VALUE"""),44588)</f>
        <v>44588</v>
      </c>
      <c r="B6629" s="8" t="str">
        <f ca="1">IFERROR(__xludf.DUMMYFUNCTION("""COMPUTED_VALUE"""),"-33.304678,-70.686941")</f>
        <v>-33.304678,-70.686941</v>
      </c>
      <c r="C6629" s="6" t="str">
        <f ca="1">IFERROR(__xludf.DUMMYFUNCTION("""COMPUTED_VALUE"""),"VERGARA 174-B")</f>
        <v>VERGARA 174-B</v>
      </c>
      <c r="D6629" s="6" t="str">
        <f ca="1">IFERROR(__xludf.DUMMYFUNCTION("""COMPUTED_VALUE"""),"COLINA")</f>
        <v>COLINA</v>
      </c>
    </row>
    <row r="6630" spans="1:4">
      <c r="A6630" s="7">
        <f ca="1">IFERROR(__xludf.DUMMYFUNCTION("""COMPUTED_VALUE"""),44588)</f>
        <v>44588</v>
      </c>
      <c r="B6630" s="8" t="str">
        <f ca="1">IFERROR(__xludf.DUMMYFUNCTION("""COMPUTED_VALUE"""),"-33.190979,-70.663539")</f>
        <v>-33.190979,-70.663539</v>
      </c>
      <c r="C6630" s="6" t="str">
        <f ca="1">IFERROR(__xludf.DUMMYFUNCTION("""COMPUTED_VALUE"""),"LAS AZUCENAS 1858")</f>
        <v>LAS AZUCENAS 1858</v>
      </c>
      <c r="D6630" s="6" t="str">
        <f ca="1">IFERROR(__xludf.DUMMYFUNCTION("""COMPUTED_VALUE"""),"COLINA")</f>
        <v>COLINA</v>
      </c>
    </row>
    <row r="6631" spans="1:4">
      <c r="A6631" s="7">
        <f ca="1">IFERROR(__xludf.DUMMYFUNCTION("""COMPUTED_VALUE"""),44588)</f>
        <v>44588</v>
      </c>
      <c r="B6631" s="8" t="str">
        <f ca="1">IFERROR(__xludf.DUMMYFUNCTION("""COMPUTED_VALUE"""),"-33.660673,-70.915825")</f>
        <v>-33.660673,-70.915825</v>
      </c>
      <c r="C6631" s="6" t="str">
        <f ca="1">IFERROR(__xludf.DUMMYFUNCTION("""COMPUTED_VALUE"""),"LLANQUIHUE 30 ")</f>
        <v xml:space="preserve">LLANQUIHUE 30 </v>
      </c>
      <c r="D6631" s="6" t="str">
        <f ca="1">IFERROR(__xludf.DUMMYFUNCTION("""COMPUTED_VALUE"""),"TALAGANTE")</f>
        <v>TALAGANTE</v>
      </c>
    </row>
    <row r="6632" spans="1:4">
      <c r="A6632" s="7">
        <f ca="1">IFERROR(__xludf.DUMMYFUNCTION("""COMPUTED_VALUE"""),44588)</f>
        <v>44588</v>
      </c>
      <c r="B6632" s="8" t="str">
        <f ca="1">IFERROR(__xludf.DUMMYFUNCTION("""COMPUTED_VALUE"""),"-33.770173,-71.262764")</f>
        <v>-33.770173,-71.262764</v>
      </c>
      <c r="C6632" s="6" t="str">
        <f ca="1">IFERROR(__xludf.DUMMYFUNCTION("""COMPUTED_VALUE"""),"SAN MARIOL ")</f>
        <v xml:space="preserve">SAN MARIOL </v>
      </c>
      <c r="D6632" s="6" t="str">
        <f ca="1">IFERROR(__xludf.DUMMYFUNCTION("""COMPUTED_VALUE"""),"MELIPILLA")</f>
        <v>MELIPILLA</v>
      </c>
    </row>
    <row r="6633" spans="1:4">
      <c r="A6633" s="7">
        <f ca="1">IFERROR(__xludf.DUMMYFUNCTION("""COMPUTED_VALUE"""),44588)</f>
        <v>44588</v>
      </c>
      <c r="B6633" s="8" t="str">
        <f ca="1">IFERROR(__xludf.DUMMYFUNCTION("""COMPUTED_VALUE"""),"-33.081856,-70.930367")</f>
        <v>-33.081856,-70.930367</v>
      </c>
      <c r="C6633" s="6" t="str">
        <f ca="1">IFERROR(__xludf.DUMMYFUNCTION("""COMPUTED_VALUE"""),"O""HIGGINS 310")</f>
        <v>O"HIGGINS 310</v>
      </c>
      <c r="D6633" s="6" t="str">
        <f ca="1">IFERROR(__xludf.DUMMYFUNCTION("""COMPUTED_VALUE"""),"TIL TIL")</f>
        <v>TIL TIL</v>
      </c>
    </row>
    <row r="6634" spans="1:4">
      <c r="A6634" s="7">
        <f ca="1">IFERROR(__xludf.DUMMYFUNCTION("""COMPUTED_VALUE"""),44588)</f>
        <v>44588</v>
      </c>
      <c r="B6634" s="6" t="str">
        <f ca="1">IFERROR(__xludf.DUMMYFUNCTION("""COMPUTED_VALUE"""),"-33.143642-71.337807")</f>
        <v>-33.143642-71.337807</v>
      </c>
      <c r="C6634" s="6" t="str">
        <f ca="1">IFERROR(__xludf.DUMMYFUNCTION("""COMPUTED_VALUE"""),"EL ARADO 15370")</f>
        <v>EL ARADO 15370</v>
      </c>
      <c r="D6634" s="6" t="str">
        <f ca="1">IFERROR(__xludf.DUMMYFUNCTION("""COMPUTED_VALUE"""),"QUILPUÉ")</f>
        <v>QUILPUÉ</v>
      </c>
    </row>
    <row r="6635" spans="1:4">
      <c r="A6635" s="7">
        <f ca="1">IFERROR(__xludf.DUMMYFUNCTION("""COMPUTED_VALUE"""),44588)</f>
        <v>44588</v>
      </c>
      <c r="B6635" s="6" t="str">
        <f ca="1">IFERROR(__xludf.DUMMYFUNCTION("""COMPUTED_VALUE"""),"-33.802994,-70.723743")</f>
        <v>-33.802994,-70.723743</v>
      </c>
      <c r="C6635" s="6" t="str">
        <f ca="1">IFERROR(__xludf.DUMMYFUNCTION("""COMPUTED_VALUE"""),"LAS MERCEDES 81")</f>
        <v>LAS MERCEDES 81</v>
      </c>
      <c r="D6635" s="6" t="str">
        <f ca="1">IFERROR(__xludf.DUMMYFUNCTION("""COMPUTED_VALUE"""),"PAINE")</f>
        <v>PAINE</v>
      </c>
    </row>
    <row r="6636" spans="1:4">
      <c r="A6636" s="7">
        <f ca="1">IFERROR(__xludf.DUMMYFUNCTION("""COMPUTED_VALUE"""),44588)</f>
        <v>44588</v>
      </c>
      <c r="B6636" s="6" t="str">
        <f ca="1">IFERROR(__xludf.DUMMYFUNCTION("""COMPUTED_VALUE"""),"-33.805858,-70.730809")</f>
        <v>-33.805858,-70.730809</v>
      </c>
      <c r="C6636" s="6" t="str">
        <f ca="1">IFERROR(__xludf.DUMMYFUNCTION("""COMPUTED_VALUE"""),"JUAN DIAZ MANRIQUEZ 604")</f>
        <v>JUAN DIAZ MANRIQUEZ 604</v>
      </c>
      <c r="D6636" s="6" t="str">
        <f ca="1">IFERROR(__xludf.DUMMYFUNCTION("""COMPUTED_VALUE"""),"PAINE")</f>
        <v>PAINE</v>
      </c>
    </row>
    <row r="6637" spans="1:4">
      <c r="A6637" s="7">
        <f ca="1">IFERROR(__xludf.DUMMYFUNCTION("""COMPUTED_VALUE"""),44589)</f>
        <v>44589</v>
      </c>
      <c r="B6637" s="8" t="str">
        <f ca="1">IFERROR(__xludf.DUMMYFUNCTION("""COMPUTED_VALUE"""),"-33.5680325-71.2215637")</f>
        <v>-33.5680325-71.2215637</v>
      </c>
      <c r="C6637" s="6" t="str">
        <f ca="1">IFERROR(__xludf.DUMMYFUNCTION("""COMPUTED_VALUE"""),"VILLA ESPERANZA CV10 SITIO 56")</f>
        <v>VILLA ESPERANZA CV10 SITIO 56</v>
      </c>
      <c r="D6637" s="6" t="str">
        <f ca="1">IFERROR(__xludf.DUMMYFUNCTION("""COMPUTED_VALUE"""),"ISLA DE MAIPO")</f>
        <v>ISLA DE MAIPO</v>
      </c>
    </row>
    <row r="6638" spans="1:4">
      <c r="A6638" s="7">
        <f ca="1">IFERROR(__xludf.DUMMYFUNCTION("""COMPUTED_VALUE"""),44589)</f>
        <v>44589</v>
      </c>
      <c r="B6638" s="8" t="str">
        <f ca="1">IFERROR(__xludf.DUMMYFUNCTION("""COMPUTED_VALUE"""),"-33.735555-71.016008")</f>
        <v>-33.735555-71.016008</v>
      </c>
      <c r="C6638" s="6" t="str">
        <f ca="1">IFERROR(__xludf.DUMMYFUNCTION("""COMPUTED_VALUE"""),"SATURBINO P62")</f>
        <v>SATURBINO P62</v>
      </c>
      <c r="D6638" s="6" t="str">
        <f ca="1">IFERROR(__xludf.DUMMYFUNCTION("""COMPUTED_VALUE"""),"ISLA DE MAIPO")</f>
        <v>ISLA DE MAIPO</v>
      </c>
    </row>
    <row r="6639" spans="1:4">
      <c r="A6639" s="7">
        <f ca="1">IFERROR(__xludf.DUMMYFUNCTION("""COMPUTED_VALUE"""),44589)</f>
        <v>44589</v>
      </c>
      <c r="B6639" s="6" t="str">
        <f ca="1">IFERROR(__xludf.DUMMYFUNCTION("""COMPUTED_VALUE"""),"-33.13905-70.79754")</f>
        <v>-33.13905-70.79754</v>
      </c>
      <c r="C6639" s="6" t="str">
        <f ca="1">IFERROR(__xludf.DUMMYFUNCTION("""COMPUTED_VALUE"""),"3 SUR 270 LOTE 1")</f>
        <v>3 SUR 270 LOTE 1</v>
      </c>
      <c r="D6639" s="6" t="str">
        <f ca="1">IFERROR(__xludf.DUMMYFUNCTION("""COMPUTED_VALUE"""),"TIL TIL")</f>
        <v>TIL TIL</v>
      </c>
    </row>
    <row r="6640" spans="1:4">
      <c r="A6640" s="7">
        <f ca="1">IFERROR(__xludf.DUMMYFUNCTION("""COMPUTED_VALUE"""),44589)</f>
        <v>44589</v>
      </c>
      <c r="B6640" s="6" t="str">
        <f ca="1">IFERROR(__xludf.DUMMYFUNCTION("""COMPUTED_VALUE"""),"-33.13905-70.79754")</f>
        <v>-33.13905-70.79754</v>
      </c>
      <c r="C6640" s="6" t="str">
        <f ca="1">IFERROR(__xludf.DUMMYFUNCTION("""COMPUTED_VALUE"""),"3 SUR 270 LOTE 1")</f>
        <v>3 SUR 270 LOTE 1</v>
      </c>
      <c r="D6640" s="6" t="str">
        <f ca="1">IFERROR(__xludf.DUMMYFUNCTION("""COMPUTED_VALUE"""),"TIL TIL")</f>
        <v>TIL TIL</v>
      </c>
    </row>
    <row r="6641" spans="1:4">
      <c r="A6641" s="7">
        <f ca="1">IFERROR(__xludf.DUMMYFUNCTION("""COMPUTED_VALUE"""),44589)</f>
        <v>44589</v>
      </c>
      <c r="B6641" s="6" t="str">
        <f ca="1">IFERROR(__xludf.DUMMYFUNCTION("""COMPUTED_VALUE"""),"-33.658243,-70.629015")</f>
        <v>-33.658243,-70.629015</v>
      </c>
      <c r="C6641" s="6" t="str">
        <f ca="1">IFERROR(__xludf.DUMMYFUNCTION("""COMPUTED_VALUE"""),"PARCELACION SAN VICENTE 7D")</f>
        <v>PARCELACION SAN VICENTE 7D</v>
      </c>
      <c r="D6641" s="6" t="str">
        <f ca="1">IFERROR(__xludf.DUMMYFUNCTION("""COMPUTED_VALUE"""),"PIRQUE")</f>
        <v>PIRQUE</v>
      </c>
    </row>
    <row r="6642" spans="1:4">
      <c r="A6642" s="7">
        <f ca="1">IFERROR(__xludf.DUMMYFUNCTION("""COMPUTED_VALUE"""),44589)</f>
        <v>44589</v>
      </c>
      <c r="B6642" s="6" t="str">
        <f ca="1">IFERROR(__xludf.DUMMYFUNCTION("""COMPUTED_VALUE"""),"-30.741397,-70.576854")</f>
        <v>-30.741397,-70.576854</v>
      </c>
      <c r="C6642" s="6" t="str">
        <f ca="1">IFERROR(__xludf.DUMMYFUNCTION("""COMPUTED_VALUE"""),"CAMINO EL PRINCIPAL")</f>
        <v>CAMINO EL PRINCIPAL</v>
      </c>
      <c r="D6642" s="6" t="str">
        <f ca="1">IFERROR(__xludf.DUMMYFUNCTION("""COMPUTED_VALUE"""),"PIRQUE")</f>
        <v>PIRQUE</v>
      </c>
    </row>
    <row r="6643" spans="1:4">
      <c r="A6643" s="7">
        <f ca="1">IFERROR(__xludf.DUMMYFUNCTION("""COMPUTED_VALUE"""),44589)</f>
        <v>44589</v>
      </c>
      <c r="B6643" s="6" t="str">
        <f ca="1">IFERROR(__xludf.DUMMYFUNCTION("""COMPUTED_VALUE"""),"-33.964161,-71.579419")</f>
        <v>-33.964161,-71.579419</v>
      </c>
      <c r="C6643" s="6" t="str">
        <f ca="1">IFERROR(__xludf.DUMMYFUNCTION("""COMPUTED_VALUE"""),"SECTOR NIHUE S/N")</f>
        <v>SECTOR NIHUE S/N</v>
      </c>
      <c r="D6643" s="6" t="str">
        <f ca="1">IFERROR(__xludf.DUMMYFUNCTION("""COMPUTED_VALUE"""),"SAN PEDRO")</f>
        <v>SAN PEDRO</v>
      </c>
    </row>
    <row r="6644" spans="1:4">
      <c r="A6644" s="7">
        <f ca="1">IFERROR(__xludf.DUMMYFUNCTION("""COMPUTED_VALUE"""),44589)</f>
        <v>44589</v>
      </c>
      <c r="B6644" s="6" t="str">
        <f ca="1">IFERROR(__xludf.DUMMYFUNCTION("""COMPUTED_VALUE"""),"-33.923314,-71.480142")</f>
        <v>-33.923314,-71.480142</v>
      </c>
      <c r="C6644" s="6" t="str">
        <f ca="1">IFERROR(__xludf.DUMMYFUNCTION("""COMPUTED_VALUE"""),"EL YALI 6")</f>
        <v>EL YALI 6</v>
      </c>
      <c r="D6644" s="6" t="str">
        <f ca="1">IFERROR(__xludf.DUMMYFUNCTION("""COMPUTED_VALUE"""),"SAN PEDRO")</f>
        <v>SAN PEDRO</v>
      </c>
    </row>
    <row r="6645" spans="1:4">
      <c r="A6645" s="7">
        <f ca="1">IFERROR(__xludf.DUMMYFUNCTION("""COMPUTED_VALUE"""),44589)</f>
        <v>44589</v>
      </c>
      <c r="B6645" s="8" t="str">
        <f ca="1">IFERROR(__xludf.DUMMYFUNCTION("""COMPUTED_VALUE"""),"-33.913623,-71.442167")</f>
        <v>-33.913623,-71.442167</v>
      </c>
      <c r="C6645" s="6" t="str">
        <f ca="1">IFERROR(__xludf.DUMMYFUNCTION("""COMPUTED_VALUE"""),"NUEVO AMANECER N°52")</f>
        <v>NUEVO AMANECER N°52</v>
      </c>
      <c r="D6645" s="6" t="str">
        <f ca="1">IFERROR(__xludf.DUMMYFUNCTION("""COMPUTED_VALUE"""),"MELIPILLA")</f>
        <v>MELIPILLA</v>
      </c>
    </row>
    <row r="6646" spans="1:4">
      <c r="A6646" s="7">
        <f ca="1">IFERROR(__xludf.DUMMYFUNCTION("""COMPUTED_VALUE"""),44589)</f>
        <v>44589</v>
      </c>
      <c r="B6646" s="8" t="str">
        <f ca="1">IFERROR(__xludf.DUMMYFUNCTION("""COMPUTED_VALUE"""),"-33.261944,-70.880444")</f>
        <v>-33.261944,-70.880444</v>
      </c>
      <c r="C6646" s="6" t="str">
        <f ca="1">IFERROR(__xludf.DUMMYFUNCTION("""COMPUTED_VALUE"""),"J.D MARTIN CARRERA ")</f>
        <v xml:space="preserve">J.D MARTIN CARRERA </v>
      </c>
      <c r="D6646" s="6" t="str">
        <f ca="1">IFERROR(__xludf.DUMMYFUNCTION("""COMPUTED_VALUE"""),"LAMPA")</f>
        <v>LAMPA</v>
      </c>
    </row>
    <row r="6647" spans="1:4">
      <c r="A6647" s="7">
        <f ca="1">IFERROR(__xludf.DUMMYFUNCTION("""COMPUTED_VALUE"""),44589)</f>
        <v>44589</v>
      </c>
      <c r="B6647" s="6" t="str">
        <f ca="1">IFERROR(__xludf.DUMMYFUNCTION("""COMPUTED_VALUE"""),"-33.185076,-70.667861")</f>
        <v>-33.185076,-70.667861</v>
      </c>
      <c r="C6647" s="6" t="str">
        <f ca="1">IFERROR(__xludf.DUMMYFUNCTION("""COMPUTED_VALUE"""),"PJE GONZALO RIOS 1756")</f>
        <v>PJE GONZALO RIOS 1756</v>
      </c>
      <c r="D6647" s="6" t="str">
        <f ca="1">IFERROR(__xludf.DUMMYFUNCTION("""COMPUTED_VALUE"""),"COLINA")</f>
        <v>COLINA</v>
      </c>
    </row>
    <row r="6648" spans="1:4">
      <c r="A6648" s="7">
        <f ca="1">IFERROR(__xludf.DUMMYFUNCTION("""COMPUTED_VALUE"""),44589)</f>
        <v>44589</v>
      </c>
      <c r="B6648" s="6" t="str">
        <f ca="1">IFERROR(__xludf.DUMMYFUNCTION("""COMPUTED_VALUE"""),"-33.293013,-70.858499")</f>
        <v>-33.293013,-70.858499</v>
      </c>
      <c r="C6648" s="6" t="str">
        <f ca="1">IFERROR(__xludf.DUMMYFUNCTION("""COMPUTED_VALUE"""),"CAMINO INTERIOR PARC 25 CASA 3")</f>
        <v>CAMINO INTERIOR PARC 25 CASA 3</v>
      </c>
      <c r="D6648" s="6" t="str">
        <f ca="1">IFERROR(__xludf.DUMMYFUNCTION("""COMPUTED_VALUE"""),"LAMPA")</f>
        <v>LAMPA</v>
      </c>
    </row>
    <row r="6649" spans="1:4">
      <c r="A6649" s="7">
        <f ca="1">IFERROR(__xludf.DUMMYFUNCTION("""COMPUTED_VALUE"""),44590)</f>
        <v>44590</v>
      </c>
      <c r="B6649" s="6" t="str">
        <f ca="1">IFERROR(__xludf.DUMMYFUNCTION("""COMPUTED_VALUE"""),"-33.659842,-70.601016")</f>
        <v>-33.659842,-70.601016</v>
      </c>
      <c r="C6649" s="6" t="str">
        <f ca="1">IFERROR(__xludf.DUMMYFUNCTION("""COMPUTED_VALUE"""),"LOS CIPRESES")</f>
        <v>LOS CIPRESES</v>
      </c>
      <c r="D6649" s="6" t="str">
        <f ca="1">IFERROR(__xludf.DUMMYFUNCTION("""COMPUTED_VALUE"""),"PIRQUE")</f>
        <v>PIRQUE</v>
      </c>
    </row>
    <row r="6650" spans="1:4">
      <c r="A6650" s="7">
        <f ca="1">IFERROR(__xludf.DUMMYFUNCTION("""COMPUTED_VALUE"""),44590)</f>
        <v>44590</v>
      </c>
      <c r="B6650" s="6" t="str">
        <f ca="1">IFERROR(__xludf.DUMMYFUNCTION("""COMPUTED_VALUE"""),"-33.627889,-70.540152")</f>
        <v>-33.627889,-70.540152</v>
      </c>
      <c r="C6650" s="6" t="str">
        <f ca="1">IFERROR(__xludf.DUMMYFUNCTION("""COMPUTED_VALUE"""),"LAGO PUYEHUE 741")</f>
        <v>LAGO PUYEHUE 741</v>
      </c>
      <c r="D6650" s="6" t="str">
        <f ca="1">IFERROR(__xludf.DUMMYFUNCTION("""COMPUTED_VALUE"""),"PIRQUE")</f>
        <v>PIRQUE</v>
      </c>
    </row>
    <row r="6651" spans="1:4">
      <c r="A6651" s="7">
        <f ca="1">IFERROR(__xludf.DUMMYFUNCTION("""COMPUTED_VALUE"""),44590)</f>
        <v>44590</v>
      </c>
      <c r="B6651" s="6" t="str">
        <f ca="1">IFERROR(__xludf.DUMMYFUNCTION("""COMPUTED_VALUE"""),"-33.721521,-70554948")</f>
        <v>-33.721521,-70554948</v>
      </c>
      <c r="C6651" s="6" t="str">
        <f ca="1">IFERROR(__xludf.DUMMYFUNCTION("""COMPUTED_VALUE"""),"NAVARRETE 18")</f>
        <v>NAVARRETE 18</v>
      </c>
      <c r="D6651" s="6" t="str">
        <f ca="1">IFERROR(__xludf.DUMMYFUNCTION("""COMPUTED_VALUE"""),"PIRQUE")</f>
        <v>PIRQUE</v>
      </c>
    </row>
    <row r="6652" spans="1:4">
      <c r="A6652" s="7">
        <f ca="1">IFERROR(__xludf.DUMMYFUNCTION("""COMPUTED_VALUE"""),44590)</f>
        <v>44590</v>
      </c>
      <c r="B6652" s="6" t="str">
        <f ca="1">IFERROR(__xludf.DUMMYFUNCTION("""COMPUTED_VALUE"""),"-33.665221,-70.576842")</f>
        <v>-33.665221,-70.576842</v>
      </c>
      <c r="C6652" s="6" t="str">
        <f ca="1">IFERROR(__xludf.DUMMYFUNCTION("""COMPUTED_VALUE"""),"SANTA CECILIA S/N 2")</f>
        <v>SANTA CECILIA S/N 2</v>
      </c>
      <c r="D6652" s="6" t="str">
        <f ca="1">IFERROR(__xludf.DUMMYFUNCTION("""COMPUTED_VALUE"""),"PIRQUE")</f>
        <v>PIRQUE</v>
      </c>
    </row>
    <row r="6653" spans="1:4">
      <c r="A6653" s="7">
        <f ca="1">IFERROR(__xludf.DUMMYFUNCTION("""COMPUTED_VALUE"""),44590)</f>
        <v>44590</v>
      </c>
      <c r="B6653" s="6" t="str">
        <f ca="1">IFERROR(__xludf.DUMMYFUNCTION("""COMPUTED_VALUE"""),"-33.685535,-71.021508")</f>
        <v>-33.685535,-71.021508</v>
      </c>
      <c r="C6653" s="6" t="str">
        <f ca="1">IFERROR(__xludf.DUMMYFUNCTION("""COMPUTED_VALUE"""),"LOS SAUCES 72 V LO CHACON ")</f>
        <v xml:space="preserve">LOS SAUCES 72 V LO CHACON </v>
      </c>
      <c r="D6653" s="6" t="str">
        <f ca="1">IFERROR(__xludf.DUMMYFUNCTION("""COMPUTED_VALUE"""),"EL MONTE")</f>
        <v>EL MONTE</v>
      </c>
    </row>
    <row r="6654" spans="1:4">
      <c r="A6654" s="7">
        <f ca="1">IFERROR(__xludf.DUMMYFUNCTION("""COMPUTED_VALUE"""),44592)</f>
        <v>44592</v>
      </c>
      <c r="B6654" s="6" t="str">
        <f ca="1">IFERROR(__xludf.DUMMYFUNCTION("""COMPUTED_VALUE"""),"-33.6858521-70.3380487")</f>
        <v>-33.6858521-70.3380487</v>
      </c>
      <c r="C6654" s="6" t="str">
        <f ca="1">IFERROR(__xludf.DUMMYFUNCTION("""COMPUTED_VALUE"""),"EL ARENAL 97")</f>
        <v>EL ARENAL 97</v>
      </c>
      <c r="D6654" s="6" t="str">
        <f ca="1">IFERROR(__xludf.DUMMYFUNCTION("""COMPUTED_VALUE"""),"SAN JOSE DE MAIPO")</f>
        <v>SAN JOSE DE MAIPO</v>
      </c>
    </row>
    <row r="6655" spans="1:4">
      <c r="A6655" s="7">
        <f ca="1">IFERROR(__xludf.DUMMYFUNCTION("""COMPUTED_VALUE"""),44592)</f>
        <v>44592</v>
      </c>
      <c r="B6655" s="6" t="str">
        <f ca="1">IFERROR(__xludf.DUMMYFUNCTION("""COMPUTED_VALUE"""),"-33.685665-70.338570")</f>
        <v>-33.685665-70.338570</v>
      </c>
      <c r="C6655" s="6" t="str">
        <f ca="1">IFERROR(__xludf.DUMMYFUNCTION("""COMPUTED_VALUE"""),"EL ARENAL 80")</f>
        <v>EL ARENAL 80</v>
      </c>
      <c r="D6655" s="6" t="str">
        <f ca="1">IFERROR(__xludf.DUMMYFUNCTION("""COMPUTED_VALUE"""),"SAN JOSE DE MAIPO")</f>
        <v>SAN JOSE DE MAIPO</v>
      </c>
    </row>
    <row r="6656" spans="1:4">
      <c r="A6656" s="7">
        <f ca="1">IFERROR(__xludf.DUMMYFUNCTION("""COMPUTED_VALUE"""),44592)</f>
        <v>44592</v>
      </c>
      <c r="B6656" s="6" t="str">
        <f ca="1">IFERROR(__xludf.DUMMYFUNCTION("""COMPUTED_VALUE"""),"-33.6858521-70.3380488")</f>
        <v>-33.6858521-70.3380488</v>
      </c>
      <c r="C6656" s="6" t="str">
        <f ca="1">IFERROR(__xludf.DUMMYFUNCTION("""COMPUTED_VALUE"""),"CAMINO VECINAL 27890")</f>
        <v>CAMINO VECINAL 27890</v>
      </c>
      <c r="D6656" s="6" t="str">
        <f ca="1">IFERROR(__xludf.DUMMYFUNCTION("""COMPUTED_VALUE"""),"SAN JOSE DE MAIPO")</f>
        <v>SAN JOSE DE MAIPO</v>
      </c>
    </row>
    <row r="6657" spans="1:4">
      <c r="A6657" s="7">
        <f ca="1">IFERROR(__xludf.DUMMYFUNCTION("""COMPUTED_VALUE"""),44592)</f>
        <v>44592</v>
      </c>
      <c r="B6657" s="6" t="str">
        <f ca="1">IFERROR(__xludf.DUMMYFUNCTION("""COMPUTED_VALUE"""),"-33.735510,-70.860416")</f>
        <v>-33.735510,-70.860416</v>
      </c>
      <c r="C6657" s="6" t="str">
        <f ca="1">IFERROR(__xludf.DUMMYFUNCTION("""COMPUTED_VALUE"""),"P CERRO PERALILLO 4523")</f>
        <v>P CERRO PERALILLO 4523</v>
      </c>
      <c r="D6657" s="6" t="str">
        <f ca="1">IFERROR(__xludf.DUMMYFUNCTION("""COMPUTED_VALUE"""),"ISLA DE MAIPO")</f>
        <v>ISLA DE MAIPO</v>
      </c>
    </row>
    <row r="6658" spans="1:4">
      <c r="A6658" s="7">
        <f ca="1">IFERROR(__xludf.DUMMYFUNCTION("""COMPUTED_VALUE"""),44592)</f>
        <v>44592</v>
      </c>
      <c r="B6658" s="6" t="str">
        <f ca="1">IFERROR(__xludf.DUMMYFUNCTION("""COMPUTED_VALUE"""),"-33.920609,-71.507618")</f>
        <v>-33.920609,-71.507618</v>
      </c>
      <c r="C6658" s="6" t="str">
        <f ca="1">IFERROR(__xludf.DUMMYFUNCTION("""COMPUTED_VALUE"""),"VILLA MERCED S/N CV2 PRADO ")</f>
        <v xml:space="preserve">VILLA MERCED S/N CV2 PRADO </v>
      </c>
      <c r="D6658" s="6" t="str">
        <f ca="1">IFERROR(__xludf.DUMMYFUNCTION("""COMPUTED_VALUE"""),"SAN PEDRO")</f>
        <v>SAN PEDRO</v>
      </c>
    </row>
    <row r="6659" spans="1:4">
      <c r="A6659" s="7">
        <f ca="1">IFERROR(__xludf.DUMMYFUNCTION("""COMPUTED_VALUE"""),44592)</f>
        <v>44592</v>
      </c>
      <c r="B6659" s="6" t="str">
        <f ca="1">IFERROR(__xludf.DUMMYFUNCTION("""COMPUTED_VALUE"""),"-33.920193,-71.507134")</f>
        <v>-33.920193,-71.507134</v>
      </c>
      <c r="C6659" s="6" t="str">
        <f ca="1">IFERROR(__xludf.DUMMYFUNCTION("""COMPUTED_VALUE"""),"VILLA MERCED 2 ")</f>
        <v xml:space="preserve">VILLA MERCED 2 </v>
      </c>
      <c r="D6659" s="6" t="str">
        <f ca="1">IFERROR(__xludf.DUMMYFUNCTION("""COMPUTED_VALUE"""),"SAN PEDRO")</f>
        <v>SAN PEDRO</v>
      </c>
    </row>
    <row r="6660" spans="1:4">
      <c r="A6660" s="7">
        <f ca="1">IFERROR(__xludf.DUMMYFUNCTION("""COMPUTED_VALUE"""),44592)</f>
        <v>44592</v>
      </c>
      <c r="B6660" s="8" t="str">
        <f ca="1">IFERROR(__xludf.DUMMYFUNCTION("""COMPUTED_VALUE"""),"-33.916692,-71.446140")</f>
        <v>-33.916692,-71.446140</v>
      </c>
      <c r="C6660" s="6" t="str">
        <f ca="1">IFERROR(__xludf.DUMMYFUNCTION("""COMPUTED_VALUE"""),"EL YALI S/N SAN PEDRO ")</f>
        <v xml:space="preserve">EL YALI S/N SAN PEDRO </v>
      </c>
      <c r="D6660" s="6" t="str">
        <f ca="1">IFERROR(__xludf.DUMMYFUNCTION("""COMPUTED_VALUE"""),"MELIPILLA")</f>
        <v>MELIPILLA</v>
      </c>
    </row>
    <row r="6661" spans="1:4">
      <c r="A6661" s="7">
        <f ca="1">IFERROR(__xludf.DUMMYFUNCTION("""COMPUTED_VALUE"""),44592)</f>
        <v>44592</v>
      </c>
      <c r="B6661" s="8" t="str">
        <f ca="1">IFERROR(__xludf.DUMMYFUNCTION("""COMPUTED_VALUE"""),"-33.849583,-71.193266")</f>
        <v>-33.849583,-71.193266</v>
      </c>
      <c r="C6661" s="6" t="str">
        <f ca="1">IFERROR(__xludf.DUMMYFUNCTION("""COMPUTED_VALUE"""),"SANTA MARIA DE TANTEHUE S.19 A")</f>
        <v>SANTA MARIA DE TANTEHUE S.19 A</v>
      </c>
      <c r="D6661" s="6" t="str">
        <f ca="1">IFERROR(__xludf.DUMMYFUNCTION("""COMPUTED_VALUE"""),"MELIPILLA")</f>
        <v>MELIPILLA</v>
      </c>
    </row>
    <row r="6662" spans="1:4">
      <c r="A6662" s="7">
        <f ca="1">IFERROR(__xludf.DUMMYFUNCTION("""COMPUTED_VALUE"""),44592)</f>
        <v>44592</v>
      </c>
      <c r="B6662" s="8" t="str">
        <f ca="1">IFERROR(__xludf.DUMMYFUNCTION("""COMPUTED_VALUE"""),"-33.752978,-70.825815")</f>
        <v>-33.752978,-70.825815</v>
      </c>
      <c r="C6662" s="6" t="str">
        <f ca="1">IFERROR(__xludf.DUMMYFUNCTION("""COMPUTED_VALUE"""),"EL MAICILLO 4029")</f>
        <v>EL MAICILLO 4029</v>
      </c>
      <c r="D6662" s="6" t="str">
        <f ca="1">IFERROR(__xludf.DUMMYFUNCTION("""COMPUTED_VALUE"""),"ISLA DE MAIPO")</f>
        <v>ISLA DE MAIPO</v>
      </c>
    </row>
    <row r="6663" spans="1:4">
      <c r="A6663" s="7">
        <f ca="1">IFERROR(__xludf.DUMMYFUNCTION("""COMPUTED_VALUE"""),44592)</f>
        <v>44592</v>
      </c>
      <c r="B6663" s="8" t="str">
        <f ca="1">IFERROR(__xludf.DUMMYFUNCTION("""COMPUTED_VALUE"""),"-33.312053,-70.770500")</f>
        <v>-33.312053,-70.770500</v>
      </c>
      <c r="C6663" s="6" t="str">
        <f ca="1">IFERROR(__xludf.DUMMYFUNCTION("""COMPUTED_VALUE"""),"LA VILANA SITIO 13")</f>
        <v>LA VILANA SITIO 13</v>
      </c>
      <c r="D6663" s="6" t="str">
        <f ca="1">IFERROR(__xludf.DUMMYFUNCTION("""COMPUTED_VALUE"""),"LAMPA")</f>
        <v>LAMPA</v>
      </c>
    </row>
    <row r="6664" spans="1:4">
      <c r="A6664" s="7">
        <f ca="1">IFERROR(__xludf.DUMMYFUNCTION("""COMPUTED_VALUE"""),44592)</f>
        <v>44592</v>
      </c>
      <c r="B6664" s="8" t="str">
        <f ca="1">IFERROR(__xludf.DUMMYFUNCTION("""COMPUTED_VALUE"""),"-33.671664,-70.941140")</f>
        <v>-33.671664,-70.941140</v>
      </c>
      <c r="C6664" s="6" t="str">
        <f ca="1">IFERROR(__xludf.DUMMYFUNCTION("""COMPUTED_VALUE"""),"LOS RUBIES 2333")</f>
        <v>LOS RUBIES 2333</v>
      </c>
      <c r="D6664" s="6" t="str">
        <f ca="1">IFERROR(__xludf.DUMMYFUNCTION("""COMPUTED_VALUE"""),"TALAGANTE")</f>
        <v>TALAGANTE</v>
      </c>
    </row>
    <row r="6665" spans="1:4">
      <c r="A6665" s="7">
        <f ca="1">IFERROR(__xludf.DUMMYFUNCTION("""COMPUTED_VALUE"""),44593)</f>
        <v>44593</v>
      </c>
      <c r="B6665" s="8" t="str">
        <f ca="1">IFERROR(__xludf.DUMMYFUNCTION("""COMPUTED_VALUE"""),"-33.736379-71.019843")</f>
        <v>-33.736379-71.019843</v>
      </c>
      <c r="C6665" s="6" t="str">
        <f ca="1">IFERROR(__xludf.DUMMYFUNCTION("""COMPUTED_VALUE"""),"LAS ACACIAS 45")</f>
        <v>LAS ACACIAS 45</v>
      </c>
      <c r="D6665" s="6" t="str">
        <f ca="1">IFERROR(__xludf.DUMMYFUNCTION("""COMPUTED_VALUE"""),"ISLA DE MAIPO")</f>
        <v>ISLA DE MAIPO</v>
      </c>
    </row>
    <row r="6666" spans="1:4">
      <c r="A6666" s="7">
        <f ca="1">IFERROR(__xludf.DUMMYFUNCTION("""COMPUTED_VALUE"""),44593)</f>
        <v>44593</v>
      </c>
      <c r="B6666" s="8" t="str">
        <f ca="1">IFERROR(__xludf.DUMMYFUNCTION("""COMPUTED_VALUE"""),"-33773350-70905457")</f>
        <v>-33773350-70905457</v>
      </c>
      <c r="C6666" s="6" t="str">
        <f ca="1">IFERROR(__xludf.DUMMYFUNCTION("""COMPUTED_VALUE"""),"CRUCERO 365")</f>
        <v>CRUCERO 365</v>
      </c>
      <c r="D6666" s="6" t="str">
        <f ca="1">IFERROR(__xludf.DUMMYFUNCTION("""COMPUTED_VALUE"""),"ISLA DE MAIPO")</f>
        <v>ISLA DE MAIPO</v>
      </c>
    </row>
    <row r="6667" spans="1:4">
      <c r="A6667" s="7">
        <f ca="1">IFERROR(__xludf.DUMMYFUNCTION("""COMPUTED_VALUE"""),44593)</f>
        <v>44593</v>
      </c>
      <c r="B6667" s="6" t="str">
        <f ca="1">IFERROR(__xludf.DUMMYFUNCTION("""COMPUTED_VALUE"""),"-33.704784-70.549713")</f>
        <v>-33.704784-70.549713</v>
      </c>
      <c r="C6667" s="6" t="str">
        <f ca="1">IFERROR(__xludf.DUMMYFUNCTION("""COMPUTED_VALUE"""),"ORILLA DEL RIO 150 B")</f>
        <v>ORILLA DEL RIO 150 B</v>
      </c>
      <c r="D6667" s="6" t="str">
        <f ca="1">IFERROR(__xludf.DUMMYFUNCTION("""COMPUTED_VALUE"""),"PIRQUE")</f>
        <v>PIRQUE</v>
      </c>
    </row>
    <row r="6668" spans="1:4">
      <c r="A6668" s="7">
        <f ca="1">IFERROR(__xludf.DUMMYFUNCTION("""COMPUTED_VALUE"""),44593)</f>
        <v>44593</v>
      </c>
      <c r="B6668" s="6" t="str">
        <f ca="1">IFERROR(__xludf.DUMMYFUNCTION("""COMPUTED_VALUE"""),"-33.704784-70.549713")</f>
        <v>-33.704784-70.549713</v>
      </c>
      <c r="C6668" s="6" t="str">
        <f ca="1">IFERROR(__xludf.DUMMYFUNCTION("""COMPUTED_VALUE"""),"ORILLA DEL RIO 150 B")</f>
        <v>ORILLA DEL RIO 150 B</v>
      </c>
      <c r="D6668" s="6" t="str">
        <f ca="1">IFERROR(__xludf.DUMMYFUNCTION("""COMPUTED_VALUE"""),"PIRQUE")</f>
        <v>PIRQUE</v>
      </c>
    </row>
    <row r="6669" spans="1:4">
      <c r="A6669" s="7">
        <f ca="1">IFERROR(__xludf.DUMMYFUNCTION("""COMPUTED_VALUE"""),44593)</f>
        <v>44593</v>
      </c>
      <c r="B6669" s="6" t="str">
        <f ca="1">IFERROR(__xludf.DUMMYFUNCTION("""COMPUTED_VALUE"""),"-33.729083,-70.553403")</f>
        <v>-33.729083,-70.553403</v>
      </c>
      <c r="C6669" s="6" t="str">
        <f ca="1">IFERROR(__xludf.DUMMYFUNCTION("""COMPUTED_VALUE"""),"LOS GALLINEROS 2108")</f>
        <v>LOS GALLINEROS 2108</v>
      </c>
      <c r="D6669" s="6" t="str">
        <f ca="1">IFERROR(__xludf.DUMMYFUNCTION("""COMPUTED_VALUE"""),"PIRQUE")</f>
        <v>PIRQUE</v>
      </c>
    </row>
    <row r="6670" spans="1:4">
      <c r="A6670" s="7">
        <f ca="1">IFERROR(__xludf.DUMMYFUNCTION("""COMPUTED_VALUE"""),44593)</f>
        <v>44593</v>
      </c>
      <c r="B6670" s="6" t="str">
        <f ca="1">IFERROR(__xludf.DUMMYFUNCTION("""COMPUTED_VALUE"""),"-33.735790,-70.860467")</f>
        <v>-33.735790,-70.860467</v>
      </c>
      <c r="C6670" s="6" t="str">
        <f ca="1">IFERROR(__xludf.DUMMYFUNCTION("""COMPUTED_VALUE"""),"ESTERO ANGOSTURA 159")</f>
        <v>ESTERO ANGOSTURA 159</v>
      </c>
      <c r="D6670" s="6" t="str">
        <f ca="1">IFERROR(__xludf.DUMMYFUNCTION("""COMPUTED_VALUE"""),"ISLA DE MAIPO")</f>
        <v>ISLA DE MAIPO</v>
      </c>
    </row>
    <row r="6671" spans="1:4">
      <c r="A6671" s="7">
        <f ca="1">IFERROR(__xludf.DUMMYFUNCTION("""COMPUTED_VALUE"""),44593)</f>
        <v>44593</v>
      </c>
      <c r="B6671" s="8" t="str">
        <f ca="1">IFERROR(__xludf.DUMMYFUNCTION("""COMPUTED_VALUE"""),"-33.695380,-71.221131")</f>
        <v>-33.695380,-71.221131</v>
      </c>
      <c r="C6671" s="6" t="str">
        <f ca="1">IFERROR(__xludf.DUMMYFUNCTION("""COMPUTED_VALUE"""),"NUEVACORRE 1255")</f>
        <v>NUEVACORRE 1255</v>
      </c>
      <c r="D6671" s="6" t="str">
        <f ca="1">IFERROR(__xludf.DUMMYFUNCTION("""COMPUTED_VALUE"""),"MELIPILLA")</f>
        <v>MELIPILLA</v>
      </c>
    </row>
    <row r="6672" spans="1:4">
      <c r="A6672" s="7">
        <f ca="1">IFERROR(__xludf.DUMMYFUNCTION("""COMPUTED_VALUE"""),44593)</f>
        <v>44593</v>
      </c>
      <c r="B6672" s="8" t="str">
        <f ca="1">IFERROR(__xludf.DUMMYFUNCTION("""COMPUTED_VALUE"""),"-34.026348,-71.104421")</f>
        <v>-34.026348,-71.104421</v>
      </c>
      <c r="C6672" s="6" t="str">
        <f ca="1">IFERROR(__xludf.DUMMYFUNCTION("""COMPUTED_VALUE"""),"LOS NOGALES 3 ")</f>
        <v xml:space="preserve">LOS NOGALES 3 </v>
      </c>
      <c r="D6672" s="6" t="str">
        <f ca="1">IFERROR(__xludf.DUMMYFUNCTION("""COMPUTED_VALUE"""),"ALHUÉ")</f>
        <v>ALHUÉ</v>
      </c>
    </row>
    <row r="6673" spans="1:4">
      <c r="A6673" s="7">
        <f ca="1">IFERROR(__xludf.DUMMYFUNCTION("""COMPUTED_VALUE"""),44593)</f>
        <v>44593</v>
      </c>
      <c r="B6673" s="8" t="str">
        <f ca="1">IFERROR(__xludf.DUMMYFUNCTION("""COMPUTED_VALUE"""),"-33.205433,-70.683272")</f>
        <v>-33.205433,-70.683272</v>
      </c>
      <c r="C6673" s="6" t="str">
        <f ca="1">IFERROR(__xludf.DUMMYFUNCTION("""COMPUTED_VALUE"""),"TEGUALDA 0105")</f>
        <v>TEGUALDA 0105</v>
      </c>
      <c r="D6673" s="6" t="str">
        <f ca="1">IFERROR(__xludf.DUMMYFUNCTION("""COMPUTED_VALUE"""),"COLINA")</f>
        <v>COLINA</v>
      </c>
    </row>
    <row r="6674" spans="1:4">
      <c r="A6674" s="7">
        <f ca="1">IFERROR(__xludf.DUMMYFUNCTION("""COMPUTED_VALUE"""),44593)</f>
        <v>44593</v>
      </c>
      <c r="B6674" s="6" t="str">
        <f ca="1">IFERROR(__xludf.DUMMYFUNCTION("""COMPUTED_VALUE"""),"-33.143733-71.338360")</f>
        <v>-33.143733-71.338360</v>
      </c>
      <c r="C6674" s="6" t="str">
        <f ca="1">IFERROR(__xludf.DUMMYFUNCTION("""COMPUTED_VALUE"""),"EL ARADO 15370")</f>
        <v>EL ARADO 15370</v>
      </c>
      <c r="D6674" s="6" t="str">
        <f ca="1">IFERROR(__xludf.DUMMYFUNCTION("""COMPUTED_VALUE"""),"QUILPUÉ")</f>
        <v>QUILPUÉ</v>
      </c>
    </row>
    <row r="6675" spans="1:4">
      <c r="A6675" s="7">
        <f ca="1">IFERROR(__xludf.DUMMYFUNCTION("""COMPUTED_VALUE"""),44593)</f>
        <v>44593</v>
      </c>
      <c r="B6675" s="6" t="str">
        <f ca="1">IFERROR(__xludf.DUMMYFUNCTION("""COMPUTED_VALUE"""),"-33.071938-71.423501")</f>
        <v>-33.071938-71.423501</v>
      </c>
      <c r="C6675" s="6" t="str">
        <f ca="1">IFERROR(__xludf.DUMMYFUNCTION("""COMPUTED_VALUE"""),"PJE VALLE ESPERANZA 2729")</f>
        <v>PJE VALLE ESPERANZA 2729</v>
      </c>
      <c r="D6675" s="6" t="str">
        <f ca="1">IFERROR(__xludf.DUMMYFUNCTION("""COMPUTED_VALUE"""),"QUILPUÉ")</f>
        <v>QUILPUÉ</v>
      </c>
    </row>
    <row r="6676" spans="1:4">
      <c r="A6676" s="7">
        <f ca="1">IFERROR(__xludf.DUMMYFUNCTION("""COMPUTED_VALUE"""),44593)</f>
        <v>44593</v>
      </c>
      <c r="B6676" s="6" t="str">
        <f ca="1">IFERROR(__xludf.DUMMYFUNCTION("""COMPUTED_VALUE"""),"-33.797794,-70.680930")</f>
        <v>-33.797794,-70.680930</v>
      </c>
      <c r="C6676" s="6" t="str">
        <f ca="1">IFERROR(__xludf.DUMMYFUNCTION("""COMPUTED_VALUE"""),"RUCAQUE 66C")</f>
        <v>RUCAQUE 66C</v>
      </c>
      <c r="D6676" s="6" t="str">
        <f ca="1">IFERROR(__xludf.DUMMYFUNCTION("""COMPUTED_VALUE"""),"PAINE")</f>
        <v>PAINE</v>
      </c>
    </row>
    <row r="6677" spans="1:4">
      <c r="A6677" s="7">
        <f ca="1">IFERROR(__xludf.DUMMYFUNCTION("""COMPUTED_VALUE"""),44593)</f>
        <v>44593</v>
      </c>
      <c r="B6677" s="6" t="str">
        <f ca="1">IFERROR(__xludf.DUMMYFUNCTION("""COMPUTED_VALUE"""),"-33.840046,-70.639806")</f>
        <v>-33.840046,-70.639806</v>
      </c>
      <c r="C6677" s="6" t="str">
        <f ca="1">IFERROR(__xludf.DUMMYFUNCTION("""COMPUTED_VALUE"""),"LA VICTORIA 51N")</f>
        <v>LA VICTORIA 51N</v>
      </c>
      <c r="D6677" s="6" t="str">
        <f ca="1">IFERROR(__xludf.DUMMYFUNCTION("""COMPUTED_VALUE"""),"PAINE")</f>
        <v>PAINE</v>
      </c>
    </row>
    <row r="6678" spans="1:4">
      <c r="A6678" s="7">
        <f ca="1">IFERROR(__xludf.DUMMYFUNCTION("""COMPUTED_VALUE"""),44593)</f>
        <v>44593</v>
      </c>
      <c r="B6678" s="6" t="str">
        <f ca="1">IFERROR(__xludf.DUMMYFUNCTION("""COMPUTED_VALUE"""),"-33.161592,-70788636")</f>
        <v>-33.161592,-70788636</v>
      </c>
      <c r="C6678" s="6" t="str">
        <f ca="1">IFERROR(__xludf.DUMMYFUNCTION("""COMPUTED_VALUE"""),"LOS CERROS 221")</f>
        <v>LOS CERROS 221</v>
      </c>
      <c r="D6678" s="6" t="str">
        <f ca="1">IFERROR(__xludf.DUMMYFUNCTION("""COMPUTED_VALUE"""),"TIL TIL")</f>
        <v>TIL TIL</v>
      </c>
    </row>
    <row r="6679" spans="1:4">
      <c r="A6679" s="7">
        <f ca="1">IFERROR(__xludf.DUMMYFUNCTION("""COMPUTED_VALUE"""),44593)</f>
        <v>44593</v>
      </c>
      <c r="B6679" s="6" t="str">
        <f ca="1">IFERROR(__xludf.DUMMYFUNCTION("""COMPUTED_VALUE"""),"-33.007563,-70.890501")</f>
        <v>-33.007563,-70.890501</v>
      </c>
      <c r="C6679" s="6" t="str">
        <f ca="1">IFERROR(__xludf.DUMMYFUNCTION("""COMPUTED_VALUE"""),"POBL. 2 NOGAZ RUNGUE REF. LAS ORQUIDEAS")</f>
        <v>POBL. 2 NOGAZ RUNGUE REF. LAS ORQUIDEAS</v>
      </c>
      <c r="D6679" s="6" t="str">
        <f ca="1">IFERROR(__xludf.DUMMYFUNCTION("""COMPUTED_VALUE"""),"TIL TIL")</f>
        <v>TIL TIL</v>
      </c>
    </row>
    <row r="6680" spans="1:4">
      <c r="A6680" s="7">
        <f ca="1">IFERROR(__xludf.DUMMYFUNCTION("""COMPUTED_VALUE"""),44594)</f>
        <v>44594</v>
      </c>
      <c r="B6680" s="8" t="str">
        <f ca="1">IFERROR(__xludf.DUMMYFUNCTION("""COMPUTED_VALUE"""),"-33746516-70898099")</f>
        <v>-33746516-70898099</v>
      </c>
      <c r="C6680" s="6" t="str">
        <f ca="1">IFERROR(__xludf.DUMMYFUNCTION("""COMPUTED_VALUE"""),"PASAJE CINCO 857")</f>
        <v>PASAJE CINCO 857</v>
      </c>
      <c r="D6680" s="6" t="str">
        <f ca="1">IFERROR(__xludf.DUMMYFUNCTION("""COMPUTED_VALUE"""),"ISLA DE MAIPO")</f>
        <v>ISLA DE MAIPO</v>
      </c>
    </row>
    <row r="6681" spans="1:4">
      <c r="A6681" s="7">
        <f ca="1">IFERROR(__xludf.DUMMYFUNCTION("""COMPUTED_VALUE"""),44594)</f>
        <v>44594</v>
      </c>
      <c r="B6681" s="8" t="str">
        <f ca="1">IFERROR(__xludf.DUMMYFUNCTION("""COMPUTED_VALUE"""),"-33777423-70904105")</f>
        <v>-33777423-70904105</v>
      </c>
      <c r="C6681" s="6" t="str">
        <f ca="1">IFERROR(__xludf.DUMMYFUNCTION("""COMPUTED_VALUE"""),"GALES2157")</f>
        <v>GALES2157</v>
      </c>
      <c r="D6681" s="6" t="str">
        <f ca="1">IFERROR(__xludf.DUMMYFUNCTION("""COMPUTED_VALUE"""),"ISLA DE MAIPO")</f>
        <v>ISLA DE MAIPO</v>
      </c>
    </row>
    <row r="6682" spans="1:4">
      <c r="A6682" s="7">
        <f ca="1">IFERROR(__xludf.DUMMYFUNCTION("""COMPUTED_VALUE"""),44594)</f>
        <v>44594</v>
      </c>
      <c r="B6682" s="6" t="str">
        <f ca="1">IFERROR(__xludf.DUMMYFUNCTION("""COMPUTED_VALUE"""),"-33.700404-70.333203")</f>
        <v>-33.700404-70.333203</v>
      </c>
      <c r="C6682" s="6" t="str">
        <f ca="1">IFERROR(__xludf.DUMMYFUNCTION("""COMPUTED_VALUE"""),"CAMINO VECINAL 27890")</f>
        <v>CAMINO VECINAL 27890</v>
      </c>
      <c r="D6682" s="6" t="str">
        <f ca="1">IFERROR(__xludf.DUMMYFUNCTION("""COMPUTED_VALUE"""),"SAN JOSE DE MAIPO")</f>
        <v>SAN JOSE DE MAIPO</v>
      </c>
    </row>
    <row r="6683" spans="1:4">
      <c r="A6683" s="7">
        <f ca="1">IFERROR(__xludf.DUMMYFUNCTION("""COMPUTED_VALUE"""),44594)</f>
        <v>44594</v>
      </c>
      <c r="B6683" s="6" t="str">
        <f ca="1">IFERROR(__xludf.DUMMYFUNCTION("""COMPUTED_VALUE"""),"-33.6337632-70.3504836")</f>
        <v>-33.6337632-70.3504836</v>
      </c>
      <c r="C6683" s="6" t="str">
        <f ca="1">IFERROR(__xludf.DUMMYFUNCTION("""COMPUTED_VALUE"""),"COMERCIO 19070")</f>
        <v>COMERCIO 19070</v>
      </c>
      <c r="D6683" s="6" t="str">
        <f ca="1">IFERROR(__xludf.DUMMYFUNCTION("""COMPUTED_VALUE"""),"SAN JOSE DE MAIPO")</f>
        <v>SAN JOSE DE MAIPO</v>
      </c>
    </row>
    <row r="6684" spans="1:4">
      <c r="A6684" s="7">
        <f ca="1">IFERROR(__xludf.DUMMYFUNCTION("""COMPUTED_VALUE"""),44594)</f>
        <v>44594</v>
      </c>
      <c r="B6684" s="6" t="str">
        <f ca="1">IFERROR(__xludf.DUMMYFUNCTION("""COMPUTED_VALUE"""),"-33.5854281-70.4652438")</f>
        <v>-33.5854281-70.4652438</v>
      </c>
      <c r="C6684" s="6" t="str">
        <f ca="1">IFERROR(__xludf.DUMMYFUNCTION("""COMPUTED_VALUE"""),"LOS MAITENES 694")</f>
        <v>LOS MAITENES 694</v>
      </c>
      <c r="D6684" s="6" t="str">
        <f ca="1">IFERROR(__xludf.DUMMYFUNCTION("""COMPUTED_VALUE"""),"SAN JOSE DE MAIPO")</f>
        <v>SAN JOSE DE MAIPO</v>
      </c>
    </row>
    <row r="6685" spans="1:4">
      <c r="A6685" s="7">
        <f ca="1">IFERROR(__xludf.DUMMYFUNCTION("""COMPUTED_VALUE"""),44594)</f>
        <v>44594</v>
      </c>
      <c r="B6685" s="8" t="str">
        <f ca="1">IFERROR(__xludf.DUMMYFUNCTION("""COMPUTED_VALUE"""),"-33.804992,-70.727360")</f>
        <v>-33.804992,-70.727360</v>
      </c>
      <c r="C6685" s="6" t="str">
        <f ca="1">IFERROR(__xludf.DUMMYFUNCTION("""COMPUTED_VALUE"""),"MAULE 813")</f>
        <v>MAULE 813</v>
      </c>
      <c r="D6685" s="6" t="str">
        <f ca="1">IFERROR(__xludf.DUMMYFUNCTION("""COMPUTED_VALUE"""),"PAINE")</f>
        <v>PAINE</v>
      </c>
    </row>
    <row r="6686" spans="1:4">
      <c r="A6686" s="7">
        <f ca="1">IFERROR(__xludf.DUMMYFUNCTION("""COMPUTED_VALUE"""),44594)</f>
        <v>44594</v>
      </c>
      <c r="B6686" s="8" t="str">
        <f ca="1">IFERROR(__xludf.DUMMYFUNCTION("""COMPUTED_VALUE"""),"-33.856188,-70.761739")</f>
        <v>-33.856188,-70.761739</v>
      </c>
      <c r="C6686" s="6" t="str">
        <f ca="1">IFERROR(__xludf.DUMMYFUNCTION("""COMPUTED_VALUE"""),"AV DARIO PAVEZ 129")</f>
        <v>AV DARIO PAVEZ 129</v>
      </c>
      <c r="D6686" s="6" t="str">
        <f ca="1">IFERROR(__xludf.DUMMYFUNCTION("""COMPUTED_VALUE"""),"PAINE")</f>
        <v>PAINE</v>
      </c>
    </row>
    <row r="6687" spans="1:4">
      <c r="A6687" s="7">
        <f ca="1">IFERROR(__xludf.DUMMYFUNCTION("""COMPUTED_VALUE"""),44594)</f>
        <v>44594</v>
      </c>
      <c r="B6687" s="8" t="str">
        <f ca="1">IFERROR(__xludf.DUMMYFUNCTION("""COMPUTED_VALUE"""),"-33.850932,-70.767310")</f>
        <v>-33.850932,-70.767310</v>
      </c>
      <c r="C6687" s="6" t="str">
        <f ca="1">IFERROR(__xludf.DUMMYFUNCTION("""COMPUTED_VALUE"""),"PASAJE CUATRO 289")</f>
        <v>PASAJE CUATRO 289</v>
      </c>
      <c r="D6687" s="6" t="str">
        <f ca="1">IFERROR(__xludf.DUMMYFUNCTION("""COMPUTED_VALUE"""),"PAINE")</f>
        <v>PAINE</v>
      </c>
    </row>
    <row r="6688" spans="1:4">
      <c r="A6688" s="7">
        <f ca="1">IFERROR(__xludf.DUMMYFUNCTION("""COMPUTED_VALUE"""),44594)</f>
        <v>44594</v>
      </c>
      <c r="B6688" s="6" t="str">
        <f ca="1">IFERROR(__xludf.DUMMYFUNCTION("""COMPUTED_VALUE"""),"-33.710460,-70.532530")</f>
        <v>-33.710460,-70.532530</v>
      </c>
      <c r="C6688" s="6" t="str">
        <f ca="1">IFERROR(__xludf.DUMMYFUNCTION("""COMPUTED_VALUE"""),"RESERVA CORE 2C")</f>
        <v>RESERVA CORE 2C</v>
      </c>
      <c r="D6688" s="6" t="str">
        <f ca="1">IFERROR(__xludf.DUMMYFUNCTION("""COMPUTED_VALUE"""),"PIRQUE")</f>
        <v>PIRQUE</v>
      </c>
    </row>
    <row r="6689" spans="1:4">
      <c r="A6689" s="7">
        <f ca="1">IFERROR(__xludf.DUMMYFUNCTION("""COMPUTED_VALUE"""),44594)</f>
        <v>44594</v>
      </c>
      <c r="B6689" s="6" t="str">
        <f ca="1">IFERROR(__xludf.DUMMYFUNCTION("""COMPUTED_VALUE"""),"-33.914698,-71.440190")</f>
        <v>-33.914698,-71.440190</v>
      </c>
      <c r="C6689" s="6" t="str">
        <f ca="1">IFERROR(__xludf.DUMMYFUNCTION("""COMPUTED_VALUE"""),"SECTOR CRUCE YALI SITIO 4")</f>
        <v>SECTOR CRUCE YALI SITIO 4</v>
      </c>
      <c r="D6689" s="6" t="str">
        <f ca="1">IFERROR(__xludf.DUMMYFUNCTION("""COMPUTED_VALUE"""),"SAN PEDRO")</f>
        <v>SAN PEDRO</v>
      </c>
    </row>
    <row r="6690" spans="1:4">
      <c r="A6690" s="7">
        <f ca="1">IFERROR(__xludf.DUMMYFUNCTION("""COMPUTED_VALUE"""),44594)</f>
        <v>44594</v>
      </c>
      <c r="B6690" s="8" t="str">
        <f ca="1">IFERROR(__xludf.DUMMYFUNCTION("""COMPUTED_VALUE"""),"-33.772161,-70.906086")</f>
        <v>-33.772161,-70.906086</v>
      </c>
      <c r="C6690" s="6" t="str">
        <f ca="1">IFERROR(__xludf.DUMMYFUNCTION("""COMPUTED_VALUE"""),"CRUCERO 472")</f>
        <v>CRUCERO 472</v>
      </c>
      <c r="D6690" s="6" t="str">
        <f ca="1">IFERROR(__xludf.DUMMYFUNCTION("""COMPUTED_VALUE"""),"ISLA DE MAIPO")</f>
        <v>ISLA DE MAIPO</v>
      </c>
    </row>
    <row r="6691" spans="1:4">
      <c r="A6691" s="7">
        <f ca="1">IFERROR(__xludf.DUMMYFUNCTION("""COMPUTED_VALUE"""),44594)</f>
        <v>44594</v>
      </c>
      <c r="B6691" s="8" t="str">
        <f ca="1">IFERROR(__xludf.DUMMYFUNCTION("""COMPUTED_VALUE"""),"-34.055686,-71.240346")</f>
        <v>-34.055686,-71.240346</v>
      </c>
      <c r="C6691" s="6" t="str">
        <f ca="1">IFERROR(__xludf.DUMMYFUNCTION("""COMPUTED_VALUE"""),"PARCELA 18 S/N")</f>
        <v>PARCELA 18 S/N</v>
      </c>
      <c r="D6691" s="6" t="str">
        <f ca="1">IFERROR(__xludf.DUMMYFUNCTION("""COMPUTED_VALUE"""),"ALHUÉ")</f>
        <v>ALHUÉ</v>
      </c>
    </row>
    <row r="6692" spans="1:4">
      <c r="A6692" s="7">
        <f ca="1">IFERROR(__xludf.DUMMYFUNCTION("""COMPUTED_VALUE"""),44594)</f>
        <v>44594</v>
      </c>
      <c r="B6692" s="6" t="str">
        <f ca="1">IFERROR(__xludf.DUMMYFUNCTION("""COMPUTED_VALUE"""),"-33.043563-71.402104")</f>
        <v>-33.043563-71.402104</v>
      </c>
      <c r="C6692" s="6" t="str">
        <f ca="1">IFERROR(__xludf.DUMMYFUNCTION("""COMPUTED_VALUE"""),"BELGRANO 325")</f>
        <v>BELGRANO 325</v>
      </c>
      <c r="D6692" s="6" t="str">
        <f ca="1">IFERROR(__xludf.DUMMYFUNCTION("""COMPUTED_VALUE"""),"QUILPUÉ")</f>
        <v>QUILPUÉ</v>
      </c>
    </row>
    <row r="6693" spans="1:4">
      <c r="A6693" s="7">
        <f ca="1">IFERROR(__xludf.DUMMYFUNCTION("""COMPUTED_VALUE"""),44594)</f>
        <v>44594</v>
      </c>
      <c r="B6693" s="6" t="str">
        <f ca="1">IFERROR(__xludf.DUMMYFUNCTION("""COMPUTED_VALUE"""),"-33.047647-71.422679")</f>
        <v>-33.047647-71.422679</v>
      </c>
      <c r="C6693" s="6" t="str">
        <f ca="1">IFERROR(__xludf.DUMMYFUNCTION("""COMPUTED_VALUE"""),"AV. CENTENARIO 1819")</f>
        <v>AV. CENTENARIO 1819</v>
      </c>
      <c r="D6693" s="6" t="str">
        <f ca="1">IFERROR(__xludf.DUMMYFUNCTION("""COMPUTED_VALUE"""),"QUILPUÉ")</f>
        <v>QUILPUÉ</v>
      </c>
    </row>
    <row r="6694" spans="1:4">
      <c r="A6694" s="7">
        <f ca="1">IFERROR(__xludf.DUMMYFUNCTION("""COMPUTED_VALUE"""),44594)</f>
        <v>44594</v>
      </c>
      <c r="B6694" s="6" t="str">
        <f ca="1">IFERROR(__xludf.DUMMYFUNCTION("""COMPUTED_VALUE"""),"-33.901103,-70.661111")</f>
        <v>-33.901103,-70.661111</v>
      </c>
      <c r="C6694" s="6" t="str">
        <f ca="1">IFERROR(__xludf.DUMMYFUNCTION("""COMPUTED_VALUE"""),"LAS LILAS 55")</f>
        <v>LAS LILAS 55</v>
      </c>
      <c r="D6694" s="6" t="str">
        <f ca="1">IFERROR(__xludf.DUMMYFUNCTION("""COMPUTED_VALUE"""),"PAINE")</f>
        <v>PAINE</v>
      </c>
    </row>
    <row r="6695" spans="1:4">
      <c r="A6695" s="7">
        <f ca="1">IFERROR(__xludf.DUMMYFUNCTION("""COMPUTED_VALUE"""),44594)</f>
        <v>44594</v>
      </c>
      <c r="B6695" s="6" t="str">
        <f ca="1">IFERROR(__xludf.DUMMYFUNCTION("""COMPUTED_VALUE"""),"-33.295757,-70.874068")</f>
        <v>-33.295757,-70.874068</v>
      </c>
      <c r="C6695" s="6" t="str">
        <f ca="1">IFERROR(__xludf.DUMMYFUNCTION("""COMPUTED_VALUE"""),"LOS HALCONES 1427")</f>
        <v>LOS HALCONES 1427</v>
      </c>
      <c r="D6695" s="6" t="str">
        <f ca="1">IFERROR(__xludf.DUMMYFUNCTION("""COMPUTED_VALUE"""),"LAMPA")</f>
        <v>LAMPA</v>
      </c>
    </row>
    <row r="6696" spans="1:4">
      <c r="A6696" s="7">
        <f ca="1">IFERROR(__xludf.DUMMYFUNCTION("""COMPUTED_VALUE"""),44594)</f>
        <v>44594</v>
      </c>
      <c r="B6696" s="6" t="str">
        <f ca="1">IFERROR(__xludf.DUMMYFUNCTION("""COMPUTED_VALUE"""),"-33.288942,-70.879189")</f>
        <v>-33.288942,-70.879189</v>
      </c>
      <c r="C6696" s="6" t="str">
        <f ca="1">IFERROR(__xludf.DUMMYFUNCTION("""COMPUTED_VALUE"""),"PJE ALCALDE MANUEL HUICHIPOCO 129")</f>
        <v>PJE ALCALDE MANUEL HUICHIPOCO 129</v>
      </c>
      <c r="D6696" s="6" t="str">
        <f ca="1">IFERROR(__xludf.DUMMYFUNCTION("""COMPUTED_VALUE"""),"LAMPA")</f>
        <v>LAMPA</v>
      </c>
    </row>
    <row r="6697" spans="1:4">
      <c r="A6697" s="7">
        <f ca="1">IFERROR(__xludf.DUMMYFUNCTION("""COMPUTED_VALUE"""),44595)</f>
        <v>44595</v>
      </c>
      <c r="B6697" s="8" t="str">
        <f ca="1">IFERROR(__xludf.DUMMYFUNCTION("""COMPUTED_VALUE"""),"-33767976-70703203")</f>
        <v>-33767976-70703203</v>
      </c>
      <c r="C6697" s="6" t="str">
        <f ca="1">IFERROR(__xludf.DUMMYFUNCTION("""COMPUTED_VALUE"""),"EL CERRILLO 590")</f>
        <v>EL CERRILLO 590</v>
      </c>
      <c r="D6697" s="6" t="str">
        <f ca="1">IFERROR(__xludf.DUMMYFUNCTION("""COMPUTED_VALUE"""),"ISLA DE MAIPO")</f>
        <v>ISLA DE MAIPO</v>
      </c>
    </row>
    <row r="6698" spans="1:4">
      <c r="A6698" s="7">
        <f ca="1">IFERROR(__xludf.DUMMYFUNCTION("""COMPUTED_VALUE"""),44595)</f>
        <v>44595</v>
      </c>
      <c r="B6698" s="8" t="str">
        <f ca="1">IFERROR(__xludf.DUMMYFUNCTION("""COMPUTED_VALUE"""),"33600386-70867798")</f>
        <v>33600386-70867798</v>
      </c>
      <c r="C6698" s="6" t="str">
        <f ca="1">IFERROR(__xludf.DUMMYFUNCTION("""COMPUTED_VALUE"""),"ROSALES 2092")</f>
        <v>ROSALES 2092</v>
      </c>
      <c r="D6698" s="6" t="str">
        <f ca="1">IFERROR(__xludf.DUMMYFUNCTION("""COMPUTED_VALUE"""),"ISLA DE MAIPO")</f>
        <v>ISLA DE MAIPO</v>
      </c>
    </row>
    <row r="6699" spans="1:4">
      <c r="A6699" s="7">
        <f ca="1">IFERROR(__xludf.DUMMYFUNCTION("""COMPUTED_VALUE"""),44595)</f>
        <v>44595</v>
      </c>
      <c r="B6699" s="8" t="str">
        <f ca="1">IFERROR(__xludf.DUMMYFUNCTION("""COMPUTED_VALUE"""),"33708016-70850008")</f>
        <v>33708016-70850008</v>
      </c>
      <c r="C6699" s="6" t="str">
        <f ca="1">IFERROR(__xludf.DUMMYFUNCTION("""COMPUTED_VALUE"""),"LAS ACASIAS 681")</f>
        <v>LAS ACASIAS 681</v>
      </c>
      <c r="D6699" s="6" t="str">
        <f ca="1">IFERROR(__xludf.DUMMYFUNCTION("""COMPUTED_VALUE"""),"TALAGANTE")</f>
        <v>TALAGANTE</v>
      </c>
    </row>
    <row r="6700" spans="1:4">
      <c r="A6700" s="7">
        <f ca="1">IFERROR(__xludf.DUMMYFUNCTION("""COMPUTED_VALUE"""),44595)</f>
        <v>44595</v>
      </c>
      <c r="B6700" s="8" t="str">
        <f ca="1">IFERROR(__xludf.DUMMYFUNCTION("""COMPUTED_VALUE"""),"-33734108-71021210")</f>
        <v>-33734108-71021210</v>
      </c>
      <c r="C6700" s="6" t="str">
        <f ca="1">IFERROR(__xludf.DUMMYFUNCTION("""COMPUTED_VALUE"""),"EL CLAVEL S/N")</f>
        <v>EL CLAVEL S/N</v>
      </c>
      <c r="D6700" s="6" t="str">
        <f ca="1">IFERROR(__xludf.DUMMYFUNCTION("""COMPUTED_VALUE"""),"ISLA DE MAIPO")</f>
        <v>ISLA DE MAIPO</v>
      </c>
    </row>
    <row r="6701" spans="1:4">
      <c r="A6701" s="7">
        <f ca="1">IFERROR(__xludf.DUMMYFUNCTION("""COMPUTED_VALUE"""),44595)</f>
        <v>44595</v>
      </c>
      <c r="B6701" s="8" t="str">
        <f ca="1">IFERROR(__xludf.DUMMYFUNCTION("""COMPUTED_VALUE"""),"-33770880-70902715")</f>
        <v>-33770880-70902715</v>
      </c>
      <c r="C6701" s="6" t="str">
        <f ca="1">IFERROR(__xludf.DUMMYFUNCTION("""COMPUTED_VALUE"""),"GALVEZ 1607")</f>
        <v>GALVEZ 1607</v>
      </c>
      <c r="D6701" s="6" t="str">
        <f ca="1">IFERROR(__xludf.DUMMYFUNCTION("""COMPUTED_VALUE"""),"ISLA DE MAIPO")</f>
        <v>ISLA DE MAIPO</v>
      </c>
    </row>
    <row r="6702" spans="1:4">
      <c r="A6702" s="7">
        <f ca="1">IFERROR(__xludf.DUMMYFUNCTION("""COMPUTED_VALUE"""),44595)</f>
        <v>44595</v>
      </c>
      <c r="B6702" s="6" t="str">
        <f ca="1">IFERROR(__xludf.DUMMYFUNCTION("""COMPUTED_VALUE"""),"-33.4930338-71.1668963")</f>
        <v>-33.4930338-71.1668963</v>
      </c>
      <c r="C6702" s="6" t="str">
        <f ca="1">IFERROR(__xludf.DUMMYFUNCTION("""COMPUTED_VALUE"""),"MALALHUE SITIO 7 C")</f>
        <v>MALALHUE SITIO 7 C</v>
      </c>
      <c r="D6702" s="6" t="str">
        <f ca="1">IFERROR(__xludf.DUMMYFUNCTION("""COMPUTED_VALUE"""),"MARIA PINTO")</f>
        <v>MARIA PINTO</v>
      </c>
    </row>
    <row r="6703" spans="1:4">
      <c r="A6703" s="7">
        <f ca="1">IFERROR(__xludf.DUMMYFUNCTION("""COMPUTED_VALUE"""),44595)</f>
        <v>44595</v>
      </c>
      <c r="B6703" s="6" t="str">
        <f ca="1">IFERROR(__xludf.DUMMYFUNCTION("""COMPUTED_VALUE"""),"-33.6830753-71.1949993")</f>
        <v>-33.6830753-71.1949993</v>
      </c>
      <c r="C6703" s="6" t="str">
        <f ca="1">IFERROR(__xludf.DUMMYFUNCTION("""COMPUTED_VALUE"""),"FRIEDRICH HAENDEL 244")</f>
        <v>FRIEDRICH HAENDEL 244</v>
      </c>
      <c r="D6703" s="6" t="str">
        <f ca="1">IFERROR(__xludf.DUMMYFUNCTION("""COMPUTED_VALUE"""),"MELIPILLA")</f>
        <v>MELIPILLA</v>
      </c>
    </row>
    <row r="6704" spans="1:4">
      <c r="A6704" s="7">
        <f ca="1">IFERROR(__xludf.DUMMYFUNCTION("""COMPUTED_VALUE"""),44595)</f>
        <v>44595</v>
      </c>
      <c r="B6704" s="6" t="str">
        <f ca="1">IFERROR(__xludf.DUMMYFUNCTION("""COMPUTED_VALUE"""),"-33.4126938-71.1603242")</f>
        <v>-33.4126938-71.1603242</v>
      </c>
      <c r="C6704" s="6" t="str">
        <f ca="1">IFERROR(__xludf.DUMMYFUNCTION("""COMPUTED_VALUE"""),"CAMINO EL TORO RUTA 68 KM 45,5")</f>
        <v>CAMINO EL TORO RUTA 68 KM 45,5</v>
      </c>
      <c r="D6704" s="6" t="str">
        <f ca="1">IFERROR(__xludf.DUMMYFUNCTION("""COMPUTED_VALUE"""),"CURACAVI")</f>
        <v>CURACAVI</v>
      </c>
    </row>
    <row r="6705" spans="1:4">
      <c r="A6705" s="7">
        <f ca="1">IFERROR(__xludf.DUMMYFUNCTION("""COMPUTED_VALUE"""),44595)</f>
        <v>44595</v>
      </c>
      <c r="B6705" s="8" t="str">
        <f ca="1">IFERROR(__xludf.DUMMYFUNCTION("""COMPUTED_VALUE"""),"-33.711090,-70.554657")</f>
        <v>-33.711090,-70.554657</v>
      </c>
      <c r="C6705" s="6" t="str">
        <f ca="1">IFERROR(__xludf.DUMMYFUNCTION("""COMPUTED_VALUE"""),"CALLE NUEVA 44 ")</f>
        <v xml:space="preserve">CALLE NUEVA 44 </v>
      </c>
      <c r="D6705" s="6" t="str">
        <f ca="1">IFERROR(__xludf.DUMMYFUNCTION("""COMPUTED_VALUE"""),"PIRQUE")</f>
        <v>PIRQUE</v>
      </c>
    </row>
    <row r="6706" spans="1:4">
      <c r="A6706" s="7">
        <f ca="1">IFERROR(__xludf.DUMMYFUNCTION("""COMPUTED_VALUE"""),44595)</f>
        <v>44595</v>
      </c>
      <c r="B6706" s="8" t="str">
        <f ca="1">IFERROR(__xludf.DUMMYFUNCTION("""COMPUTED_VALUE"""),"-33.710188,-70.554003")</f>
        <v>-33.710188,-70.554003</v>
      </c>
      <c r="C6706" s="6" t="str">
        <f ca="1">IFERROR(__xludf.DUMMYFUNCTION("""COMPUTED_VALUE"""),"CALLE NUEVA 44 SITIO D")</f>
        <v>CALLE NUEVA 44 SITIO D</v>
      </c>
      <c r="D6706" s="6" t="str">
        <f ca="1">IFERROR(__xludf.DUMMYFUNCTION("""COMPUTED_VALUE"""),"PIRQUE")</f>
        <v>PIRQUE</v>
      </c>
    </row>
    <row r="6707" spans="1:4">
      <c r="A6707" s="7">
        <f ca="1">IFERROR(__xludf.DUMMYFUNCTION("""COMPUTED_VALUE"""),44595)</f>
        <v>44595</v>
      </c>
      <c r="B6707" s="8" t="str">
        <f ca="1">IFERROR(__xludf.DUMMYFUNCTION("""COMPUTED_VALUE"""),"-33.653508,-70.529252")</f>
        <v>-33.653508,-70.529252</v>
      </c>
      <c r="C6707" s="6" t="str">
        <f ca="1">IFERROR(__xludf.DUMMYFUNCTION("""COMPUTED_VALUE"""),"SANTA RITA 3470")</f>
        <v>SANTA RITA 3470</v>
      </c>
      <c r="D6707" s="6" t="str">
        <f ca="1">IFERROR(__xludf.DUMMYFUNCTION("""COMPUTED_VALUE"""),"PIRQUE")</f>
        <v>PIRQUE</v>
      </c>
    </row>
    <row r="6708" spans="1:4">
      <c r="A6708" s="7">
        <f ca="1">IFERROR(__xludf.DUMMYFUNCTION("""COMPUTED_VALUE"""),44595)</f>
        <v>44595</v>
      </c>
      <c r="B6708" s="8" t="str">
        <f ca="1">IFERROR(__xludf.DUMMYFUNCTION("""COMPUTED_VALUE"""),"-33.907197,-70.742302")</f>
        <v>-33.907197,-70.742302</v>
      </c>
      <c r="C6708" s="6" t="str">
        <f ca="1">IFERROR(__xludf.DUMMYFUNCTION("""COMPUTED_VALUE"""),"AGUILA SUR 44")</f>
        <v>AGUILA SUR 44</v>
      </c>
      <c r="D6708" s="6" t="str">
        <f ca="1">IFERROR(__xludf.DUMMYFUNCTION("""COMPUTED_VALUE"""),"PAINE")</f>
        <v>PAINE</v>
      </c>
    </row>
    <row r="6709" spans="1:4">
      <c r="A6709" s="7">
        <f ca="1">IFERROR(__xludf.DUMMYFUNCTION("""COMPUTED_VALUE"""),44595)</f>
        <v>44595</v>
      </c>
      <c r="B6709" s="6" t="str">
        <f ca="1">IFERROR(__xludf.DUMMYFUNCTION("""COMPUTED_VALUE"""),"-33.783490,-70.887338")</f>
        <v>-33.783490,-70.887338</v>
      </c>
      <c r="C6709" s="6" t="str">
        <f ca="1">IFERROR(__xludf.DUMMYFUNCTION("""COMPUTED_VALUE"""),"LAS MERCEDES 1765")</f>
        <v>LAS MERCEDES 1765</v>
      </c>
      <c r="D6709" s="6" t="str">
        <f ca="1">IFERROR(__xludf.DUMMYFUNCTION("""COMPUTED_VALUE"""),"ISLA DE MAIPO")</f>
        <v>ISLA DE MAIPO</v>
      </c>
    </row>
    <row r="6710" spans="1:4">
      <c r="A6710" s="7">
        <f ca="1">IFERROR(__xludf.DUMMYFUNCTION("""COMPUTED_VALUE"""),44595)</f>
        <v>44595</v>
      </c>
      <c r="B6710" s="6" t="str">
        <f ca="1">IFERROR(__xludf.DUMMYFUNCTION("""COMPUTED_VALUE"""),"-33.782174,-70.889007")</f>
        <v>-33.782174,-70.889007</v>
      </c>
      <c r="C6710" s="6" t="str">
        <f ca="1">IFERROR(__xludf.DUMMYFUNCTION("""COMPUTED_VALUE"""),"LOS CARDENALES 57")</f>
        <v>LOS CARDENALES 57</v>
      </c>
      <c r="D6710" s="6" t="str">
        <f ca="1">IFERROR(__xludf.DUMMYFUNCTION("""COMPUTED_VALUE"""),"ISLA DE MAIPO")</f>
        <v>ISLA DE MAIPO</v>
      </c>
    </row>
    <row r="6711" spans="1:4">
      <c r="A6711" s="7">
        <f ca="1">IFERROR(__xludf.DUMMYFUNCTION("""COMPUTED_VALUE"""),44595)</f>
        <v>44595</v>
      </c>
      <c r="B6711" s="6" t="str">
        <f ca="1">IFERROR(__xludf.DUMMYFUNCTION("""COMPUTED_VALUE"""),"-33.738552,-70.864610")</f>
        <v>-33.738552,-70.864610</v>
      </c>
      <c r="C6711" s="6" t="str">
        <f ca="1">IFERROR(__xludf.DUMMYFUNCTION("""COMPUTED_VALUE"""),"ALBORADA 222 LA ISLITA")</f>
        <v>ALBORADA 222 LA ISLITA</v>
      </c>
      <c r="D6711" s="6" t="str">
        <f ca="1">IFERROR(__xludf.DUMMYFUNCTION("""COMPUTED_VALUE"""),"ISLA DE MAIPO")</f>
        <v>ISLA DE MAIPO</v>
      </c>
    </row>
    <row r="6712" spans="1:4">
      <c r="A6712" s="7">
        <f ca="1">IFERROR(__xludf.DUMMYFUNCTION("""COMPUTED_VALUE"""),44595)</f>
        <v>44595</v>
      </c>
      <c r="B6712" s="6" t="str">
        <f ca="1">IFERROR(__xludf.DUMMYFUNCTION("""COMPUTED_VALUE"""),"-33.794286,-71.266603")</f>
        <v>-33.794286,-71.266603</v>
      </c>
      <c r="C6712" s="6" t="str">
        <f ca="1">IFERROR(__xludf.DUMMYFUNCTION("""COMPUTED_VALUE"""),"POPETA 282")</f>
        <v>POPETA 282</v>
      </c>
      <c r="D6712" s="6" t="str">
        <f ca="1">IFERROR(__xludf.DUMMYFUNCTION("""COMPUTED_VALUE"""),"MELIPILLA")</f>
        <v>MELIPILLA</v>
      </c>
    </row>
    <row r="6713" spans="1:4">
      <c r="A6713" s="7">
        <f ca="1">IFERROR(__xludf.DUMMYFUNCTION("""COMPUTED_VALUE"""),44595)</f>
        <v>44595</v>
      </c>
      <c r="B6713" s="6" t="str">
        <f ca="1">IFERROR(__xludf.DUMMYFUNCTION("""COMPUTED_VALUE"""),"-35.412026,-71.646433")</f>
        <v>-35.412026,-71.646433</v>
      </c>
      <c r="C6713" s="6" t="str">
        <f ca="1">IFERROR(__xludf.DUMMYFUNCTION("""COMPUTED_VALUE"""),"PASAJE DIECISEIS NORTE 1834 LOTEO DON ARTURO")</f>
        <v>PASAJE DIECISEIS NORTE 1834 LOTEO DON ARTURO</v>
      </c>
      <c r="D6713" s="6" t="str">
        <f ca="1">IFERROR(__xludf.DUMMYFUNCTION("""COMPUTED_VALUE"""),"TALCA")</f>
        <v>TALCA</v>
      </c>
    </row>
    <row r="6714" spans="1:4">
      <c r="A6714" s="7">
        <f ca="1">IFERROR(__xludf.DUMMYFUNCTION("""COMPUTED_VALUE"""),44595)</f>
        <v>44595</v>
      </c>
      <c r="B6714" s="6" t="str">
        <f ca="1">IFERROR(__xludf.DUMMYFUNCTION("""COMPUTED_VALUE"""),"-35.410508,-71.637202")</f>
        <v>-35.410508,-71.637202</v>
      </c>
      <c r="C6714" s="6" t="str">
        <f ca="1">IFERROR(__xludf.DUMMYFUNCTION("""COMPUTED_VALUE"""),"VEINTIUNO NORTE 2049 LOTEO DON HORACIO")</f>
        <v>VEINTIUNO NORTE 2049 LOTEO DON HORACIO</v>
      </c>
      <c r="D6714" s="6" t="str">
        <f ca="1">IFERROR(__xludf.DUMMYFUNCTION("""COMPUTED_VALUE"""),"TALCA")</f>
        <v>TALCA</v>
      </c>
    </row>
    <row r="6715" spans="1:4">
      <c r="A6715" s="7">
        <f ca="1">IFERROR(__xludf.DUMMYFUNCTION("""COMPUTED_VALUE"""),44595)</f>
        <v>44595</v>
      </c>
      <c r="B6715" s="6" t="str">
        <f ca="1">IFERROR(__xludf.DUMMYFUNCTION("""COMPUTED_VALUE"""),"-35.439341,-71.623858")</f>
        <v>-35.439341,-71.623858</v>
      </c>
      <c r="C6715" s="6" t="str">
        <f ca="1">IFERROR(__xludf.DUMMYFUNCTION("""COMPUTED_VALUE"""),"34 ORIENTE 685,VILLA PARQUE SAN MIGUEL")</f>
        <v>34 ORIENTE 685,VILLA PARQUE SAN MIGUEL</v>
      </c>
      <c r="D6715" s="6" t="str">
        <f ca="1">IFERROR(__xludf.DUMMYFUNCTION("""COMPUTED_VALUE"""),"TALCA")</f>
        <v>TALCA</v>
      </c>
    </row>
    <row r="6716" spans="1:4">
      <c r="A6716" s="7">
        <f ca="1">IFERROR(__xludf.DUMMYFUNCTION("""COMPUTED_VALUE"""),44595)</f>
        <v>44595</v>
      </c>
      <c r="B6716" s="8" t="str">
        <f ca="1">IFERROR(__xludf.DUMMYFUNCTION("""COMPUTED_VALUE"""),"-33.298203,-70.882584")</f>
        <v>-33.298203,-70.882584</v>
      </c>
      <c r="C6716" s="6" t="str">
        <f ca="1">IFERROR(__xludf.DUMMYFUNCTION("""COMPUTED_VALUE"""),"QUILLAY 2583")</f>
        <v>QUILLAY 2583</v>
      </c>
      <c r="D6716" s="6" t="str">
        <f ca="1">IFERROR(__xludf.DUMMYFUNCTION("""COMPUTED_VALUE"""),"LAMPA")</f>
        <v>LAMPA</v>
      </c>
    </row>
    <row r="6717" spans="1:4">
      <c r="A6717" s="7">
        <f ca="1">IFERROR(__xludf.DUMMYFUNCTION("""COMPUTED_VALUE"""),44595)</f>
        <v>44595</v>
      </c>
      <c r="B6717" s="8" t="str">
        <f ca="1">IFERROR(__xludf.DUMMYFUNCTION("""COMPUTED_VALUE"""),"-33.753095,-70.827468")</f>
        <v>-33.753095,-70.827468</v>
      </c>
      <c r="C6717" s="6" t="str">
        <f ca="1">IFERROR(__xludf.DUMMYFUNCTION("""COMPUTED_VALUE"""),"EL MAICILLO 4429 ")</f>
        <v xml:space="preserve">EL MAICILLO 4429 </v>
      </c>
      <c r="D6717" s="6" t="str">
        <f ca="1">IFERROR(__xludf.DUMMYFUNCTION("""COMPUTED_VALUE"""),"ISLA DE MAIPO")</f>
        <v>ISLA DE MAIPO</v>
      </c>
    </row>
    <row r="6718" spans="1:4">
      <c r="A6718" s="7">
        <f ca="1">IFERROR(__xludf.DUMMYFUNCTION("""COMPUTED_VALUE"""),44595)</f>
        <v>44595</v>
      </c>
      <c r="B6718" s="6" t="str">
        <f ca="1">IFERROR(__xludf.DUMMYFUNCTION("""COMPUTED_VALUE"""),"-33.823557,-70.732638")</f>
        <v>-33.823557,-70.732638</v>
      </c>
      <c r="C6718" s="6" t="str">
        <f ca="1">IFERROR(__xludf.DUMMYFUNCTION("""COMPUTED_VALUE"""),"ELENA CORREA 1807")</f>
        <v>ELENA CORREA 1807</v>
      </c>
      <c r="D6718" s="6" t="str">
        <f ca="1">IFERROR(__xludf.DUMMYFUNCTION("""COMPUTED_VALUE"""),"PAINE")</f>
        <v>PAINE</v>
      </c>
    </row>
    <row r="6719" spans="1:4">
      <c r="A6719" s="7">
        <f ca="1">IFERROR(__xludf.DUMMYFUNCTION("""COMPUTED_VALUE"""),44595)</f>
        <v>44595</v>
      </c>
      <c r="B6719" s="6" t="str">
        <f ca="1">IFERROR(__xludf.DUMMYFUNCTION("""COMPUTED_VALUE"""),"-33.806074,-70.733760")</f>
        <v>-33.806074,-70.733760</v>
      </c>
      <c r="C6719" s="6" t="str">
        <f ca="1">IFERROR(__xludf.DUMMYFUNCTION("""COMPUTED_VALUE"""),"AVELLANITA 177")</f>
        <v>AVELLANITA 177</v>
      </c>
      <c r="D6719" s="6" t="str">
        <f ca="1">IFERROR(__xludf.DUMMYFUNCTION("""COMPUTED_VALUE"""),"PAINE")</f>
        <v>PAINE</v>
      </c>
    </row>
    <row r="6720" spans="1:4">
      <c r="A6720" s="7">
        <f ca="1">IFERROR(__xludf.DUMMYFUNCTION("""COMPUTED_VALUE"""),44595)</f>
        <v>44595</v>
      </c>
      <c r="B6720" s="6" t="str">
        <f ca="1">IFERROR(__xludf.DUMMYFUNCTION("""COMPUTED_VALUE"""),"-33.875185,-70.686104")</f>
        <v>-33.875185,-70.686104</v>
      </c>
      <c r="C6720" s="6" t="str">
        <f ca="1">IFERROR(__xludf.DUMMYFUNCTION("""COMPUTED_VALUE"""),"BIEN COMÚN CERRO 13C CUTILIN")</f>
        <v>BIEN COMÚN CERRO 13C CUTILIN</v>
      </c>
      <c r="D6720" s="6" t="str">
        <f ca="1">IFERROR(__xludf.DUMMYFUNCTION("""COMPUTED_VALUE"""),"PAINE")</f>
        <v>PAINE</v>
      </c>
    </row>
    <row r="6721" spans="1:4">
      <c r="A6721" s="7">
        <f ca="1">IFERROR(__xludf.DUMMYFUNCTION("""COMPUTED_VALUE"""),44595)</f>
        <v>44595</v>
      </c>
      <c r="B6721" s="6" t="str">
        <f ca="1">IFERROR(__xludf.DUMMYFUNCTION("""COMPUTED_VALUE"""),"-33.839719,-70.639399")</f>
        <v>-33.839719,-70.639399</v>
      </c>
      <c r="C6721" s="6" t="str">
        <f ca="1">IFERROR(__xludf.DUMMYFUNCTION("""COMPUTED_VALUE"""),"LA VICTORIA ST.V.HUELQUEU")</f>
        <v>LA VICTORIA ST.V.HUELQUEU</v>
      </c>
      <c r="D6721" s="6" t="str">
        <f ca="1">IFERROR(__xludf.DUMMYFUNCTION("""COMPUTED_VALUE"""),"PAINE")</f>
        <v>PAINE</v>
      </c>
    </row>
    <row r="6722" spans="1:4">
      <c r="A6722" s="7">
        <f ca="1">IFERROR(__xludf.DUMMYFUNCTION("""COMPUTED_VALUE"""),44595)</f>
        <v>44595</v>
      </c>
      <c r="B6722" s="6" t="str">
        <f ca="1">IFERROR(__xludf.DUMMYFUNCTION("""COMPUTED_VALUE"""),"-33.852601,-70.938749")</f>
        <v>-33.852601,-70.938749</v>
      </c>
      <c r="C6722" s="6" t="str">
        <f ca="1">IFERROR(__xludf.DUMMYFUNCTION("""COMPUTED_VALUE"""),"CO. RANGUE 13A ACULEO CAM. RANGUE S")</f>
        <v>CO. RANGUE 13A ACULEO CAM. RANGUE S</v>
      </c>
      <c r="D6722" s="6" t="str">
        <f ca="1">IFERROR(__xludf.DUMMYFUNCTION("""COMPUTED_VALUE"""),"PAINE")</f>
        <v>PAINE</v>
      </c>
    </row>
    <row r="6723" spans="1:4">
      <c r="A6723" s="7">
        <f ca="1">IFERROR(__xludf.DUMMYFUNCTION("""COMPUTED_VALUE"""),44595)</f>
        <v>44595</v>
      </c>
      <c r="B6723" s="6" t="str">
        <f ca="1">IFERROR(__xludf.DUMMYFUNCTION("""COMPUTED_VALUE"""),"-33.821967,-70.768001")</f>
        <v>-33.821967,-70.768001</v>
      </c>
      <c r="C6723" s="6" t="str">
        <f ca="1">IFERROR(__xludf.DUMMYFUNCTION("""COMPUTED_VALUE"""),"PEDRO AGUIRRE CERDA 20 LOTE5 COL DE PAINE")</f>
        <v>PEDRO AGUIRRE CERDA 20 LOTE5 COL DE PAINE</v>
      </c>
      <c r="D6723" s="6" t="str">
        <f ca="1">IFERROR(__xludf.DUMMYFUNCTION("""COMPUTED_VALUE"""),"PAINE")</f>
        <v>PAINE</v>
      </c>
    </row>
    <row r="6724" spans="1:4">
      <c r="A6724" s="7">
        <f ca="1">IFERROR(__xludf.DUMMYFUNCTION("""COMPUTED_VALUE"""),44596)</f>
        <v>44596</v>
      </c>
      <c r="B6724" s="8" t="str">
        <f ca="1">IFERROR(__xludf.DUMMYFUNCTION("""COMPUTED_VALUE"""),"-33733376-71021164")</f>
        <v>-33733376-71021164</v>
      </c>
      <c r="C6724" s="6" t="str">
        <f ca="1">IFERROR(__xludf.DUMMYFUNCTION("""COMPUTED_VALUE"""),"PRINCIPAL 57")</f>
        <v>PRINCIPAL 57</v>
      </c>
      <c r="D6724" s="6" t="str">
        <f ca="1">IFERROR(__xludf.DUMMYFUNCTION("""COMPUTED_VALUE"""),"ISLA DE MAIPO")</f>
        <v>ISLA DE MAIPO</v>
      </c>
    </row>
    <row r="6725" spans="1:4">
      <c r="A6725" s="7">
        <f ca="1">IFERROR(__xludf.DUMMYFUNCTION("""COMPUTED_VALUE"""),44596)</f>
        <v>44596</v>
      </c>
      <c r="B6725" s="8" t="str">
        <f ca="1">IFERROR(__xludf.DUMMYFUNCTION("""COMPUTED_VALUE"""),"-33736038-71020417")</f>
        <v>-33736038-71020417</v>
      </c>
      <c r="C6725" s="6" t="str">
        <f ca="1">IFERROR(__xludf.DUMMYFUNCTION("""COMPUTED_VALUE"""),"LAS ACACIAS 45")</f>
        <v>LAS ACACIAS 45</v>
      </c>
      <c r="D6725" s="6" t="str">
        <f ca="1">IFERROR(__xludf.DUMMYFUNCTION("""COMPUTED_VALUE"""),"ISLA DE MAIPO")</f>
        <v>ISLA DE MAIPO</v>
      </c>
    </row>
    <row r="6726" spans="1:4">
      <c r="A6726" s="7">
        <f ca="1">IFERROR(__xludf.DUMMYFUNCTION("""COMPUTED_VALUE"""),44596)</f>
        <v>44596</v>
      </c>
      <c r="B6726" s="8" t="str">
        <f ca="1">IFERROR(__xludf.DUMMYFUNCTION("""COMPUTED_VALUE"""),"-33732869-71027294")</f>
        <v>-33732869-71027294</v>
      </c>
      <c r="C6726" s="6" t="str">
        <f ca="1">IFERROR(__xludf.DUMMYFUNCTION("""COMPUTED_VALUE"""),"SAN ANTONIO DE MALTAGUA 22")</f>
        <v>SAN ANTONIO DE MALTAGUA 22</v>
      </c>
      <c r="D6726" s="6" t="str">
        <f ca="1">IFERROR(__xludf.DUMMYFUNCTION("""COMPUTED_VALUE"""),"ISLA DE MAIPO")</f>
        <v>ISLA DE MAIPO</v>
      </c>
    </row>
    <row r="6727" spans="1:4">
      <c r="A6727" s="7">
        <f ca="1">IFERROR(__xludf.DUMMYFUNCTION("""COMPUTED_VALUE"""),44596)</f>
        <v>44596</v>
      </c>
      <c r="B6727" s="8" t="str">
        <f ca="1">IFERROR(__xludf.DUMMYFUNCTION("""COMPUTED_VALUE"""),"-337454507-70889571")</f>
        <v>-337454507-70889571</v>
      </c>
      <c r="C6727" s="6" t="str">
        <f ca="1">IFERROR(__xludf.DUMMYFUNCTION("""COMPUTED_VALUE"""),"CIPRES 448")</f>
        <v>CIPRES 448</v>
      </c>
      <c r="D6727" s="6" t="str">
        <f ca="1">IFERROR(__xludf.DUMMYFUNCTION("""COMPUTED_VALUE"""),"ISLA DE MAIPO")</f>
        <v>ISLA DE MAIPO</v>
      </c>
    </row>
    <row r="6728" spans="1:4">
      <c r="A6728" s="7">
        <f ca="1">IFERROR(__xludf.DUMMYFUNCTION("""COMPUTED_VALUE"""),44596)</f>
        <v>44596</v>
      </c>
      <c r="B6728" s="6" t="str">
        <f ca="1">IFERROR(__xludf.DUMMYFUNCTION("""COMPUTED_VALUE"""),"-33.13851-70.79779")</f>
        <v>-33.13851-70.79779</v>
      </c>
      <c r="C6728" s="6" t="str">
        <f ca="1">IFERROR(__xludf.DUMMYFUNCTION("""COMPUTED_VALUE"""),"3 ORIENTE 298 A")</f>
        <v>3 ORIENTE 298 A</v>
      </c>
      <c r="D6728" s="6" t="str">
        <f ca="1">IFERROR(__xludf.DUMMYFUNCTION("""COMPUTED_VALUE"""),"TIL TIL")</f>
        <v>TIL TIL</v>
      </c>
    </row>
    <row r="6729" spans="1:4">
      <c r="A6729" s="7">
        <f ca="1">IFERROR(__xludf.DUMMYFUNCTION("""COMPUTED_VALUE"""),44596)</f>
        <v>44596</v>
      </c>
      <c r="B6729" s="6" t="str">
        <f ca="1">IFERROR(__xludf.DUMMYFUNCTION("""COMPUTED_VALUE"""),"-33.1305-70.79779")</f>
        <v>-33.1305-70.79779</v>
      </c>
      <c r="C6729" s="6" t="str">
        <f ca="1">IFERROR(__xludf.DUMMYFUNCTION("""COMPUTED_VALUE"""),"3 ORIENTE 298 A")</f>
        <v>3 ORIENTE 298 A</v>
      </c>
      <c r="D6729" s="6" t="str">
        <f ca="1">IFERROR(__xludf.DUMMYFUNCTION("""COMPUTED_VALUE"""),"TIL TIL")</f>
        <v>TIL TIL</v>
      </c>
    </row>
    <row r="6730" spans="1:4">
      <c r="A6730" s="7">
        <f ca="1">IFERROR(__xludf.DUMMYFUNCTION("""COMPUTED_VALUE"""),44596)</f>
        <v>44596</v>
      </c>
      <c r="B6730" s="6" t="str">
        <f ca="1">IFERROR(__xludf.DUMMYFUNCTION("""COMPUTED_VALUE"""),"-33.1305-70.79779")</f>
        <v>-33.1305-70.79779</v>
      </c>
      <c r="C6730" s="6" t="str">
        <f ca="1">IFERROR(__xludf.DUMMYFUNCTION("""COMPUTED_VALUE"""),"3 ORIENTE 298 A")</f>
        <v>3 ORIENTE 298 A</v>
      </c>
      <c r="D6730" s="6" t="str">
        <f ca="1">IFERROR(__xludf.DUMMYFUNCTION("""COMPUTED_VALUE"""),"TIL TIL")</f>
        <v>TIL TIL</v>
      </c>
    </row>
    <row r="6731" spans="1:4">
      <c r="A6731" s="7">
        <f ca="1">IFERROR(__xludf.DUMMYFUNCTION("""COMPUTED_VALUE"""),44596)</f>
        <v>44596</v>
      </c>
      <c r="B6731" s="6" t="str">
        <f ca="1">IFERROR(__xludf.DUMMYFUNCTION("""COMPUTED_VALUE"""),"-33.395208-71.129805")</f>
        <v>-33.395208-71.129805</v>
      </c>
      <c r="C6731" s="6" t="str">
        <f ca="1">IFERROR(__xludf.DUMMYFUNCTION("""COMPUTED_VALUE"""),"REGIDOR PEDRO VALENZUELA 746")</f>
        <v>REGIDOR PEDRO VALENZUELA 746</v>
      </c>
      <c r="D6731" s="6" t="str">
        <f ca="1">IFERROR(__xludf.DUMMYFUNCTION("""COMPUTED_VALUE"""),"CURACAVI")</f>
        <v>CURACAVI</v>
      </c>
    </row>
    <row r="6732" spans="1:4">
      <c r="A6732" s="7">
        <f ca="1">IFERROR(__xludf.DUMMYFUNCTION("""COMPUTED_VALUE"""),44596)</f>
        <v>44596</v>
      </c>
      <c r="B6732" s="8" t="str">
        <f ca="1">IFERROR(__xludf.DUMMYFUNCTION("""COMPUTED_VALUE"""),"-33.907197,-70.742302")</f>
        <v>-33.907197,-70.742302</v>
      </c>
      <c r="C6732" s="6" t="str">
        <f ca="1">IFERROR(__xludf.DUMMYFUNCTION("""COMPUTED_VALUE"""),"AGUILA SUR 44")</f>
        <v>AGUILA SUR 44</v>
      </c>
      <c r="D6732" s="6" t="str">
        <f ca="1">IFERROR(__xludf.DUMMYFUNCTION("""COMPUTED_VALUE"""),"PAINE")</f>
        <v>PAINE</v>
      </c>
    </row>
    <row r="6733" spans="1:4">
      <c r="A6733" s="7">
        <f ca="1">IFERROR(__xludf.DUMMYFUNCTION("""COMPUTED_VALUE"""),44596)</f>
        <v>44596</v>
      </c>
      <c r="B6733" s="8" t="str">
        <f ca="1">IFERROR(__xludf.DUMMYFUNCTION("""COMPUTED_VALUE"""),"-33.865234,-70.751262")</f>
        <v>-33.865234,-70.751262</v>
      </c>
      <c r="C6733" s="6" t="str">
        <f ca="1">IFERROR(__xludf.DUMMYFUNCTION("""COMPUTED_VALUE"""),"KENNEDY 99")</f>
        <v>KENNEDY 99</v>
      </c>
      <c r="D6733" s="6" t="str">
        <f ca="1">IFERROR(__xludf.DUMMYFUNCTION("""COMPUTED_VALUE"""),"PAINE")</f>
        <v>PAINE</v>
      </c>
    </row>
    <row r="6734" spans="1:4">
      <c r="A6734" s="7">
        <f ca="1">IFERROR(__xludf.DUMMYFUNCTION("""COMPUTED_VALUE"""),44596)</f>
        <v>44596</v>
      </c>
      <c r="B6734" s="8" t="str">
        <f ca="1">IFERROR(__xludf.DUMMYFUNCTION("""COMPUTED_VALUE"""),"-33.21442,-70.683238")</f>
        <v>-33.21442,-70.683238</v>
      </c>
      <c r="C6734" s="6" t="str">
        <f ca="1">IFERROR(__xludf.DUMMYFUNCTION("""COMPUTED_VALUE"""),"LOS CORRALES 1076")</f>
        <v>LOS CORRALES 1076</v>
      </c>
      <c r="D6734" s="6" t="str">
        <f ca="1">IFERROR(__xludf.DUMMYFUNCTION("""COMPUTED_VALUE"""),"COLINA")</f>
        <v>COLINA</v>
      </c>
    </row>
    <row r="6735" spans="1:4">
      <c r="A6735" s="7">
        <f ca="1">IFERROR(__xludf.DUMMYFUNCTION("""COMPUTED_VALUE"""),44596)</f>
        <v>44596</v>
      </c>
      <c r="B6735" s="8" t="str">
        <f ca="1">IFERROR(__xludf.DUMMYFUNCTION("""COMPUTED_VALUE"""),"-33.21442,-70.683238")</f>
        <v>-33.21442,-70.683238</v>
      </c>
      <c r="C6735" s="6" t="str">
        <f ca="1">IFERROR(__xludf.DUMMYFUNCTION("""COMPUTED_VALUE"""),"LOS CORRALES 1076")</f>
        <v>LOS CORRALES 1076</v>
      </c>
      <c r="D6735" s="6" t="str">
        <f ca="1">IFERROR(__xludf.DUMMYFUNCTION("""COMPUTED_VALUE"""),"COLINA")</f>
        <v>COLINA</v>
      </c>
    </row>
    <row r="6736" spans="1:4">
      <c r="A6736" s="7">
        <f ca="1">IFERROR(__xludf.DUMMYFUNCTION("""COMPUTED_VALUE"""),44596)</f>
        <v>44596</v>
      </c>
      <c r="B6736" s="8" t="str">
        <f ca="1">IFERROR(__xludf.DUMMYFUNCTION("""COMPUTED_VALUE"""),"-33.710739,-70.554494")</f>
        <v>-33.710739,-70.554494</v>
      </c>
      <c r="C6736" s="6" t="str">
        <f ca="1">IFERROR(__xludf.DUMMYFUNCTION("""COMPUTED_VALUE"""),"CALLE NUEVA 44-C")</f>
        <v>CALLE NUEVA 44-C</v>
      </c>
      <c r="D6736" s="6" t="str">
        <f ca="1">IFERROR(__xludf.DUMMYFUNCTION("""COMPUTED_VALUE"""),"PIRQUE")</f>
        <v>PIRQUE</v>
      </c>
    </row>
    <row r="6737" spans="1:4">
      <c r="A6737" s="7">
        <f ca="1">IFERROR(__xludf.DUMMYFUNCTION("""COMPUTED_VALUE"""),44596)</f>
        <v>44596</v>
      </c>
      <c r="B6737" s="6" t="str">
        <f ca="1">IFERROR(__xludf.DUMMYFUNCTION("""COMPUTED_VALUE"""),"-33.283698,-70.873686")</f>
        <v>-33.283698,-70.873686</v>
      </c>
      <c r="C6737" s="6" t="str">
        <f ca="1">IFERROR(__xludf.DUMMYFUNCTION("""COMPUTED_VALUE"""),"ELEUTERIO RAMIREZ 108")</f>
        <v>ELEUTERIO RAMIREZ 108</v>
      </c>
      <c r="D6737" s="6" t="str">
        <f ca="1">IFERROR(__xludf.DUMMYFUNCTION("""COMPUTED_VALUE"""),"LAMPA")</f>
        <v>LAMPA</v>
      </c>
    </row>
    <row r="6738" spans="1:4">
      <c r="A6738" s="7">
        <f ca="1">IFERROR(__xludf.DUMMYFUNCTION("""COMPUTED_VALUE"""),44596)</f>
        <v>44596</v>
      </c>
      <c r="B6738" s="6" t="str">
        <f ca="1">IFERROR(__xludf.DUMMYFUNCTION("""COMPUTED_VALUE"""),"-33.278071,-70.827945")</f>
        <v>-33.278071,-70.827945</v>
      </c>
      <c r="C6738" s="6" t="str">
        <f ca="1">IFERROR(__xludf.DUMMYFUNCTION("""COMPUTED_VALUE"""),"CAMINO  PUBLICO  L/A P/1 ")</f>
        <v xml:space="preserve">CAMINO  PUBLICO  L/A P/1 </v>
      </c>
      <c r="D6738" s="6" t="str">
        <f ca="1">IFERROR(__xludf.DUMMYFUNCTION("""COMPUTED_VALUE"""),"LAMPA")</f>
        <v>LAMPA</v>
      </c>
    </row>
    <row r="6739" spans="1:4">
      <c r="A6739" s="7">
        <f ca="1">IFERROR(__xludf.DUMMYFUNCTION("""COMPUTED_VALUE"""),44596)</f>
        <v>44596</v>
      </c>
      <c r="B6739" s="8" t="str">
        <f ca="1">IFERROR(__xludf.DUMMYFUNCTION("""COMPUTED_VALUE"""),"-33.585747,-71.123379")</f>
        <v>-33.585747,-71.123379</v>
      </c>
      <c r="C6739" s="6" t="str">
        <f ca="1">IFERROR(__xludf.DUMMYFUNCTION("""COMPUTED_VALUE"""),"EL OLIVO SITIO 4")</f>
        <v>EL OLIVO SITIO 4</v>
      </c>
      <c r="D6739" s="6" t="str">
        <f ca="1">IFERROR(__xludf.DUMMYFUNCTION("""COMPUTED_VALUE"""),"MELIPILLA")</f>
        <v>MELIPILLA</v>
      </c>
    </row>
    <row r="6740" spans="1:4">
      <c r="A6740" s="7">
        <f ca="1">IFERROR(__xludf.DUMMYFUNCTION("""COMPUTED_VALUE"""),44596)</f>
        <v>44596</v>
      </c>
      <c r="B6740" s="8" t="str">
        <f ca="1">IFERROR(__xludf.DUMMYFUNCTION("""COMPUTED_VALUE"""),"-33.586245,-71123833.")</f>
        <v>-33.586245,-71123833.</v>
      </c>
      <c r="C6740" s="6" t="str">
        <f ca="1">IFERROR(__xludf.DUMMYFUNCTION("""COMPUTED_VALUE"""),"EL OLIVO S/N MALLARAUCO ")</f>
        <v xml:space="preserve">EL OLIVO S/N MALLARAUCO </v>
      </c>
      <c r="D6740" s="6" t="str">
        <f ca="1">IFERROR(__xludf.DUMMYFUNCTION("""COMPUTED_VALUE"""),"MELIPILLA")</f>
        <v>MELIPILLA</v>
      </c>
    </row>
    <row r="6741" spans="1:4">
      <c r="A6741" s="7">
        <f ca="1">IFERROR(__xludf.DUMMYFUNCTION("""COMPUTED_VALUE"""),44596)</f>
        <v>44596</v>
      </c>
      <c r="B6741" s="8" t="str">
        <f ca="1">IFERROR(__xludf.DUMMYFUNCTION("""COMPUTED_VALUE"""),"-33.241557,-70.739856")</f>
        <v>-33.241557,-70.739856</v>
      </c>
      <c r="C6741" s="6" t="str">
        <f ca="1">IFERROR(__xludf.DUMMYFUNCTION("""COMPUTED_VALUE"""),"CAMINO LIRAY PARCELA 9")</f>
        <v>CAMINO LIRAY PARCELA 9</v>
      </c>
      <c r="D6741" s="6" t="str">
        <f ca="1">IFERROR(__xludf.DUMMYFUNCTION("""COMPUTED_VALUE"""),"COLINA")</f>
        <v>COLINA</v>
      </c>
    </row>
    <row r="6742" spans="1:4">
      <c r="A6742" s="7">
        <f ca="1">IFERROR(__xludf.DUMMYFUNCTION("""COMPUTED_VALUE"""),44596)</f>
        <v>44596</v>
      </c>
      <c r="B6742" s="8" t="str">
        <f ca="1">IFERROR(__xludf.DUMMYFUNCTION("""COMPUTED_VALUE"""),"-33.289194,-70.874664")</f>
        <v>-33.289194,-70.874664</v>
      </c>
      <c r="C6742" s="6" t="str">
        <f ca="1">IFERROR(__xludf.DUMMYFUNCTION("""COMPUTED_VALUE"""),"VILLARICA 26")</f>
        <v>VILLARICA 26</v>
      </c>
      <c r="D6742" s="6" t="str">
        <f ca="1">IFERROR(__xludf.DUMMYFUNCTION("""COMPUTED_VALUE"""),"LAMPA")</f>
        <v>LAMPA</v>
      </c>
    </row>
    <row r="6743" spans="1:4">
      <c r="A6743" s="7">
        <f ca="1">IFERROR(__xludf.DUMMYFUNCTION("""COMPUTED_VALUE"""),44596)</f>
        <v>44596</v>
      </c>
      <c r="B6743" s="6" t="str">
        <f ca="1">IFERROR(__xludf.DUMMYFUNCTION("""COMPUTED_VALUE"""),"-33.053182-71.409169")</f>
        <v>-33.053182-71.409169</v>
      </c>
      <c r="C6743" s="6" t="str">
        <f ca="1">IFERROR(__xludf.DUMMYFUNCTION("""COMPUTED_VALUE"""),"AV. PERU 643")</f>
        <v>AV. PERU 643</v>
      </c>
      <c r="D6743" s="6" t="str">
        <f ca="1">IFERROR(__xludf.DUMMYFUNCTION("""COMPUTED_VALUE"""),"QUILPUÉ")</f>
        <v>QUILPUÉ</v>
      </c>
    </row>
    <row r="6744" spans="1:4">
      <c r="A6744" s="7">
        <f ca="1">IFERROR(__xludf.DUMMYFUNCTION("""COMPUTED_VALUE"""),44596)</f>
        <v>44596</v>
      </c>
      <c r="B6744" s="6" t="str">
        <f ca="1">IFERROR(__xludf.DUMMYFUNCTION("""COMPUTED_VALUE"""),"-33.071914-71.423760")</f>
        <v>-33.071914-71.423760</v>
      </c>
      <c r="C6744" s="6" t="str">
        <f ca="1">IFERROR(__xludf.DUMMYFUNCTION("""COMPUTED_VALUE"""),"PJE VALLE ESPERANZA 2716")</f>
        <v>PJE VALLE ESPERANZA 2716</v>
      </c>
      <c r="D6744" s="6" t="str">
        <f ca="1">IFERROR(__xludf.DUMMYFUNCTION("""COMPUTED_VALUE"""),"QUILPUÉ")</f>
        <v>QUILPUÉ</v>
      </c>
    </row>
    <row r="6745" spans="1:4">
      <c r="A6745" s="7">
        <f ca="1">IFERROR(__xludf.DUMMYFUNCTION("""COMPUTED_VALUE"""),44596)</f>
        <v>44596</v>
      </c>
      <c r="B6745" s="6" t="str">
        <f ca="1">IFERROR(__xludf.DUMMYFUNCTION("""COMPUTED_VALUE"""),"-33.803981,-70.728479")</f>
        <v>-33.803981,-70.728479</v>
      </c>
      <c r="C6745" s="6" t="str">
        <f ca="1">IFERROR(__xludf.DUMMYFUNCTION("""COMPUTED_VALUE"""),"PJE. RIO FUTALEUFU 760")</f>
        <v>PJE. RIO FUTALEUFU 760</v>
      </c>
      <c r="D6745" s="6" t="str">
        <f ca="1">IFERROR(__xludf.DUMMYFUNCTION("""COMPUTED_VALUE"""),"PAINE")</f>
        <v>PAINE</v>
      </c>
    </row>
    <row r="6746" spans="1:4">
      <c r="A6746" s="7">
        <f ca="1">IFERROR(__xludf.DUMMYFUNCTION("""COMPUTED_VALUE"""),44597)</f>
        <v>44597</v>
      </c>
      <c r="B6746" s="6" t="str">
        <f ca="1">IFERROR(__xludf.DUMMYFUNCTION("""COMPUTED_VALUE"""),"-33.584599-70.789547")</f>
        <v>-33.584599-70.789547</v>
      </c>
      <c r="C6746" s="6" t="str">
        <f ca="1">IFERROR(__xludf.DUMMYFUNCTION("""COMPUTED_VALUE"""),"LOS NARANJOS 1713")</f>
        <v>LOS NARANJOS 1713</v>
      </c>
      <c r="D6746" s="6" t="str">
        <f ca="1">IFERROR(__xludf.DUMMYFUNCTION("""COMPUTED_VALUE"""),"PADRE HURTADO")</f>
        <v>PADRE HURTADO</v>
      </c>
    </row>
    <row r="6747" spans="1:4">
      <c r="A6747" s="7">
        <f ca="1">IFERROR(__xludf.DUMMYFUNCTION("""COMPUTED_VALUE"""),44597)</f>
        <v>44597</v>
      </c>
      <c r="B6747" s="6" t="str">
        <f ca="1">IFERROR(__xludf.DUMMYFUNCTION("""COMPUTED_VALUE"""),"-33.585796-70.811878")</f>
        <v>-33.585796-70.811878</v>
      </c>
      <c r="C6747" s="6" t="str">
        <f ca="1">IFERROR(__xludf.DUMMYFUNCTION("""COMPUTED_VALUE"""),"PJE SIETE 938")</f>
        <v>PJE SIETE 938</v>
      </c>
      <c r="D6747" s="6" t="str">
        <f ca="1">IFERROR(__xludf.DUMMYFUNCTION("""COMPUTED_VALUE"""),"PADRE HURTADO")</f>
        <v>PADRE HURTADO</v>
      </c>
    </row>
    <row r="6748" spans="1:4">
      <c r="A6748" s="7">
        <f ca="1">IFERROR(__xludf.DUMMYFUNCTION("""COMPUTED_VALUE"""),44597)</f>
        <v>44597</v>
      </c>
      <c r="B6748" s="8" t="str">
        <f ca="1">IFERROR(__xludf.DUMMYFUNCTION("""COMPUTED_VALUE"""),"-33.710810,-70.554301")</f>
        <v>-33.710810,-70.554301</v>
      </c>
      <c r="C6748" s="6" t="str">
        <f ca="1">IFERROR(__xludf.DUMMYFUNCTION("""COMPUTED_VALUE"""),"CALLE NUEVA 44, LOTE B")</f>
        <v>CALLE NUEVA 44, LOTE B</v>
      </c>
      <c r="D6748" s="6" t="str">
        <f ca="1">IFERROR(__xludf.DUMMYFUNCTION("""COMPUTED_VALUE"""),"PIRQUE")</f>
        <v>PIRQUE</v>
      </c>
    </row>
    <row r="6749" spans="1:4">
      <c r="A6749" s="7">
        <f ca="1">IFERROR(__xludf.DUMMYFUNCTION("""COMPUTED_VALUE"""),44597)</f>
        <v>44597</v>
      </c>
      <c r="B6749" s="8" t="str">
        <f ca="1">IFERROR(__xludf.DUMMYFUNCTION("""COMPUTED_VALUE"""),"-33.6280950,-70.5393340")</f>
        <v>-33.6280950,-70.5393340</v>
      </c>
      <c r="C6749" s="6" t="str">
        <f ca="1">IFERROR(__xludf.DUMMYFUNCTION("""COMPUTED_VALUE"""),"LAGOS DEL SUR 3619")</f>
        <v>LAGOS DEL SUR 3619</v>
      </c>
      <c r="D6749" s="6" t="str">
        <f ca="1">IFERROR(__xludf.DUMMYFUNCTION("""COMPUTED_VALUE"""),"PIRQUE")</f>
        <v>PIRQUE</v>
      </c>
    </row>
    <row r="6750" spans="1:4">
      <c r="A6750" s="7">
        <f ca="1">IFERROR(__xludf.DUMMYFUNCTION("""COMPUTED_VALUE"""),44597)</f>
        <v>44597</v>
      </c>
      <c r="B6750" s="6" t="str">
        <f ca="1">IFERROR(__xludf.DUMMYFUNCTION("""COMPUTED_VALUE"""),"-33.697799,-70.564376")</f>
        <v>-33.697799,-70.564376</v>
      </c>
      <c r="C6750" s="6" t="str">
        <f ca="1">IFERROR(__xludf.DUMMYFUNCTION("""COMPUTED_VALUE"""),"ALCALDE HERNAN PRIETO LOTE 1A")</f>
        <v>ALCALDE HERNAN PRIETO LOTE 1A</v>
      </c>
      <c r="D6750" s="6" t="str">
        <f ca="1">IFERROR(__xludf.DUMMYFUNCTION("""COMPUTED_VALUE"""),"PIRQUE")</f>
        <v>PIRQUE</v>
      </c>
    </row>
    <row r="6751" spans="1:4">
      <c r="A6751" s="7">
        <f ca="1">IFERROR(__xludf.DUMMYFUNCTION("""COMPUTED_VALUE"""),44597)</f>
        <v>44597</v>
      </c>
      <c r="B6751" s="6" t="str">
        <f ca="1">IFERROR(__xludf.DUMMYFUNCTION("""COMPUTED_VALUE"""),"-33.658073,-70.628960")</f>
        <v>-33.658073,-70.628960</v>
      </c>
      <c r="C6751" s="6" t="str">
        <f ca="1">IFERROR(__xludf.DUMMYFUNCTION("""COMPUTED_VALUE"""),"SAN VICENTE LOTE 4")</f>
        <v>SAN VICENTE LOTE 4</v>
      </c>
      <c r="D6751" s="6" t="str">
        <f ca="1">IFERROR(__xludf.DUMMYFUNCTION("""COMPUTED_VALUE"""),"PIRQUE")</f>
        <v>PIRQUE</v>
      </c>
    </row>
    <row r="6752" spans="1:4">
      <c r="A6752" s="7">
        <f ca="1">IFERROR(__xludf.DUMMYFUNCTION("""COMPUTED_VALUE"""),44599)</f>
        <v>44599</v>
      </c>
      <c r="B6752" s="8" t="str">
        <f ca="1">IFERROR(__xludf.DUMMYFUNCTION("""COMPUTED_VALUE"""),"-33759297-70896578")</f>
        <v>-33759297-70896578</v>
      </c>
      <c r="C6752" s="6" t="str">
        <f ca="1">IFERROR(__xludf.DUMMYFUNCTION("""COMPUTED_VALUE"""),"PARAISO NORTE93")</f>
        <v>PARAISO NORTE93</v>
      </c>
      <c r="D6752" s="6" t="str">
        <f ca="1">IFERROR(__xludf.DUMMYFUNCTION("""COMPUTED_VALUE"""),"ISLA DE MAIPO")</f>
        <v>ISLA DE MAIPO</v>
      </c>
    </row>
    <row r="6753" spans="1:4">
      <c r="A6753" s="7">
        <f ca="1">IFERROR(__xludf.DUMMYFUNCTION("""COMPUTED_VALUE"""),44599)</f>
        <v>44599</v>
      </c>
      <c r="B6753" s="8" t="str">
        <f ca="1">IFERROR(__xludf.DUMMYFUNCTION("""COMPUTED_VALUE"""),"-33781935-70886468")</f>
        <v>-33781935-70886468</v>
      </c>
      <c r="C6753" s="6" t="str">
        <f ca="1">IFERROR(__xludf.DUMMYFUNCTION("""COMPUTED_VALUE"""),"LAS CORDENADAS 40")</f>
        <v>LAS CORDENADAS 40</v>
      </c>
      <c r="D6753" s="6" t="str">
        <f ca="1">IFERROR(__xludf.DUMMYFUNCTION("""COMPUTED_VALUE"""),"ISLA DE MAIPO")</f>
        <v>ISLA DE MAIPO</v>
      </c>
    </row>
    <row r="6754" spans="1:4">
      <c r="A6754" s="7">
        <f ca="1">IFERROR(__xludf.DUMMYFUNCTION("""COMPUTED_VALUE"""),44599)</f>
        <v>44599</v>
      </c>
      <c r="B6754" s="8" t="str">
        <f ca="1">IFERROR(__xludf.DUMMYFUNCTION("""COMPUTED_VALUE"""),"33551102-71222942")</f>
        <v>33551102-71222942</v>
      </c>
      <c r="C6754" s="6" t="str">
        <f ca="1">IFERROR(__xludf.DUMMYFUNCTION("""COMPUTED_VALUE"""),"SITIO B-1")</f>
        <v>SITIO B-1</v>
      </c>
      <c r="D6754" s="6" t="str">
        <f ca="1">IFERROR(__xludf.DUMMYFUNCTION("""COMPUTED_VALUE"""),"MELIPILLA")</f>
        <v>MELIPILLA</v>
      </c>
    </row>
    <row r="6755" spans="1:4">
      <c r="A6755" s="7">
        <f ca="1">IFERROR(__xludf.DUMMYFUNCTION("""COMPUTED_VALUE"""),44599)</f>
        <v>44599</v>
      </c>
      <c r="B6755" s="8" t="str">
        <f ca="1">IFERROR(__xludf.DUMMYFUNCTION("""COMPUTED_VALUE"""),"337442154-71193677")</f>
        <v>337442154-71193677</v>
      </c>
      <c r="C6755" s="6" t="str">
        <f ca="1">IFERROR(__xludf.DUMMYFUNCTION("""COMPUTED_VALUE"""),"CAMINO S.W")</f>
        <v>CAMINO S.W</v>
      </c>
      <c r="D6755" s="6" t="str">
        <f ca="1">IFERROR(__xludf.DUMMYFUNCTION("""COMPUTED_VALUE"""),"MELIPILLA")</f>
        <v>MELIPILLA</v>
      </c>
    </row>
    <row r="6756" spans="1:4">
      <c r="A6756" s="7">
        <f ca="1">IFERROR(__xludf.DUMMYFUNCTION("""COMPUTED_VALUE"""),44599)</f>
        <v>44599</v>
      </c>
      <c r="B6756" s="8" t="str">
        <f ca="1">IFERROR(__xludf.DUMMYFUNCTION("""COMPUTED_VALUE"""),"33600972-70889578")</f>
        <v>33600972-70889578</v>
      </c>
      <c r="C6756" s="6" t="str">
        <f ca="1">IFERROR(__xludf.DUMMYFUNCTION("""COMPUTED_VALUE"""),"CAUPOLICAN 3830 CASA M ")</f>
        <v xml:space="preserve">CAUPOLICAN 3830 CASA M </v>
      </c>
      <c r="D6756" s="6" t="str">
        <f ca="1">IFERROR(__xludf.DUMMYFUNCTION("""COMPUTED_VALUE"""),"PEÑAFLOR")</f>
        <v>PEÑAFLOR</v>
      </c>
    </row>
    <row r="6757" spans="1:4">
      <c r="A6757" s="7">
        <f ca="1">IFERROR(__xludf.DUMMYFUNCTION("""COMPUTED_VALUE"""),44599)</f>
        <v>44599</v>
      </c>
      <c r="B6757" s="6" t="str">
        <f ca="1">IFERROR(__xludf.DUMMYFUNCTION("""COMPUTED_VALUE"""),"-33.64300-70.34866")</f>
        <v>-33.64300-70.34866</v>
      </c>
      <c r="C6757" s="6" t="str">
        <f ca="1">IFERROR(__xludf.DUMMYFUNCTION("""COMPUTED_VALUE"""),"SANTUARIO ORIENTE 19236")</f>
        <v>SANTUARIO ORIENTE 19236</v>
      </c>
      <c r="D6757" s="6" t="str">
        <f ca="1">IFERROR(__xludf.DUMMYFUNCTION("""COMPUTED_VALUE"""),"SAN JOSE DE MAIPO")</f>
        <v>SAN JOSE DE MAIPO</v>
      </c>
    </row>
    <row r="6758" spans="1:4">
      <c r="A6758" s="7">
        <f ca="1">IFERROR(__xludf.DUMMYFUNCTION("""COMPUTED_VALUE"""),44599)</f>
        <v>44599</v>
      </c>
      <c r="B6758" s="6" t="str">
        <f ca="1">IFERROR(__xludf.DUMMYFUNCTION("""COMPUTED_VALUE"""),"-33.6418881-70.3467776")</f>
        <v>-33.6418881-70.3467776</v>
      </c>
      <c r="C6758" s="6" t="str">
        <f ca="1">IFERROR(__xludf.DUMMYFUNCTION("""COMPUTED_VALUE"""),"AV. EL CARMEN 640")</f>
        <v>AV. EL CARMEN 640</v>
      </c>
      <c r="D6758" s="6" t="str">
        <f ca="1">IFERROR(__xludf.DUMMYFUNCTION("""COMPUTED_VALUE"""),"SAN JOSE DE MAIPO")</f>
        <v>SAN JOSE DE MAIPO</v>
      </c>
    </row>
    <row r="6759" spans="1:4">
      <c r="A6759" s="7">
        <f ca="1">IFERROR(__xludf.DUMMYFUNCTION("""COMPUTED_VALUE"""),44599)</f>
        <v>44599</v>
      </c>
      <c r="B6759" s="8" t="str">
        <f ca="1">IFERROR(__xludf.DUMMYFUNCTION("""COMPUTED_VALUE"""),"-33.813675,-70.739941")</f>
        <v>-33.813675,-70.739941</v>
      </c>
      <c r="C6759" s="6" t="str">
        <f ca="1">IFERROR(__xludf.DUMMYFUNCTION("""COMPUTED_VALUE"""),"PEREZ CANTO 359")</f>
        <v>PEREZ CANTO 359</v>
      </c>
      <c r="D6759" s="6" t="str">
        <f ca="1">IFERROR(__xludf.DUMMYFUNCTION("""COMPUTED_VALUE"""),"PAINE")</f>
        <v>PAINE</v>
      </c>
    </row>
    <row r="6760" spans="1:4">
      <c r="A6760" s="7">
        <f ca="1">IFERROR(__xludf.DUMMYFUNCTION("""COMPUTED_VALUE"""),44599)</f>
        <v>44599</v>
      </c>
      <c r="B6760" s="8" t="str">
        <f ca="1">IFERROR(__xludf.DUMMYFUNCTION("""COMPUTED_VALUE"""),"-33.849110,-70.765642")</f>
        <v>-33.849110,-70.765642</v>
      </c>
      <c r="C6760" s="6" t="str">
        <f ca="1">IFERROR(__xludf.DUMMYFUNCTION("""COMPUTED_VALUE"""),"LAS CAMELIAS 13")</f>
        <v>LAS CAMELIAS 13</v>
      </c>
      <c r="D6760" s="6" t="str">
        <f ca="1">IFERROR(__xludf.DUMMYFUNCTION("""COMPUTED_VALUE"""),"PAINE")</f>
        <v>PAINE</v>
      </c>
    </row>
    <row r="6761" spans="1:4">
      <c r="A6761" s="7">
        <f ca="1">IFERROR(__xludf.DUMMYFUNCTION("""COMPUTED_VALUE"""),44599)</f>
        <v>44599</v>
      </c>
      <c r="B6761" s="8" t="str">
        <f ca="1">IFERROR(__xludf.DUMMYFUNCTION("""COMPUTED_VALUE"""),"-33.872638,-70.722730")</f>
        <v>-33.872638,-70.722730</v>
      </c>
      <c r="C6761" s="6" t="str">
        <f ca="1">IFERROR(__xludf.DUMMYFUNCTION("""COMPUTED_VALUE"""),"CAMINO CHADA 138")</f>
        <v>CAMINO CHADA 138</v>
      </c>
      <c r="D6761" s="6" t="str">
        <f ca="1">IFERROR(__xludf.DUMMYFUNCTION("""COMPUTED_VALUE"""),"PAINE")</f>
        <v>PAINE</v>
      </c>
    </row>
    <row r="6762" spans="1:4">
      <c r="A6762" s="7">
        <f ca="1">IFERROR(__xludf.DUMMYFUNCTION("""COMPUTED_VALUE"""),44599)</f>
        <v>44599</v>
      </c>
      <c r="B6762" s="8" t="str">
        <f ca="1">IFERROR(__xludf.DUMMYFUNCTION("""COMPUTED_VALUE"""),"-33.216693,-70.680976")</f>
        <v>-33.216693,-70.680976</v>
      </c>
      <c r="C6762" s="6" t="str">
        <f ca="1">IFERROR(__xludf.DUMMYFUNCTION("""COMPUTED_VALUE"""),"EL GALOPE 223")</f>
        <v>EL GALOPE 223</v>
      </c>
      <c r="D6762" s="6" t="str">
        <f ca="1">IFERROR(__xludf.DUMMYFUNCTION("""COMPUTED_VALUE"""),"COLINA")</f>
        <v>COLINA</v>
      </c>
    </row>
    <row r="6763" spans="1:4">
      <c r="A6763" s="7">
        <f ca="1">IFERROR(__xludf.DUMMYFUNCTION("""COMPUTED_VALUE"""),44599)</f>
        <v>44599</v>
      </c>
      <c r="B6763" s="8" t="str">
        <f ca="1">IFERROR(__xludf.DUMMYFUNCTION("""COMPUTED_VALUE"""),"-33.216693,-70.680976")</f>
        <v>-33.216693,-70.680976</v>
      </c>
      <c r="C6763" s="6" t="str">
        <f ca="1">IFERROR(__xludf.DUMMYFUNCTION("""COMPUTED_VALUE"""),"EL GALOPE 223")</f>
        <v>EL GALOPE 223</v>
      </c>
      <c r="D6763" s="6" t="str">
        <f ca="1">IFERROR(__xludf.DUMMYFUNCTION("""COMPUTED_VALUE"""),"COLINA")</f>
        <v>COLINA</v>
      </c>
    </row>
    <row r="6764" spans="1:4">
      <c r="A6764" s="7">
        <f ca="1">IFERROR(__xludf.DUMMYFUNCTION("""COMPUTED_VALUE"""),44599)</f>
        <v>44599</v>
      </c>
      <c r="B6764" s="8" t="str">
        <f ca="1">IFERROR(__xludf.DUMMYFUNCTION("""COMPUTED_VALUE"""),"-33.193244,-70.675598")</f>
        <v>-33.193244,-70.675598</v>
      </c>
      <c r="C6764" s="6" t="str">
        <f ca="1">IFERROR(__xludf.DUMMYFUNCTION("""COMPUTED_VALUE"""),"AV SANTA MARIA 721")</f>
        <v>AV SANTA MARIA 721</v>
      </c>
      <c r="D6764" s="6" t="str">
        <f ca="1">IFERROR(__xludf.DUMMYFUNCTION("""COMPUTED_VALUE"""),"COLINA")</f>
        <v>COLINA</v>
      </c>
    </row>
    <row r="6765" spans="1:4">
      <c r="A6765" s="7">
        <f ca="1">IFERROR(__xludf.DUMMYFUNCTION("""COMPUTED_VALUE"""),44599)</f>
        <v>44599</v>
      </c>
      <c r="B6765" s="8" t="str">
        <f ca="1">IFERROR(__xludf.DUMMYFUNCTION("""COMPUTED_VALUE"""),"-33.813684,-70.734884")</f>
        <v>-33.813684,-70.734884</v>
      </c>
      <c r="C6765" s="6" t="str">
        <f ca="1">IFERROR(__xludf.DUMMYFUNCTION("""COMPUTED_VALUE"""),"IGNACIO CARRERA PINTO 750")</f>
        <v>IGNACIO CARRERA PINTO 750</v>
      </c>
      <c r="D6765" s="6" t="str">
        <f ca="1">IFERROR(__xludf.DUMMYFUNCTION("""COMPUTED_VALUE"""),"PAINE")</f>
        <v>PAINE</v>
      </c>
    </row>
    <row r="6766" spans="1:4">
      <c r="A6766" s="7">
        <f ca="1">IFERROR(__xludf.DUMMYFUNCTION("""COMPUTED_VALUE"""),44599)</f>
        <v>44599</v>
      </c>
      <c r="B6766" s="8" t="str">
        <f ca="1">IFERROR(__xludf.DUMMYFUNCTION("""COMPUTED_VALUE"""),"-33.205616,-70.677783")</f>
        <v>-33.205616,-70.677783</v>
      </c>
      <c r="C6766" s="6" t="str">
        <f ca="1">IFERROR(__xludf.DUMMYFUNCTION("""COMPUTED_VALUE"""),"BOMBERO VICTOR VILLARROEL 35")</f>
        <v>BOMBERO VICTOR VILLARROEL 35</v>
      </c>
      <c r="D6766" s="6" t="str">
        <f ca="1">IFERROR(__xludf.DUMMYFUNCTION("""COMPUTED_VALUE"""),"COLINA")</f>
        <v>COLINA</v>
      </c>
    </row>
    <row r="6767" spans="1:4">
      <c r="A6767" s="7">
        <f ca="1">IFERROR(__xludf.DUMMYFUNCTION("""COMPUTED_VALUE"""),44599)</f>
        <v>44599</v>
      </c>
      <c r="B6767" s="8" t="str">
        <f ca="1">IFERROR(__xludf.DUMMYFUNCTION("""COMPUTED_VALUE"""),"-33.683021,-70.950707")</f>
        <v>-33.683021,-70.950707</v>
      </c>
      <c r="C6767" s="6" t="str">
        <f ca="1">IFERROR(__xludf.DUMMYFUNCTION("""COMPUTED_VALUE"""),"UNO PONIENTE PARCELA 6 TEGUALDA ")</f>
        <v xml:space="preserve">UNO PONIENTE PARCELA 6 TEGUALDA </v>
      </c>
      <c r="D6767" s="6" t="str">
        <f ca="1">IFERROR(__xludf.DUMMYFUNCTION("""COMPUTED_VALUE"""),"TALAGANTE")</f>
        <v>TALAGANTE</v>
      </c>
    </row>
    <row r="6768" spans="1:4">
      <c r="A6768" s="7">
        <f ca="1">IFERROR(__xludf.DUMMYFUNCTION("""COMPUTED_VALUE"""),44599)</f>
        <v>44599</v>
      </c>
      <c r="B6768" s="8" t="str">
        <f ca="1">IFERROR(__xludf.DUMMYFUNCTION("""COMPUTED_VALUE"""),"-33.683762,-70.950287")</f>
        <v>-33.683762,-70.950287</v>
      </c>
      <c r="C6768" s="6" t="str">
        <f ca="1">IFERROR(__xludf.DUMMYFUNCTION("""COMPUTED_VALUE"""),"UNO PONIENTE PARCELA 6")</f>
        <v>UNO PONIENTE PARCELA 6</v>
      </c>
      <c r="D6768" s="6" t="str">
        <f ca="1">IFERROR(__xludf.DUMMYFUNCTION("""COMPUTED_VALUE"""),"TALAGANTE")</f>
        <v>TALAGANTE</v>
      </c>
    </row>
    <row r="6769" spans="1:4">
      <c r="A6769" s="7">
        <f ca="1">IFERROR(__xludf.DUMMYFUNCTION("""COMPUTED_VALUE"""),44599)</f>
        <v>44599</v>
      </c>
      <c r="B6769" s="6" t="str">
        <f ca="1">IFERROR(__xludf.DUMMYFUNCTION("""COMPUTED_VALUE"""),"-33.869013,-70.869725")</f>
        <v>-33.869013,-70.869725</v>
      </c>
      <c r="C6769" s="6" t="str">
        <f ca="1">IFERROR(__xludf.DUMMYFUNCTION("""COMPUTED_VALUE"""),"CALLE S/N LOTE A1 PINTUE INT. LA HUACHERA PARC4")</f>
        <v>CALLE S/N LOTE A1 PINTUE INT. LA HUACHERA PARC4</v>
      </c>
      <c r="D6769" s="6" t="str">
        <f ca="1">IFERROR(__xludf.DUMMYFUNCTION("""COMPUTED_VALUE"""),"PAINE")</f>
        <v>PAINE</v>
      </c>
    </row>
    <row r="6770" spans="1:4">
      <c r="A6770" s="7">
        <f ca="1">IFERROR(__xludf.DUMMYFUNCTION("""COMPUTED_VALUE"""),44599)</f>
        <v>44599</v>
      </c>
      <c r="B6770" s="6" t="str">
        <f ca="1">IFERROR(__xludf.DUMMYFUNCTION("""COMPUTED_VALUE"""),"-33.866887,-70.851683")</f>
        <v>-33.866887,-70.851683</v>
      </c>
      <c r="C6770" s="6" t="str">
        <f ca="1">IFERROR(__xludf.DUMMYFUNCTION("""COMPUTED_VALUE"""),"HUITICALAN ACULEO SITIO 9D")</f>
        <v>HUITICALAN ACULEO SITIO 9D</v>
      </c>
      <c r="D6770" s="6" t="str">
        <f ca="1">IFERROR(__xludf.DUMMYFUNCTION("""COMPUTED_VALUE"""),"PAINE")</f>
        <v>PAINE</v>
      </c>
    </row>
    <row r="6771" spans="1:4">
      <c r="A6771" s="7">
        <f ca="1">IFERROR(__xludf.DUMMYFUNCTION("""COMPUTED_VALUE"""),44600)</f>
        <v>44600</v>
      </c>
      <c r="B6771" s="8" t="str">
        <f ca="1">IFERROR(__xludf.DUMMYFUNCTION("""COMPUTED_VALUE"""),"33606128-70889013")</f>
        <v>33606128-70889013</v>
      </c>
      <c r="C6771" s="6" t="str">
        <f ca="1">IFERROR(__xludf.DUMMYFUNCTION("""COMPUTED_VALUE"""),"PA PUTRE 3229")</f>
        <v>PA PUTRE 3229</v>
      </c>
      <c r="D6771" s="6" t="str">
        <f ca="1">IFERROR(__xludf.DUMMYFUNCTION("""COMPUTED_VALUE"""),"PEÑAFLOR")</f>
        <v>PEÑAFLOR</v>
      </c>
    </row>
    <row r="6772" spans="1:4">
      <c r="A6772" s="7">
        <f ca="1">IFERROR(__xludf.DUMMYFUNCTION("""COMPUTED_VALUE"""),44600)</f>
        <v>44600</v>
      </c>
      <c r="B6772" s="8" t="str">
        <f ca="1">IFERROR(__xludf.DUMMYFUNCTION("""COMPUTED_VALUE"""),"33755972-70892149")</f>
        <v>33755972-70892149</v>
      </c>
      <c r="C6772" s="6" t="str">
        <f ca="1">IFERROR(__xludf.DUMMYFUNCTION("""COMPUTED_VALUE"""),"PRIMAVERA NORTE 341")</f>
        <v>PRIMAVERA NORTE 341</v>
      </c>
      <c r="D6772" s="6" t="str">
        <f ca="1">IFERROR(__xludf.DUMMYFUNCTION("""COMPUTED_VALUE"""),"ISLA DE MAIPO")</f>
        <v>ISLA DE MAIPO</v>
      </c>
    </row>
    <row r="6773" spans="1:4">
      <c r="A6773" s="7">
        <f ca="1">IFERROR(__xludf.DUMMYFUNCTION("""COMPUTED_VALUE"""),44600)</f>
        <v>44600</v>
      </c>
      <c r="B6773" s="8" t="str">
        <f ca="1">IFERROR(__xludf.DUMMYFUNCTION("""COMPUTED_VALUE"""),"-33676712-71321960")</f>
        <v>-33676712-71321960</v>
      </c>
      <c r="C6773" s="6" t="str">
        <f ca="1">IFERROR(__xludf.DUMMYFUNCTION("""COMPUTED_VALUE"""),"PANGUE 13 PARCELA 25")</f>
        <v>PANGUE 13 PARCELA 25</v>
      </c>
      <c r="D6773" s="6" t="str">
        <f ca="1">IFERROR(__xludf.DUMMYFUNCTION("""COMPUTED_VALUE"""),"MELIPILLA")</f>
        <v>MELIPILLA</v>
      </c>
    </row>
    <row r="6774" spans="1:4">
      <c r="A6774" s="7">
        <f ca="1">IFERROR(__xludf.DUMMYFUNCTION("""COMPUTED_VALUE"""),44600)</f>
        <v>44600</v>
      </c>
      <c r="B6774" s="8" t="str">
        <f ca="1">IFERROR(__xludf.DUMMYFUNCTION("""COMPUTED_VALUE"""),"-33419082-71136218")</f>
        <v>-33419082-71136218</v>
      </c>
      <c r="C6774" s="6" t="str">
        <f ca="1">IFERROR(__xludf.DUMMYFUNCTION("""COMPUTED_VALUE"""),"LAAGULI PARCELA 15")</f>
        <v>LAAGULI PARCELA 15</v>
      </c>
      <c r="D6774" s="6" t="str">
        <f ca="1">IFERROR(__xludf.DUMMYFUNCTION("""COMPUTED_VALUE"""),"CURACAVI")</f>
        <v>CURACAVI</v>
      </c>
    </row>
    <row r="6775" spans="1:4">
      <c r="A6775" s="7">
        <f ca="1">IFERROR(__xludf.DUMMYFUNCTION("""COMPUTED_VALUE"""),44600)</f>
        <v>44600</v>
      </c>
      <c r="B6775" s="8" t="str">
        <f ca="1">IFERROR(__xludf.DUMMYFUNCTION("""COMPUTED_VALUE"""),"33568240-71212573")</f>
        <v>33568240-71212573</v>
      </c>
      <c r="C6775" s="6" t="str">
        <f ca="1">IFERROR(__xludf.DUMMYFUNCTION("""COMPUTED_VALUE"""),"SEC CULEBRAS VERDES17")</f>
        <v>SEC CULEBRAS VERDES17</v>
      </c>
      <c r="D6775" s="6" t="str">
        <f ca="1">IFERROR(__xludf.DUMMYFUNCTION("""COMPUTED_VALUE"""),"MELIPILLA")</f>
        <v>MELIPILLA</v>
      </c>
    </row>
    <row r="6776" spans="1:4">
      <c r="A6776" s="7">
        <f ca="1">IFERROR(__xludf.DUMMYFUNCTION("""COMPUTED_VALUE"""),44600)</f>
        <v>44600</v>
      </c>
      <c r="B6776" s="8" t="str">
        <f ca="1">IFERROR(__xludf.DUMMYFUNCTION("""COMPUTED_VALUE"""),"33570858-71212926")</f>
        <v>33570858-71212926</v>
      </c>
      <c r="C6776" s="6" t="str">
        <f ca="1">IFERROR(__xludf.DUMMYFUNCTION("""COMPUTED_VALUE"""),"LOS COPIHUES 86")</f>
        <v>LOS COPIHUES 86</v>
      </c>
      <c r="D6776" s="6" t="str">
        <f ca="1">IFERROR(__xludf.DUMMYFUNCTION("""COMPUTED_VALUE"""),"MELIPILLA")</f>
        <v>MELIPILLA</v>
      </c>
    </row>
    <row r="6777" spans="1:4">
      <c r="A6777" s="7">
        <f ca="1">IFERROR(__xludf.DUMMYFUNCTION("""COMPUTED_VALUE"""),44600)</f>
        <v>44600</v>
      </c>
      <c r="B6777" s="6" t="str">
        <f ca="1">IFERROR(__xludf.DUMMYFUNCTION("""COMPUTED_VALUE"""),"-33.70734-70.53284")</f>
        <v>-33.70734-70.53284</v>
      </c>
      <c r="C6777" s="6" t="str">
        <f ca="1">IFERROR(__xludf.DUMMYFUNCTION("""COMPUTED_VALUE"""),"ORILLA DEL RIO 169 C")</f>
        <v>ORILLA DEL RIO 169 C</v>
      </c>
      <c r="D6777" s="6" t="str">
        <f ca="1">IFERROR(__xludf.DUMMYFUNCTION("""COMPUTED_VALUE"""),"PIRQUE")</f>
        <v>PIRQUE</v>
      </c>
    </row>
    <row r="6778" spans="1:4">
      <c r="A6778" s="7">
        <f ca="1">IFERROR(__xludf.DUMMYFUNCTION("""COMPUTED_VALUE"""),44600)</f>
        <v>44600</v>
      </c>
      <c r="B6778" s="6" t="str">
        <f ca="1">IFERROR(__xludf.DUMMYFUNCTION("""COMPUTED_VALUE"""),"-33.70717-70.53204")</f>
        <v>-33.70717-70.53204</v>
      </c>
      <c r="C6778" s="6" t="str">
        <f ca="1">IFERROR(__xludf.DUMMYFUNCTION("""COMPUTED_VALUE"""),"ORILLA DEL RIO 169 C")</f>
        <v>ORILLA DEL RIO 169 C</v>
      </c>
      <c r="D6778" s="6" t="str">
        <f ca="1">IFERROR(__xludf.DUMMYFUNCTION("""COMPUTED_VALUE"""),"PIRQUE")</f>
        <v>PIRQUE</v>
      </c>
    </row>
    <row r="6779" spans="1:4">
      <c r="A6779" s="7">
        <f ca="1">IFERROR(__xludf.DUMMYFUNCTION("""COMPUTED_VALUE"""),44600)</f>
        <v>44600</v>
      </c>
      <c r="B6779" s="6" t="str">
        <f ca="1">IFERROR(__xludf.DUMMYFUNCTION("""COMPUTED_VALUE"""),"-33.1341-70.080496")</f>
        <v>-33.1341-70.080496</v>
      </c>
      <c r="C6779" s="6" t="str">
        <f ca="1">IFERROR(__xludf.DUMMYFUNCTION("""COMPUTED_VALUE"""),"2 ORIENTE 090")</f>
        <v>2 ORIENTE 090</v>
      </c>
      <c r="D6779" s="6" t="str">
        <f ca="1">IFERROR(__xludf.DUMMYFUNCTION("""COMPUTED_VALUE"""),"TIL TIL")</f>
        <v>TIL TIL</v>
      </c>
    </row>
    <row r="6780" spans="1:4">
      <c r="A6780" s="7">
        <f ca="1">IFERROR(__xludf.DUMMYFUNCTION("""COMPUTED_VALUE"""),44600)</f>
        <v>44600</v>
      </c>
      <c r="B6780" s="8" t="str">
        <f ca="1">IFERROR(__xludf.DUMMYFUNCTION("""COMPUTED_VALUE"""),"-33.805347,-70.732248")</f>
        <v>-33.805347,-70.732248</v>
      </c>
      <c r="C6780" s="6" t="str">
        <f ca="1">IFERROR(__xludf.DUMMYFUNCTION("""COMPUTED_VALUE"""),"EL ROBLE 529")</f>
        <v>EL ROBLE 529</v>
      </c>
      <c r="D6780" s="6" t="str">
        <f ca="1">IFERROR(__xludf.DUMMYFUNCTION("""COMPUTED_VALUE"""),"PAINE")</f>
        <v>PAINE</v>
      </c>
    </row>
    <row r="6781" spans="1:4">
      <c r="A6781" s="7">
        <f ca="1">IFERROR(__xludf.DUMMYFUNCTION("""COMPUTED_VALUE"""),44600)</f>
        <v>44600</v>
      </c>
      <c r="B6781" s="8" t="str">
        <f ca="1">IFERROR(__xludf.DUMMYFUNCTION("""COMPUTED_VALUE"""),"-33.805554,-70.730980")</f>
        <v>-33.805554,-70.730980</v>
      </c>
      <c r="C6781" s="6" t="str">
        <f ca="1">IFERROR(__xludf.DUMMYFUNCTION("""COMPUTED_VALUE"""),"JUAN DIAZ 601")</f>
        <v>JUAN DIAZ 601</v>
      </c>
      <c r="D6781" s="6" t="str">
        <f ca="1">IFERROR(__xludf.DUMMYFUNCTION("""COMPUTED_VALUE"""),"PAINE")</f>
        <v>PAINE</v>
      </c>
    </row>
    <row r="6782" spans="1:4">
      <c r="A6782" s="7">
        <f ca="1">IFERROR(__xludf.DUMMYFUNCTION("""COMPUTED_VALUE"""),44600)</f>
        <v>44600</v>
      </c>
      <c r="B6782" s="8" t="str">
        <f ca="1">IFERROR(__xludf.DUMMYFUNCTION("""COMPUTED_VALUE"""),"-33.803782,-70.714506")</f>
        <v>-33.803782,-70.714506</v>
      </c>
      <c r="C6782" s="6" t="str">
        <f ca="1">IFERROR(__xludf.DUMMYFUNCTION("""COMPUTED_VALUE"""),"CALLE UNO 2062")</f>
        <v>CALLE UNO 2062</v>
      </c>
      <c r="D6782" s="6" t="str">
        <f ca="1">IFERROR(__xludf.DUMMYFUNCTION("""COMPUTED_VALUE"""),"PAINE")</f>
        <v>PAINE</v>
      </c>
    </row>
    <row r="6783" spans="1:4">
      <c r="A6783" s="7">
        <f ca="1">IFERROR(__xludf.DUMMYFUNCTION("""COMPUTED_VALUE"""),44600)</f>
        <v>44600</v>
      </c>
      <c r="B6783" s="8" t="str">
        <f ca="1">IFERROR(__xludf.DUMMYFUNCTION("""COMPUTED_VALUE"""),"-33.202319,-70.666618")</f>
        <v>-33.202319,-70.666618</v>
      </c>
      <c r="C6783" s="6" t="str">
        <f ca="1">IFERROR(__xludf.DUMMYFUNCTION("""COMPUTED_VALUE"""),"PASAJE VEINTIUNO DE MAYO 477")</f>
        <v>PASAJE VEINTIUNO DE MAYO 477</v>
      </c>
      <c r="D6783" s="6" t="str">
        <f ca="1">IFERROR(__xludf.DUMMYFUNCTION("""COMPUTED_VALUE"""),"COLINA")</f>
        <v>COLINA</v>
      </c>
    </row>
    <row r="6784" spans="1:4">
      <c r="A6784" s="7">
        <f ca="1">IFERROR(__xludf.DUMMYFUNCTION("""COMPUTED_VALUE"""),44600)</f>
        <v>44600</v>
      </c>
      <c r="B6784" s="6" t="str">
        <f ca="1">IFERROR(__xludf.DUMMYFUNCTION("""COMPUTED_VALUE"""),"-33.246241,-70.702431")</f>
        <v>-33.246241,-70.702431</v>
      </c>
      <c r="C6784" s="6" t="str">
        <f ca="1">IFERROR(__xludf.DUMMYFUNCTION("""COMPUTED_VALUE"""),"SAN JOSE  LOTE 2 SITIO 2")</f>
        <v>SAN JOSE  LOTE 2 SITIO 2</v>
      </c>
      <c r="D6784" s="6" t="str">
        <f ca="1">IFERROR(__xludf.DUMMYFUNCTION("""COMPUTED_VALUE"""),"COLINA")</f>
        <v>COLINA</v>
      </c>
    </row>
    <row r="6785" spans="1:4">
      <c r="A6785" s="7">
        <f ca="1">IFERROR(__xludf.DUMMYFUNCTION("""COMPUTED_VALUE"""),44600)</f>
        <v>44600</v>
      </c>
      <c r="B6785" s="6" t="str">
        <f ca="1">IFERROR(__xludf.DUMMYFUNCTION("""COMPUTED_VALUE"""),"-33.285723,-70.867253")</f>
        <v>-33.285723,-70.867253</v>
      </c>
      <c r="C6785" s="6" t="str">
        <f ca="1">IFERROR(__xludf.DUMMYFUNCTION("""COMPUTED_VALUE"""),"LOS LAURELES 12")</f>
        <v>LOS LAURELES 12</v>
      </c>
      <c r="D6785" s="6" t="str">
        <f ca="1">IFERROR(__xludf.DUMMYFUNCTION("""COMPUTED_VALUE"""),"LAMPA")</f>
        <v>LAMPA</v>
      </c>
    </row>
    <row r="6786" spans="1:4">
      <c r="A6786" s="7">
        <f ca="1">IFERROR(__xludf.DUMMYFUNCTION("""COMPUTED_VALUE"""),44600)</f>
        <v>44600</v>
      </c>
      <c r="B6786" s="6" t="str">
        <f ca="1">IFERROR(__xludf.DUMMYFUNCTION("""COMPUTED_VALUE"""),"-33.726263,-70.735190")</f>
        <v>-33.726263,-70.735190</v>
      </c>
      <c r="C6786" s="6" t="str">
        <f ca="1">IFERROR(__xludf.DUMMYFUNCTION("""COMPUTED_VALUE"""),"ROMA 0256")</f>
        <v>ROMA 0256</v>
      </c>
      <c r="D6786" s="6" t="str">
        <f ca="1">IFERROR(__xludf.DUMMYFUNCTION("""COMPUTED_VALUE"""),"BUIN")</f>
        <v>BUIN</v>
      </c>
    </row>
    <row r="6787" spans="1:4">
      <c r="A6787" s="7">
        <f ca="1">IFERROR(__xludf.DUMMYFUNCTION("""COMPUTED_VALUE"""),44600)</f>
        <v>44600</v>
      </c>
      <c r="B6787" s="6" t="str">
        <f ca="1">IFERROR(__xludf.DUMMYFUNCTION("""COMPUTED_VALUE"""),"-35.395915,-71.643223")</f>
        <v>-35.395915,-71.643223</v>
      </c>
      <c r="C6787" s="6" t="str">
        <f ca="1">IFERROR(__xludf.DUMMYFUNCTION("""COMPUTED_VALUE"""),"SEIS ORIENTE 3546 LOTEO DON BENITO ")</f>
        <v xml:space="preserve">SEIS ORIENTE 3546 LOTEO DON BENITO </v>
      </c>
      <c r="D6787" s="6" t="str">
        <f ca="1">IFERROR(__xludf.DUMMYFUNCTION("""COMPUTED_VALUE"""),"TALCA")</f>
        <v>TALCA</v>
      </c>
    </row>
    <row r="6788" spans="1:4">
      <c r="A6788" s="7">
        <f ca="1">IFERROR(__xludf.DUMMYFUNCTION("""COMPUTED_VALUE"""),44600)</f>
        <v>44600</v>
      </c>
      <c r="B6788" s="6" t="str">
        <f ca="1">IFERROR(__xludf.DUMMYFUNCTION("""COMPUTED_VALUE"""),"-35.395234,-71.642484")</f>
        <v>-35.395234,-71.642484</v>
      </c>
      <c r="C6788" s="6" t="str">
        <f ca="1">IFERROR(__xludf.DUMMYFUNCTION("""COMPUTED_VALUE"""),"SEIS ORIENTE B 3612")</f>
        <v>SEIS ORIENTE B 3612</v>
      </c>
      <c r="D6788" s="6" t="str">
        <f ca="1">IFERROR(__xludf.DUMMYFUNCTION("""COMPUTED_VALUE"""),"TALCA")</f>
        <v>TALCA</v>
      </c>
    </row>
    <row r="6789" spans="1:4">
      <c r="A6789" s="7">
        <f ca="1">IFERROR(__xludf.DUMMYFUNCTION("""COMPUTED_VALUE"""),44600)</f>
        <v>44600</v>
      </c>
      <c r="B6789" s="6" t="str">
        <f ca="1">IFERROR(__xludf.DUMMYFUNCTION("""COMPUTED_VALUE"""),"-35.450999,-71.632799")</f>
        <v>-35.450999,-71.632799</v>
      </c>
      <c r="C6789" s="6" t="str">
        <f ca="1">IFERROR(__xludf.DUMMYFUNCTION("""COMPUTED_VALUE"""),"TRINTA Y DOS Y MEDIO ORIENTE A 184")</f>
        <v>TRINTA Y DOS Y MEDIO ORIENTE A 184</v>
      </c>
      <c r="D6789" s="6" t="str">
        <f ca="1">IFERROR(__xludf.DUMMYFUNCTION("""COMPUTED_VALUE"""),"TALCA")</f>
        <v>TALCA</v>
      </c>
    </row>
    <row r="6790" spans="1:4">
      <c r="A6790" s="7">
        <f ca="1">IFERROR(__xludf.DUMMYFUNCTION("""COMPUTED_VALUE"""),44600)</f>
        <v>44600</v>
      </c>
      <c r="B6790" s="6" t="str">
        <f ca="1">IFERROR(__xludf.DUMMYFUNCTION("""COMPUTED_VALUE"""),"-35.415854,-71.610733")</f>
        <v>-35.415854,-71.610733</v>
      </c>
      <c r="C6790" s="6" t="str">
        <f ca="1">IFERROR(__xludf.DUMMYFUNCTION("""COMPUTED_VALUE"""),"35 ORIENTE  VIENTIDOS Y MEDIO  3424")</f>
        <v>35 ORIENTE  VIENTIDOS Y MEDIO  3424</v>
      </c>
      <c r="D6790" s="6" t="str">
        <f ca="1">IFERROR(__xludf.DUMMYFUNCTION("""COMPUTED_VALUE"""),"TALCA")</f>
        <v>TALCA</v>
      </c>
    </row>
    <row r="6791" spans="1:4">
      <c r="A6791" s="7">
        <f ca="1">IFERROR(__xludf.DUMMYFUNCTION("""COMPUTED_VALUE"""),44600)</f>
        <v>44600</v>
      </c>
      <c r="B6791" s="8" t="str">
        <f ca="1">IFERROR(__xludf.DUMMYFUNCTION("""COMPUTED_VALUE"""),"-33.662677,-70.917475")</f>
        <v>-33.662677,-70.917475</v>
      </c>
      <c r="C6791" s="6" t="str">
        <f ca="1">IFERROR(__xludf.DUMMYFUNCTION("""COMPUTED_VALUE"""),"LAS ACHIRAS 1078")</f>
        <v>LAS ACHIRAS 1078</v>
      </c>
      <c r="D6791" s="6" t="str">
        <f ca="1">IFERROR(__xludf.DUMMYFUNCTION("""COMPUTED_VALUE"""),"TALAGANTE")</f>
        <v>TALAGANTE</v>
      </c>
    </row>
    <row r="6792" spans="1:4">
      <c r="A6792" s="7">
        <f ca="1">IFERROR(__xludf.DUMMYFUNCTION("""COMPUTED_VALUE"""),44600)</f>
        <v>44600</v>
      </c>
      <c r="B6792" s="8" t="str">
        <f ca="1">IFERROR(__xludf.DUMMYFUNCTION("""COMPUTED_VALUE"""),"-33.851700,-71.207527")</f>
        <v>-33.851700,-71.207527</v>
      </c>
      <c r="C6792" s="6" t="str">
        <f ca="1">IFERROR(__xludf.DUMMYFUNCTION("""COMPUTED_VALUE"""),"TANTEHUE ALTO, BELLAVISTA PARCELA 50")</f>
        <v>TANTEHUE ALTO, BELLAVISTA PARCELA 50</v>
      </c>
      <c r="D6792" s="6" t="str">
        <f ca="1">IFERROR(__xludf.DUMMYFUNCTION("""COMPUTED_VALUE"""),"MELIPILLA")</f>
        <v>MELIPILLA</v>
      </c>
    </row>
    <row r="6793" spans="1:4">
      <c r="A6793" s="7">
        <f ca="1">IFERROR(__xludf.DUMMYFUNCTION("""COMPUTED_VALUE"""),44600)</f>
        <v>44600</v>
      </c>
      <c r="B6793" s="6" t="str">
        <f ca="1">IFERROR(__xludf.DUMMYFUNCTION("""COMPUTED_VALUE"""),"-33.857197,-70.740230")</f>
        <v>-33.857197,-70.740230</v>
      </c>
      <c r="C6793" s="6" t="str">
        <f ca="1">IFERROR(__xludf.DUMMYFUNCTION("""COMPUTED_VALUE"""),"COLONIA KENNEDY 130A")</f>
        <v>COLONIA KENNEDY 130A</v>
      </c>
      <c r="D6793" s="6" t="str">
        <f ca="1">IFERROR(__xludf.DUMMYFUNCTION("""COMPUTED_VALUE"""),"PAINE")</f>
        <v>PAINE</v>
      </c>
    </row>
    <row r="6794" spans="1:4">
      <c r="A6794" s="7">
        <f ca="1">IFERROR(__xludf.DUMMYFUNCTION("""COMPUTED_VALUE"""),44600)</f>
        <v>44600</v>
      </c>
      <c r="B6794" s="6" t="str">
        <f ca="1">IFERROR(__xludf.DUMMYFUNCTION("""COMPUTED_VALUE"""),"-33.852421,-70.940169")</f>
        <v>-33.852421,-70.940169</v>
      </c>
      <c r="C6794" s="6" t="str">
        <f ca="1">IFERROR(__xludf.DUMMYFUNCTION("""COMPUTED_VALUE"""),"CO PUBLICO PARC14C LTB2 PIEDRA MOLINO")</f>
        <v>CO PUBLICO PARC14C LTB2 PIEDRA MOLINO</v>
      </c>
      <c r="D6794" s="6" t="str">
        <f ca="1">IFERROR(__xludf.DUMMYFUNCTION("""COMPUTED_VALUE"""),"PAINE")</f>
        <v>PAINE</v>
      </c>
    </row>
    <row r="6795" spans="1:4">
      <c r="A6795" s="7">
        <f ca="1">IFERROR(__xludf.DUMMYFUNCTION("""COMPUTED_VALUE"""),44601)</f>
        <v>44601</v>
      </c>
      <c r="B6795" s="8" t="str">
        <f ca="1">IFERROR(__xludf.DUMMYFUNCTION("""COMPUTED_VALUE"""),"33782010-70886389")</f>
        <v>33782010-70886389</v>
      </c>
      <c r="C6795" s="6" t="str">
        <f ca="1">IFERROR(__xludf.DUMMYFUNCTION("""COMPUTED_VALUE"""),"LOS CARDENALES 401")</f>
        <v>LOS CARDENALES 401</v>
      </c>
      <c r="D6795" s="6" t="str">
        <f ca="1">IFERROR(__xludf.DUMMYFUNCTION("""COMPUTED_VALUE"""),"ISLA DE MAIPO")</f>
        <v>ISLA DE MAIPO</v>
      </c>
    </row>
    <row r="6796" spans="1:4">
      <c r="A6796" s="7">
        <f ca="1">IFERROR(__xludf.DUMMYFUNCTION("""COMPUTED_VALUE"""),44601)</f>
        <v>44601</v>
      </c>
      <c r="B6796" s="6" t="str">
        <f ca="1">IFERROR(__xludf.DUMMYFUNCTION("""COMPUTED_VALUE"""),"-33.655295-70.345530")</f>
        <v>-33.655295-70.345530</v>
      </c>
      <c r="C6796" s="6" t="str">
        <f ca="1">IFERROR(__xludf.DUMMYFUNCTION("""COMPUTED_VALUE"""),"SANTA MARIA DEL ESTERO 54")</f>
        <v>SANTA MARIA DEL ESTERO 54</v>
      </c>
      <c r="D6796" s="6" t="str">
        <f ca="1">IFERROR(__xludf.DUMMYFUNCTION("""COMPUTED_VALUE"""),"SAN JOSE DE MAIPO")</f>
        <v>SAN JOSE DE MAIPO</v>
      </c>
    </row>
    <row r="6797" spans="1:4">
      <c r="A6797" s="7">
        <f ca="1">IFERROR(__xludf.DUMMYFUNCTION("""COMPUTED_VALUE"""),44601)</f>
        <v>44601</v>
      </c>
      <c r="B6797" s="6" t="str">
        <f ca="1">IFERROR(__xludf.DUMMYFUNCTION("""COMPUTED_VALUE"""),"-33.637155-70.357000")</f>
        <v>-33.637155-70.357000</v>
      </c>
      <c r="C6797" s="6" t="str">
        <f ca="1">IFERROR(__xludf.DUMMYFUNCTION("""COMPUTED_VALUE"""),"PJE. CAÑADA NORTE 513")</f>
        <v>PJE. CAÑADA NORTE 513</v>
      </c>
      <c r="D6797" s="6" t="str">
        <f ca="1">IFERROR(__xludf.DUMMYFUNCTION("""COMPUTED_VALUE"""),"SAN JOSE DE MAIPO")</f>
        <v>SAN JOSE DE MAIPO</v>
      </c>
    </row>
    <row r="6798" spans="1:4">
      <c r="A6798" s="7">
        <f ca="1">IFERROR(__xludf.DUMMYFUNCTION("""COMPUTED_VALUE"""),44601)</f>
        <v>44601</v>
      </c>
      <c r="B6798" s="6" t="str">
        <f ca="1">IFERROR(__xludf.DUMMYFUNCTION("""COMPUTED_VALUE"""),"-33.64554-70.34339")</f>
        <v>-33.64554-70.34339</v>
      </c>
      <c r="C6798" s="6" t="str">
        <f ca="1">IFERROR(__xludf.DUMMYFUNCTION("""COMPUTED_VALUE"""),"CAMINO AL VOLCAN 20339")</f>
        <v>CAMINO AL VOLCAN 20339</v>
      </c>
      <c r="D6798" s="6" t="str">
        <f ca="1">IFERROR(__xludf.DUMMYFUNCTION("""COMPUTED_VALUE"""),"SAN JOSE DE MAIPO")</f>
        <v>SAN JOSE DE MAIPO</v>
      </c>
    </row>
    <row r="6799" spans="1:4">
      <c r="A6799" s="7">
        <f ca="1">IFERROR(__xludf.DUMMYFUNCTION("""COMPUTED_VALUE"""),44601)</f>
        <v>44601</v>
      </c>
      <c r="B6799" s="8" t="str">
        <f ca="1">IFERROR(__xludf.DUMMYFUNCTION("""COMPUTED_VALUE"""),"-33.199087,-70.673040")</f>
        <v>-33.199087,-70.673040</v>
      </c>
      <c r="C6799" s="6" t="str">
        <f ca="1">IFERROR(__xludf.DUMMYFUNCTION("""COMPUTED_VALUE"""),"PASAJE VEINTIUNO DE MAYO 606")</f>
        <v>PASAJE VEINTIUNO DE MAYO 606</v>
      </c>
      <c r="D6799" s="6" t="str">
        <f ca="1">IFERROR(__xludf.DUMMYFUNCTION("""COMPUTED_VALUE"""),"COLINA")</f>
        <v>COLINA</v>
      </c>
    </row>
    <row r="6800" spans="1:4">
      <c r="A6800" s="7">
        <f ca="1">IFERROR(__xludf.DUMMYFUNCTION("""COMPUTED_VALUE"""),44601)</f>
        <v>44601</v>
      </c>
      <c r="B6800" s="8" t="str">
        <f ca="1">IFERROR(__xludf.DUMMYFUNCTION("""COMPUTED_VALUE"""),"-33.687939,-71.017656")</f>
        <v>-33.687939,-71.017656</v>
      </c>
      <c r="C6800" s="6" t="str">
        <f ca="1">IFERROR(__xludf.DUMMYFUNCTION("""COMPUTED_VALUE"""),"POMAIRITO 011 E")</f>
        <v>POMAIRITO 011 E</v>
      </c>
      <c r="D6800" s="6" t="str">
        <f ca="1">IFERROR(__xludf.DUMMYFUNCTION("""COMPUTED_VALUE"""),"EL MONTE")</f>
        <v>EL MONTE</v>
      </c>
    </row>
    <row r="6801" spans="1:4">
      <c r="A6801" s="7">
        <f ca="1">IFERROR(__xludf.DUMMYFUNCTION("""COMPUTED_VALUE"""),44601)</f>
        <v>44601</v>
      </c>
      <c r="B6801" s="8" t="str">
        <f ca="1">IFERROR(__xludf.DUMMYFUNCTION("""COMPUTED_VALUE"""),"-33.219181,-70.681285")</f>
        <v>-33.219181,-70.681285</v>
      </c>
      <c r="C6801" s="6" t="str">
        <f ca="1">IFERROR(__xludf.DUMMYFUNCTION("""COMPUTED_VALUE"""),"AV LOS ALAMOS 186 CASA 28")</f>
        <v>AV LOS ALAMOS 186 CASA 28</v>
      </c>
      <c r="D6801" s="6" t="str">
        <f ca="1">IFERROR(__xludf.DUMMYFUNCTION("""COMPUTED_VALUE"""),"COLINA")</f>
        <v>COLINA</v>
      </c>
    </row>
    <row r="6802" spans="1:4">
      <c r="A6802" s="7">
        <f ca="1">IFERROR(__xludf.DUMMYFUNCTION("""COMPUTED_VALUE"""),44601)</f>
        <v>44601</v>
      </c>
      <c r="B6802" s="6" t="str">
        <f ca="1">IFERROR(__xludf.DUMMYFUNCTION("""COMPUTED_VALUE"""),"-33.783914,-70.888198")</f>
        <v>-33.783914,-70.888198</v>
      </c>
      <c r="C6802" s="6" t="str">
        <f ca="1">IFERROR(__xludf.DUMMYFUNCTION("""COMPUTED_VALUE"""),"JUAN FRANCISCO FRESNO 721")</f>
        <v>JUAN FRANCISCO FRESNO 721</v>
      </c>
      <c r="D6802" s="6" t="str">
        <f ca="1">IFERROR(__xludf.DUMMYFUNCTION("""COMPUTED_VALUE"""),"ISLA DE MAIPO")</f>
        <v>ISLA DE MAIPO</v>
      </c>
    </row>
    <row r="6803" spans="1:4">
      <c r="A6803" s="7">
        <f ca="1">IFERROR(__xludf.DUMMYFUNCTION("""COMPUTED_VALUE"""),44601)</f>
        <v>44601</v>
      </c>
      <c r="B6803" s="8" t="str">
        <f ca="1">IFERROR(__xludf.DUMMYFUNCTION("""COMPUTED_VALUE"""),"-33.772078,-71.171737")</f>
        <v>-33.772078,-71.171737</v>
      </c>
      <c r="C6803" s="6" t="str">
        <f ca="1">IFERROR(__xludf.DUMMYFUNCTION("""COMPUTED_VALUE"""),"MANANTIALES SITIO 7B")</f>
        <v>MANANTIALES SITIO 7B</v>
      </c>
      <c r="D6803" s="6" t="str">
        <f ca="1">IFERROR(__xludf.DUMMYFUNCTION("""COMPUTED_VALUE"""),"MELIPILLA")</f>
        <v>MELIPILLA</v>
      </c>
    </row>
    <row r="6804" spans="1:4">
      <c r="A6804" s="7">
        <f ca="1">IFERROR(__xludf.DUMMYFUNCTION("""COMPUTED_VALUE"""),44601)</f>
        <v>44601</v>
      </c>
      <c r="B6804" s="6" t="str">
        <f ca="1">IFERROR(__xludf.DUMMYFUNCTION("""COMPUTED_VALUE"""),"-33.069682-71.423769")</f>
        <v>-33.069682-71.423769</v>
      </c>
      <c r="C6804" s="6" t="str">
        <f ca="1">IFERROR(__xludf.DUMMYFUNCTION("""COMPUTED_VALUE"""),"JARCIAS 2758")</f>
        <v>JARCIAS 2758</v>
      </c>
      <c r="D6804" s="6" t="str">
        <f ca="1">IFERROR(__xludf.DUMMYFUNCTION("""COMPUTED_VALUE"""),"QUILPUÉ")</f>
        <v>QUILPUÉ</v>
      </c>
    </row>
    <row r="6805" spans="1:4">
      <c r="A6805" s="7">
        <f ca="1">IFERROR(__xludf.DUMMYFUNCTION("""COMPUTED_VALUE"""),44601)</f>
        <v>44601</v>
      </c>
      <c r="B6805" s="6" t="str">
        <f ca="1">IFERROR(__xludf.DUMMYFUNCTION("""COMPUTED_VALUE"""),"-33.182739,-70.652539")</f>
        <v>-33.182739,-70.652539</v>
      </c>
      <c r="C6805" s="6" t="str">
        <f ca="1">IFERROR(__xludf.DUMMYFUNCTION("""COMPUTED_VALUE"""),"APOLO 3048")</f>
        <v>APOLO 3048</v>
      </c>
      <c r="D6805" s="6" t="str">
        <f ca="1">IFERROR(__xludf.DUMMYFUNCTION("""COMPUTED_VALUE"""),"COLINA")</f>
        <v>COLINA</v>
      </c>
    </row>
    <row r="6806" spans="1:4">
      <c r="A6806" s="7">
        <f ca="1">IFERROR(__xludf.DUMMYFUNCTION("""COMPUTED_VALUE"""),44601)</f>
        <v>44601</v>
      </c>
      <c r="B6806" s="6" t="str">
        <f ca="1">IFERROR(__xludf.DUMMYFUNCTION("""COMPUTED_VALUE"""),"-33.860727,-70.753483")</f>
        <v>-33.860727,-70.753483</v>
      </c>
      <c r="C6806" s="6" t="str">
        <f ca="1">IFERROR(__xludf.DUMMYFUNCTION("""COMPUTED_VALUE"""),"CO KENNEDY 111H")</f>
        <v>CO KENNEDY 111H</v>
      </c>
      <c r="D6806" s="6" t="str">
        <f ca="1">IFERROR(__xludf.DUMMYFUNCTION("""COMPUTED_VALUE"""),"PAINE")</f>
        <v>PAINE</v>
      </c>
    </row>
    <row r="6807" spans="1:4">
      <c r="A6807" s="7">
        <f ca="1">IFERROR(__xludf.DUMMYFUNCTION("""COMPUTED_VALUE"""),44601)</f>
        <v>44601</v>
      </c>
      <c r="B6807" s="6" t="str">
        <f ca="1">IFERROR(__xludf.DUMMYFUNCTION("""COMPUTED_VALUE"""),"-33.864883,-70.852424")</f>
        <v>-33.864883,-70.852424</v>
      </c>
      <c r="C6807" s="6" t="str">
        <f ca="1">IFERROR(__xludf.DUMMYFUNCTION("""COMPUTED_VALUE"""),"HUITICALAN SITIO 6")</f>
        <v>HUITICALAN SITIO 6</v>
      </c>
      <c r="D6807" s="6" t="str">
        <f ca="1">IFERROR(__xludf.DUMMYFUNCTION("""COMPUTED_VALUE"""),"PAINE")</f>
        <v>PAINE</v>
      </c>
    </row>
    <row r="6808" spans="1:4">
      <c r="A6808" s="7">
        <f ca="1">IFERROR(__xludf.DUMMYFUNCTION("""COMPUTED_VALUE"""),44602)</f>
        <v>44602</v>
      </c>
      <c r="B6808" s="8" t="str">
        <f ca="1">IFERROR(__xludf.DUMMYFUNCTION("""COMPUTED_VALUE"""),"33491598-71166228")</f>
        <v>33491598-71166228</v>
      </c>
      <c r="C6808" s="6" t="str">
        <f ca="1">IFERROR(__xludf.DUMMYFUNCTION("""COMPUTED_VALUE"""),"MELAHUE S/W")</f>
        <v>MELAHUE S/W</v>
      </c>
      <c r="D6808" s="6" t="str">
        <f ca="1">IFERROR(__xludf.DUMMYFUNCTION("""COMPUTED_VALUE"""),"MARIA PINTO")</f>
        <v>MARIA PINTO</v>
      </c>
    </row>
    <row r="6809" spans="1:4">
      <c r="A6809" s="7">
        <f ca="1">IFERROR(__xludf.DUMMYFUNCTION("""COMPUTED_VALUE"""),44602)</f>
        <v>44602</v>
      </c>
      <c r="B6809" s="8" t="str">
        <f ca="1">IFERROR(__xludf.DUMMYFUNCTION("""COMPUTED_VALUE"""),"33528384-71187997")</f>
        <v>33528384-71187997</v>
      </c>
      <c r="C6809" s="6" t="str">
        <f ca="1">IFERROR(__xludf.DUMMYFUNCTION("""COMPUTED_VALUE"""),"BARACALDO P-12")</f>
        <v>BARACALDO P-12</v>
      </c>
      <c r="D6809" s="6" t="str">
        <f ca="1">IFERROR(__xludf.DUMMYFUNCTION("""COMPUTED_VALUE"""),"MARIA PINTO")</f>
        <v>MARIA PINTO</v>
      </c>
    </row>
    <row r="6810" spans="1:4">
      <c r="A6810" s="7">
        <f ca="1">IFERROR(__xludf.DUMMYFUNCTION("""COMPUTED_VALUE"""),44602)</f>
        <v>44602</v>
      </c>
      <c r="B6810" s="8" t="str">
        <f ca="1">IFERROR(__xludf.DUMMYFUNCTION("""COMPUTED_VALUE"""),"33747249-70907003")</f>
        <v>33747249-70907003</v>
      </c>
      <c r="C6810" s="6" t="str">
        <f ca="1">IFERROR(__xludf.DUMMYFUNCTION("""COMPUTED_VALUE"""),"PSAJE SAN JOSE ")</f>
        <v xml:space="preserve">PSAJE SAN JOSE </v>
      </c>
      <c r="D6810" s="6" t="str">
        <f ca="1">IFERROR(__xludf.DUMMYFUNCTION("""COMPUTED_VALUE"""),"ISLA DE MAIPO")</f>
        <v>ISLA DE MAIPO</v>
      </c>
    </row>
    <row r="6811" spans="1:4">
      <c r="A6811" s="7">
        <f ca="1">IFERROR(__xludf.DUMMYFUNCTION("""COMPUTED_VALUE"""),44602)</f>
        <v>44602</v>
      </c>
      <c r="B6811" s="8" t="str">
        <f ca="1">IFERROR(__xludf.DUMMYFUNCTION("""COMPUTED_VALUE"""),"337090872351410-7")</f>
        <v>337090872351410-7</v>
      </c>
      <c r="C6811" s="6" t="str">
        <f ca="1">IFERROR(__xludf.DUMMYFUNCTION("""COMPUTED_VALUE"""),"AV SANTELICES 1265")</f>
        <v>AV SANTELICES 1265</v>
      </c>
      <c r="D6811" s="6" t="str">
        <f ca="1">IFERROR(__xludf.DUMMYFUNCTION("""COMPUTED_VALUE"""),"ISLA DE MAIPO")</f>
        <v>ISLA DE MAIPO</v>
      </c>
    </row>
    <row r="6812" spans="1:4">
      <c r="A6812" s="7">
        <f ca="1">IFERROR(__xludf.DUMMYFUNCTION("""COMPUTED_VALUE"""),44602)</f>
        <v>44602</v>
      </c>
      <c r="B6812" s="8" t="str">
        <f ca="1">IFERROR(__xludf.DUMMYFUNCTION("""COMPUTED_VALUE"""),"33571047-71212391")</f>
        <v>33571047-71212391</v>
      </c>
      <c r="C6812" s="6" t="str">
        <f ca="1">IFERROR(__xludf.DUMMYFUNCTION("""COMPUTED_VALUE"""),"LOS BOLLENES 24")</f>
        <v>LOS BOLLENES 24</v>
      </c>
      <c r="D6812" s="6" t="str">
        <f ca="1">IFERROR(__xludf.DUMMYFUNCTION("""COMPUTED_VALUE"""),"MELIPILLA")</f>
        <v>MELIPILLA</v>
      </c>
    </row>
    <row r="6813" spans="1:4">
      <c r="A6813" s="7">
        <f ca="1">IFERROR(__xludf.DUMMYFUNCTION("""COMPUTED_VALUE"""),44602)</f>
        <v>44602</v>
      </c>
      <c r="B6813" s="8" t="str">
        <f ca="1">IFERROR(__xludf.DUMMYFUNCTION("""COMPUTED_VALUE"""),"33736482-71020376")</f>
        <v>33736482-71020376</v>
      </c>
      <c r="C6813" s="6" t="str">
        <f ca="1">IFERROR(__xludf.DUMMYFUNCTION("""COMPUTED_VALUE"""),"LOS ACACIOS 36")</f>
        <v>LOS ACACIOS 36</v>
      </c>
      <c r="D6813" s="6" t="str">
        <f ca="1">IFERROR(__xludf.DUMMYFUNCTION("""COMPUTED_VALUE"""),"ISLA DE MAIPO")</f>
        <v>ISLA DE MAIPO</v>
      </c>
    </row>
    <row r="6814" spans="1:4">
      <c r="A6814" s="7">
        <f ca="1">IFERROR(__xludf.DUMMYFUNCTION("""COMPUTED_VALUE"""),44602)</f>
        <v>44602</v>
      </c>
      <c r="B6814" s="6" t="str">
        <f ca="1">IFERROR(__xludf.DUMMYFUNCTION("""COMPUTED_VALUE"""),"-33.657545-70.585330")</f>
        <v>-33.657545-70.585330</v>
      </c>
      <c r="C6814" s="6" t="str">
        <f ca="1">IFERROR(__xludf.DUMMYFUNCTION("""COMPUTED_VALUE"""),"ALCALDE HERNAN PRIETO 121")</f>
        <v>ALCALDE HERNAN PRIETO 121</v>
      </c>
      <c r="D6814" s="6" t="str">
        <f ca="1">IFERROR(__xludf.DUMMYFUNCTION("""COMPUTED_VALUE"""),"PIRQUE")</f>
        <v>PIRQUE</v>
      </c>
    </row>
    <row r="6815" spans="1:4">
      <c r="A6815" s="7">
        <f ca="1">IFERROR(__xludf.DUMMYFUNCTION("""COMPUTED_VALUE"""),44602)</f>
        <v>44602</v>
      </c>
      <c r="B6815" s="6" t="str">
        <f ca="1">IFERROR(__xludf.DUMMYFUNCTION("""COMPUTED_VALUE"""),"-33.657725-70.585530")</f>
        <v>-33.657725-70.585530</v>
      </c>
      <c r="C6815" s="6" t="str">
        <f ca="1">IFERROR(__xludf.DUMMYFUNCTION("""COMPUTED_VALUE"""),"ALCALDE HERNAN PRIETO 121")</f>
        <v>ALCALDE HERNAN PRIETO 121</v>
      </c>
      <c r="D6815" s="6" t="str">
        <f ca="1">IFERROR(__xludf.DUMMYFUNCTION("""COMPUTED_VALUE"""),"PIRQUE")</f>
        <v>PIRQUE</v>
      </c>
    </row>
    <row r="6816" spans="1:4">
      <c r="A6816" s="7">
        <f ca="1">IFERROR(__xludf.DUMMYFUNCTION("""COMPUTED_VALUE"""),44602)</f>
        <v>44602</v>
      </c>
      <c r="B6816" s="6" t="str">
        <f ca="1">IFERROR(__xludf.DUMMYFUNCTION("""COMPUTED_VALUE"""),"-33.708835-70.549950")</f>
        <v>-33.708835-70.549950</v>
      </c>
      <c r="C6816" s="6" t="str">
        <f ca="1">IFERROR(__xludf.DUMMYFUNCTION("""COMPUTED_VALUE"""),"VILLORIO SAN MANUEL 182")</f>
        <v>VILLORIO SAN MANUEL 182</v>
      </c>
      <c r="D6816" s="6" t="str">
        <f ca="1">IFERROR(__xludf.DUMMYFUNCTION("""COMPUTED_VALUE"""),"PIRQUE")</f>
        <v>PIRQUE</v>
      </c>
    </row>
    <row r="6817" spans="1:4">
      <c r="A6817" s="7">
        <f ca="1">IFERROR(__xludf.DUMMYFUNCTION("""COMPUTED_VALUE"""),44602)</f>
        <v>44602</v>
      </c>
      <c r="B6817" s="6" t="str">
        <f ca="1">IFERROR(__xludf.DUMMYFUNCTION("""COMPUTED_VALUE"""),"-33.14271-70.80019")</f>
        <v>-33.14271-70.80019</v>
      </c>
      <c r="C6817" s="6" t="str">
        <f ca="1">IFERROR(__xludf.DUMMYFUNCTION("""COMPUTED_VALUE"""),"UNO ORIENTE 351 ")</f>
        <v xml:space="preserve">UNO ORIENTE 351 </v>
      </c>
      <c r="D6817" s="6" t="str">
        <f ca="1">IFERROR(__xludf.DUMMYFUNCTION("""COMPUTED_VALUE"""),"TIL TIL")</f>
        <v>TIL TIL</v>
      </c>
    </row>
    <row r="6818" spans="1:4">
      <c r="A6818" s="7">
        <f ca="1">IFERROR(__xludf.DUMMYFUNCTION("""COMPUTED_VALUE"""),44602)</f>
        <v>44602</v>
      </c>
      <c r="B6818" s="6" t="str">
        <f ca="1">IFERROR(__xludf.DUMMYFUNCTION("""COMPUTED_VALUE"""),"-33.12237-70.79861")</f>
        <v>-33.12237-70.79861</v>
      </c>
      <c r="C6818" s="6" t="str">
        <f ca="1">IFERROR(__xludf.DUMMYFUNCTION("""COMPUTED_VALUE"""),"COOPERAVIVA LOS LINGUEZ L-16")</f>
        <v>COOPERAVIVA LOS LINGUEZ L-16</v>
      </c>
      <c r="D6818" s="6" t="str">
        <f ca="1">IFERROR(__xludf.DUMMYFUNCTION("""COMPUTED_VALUE"""),"TIL TIL")</f>
        <v>TIL TIL</v>
      </c>
    </row>
    <row r="6819" spans="1:4">
      <c r="A6819" s="7">
        <f ca="1">IFERROR(__xludf.DUMMYFUNCTION("""COMPUTED_VALUE"""),44602)</f>
        <v>44602</v>
      </c>
      <c r="B6819" s="6" t="str">
        <f ca="1">IFERROR(__xludf.DUMMYFUNCTION("""COMPUTED_VALUE"""),"-33.30009-70.88142")</f>
        <v>-33.30009-70.88142</v>
      </c>
      <c r="C6819" s="6" t="str">
        <f ca="1">IFERROR(__xludf.DUMMYFUNCTION("""COMPUTED_VALUE"""),"CAMINO LAS FLORES 940")</f>
        <v>CAMINO LAS FLORES 940</v>
      </c>
      <c r="D6819" s="6" t="str">
        <f ca="1">IFERROR(__xludf.DUMMYFUNCTION("""COMPUTED_VALUE"""),"LAMPA")</f>
        <v>LAMPA</v>
      </c>
    </row>
    <row r="6820" spans="1:4">
      <c r="A6820" s="7">
        <f ca="1">IFERROR(__xludf.DUMMYFUNCTION("""COMPUTED_VALUE"""),44602)</f>
        <v>44602</v>
      </c>
      <c r="B6820" s="8" t="str">
        <f ca="1">IFERROR(__xludf.DUMMYFUNCTION("""COMPUTED_VALUE"""),"-33.131025,-70.40537W")</f>
        <v>-33.131025,-70.40537W</v>
      </c>
      <c r="C6820" s="6" t="str">
        <f ca="1">IFERROR(__xludf.DUMMYFUNCTION("""COMPUTED_VALUE"""),"CALLE INT. LOS ALAMOS 186 CASA 24")</f>
        <v>CALLE INT. LOS ALAMOS 186 CASA 24</v>
      </c>
      <c r="D6820" s="6" t="str">
        <f ca="1">IFERROR(__xludf.DUMMYFUNCTION("""COMPUTED_VALUE"""),"COLINA")</f>
        <v>COLINA</v>
      </c>
    </row>
    <row r="6821" spans="1:4">
      <c r="A6821" s="7">
        <f ca="1">IFERROR(__xludf.DUMMYFUNCTION("""COMPUTED_VALUE"""),44602)</f>
        <v>44602</v>
      </c>
      <c r="B6821" s="8" t="str">
        <f ca="1">IFERROR(__xludf.DUMMYFUNCTION("""COMPUTED_VALUE"""),"-33.704710,-70.589497")</f>
        <v>-33.704710,-70.589497</v>
      </c>
      <c r="C6821" s="6" t="str">
        <f ca="1">IFERROR(__xludf.DUMMYFUNCTION("""COMPUTED_VALUE"""),"CASAS DE LAS ARCAYA 6 LOTE 17")</f>
        <v>CASAS DE LAS ARCAYA 6 LOTE 17</v>
      </c>
      <c r="D6821" s="6" t="str">
        <f ca="1">IFERROR(__xludf.DUMMYFUNCTION("""COMPUTED_VALUE"""),"PIRQUE")</f>
        <v>PIRQUE</v>
      </c>
    </row>
    <row r="6822" spans="1:4">
      <c r="A6822" s="7">
        <f ca="1">IFERROR(__xludf.DUMMYFUNCTION("""COMPUTED_VALUE"""),44602)</f>
        <v>44602</v>
      </c>
      <c r="B6822" s="6" t="str">
        <f ca="1">IFERROR(__xludf.DUMMYFUNCTION("""COMPUTED_VALUE"""),"-33.286279,-70.869402")</f>
        <v>-33.286279,-70.869402</v>
      </c>
      <c r="C6822" s="6" t="str">
        <f ca="1">IFERROR(__xludf.DUMMYFUNCTION("""COMPUTED_VALUE"""),"IGNACIO CARRERA PINTO  1381")</f>
        <v>IGNACIO CARRERA PINTO  1381</v>
      </c>
      <c r="D6822" s="6" t="str">
        <f ca="1">IFERROR(__xludf.DUMMYFUNCTION("""COMPUTED_VALUE"""),"LAMPA")</f>
        <v>LAMPA</v>
      </c>
    </row>
    <row r="6823" spans="1:4">
      <c r="A6823" s="7">
        <f ca="1">IFERROR(__xludf.DUMMYFUNCTION("""COMPUTED_VALUE"""),44602)</f>
        <v>44602</v>
      </c>
      <c r="B6823" s="6" t="str">
        <f ca="1">IFERROR(__xludf.DUMMYFUNCTION("""COMPUTED_VALUE"""),"-33.857513,-70.676421")</f>
        <v>-33.857513,-70.676421</v>
      </c>
      <c r="C6823" s="6" t="str">
        <f ca="1">IFERROR(__xludf.DUMMYFUNCTION("""COMPUTED_VALUE"""),"CI CARDONAL BAJO SITIO 25 MANZANA 612")</f>
        <v>CI CARDONAL BAJO SITIO 25 MANZANA 612</v>
      </c>
      <c r="D6823" s="6" t="str">
        <f ca="1">IFERROR(__xludf.DUMMYFUNCTION("""COMPUTED_VALUE"""),"PAINE")</f>
        <v>PAINE</v>
      </c>
    </row>
    <row r="6824" spans="1:4">
      <c r="A6824" s="7">
        <f ca="1">IFERROR(__xludf.DUMMYFUNCTION("""COMPUTED_VALUE"""),44602)</f>
        <v>44602</v>
      </c>
      <c r="B6824" s="6" t="str">
        <f ca="1">IFERROR(__xludf.DUMMYFUNCTION("""COMPUTED_VALUE"""),"-35.428698,-71.628349")</f>
        <v>-35.428698,-71.628349</v>
      </c>
      <c r="C6824" s="6" t="str">
        <f ca="1">IFERROR(__xludf.DUMMYFUNCTION("""COMPUTED_VALUE"""),"TRES 1/2 NORTE 3343 VILLA VALLE RIO CLARO")</f>
        <v>TRES 1/2 NORTE 3343 VILLA VALLE RIO CLARO</v>
      </c>
      <c r="D6824" s="6" t="str">
        <f ca="1">IFERROR(__xludf.DUMMYFUNCTION("""COMPUTED_VALUE"""),"TALCA")</f>
        <v>TALCA</v>
      </c>
    </row>
    <row r="6825" spans="1:4">
      <c r="A6825" s="7">
        <f ca="1">IFERROR(__xludf.DUMMYFUNCTION("""COMPUTED_VALUE"""),44602)</f>
        <v>44602</v>
      </c>
      <c r="B6825" s="6" t="str">
        <f ca="1">IFERROR(__xludf.DUMMYFUNCTION("""COMPUTED_VALUE"""),"-35.427537,-71.628808")</f>
        <v>-35.427537,-71.628808</v>
      </c>
      <c r="C6825" s="6" t="str">
        <f ca="1">IFERROR(__xludf.DUMMYFUNCTION("""COMPUTED_VALUE"""),"CUATRO Y MEDIO NORTE 3283 VILLA VALLE RIO CLARO")</f>
        <v>CUATRO Y MEDIO NORTE 3283 VILLA VALLE RIO CLARO</v>
      </c>
      <c r="D6825" s="6" t="str">
        <f ca="1">IFERROR(__xludf.DUMMYFUNCTION("""COMPUTED_VALUE"""),"TALCA")</f>
        <v>TALCA</v>
      </c>
    </row>
    <row r="6826" spans="1:4">
      <c r="A6826" s="7">
        <f ca="1">IFERROR(__xludf.DUMMYFUNCTION("""COMPUTED_VALUE"""),44602)</f>
        <v>44602</v>
      </c>
      <c r="B6826" s="6" t="str">
        <f ca="1">IFERROR(__xludf.DUMMYFUNCTION("""COMPUTED_VALUE"""),"-35.429642,-71.627604")</f>
        <v>-35.429642,-71.627604</v>
      </c>
      <c r="C6826" s="6" t="str">
        <f ca="1">IFERROR(__xludf.DUMMYFUNCTION("""COMPUTED_VALUE"""),"TREINTA ORIENTE TRES Y MEDIO NORTE 1133")</f>
        <v>TREINTA ORIENTE TRES Y MEDIO NORTE 1133</v>
      </c>
      <c r="D6826" s="6" t="str">
        <f ca="1">IFERROR(__xludf.DUMMYFUNCTION("""COMPUTED_VALUE"""),"TALCA")</f>
        <v>TALCA</v>
      </c>
    </row>
    <row r="6827" spans="1:4">
      <c r="A6827" s="7">
        <f ca="1">IFERROR(__xludf.DUMMYFUNCTION("""COMPUTED_VALUE"""),44602)</f>
        <v>44602</v>
      </c>
      <c r="B6827" s="6" t="str">
        <f ca="1">IFERROR(__xludf.DUMMYFUNCTION("""COMPUTED_VALUE"""),"-35.430006,-71.27574")</f>
        <v>-35.430006,-71.27574</v>
      </c>
      <c r="C6827" s="6" t="str">
        <f ca="1">IFERROR(__xludf.DUMMYFUNCTION("""COMPUTED_VALUE"""),"TREINTA ORIENTE TRES Y MEDIO NORTE 1143")</f>
        <v>TREINTA ORIENTE TRES Y MEDIO NORTE 1143</v>
      </c>
      <c r="D6827" s="6" t="str">
        <f ca="1">IFERROR(__xludf.DUMMYFUNCTION("""COMPUTED_VALUE"""),"TALCA")</f>
        <v>TALCA</v>
      </c>
    </row>
    <row r="6828" spans="1:4">
      <c r="A6828" s="7">
        <f ca="1">IFERROR(__xludf.DUMMYFUNCTION("""COMPUTED_VALUE"""),44602)</f>
        <v>44602</v>
      </c>
      <c r="B6828" s="8" t="str">
        <f ca="1">IFERROR(__xludf.DUMMYFUNCTION("""COMPUTED_VALUE"""),"-33.312254,-70.770209")</f>
        <v>-33.312254,-70.770209</v>
      </c>
      <c r="C6828" s="6" t="str">
        <f ca="1">IFERROR(__xludf.DUMMYFUNCTION("""COMPUTED_VALUE"""),"LA VILANA SITIO 23")</f>
        <v>LA VILANA SITIO 23</v>
      </c>
      <c r="D6828" s="6" t="str">
        <f ca="1">IFERROR(__xludf.DUMMYFUNCTION("""COMPUTED_VALUE"""),"LAMPA")</f>
        <v>LAMPA</v>
      </c>
    </row>
    <row r="6829" spans="1:4">
      <c r="A6829" s="7">
        <f ca="1">IFERROR(__xludf.DUMMYFUNCTION("""COMPUTED_VALUE"""),44602)</f>
        <v>44602</v>
      </c>
      <c r="B6829" s="8" t="str">
        <f ca="1">IFERROR(__xludf.DUMMYFUNCTION("""COMPUTED_VALUE"""),"-33.750712,-71.192695")</f>
        <v>-33.750712,-71.192695</v>
      </c>
      <c r="C6829" s="6" t="str">
        <f ca="1">IFERROR(__xludf.DUMMYFUNCTION("""COMPUTED_VALUE"""),"SANTA FÉ 1, PABELLON")</f>
        <v>SANTA FÉ 1, PABELLON</v>
      </c>
      <c r="D6829" s="6" t="str">
        <f ca="1">IFERROR(__xludf.DUMMYFUNCTION("""COMPUTED_VALUE"""),"MELIPILLA")</f>
        <v>MELIPILLA</v>
      </c>
    </row>
    <row r="6830" spans="1:4">
      <c r="A6830" s="7">
        <f ca="1">IFERROR(__xludf.DUMMYFUNCTION("""COMPUTED_VALUE"""),44602)</f>
        <v>44602</v>
      </c>
      <c r="B6830" s="8" t="str">
        <f ca="1">IFERROR(__xludf.DUMMYFUNCTION("""COMPUTED_VALUE"""),"-33.749903,-71.990039")</f>
        <v>-33.749903,-71.990039</v>
      </c>
      <c r="C6830" s="6" t="str">
        <f ca="1">IFERROR(__xludf.DUMMYFUNCTION("""COMPUTED_VALUE"""),"SECTOR PABELLON 7")</f>
        <v>SECTOR PABELLON 7</v>
      </c>
      <c r="D6830" s="6" t="str">
        <f ca="1">IFERROR(__xludf.DUMMYFUNCTION("""COMPUTED_VALUE"""),"MELIPILLA")</f>
        <v>MELIPILLA</v>
      </c>
    </row>
    <row r="6831" spans="1:4">
      <c r="A6831" s="7">
        <f ca="1">IFERROR(__xludf.DUMMYFUNCTION("""COMPUTED_VALUE"""),44602)</f>
        <v>44602</v>
      </c>
      <c r="B6831" s="6" t="str">
        <f ca="1">IFERROR(__xludf.DUMMYFUNCTION("""COMPUTED_VALUE"""),"-33.070157-71.423422")</f>
        <v>-33.070157-71.423422</v>
      </c>
      <c r="C6831" s="6" t="str">
        <f ca="1">IFERROR(__xludf.DUMMYFUNCTION("""COMPUTED_VALUE"""),"VOLCAN DOMINGO 2653")</f>
        <v>VOLCAN DOMINGO 2653</v>
      </c>
      <c r="D6831" s="6" t="str">
        <f ca="1">IFERROR(__xludf.DUMMYFUNCTION("""COMPUTED_VALUE"""),"QUILPUÉ")</f>
        <v>QUILPUÉ</v>
      </c>
    </row>
    <row r="6832" spans="1:4">
      <c r="A6832" s="7">
        <f ca="1">IFERROR(__xludf.DUMMYFUNCTION("""COMPUTED_VALUE"""),44602)</f>
        <v>44602</v>
      </c>
      <c r="B6832" s="6" t="str">
        <f ca="1">IFERROR(__xludf.DUMMYFUNCTION("""COMPUTED_VALUE"""),"-33.056121-71.437649")</f>
        <v>-33.056121-71.437649</v>
      </c>
      <c r="C6832" s="6" t="str">
        <f ca="1">IFERROR(__xludf.DUMMYFUNCTION("""COMPUTED_VALUE"""),"CALLE LOS ESTANQUES 1165")</f>
        <v>CALLE LOS ESTANQUES 1165</v>
      </c>
      <c r="D6832" s="6" t="str">
        <f ca="1">IFERROR(__xludf.DUMMYFUNCTION("""COMPUTED_VALUE"""),"QUILPUÉ")</f>
        <v>QUILPUÉ</v>
      </c>
    </row>
    <row r="6833" spans="1:4">
      <c r="A6833" s="7">
        <f ca="1">IFERROR(__xludf.DUMMYFUNCTION("""COMPUTED_VALUE"""),44602)</f>
        <v>44602</v>
      </c>
      <c r="B6833" s="6" t="str">
        <f ca="1">IFERROR(__xludf.DUMMYFUNCTION("""COMPUTED_VALUE"""),"-33.069877-71.423506")</f>
        <v>-33.069877-71.423506</v>
      </c>
      <c r="C6833" s="6" t="str">
        <f ca="1">IFERROR(__xludf.DUMMYFUNCTION("""COMPUTED_VALUE"""),"VOLCAN DOMUYO 2649")</f>
        <v>VOLCAN DOMUYO 2649</v>
      </c>
      <c r="D6833" s="6" t="str">
        <f ca="1">IFERROR(__xludf.DUMMYFUNCTION("""COMPUTED_VALUE"""),"QUILPUÉ")</f>
        <v>QUILPUÉ</v>
      </c>
    </row>
    <row r="6834" spans="1:4">
      <c r="A6834" s="7">
        <f ca="1">IFERROR(__xludf.DUMMYFUNCTION("""COMPUTED_VALUE"""),44602)</f>
        <v>44602</v>
      </c>
      <c r="B6834" s="6" t="str">
        <f ca="1">IFERROR(__xludf.DUMMYFUNCTION("""COMPUTED_VALUE"""),"-33.065042-71.437947")</f>
        <v>-33.065042-71.437947</v>
      </c>
      <c r="C6834" s="6" t="str">
        <f ca="1">IFERROR(__xludf.DUMMYFUNCTION("""COMPUTED_VALUE"""),"CALLE LOS ZAFIROS 2285")</f>
        <v>CALLE LOS ZAFIROS 2285</v>
      </c>
      <c r="D6834" s="6" t="str">
        <f ca="1">IFERROR(__xludf.DUMMYFUNCTION("""COMPUTED_VALUE"""),"QUILPUÉ")</f>
        <v>QUILPUÉ</v>
      </c>
    </row>
    <row r="6835" spans="1:4">
      <c r="A6835" s="7">
        <f ca="1">IFERROR(__xludf.DUMMYFUNCTION("""COMPUTED_VALUE"""),44602)</f>
        <v>44602</v>
      </c>
      <c r="B6835" s="6" t="str">
        <f ca="1">IFERROR(__xludf.DUMMYFUNCTION("""COMPUTED_VALUE"""),"-33.579641,-70.804416")</f>
        <v>-33.579641,-70.804416</v>
      </c>
      <c r="C6835" s="6" t="str">
        <f ca="1">IFERROR(__xludf.DUMMYFUNCTION("""COMPUTED_VALUE"""),"EL CANELO 2324")</f>
        <v>EL CANELO 2324</v>
      </c>
      <c r="D6835" s="6" t="str">
        <f ca="1">IFERROR(__xludf.DUMMYFUNCTION("""COMPUTED_VALUE"""),"PADRE HURTADO")</f>
        <v>PADRE HURTADO</v>
      </c>
    </row>
    <row r="6836" spans="1:4">
      <c r="A6836" s="7">
        <f ca="1">IFERROR(__xludf.DUMMYFUNCTION("""COMPUTED_VALUE"""),44602)</f>
        <v>44602</v>
      </c>
      <c r="B6836" s="6" t="str">
        <f ca="1">IFERROR(__xludf.DUMMYFUNCTION("""COMPUTED_VALUE"""),"-33.570112,-70.787834")</f>
        <v>-33.570112,-70.787834</v>
      </c>
      <c r="C6836" s="6" t="str">
        <f ca="1">IFERROR(__xludf.DUMMYFUNCTION("""COMPUTED_VALUE"""),"TERCERA AVENIDA 1791")</f>
        <v>TERCERA AVENIDA 1791</v>
      </c>
      <c r="D6836" s="6" t="str">
        <f ca="1">IFERROR(__xludf.DUMMYFUNCTION("""COMPUTED_VALUE"""),"PADRE HURTADO")</f>
        <v>PADRE HURTADO</v>
      </c>
    </row>
    <row r="6837" spans="1:4">
      <c r="A6837" s="7">
        <f ca="1">IFERROR(__xludf.DUMMYFUNCTION("""COMPUTED_VALUE"""),44602)</f>
        <v>44602</v>
      </c>
      <c r="B6837" s="6" t="str">
        <f ca="1">IFERROR(__xludf.DUMMYFUNCTION("""COMPUTED_VALUE"""),"-33.566816,-70.804454")</f>
        <v>-33.566816,-70.804454</v>
      </c>
      <c r="C6837" s="6" t="str">
        <f ca="1">IFERROR(__xludf.DUMMYFUNCTION("""COMPUTED_VALUE"""),"CALLES 465")</f>
        <v>CALLES 465</v>
      </c>
      <c r="D6837" s="6" t="str">
        <f ca="1">IFERROR(__xludf.DUMMYFUNCTION("""COMPUTED_VALUE"""),"PADRE HURTADO")</f>
        <v>PADRE HURTADO</v>
      </c>
    </row>
    <row r="6838" spans="1:4">
      <c r="A6838" s="7">
        <f ca="1">IFERROR(__xludf.DUMMYFUNCTION("""COMPUTED_VALUE"""),44602)</f>
        <v>44602</v>
      </c>
      <c r="B6838" s="6" t="str">
        <f ca="1">IFERROR(__xludf.DUMMYFUNCTION("""COMPUTED_VALUE"""),"-33.727891,-70.742384")</f>
        <v>-33.727891,-70.742384</v>
      </c>
      <c r="C6838" s="6" t="str">
        <f ca="1">IFERROR(__xludf.DUMMYFUNCTION("""COMPUTED_VALUE"""),"PJE UNO CASA 525")</f>
        <v>PJE UNO CASA 525</v>
      </c>
      <c r="D6838" s="6" t="str">
        <f ca="1">IFERROR(__xludf.DUMMYFUNCTION("""COMPUTED_VALUE"""),"BUIN")</f>
        <v>BUIN</v>
      </c>
    </row>
    <row r="6839" spans="1:4">
      <c r="A6839" s="7">
        <f ca="1">IFERROR(__xludf.DUMMYFUNCTION("""COMPUTED_VALUE"""),44603)</f>
        <v>44603</v>
      </c>
      <c r="B6839" s="8" t="str">
        <f ca="1">IFERROR(__xludf.DUMMYFUNCTION("""COMPUTED_VALUE"""),"33789990-21402097")</f>
        <v>33789990-21402097</v>
      </c>
      <c r="C6839" s="6" t="str">
        <f ca="1">IFERROR(__xludf.DUMMYFUNCTION("""COMPUTED_VALUE"""),"SECTOR LA UNION DE CODEGUA S/N")</f>
        <v>SECTOR LA UNION DE CODEGUA S/N</v>
      </c>
      <c r="D6839" s="6" t="str">
        <f ca="1">IFERROR(__xludf.DUMMYFUNCTION("""COMPUTED_VALUE"""),"MELIPILLA")</f>
        <v>MELIPILLA</v>
      </c>
    </row>
    <row r="6840" spans="1:4">
      <c r="A6840" s="7">
        <f ca="1">IFERROR(__xludf.DUMMYFUNCTION("""COMPUTED_VALUE"""),44603)</f>
        <v>44603</v>
      </c>
      <c r="B6840" s="8" t="str">
        <f ca="1">IFERROR(__xludf.DUMMYFUNCTION("""COMPUTED_VALUE"""),"33792168-71380338")</f>
        <v>33792168-71380338</v>
      </c>
      <c r="C6840" s="6" t="str">
        <f ca="1">IFERROR(__xludf.DUMMYFUNCTION("""COMPUTED_VALUE"""),"LA UNION DE CODEGUA 4 ")</f>
        <v xml:space="preserve">LA UNION DE CODEGUA 4 </v>
      </c>
      <c r="D6840" s="6" t="str">
        <f ca="1">IFERROR(__xludf.DUMMYFUNCTION("""COMPUTED_VALUE"""),"MELIPILLA")</f>
        <v>MELIPILLA</v>
      </c>
    </row>
    <row r="6841" spans="1:4">
      <c r="A6841" s="7">
        <f ca="1">IFERROR(__xludf.DUMMYFUNCTION("""COMPUTED_VALUE"""),44603)</f>
        <v>44603</v>
      </c>
      <c r="B6841" s="8" t="str">
        <f ca="1">IFERROR(__xludf.DUMMYFUNCTION("""COMPUTED_VALUE"""),"337561838-708991839")</f>
        <v>337561838-708991839</v>
      </c>
      <c r="C6841" s="6" t="str">
        <f ca="1">IFERROR(__xludf.DUMMYFUNCTION("""COMPUTED_VALUE"""),"SANTELICES 286")</f>
        <v>SANTELICES 286</v>
      </c>
      <c r="D6841" s="6" t="str">
        <f ca="1">IFERROR(__xludf.DUMMYFUNCTION("""COMPUTED_VALUE"""),"ISLA DE MAIPO")</f>
        <v>ISLA DE MAIPO</v>
      </c>
    </row>
    <row r="6842" spans="1:4">
      <c r="A6842" s="7">
        <f ca="1">IFERROR(__xludf.DUMMYFUNCTION("""COMPUTED_VALUE"""),44603)</f>
        <v>44603</v>
      </c>
      <c r="B6842" s="6" t="str">
        <f ca="1">IFERROR(__xludf.DUMMYFUNCTION("""COMPUTED_VALUE"""),"-33.716199,-70.544821")</f>
        <v>-33.716199,-70.544821</v>
      </c>
      <c r="C6842" s="6" t="str">
        <f ca="1">IFERROR(__xludf.DUMMYFUNCTION("""COMPUTED_VALUE"""),"EL CHALACO 66 B SITIO 23 A")</f>
        <v>EL CHALACO 66 B SITIO 23 A</v>
      </c>
      <c r="D6842" s="6" t="str">
        <f ca="1">IFERROR(__xludf.DUMMYFUNCTION("""COMPUTED_VALUE"""),"PIRQUE")</f>
        <v>PIRQUE</v>
      </c>
    </row>
    <row r="6843" spans="1:4">
      <c r="A6843" s="7">
        <f ca="1">IFERROR(__xludf.DUMMYFUNCTION("""COMPUTED_VALUE"""),44603)</f>
        <v>44603</v>
      </c>
      <c r="B6843" s="8" t="str">
        <f ca="1">IFERROR(__xludf.DUMMYFUNCTION("""COMPUTED_VALUE"""),"-33.684586,-70.996414")</f>
        <v>-33.684586,-70.996414</v>
      </c>
      <c r="C6843" s="6" t="str">
        <f ca="1">IFERROR(__xludf.DUMMYFUNCTION("""COMPUTED_VALUE"""),"PASAJE AMBAR 786")</f>
        <v>PASAJE AMBAR 786</v>
      </c>
      <c r="D6843" s="6" t="str">
        <f ca="1">IFERROR(__xludf.DUMMYFUNCTION("""COMPUTED_VALUE"""),"EL MONTE")</f>
        <v>EL MONTE</v>
      </c>
    </row>
    <row r="6844" spans="1:4">
      <c r="A6844" s="7">
        <f ca="1">IFERROR(__xludf.DUMMYFUNCTION("""COMPUTED_VALUE"""),44603)</f>
        <v>44603</v>
      </c>
      <c r="B6844" s="8" t="str">
        <f ca="1">IFERROR(__xludf.DUMMYFUNCTION("""COMPUTED_VALUE"""),"-33.683049,-71.003422")</f>
        <v>-33.683049,-71.003422</v>
      </c>
      <c r="C6844" s="6" t="str">
        <f ca="1">IFERROR(__xludf.DUMMYFUNCTION("""COMPUTED_VALUE"""),"PJE DOCTRINA DE INDIOS 11 ")</f>
        <v xml:space="preserve">PJE DOCTRINA DE INDIOS 11 </v>
      </c>
      <c r="D6844" s="6" t="str">
        <f ca="1">IFERROR(__xludf.DUMMYFUNCTION("""COMPUTED_VALUE"""),"EL MONTE")</f>
        <v>EL MONTE</v>
      </c>
    </row>
    <row r="6845" spans="1:4">
      <c r="A6845" s="7">
        <f ca="1">IFERROR(__xludf.DUMMYFUNCTION("""COMPUTED_VALUE"""),44603)</f>
        <v>44603</v>
      </c>
      <c r="B6845" s="8" t="str">
        <f ca="1">IFERROR(__xludf.DUMMYFUNCTION("""COMPUTED_VALUE"""),"-33.683049,-71.003422")</f>
        <v>-33.683049,-71.003422</v>
      </c>
      <c r="C6845" s="6" t="str">
        <f ca="1">IFERROR(__xludf.DUMMYFUNCTION("""COMPUTED_VALUE"""),"PJE DOCTRINA DE INDIOS 11 ")</f>
        <v xml:space="preserve">PJE DOCTRINA DE INDIOS 11 </v>
      </c>
      <c r="D6845" s="6" t="str">
        <f ca="1">IFERROR(__xludf.DUMMYFUNCTION("""COMPUTED_VALUE"""),"EL MONTE")</f>
        <v>EL MONTE</v>
      </c>
    </row>
    <row r="6846" spans="1:4">
      <c r="A6846" s="7">
        <f ca="1">IFERROR(__xludf.DUMMYFUNCTION("""COMPUTED_VALUE"""),44603)</f>
        <v>44603</v>
      </c>
      <c r="B6846" s="8" t="str">
        <f ca="1">IFERROR(__xludf.DUMMYFUNCTION("""COMPUTED_VALUE"""),"-33.4058.25-70.5946.4W")</f>
        <v>-33.4058.25-70.5946.4W</v>
      </c>
      <c r="C6846" s="6" t="str">
        <f ca="1">IFERROR(__xludf.DUMMYFUNCTION("""COMPUTED_VALUE"""),"LIBERTADORES 785")</f>
        <v>LIBERTADORES 785</v>
      </c>
      <c r="D6846" s="6" t="str">
        <f ca="1">IFERROR(__xludf.DUMMYFUNCTION("""COMPUTED_VALUE"""),"EL MONTE")</f>
        <v>EL MONTE</v>
      </c>
    </row>
    <row r="6847" spans="1:4">
      <c r="A6847" s="7">
        <f ca="1">IFERROR(__xludf.DUMMYFUNCTION("""COMPUTED_VALUE"""),44603)</f>
        <v>44603</v>
      </c>
      <c r="B6847" s="8" t="str">
        <f ca="1">IFERROR(__xludf.DUMMYFUNCTION("""COMPUTED_VALUE"""),"-33.411365-7101233W")</f>
        <v>-33.411365-7101233W</v>
      </c>
      <c r="C6847" s="6" t="str">
        <f ca="1">IFERROR(__xludf.DUMMYFUNCTION("""COMPUTED_VALUE""")," LOS LIBERTADORES 1224")</f>
        <v xml:space="preserve"> LOS LIBERTADORES 1224</v>
      </c>
      <c r="D6847" s="6" t="str">
        <f ca="1">IFERROR(__xludf.DUMMYFUNCTION("""COMPUTED_VALUE"""),"EL MONTE")</f>
        <v>EL MONTE</v>
      </c>
    </row>
    <row r="6848" spans="1:4">
      <c r="A6848" s="7">
        <f ca="1">IFERROR(__xludf.DUMMYFUNCTION("""COMPUTED_VALUE"""),44603)</f>
        <v>44603</v>
      </c>
      <c r="B6848" s="8" t="str">
        <f ca="1">IFERROR(__xludf.DUMMYFUNCTION("""COMPUTED_VALUE"""),"-3342286S-7102447W")</f>
        <v>-3342286S-7102447W</v>
      </c>
      <c r="C6848" s="6" t="str">
        <f ca="1">IFERROR(__xludf.DUMMYFUNCTION("""COMPUTED_VALUE"""),"CALLE LA RED PC 30 LOTE 12")</f>
        <v>CALLE LA RED PC 30 LOTE 12</v>
      </c>
      <c r="D6848" s="6" t="str">
        <f ca="1">IFERROR(__xludf.DUMMYFUNCTION("""COMPUTED_VALUE"""),"EL MONTE")</f>
        <v>EL MONTE</v>
      </c>
    </row>
    <row r="6849" spans="1:4">
      <c r="A6849" s="7">
        <f ca="1">IFERROR(__xludf.DUMMYFUNCTION("""COMPUTED_VALUE"""),44603)</f>
        <v>44603</v>
      </c>
      <c r="B6849" s="6" t="str">
        <f ca="1">IFERROR(__xludf.DUMMYFUNCTION("""COMPUTED_VALUE"""),"-33.682060,-71.201790")</f>
        <v>-33.682060,-71.201790</v>
      </c>
      <c r="C6849" s="6" t="str">
        <f ca="1">IFERROR(__xludf.DUMMYFUNCTION("""COMPUTED_VALUE"""),"PASAJE SARFGENTO ALDUNATE 108")</f>
        <v>PASAJE SARFGENTO ALDUNATE 108</v>
      </c>
      <c r="D6849" s="6" t="str">
        <f ca="1">IFERROR(__xludf.DUMMYFUNCTION("""COMPUTED_VALUE"""),"MELIPILLA")</f>
        <v>MELIPILLA</v>
      </c>
    </row>
    <row r="6850" spans="1:4">
      <c r="A6850" s="7">
        <f ca="1">IFERROR(__xludf.DUMMYFUNCTION("""COMPUTED_VALUE"""),44603)</f>
        <v>44603</v>
      </c>
      <c r="B6850" s="6" t="str">
        <f ca="1">IFERROR(__xludf.DUMMYFUNCTION("""COMPUTED_VALUE"""),"-35.428291,-71.628294")</f>
        <v>-35.428291,-71.628294</v>
      </c>
      <c r="C6850" s="6" t="str">
        <f ca="1">IFERROR(__xludf.DUMMYFUNCTION("""COMPUTED_VALUE"""),"CUATRO NORTE 3354 VILLA VALLE RIO CLARO")</f>
        <v>CUATRO NORTE 3354 VILLA VALLE RIO CLARO</v>
      </c>
      <c r="D6850" s="6" t="str">
        <f ca="1">IFERROR(__xludf.DUMMYFUNCTION("""COMPUTED_VALUE"""),"TALCA")</f>
        <v>TALCA</v>
      </c>
    </row>
    <row r="6851" spans="1:4">
      <c r="A6851" s="7">
        <f ca="1">IFERROR(__xludf.DUMMYFUNCTION("""COMPUTED_VALUE"""),44603)</f>
        <v>44603</v>
      </c>
      <c r="B6851" s="6" t="str">
        <f ca="1">IFERROR(__xludf.DUMMYFUNCTION("""COMPUTED_VALUE"""),"-35.428776,-71.626928")</f>
        <v>-35.428776,-71.626928</v>
      </c>
      <c r="C6851" s="6" t="str">
        <f ca="1">IFERROR(__xludf.DUMMYFUNCTION("""COMPUTED_VALUE"""),"TREINTA ORIENTE PASAJE  CUATRO  NORTE  3398")</f>
        <v>TREINTA ORIENTE PASAJE  CUATRO  NORTE  3398</v>
      </c>
      <c r="D6851" s="6" t="str">
        <f ca="1">IFERROR(__xludf.DUMMYFUNCTION("""COMPUTED_VALUE"""),"TALCA")</f>
        <v>TALCA</v>
      </c>
    </row>
    <row r="6852" spans="1:4">
      <c r="A6852" s="7">
        <f ca="1">IFERROR(__xludf.DUMMYFUNCTION("""COMPUTED_VALUE"""),44603)</f>
        <v>44603</v>
      </c>
      <c r="B6852" s="8" t="str">
        <f ca="1">IFERROR(__xludf.DUMMYFUNCTION("""COMPUTED_VALUE"""),"-33.682886,-70.950393")</f>
        <v>-33.682886,-70.950393</v>
      </c>
      <c r="C6852" s="6" t="str">
        <f ca="1">IFERROR(__xludf.DUMMYFUNCTION("""COMPUTED_VALUE"""),"1 PONIENTE PARCELA 6 ")</f>
        <v xml:space="preserve">1 PONIENTE PARCELA 6 </v>
      </c>
      <c r="D6852" s="6" t="str">
        <f ca="1">IFERROR(__xludf.DUMMYFUNCTION("""COMPUTED_VALUE"""),"TALAGANTE")</f>
        <v>TALAGANTE</v>
      </c>
    </row>
    <row r="6853" spans="1:4">
      <c r="A6853" s="7">
        <f ca="1">IFERROR(__xludf.DUMMYFUNCTION("""COMPUTED_VALUE"""),44604)</f>
        <v>44604</v>
      </c>
      <c r="B6853" s="6" t="str">
        <f ca="1">IFERROR(__xludf.DUMMYFUNCTION("""COMPUTED_VALUE"""),"-33.418832-71.146183")</f>
        <v>-33.418832-71.146183</v>
      </c>
      <c r="C6853" s="6" t="str">
        <f ca="1">IFERROR(__xludf.DUMMYFUNCTION("""COMPUTED_VALUE"""),"LO AGUILA 1 LOTE 1C")</f>
        <v>LO AGUILA 1 LOTE 1C</v>
      </c>
      <c r="D6853" s="6" t="str">
        <f ca="1">IFERROR(__xludf.DUMMYFUNCTION("""COMPUTED_VALUE"""),"CURACAVI")</f>
        <v>CURACAVI</v>
      </c>
    </row>
    <row r="6854" spans="1:4">
      <c r="A6854" s="7">
        <f ca="1">IFERROR(__xludf.DUMMYFUNCTION("""COMPUTED_VALUE"""),44604)</f>
        <v>44604</v>
      </c>
      <c r="B6854" s="6" t="str">
        <f ca="1">IFERROR(__xludf.DUMMYFUNCTION("""COMPUTED_VALUE"""),"-33.418832-71.146183")</f>
        <v>-33.418832-71.146183</v>
      </c>
      <c r="C6854" s="6" t="str">
        <f ca="1">IFERROR(__xludf.DUMMYFUNCTION("""COMPUTED_VALUE"""),"LO AGUILA 1 LOTE 1C")</f>
        <v>LO AGUILA 1 LOTE 1C</v>
      </c>
      <c r="D6854" s="6" t="str">
        <f ca="1">IFERROR(__xludf.DUMMYFUNCTION("""COMPUTED_VALUE"""),"CURACAVI")</f>
        <v>CURACAVI</v>
      </c>
    </row>
    <row r="6855" spans="1:4">
      <c r="A6855" s="7">
        <f ca="1">IFERROR(__xludf.DUMMYFUNCTION("""COMPUTED_VALUE"""),44604)</f>
        <v>44604</v>
      </c>
      <c r="B6855" s="8" t="str">
        <f ca="1">IFERROR(__xludf.DUMMYFUNCTION("""COMPUTED_VALUE"""),"-3342153S-7101389W")</f>
        <v>-3342153S-7101389W</v>
      </c>
      <c r="C6855" s="6" t="str">
        <f ca="1">IFERROR(__xludf.DUMMYFUNCTION("""COMPUTED_VALUE"""),"SAN ANTONIO 313")</f>
        <v>SAN ANTONIO 313</v>
      </c>
      <c r="D6855" s="6" t="str">
        <f ca="1">IFERROR(__xludf.DUMMYFUNCTION("""COMPUTED_VALUE"""),"EL MONTE")</f>
        <v>EL MONTE</v>
      </c>
    </row>
    <row r="6856" spans="1:4">
      <c r="A6856" s="7">
        <f ca="1">IFERROR(__xludf.DUMMYFUNCTION("""COMPUTED_VALUE"""),44604)</f>
        <v>44604</v>
      </c>
      <c r="B6856" s="8" t="str">
        <f ca="1">IFERROR(__xludf.DUMMYFUNCTION("""COMPUTED_VALUE"""),"-33.491155,-70.443236")</f>
        <v>-33.491155,-70.443236</v>
      </c>
      <c r="C6856" s="6" t="str">
        <f ca="1">IFERROR(__xludf.DUMMYFUNCTION("""COMPUTED_VALUE"""),"PEDRO DE VALDIVIA 134")</f>
        <v>PEDRO DE VALDIVIA 134</v>
      </c>
      <c r="D6856" s="6" t="str">
        <f ca="1">IFERROR(__xludf.DUMMYFUNCTION("""COMPUTED_VALUE"""),"PAINE")</f>
        <v>PAINE</v>
      </c>
    </row>
    <row r="6857" spans="1:4">
      <c r="A6857" s="7">
        <f ca="1">IFERROR(__xludf.DUMMYFUNCTION("""COMPUTED_VALUE"""),44604)</f>
        <v>44604</v>
      </c>
      <c r="B6857" s="6" t="str">
        <f ca="1">IFERROR(__xludf.DUMMYFUNCTION("""COMPUTED_VALUE"""),"-33.629857,-71.253059")</f>
        <v>-33.629857,-71.253059</v>
      </c>
      <c r="C6857" s="6" t="str">
        <f ca="1">IFERROR(__xludf.DUMMYFUNCTION("""COMPUTED_VALUE"""),"VILLA ALEGRE S/N")</f>
        <v>VILLA ALEGRE S/N</v>
      </c>
      <c r="D6857" s="6" t="str">
        <f ca="1">IFERROR(__xludf.DUMMYFUNCTION("""COMPUTED_VALUE"""),"MELIPILLA")</f>
        <v>MELIPILLA</v>
      </c>
    </row>
    <row r="6858" spans="1:4">
      <c r="A6858" s="7">
        <f ca="1">IFERROR(__xludf.DUMMYFUNCTION("""COMPUTED_VALUE"""),44606)</f>
        <v>44606</v>
      </c>
      <c r="B6858" s="8" t="str">
        <f ca="1">IFERROR(__xludf.DUMMYFUNCTION("""COMPUTED_VALUE"""),"33683285-71222924")</f>
        <v>33683285-71222924</v>
      </c>
      <c r="C6858" s="6" t="str">
        <f ca="1">IFERROR(__xludf.DUMMYFUNCTION("""COMPUTED_VALUE"""),"MATAVERI 179")</f>
        <v>MATAVERI 179</v>
      </c>
      <c r="D6858" s="6" t="str">
        <f ca="1">IFERROR(__xludf.DUMMYFUNCTION("""COMPUTED_VALUE"""),"MELIPILLA")</f>
        <v>MELIPILLA</v>
      </c>
    </row>
    <row r="6859" spans="1:4">
      <c r="A6859" s="7">
        <f ca="1">IFERROR(__xludf.DUMMYFUNCTION("""COMPUTED_VALUE"""),44606)</f>
        <v>44606</v>
      </c>
      <c r="B6859" s="6" t="str">
        <f ca="1">IFERROR(__xludf.DUMMYFUNCTION("""COMPUTED_VALUE"""),"-33.703215-70.564320")</f>
        <v>-33.703215-70.564320</v>
      </c>
      <c r="C6859" s="6" t="str">
        <f ca="1">IFERROR(__xludf.DUMMYFUNCTION("""COMPUTED_VALUE"""),"CO EL PRINCIPAL LOTE D , SITIO 21")</f>
        <v>CO EL PRINCIPAL LOTE D , SITIO 21</v>
      </c>
      <c r="D6859" s="6" t="str">
        <f ca="1">IFERROR(__xludf.DUMMYFUNCTION("""COMPUTED_VALUE"""),"PIRQUE")</f>
        <v>PIRQUE</v>
      </c>
    </row>
    <row r="6860" spans="1:4">
      <c r="A6860" s="7">
        <f ca="1">IFERROR(__xludf.DUMMYFUNCTION("""COMPUTED_VALUE"""),44606)</f>
        <v>44606</v>
      </c>
      <c r="B6860" s="6" t="str">
        <f ca="1">IFERROR(__xludf.DUMMYFUNCTION("""COMPUTED_VALUE"""),"-33.6425705-70.587650")</f>
        <v>-33.6425705-70.587650</v>
      </c>
      <c r="C6860" s="6" t="str">
        <f ca="1">IFERROR(__xludf.DUMMYFUNCTION("""COMPUTED_VALUE"""),"ALCALDE HERNAN PRIETO 102")</f>
        <v>ALCALDE HERNAN PRIETO 102</v>
      </c>
      <c r="D6860" s="6" t="str">
        <f ca="1">IFERROR(__xludf.DUMMYFUNCTION("""COMPUTED_VALUE"""),"PIRQUE")</f>
        <v>PIRQUE</v>
      </c>
    </row>
    <row r="6861" spans="1:4">
      <c r="A6861" s="7">
        <f ca="1">IFERROR(__xludf.DUMMYFUNCTION("""COMPUTED_VALUE"""),44606)</f>
        <v>44606</v>
      </c>
      <c r="B6861" s="8" t="str">
        <f ca="1">IFERROR(__xludf.DUMMYFUNCTION("""COMPUTED_VALUE"""),"-33.185787,-70.671300")</f>
        <v>-33.185787,-70.671300</v>
      </c>
      <c r="C6861" s="6" t="str">
        <f ca="1">IFERROR(__xludf.DUMMYFUNCTION("""COMPUTED_VALUE"""),"CAP. ANTONIO MILLON 2325")</f>
        <v>CAP. ANTONIO MILLON 2325</v>
      </c>
      <c r="D6861" s="6" t="str">
        <f ca="1">IFERROR(__xludf.DUMMYFUNCTION("""COMPUTED_VALUE"""),"COLINA")</f>
        <v>COLINA</v>
      </c>
    </row>
    <row r="6862" spans="1:4">
      <c r="A6862" s="7">
        <f ca="1">IFERROR(__xludf.DUMMYFUNCTION("""COMPUTED_VALUE"""),44606)</f>
        <v>44606</v>
      </c>
      <c r="B6862" s="8" t="str">
        <f ca="1">IFERROR(__xludf.DUMMYFUNCTION("""COMPUTED_VALUE"""),"-33.218745,-70.681958")</f>
        <v>-33.218745,-70.681958</v>
      </c>
      <c r="C6862" s="6" t="str">
        <f ca="1">IFERROR(__xludf.DUMMYFUNCTION("""COMPUTED_VALUE"""),"AV. LOS ALAMOS 186 #37")</f>
        <v>AV. LOS ALAMOS 186 #37</v>
      </c>
      <c r="D6862" s="6" t="str">
        <f ca="1">IFERROR(__xludf.DUMMYFUNCTION("""COMPUTED_VALUE"""),"COLINA")</f>
        <v>COLINA</v>
      </c>
    </row>
    <row r="6863" spans="1:4">
      <c r="A6863" s="7">
        <f ca="1">IFERROR(__xludf.DUMMYFUNCTION("""COMPUTED_VALUE"""),44606)</f>
        <v>44606</v>
      </c>
      <c r="B6863" s="8" t="str">
        <f ca="1">IFERROR(__xludf.DUMMYFUNCTION("""COMPUTED_VALUE"""),"-33.279527,-70.687595")</f>
        <v>-33.279527,-70.687595</v>
      </c>
      <c r="C6863" s="6" t="str">
        <f ca="1">IFERROR(__xludf.DUMMYFUNCTION("""COMPUTED_VALUE"""),"CALLE INTERIOR LOS ALAMOS 186 #24")</f>
        <v>CALLE INTERIOR LOS ALAMOS 186 #24</v>
      </c>
      <c r="D6863" s="6" t="str">
        <f ca="1">IFERROR(__xludf.DUMMYFUNCTION("""COMPUTED_VALUE"""),"COLINA")</f>
        <v>COLINA</v>
      </c>
    </row>
    <row r="6864" spans="1:4">
      <c r="A6864" s="7">
        <f ca="1">IFERROR(__xludf.DUMMYFUNCTION("""COMPUTED_VALUE"""),44606)</f>
        <v>44606</v>
      </c>
      <c r="B6864" s="8" t="str">
        <f ca="1">IFERROR(__xludf.DUMMYFUNCTION("""COMPUTED_VALUE"""),"-3342465S-7034019W")</f>
        <v>-3342465S-7034019W</v>
      </c>
      <c r="C6864" s="6" t="str">
        <f ca="1">IFERROR(__xludf.DUMMYFUNCTION("""COMPUTED_VALUE"""),"EL PRINCIPAL 142 A")</f>
        <v>EL PRINCIPAL 142 A</v>
      </c>
      <c r="D6864" s="6" t="str">
        <f ca="1">IFERROR(__xludf.DUMMYFUNCTION("""COMPUTED_VALUE"""),"PIRQUE")</f>
        <v>PIRQUE</v>
      </c>
    </row>
    <row r="6865" spans="1:4">
      <c r="A6865" s="7">
        <f ca="1">IFERROR(__xludf.DUMMYFUNCTION("""COMPUTED_VALUE"""),44606)</f>
        <v>44606</v>
      </c>
      <c r="B6865" s="6" t="str">
        <f ca="1">IFERROR(__xludf.DUMMYFUNCTION("""COMPUTED_VALUE"""),"-33.746276,.70.868921")</f>
        <v>-33.746276,.70.868921</v>
      </c>
      <c r="C6865" s="6" t="str">
        <f ca="1">IFERROR(__xludf.DUMMYFUNCTION("""COMPUTED_VALUE"""),"P PADRE BENJAMIN 9276")</f>
        <v>P PADRE BENJAMIN 9276</v>
      </c>
      <c r="D6865" s="6" t="str">
        <f ca="1">IFERROR(__xludf.DUMMYFUNCTION("""COMPUTED_VALUE"""),"ISLA DE MAIPO")</f>
        <v>ISLA DE MAIPO</v>
      </c>
    </row>
    <row r="6866" spans="1:4">
      <c r="A6866" s="7">
        <f ca="1">IFERROR(__xludf.DUMMYFUNCTION("""COMPUTED_VALUE"""),44606)</f>
        <v>44606</v>
      </c>
      <c r="B6866" s="6" t="str">
        <f ca="1">IFERROR(__xludf.DUMMYFUNCTION("""COMPUTED_VALUE"""),"-33.523026,-71.169382")</f>
        <v>-33.523026,-71.169382</v>
      </c>
      <c r="C6866" s="6" t="str">
        <f ca="1">IFERROR(__xludf.DUMMYFUNCTION("""COMPUTED_VALUE"""),"UNION BARACALDO A-5")</f>
        <v>UNION BARACALDO A-5</v>
      </c>
      <c r="D6866" s="6" t="str">
        <f ca="1">IFERROR(__xludf.DUMMYFUNCTION("""COMPUTED_VALUE"""),"MARIA PINTO")</f>
        <v>MARIA PINTO</v>
      </c>
    </row>
    <row r="6867" spans="1:4">
      <c r="A6867" s="7">
        <f ca="1">IFERROR(__xludf.DUMMYFUNCTION("""COMPUTED_VALUE"""),44606)</f>
        <v>44606</v>
      </c>
      <c r="B6867" s="8" t="str">
        <f ca="1">IFERROR(__xludf.DUMMYFUNCTION("""COMPUTED_VALUE"""),"-33.758144,-71.326268")</f>
        <v>-33.758144,-71.326268</v>
      </c>
      <c r="C6867" s="6" t="str">
        <f ca="1">IFERROR(__xludf.DUMMYFUNCTION("""COMPUTED_VALUE"""),"CODIGUA LOS ALAMOS CASA 53")</f>
        <v>CODIGUA LOS ALAMOS CASA 53</v>
      </c>
      <c r="D6867" s="6" t="str">
        <f ca="1">IFERROR(__xludf.DUMMYFUNCTION("""COMPUTED_VALUE"""),"MELIPILLA")</f>
        <v>MELIPILLA</v>
      </c>
    </row>
    <row r="6868" spans="1:4">
      <c r="A6868" s="7">
        <f ca="1">IFERROR(__xludf.DUMMYFUNCTION("""COMPUTED_VALUE"""),44606)</f>
        <v>44606</v>
      </c>
      <c r="B6868" s="8" t="str">
        <f ca="1">IFERROR(__xludf.DUMMYFUNCTION("""COMPUTED_VALUE"""),"-33.746282,-71.197160")</f>
        <v>-33.746282,-71.197160</v>
      </c>
      <c r="C6868" s="6" t="str">
        <f ca="1">IFERROR(__xludf.DUMMYFUNCTION("""COMPUTED_VALUE"""),"ERRAZURIZ 322")</f>
        <v>ERRAZURIZ 322</v>
      </c>
      <c r="D6868" s="6" t="str">
        <f ca="1">IFERROR(__xludf.DUMMYFUNCTION("""COMPUTED_VALUE"""),"MELIPILLA")</f>
        <v>MELIPILLA</v>
      </c>
    </row>
    <row r="6869" spans="1:4">
      <c r="A6869" s="7">
        <f ca="1">IFERROR(__xludf.DUMMYFUNCTION("""COMPUTED_VALUE"""),44606)</f>
        <v>44606</v>
      </c>
      <c r="B6869" s="8" t="str">
        <f ca="1">IFERROR(__xludf.DUMMYFUNCTION("""COMPUTED_VALUE"""),"-33.820188,-70.741070")</f>
        <v>-33.820188,-70.741070</v>
      </c>
      <c r="C6869" s="6" t="str">
        <f ca="1">IFERROR(__xludf.DUMMYFUNCTION("""COMPUTED_VALUE"""),"ALONSO DE MONRROY 215")</f>
        <v>ALONSO DE MONRROY 215</v>
      </c>
      <c r="D6869" s="6" t="str">
        <f ca="1">IFERROR(__xludf.DUMMYFUNCTION("""COMPUTED_VALUE"""),"PAINE")</f>
        <v>PAINE</v>
      </c>
    </row>
    <row r="6870" spans="1:4">
      <c r="A6870" s="7">
        <f ca="1">IFERROR(__xludf.DUMMYFUNCTION("""COMPUTED_VALUE"""),44606)</f>
        <v>44606</v>
      </c>
      <c r="B6870" s="8" t="str">
        <f ca="1">IFERROR(__xludf.DUMMYFUNCTION("""COMPUTED_VALUE"""),"-33.579028,-70.870600")</f>
        <v>-33.579028,-70.870600</v>
      </c>
      <c r="C6870" s="6" t="str">
        <f ca="1">IFERROR(__xludf.DUMMYFUNCTION("""COMPUTED_VALUE"""),"CAMINO EL GUANACO S/N PARCELA 5LOTE 3")</f>
        <v>CAMINO EL GUANACO S/N PARCELA 5LOTE 3</v>
      </c>
      <c r="D6870" s="6" t="str">
        <f ca="1">IFERROR(__xludf.DUMMYFUNCTION("""COMPUTED_VALUE"""),"PEÑAFLOR")</f>
        <v>PEÑAFLOR</v>
      </c>
    </row>
    <row r="6871" spans="1:4">
      <c r="A6871" s="7">
        <f ca="1">IFERROR(__xludf.DUMMYFUNCTION("""COMPUTED_VALUE"""),44606)</f>
        <v>44606</v>
      </c>
      <c r="B6871" s="6" t="str">
        <f ca="1">IFERROR(__xludf.DUMMYFUNCTION("""COMPUTED_VALUE"""),"-33.295651,-70.695326")</f>
        <v>-33.295651,-70.695326</v>
      </c>
      <c r="C6871" s="6" t="str">
        <f ca="1">IFERROR(__xludf.DUMMYFUNCTION("""COMPUTED_VALUE"""),"LOTEO SANTA LUZ P.2 S.8")</f>
        <v>LOTEO SANTA LUZ P.2 S.8</v>
      </c>
      <c r="D6871" s="6" t="str">
        <f ca="1">IFERROR(__xludf.DUMMYFUNCTION("""COMPUTED_VALUE"""),"COLINA")</f>
        <v>COLINA</v>
      </c>
    </row>
    <row r="6872" spans="1:4">
      <c r="A6872" s="7">
        <f ca="1">IFERROR(__xludf.DUMMYFUNCTION("""COMPUTED_VALUE"""),44606)</f>
        <v>44606</v>
      </c>
      <c r="B6872" s="6" t="str">
        <f ca="1">IFERROR(__xludf.DUMMYFUNCTION("""COMPUTED_VALUE"""),"-33.229933,-70.804215")</f>
        <v>-33.229933,-70.804215</v>
      </c>
      <c r="C6872" s="6" t="str">
        <f ca="1">IFERROR(__xludf.DUMMYFUNCTION("""COMPUTED_VALUE"""),"GARIBALDI MZ45 ST 27")</f>
        <v>GARIBALDI MZ45 ST 27</v>
      </c>
      <c r="D6872" s="6" t="str">
        <f ca="1">IFERROR(__xludf.DUMMYFUNCTION("""COMPUTED_VALUE"""),"LAMPA")</f>
        <v>LAMPA</v>
      </c>
    </row>
    <row r="6873" spans="1:4">
      <c r="A6873" s="7">
        <f ca="1">IFERROR(__xludf.DUMMYFUNCTION("""COMPUTED_VALUE"""),44607)</f>
        <v>44607</v>
      </c>
      <c r="B6873" s="8" t="str">
        <f ca="1">IFERROR(__xludf.DUMMYFUNCTION("""COMPUTED_VALUE"""),"33568616-71216604")</f>
        <v>33568616-71216604</v>
      </c>
      <c r="C6873" s="6" t="str">
        <f ca="1">IFERROR(__xludf.DUMMYFUNCTION("""COMPUTED_VALUE"""),"SECTOR EL PROGRESO")</f>
        <v>SECTOR EL PROGRESO</v>
      </c>
      <c r="D6873" s="6" t="str">
        <f ca="1">IFERROR(__xludf.DUMMYFUNCTION("""COMPUTED_VALUE"""),"MELIPILLA")</f>
        <v>MELIPILLA</v>
      </c>
    </row>
    <row r="6874" spans="1:4">
      <c r="A6874" s="7">
        <f ca="1">IFERROR(__xludf.DUMMYFUNCTION("""COMPUTED_VALUE"""),44607)</f>
        <v>44607</v>
      </c>
      <c r="B6874" s="8" t="str">
        <f ca="1">IFERROR(__xludf.DUMMYFUNCTION("""COMPUTED_VALUE"""),"33568622-71216670")</f>
        <v>33568622-71216670</v>
      </c>
      <c r="C6874" s="6" t="str">
        <f ca="1">IFERROR(__xludf.DUMMYFUNCTION("""COMPUTED_VALUE"""),"CAMINO PRINCIPAL S/N")</f>
        <v>CAMINO PRINCIPAL S/N</v>
      </c>
      <c r="D6874" s="6" t="str">
        <f ca="1">IFERROR(__xludf.DUMMYFUNCTION("""COMPUTED_VALUE"""),"MELIPILLA")</f>
        <v>MELIPILLA</v>
      </c>
    </row>
    <row r="6875" spans="1:4">
      <c r="A6875" s="7">
        <f ca="1">IFERROR(__xludf.DUMMYFUNCTION("""COMPUTED_VALUE"""),44607)</f>
        <v>44607</v>
      </c>
      <c r="B6875" s="8" t="str">
        <f ca="1">IFERROR(__xludf.DUMMYFUNCTION("""COMPUTED_VALUE"""),"33676078-71214693")</f>
        <v>33676078-71214693</v>
      </c>
      <c r="C6875" s="6" t="str">
        <f ca="1">IFERROR(__xludf.DUMMYFUNCTION("""COMPUTED_VALUE"""),"JUAN BAUTISTA 150")</f>
        <v>JUAN BAUTISTA 150</v>
      </c>
      <c r="D6875" s="6" t="str">
        <f ca="1">IFERROR(__xludf.DUMMYFUNCTION("""COMPUTED_VALUE"""),"MELIPILLA")</f>
        <v>MELIPILLA</v>
      </c>
    </row>
    <row r="6876" spans="1:4">
      <c r="A6876" s="7">
        <f ca="1">IFERROR(__xludf.DUMMYFUNCTION("""COMPUTED_VALUE"""),44607)</f>
        <v>44607</v>
      </c>
      <c r="B6876" s="8" t="str">
        <f ca="1">IFERROR(__xludf.DUMMYFUNCTION("""COMPUTED_VALUE"""),"33755832-71235946")</f>
        <v>33755832-71235946</v>
      </c>
      <c r="C6876" s="6" t="str">
        <f ca="1">IFERROR(__xludf.DUMMYFUNCTION("""COMPUTED_VALUE"""),"CALLE CANELILLO S/N")</f>
        <v>CALLE CANELILLO S/N</v>
      </c>
      <c r="D6876" s="6" t="str">
        <f ca="1">IFERROR(__xludf.DUMMYFUNCTION("""COMPUTED_VALUE"""),"MELIPILLA")</f>
        <v>MELIPILLA</v>
      </c>
    </row>
    <row r="6877" spans="1:4">
      <c r="A6877" s="7">
        <f ca="1">IFERROR(__xludf.DUMMYFUNCTION("""COMPUTED_VALUE"""),44607)</f>
        <v>44607</v>
      </c>
      <c r="B6877" s="8" t="str">
        <f ca="1">IFERROR(__xludf.DUMMYFUNCTION("""COMPUTED_VALUE"""),"33602346-70872666")</f>
        <v>33602346-70872666</v>
      </c>
      <c r="C6877" s="6" t="str">
        <f ca="1">IFERROR(__xludf.DUMMYFUNCTION("""COMPUTED_VALUE"""),"NUEVA 380")</f>
        <v>NUEVA 380</v>
      </c>
      <c r="D6877" s="6" t="str">
        <f ca="1">IFERROR(__xludf.DUMMYFUNCTION("""COMPUTED_VALUE"""),"PEÑAFLOR")</f>
        <v>PEÑAFLOR</v>
      </c>
    </row>
    <row r="6878" spans="1:4">
      <c r="A6878" s="7">
        <f ca="1">IFERROR(__xludf.DUMMYFUNCTION("""COMPUTED_VALUE"""),44607)</f>
        <v>44607</v>
      </c>
      <c r="B6878" s="8" t="str">
        <f ca="1">IFERROR(__xludf.DUMMYFUNCTION("""COMPUTED_VALUE"""),"33631815-70764542")</f>
        <v>33631815-70764542</v>
      </c>
      <c r="C6878" s="6" t="str">
        <f ca="1">IFERROR(__xludf.DUMMYFUNCTION("""COMPUTED_VALUE"""),"LOS CIPRESES 42")</f>
        <v>LOS CIPRESES 42</v>
      </c>
      <c r="D6878" s="6" t="str">
        <f ca="1">IFERROR(__xludf.DUMMYFUNCTION("""COMPUTED_VALUE"""),"CALERA DE TANGO")</f>
        <v>CALERA DE TANGO</v>
      </c>
    </row>
    <row r="6879" spans="1:4">
      <c r="A6879" s="7">
        <f ca="1">IFERROR(__xludf.DUMMYFUNCTION("""COMPUTED_VALUE"""),44607)</f>
        <v>44607</v>
      </c>
      <c r="B6879" s="6" t="str">
        <f ca="1">IFERROR(__xludf.DUMMYFUNCTION("""COMPUTED_VALUE"""),"-33.63725-70.35479")</f>
        <v>-33.63725-70.35479</v>
      </c>
      <c r="C6879" s="6" t="str">
        <f ca="1">IFERROR(__xludf.DUMMYFUNCTION("""COMPUTED_VALUE"""),"CALLE SIN NUMERO")</f>
        <v>CALLE SIN NUMERO</v>
      </c>
      <c r="D6879" s="6" t="str">
        <f ca="1">IFERROR(__xludf.DUMMYFUNCTION("""COMPUTED_VALUE"""),"SAN JOSE DE MAIPO")</f>
        <v>SAN JOSE DE MAIPO</v>
      </c>
    </row>
    <row r="6880" spans="1:4">
      <c r="A6880" s="7">
        <f ca="1">IFERROR(__xludf.DUMMYFUNCTION("""COMPUTED_VALUE"""),44607)</f>
        <v>44607</v>
      </c>
      <c r="B6880" s="6" t="str">
        <f ca="1">IFERROR(__xludf.DUMMYFUNCTION("""COMPUTED_VALUE"""),"-33.65495-70.34594")</f>
        <v>-33.65495-70.34594</v>
      </c>
      <c r="C6880" s="6" t="str">
        <f ca="1">IFERROR(__xludf.DUMMYFUNCTION("""COMPUTED_VALUE"""),"SANTA MARIA DEL ESTERO 54")</f>
        <v>SANTA MARIA DEL ESTERO 54</v>
      </c>
      <c r="D6880" s="6" t="str">
        <f ca="1">IFERROR(__xludf.DUMMYFUNCTION("""COMPUTED_VALUE"""),"SAN JOSE DE MAIPO")</f>
        <v>SAN JOSE DE MAIPO</v>
      </c>
    </row>
    <row r="6881" spans="1:4">
      <c r="A6881" s="7">
        <f ca="1">IFERROR(__xludf.DUMMYFUNCTION("""COMPUTED_VALUE"""),44607)</f>
        <v>44607</v>
      </c>
      <c r="B6881" s="8" t="str">
        <f ca="1">IFERROR(__xludf.DUMMYFUNCTION("""COMPUTED_VALUE"""),"-33.658730-70.586084")</f>
        <v>-33.658730-70.586084</v>
      </c>
      <c r="C6881" s="6" t="str">
        <f ca="1">IFERROR(__xludf.DUMMYFUNCTION("""COMPUTED_VALUE"""),"PRINCIPAL 118 B")</f>
        <v>PRINCIPAL 118 B</v>
      </c>
      <c r="D6881" s="6" t="str">
        <f ca="1">IFERROR(__xludf.DUMMYFUNCTION("""COMPUTED_VALUE"""),"PIRQUE")</f>
        <v>PIRQUE</v>
      </c>
    </row>
    <row r="6882" spans="1:4">
      <c r="A6882" s="7">
        <f ca="1">IFERROR(__xludf.DUMMYFUNCTION("""COMPUTED_VALUE"""),44607)</f>
        <v>44607</v>
      </c>
      <c r="B6882" s="8" t="str">
        <f ca="1">IFERROR(__xludf.DUMMYFUNCTION("""COMPUTED_VALUE"""),"-33.252742,-70.678797")</f>
        <v>-33.252742,-70.678797</v>
      </c>
      <c r="C6882" s="6" t="str">
        <f ca="1">IFERROR(__xludf.DUMMYFUNCTION("""COMPUTED_VALUE"""),"CONDOMINIO LOS CAMPINO SITIO 57")</f>
        <v>CONDOMINIO LOS CAMPINO SITIO 57</v>
      </c>
      <c r="D6882" s="6" t="str">
        <f ca="1">IFERROR(__xludf.DUMMYFUNCTION("""COMPUTED_VALUE"""),"COLINA")</f>
        <v>COLINA</v>
      </c>
    </row>
    <row r="6883" spans="1:4">
      <c r="A6883" s="7">
        <f ca="1">IFERROR(__xludf.DUMMYFUNCTION("""COMPUTED_VALUE"""),44607)</f>
        <v>44607</v>
      </c>
      <c r="B6883" s="8" t="str">
        <f ca="1">IFERROR(__xludf.DUMMYFUNCTION("""COMPUTED_VALUE"""),"-33.803179,-70.714212")</f>
        <v>-33.803179,-70.714212</v>
      </c>
      <c r="C6883" s="6" t="str">
        <f ca="1">IFERROR(__xludf.DUMMYFUNCTION("""COMPUTED_VALUE"""),"CALLE UNO 2092")</f>
        <v>CALLE UNO 2092</v>
      </c>
      <c r="D6883" s="6" t="str">
        <f ca="1">IFERROR(__xludf.DUMMYFUNCTION("""COMPUTED_VALUE"""),"PAINE")</f>
        <v>PAINE</v>
      </c>
    </row>
    <row r="6884" spans="1:4">
      <c r="A6884" s="7">
        <f ca="1">IFERROR(__xludf.DUMMYFUNCTION("""COMPUTED_VALUE"""),44607)</f>
        <v>44607</v>
      </c>
      <c r="B6884" s="8" t="str">
        <f ca="1">IFERROR(__xludf.DUMMYFUNCTION("""COMPUTED_VALUE"""),"-33.898306,-70.746113")</f>
        <v>-33.898306,-70.746113</v>
      </c>
      <c r="C6884" s="6" t="str">
        <f ca="1">IFERROR(__xludf.DUMMYFUNCTION("""COMPUTED_VALUE"""),"INTERIOR 13 AGUILA SUR 28")</f>
        <v>INTERIOR 13 AGUILA SUR 28</v>
      </c>
      <c r="D6884" s="6" t="str">
        <f ca="1">IFERROR(__xludf.DUMMYFUNCTION("""COMPUTED_VALUE"""),"PAINE")</f>
        <v>PAINE</v>
      </c>
    </row>
    <row r="6885" spans="1:4">
      <c r="A6885" s="7">
        <f ca="1">IFERROR(__xludf.DUMMYFUNCTION("""COMPUTED_VALUE"""),44607)</f>
        <v>44607</v>
      </c>
      <c r="B6885" s="8" t="str">
        <f ca="1">IFERROR(__xludf.DUMMYFUNCTION("""COMPUTED_VALUE"""),"-33.41536S-7033580W")</f>
        <v>-33.41536S-7033580W</v>
      </c>
      <c r="C6885" s="6" t="str">
        <f ca="1">IFERROR(__xludf.DUMMYFUNCTION("""COMPUTED_VALUE"""),"HERNAN PRIETO 2 A")</f>
        <v>HERNAN PRIETO 2 A</v>
      </c>
      <c r="D6885" s="6" t="str">
        <f ca="1">IFERROR(__xludf.DUMMYFUNCTION("""COMPUTED_VALUE"""),"PIRQUE")</f>
        <v>PIRQUE</v>
      </c>
    </row>
    <row r="6886" spans="1:4">
      <c r="A6886" s="7">
        <f ca="1">IFERROR(__xludf.DUMMYFUNCTION("""COMPUTED_VALUE"""),44607)</f>
        <v>44607</v>
      </c>
      <c r="B6886" s="6" t="str">
        <f ca="1">IFERROR(__xludf.DUMMYFUNCTION("""COMPUTED_VALUE"""),"-33.744007,-70.899626")</f>
        <v>-33.744007,-70.899626</v>
      </c>
      <c r="C6886" s="6" t="str">
        <f ca="1">IFERROR(__xludf.DUMMYFUNCTION("""COMPUTED_VALUE"""),"EL CORREDOR 719")</f>
        <v>EL CORREDOR 719</v>
      </c>
      <c r="D6886" s="6" t="str">
        <f ca="1">IFERROR(__xludf.DUMMYFUNCTION("""COMPUTED_VALUE"""),"ISLA DE MAIPO")</f>
        <v>ISLA DE MAIPO</v>
      </c>
    </row>
    <row r="6887" spans="1:4">
      <c r="A6887" s="7">
        <f ca="1">IFERROR(__xludf.DUMMYFUNCTION("""COMPUTED_VALUE"""),44607)</f>
        <v>44607</v>
      </c>
      <c r="B6887" s="8" t="str">
        <f ca="1">IFERROR(__xludf.DUMMYFUNCTION("""COMPUTED_VALUE"""),"-33.741062,-70.678094")</f>
        <v>-33.741062,-70.678094</v>
      </c>
      <c r="C6887" s="6" t="str">
        <f ca="1">IFERROR(__xludf.DUMMYFUNCTION("""COMPUTED_VALUE"""),"CABERNET 25")</f>
        <v>CABERNET 25</v>
      </c>
      <c r="D6887" s="6" t="str">
        <f ca="1">IFERROR(__xludf.DUMMYFUNCTION("""COMPUTED_VALUE"""),"BUIN")</f>
        <v>BUIN</v>
      </c>
    </row>
    <row r="6888" spans="1:4">
      <c r="A6888" s="7">
        <f ca="1">IFERROR(__xludf.DUMMYFUNCTION("""COMPUTED_VALUE"""),44607)</f>
        <v>44607</v>
      </c>
      <c r="B6888" s="8" t="str">
        <f ca="1">IFERROR(__xludf.DUMMYFUNCTION("""COMPUTED_VALUE"""),"-34.024685,71.081774")</f>
        <v>-34.024685,71.081774</v>
      </c>
      <c r="C6888" s="6" t="str">
        <f ca="1">IFERROR(__xludf.DUMMYFUNCTION("""COMPUTED_VALUE"""),"IGNACIO CARRERA PINTO CAMINO A PICHI S/N")</f>
        <v>IGNACIO CARRERA PINTO CAMINO A PICHI S/N</v>
      </c>
      <c r="D6888" s="6" t="str">
        <f ca="1">IFERROR(__xludf.DUMMYFUNCTION("""COMPUTED_VALUE"""),"ALHUÉ")</f>
        <v>ALHUÉ</v>
      </c>
    </row>
    <row r="6889" spans="1:4">
      <c r="A6889" s="7">
        <f ca="1">IFERROR(__xludf.DUMMYFUNCTION("""COMPUTED_VALUE"""),44607)</f>
        <v>44607</v>
      </c>
      <c r="B6889" s="8" t="str">
        <f ca="1">IFERROR(__xludf.DUMMYFUNCTION("""COMPUTED_VALUE"""),"-34.024161,-71.081548")</f>
        <v>-34.024161,-71.081548</v>
      </c>
      <c r="C6889" s="6" t="str">
        <f ca="1">IFERROR(__xludf.DUMMYFUNCTION("""COMPUTED_VALUE"""),"CAMINO A PICHI S/N ")</f>
        <v xml:space="preserve">CAMINO A PICHI S/N </v>
      </c>
      <c r="D6889" s="6" t="str">
        <f ca="1">IFERROR(__xludf.DUMMYFUNCTION("""COMPUTED_VALUE"""),"ALHUÉ")</f>
        <v>ALHUÉ</v>
      </c>
    </row>
    <row r="6890" spans="1:4">
      <c r="A6890" s="7">
        <f ca="1">IFERROR(__xludf.DUMMYFUNCTION("""COMPUTED_VALUE"""),44607)</f>
        <v>44607</v>
      </c>
      <c r="B6890" s="6" t="str">
        <f ca="1">IFERROR(__xludf.DUMMYFUNCTION("""COMPUTED_VALUE"""),"-33.584963,-70.806455")</f>
        <v>-33.584963,-70.806455</v>
      </c>
      <c r="C6890" s="6" t="str">
        <f ca="1">IFERROR(__xludf.DUMMYFUNCTION("""COMPUTED_VALUE"""),"VILLA LOS JAZMINES SEC -AS- 20 S/N ")</f>
        <v xml:space="preserve">VILLA LOS JAZMINES SEC -AS- 20 S/N </v>
      </c>
      <c r="D6890" s="6" t="str">
        <f ca="1">IFERROR(__xludf.DUMMYFUNCTION("""COMPUTED_VALUE"""),"PADRE HURTADO")</f>
        <v>PADRE HURTADO</v>
      </c>
    </row>
    <row r="6891" spans="1:4">
      <c r="A6891" s="7">
        <f ca="1">IFERROR(__xludf.DUMMYFUNCTION("""COMPUTED_VALUE"""),44607)</f>
        <v>44607</v>
      </c>
      <c r="B6891" s="6" t="str">
        <f ca="1">IFERROR(__xludf.DUMMYFUNCTION("""COMPUTED_VALUE"""),"-33.648211,-70.572643")</f>
        <v>-33.648211,-70.572643</v>
      </c>
      <c r="C6891" s="6" t="str">
        <f ca="1">IFERROR(__xludf.DUMMYFUNCTION("""COMPUTED_VALUE"""),"CARLOS VIAL INFANTE 1368 EL LLANO PC17 LT2B")</f>
        <v>CARLOS VIAL INFANTE 1368 EL LLANO PC17 LT2B</v>
      </c>
      <c r="D6891" s="6" t="str">
        <f ca="1">IFERROR(__xludf.DUMMYFUNCTION("""COMPUTED_VALUE"""),"PIRQUE")</f>
        <v>PIRQUE</v>
      </c>
    </row>
    <row r="6892" spans="1:4">
      <c r="A6892" s="7">
        <f ca="1">IFERROR(__xludf.DUMMYFUNCTION("""COMPUTED_VALUE"""),44608)</f>
        <v>44608</v>
      </c>
      <c r="B6892" s="8" t="str">
        <f ca="1">IFERROR(__xludf.DUMMYFUNCTION("""COMPUTED_VALUE"""),"33156290-70886177")</f>
        <v>33156290-70886177</v>
      </c>
      <c r="C6892" s="6" t="str">
        <f ca="1">IFERROR(__xludf.DUMMYFUNCTION("""COMPUTED_VALUE"""),"PLAZUELA SITIO 20")</f>
        <v>PLAZUELA SITIO 20</v>
      </c>
      <c r="D6892" s="6" t="str">
        <f ca="1">IFERROR(__xludf.DUMMYFUNCTION("""COMPUTED_VALUE"""),"TIL TIL")</f>
        <v>TIL TIL</v>
      </c>
    </row>
    <row r="6893" spans="1:4">
      <c r="A6893" s="7">
        <f ca="1">IFERROR(__xludf.DUMMYFUNCTION("""COMPUTED_VALUE"""),44608)</f>
        <v>44608</v>
      </c>
      <c r="B6893" s="8" t="str">
        <f ca="1">IFERROR(__xludf.DUMMYFUNCTION("""COMPUTED_VALUE"""),"33188281-70895972")</f>
        <v>33188281-70895972</v>
      </c>
      <c r="C6893" s="6" t="str">
        <f ca="1">IFERROR(__xludf.DUMMYFUNCTION("""COMPUTED_VALUE"""),"CAMINO CHICAUMA P1")</f>
        <v>CAMINO CHICAUMA P1</v>
      </c>
      <c r="D6893" s="6" t="str">
        <f ca="1">IFERROR(__xludf.DUMMYFUNCTION("""COMPUTED_VALUE"""),"LAMPA")</f>
        <v>LAMPA</v>
      </c>
    </row>
    <row r="6894" spans="1:4">
      <c r="A6894" s="7">
        <f ca="1">IFERROR(__xludf.DUMMYFUNCTION("""COMPUTED_VALUE"""),44608)</f>
        <v>44608</v>
      </c>
      <c r="B6894" s="8" t="str">
        <f ca="1">IFERROR(__xludf.DUMMYFUNCTION("""COMPUTED_VALUE"""),"33667022-70916947")</f>
        <v>33667022-70916947</v>
      </c>
      <c r="C6894" s="6" t="str">
        <f ca="1">IFERROR(__xludf.DUMMYFUNCTION("""COMPUTED_VALUE"""),"FELIX MARTINEZ 474")</f>
        <v>FELIX MARTINEZ 474</v>
      </c>
      <c r="D6894" s="6" t="str">
        <f ca="1">IFERROR(__xludf.DUMMYFUNCTION("""COMPUTED_VALUE"""),"TALAGANTE")</f>
        <v>TALAGANTE</v>
      </c>
    </row>
    <row r="6895" spans="1:4">
      <c r="A6895" s="7">
        <f ca="1">IFERROR(__xludf.DUMMYFUNCTION("""COMPUTED_VALUE"""),44608)</f>
        <v>44608</v>
      </c>
      <c r="B6895" s="8" t="str">
        <f ca="1">IFERROR(__xludf.DUMMYFUNCTION("""COMPUTED_VALUE"""),"33744223-70900266")</f>
        <v>33744223-70900266</v>
      </c>
      <c r="C6895" s="6" t="str">
        <f ca="1">IFERROR(__xludf.DUMMYFUNCTION("""COMPUTED_VALUE"""),"EL COLONIAL 287")</f>
        <v>EL COLONIAL 287</v>
      </c>
      <c r="D6895" s="6" t="str">
        <f ca="1">IFERROR(__xludf.DUMMYFUNCTION("""COMPUTED_VALUE"""),"ISLA DE MAIPO")</f>
        <v>ISLA DE MAIPO</v>
      </c>
    </row>
    <row r="6896" spans="1:4">
      <c r="A6896" s="7">
        <f ca="1">IFERROR(__xludf.DUMMYFUNCTION("""COMPUTED_VALUE"""),44608)</f>
        <v>44608</v>
      </c>
      <c r="B6896" s="8" t="str">
        <f ca="1">IFERROR(__xludf.DUMMYFUNCTION("""COMPUTED_VALUE"""),"33221993-70834862")</f>
        <v>33221993-70834862</v>
      </c>
      <c r="C6896" s="6" t="str">
        <f ca="1">IFERROR(__xludf.DUMMYFUNCTION("""COMPUTED_VALUE"""),"LO FONTECILLA 8-L 36")</f>
        <v>LO FONTECILLA 8-L 36</v>
      </c>
      <c r="D6896" s="6" t="str">
        <f ca="1">IFERROR(__xludf.DUMMYFUNCTION("""COMPUTED_VALUE"""),"LAMPA")</f>
        <v>LAMPA</v>
      </c>
    </row>
    <row r="6897" spans="1:4">
      <c r="A6897" s="7">
        <f ca="1">IFERROR(__xludf.DUMMYFUNCTION("""COMPUTED_VALUE"""),44608)</f>
        <v>44608</v>
      </c>
      <c r="B6897" s="6" t="str">
        <f ca="1">IFERROR(__xludf.DUMMYFUNCTION("""COMPUTED_VALUE"""),"-33.63754-70.35502")</f>
        <v>-33.63754-70.35502</v>
      </c>
      <c r="C6897" s="6" t="str">
        <f ca="1">IFERROR(__xludf.DUMMYFUNCTION("""COMPUTED_VALUE"""),"PASAJE B 484-A")</f>
        <v>PASAJE B 484-A</v>
      </c>
      <c r="D6897" s="6" t="str">
        <f ca="1">IFERROR(__xludf.DUMMYFUNCTION("""COMPUTED_VALUE"""),"SAN JOSE DE MAIPO")</f>
        <v>SAN JOSE DE MAIPO</v>
      </c>
    </row>
    <row r="6898" spans="1:4">
      <c r="A6898" s="7">
        <f ca="1">IFERROR(__xludf.DUMMYFUNCTION("""COMPUTED_VALUE"""),44608)</f>
        <v>44608</v>
      </c>
      <c r="B6898" s="6" t="str">
        <f ca="1">IFERROR(__xludf.DUMMYFUNCTION("""COMPUTED_VALUE"""),"-33.63720-70.35464")</f>
        <v>-33.63720-70.35464</v>
      </c>
      <c r="C6898" s="6" t="str">
        <f ca="1">IFERROR(__xludf.DUMMYFUNCTION("""COMPUTED_VALUE"""),"CUATRO NORTE 416")</f>
        <v>CUATRO NORTE 416</v>
      </c>
      <c r="D6898" s="6" t="str">
        <f ca="1">IFERROR(__xludf.DUMMYFUNCTION("""COMPUTED_VALUE"""),"SAN JOSE DE MAIPO")</f>
        <v>SAN JOSE DE MAIPO</v>
      </c>
    </row>
    <row r="6899" spans="1:4">
      <c r="A6899" s="7">
        <f ca="1">IFERROR(__xludf.DUMMYFUNCTION("""COMPUTED_VALUE"""),44608)</f>
        <v>44608</v>
      </c>
      <c r="B6899" s="6" t="str">
        <f ca="1">IFERROR(__xludf.DUMMYFUNCTION("""COMPUTED_VALUE"""),"-33.406578-71.127879")</f>
        <v>-33.406578-71.127879</v>
      </c>
      <c r="C6899" s="6" t="str">
        <f ca="1">IFERROR(__xludf.DUMMYFUNCTION("""COMPUTED_VALUE"""),"EL MELOCOTON 1818")</f>
        <v>EL MELOCOTON 1818</v>
      </c>
      <c r="D6899" s="6" t="str">
        <f ca="1">IFERROR(__xludf.DUMMYFUNCTION("""COMPUTED_VALUE"""),"CURACAVI")</f>
        <v>CURACAVI</v>
      </c>
    </row>
    <row r="6900" spans="1:4">
      <c r="A6900" s="7">
        <f ca="1">IFERROR(__xludf.DUMMYFUNCTION("""COMPUTED_VALUE"""),44608)</f>
        <v>44608</v>
      </c>
      <c r="B6900" s="6" t="str">
        <f ca="1">IFERROR(__xludf.DUMMYFUNCTION("""COMPUTED_VALUE"""),"-33.405001-71.128722")</f>
        <v>-33.405001-71.128722</v>
      </c>
      <c r="C6900" s="6" t="str">
        <f ca="1">IFERROR(__xludf.DUMMYFUNCTION("""COMPUTED_VALUE"""),"LOS ALMENDROS 1801")</f>
        <v>LOS ALMENDROS 1801</v>
      </c>
      <c r="D6900" s="6" t="str">
        <f ca="1">IFERROR(__xludf.DUMMYFUNCTION("""COMPUTED_VALUE"""),"CURACAVI")</f>
        <v>CURACAVI</v>
      </c>
    </row>
    <row r="6901" spans="1:4">
      <c r="A6901" s="7">
        <f ca="1">IFERROR(__xludf.DUMMYFUNCTION("""COMPUTED_VALUE"""),44608)</f>
        <v>44608</v>
      </c>
      <c r="B6901" s="6" t="str">
        <f ca="1">IFERROR(__xludf.DUMMYFUNCTION("""COMPUTED_VALUE"""),"-33.5159 - 71.12002")</f>
        <v>-33.5159 - 71.12002</v>
      </c>
      <c r="C6901" s="6" t="str">
        <f ca="1">IFERROR(__xludf.DUMMYFUNCTION("""COMPUTED_VALUE"""),"SANTA RITA DE COCIA 1825 ")</f>
        <v xml:space="preserve">SANTA RITA DE COCIA 1825 </v>
      </c>
      <c r="D6901" s="6" t="str">
        <f ca="1">IFERROR(__xludf.DUMMYFUNCTION("""COMPUTED_VALUE"""),"MARIA PINTO")</f>
        <v>MARIA PINTO</v>
      </c>
    </row>
    <row r="6902" spans="1:4">
      <c r="A6902" s="7">
        <f ca="1">IFERROR(__xludf.DUMMYFUNCTION("""COMPUTED_VALUE"""),44608)</f>
        <v>44608</v>
      </c>
      <c r="B6902" s="6" t="str">
        <f ca="1">IFERROR(__xludf.DUMMYFUNCTION("""COMPUTED_VALUE"""),"-33.45443 - 71.0269")</f>
        <v>-33.45443 - 71.0269</v>
      </c>
      <c r="C6902" s="6" t="str">
        <f ca="1">IFERROR(__xludf.DUMMYFUNCTION("""COMPUTED_VALUE"""),"UNION CHILENA 20 SITIO 13")</f>
        <v>UNION CHILENA 20 SITIO 13</v>
      </c>
      <c r="D6902" s="6" t="str">
        <f ca="1">IFERROR(__xludf.DUMMYFUNCTION("""COMPUTED_VALUE"""),"CURACAVI")</f>
        <v>CURACAVI</v>
      </c>
    </row>
    <row r="6903" spans="1:4">
      <c r="A6903" s="7">
        <f ca="1">IFERROR(__xludf.DUMMYFUNCTION("""COMPUTED_VALUE"""),44608)</f>
        <v>44608</v>
      </c>
      <c r="B6903" s="6" t="str">
        <f ca="1">IFERROR(__xludf.DUMMYFUNCTION("""COMPUTED_VALUE"""),"-33.6314 - 71.02665")</f>
        <v>-33.6314 - 71.02665</v>
      </c>
      <c r="C6903" s="6" t="str">
        <f ca="1">IFERROR(__xludf.DUMMYFUNCTION("""COMPUTED_VALUE"""),"CERRILLOS 13")</f>
        <v>CERRILLOS 13</v>
      </c>
      <c r="D6903" s="6" t="str">
        <f ca="1">IFERROR(__xludf.DUMMYFUNCTION("""COMPUTED_VALUE"""),"CURACAVI")</f>
        <v>CURACAVI</v>
      </c>
    </row>
    <row r="6904" spans="1:4">
      <c r="A6904" s="7">
        <f ca="1">IFERROR(__xludf.DUMMYFUNCTION("""COMPUTED_VALUE"""),44608)</f>
        <v>44608</v>
      </c>
      <c r="B6904" s="6" t="str">
        <f ca="1">IFERROR(__xludf.DUMMYFUNCTION("""COMPUTED_VALUE"""),"-33.4481.-71.03474")</f>
        <v>-33.4481.-71.03474</v>
      </c>
      <c r="C6904" s="6" t="str">
        <f ca="1">IFERROR(__xludf.DUMMYFUNCTION("""COMPUTED_VALUE"""),"UNION CHILENA 20")</f>
        <v>UNION CHILENA 20</v>
      </c>
      <c r="D6904" s="6" t="str">
        <f ca="1">IFERROR(__xludf.DUMMYFUNCTION("""COMPUTED_VALUE"""),"CURACAVI")</f>
        <v>CURACAVI</v>
      </c>
    </row>
    <row r="6905" spans="1:4">
      <c r="A6905" s="7">
        <f ca="1">IFERROR(__xludf.DUMMYFUNCTION("""COMPUTED_VALUE"""),44608)</f>
        <v>44608</v>
      </c>
      <c r="B6905" s="8" t="str">
        <f ca="1">IFERROR(__xludf.DUMMYFUNCTION("""COMPUTED_VALUE"""),"-33.39384S-7036069W")</f>
        <v>-33.39384S-7036069W</v>
      </c>
      <c r="C6905" s="6" t="str">
        <f ca="1">IFERROR(__xludf.DUMMYFUNCTION("""COMPUTED_VALUE"""),"LOS CIPRECES 7 LOS SILOS")</f>
        <v>LOS CIPRECES 7 LOS SILOS</v>
      </c>
      <c r="D6905" s="6" t="str">
        <f ca="1">IFERROR(__xludf.DUMMYFUNCTION("""COMPUTED_VALUE"""),"PIRQUE")</f>
        <v>PIRQUE</v>
      </c>
    </row>
    <row r="6906" spans="1:4">
      <c r="A6906" s="7">
        <f ca="1">IFERROR(__xludf.DUMMYFUNCTION("""COMPUTED_VALUE"""),44608)</f>
        <v>44608</v>
      </c>
      <c r="B6906" s="8" t="str">
        <f ca="1">IFERROR(__xludf.DUMMYFUNCTION("""COMPUTED_VALUE"""),"-33.642349,-70.566402")</f>
        <v>-33.642349,-70.566402</v>
      </c>
      <c r="C6906" s="6" t="str">
        <f ca="1">IFERROR(__xludf.DUMMYFUNCTION("""COMPUTED_VALUE"""),"BRISAS DEL RACO PARCELA 12")</f>
        <v>BRISAS DEL RACO PARCELA 12</v>
      </c>
      <c r="D6906" s="6" t="str">
        <f ca="1">IFERROR(__xludf.DUMMYFUNCTION("""COMPUTED_VALUE"""),"PIRQUE")</f>
        <v>PIRQUE</v>
      </c>
    </row>
    <row r="6907" spans="1:4">
      <c r="A6907" s="7">
        <f ca="1">IFERROR(__xludf.DUMMYFUNCTION("""COMPUTED_VALUE"""),44608)</f>
        <v>44608</v>
      </c>
      <c r="B6907" s="8" t="str">
        <f ca="1">IFERROR(__xludf.DUMMYFUNCTION("""COMPUTED_VALUE"""),"-33.730303,-70.551748")</f>
        <v>-33.730303,-70.551748</v>
      </c>
      <c r="C6907" s="6" t="str">
        <f ca="1">IFERROR(__xludf.DUMMYFUNCTION("""COMPUTED_VALUE"""),"LAS ACACIAS 11286")</f>
        <v>LAS ACACIAS 11286</v>
      </c>
      <c r="D6907" s="6" t="str">
        <f ca="1">IFERROR(__xludf.DUMMYFUNCTION("""COMPUTED_VALUE"""),"PIRQUE")</f>
        <v>PIRQUE</v>
      </c>
    </row>
    <row r="6908" spans="1:4">
      <c r="A6908" s="7">
        <f ca="1">IFERROR(__xludf.DUMMYFUNCTION("""COMPUTED_VALUE"""),44608)</f>
        <v>44608</v>
      </c>
      <c r="B6908" s="8" t="str">
        <f ca="1">IFERROR(__xludf.DUMMYFUNCTION("""COMPUTED_VALUE"""),"-33.277564,-70.888916")</f>
        <v>-33.277564,-70.888916</v>
      </c>
      <c r="C6908" s="6" t="str">
        <f ca="1">IFERROR(__xludf.DUMMYFUNCTION("""COMPUTED_VALUE"""),"MANUEL RODRIGUEZ 17")</f>
        <v>MANUEL RODRIGUEZ 17</v>
      </c>
      <c r="D6908" s="6" t="str">
        <f ca="1">IFERROR(__xludf.DUMMYFUNCTION("""COMPUTED_VALUE"""),"LAMPA")</f>
        <v>LAMPA</v>
      </c>
    </row>
    <row r="6909" spans="1:4">
      <c r="A6909" s="7">
        <f ca="1">IFERROR(__xludf.DUMMYFUNCTION("""COMPUTED_VALUE"""),44608)</f>
        <v>44608</v>
      </c>
      <c r="B6909" s="6" t="str">
        <f ca="1">IFERROR(__xludf.DUMMYFUNCTION("""COMPUTED_VALUE"""),"-33.734576,-71.018967")</f>
        <v>-33.734576,-71.018967</v>
      </c>
      <c r="C6909" s="6" t="str">
        <f ca="1">IFERROR(__xludf.DUMMYFUNCTION("""COMPUTED_VALUE"""),"PRINCIPAL 1 ")</f>
        <v xml:space="preserve">PRINCIPAL 1 </v>
      </c>
      <c r="D6909" s="6" t="str">
        <f ca="1">IFERROR(__xludf.DUMMYFUNCTION("""COMPUTED_VALUE"""),"ISLA DE MAIPO")</f>
        <v>ISLA DE MAIPO</v>
      </c>
    </row>
    <row r="6910" spans="1:4">
      <c r="A6910" s="7">
        <f ca="1">IFERROR(__xludf.DUMMYFUNCTION("""COMPUTED_VALUE"""),44608)</f>
        <v>44608</v>
      </c>
      <c r="B6910" s="6" t="str">
        <f ca="1">IFERROR(__xludf.DUMMYFUNCTION("""COMPUTED_VALUE"""),"-33.730564,-70.745292")</f>
        <v>-33.730564,-70.745292</v>
      </c>
      <c r="C6910" s="6" t="str">
        <f ca="1">IFERROR(__xludf.DUMMYFUNCTION("""COMPUTED_VALUE"""),"JOSE JOAQUIN PRIETO 162")</f>
        <v>JOSE JOAQUIN PRIETO 162</v>
      </c>
      <c r="D6910" s="6" t="str">
        <f ca="1">IFERROR(__xludf.DUMMYFUNCTION("""COMPUTED_VALUE"""),"BUIN")</f>
        <v>BUIN</v>
      </c>
    </row>
    <row r="6911" spans="1:4">
      <c r="A6911" s="7">
        <f ca="1">IFERROR(__xludf.DUMMYFUNCTION("""COMPUTED_VALUE"""),44608)</f>
        <v>44608</v>
      </c>
      <c r="B6911" s="8" t="str">
        <f ca="1">IFERROR(__xludf.DUMMYFUNCTION("""COMPUTED_VALUE"""),"-33.266480,-70.756466")</f>
        <v>-33.266480,-70.756466</v>
      </c>
      <c r="C6911" s="6" t="str">
        <f ca="1">IFERROR(__xludf.DUMMYFUNCTION("""COMPUTED_VALUE"""),"PARCELACION LAS VEGAS B2")</f>
        <v>PARCELACION LAS VEGAS B2</v>
      </c>
      <c r="D6911" s="6" t="str">
        <f ca="1">IFERROR(__xludf.DUMMYFUNCTION("""COMPUTED_VALUE"""),"LAMPA")</f>
        <v>LAMPA</v>
      </c>
    </row>
    <row r="6912" spans="1:4">
      <c r="A6912" s="7">
        <f ca="1">IFERROR(__xludf.DUMMYFUNCTION("""COMPUTED_VALUE"""),44608)</f>
        <v>44608</v>
      </c>
      <c r="B6912" s="6" t="str">
        <f ca="1">IFERROR(__xludf.DUMMYFUNCTION("""COMPUTED_VALUE"""),"-33.085529,-70.932662")</f>
        <v>-33.085529,-70.932662</v>
      </c>
      <c r="C6912" s="6" t="str">
        <f ca="1">IFERROR(__xludf.DUMMYFUNCTION("""COMPUTED_VALUE"""),"PJE JAIME LABARCA 08")</f>
        <v>PJE JAIME LABARCA 08</v>
      </c>
      <c r="D6912" s="6" t="str">
        <f ca="1">IFERROR(__xludf.DUMMYFUNCTION("""COMPUTED_VALUE"""),"TIL TIL")</f>
        <v>TIL TIL</v>
      </c>
    </row>
    <row r="6913" spans="1:4">
      <c r="A6913" s="7">
        <f ca="1">IFERROR(__xludf.DUMMYFUNCTION("""COMPUTED_VALUE"""),44608)</f>
        <v>44608</v>
      </c>
      <c r="B6913" s="6" t="str">
        <f ca="1">IFERROR(__xludf.DUMMYFUNCTION("""COMPUTED_VALUE"""),"-33.219284,-70.789021")</f>
        <v>-33.219284,-70.789021</v>
      </c>
      <c r="C6913" s="6" t="str">
        <f ca="1">IFERROR(__xludf.DUMMYFUNCTION("""COMPUTED_VALUE"""),"SANTA CAROLINA S/N PARC 22J")</f>
        <v>SANTA CAROLINA S/N PARC 22J</v>
      </c>
      <c r="D6913" s="6" t="str">
        <f ca="1">IFERROR(__xludf.DUMMYFUNCTION("""COMPUTED_VALUE"""),"LAMPA")</f>
        <v>LAMPA</v>
      </c>
    </row>
    <row r="6914" spans="1:4">
      <c r="A6914" s="7">
        <f ca="1">IFERROR(__xludf.DUMMYFUNCTION("""COMPUTED_VALUE"""),44609)</f>
        <v>44609</v>
      </c>
      <c r="B6914" s="8" t="str">
        <f ca="1">IFERROR(__xludf.DUMMYFUNCTION("""COMPUTED_VALUE"""),"33774753-71267442")</f>
        <v>33774753-71267442</v>
      </c>
      <c r="C6914" s="6" t="str">
        <f ca="1">IFERROR(__xludf.DUMMYFUNCTION("""COMPUTED_VALUE"""),"EUROPA ORIENTE13")</f>
        <v>EUROPA ORIENTE13</v>
      </c>
      <c r="D6914" s="6" t="str">
        <f ca="1">IFERROR(__xludf.DUMMYFUNCTION("""COMPUTED_VALUE"""),"MELIPILLA")</f>
        <v>MELIPILLA</v>
      </c>
    </row>
    <row r="6915" spans="1:4">
      <c r="A6915" s="7">
        <f ca="1">IFERROR(__xludf.DUMMYFUNCTION("""COMPUTED_VALUE"""),44609)</f>
        <v>44609</v>
      </c>
      <c r="B6915" s="8" t="str">
        <f ca="1">IFERROR(__xludf.DUMMYFUNCTION("""COMPUTED_VALUE"""),"33774519-71267627")</f>
        <v>33774519-71267627</v>
      </c>
      <c r="C6915" s="6" t="str">
        <f ca="1">IFERROR(__xludf.DUMMYFUNCTION("""COMPUTED_VALUE"""),"EUROPA ORIENTE13")</f>
        <v>EUROPA ORIENTE13</v>
      </c>
      <c r="D6915" s="6" t="str">
        <f ca="1">IFERROR(__xludf.DUMMYFUNCTION("""COMPUTED_VALUE"""),"MELIPILLA")</f>
        <v>MELIPILLA</v>
      </c>
    </row>
    <row r="6916" spans="1:4">
      <c r="A6916" s="7">
        <f ca="1">IFERROR(__xludf.DUMMYFUNCTION("""COMPUTED_VALUE"""),44609)</f>
        <v>44609</v>
      </c>
      <c r="B6916" s="8" t="str">
        <f ca="1">IFERROR(__xludf.DUMMYFUNCTION("""COMPUTED_VALUE"""),"33516380-71088044")</f>
        <v>33516380-71088044</v>
      </c>
      <c r="C6916" s="6" t="str">
        <f ca="1">IFERROR(__xludf.DUMMYFUNCTION("""COMPUTED_VALUE"""),"RANCHILLO S/N")</f>
        <v>RANCHILLO S/N</v>
      </c>
      <c r="D6916" s="6" t="str">
        <f ca="1">IFERROR(__xludf.DUMMYFUNCTION("""COMPUTED_VALUE"""),"MARIA PINTO")</f>
        <v>MARIA PINTO</v>
      </c>
    </row>
    <row r="6917" spans="1:4">
      <c r="A6917" s="7">
        <f ca="1">IFERROR(__xludf.DUMMYFUNCTION("""COMPUTED_VALUE"""),44609)</f>
        <v>44609</v>
      </c>
      <c r="B6917" s="8" t="str">
        <f ca="1">IFERROR(__xludf.DUMMYFUNCTION("""COMPUTED_VALUE"""),"33591754-71218347")</f>
        <v>33591754-71218347</v>
      </c>
      <c r="C6917" s="6" t="str">
        <f ca="1">IFERROR(__xludf.DUMMYFUNCTION("""COMPUTED_VALUE"""),"CAMINO A  BOLLENAR S/N LOTE 6 ")</f>
        <v xml:space="preserve">CAMINO A  BOLLENAR S/N LOTE 6 </v>
      </c>
      <c r="D6917" s="6" t="str">
        <f ca="1">IFERROR(__xludf.DUMMYFUNCTION("""COMPUTED_VALUE"""),"MELIPILLA")</f>
        <v>MELIPILLA</v>
      </c>
    </row>
    <row r="6918" spans="1:4">
      <c r="A6918" s="7">
        <f ca="1">IFERROR(__xludf.DUMMYFUNCTION("""COMPUTED_VALUE"""),44609)</f>
        <v>44609</v>
      </c>
      <c r="B6918" s="6" t="str">
        <f ca="1">IFERROR(__xludf.DUMMYFUNCTION("""COMPUTED_VALUE"""),"-33.63890-70.34720")</f>
        <v>-33.63890-70.34720</v>
      </c>
      <c r="C6918" s="6" t="str">
        <f ca="1">IFERROR(__xludf.DUMMYFUNCTION("""COMPUTED_VALUE"""),"AV. CEMENTERIO 19502")</f>
        <v>AV. CEMENTERIO 19502</v>
      </c>
      <c r="D6918" s="6" t="str">
        <f ca="1">IFERROR(__xludf.DUMMYFUNCTION("""COMPUTED_VALUE"""),"SAN JOSE DE MAIPO")</f>
        <v>SAN JOSE DE MAIPO</v>
      </c>
    </row>
    <row r="6919" spans="1:4">
      <c r="A6919" s="7">
        <f ca="1">IFERROR(__xludf.DUMMYFUNCTION("""COMPUTED_VALUE"""),44609)</f>
        <v>44609</v>
      </c>
      <c r="B6919" s="6" t="str">
        <f ca="1">IFERROR(__xludf.DUMMYFUNCTION("""COMPUTED_VALUE"""),"-33.63938-70.35406")</f>
        <v>-33.63938-70.35406</v>
      </c>
      <c r="C6919" s="6" t="str">
        <f ca="1">IFERROR(__xludf.DUMMYFUNCTION("""COMPUTED_VALUE"""),"CALLE DEL RIO 19670")</f>
        <v>CALLE DEL RIO 19670</v>
      </c>
      <c r="D6919" s="6" t="str">
        <f ca="1">IFERROR(__xludf.DUMMYFUNCTION("""COMPUTED_VALUE"""),"SAN JOSE DE MAIPO")</f>
        <v>SAN JOSE DE MAIPO</v>
      </c>
    </row>
    <row r="6920" spans="1:4">
      <c r="A6920" s="7">
        <f ca="1">IFERROR(__xludf.DUMMYFUNCTION("""COMPUTED_VALUE"""),44609)</f>
        <v>44609</v>
      </c>
      <c r="B6920" s="8" t="str">
        <f ca="1">IFERROR(__xludf.DUMMYFUNCTION("""COMPUTED_VALUE"""),"-33.274455,-71.045891")</f>
        <v>-33.274455,-71.045891</v>
      </c>
      <c r="C6920" s="6" t="str">
        <f ca="1">IFERROR(__xludf.DUMMYFUNCTION("""COMPUTED_VALUE"""),"LOS ALERCES 2105")</f>
        <v>LOS ALERCES 2105</v>
      </c>
      <c r="D6920" s="6" t="str">
        <f ca="1">IFERROR(__xludf.DUMMYFUNCTION("""COMPUTED_VALUE"""),"MARIA PINTO")</f>
        <v>MARIA PINTO</v>
      </c>
    </row>
    <row r="6921" spans="1:4">
      <c r="A6921" s="7">
        <f ca="1">IFERROR(__xludf.DUMMYFUNCTION("""COMPUTED_VALUE"""),44609)</f>
        <v>44609</v>
      </c>
      <c r="B6921" s="8" t="str">
        <f ca="1">IFERROR(__xludf.DUMMYFUNCTION("""COMPUTED_VALUE"""),"-33.8275315,-70.9516198")</f>
        <v>-33.8275315,-70.9516198</v>
      </c>
      <c r="C6921" s="6" t="str">
        <f ca="1">IFERROR(__xludf.DUMMYFUNCTION("""COMPUTED_VALUE"""),"LOTE MA P1")</f>
        <v>LOTE MA P1</v>
      </c>
      <c r="D6921" s="6" t="str">
        <f ca="1">IFERROR(__xludf.DUMMYFUNCTION("""COMPUTED_VALUE"""),"PAINE")</f>
        <v>PAINE</v>
      </c>
    </row>
    <row r="6922" spans="1:4">
      <c r="A6922" s="7">
        <f ca="1">IFERROR(__xludf.DUMMYFUNCTION("""COMPUTED_VALUE"""),44609)</f>
        <v>44609</v>
      </c>
      <c r="B6922" s="6" t="str">
        <f ca="1">IFERROR(__xludf.DUMMYFUNCTION("""COMPUTED_VALUE"""),"-33.746634,-70.898018")</f>
        <v>-33.746634,-70.898018</v>
      </c>
      <c r="C6922" s="6" t="str">
        <f ca="1">IFERROR(__xludf.DUMMYFUNCTION("""COMPUTED_VALUE"""),"PA CINCO 840")</f>
        <v>PA CINCO 840</v>
      </c>
      <c r="D6922" s="6" t="str">
        <f ca="1">IFERROR(__xludf.DUMMYFUNCTION("""COMPUTED_VALUE"""),"ISLA DE MAIPO")</f>
        <v>ISLA DE MAIPO</v>
      </c>
    </row>
    <row r="6923" spans="1:4">
      <c r="A6923" s="7">
        <f ca="1">IFERROR(__xludf.DUMMYFUNCTION("""COMPUTED_VALUE"""),44609)</f>
        <v>44609</v>
      </c>
      <c r="B6923" s="8" t="str">
        <f ca="1">IFERROR(__xludf.DUMMYFUNCTION("""COMPUTED_VALUE"""),"-33.728379,-70.576325")</f>
        <v>-33.728379,-70.576325</v>
      </c>
      <c r="C6923" s="6" t="str">
        <f ca="1">IFERROR(__xludf.DUMMYFUNCTION("""COMPUTED_VALUE"""),"164 CAMINO LA PIRCA ")</f>
        <v xml:space="preserve">164 CAMINO LA PIRCA </v>
      </c>
      <c r="D6923" s="6" t="str">
        <f ca="1">IFERROR(__xludf.DUMMYFUNCTION("""COMPUTED_VALUE"""),"PIRQUE")</f>
        <v>PIRQUE</v>
      </c>
    </row>
    <row r="6924" spans="1:4">
      <c r="A6924" s="7">
        <f ca="1">IFERROR(__xludf.DUMMYFUNCTION("""COMPUTED_VALUE"""),44609)</f>
        <v>44609</v>
      </c>
      <c r="B6924" s="8" t="str">
        <f ca="1">IFERROR(__xludf.DUMMYFUNCTION("""COMPUTED_VALUE"""),"-33.728355,-70.576660")</f>
        <v>-33.728355,-70.576660</v>
      </c>
      <c r="C6924" s="6" t="str">
        <f ca="1">IFERROR(__xludf.DUMMYFUNCTION("""COMPUTED_VALUE"""),"165 CAMINO LA PIRCA")</f>
        <v>165 CAMINO LA PIRCA</v>
      </c>
      <c r="D6924" s="6" t="str">
        <f ca="1">IFERROR(__xludf.DUMMYFUNCTION("""COMPUTED_VALUE"""),"PIRQUE")</f>
        <v>PIRQUE</v>
      </c>
    </row>
    <row r="6925" spans="1:4">
      <c r="A6925" s="7">
        <f ca="1">IFERROR(__xludf.DUMMYFUNCTION("""COMPUTED_VALUE"""),44609)</f>
        <v>44609</v>
      </c>
      <c r="B6925" s="8" t="str">
        <f ca="1">IFERROR(__xludf.DUMMYFUNCTION("""COMPUTED_VALUE"""),"-33.728379,-70.576325")</f>
        <v>-33.728379,-70.576325</v>
      </c>
      <c r="C6925" s="6" t="str">
        <f ca="1">IFERROR(__xludf.DUMMYFUNCTION("""COMPUTED_VALUE"""),"164 CAMINO LA PIRCA ")</f>
        <v xml:space="preserve">164 CAMINO LA PIRCA </v>
      </c>
      <c r="D6925" s="6" t="str">
        <f ca="1">IFERROR(__xludf.DUMMYFUNCTION("""COMPUTED_VALUE"""),"PIRQUE")</f>
        <v>PIRQUE</v>
      </c>
    </row>
    <row r="6926" spans="1:4">
      <c r="A6926" s="7">
        <f ca="1">IFERROR(__xludf.DUMMYFUNCTION("""COMPUTED_VALUE"""),44609)</f>
        <v>44609</v>
      </c>
      <c r="B6926" s="8" t="str">
        <f ca="1">IFERROR(__xludf.DUMMYFUNCTION("""COMPUTED_VALUE"""),"-33.728355,-70.576660")</f>
        <v>-33.728355,-70.576660</v>
      </c>
      <c r="C6926" s="6" t="str">
        <f ca="1">IFERROR(__xludf.DUMMYFUNCTION("""COMPUTED_VALUE"""),"165 CAMINO LA PIRCA")</f>
        <v>165 CAMINO LA PIRCA</v>
      </c>
      <c r="D6926" s="6" t="str">
        <f ca="1">IFERROR(__xludf.DUMMYFUNCTION("""COMPUTED_VALUE"""),"PIRQUE")</f>
        <v>PIRQUE</v>
      </c>
    </row>
    <row r="6927" spans="1:4">
      <c r="A6927" s="7">
        <f ca="1">IFERROR(__xludf.DUMMYFUNCTION("""COMPUTED_VALUE"""),44610)</f>
        <v>44610</v>
      </c>
      <c r="B6927" s="8" t="str">
        <f ca="1">IFERROR(__xludf.DUMMYFUNCTION("""COMPUTED_VALUE"""),"33.5030136-710793043")</f>
        <v>33.5030136-710793043</v>
      </c>
      <c r="C6927" s="6" t="str">
        <f ca="1">IFERROR(__xludf.DUMMYFUNCTION("""COMPUTED_VALUE"""),"RANCHILLO S/N")</f>
        <v>RANCHILLO S/N</v>
      </c>
      <c r="D6927" s="6" t="str">
        <f ca="1">IFERROR(__xludf.DUMMYFUNCTION("""COMPUTED_VALUE"""),"MARIA PINTO")</f>
        <v>MARIA PINTO</v>
      </c>
    </row>
    <row r="6928" spans="1:4">
      <c r="A6928" s="7">
        <f ca="1">IFERROR(__xludf.DUMMYFUNCTION("""COMPUTED_VALUE"""),44610)</f>
        <v>44610</v>
      </c>
      <c r="B6928" s="6" t="str">
        <f ca="1">IFERROR(__xludf.DUMMYFUNCTION("""COMPUTED_VALUE"""),"-33.76668579 -70.3078893")</f>
        <v>-33.76668579 -70.3078893</v>
      </c>
      <c r="C6928" s="6" t="str">
        <f ca="1">IFERROR(__xludf.DUMMYFUNCTION("""COMPUTED_VALUE"""),"CALLE UNO 091")</f>
        <v>CALLE UNO 091</v>
      </c>
      <c r="D6928" s="6" t="str">
        <f ca="1">IFERROR(__xludf.DUMMYFUNCTION("""COMPUTED_VALUE"""),"SAN JOSE DE MAIPO")</f>
        <v>SAN JOSE DE MAIPO</v>
      </c>
    </row>
    <row r="6929" spans="1:4">
      <c r="A6929" s="7">
        <f ca="1">IFERROR(__xludf.DUMMYFUNCTION("""COMPUTED_VALUE"""),44610)</f>
        <v>44610</v>
      </c>
      <c r="B6929" s="6" t="str">
        <f ca="1">IFERROR(__xludf.DUMMYFUNCTION("""COMPUTED_VALUE"""),"-33.733428 - 70.3078736")</f>
        <v>-33.733428 - 70.3078736</v>
      </c>
      <c r="C6929" s="6" t="str">
        <f ca="1">IFERROR(__xludf.DUMMYFUNCTION("""COMPUTED_VALUE"""),"CALLE UNO 062")</f>
        <v>CALLE UNO 062</v>
      </c>
      <c r="D6929" s="6" t="str">
        <f ca="1">IFERROR(__xludf.DUMMYFUNCTION("""COMPUTED_VALUE"""),"SAN JOSE DE MAIPO")</f>
        <v>SAN JOSE DE MAIPO</v>
      </c>
    </row>
    <row r="6930" spans="1:4">
      <c r="A6930" s="7">
        <f ca="1">IFERROR(__xludf.DUMMYFUNCTION("""COMPUTED_VALUE"""),44610)</f>
        <v>44610</v>
      </c>
      <c r="B6930" s="6" t="str">
        <f ca="1">IFERROR(__xludf.DUMMYFUNCTION("""COMPUTED_VALUE"""),"-33.645449 - 70.351695")</f>
        <v>-33.645449 - 70.351695</v>
      </c>
      <c r="C6930" s="6" t="str">
        <f ca="1">IFERROR(__xludf.DUMMYFUNCTION("""COMPUTED_VALUE"""),"AL VOLCAN 20398")</f>
        <v>AL VOLCAN 20398</v>
      </c>
      <c r="D6930" s="6" t="str">
        <f ca="1">IFERROR(__xludf.DUMMYFUNCTION("""COMPUTED_VALUE"""),"SAN JOSE DE MAIPO")</f>
        <v>SAN JOSE DE MAIPO</v>
      </c>
    </row>
    <row r="6931" spans="1:4">
      <c r="A6931" s="7">
        <f ca="1">IFERROR(__xludf.DUMMYFUNCTION("""COMPUTED_VALUE"""),44610)</f>
        <v>44610</v>
      </c>
      <c r="B6931" s="6" t="str">
        <f ca="1">IFERROR(__xludf.DUMMYFUNCTION("""COMPUTED_VALUE"""),"-33.1373 - 70.79666")</f>
        <v>-33.1373 - 70.79666</v>
      </c>
      <c r="C6931" s="6" t="str">
        <f ca="1">IFERROR(__xludf.DUMMYFUNCTION("""COMPUTED_VALUE"""),"TRES SUR M 2 SITIO 313")</f>
        <v>TRES SUR M 2 SITIO 313</v>
      </c>
      <c r="D6931" s="6" t="str">
        <f ca="1">IFERROR(__xludf.DUMMYFUNCTION("""COMPUTED_VALUE"""),"TIL TIL")</f>
        <v>TIL TIL</v>
      </c>
    </row>
    <row r="6932" spans="1:4">
      <c r="A6932" s="7">
        <f ca="1">IFERROR(__xludf.DUMMYFUNCTION("""COMPUTED_VALUE"""),44610)</f>
        <v>44610</v>
      </c>
      <c r="B6932" s="6" t="str">
        <f ca="1">IFERROR(__xludf.DUMMYFUNCTION("""COMPUTED_VALUE"""),"-33.13817 - 70.79795")</f>
        <v>-33.13817 - 70.79795</v>
      </c>
      <c r="C6932" s="6" t="str">
        <f ca="1">IFERROR(__xludf.DUMMYFUNCTION("""COMPUTED_VALUE"""),"4 ORIENTE SN PARCELA 7")</f>
        <v>4 ORIENTE SN PARCELA 7</v>
      </c>
      <c r="D6932" s="6" t="str">
        <f ca="1">IFERROR(__xludf.DUMMYFUNCTION("""COMPUTED_VALUE"""),"TIL TIL")</f>
        <v>TIL TIL</v>
      </c>
    </row>
    <row r="6933" spans="1:4">
      <c r="A6933" s="7">
        <f ca="1">IFERROR(__xludf.DUMMYFUNCTION("""COMPUTED_VALUE"""),44610)</f>
        <v>44610</v>
      </c>
      <c r="B6933" s="6" t="str">
        <f ca="1">IFERROR(__xludf.DUMMYFUNCTION("""COMPUTED_VALUE"""),"-33.13817 - 70.79795")</f>
        <v>-33.13817 - 70.79795</v>
      </c>
      <c r="C6933" s="6" t="str">
        <f ca="1">IFERROR(__xludf.DUMMYFUNCTION("""COMPUTED_VALUE"""),"4 ORIENTE SN PARCELA 7")</f>
        <v>4 ORIENTE SN PARCELA 7</v>
      </c>
      <c r="D6933" s="6" t="str">
        <f ca="1">IFERROR(__xludf.DUMMYFUNCTION("""COMPUTED_VALUE"""),"TIL TIL")</f>
        <v>TIL TIL</v>
      </c>
    </row>
    <row r="6934" spans="1:4">
      <c r="A6934" s="7">
        <f ca="1">IFERROR(__xludf.DUMMYFUNCTION("""COMPUTED_VALUE"""),44610)</f>
        <v>44610</v>
      </c>
      <c r="B6934" s="8" t="str">
        <f ca="1">IFERROR(__xludf.DUMMYFUNCTION("""COMPUTED_VALUE"""),"-33.603949,-70.854609")</f>
        <v>-33.603949,-70.854609</v>
      </c>
      <c r="C6934" s="6" t="str">
        <f ca="1">IFERROR(__xludf.DUMMYFUNCTION("""COMPUTED_VALUE"""),"JOSE LUIS LIRA 391")</f>
        <v>JOSE LUIS LIRA 391</v>
      </c>
      <c r="D6934" s="6" t="str">
        <f ca="1">IFERROR(__xludf.DUMMYFUNCTION("""COMPUTED_VALUE"""),"PEÑAFLOR")</f>
        <v>PEÑAFLOR</v>
      </c>
    </row>
    <row r="6935" spans="1:4">
      <c r="A6935" s="7">
        <f ca="1">IFERROR(__xludf.DUMMYFUNCTION("""COMPUTED_VALUE"""),44610)</f>
        <v>44610</v>
      </c>
      <c r="B6935" s="8" t="str">
        <f ca="1">IFERROR(__xludf.DUMMYFUNCTION("""COMPUTED_VALUE"""),"-33.676230,-70.990848")</f>
        <v>-33.676230,-70.990848</v>
      </c>
      <c r="C6935" s="6" t="str">
        <f ca="1">IFERROR(__xludf.DUMMYFUNCTION("""COMPUTED_VALUE"""),"JULIO TORRES 361")</f>
        <v>JULIO TORRES 361</v>
      </c>
      <c r="D6935" s="6" t="str">
        <f ca="1">IFERROR(__xludf.DUMMYFUNCTION("""COMPUTED_VALUE"""),"EL MONTE")</f>
        <v>EL MONTE</v>
      </c>
    </row>
    <row r="6936" spans="1:4">
      <c r="A6936" s="7">
        <f ca="1">IFERROR(__xludf.DUMMYFUNCTION("""COMPUTED_VALUE"""),44610)</f>
        <v>44610</v>
      </c>
      <c r="B6936" s="8" t="str">
        <f ca="1">IFERROR(__xludf.DUMMYFUNCTION("""COMPUTED_VALUE"""),"-33.676110,-70.990277")</f>
        <v>-33.676110,-70.990277</v>
      </c>
      <c r="C6936" s="6" t="str">
        <f ca="1">IFERROR(__xludf.DUMMYFUNCTION("""COMPUTED_VALUE"""),"CARLOS CROBETTO 367")</f>
        <v>CARLOS CROBETTO 367</v>
      </c>
      <c r="D6936" s="6" t="str">
        <f ca="1">IFERROR(__xludf.DUMMYFUNCTION("""COMPUTED_VALUE"""),"EL MONTE")</f>
        <v>EL MONTE</v>
      </c>
    </row>
    <row r="6937" spans="1:4">
      <c r="A6937" s="7">
        <f ca="1">IFERROR(__xludf.DUMMYFUNCTION("""COMPUTED_VALUE"""),44610)</f>
        <v>44610</v>
      </c>
      <c r="B6937" s="8" t="str">
        <f ca="1">IFERROR(__xludf.DUMMYFUNCTION("""COMPUTED_VALUE"""),"-33.40345,-70.35024W")</f>
        <v>-33.40345,-70.35024W</v>
      </c>
      <c r="C6937" s="6" t="str">
        <f ca="1">IFERROR(__xludf.DUMMYFUNCTION("""COMPUTED_VALUE"""),"LA GRANJA SITIO 3 ")</f>
        <v xml:space="preserve">LA GRANJA SITIO 3 </v>
      </c>
      <c r="D6937" s="6" t="str">
        <f ca="1">IFERROR(__xludf.DUMMYFUNCTION("""COMPUTED_VALUE"""),"PIRQUE")</f>
        <v>PIRQUE</v>
      </c>
    </row>
    <row r="6938" spans="1:4">
      <c r="A6938" s="7">
        <f ca="1">IFERROR(__xludf.DUMMYFUNCTION("""COMPUTED_VALUE"""),44610)</f>
        <v>44610</v>
      </c>
      <c r="B6938" s="8" t="str">
        <f ca="1">IFERROR(__xludf.DUMMYFUNCTION("""COMPUTED_VALUE"""),"-33.43442S,-70.33054W")</f>
        <v>-33.43442S,-70.33054W</v>
      </c>
      <c r="C6938" s="6" t="str">
        <f ca="1">IFERROR(__xludf.DUMMYFUNCTION("""COMPUTED_VALUE"""),"LAS PALMERAS 2153")</f>
        <v>LAS PALMERAS 2153</v>
      </c>
      <c r="D6938" s="6" t="str">
        <f ca="1">IFERROR(__xludf.DUMMYFUNCTION("""COMPUTED_VALUE"""),"PIRQUE")</f>
        <v>PIRQUE</v>
      </c>
    </row>
    <row r="6939" spans="1:4">
      <c r="A6939" s="7">
        <f ca="1">IFERROR(__xludf.DUMMYFUNCTION("""COMPUTED_VALUE"""),44610)</f>
        <v>44610</v>
      </c>
      <c r="B6939" s="8" t="str">
        <f ca="1">IFERROR(__xludf.DUMMYFUNCTION("""COMPUTED_VALUE"""),"-33.686120,-71.019713")</f>
        <v>-33.686120,-71.019713</v>
      </c>
      <c r="C6939" s="6" t="str">
        <f ca="1">IFERROR(__xludf.DUMMYFUNCTION("""COMPUTED_VALUE"""),"PASAJE LAGO RAPEL 1341-B")</f>
        <v>PASAJE LAGO RAPEL 1341-B</v>
      </c>
      <c r="D6939" s="6" t="str">
        <f ca="1">IFERROR(__xludf.DUMMYFUNCTION("""COMPUTED_VALUE"""),"EL MONTE")</f>
        <v>EL MONTE</v>
      </c>
    </row>
    <row r="6940" spans="1:4">
      <c r="A6940" s="7">
        <f ca="1">IFERROR(__xludf.DUMMYFUNCTION("""COMPUTED_VALUE"""),44610)</f>
        <v>44610</v>
      </c>
      <c r="B6940" s="8" t="str">
        <f ca="1">IFERROR(__xludf.DUMMYFUNCTION("""COMPUTED_VALUE"""),"-33.719251,-70.5449561")</f>
        <v>-33.719251,-70.5449561</v>
      </c>
      <c r="C6940" s="6" t="str">
        <f ca="1">IFERROR(__xludf.DUMMYFUNCTION("""COMPUTED_VALUE"""),"EL CHALACO 66 B ")</f>
        <v xml:space="preserve">EL CHALACO 66 B </v>
      </c>
      <c r="D6940" s="6" t="str">
        <f ca="1">IFERROR(__xludf.DUMMYFUNCTION("""COMPUTED_VALUE"""),"PIRQUE")</f>
        <v>PIRQUE</v>
      </c>
    </row>
    <row r="6941" spans="1:4">
      <c r="A6941" s="7">
        <f ca="1">IFERROR(__xludf.DUMMYFUNCTION("""COMPUTED_VALUE"""),44610)</f>
        <v>44610</v>
      </c>
      <c r="B6941" s="6" t="str">
        <f ca="1">IFERROR(__xludf.DUMMYFUNCTION("""COMPUTED_VALUE"""),"-33.753162,-70.890160")</f>
        <v>-33.753162,-70.890160</v>
      </c>
      <c r="C6941" s="6" t="str">
        <f ca="1">IFERROR(__xludf.DUMMYFUNCTION("""COMPUTED_VALUE"""),"LA PARVA 497")</f>
        <v>LA PARVA 497</v>
      </c>
      <c r="D6941" s="6" t="str">
        <f ca="1">IFERROR(__xludf.DUMMYFUNCTION("""COMPUTED_VALUE"""),"ISLA DE MAIPO")</f>
        <v>ISLA DE MAIPO</v>
      </c>
    </row>
    <row r="6942" spans="1:4">
      <c r="A6942" s="7">
        <f ca="1">IFERROR(__xludf.DUMMYFUNCTION("""COMPUTED_VALUE"""),44610)</f>
        <v>44610</v>
      </c>
      <c r="B6942" s="6" t="str">
        <f ca="1">IFERROR(__xludf.DUMMYFUNCTION("""COMPUTED_VALUE"""),"-33.749221,-70.901196")</f>
        <v>-33.749221,-70.901196</v>
      </c>
      <c r="C6942" s="6" t="str">
        <f ca="1">IFERROR(__xludf.DUMMYFUNCTION("""COMPUTED_VALUE"""),"LO HERRERA 240")</f>
        <v>LO HERRERA 240</v>
      </c>
      <c r="D6942" s="6" t="str">
        <f ca="1">IFERROR(__xludf.DUMMYFUNCTION("""COMPUTED_VALUE"""),"ISLA DE MAIPO")</f>
        <v>ISLA DE MAIPO</v>
      </c>
    </row>
    <row r="6943" spans="1:4">
      <c r="A6943" s="7">
        <f ca="1">IFERROR(__xludf.DUMMYFUNCTION("""COMPUTED_VALUE"""),44610)</f>
        <v>44610</v>
      </c>
      <c r="B6943" s="6" t="str">
        <f ca="1">IFERROR(__xludf.DUMMYFUNCTION("""COMPUTED_VALUE"""),"-33.783568,-70.887271")</f>
        <v>-33.783568,-70.887271</v>
      </c>
      <c r="C6943" s="6" t="str">
        <f ca="1">IFERROR(__xludf.DUMMYFUNCTION("""COMPUTED_VALUE"""),"AVDA LAS MERCEDES 1765")</f>
        <v>AVDA LAS MERCEDES 1765</v>
      </c>
      <c r="D6943" s="6" t="str">
        <f ca="1">IFERROR(__xludf.DUMMYFUNCTION("""COMPUTED_VALUE"""),"ISLA DE MAIPO")</f>
        <v>ISLA DE MAIPO</v>
      </c>
    </row>
    <row r="6944" spans="1:4">
      <c r="A6944" s="7">
        <f ca="1">IFERROR(__xludf.DUMMYFUNCTION("""COMPUTED_VALUE"""),44610)</f>
        <v>44610</v>
      </c>
      <c r="B6944" s="8" t="str">
        <f ca="1">IFERROR(__xludf.DUMMYFUNCTION("""COMPUTED_VALUE"""),"-33.749504,-70.750054")</f>
        <v>-33.749504,-70.750054</v>
      </c>
      <c r="C6944" s="6" t="str">
        <f ca="1">IFERROR(__xludf.DUMMYFUNCTION("""COMPUTED_VALUE"""),"MANUEL ACOSTA 753")</f>
        <v>MANUEL ACOSTA 753</v>
      </c>
      <c r="D6944" s="6" t="str">
        <f ca="1">IFERROR(__xludf.DUMMYFUNCTION("""COMPUTED_VALUE"""),"BUIN")</f>
        <v>BUIN</v>
      </c>
    </row>
    <row r="6945" spans="1:4">
      <c r="A6945" s="7">
        <f ca="1">IFERROR(__xludf.DUMMYFUNCTION("""COMPUTED_VALUE"""),44610)</f>
        <v>44610</v>
      </c>
      <c r="B6945" s="8" t="str">
        <f ca="1">IFERROR(__xludf.DUMMYFUNCTION("""COMPUTED_VALUE"""),"-33.702174,-71.216135")</f>
        <v>-33.702174,-71.216135</v>
      </c>
      <c r="C6945" s="6" t="str">
        <f ca="1">IFERROR(__xludf.DUMMYFUNCTION("""COMPUTED_VALUE"""),"CAPELLON ABARZUA 626")</f>
        <v>CAPELLON ABARZUA 626</v>
      </c>
      <c r="D6945" s="6" t="str">
        <f ca="1">IFERROR(__xludf.DUMMYFUNCTION("""COMPUTED_VALUE"""),"MELIPILLA")</f>
        <v>MELIPILLA</v>
      </c>
    </row>
    <row r="6946" spans="1:4">
      <c r="A6946" s="7">
        <f ca="1">IFERROR(__xludf.DUMMYFUNCTION("""COMPUTED_VALUE"""),44610)</f>
        <v>44610</v>
      </c>
      <c r="B6946" s="8" t="str">
        <f ca="1">IFERROR(__xludf.DUMMYFUNCTION("""COMPUTED_VALUE"""),"-33.769734,-71.999105")</f>
        <v>-33.769734,-71.999105</v>
      </c>
      <c r="C6946" s="6" t="str">
        <f ca="1">IFERROR(__xludf.DUMMYFUNCTION("""COMPUTED_VALUE"""),"LAS PARCELAS 30 SITIO H PABELLON ")</f>
        <v xml:space="preserve">LAS PARCELAS 30 SITIO H PABELLON </v>
      </c>
      <c r="D6946" s="6" t="str">
        <f ca="1">IFERROR(__xludf.DUMMYFUNCTION("""COMPUTED_VALUE"""),"MELIPILLA")</f>
        <v>MELIPILLA</v>
      </c>
    </row>
    <row r="6947" spans="1:4">
      <c r="A6947" s="7">
        <f ca="1">IFERROR(__xludf.DUMMYFUNCTION("""COMPUTED_VALUE"""),44610)</f>
        <v>44610</v>
      </c>
      <c r="B6947" s="6" t="str">
        <f ca="1">IFERROR(__xludf.DUMMYFUNCTION("""COMPUTED_VALUE"""),"-33.800468,-70.681565")</f>
        <v>-33.800468,-70.681565</v>
      </c>
      <c r="C6947" s="6" t="str">
        <f ca="1">IFERROR(__xludf.DUMMYFUNCTION("""COMPUTED_VALUE"""),"24 DE ABRIL 79 SITIO LOTE A")</f>
        <v>24 DE ABRIL 79 SITIO LOTE A</v>
      </c>
      <c r="D6947" s="6" t="str">
        <f ca="1">IFERROR(__xludf.DUMMYFUNCTION("""COMPUTED_VALUE"""),"PAINE")</f>
        <v>PAINE</v>
      </c>
    </row>
    <row r="6948" spans="1:4">
      <c r="A6948" s="7">
        <f ca="1">IFERROR(__xludf.DUMMYFUNCTION("""COMPUTED_VALUE"""),44611)</f>
        <v>44611</v>
      </c>
      <c r="B6948" s="6" t="str">
        <f ca="1">IFERROR(__xludf.DUMMYFUNCTION("""COMPUTED_VALUE"""),"-33.6378344 - 70.353779")</f>
        <v>-33.6378344 - 70.353779</v>
      </c>
      <c r="C6948" s="6" t="str">
        <f ca="1">IFERROR(__xludf.DUMMYFUNCTION("""COMPUTED_VALUE"""),"CUATRO NORTE0138")</f>
        <v>CUATRO NORTE0138</v>
      </c>
      <c r="D6948" s="6" t="str">
        <f ca="1">IFERROR(__xludf.DUMMYFUNCTION("""COMPUTED_VALUE"""),"SAN JOSE DE MAIPO")</f>
        <v>SAN JOSE DE MAIPO</v>
      </c>
    </row>
    <row r="6949" spans="1:4">
      <c r="A6949" s="7">
        <f ca="1">IFERROR(__xludf.DUMMYFUNCTION("""COMPUTED_VALUE"""),44611)</f>
        <v>44611</v>
      </c>
      <c r="B6949" s="6" t="str">
        <f ca="1">IFERROR(__xludf.DUMMYFUNCTION("""COMPUTED_VALUE"""),"-33.63963 - 70.3536942")</f>
        <v>-33.63963 - 70.3536942</v>
      </c>
      <c r="C6949" s="6" t="str">
        <f ca="1">IFERROR(__xludf.DUMMYFUNCTION("""COMPUTED_VALUE"""),"C.A. DEL RIO19678")</f>
        <v>C.A. DEL RIO19678</v>
      </c>
      <c r="D6949" s="6" t="str">
        <f ca="1">IFERROR(__xludf.DUMMYFUNCTION("""COMPUTED_VALUE"""),"SAN JOSE DE MAIPO")</f>
        <v>SAN JOSE DE MAIPO</v>
      </c>
    </row>
    <row r="6950" spans="1:4">
      <c r="A6950" s="7">
        <f ca="1">IFERROR(__xludf.DUMMYFUNCTION("""COMPUTED_VALUE"""),44611)</f>
        <v>44611</v>
      </c>
      <c r="B6950" s="6" t="str">
        <f ca="1">IFERROR(__xludf.DUMMYFUNCTION("""COMPUTED_VALUE"""),"-33.396350 - 71.127221")</f>
        <v>-33.396350 - 71.127221</v>
      </c>
      <c r="C6950" s="6" t="str">
        <f ca="1">IFERROR(__xludf.DUMMYFUNCTION("""COMPUTED_VALUE"""),"MANUEL LARRAIN 621")</f>
        <v>MANUEL LARRAIN 621</v>
      </c>
      <c r="D6950" s="6" t="str">
        <f ca="1">IFERROR(__xludf.DUMMYFUNCTION("""COMPUTED_VALUE"""),"CURACAVI")</f>
        <v>CURACAVI</v>
      </c>
    </row>
    <row r="6951" spans="1:4">
      <c r="A6951" s="7">
        <f ca="1">IFERROR(__xludf.DUMMYFUNCTION("""COMPUTED_VALUE"""),44611)</f>
        <v>44611</v>
      </c>
      <c r="B6951" s="6" t="str">
        <f ca="1">IFERROR(__xludf.DUMMYFUNCTION("""COMPUTED_VALUE"""),"-33.39970 - 71.12020")</f>
        <v>-33.39970 - 71.12020</v>
      </c>
      <c r="C6951" s="6" t="str">
        <f ca="1">IFERROR(__xludf.DUMMYFUNCTION("""COMPUTED_VALUE"""),"PASAJE UNO CASA 2211")</f>
        <v>PASAJE UNO CASA 2211</v>
      </c>
      <c r="D6951" s="6" t="str">
        <f ca="1">IFERROR(__xludf.DUMMYFUNCTION("""COMPUTED_VALUE"""),"CURACAVI")</f>
        <v>CURACAVI</v>
      </c>
    </row>
    <row r="6952" spans="1:4">
      <c r="A6952" s="7">
        <f ca="1">IFERROR(__xludf.DUMMYFUNCTION("""COMPUTED_VALUE"""),44611)</f>
        <v>44611</v>
      </c>
      <c r="B6952" s="8" t="str">
        <f ca="1">IFERROR(__xludf.DUMMYFUNCTION("""COMPUTED_VALUE"""),"-33.715597,-70.543070")</f>
        <v>-33.715597,-70.543070</v>
      </c>
      <c r="C6952" s="6" t="str">
        <f ca="1">IFERROR(__xludf.DUMMYFUNCTION("""COMPUTED_VALUE"""),"EL CHALACO 66 B SITIO 15 A")</f>
        <v>EL CHALACO 66 B SITIO 15 A</v>
      </c>
      <c r="D6952" s="6" t="str">
        <f ca="1">IFERROR(__xludf.DUMMYFUNCTION("""COMPUTED_VALUE"""),"PIRQUE")</f>
        <v>PIRQUE</v>
      </c>
    </row>
    <row r="6953" spans="1:4">
      <c r="A6953" s="7">
        <f ca="1">IFERROR(__xludf.DUMMYFUNCTION("""COMPUTED_VALUE"""),44612)</f>
        <v>44612</v>
      </c>
      <c r="B6953" s="6" t="str">
        <f ca="1">IFERROR(__xludf.DUMMYFUNCTION("""COMPUTED_VALUE"""),"-33.415063 - 71.155877")</f>
        <v>-33.415063 - 71.155877</v>
      </c>
      <c r="C6953" s="6" t="str">
        <f ca="1">IFERROR(__xludf.DUMMYFUNCTION("""COMPUTED_VALUE"""),"CHALLACO 232 A")</f>
        <v>CHALLACO 232 A</v>
      </c>
      <c r="D6953" s="6" t="str">
        <f ca="1">IFERROR(__xludf.DUMMYFUNCTION("""COMPUTED_VALUE"""),"CURACAVI")</f>
        <v>CURACAVI</v>
      </c>
    </row>
    <row r="6954" spans="1:4">
      <c r="A6954" s="7">
        <f ca="1">IFERROR(__xludf.DUMMYFUNCTION("""COMPUTED_VALUE"""),44613)</f>
        <v>44613</v>
      </c>
      <c r="B6954" s="8" t="str">
        <f ca="1">IFERROR(__xludf.DUMMYFUNCTION("""COMPUTED_VALUE"""),"-33.724065,-70.537274")</f>
        <v>-33.724065,-70.537274</v>
      </c>
      <c r="C6954" s="6" t="str">
        <f ca="1">IFERROR(__xludf.DUMMYFUNCTION("""COMPUTED_VALUE"""),"LOS CORRALES 103")</f>
        <v>LOS CORRALES 103</v>
      </c>
      <c r="D6954" s="6" t="str">
        <f ca="1">IFERROR(__xludf.DUMMYFUNCTION("""COMPUTED_VALUE"""),"PIRQUE")</f>
        <v>PIRQUE</v>
      </c>
    </row>
    <row r="6955" spans="1:4">
      <c r="A6955" s="7">
        <f ca="1">IFERROR(__xludf.DUMMYFUNCTION("""COMPUTED_VALUE"""),44613)</f>
        <v>44613</v>
      </c>
      <c r="B6955" s="8" t="str">
        <f ca="1">IFERROR(__xludf.DUMMYFUNCTION("""COMPUTED_VALUE"""),"-33.7235920,-70.5429880")</f>
        <v>-33.7235920,-70.5429880</v>
      </c>
      <c r="C6955" s="6" t="str">
        <f ca="1">IFERROR(__xludf.DUMMYFUNCTION("""COMPUTED_VALUE"""),"LOS MAGNOLIOS 47")</f>
        <v>LOS MAGNOLIOS 47</v>
      </c>
      <c r="D6955" s="6" t="str">
        <f ca="1">IFERROR(__xludf.DUMMYFUNCTION("""COMPUTED_VALUE"""),"PIRQUE")</f>
        <v>PIRQUE</v>
      </c>
    </row>
    <row r="6956" spans="1:4">
      <c r="A6956" s="7">
        <f ca="1">IFERROR(__xludf.DUMMYFUNCTION("""COMPUTED_VALUE"""),44613)</f>
        <v>44613</v>
      </c>
      <c r="B6956" s="8" t="str">
        <f ca="1">IFERROR(__xludf.DUMMYFUNCTION("""COMPUTED_VALUE"""),"-33.7108445,-70.5463293")</f>
        <v>-33.7108445,-70.5463293</v>
      </c>
      <c r="C6956" s="6" t="str">
        <f ca="1">IFERROR(__xludf.DUMMYFUNCTION("""COMPUTED_VALUE"""),"LAS ORTENCIAS 1313")</f>
        <v>LAS ORTENCIAS 1313</v>
      </c>
      <c r="D6956" s="6" t="str">
        <f ca="1">IFERROR(__xludf.DUMMYFUNCTION("""COMPUTED_VALUE"""),"PIRQUE")</f>
        <v>PIRQUE</v>
      </c>
    </row>
    <row r="6957" spans="1:4">
      <c r="A6957" s="7">
        <f ca="1">IFERROR(__xludf.DUMMYFUNCTION("""COMPUTED_VALUE"""),44613)</f>
        <v>44613</v>
      </c>
      <c r="B6957" s="8" t="str">
        <f ca="1">IFERROR(__xludf.DUMMYFUNCTION("""COMPUTED_VALUE"""),"-33.7108445,-70.5463293")</f>
        <v>-33.7108445,-70.5463293</v>
      </c>
      <c r="C6957" s="6" t="str">
        <f ca="1">IFERROR(__xludf.DUMMYFUNCTION("""COMPUTED_VALUE"""),"LAS ORTENCIAS 1313")</f>
        <v>LAS ORTENCIAS 1313</v>
      </c>
      <c r="D6957" s="6" t="str">
        <f ca="1">IFERROR(__xludf.DUMMYFUNCTION("""COMPUTED_VALUE"""),"PIRQUE")</f>
        <v>PIRQUE</v>
      </c>
    </row>
    <row r="6958" spans="1:4">
      <c r="A6958" s="7">
        <f ca="1">IFERROR(__xludf.DUMMYFUNCTION("""COMPUTED_VALUE"""),44613)</f>
        <v>44613</v>
      </c>
      <c r="B6958" s="8" t="str">
        <f ca="1">IFERROR(__xludf.DUMMYFUNCTION("""COMPUTED_VALUE"""),"-33.707275,-70.551169")</f>
        <v>-33.707275,-70.551169</v>
      </c>
      <c r="C6958" s="6" t="str">
        <f ca="1">IFERROR(__xludf.DUMMYFUNCTION("""COMPUTED_VALUE"""),"VILLORRIO SAN MANUEL179 B")</f>
        <v>VILLORRIO SAN MANUEL179 B</v>
      </c>
      <c r="D6958" s="6" t="str">
        <f ca="1">IFERROR(__xludf.DUMMYFUNCTION("""COMPUTED_VALUE"""),"PIRQUE")</f>
        <v>PIRQUE</v>
      </c>
    </row>
    <row r="6959" spans="1:4">
      <c r="A6959" s="7">
        <f ca="1">IFERROR(__xludf.DUMMYFUNCTION("""COMPUTED_VALUE"""),44613)</f>
        <v>44613</v>
      </c>
      <c r="B6959" s="8" t="str">
        <f ca="1">IFERROR(__xludf.DUMMYFUNCTION("""COMPUTED_VALUE"""),"-33.707275,-70.551169")</f>
        <v>-33.707275,-70.551169</v>
      </c>
      <c r="C6959" s="6" t="str">
        <f ca="1">IFERROR(__xludf.DUMMYFUNCTION("""COMPUTED_VALUE"""),"VILLORRIO SAN MANUEL179 D")</f>
        <v>VILLORRIO SAN MANUEL179 D</v>
      </c>
      <c r="D6959" s="6" t="str">
        <f ca="1">IFERROR(__xludf.DUMMYFUNCTION("""COMPUTED_VALUE"""),"PIRQUE")</f>
        <v>PIRQUE</v>
      </c>
    </row>
    <row r="6960" spans="1:4">
      <c r="A6960" s="7">
        <f ca="1">IFERROR(__xludf.DUMMYFUNCTION("""COMPUTED_VALUE"""),44613)</f>
        <v>44613</v>
      </c>
      <c r="B6960" s="6" t="str">
        <f ca="1">IFERROR(__xludf.DUMMYFUNCTION("""COMPUTED_VALUE"""),"-33.794075,-70.881423")</f>
        <v>-33.794075,-70.881423</v>
      </c>
      <c r="C6960" s="6" t="str">
        <f ca="1">IFERROR(__xludf.DUMMYFUNCTION("""COMPUTED_VALUE"""),"MONTE LAS MERCEDES S/N ")</f>
        <v xml:space="preserve">MONTE LAS MERCEDES S/N </v>
      </c>
      <c r="D6960" s="6" t="str">
        <f ca="1">IFERROR(__xludf.DUMMYFUNCTION("""COMPUTED_VALUE"""),"ISLA DE MAIPO")</f>
        <v>ISLA DE MAIPO</v>
      </c>
    </row>
    <row r="6961" spans="1:4">
      <c r="A6961" s="7">
        <f ca="1">IFERROR(__xludf.DUMMYFUNCTION("""COMPUTED_VALUE"""),44613)</f>
        <v>44613</v>
      </c>
      <c r="B6961" s="6" t="str">
        <f ca="1">IFERROR(__xludf.DUMMYFUNCTION("""COMPUTED_VALUE"""),"-33.629857,-71.253059")</f>
        <v>-33.629857,-71.253059</v>
      </c>
      <c r="C6961" s="6" t="str">
        <f ca="1">IFERROR(__xludf.DUMMYFUNCTION("""COMPUTED_VALUE"""),"VILLA ALEGRE PARCELA 22")</f>
        <v>VILLA ALEGRE PARCELA 22</v>
      </c>
      <c r="D6961" s="6" t="str">
        <f ca="1">IFERROR(__xludf.DUMMYFUNCTION("""COMPUTED_VALUE"""),"MELIPILLA")</f>
        <v>MELIPILLA</v>
      </c>
    </row>
    <row r="6962" spans="1:4">
      <c r="A6962" s="7">
        <f ca="1">IFERROR(__xludf.DUMMYFUNCTION("""COMPUTED_VALUE"""),44613)</f>
        <v>44613</v>
      </c>
      <c r="B6962" s="8" t="str">
        <f ca="1">IFERROR(__xludf.DUMMYFUNCTION("""COMPUTED_VALUE"""),"-33.683110,-70.951195")</f>
        <v>-33.683110,-70.951195</v>
      </c>
      <c r="C6962" s="6" t="str">
        <f ca="1">IFERROR(__xludf.DUMMYFUNCTION("""COMPUTED_VALUE"""),"1PONIENTE PARCELA 6")</f>
        <v>1PONIENTE PARCELA 6</v>
      </c>
      <c r="D6962" s="6" t="str">
        <f ca="1">IFERROR(__xludf.DUMMYFUNCTION("""COMPUTED_VALUE"""),"TALAGANTE")</f>
        <v>TALAGANTE</v>
      </c>
    </row>
    <row r="6963" spans="1:4">
      <c r="A6963" s="7">
        <f ca="1">IFERROR(__xludf.DUMMYFUNCTION("""COMPUTED_VALUE"""),44613)</f>
        <v>44613</v>
      </c>
      <c r="B6963" s="8" t="str">
        <f ca="1">IFERROR(__xludf.DUMMYFUNCTION("""COMPUTED_VALUE"""),"-33.261854,-70.882603")</f>
        <v>-33.261854,-70.882603</v>
      </c>
      <c r="C6963" s="6" t="str">
        <f ca="1">IFERROR(__xludf.DUMMYFUNCTION("""COMPUTED_VALUE"""),"JUAN DE DIOS ")</f>
        <v xml:space="preserve">JUAN DE DIOS </v>
      </c>
      <c r="D6963" s="6" t="str">
        <f ca="1">IFERROR(__xludf.DUMMYFUNCTION("""COMPUTED_VALUE"""),"LAMPA")</f>
        <v>LAMPA</v>
      </c>
    </row>
    <row r="6964" spans="1:4">
      <c r="A6964" s="7">
        <f ca="1">IFERROR(__xludf.DUMMYFUNCTION("""COMPUTED_VALUE"""),44613)</f>
        <v>44613</v>
      </c>
      <c r="B6964" s="6" t="str">
        <f ca="1">IFERROR(__xludf.DUMMYFUNCTION("""COMPUTED_VALUE"""),"-33.792996,-70.738888")</f>
        <v>-33.792996,-70.738888</v>
      </c>
      <c r="C6964" s="6" t="str">
        <f ca="1">IFERROR(__xludf.DUMMYFUNCTION("""COMPUTED_VALUE"""),"SANTA EUGENIA S/N")</f>
        <v>SANTA EUGENIA S/N</v>
      </c>
      <c r="D6964" s="6" t="str">
        <f ca="1">IFERROR(__xludf.DUMMYFUNCTION("""COMPUTED_VALUE"""),"PAINE")</f>
        <v>PAINE</v>
      </c>
    </row>
    <row r="6965" spans="1:4">
      <c r="A6965" s="7">
        <f ca="1">IFERROR(__xludf.DUMMYFUNCTION("""COMPUTED_VALUE"""),44613)</f>
        <v>44613</v>
      </c>
      <c r="B6965" s="6" t="str">
        <f ca="1">IFERROR(__xludf.DUMMYFUNCTION("""COMPUTED_VALUE"""),"-33.792872,-70.738771")</f>
        <v>-33.792872,-70.738771</v>
      </c>
      <c r="C6965" s="6" t="str">
        <f ca="1">IFERROR(__xludf.DUMMYFUNCTION("""COMPUTED_VALUE"""),"CALLEJON STA. EUGENIA S/N PP ALGARROBO ST6")</f>
        <v>CALLEJON STA. EUGENIA S/N PP ALGARROBO ST6</v>
      </c>
      <c r="D6965" s="6" t="str">
        <f ca="1">IFERROR(__xludf.DUMMYFUNCTION("""COMPUTED_VALUE"""),"PAINE")</f>
        <v>PAINE</v>
      </c>
    </row>
    <row r="6966" spans="1:4">
      <c r="A6966" s="7">
        <f ca="1">IFERROR(__xludf.DUMMYFUNCTION("""COMPUTED_VALUE"""),44614)</f>
        <v>44614</v>
      </c>
      <c r="B6966" s="8" t="str">
        <f ca="1">IFERROR(__xludf.DUMMYFUNCTION("""COMPUTED_VALUE"""),"33.6070956, -70.9060117")</f>
        <v>33.6070956, -70.9060117</v>
      </c>
      <c r="C6966" s="6" t="str">
        <f ca="1">IFERROR(__xludf.DUMMYFUNCTION("""COMPUTED_VALUE"""),"LA FORESTA 181,")</f>
        <v>LA FORESTA 181,</v>
      </c>
      <c r="D6966" s="6" t="str">
        <f ca="1">IFERROR(__xludf.DUMMYFUNCTION("""COMPUTED_VALUE"""),"PEÑAFLOR")</f>
        <v>PEÑAFLOR</v>
      </c>
    </row>
    <row r="6967" spans="1:4">
      <c r="A6967" s="7">
        <f ca="1">IFERROR(__xludf.DUMMYFUNCTION("""COMPUTED_VALUE"""),44614)</f>
        <v>44614</v>
      </c>
      <c r="B6967" s="8" t="str">
        <f ca="1">IFERROR(__xludf.DUMMYFUNCTION("""COMPUTED_VALUE"""),"33.6087545, -70.8890826")</f>
        <v>33.6087545, -70.8890826</v>
      </c>
      <c r="C6967" s="6" t="str">
        <f ca="1">IFERROR(__xludf.DUMMYFUNCTION("""COMPUTED_VALUE"""),"IGNACIA  2751,")</f>
        <v>IGNACIA  2751,</v>
      </c>
      <c r="D6967" s="6" t="str">
        <f ca="1">IFERROR(__xludf.DUMMYFUNCTION("""COMPUTED_VALUE"""),"PEÑAFLOR")</f>
        <v>PEÑAFLOR</v>
      </c>
    </row>
    <row r="6968" spans="1:4">
      <c r="A6968" s="7">
        <f ca="1">IFERROR(__xludf.DUMMYFUNCTION("""COMPUTED_VALUE"""),44614)</f>
        <v>44614</v>
      </c>
      <c r="B6968" s="6" t="str">
        <f ca="1">IFERROR(__xludf.DUMMYFUNCTION("""COMPUTED_VALUE"""),"-33.46222-71.02367")</f>
        <v>-33.46222-71.02367</v>
      </c>
      <c r="C6968" s="6" t="str">
        <f ca="1">IFERROR(__xludf.DUMMYFUNCTION("""COMPUTED_VALUE"""),"BATALLA SAN JUAN S-2 P-10")</f>
        <v>BATALLA SAN JUAN S-2 P-10</v>
      </c>
      <c r="D6968" s="6" t="str">
        <f ca="1">IFERROR(__xludf.DUMMYFUNCTION("""COMPUTED_VALUE"""),"CURACAVI")</f>
        <v>CURACAVI</v>
      </c>
    </row>
    <row r="6969" spans="1:4">
      <c r="A6969" s="7">
        <f ca="1">IFERROR(__xludf.DUMMYFUNCTION("""COMPUTED_VALUE"""),44614)</f>
        <v>44614</v>
      </c>
      <c r="B6969" s="6" t="str">
        <f ca="1">IFERROR(__xludf.DUMMYFUNCTION("""COMPUTED_VALUE"""),"-33.41032-71.14364")</f>
        <v>-33.41032-71.14364</v>
      </c>
      <c r="C6969" s="6" t="str">
        <f ca="1">IFERROR(__xludf.DUMMYFUNCTION("""COMPUTED_VALUE"""),"LAS LILAS S-24")</f>
        <v>LAS LILAS S-24</v>
      </c>
      <c r="D6969" s="6" t="str">
        <f ca="1">IFERROR(__xludf.DUMMYFUNCTION("""COMPUTED_VALUE"""),"CURACAVI")</f>
        <v>CURACAVI</v>
      </c>
    </row>
    <row r="6970" spans="1:4">
      <c r="A6970" s="7">
        <f ca="1">IFERROR(__xludf.DUMMYFUNCTION("""COMPUTED_VALUE"""),44614)</f>
        <v>44614</v>
      </c>
      <c r="B6970" s="6" t="str">
        <f ca="1">IFERROR(__xludf.DUMMYFUNCTION("""COMPUTED_VALUE"""),"-33.41027-71.14363")</f>
        <v>-33.41027-71.14363</v>
      </c>
      <c r="C6970" s="6" t="str">
        <f ca="1">IFERROR(__xludf.DUMMYFUNCTION("""COMPUTED_VALUE"""),"PATAGUAS 1861")</f>
        <v>PATAGUAS 1861</v>
      </c>
      <c r="D6970" s="6" t="str">
        <f ca="1">IFERROR(__xludf.DUMMYFUNCTION("""COMPUTED_VALUE"""),"CURACAVI")</f>
        <v>CURACAVI</v>
      </c>
    </row>
    <row r="6971" spans="1:4">
      <c r="A6971" s="7">
        <f ca="1">IFERROR(__xludf.DUMMYFUNCTION("""COMPUTED_VALUE"""),44614)</f>
        <v>44614</v>
      </c>
      <c r="B6971" s="6" t="str">
        <f ca="1">IFERROR(__xludf.DUMMYFUNCTION("""COMPUTED_VALUE"""),"-33.400187-71.125537")</f>
        <v>-33.400187-71.125537</v>
      </c>
      <c r="C6971" s="6" t="str">
        <f ca="1">IFERROR(__xludf.DUMMYFUNCTION("""COMPUTED_VALUE"""),"ANA CRUCHAGA 271")</f>
        <v>ANA CRUCHAGA 271</v>
      </c>
      <c r="D6971" s="6" t="str">
        <f ca="1">IFERROR(__xludf.DUMMYFUNCTION("""COMPUTED_VALUE"""),"CURACAVI")</f>
        <v>CURACAVI</v>
      </c>
    </row>
    <row r="6972" spans="1:4">
      <c r="A6972" s="7">
        <f ca="1">IFERROR(__xludf.DUMMYFUNCTION("""COMPUTED_VALUE"""),44614)</f>
        <v>44614</v>
      </c>
      <c r="B6972" s="8" t="str">
        <f ca="1">IFERROR(__xludf.DUMMYFUNCTION("""COMPUTED_VALUE"""),"-33.707275,-70.551169")</f>
        <v>-33.707275,-70.551169</v>
      </c>
      <c r="C6972" s="6" t="str">
        <f ca="1">IFERROR(__xludf.DUMMYFUNCTION("""COMPUTED_VALUE"""),"VILLORRIO SAN MANUEL 179 D")</f>
        <v>VILLORRIO SAN MANUEL 179 D</v>
      </c>
      <c r="D6972" s="6" t="str">
        <f ca="1">IFERROR(__xludf.DUMMYFUNCTION("""COMPUTED_VALUE"""),"PIRQUE")</f>
        <v>PIRQUE</v>
      </c>
    </row>
    <row r="6973" spans="1:4">
      <c r="A6973" s="7">
        <f ca="1">IFERROR(__xludf.DUMMYFUNCTION("""COMPUTED_VALUE"""),44614)</f>
        <v>44614</v>
      </c>
      <c r="B6973" s="8" t="str">
        <f ca="1">IFERROR(__xludf.DUMMYFUNCTION("""COMPUTED_VALUE"""),"656926,-70.629141")</f>
        <v>656926,-70.629141</v>
      </c>
      <c r="C6973" s="6" t="str">
        <f ca="1">IFERROR(__xludf.DUMMYFUNCTION("""COMPUTED_VALUE"""),"SAN VICENTE ST 30")</f>
        <v>SAN VICENTE ST 30</v>
      </c>
      <c r="D6973" s="6" t="str">
        <f ca="1">IFERROR(__xludf.DUMMYFUNCTION("""COMPUTED_VALUE"""),"PIRQUE")</f>
        <v>PIRQUE</v>
      </c>
    </row>
    <row r="6974" spans="1:4">
      <c r="A6974" s="7">
        <f ca="1">IFERROR(__xludf.DUMMYFUNCTION("""COMPUTED_VALUE"""),44614)</f>
        <v>44614</v>
      </c>
      <c r="B6974" s="8" t="str">
        <f ca="1">IFERROR(__xludf.DUMMYFUNCTION("""COMPUTED_VALUE"""),"-33.675975,-70.579828")</f>
        <v>-33.675975,-70.579828</v>
      </c>
      <c r="C6974" s="6" t="str">
        <f ca="1">IFERROR(__xludf.DUMMYFUNCTION("""COMPUTED_VALUE"""),"LAS CAMELIAS 1110")</f>
        <v>LAS CAMELIAS 1110</v>
      </c>
      <c r="D6974" s="6" t="str">
        <f ca="1">IFERROR(__xludf.DUMMYFUNCTION("""COMPUTED_VALUE"""),"PIRQUE")</f>
        <v>PIRQUE</v>
      </c>
    </row>
    <row r="6975" spans="1:4">
      <c r="A6975" s="7">
        <f ca="1">IFERROR(__xludf.DUMMYFUNCTION("""COMPUTED_VALUE"""),44614)</f>
        <v>44614</v>
      </c>
      <c r="B6975" s="8" t="str">
        <f ca="1">IFERROR(__xludf.DUMMYFUNCTION("""COMPUTED_VALUE"""),"-33.708649,-70.565691")</f>
        <v>-33.708649,-70.565691</v>
      </c>
      <c r="C6975" s="6" t="str">
        <f ca="1">IFERROR(__xludf.DUMMYFUNCTION("""COMPUTED_VALUE"""),"AV.ALCALDE 33A")</f>
        <v>AV.ALCALDE 33A</v>
      </c>
      <c r="D6975" s="6" t="str">
        <f ca="1">IFERROR(__xludf.DUMMYFUNCTION("""COMPUTED_VALUE"""),"PIRQUE")</f>
        <v>PIRQUE</v>
      </c>
    </row>
    <row r="6976" spans="1:4">
      <c r="A6976" s="7">
        <f ca="1">IFERROR(__xludf.DUMMYFUNCTION("""COMPUTED_VALUE"""),44614)</f>
        <v>44614</v>
      </c>
      <c r="B6976" s="8" t="str">
        <f ca="1">IFERROR(__xludf.DUMMYFUNCTION("""COMPUTED_VALUE"""),"-33.757000,-70.5824000")</f>
        <v>-33.757000,-70.5824000</v>
      </c>
      <c r="C6976" s="6" t="str">
        <f ca="1">IFERROR(__xludf.DUMMYFUNCTION("""COMPUTED_VALUE"""),"LAS CAMELIAS 1842")</f>
        <v>LAS CAMELIAS 1842</v>
      </c>
      <c r="D6976" s="6" t="str">
        <f ca="1">IFERROR(__xludf.DUMMYFUNCTION("""COMPUTED_VALUE"""),"PIRQUE")</f>
        <v>PIRQUE</v>
      </c>
    </row>
    <row r="6977" spans="1:4">
      <c r="A6977" s="7">
        <f ca="1">IFERROR(__xludf.DUMMYFUNCTION("""COMPUTED_VALUE"""),44614)</f>
        <v>44614</v>
      </c>
      <c r="B6977" s="8" t="str">
        <f ca="1">IFERROR(__xludf.DUMMYFUNCTION("""COMPUTED_VALUE"""),"-33.297344,-70.877659")</f>
        <v>-33.297344,-70.877659</v>
      </c>
      <c r="C6977" s="6" t="str">
        <f ca="1">IFERROR(__xludf.DUMMYFUNCTION("""COMPUTED_VALUE"""),"LAS MALVAS 1059")</f>
        <v>LAS MALVAS 1059</v>
      </c>
      <c r="D6977" s="6" t="str">
        <f ca="1">IFERROR(__xludf.DUMMYFUNCTION("""COMPUTED_VALUE"""),"LAMPA")</f>
        <v>LAMPA</v>
      </c>
    </row>
    <row r="6978" spans="1:4">
      <c r="A6978" s="7">
        <f ca="1">IFERROR(__xludf.DUMMYFUNCTION("""COMPUTED_VALUE"""),44614)</f>
        <v>44614</v>
      </c>
      <c r="B6978" s="8" t="str">
        <f ca="1">IFERROR(__xludf.DUMMYFUNCTION("""COMPUTED_VALUE"""),"-33.679981,-70.579580")</f>
        <v>-33.679981,-70.579580</v>
      </c>
      <c r="C6978" s="6" t="str">
        <f ca="1">IFERROR(__xludf.DUMMYFUNCTION("""COMPUTED_VALUE"""),"LOS JAZMINES 4010")</f>
        <v>LOS JAZMINES 4010</v>
      </c>
      <c r="D6978" s="6" t="str">
        <f ca="1">IFERROR(__xludf.DUMMYFUNCTION("""COMPUTED_VALUE"""),"PIRQUE")</f>
        <v>PIRQUE</v>
      </c>
    </row>
    <row r="6979" spans="1:4">
      <c r="A6979" s="7">
        <f ca="1">IFERROR(__xludf.DUMMYFUNCTION("""COMPUTED_VALUE"""),44614)</f>
        <v>44614</v>
      </c>
      <c r="B6979" s="8" t="str">
        <f ca="1">IFERROR(__xludf.DUMMYFUNCTION("""COMPUTED_VALUE"""),"-33.663024,-70.597403")</f>
        <v>-33.663024,-70.597403</v>
      </c>
      <c r="C6979" s="6" t="str">
        <f ca="1">IFERROR(__xludf.DUMMYFUNCTION("""COMPUTED_VALUE"""),"LAS PARCELAS 15")</f>
        <v>LAS PARCELAS 15</v>
      </c>
      <c r="D6979" s="6" t="str">
        <f ca="1">IFERROR(__xludf.DUMMYFUNCTION("""COMPUTED_VALUE"""),"PIRQUE")</f>
        <v>PIRQUE</v>
      </c>
    </row>
    <row r="6980" spans="1:4">
      <c r="A6980" s="7">
        <f ca="1">IFERROR(__xludf.DUMMYFUNCTION("""COMPUTED_VALUE"""),44614)</f>
        <v>44614</v>
      </c>
      <c r="B6980" s="6" t="str">
        <f ca="1">IFERROR(__xludf.DUMMYFUNCTION("""COMPUTED_VALUE"""),"-33.751643,.70.906769")</f>
        <v>-33.751643,.70.906769</v>
      </c>
      <c r="C6980" s="6" t="str">
        <f ca="1">IFERROR(__xludf.DUMMYFUNCTION("""COMPUTED_VALUE"""),"SANTELICES 1013")</f>
        <v>SANTELICES 1013</v>
      </c>
      <c r="D6980" s="6" t="str">
        <f ca="1">IFERROR(__xludf.DUMMYFUNCTION("""COMPUTED_VALUE"""),"ISLA DE MAIPO")</f>
        <v>ISLA DE MAIPO</v>
      </c>
    </row>
    <row r="6981" spans="1:4">
      <c r="A6981" s="7">
        <f ca="1">IFERROR(__xludf.DUMMYFUNCTION("""COMPUTED_VALUE"""),44614)</f>
        <v>44614</v>
      </c>
      <c r="B6981" s="6" t="str">
        <f ca="1">IFERROR(__xludf.DUMMYFUNCTION("""COMPUTED_VALUE"""),"-33.404572,-71.127550")</f>
        <v>-33.404572,-71.127550</v>
      </c>
      <c r="C6981" s="6" t="str">
        <f ca="1">IFERROR(__xludf.DUMMYFUNCTION("""COMPUTED_VALUE"""),"DIEGO DE PRADO 2035 LOS RACIMOS")</f>
        <v>DIEGO DE PRADO 2035 LOS RACIMOS</v>
      </c>
      <c r="D6981" s="6" t="str">
        <f ca="1">IFERROR(__xludf.DUMMYFUNCTION("""COMPUTED_VALUE"""),"CURACAVI")</f>
        <v>CURACAVI</v>
      </c>
    </row>
    <row r="6982" spans="1:4">
      <c r="A6982" s="7">
        <f ca="1">IFERROR(__xludf.DUMMYFUNCTION("""COMPUTED_VALUE"""),44614)</f>
        <v>44614</v>
      </c>
      <c r="B6982" s="6" t="str">
        <f ca="1">IFERROR(__xludf.DUMMYFUNCTION("""COMPUTED_VALUE"""),"-33.792981,-70.738704")</f>
        <v>-33.792981,-70.738704</v>
      </c>
      <c r="C6982" s="6" t="str">
        <f ca="1">IFERROR(__xludf.DUMMYFUNCTION("""COMPUTED_VALUE"""),"ALGARROBO S/N INT ALGARROBO ST6 LT1 STA EUGENIA")</f>
        <v>ALGARROBO S/N INT ALGARROBO ST6 LT1 STA EUGENIA</v>
      </c>
      <c r="D6982" s="6" t="str">
        <f ca="1">IFERROR(__xludf.DUMMYFUNCTION("""COMPUTED_VALUE"""),"PAINE")</f>
        <v>PAINE</v>
      </c>
    </row>
    <row r="6983" spans="1:4">
      <c r="A6983" s="7">
        <f ca="1">IFERROR(__xludf.DUMMYFUNCTION("""COMPUTED_VALUE"""),44614)</f>
        <v>44614</v>
      </c>
      <c r="B6983" s="6" t="str">
        <f ca="1">IFERROR(__xludf.DUMMYFUNCTION("""COMPUTED_VALUE"""),"-33.862453,-70.853012")</f>
        <v>-33.862453,-70.853012</v>
      </c>
      <c r="C6983" s="6" t="str">
        <f ca="1">IFERROR(__xludf.DUMMYFUNCTION("""COMPUTED_VALUE"""),"EL MANZANO PA 12")</f>
        <v>EL MANZANO PA 12</v>
      </c>
      <c r="D6983" s="6" t="str">
        <f ca="1">IFERROR(__xludf.DUMMYFUNCTION("""COMPUTED_VALUE"""),"PAINE")</f>
        <v>PAINE</v>
      </c>
    </row>
    <row r="6984" spans="1:4">
      <c r="A6984" s="7">
        <f ca="1">IFERROR(__xludf.DUMMYFUNCTION("""COMPUTED_VALUE"""),44614)</f>
        <v>44614</v>
      </c>
      <c r="B6984" s="6" t="str">
        <f ca="1">IFERROR(__xludf.DUMMYFUNCTION("""COMPUTED_VALUE"""),"-33.8037006,-70.7145014")</f>
        <v>-33.8037006,-70.7145014</v>
      </c>
      <c r="C6984" s="6" t="str">
        <f ca="1">IFERROR(__xludf.DUMMYFUNCTION("""COMPUTED_VALUE"""),"PASAJE SEIS 323")</f>
        <v>PASAJE SEIS 323</v>
      </c>
      <c r="D6984" s="6" t="str">
        <f ca="1">IFERROR(__xludf.DUMMYFUNCTION("""COMPUTED_VALUE"""),"PAINE")</f>
        <v>PAINE</v>
      </c>
    </row>
    <row r="6985" spans="1:4">
      <c r="A6985" s="7">
        <f ca="1">IFERROR(__xludf.DUMMYFUNCTION("""COMPUTED_VALUE"""),44614)</f>
        <v>44614</v>
      </c>
      <c r="B6985" s="6" t="str">
        <f ca="1">IFERROR(__xludf.DUMMYFUNCTION("""COMPUTED_VALUE"""),"-33.3806122,-71.0955505")</f>
        <v>-33.3806122,-71.0955505</v>
      </c>
      <c r="C6985" s="6" t="str">
        <f ca="1">IFERROR(__xludf.DUMMYFUNCTION("""COMPUTED_VALUE"""),"HIJUELAS 2, PARCELA 286")</f>
        <v>HIJUELAS 2, PARCELA 286</v>
      </c>
      <c r="D6985" s="6" t="str">
        <f ca="1">IFERROR(__xludf.DUMMYFUNCTION("""COMPUTED_VALUE"""),"CURACAVI")</f>
        <v>CURACAVI</v>
      </c>
    </row>
    <row r="6986" spans="1:4">
      <c r="A6986" s="7">
        <f ca="1">IFERROR(__xludf.DUMMYFUNCTION("""COMPUTED_VALUE"""),44615)</f>
        <v>44615</v>
      </c>
      <c r="B6986" s="8" t="str">
        <f ca="1">IFERROR(__xludf.DUMMYFUNCTION("""COMPUTED_VALUE"""),"33.7353864, -70.8635058")</f>
        <v>33.7353864, -70.8635058</v>
      </c>
      <c r="C6986" s="6" t="str">
        <f ca="1">IFERROR(__xludf.DUMMYFUNCTION("""COMPUTED_VALUE"""),"EL MANDO  427")</f>
        <v>EL MANDO  427</v>
      </c>
      <c r="D6986" s="6" t="str">
        <f ca="1">IFERROR(__xludf.DUMMYFUNCTION("""COMPUTED_VALUE"""),"ISLA DE MAIPO")</f>
        <v>ISLA DE MAIPO</v>
      </c>
    </row>
    <row r="6987" spans="1:4">
      <c r="A6987" s="7">
        <f ca="1">IFERROR(__xludf.DUMMYFUNCTION("""COMPUTED_VALUE"""),44615)</f>
        <v>44615</v>
      </c>
      <c r="B6987" s="6" t="str">
        <f ca="1">IFERROR(__xludf.DUMMYFUNCTION("""COMPUTED_VALUE"""),"-33.63476-70.35089")</f>
        <v>-33.63476-70.35089</v>
      </c>
      <c r="C6987" s="6" t="str">
        <f ca="1">IFERROR(__xludf.DUMMYFUNCTION("""COMPUTED_VALUE"""),"COMERCIO S/N")</f>
        <v>COMERCIO S/N</v>
      </c>
      <c r="D6987" s="6" t="str">
        <f ca="1">IFERROR(__xludf.DUMMYFUNCTION("""COMPUTED_VALUE"""),"SAN JOSE DE MAIPO")</f>
        <v>SAN JOSE DE MAIPO</v>
      </c>
    </row>
    <row r="6988" spans="1:4">
      <c r="A6988" s="7">
        <f ca="1">IFERROR(__xludf.DUMMYFUNCTION("""COMPUTED_VALUE"""),44615)</f>
        <v>44615</v>
      </c>
      <c r="B6988" s="6" t="str">
        <f ca="1">IFERROR(__xludf.DUMMYFUNCTION("""COMPUTED_VALUE"""),"-33.63499-70.34797")</f>
        <v>-33.63499-70.34797</v>
      </c>
      <c r="C6988" s="6" t="str">
        <f ca="1">IFERROR(__xludf.DUMMYFUNCTION("""COMPUTED_VALUE"""),"AV. CEMENTERIO 19081")</f>
        <v>AV. CEMENTERIO 19081</v>
      </c>
      <c r="D6988" s="6" t="str">
        <f ca="1">IFERROR(__xludf.DUMMYFUNCTION("""COMPUTED_VALUE"""),"SAN JOSE DE MAIPO")</f>
        <v>SAN JOSE DE MAIPO</v>
      </c>
    </row>
    <row r="6989" spans="1:4">
      <c r="A6989" s="7">
        <f ca="1">IFERROR(__xludf.DUMMYFUNCTION("""COMPUTED_VALUE"""),44615)</f>
        <v>44615</v>
      </c>
      <c r="B6989" s="6" t="str">
        <f ca="1">IFERROR(__xludf.DUMMYFUNCTION("""COMPUTED_VALUE"""),"-33.63499-70.34797")</f>
        <v>-33.63499-70.34797</v>
      </c>
      <c r="C6989" s="6" t="str">
        <f ca="1">IFERROR(__xludf.DUMMYFUNCTION("""COMPUTED_VALUE"""),"AV. CEMENTERIO 19081")</f>
        <v>AV. CEMENTERIO 19081</v>
      </c>
      <c r="D6989" s="6" t="str">
        <f ca="1">IFERROR(__xludf.DUMMYFUNCTION("""COMPUTED_VALUE"""),"SAN JOSE DE MAIPO")</f>
        <v>SAN JOSE DE MAIPO</v>
      </c>
    </row>
    <row r="6990" spans="1:4">
      <c r="A6990" s="7">
        <f ca="1">IFERROR(__xludf.DUMMYFUNCTION("""COMPUTED_VALUE"""),44615)</f>
        <v>44615</v>
      </c>
      <c r="B6990" s="6" t="str">
        <f ca="1">IFERROR(__xludf.DUMMYFUNCTION("""COMPUTED_VALUE"""),"-33.494709-70.993810")</f>
        <v>-33.494709-70.993810</v>
      </c>
      <c r="C6990" s="6" t="str">
        <f ca="1">IFERROR(__xludf.DUMMYFUNCTION("""COMPUTED_VALUE"""),"LA PATAGUILLA PC 55")</f>
        <v>LA PATAGUILLA PC 55</v>
      </c>
      <c r="D6990" s="6" t="str">
        <f ca="1">IFERROR(__xludf.DUMMYFUNCTION("""COMPUTED_VALUE"""),"CURACAVI")</f>
        <v>CURACAVI</v>
      </c>
    </row>
    <row r="6991" spans="1:4">
      <c r="A6991" s="7">
        <f ca="1">IFERROR(__xludf.DUMMYFUNCTION("""COMPUTED_VALUE"""),44615)</f>
        <v>44615</v>
      </c>
      <c r="B6991" s="6" t="str">
        <f ca="1">IFERROR(__xludf.DUMMYFUNCTION("""COMPUTED_VALUE"""),"-33.41656-71.010234")</f>
        <v>-33.41656-71.010234</v>
      </c>
      <c r="C6991" s="6" t="str">
        <f ca="1">IFERROR(__xludf.DUMMYFUNCTION("""COMPUTED_VALUE"""),"LA PATAGUILLA PC 55")</f>
        <v>LA PATAGUILLA PC 55</v>
      </c>
      <c r="D6991" s="6" t="str">
        <f ca="1">IFERROR(__xludf.DUMMYFUNCTION("""COMPUTED_VALUE"""),"CURACAVI")</f>
        <v>CURACAVI</v>
      </c>
    </row>
    <row r="6992" spans="1:4">
      <c r="A6992" s="7">
        <f ca="1">IFERROR(__xludf.DUMMYFUNCTION("""COMPUTED_VALUE"""),44615)</f>
        <v>44615</v>
      </c>
      <c r="B6992" s="8" t="str">
        <f ca="1">IFERROR(__xludf.DUMMYFUNCTION("""COMPUTED_VALUE"""),"-33.599662,-70.491288")</f>
        <v>-33.599662,-70.491288</v>
      </c>
      <c r="C6992" s="6" t="str">
        <f ca="1">IFERROR(__xludf.DUMMYFUNCTION("""COMPUTED_VALUE"""),"CAMINO LAS PALOMAS P.32 ")</f>
        <v xml:space="preserve">CAMINO LAS PALOMAS P.32 </v>
      </c>
      <c r="D6992" s="6" t="str">
        <f ca="1">IFERROR(__xludf.DUMMYFUNCTION("""COMPUTED_VALUE"""),"PIRQUE")</f>
        <v>PIRQUE</v>
      </c>
    </row>
    <row r="6993" spans="1:4">
      <c r="A6993" s="7">
        <f ca="1">IFERROR(__xludf.DUMMYFUNCTION("""COMPUTED_VALUE"""),44615)</f>
        <v>44615</v>
      </c>
      <c r="B6993" s="8" t="str">
        <f ca="1">IFERROR(__xludf.DUMMYFUNCTION("""COMPUTED_VALUE"""),"-33.710263,-70.531090")</f>
        <v>-33.710263,-70.531090</v>
      </c>
      <c r="C6993" s="6" t="str">
        <f ca="1">IFERROR(__xludf.DUMMYFUNCTION("""COMPUTED_VALUE"""),"ORILLA DEL RIO 171 B")</f>
        <v>ORILLA DEL RIO 171 B</v>
      </c>
      <c r="D6993" s="6" t="str">
        <f ca="1">IFERROR(__xludf.DUMMYFUNCTION("""COMPUTED_VALUE"""),"PIRQUE")</f>
        <v>PIRQUE</v>
      </c>
    </row>
    <row r="6994" spans="1:4">
      <c r="A6994" s="7">
        <f ca="1">IFERROR(__xludf.DUMMYFUNCTION("""COMPUTED_VALUE"""),44615)</f>
        <v>44615</v>
      </c>
      <c r="B6994" s="6" t="str">
        <f ca="1">IFERROR(__xludf.DUMMYFUNCTION("""COMPUTED_VALUE"""),"-33.733208,-70.763074")</f>
        <v>-33.733208,-70.763074</v>
      </c>
      <c r="C6994" s="6" t="str">
        <f ca="1">IFERROR(__xludf.DUMMYFUNCTION("""COMPUTED_VALUE"""),"ESTEBAN HUERTA 2132 CH SANTA ADELA  CENTRO")</f>
        <v>ESTEBAN HUERTA 2132 CH SANTA ADELA  CENTRO</v>
      </c>
      <c r="D6994" s="6" t="str">
        <f ca="1">IFERROR(__xludf.DUMMYFUNCTION("""COMPUTED_VALUE"""),"BUIN")</f>
        <v>BUIN</v>
      </c>
    </row>
    <row r="6995" spans="1:4">
      <c r="A6995" s="7">
        <f ca="1">IFERROR(__xludf.DUMMYFUNCTION("""COMPUTED_VALUE"""),44615)</f>
        <v>44615</v>
      </c>
      <c r="B6995" s="6" t="str">
        <f ca="1">IFERROR(__xludf.DUMMYFUNCTION("""COMPUTED_VALUE"""),"-33.745214,-70.912018")</f>
        <v>-33.745214,-70.912018</v>
      </c>
      <c r="C6995" s="6" t="str">
        <f ca="1">IFERROR(__xludf.DUMMYFUNCTION("""COMPUTED_VALUE""")," LOS MARTINEZ PA GASCAS 522 ")</f>
        <v xml:space="preserve"> LOS MARTINEZ PA GASCAS 522 </v>
      </c>
      <c r="D6995" s="6" t="str">
        <f ca="1">IFERROR(__xludf.DUMMYFUNCTION("""COMPUTED_VALUE"""),"ISLA DE MAIPO")</f>
        <v>ISLA DE MAIPO</v>
      </c>
    </row>
    <row r="6996" spans="1:4">
      <c r="A6996" s="7">
        <f ca="1">IFERROR(__xludf.DUMMYFUNCTION("""COMPUTED_VALUE"""),44615)</f>
        <v>44615</v>
      </c>
      <c r="B6996" s="6" t="str">
        <f ca="1">IFERROR(__xludf.DUMMYFUNCTION("""COMPUTED_VALUE"""),"-33.921046,-71513995")</f>
        <v>-33.921046,-71513995</v>
      </c>
      <c r="C6996" s="6" t="str">
        <f ca="1">IFERROR(__xludf.DUMMYFUNCTION("""COMPUTED_VALUE"""),"EL PADRO S/N")</f>
        <v>EL PADRO S/N</v>
      </c>
      <c r="D6996" s="6" t="str">
        <f ca="1">IFERROR(__xludf.DUMMYFUNCTION("""COMPUTED_VALUE"""),"SAN PEDRO")</f>
        <v>SAN PEDRO</v>
      </c>
    </row>
    <row r="6997" spans="1:4">
      <c r="A6997" s="7">
        <f ca="1">IFERROR(__xludf.DUMMYFUNCTION("""COMPUTED_VALUE"""),44615)</f>
        <v>44615</v>
      </c>
      <c r="B6997" s="6" t="str">
        <f ca="1">IFERROR(__xludf.DUMMYFUNCTION("""COMPUTED_VALUE"""),"-33.280569,-70.883423")</f>
        <v>-33.280569,-70.883423</v>
      </c>
      <c r="C6997" s="6" t="str">
        <f ca="1">IFERROR(__xludf.DUMMYFUNCTION("""COMPUTED_VALUE"""),"EL ESPINO130")</f>
        <v>EL ESPINO130</v>
      </c>
      <c r="D6997" s="6" t="str">
        <f ca="1">IFERROR(__xludf.DUMMYFUNCTION("""COMPUTED_VALUE"""),"LAMPA")</f>
        <v>LAMPA</v>
      </c>
    </row>
    <row r="6998" spans="1:4">
      <c r="A6998" s="7">
        <f ca="1">IFERROR(__xludf.DUMMYFUNCTION("""COMPUTED_VALUE"""),44615)</f>
        <v>44615</v>
      </c>
      <c r="B6998" s="6" t="str">
        <f ca="1">IFERROR(__xludf.DUMMYFUNCTION("""COMPUTED_VALUE"""),"-33.8115884,-70.7304261")</f>
        <v>-33.8115884,-70.7304261</v>
      </c>
      <c r="C6998" s="6" t="str">
        <f ca="1">IFERROR(__xludf.DUMMYFUNCTION("""COMPUTED_VALUE"""),"ANELEY 696")</f>
        <v>ANELEY 696</v>
      </c>
      <c r="D6998" s="6" t="str">
        <f ca="1">IFERROR(__xludf.DUMMYFUNCTION("""COMPUTED_VALUE"""),"PAINE")</f>
        <v>PAINE</v>
      </c>
    </row>
    <row r="6999" spans="1:4">
      <c r="A6999" s="7">
        <f ca="1">IFERROR(__xludf.DUMMYFUNCTION("""COMPUTED_VALUE"""),44615)</f>
        <v>44615</v>
      </c>
      <c r="B6999" s="6" t="str">
        <f ca="1">IFERROR(__xludf.DUMMYFUNCTION("""COMPUTED_VALUE"""),"-33.906889,-70.743022")</f>
        <v>-33.906889,-70.743022</v>
      </c>
      <c r="C6999" s="6" t="str">
        <f ca="1">IFERROR(__xludf.DUMMYFUNCTION("""COMPUTED_VALUE"""),"AGUILA SUR P/44")</f>
        <v>AGUILA SUR P/44</v>
      </c>
      <c r="D6999" s="6" t="str">
        <f ca="1">IFERROR(__xludf.DUMMYFUNCTION("""COMPUTED_VALUE"""),"PAINE")</f>
        <v>PAINE</v>
      </c>
    </row>
    <row r="7000" spans="1:4">
      <c r="A7000" s="7">
        <f ca="1">IFERROR(__xludf.DUMMYFUNCTION("""COMPUTED_VALUE"""),44616)</f>
        <v>44616</v>
      </c>
      <c r="B7000" s="8" t="str">
        <f ca="1">IFERROR(__xludf.DUMMYFUNCTION("""COMPUTED_VALUE"""),"33726582-70773193")</f>
        <v>33726582-70773193</v>
      </c>
      <c r="C7000" s="6" t="str">
        <f ca="1">IFERROR(__xludf.DUMMYFUNCTION("""COMPUTED_VALUE"""),"MARIA PINO FAJARDO 424")</f>
        <v>MARIA PINO FAJARDO 424</v>
      </c>
      <c r="D7000" s="6" t="str">
        <f ca="1">IFERROR(__xludf.DUMMYFUNCTION("""COMPUTED_VALUE"""),"BUIN")</f>
        <v>BUIN</v>
      </c>
    </row>
    <row r="7001" spans="1:4">
      <c r="A7001" s="7">
        <f ca="1">IFERROR(__xludf.DUMMYFUNCTION("""COMPUTED_VALUE"""),44616)</f>
        <v>44616</v>
      </c>
      <c r="B7001" s="8" t="str">
        <f ca="1">IFERROR(__xludf.DUMMYFUNCTION("""COMPUTED_VALUE"""),"33.7346183, -70.865475")</f>
        <v>33.7346183, -70.865475</v>
      </c>
      <c r="C7001" s="6" t="str">
        <f ca="1">IFERROR(__xludf.DUMMYFUNCTION("""COMPUTED_VALUE"""),"GACITUA 608")</f>
        <v>GACITUA 608</v>
      </c>
      <c r="D7001" s="6" t="str">
        <f ca="1">IFERROR(__xludf.DUMMYFUNCTION("""COMPUTED_VALUE"""),"ISLA DE MAIPO")</f>
        <v>ISLA DE MAIPO</v>
      </c>
    </row>
    <row r="7002" spans="1:4">
      <c r="A7002" s="7">
        <f ca="1">IFERROR(__xludf.DUMMYFUNCTION("""COMPUTED_VALUE"""),44616)</f>
        <v>44616</v>
      </c>
      <c r="B7002" s="6" t="str">
        <f ca="1">IFERROR(__xludf.DUMMYFUNCTION("""COMPUTED_VALUE"""),"-33.465694-71.129175")</f>
        <v>-33.465694-71.129175</v>
      </c>
      <c r="C7002" s="6" t="str">
        <f ca="1">IFERROR(__xludf.DUMMYFUNCTION("""COMPUTED_VALUE"""),"LEPE 63")</f>
        <v>LEPE 63</v>
      </c>
      <c r="D7002" s="6" t="str">
        <f ca="1">IFERROR(__xludf.DUMMYFUNCTION("""COMPUTED_VALUE"""),"CURACAVI")</f>
        <v>CURACAVI</v>
      </c>
    </row>
    <row r="7003" spans="1:4">
      <c r="A7003" s="7">
        <f ca="1">IFERROR(__xludf.DUMMYFUNCTION("""COMPUTED_VALUE"""),44616)</f>
        <v>44616</v>
      </c>
      <c r="B7003" s="6" t="str">
        <f ca="1">IFERROR(__xludf.DUMMYFUNCTION("""COMPUTED_VALUE"""),"-33.415496-71.113840")</f>
        <v>-33.415496-71.113840</v>
      </c>
      <c r="C7003" s="6" t="str">
        <f ca="1">IFERROR(__xludf.DUMMYFUNCTION("""COMPUTED_VALUE"""),"LAS ROSAS S/N")</f>
        <v>LAS ROSAS S/N</v>
      </c>
      <c r="D7003" s="6" t="str">
        <f ca="1">IFERROR(__xludf.DUMMYFUNCTION("""COMPUTED_VALUE"""),"CURACAVI")</f>
        <v>CURACAVI</v>
      </c>
    </row>
    <row r="7004" spans="1:4">
      <c r="A7004" s="7">
        <f ca="1">IFERROR(__xludf.DUMMYFUNCTION("""COMPUTED_VALUE"""),44616)</f>
        <v>44616</v>
      </c>
      <c r="B7004" s="8" t="str">
        <f ca="1">IFERROR(__xludf.DUMMYFUNCTION("""COMPUTED_VALUE"""),"-33.231666,-70.810514")</f>
        <v>-33.231666,-70.810514</v>
      </c>
      <c r="C7004" s="6" t="str">
        <f ca="1">IFERROR(__xludf.DUMMYFUNCTION("""COMPUTED_VALUE"""),"ACEVEDO 3888 ")</f>
        <v xml:space="preserve">ACEVEDO 3888 </v>
      </c>
      <c r="D7004" s="6" t="str">
        <f ca="1">IFERROR(__xludf.DUMMYFUNCTION("""COMPUTED_VALUE"""),"LAMPA")</f>
        <v>LAMPA</v>
      </c>
    </row>
    <row r="7005" spans="1:4">
      <c r="A7005" s="7">
        <f ca="1">IFERROR(__xludf.DUMMYFUNCTION("""COMPUTED_VALUE"""),44616)</f>
        <v>44616</v>
      </c>
      <c r="B7005" s="8" t="str">
        <f ca="1">IFERROR(__xludf.DUMMYFUNCTION("""COMPUTED_VALUE"""),"-33.567647,-71.213837")</f>
        <v>-33.567647,-71.213837</v>
      </c>
      <c r="C7005" s="6" t="str">
        <f ca="1">IFERROR(__xludf.DUMMYFUNCTION("""COMPUTED_VALUE"""),"CULEBRAS VERDES 174 PARC.4")</f>
        <v>CULEBRAS VERDES 174 PARC.4</v>
      </c>
      <c r="D7005" s="6" t="str">
        <f ca="1">IFERROR(__xludf.DUMMYFUNCTION("""COMPUTED_VALUE"""),"MELIPILLA")</f>
        <v>MELIPILLA</v>
      </c>
    </row>
    <row r="7006" spans="1:4">
      <c r="A7006" s="7">
        <f ca="1">IFERROR(__xludf.DUMMYFUNCTION("""COMPUTED_VALUE"""),44616)</f>
        <v>44616</v>
      </c>
      <c r="B7006" s="8" t="str">
        <f ca="1">IFERROR(__xludf.DUMMYFUNCTION("""COMPUTED_VALUE"""),"-33.6845341,-70.6085991")</f>
        <v>-33.6845341,-70.6085991</v>
      </c>
      <c r="C7006" s="6" t="str">
        <f ca="1">IFERROR(__xludf.DUMMYFUNCTION("""COMPUTED_VALUE"""),"CALLE LA MEDIA LUNA SITIO 5 LO ARCAYA yA")</f>
        <v>CALLE LA MEDIA LUNA SITIO 5 LO ARCAYA yA</v>
      </c>
      <c r="D7006" s="6" t="str">
        <f ca="1">IFERROR(__xludf.DUMMYFUNCTION("""COMPUTED_VALUE"""),"PIRQUE")</f>
        <v>PIRQUE</v>
      </c>
    </row>
    <row r="7007" spans="1:4">
      <c r="A7007" s="7">
        <f ca="1">IFERROR(__xludf.DUMMYFUNCTION("""COMPUTED_VALUE"""),44616)</f>
        <v>44616</v>
      </c>
      <c r="B7007" s="6" t="str">
        <f ca="1">IFERROR(__xludf.DUMMYFUNCTION("""COMPUTED_VALUE"""),"-33.3974351,-71.1796232")</f>
        <v>-33.3974351,-71.1796232</v>
      </c>
      <c r="C7007" s="6" t="str">
        <f ca="1">IFERROR(__xludf.DUMMYFUNCTION("""COMPUTED_VALUE"""),"EL NARANJO LOTE 16")</f>
        <v>EL NARANJO LOTE 16</v>
      </c>
      <c r="D7007" s="6" t="str">
        <f ca="1">IFERROR(__xludf.DUMMYFUNCTION("""COMPUTED_VALUE"""),"CURACAVI")</f>
        <v>CURACAVI</v>
      </c>
    </row>
    <row r="7008" spans="1:4">
      <c r="A7008" s="7">
        <f ca="1">IFERROR(__xludf.DUMMYFUNCTION("""COMPUTED_VALUE"""),44616)</f>
        <v>44616</v>
      </c>
      <c r="B7008" s="6" t="str">
        <f ca="1">IFERROR(__xludf.DUMMYFUNCTION("""COMPUTED_VALUE"""),"-33.715477,-70.742414")</f>
        <v>-33.715477,-70.742414</v>
      </c>
      <c r="C7008" s="6" t="str">
        <f ca="1">IFERROR(__xludf.DUMMYFUNCTION("""COMPUTED_VALUE"""),"PASAJE EL ESFUERZO 021")</f>
        <v>PASAJE EL ESFUERZO 021</v>
      </c>
      <c r="D7008" s="6" t="str">
        <f ca="1">IFERROR(__xludf.DUMMYFUNCTION("""COMPUTED_VALUE"""),"BUIN")</f>
        <v>BUIN</v>
      </c>
    </row>
    <row r="7009" spans="1:4">
      <c r="A7009" s="7">
        <f ca="1">IFERROR(__xludf.DUMMYFUNCTION("""COMPUTED_VALUE"""),44616)</f>
        <v>44616</v>
      </c>
      <c r="B7009" s="6" t="str">
        <f ca="1">IFERROR(__xludf.DUMMYFUNCTION("""COMPUTED_VALUE"""),"-33.811235,-70.732715")</f>
        <v>-33.811235,-70.732715</v>
      </c>
      <c r="C7009" s="6" t="str">
        <f ca="1">IFERROR(__xludf.DUMMYFUNCTION("""COMPUTED_VALUE"""),"DIOGENES CARVAJAL 685")</f>
        <v>DIOGENES CARVAJAL 685</v>
      </c>
      <c r="D7009" s="6" t="str">
        <f ca="1">IFERROR(__xludf.DUMMYFUNCTION("""COMPUTED_VALUE"""),"PAINE")</f>
        <v>PAINE</v>
      </c>
    </row>
    <row r="7010" spans="1:4">
      <c r="A7010" s="7">
        <f ca="1">IFERROR(__xludf.DUMMYFUNCTION("""COMPUTED_VALUE"""),44616)</f>
        <v>44616</v>
      </c>
      <c r="B7010" s="6" t="str">
        <f ca="1">IFERROR(__xludf.DUMMYFUNCTION("""COMPUTED_VALUE"""),"-33.803475,-70.728479")</f>
        <v>-33.803475,-70.728479</v>
      </c>
      <c r="C7010" s="6" t="str">
        <f ca="1">IFERROR(__xludf.DUMMYFUNCTION("""COMPUTED_VALUE"""),"RIO CUTIPAY 53")</f>
        <v>RIO CUTIPAY 53</v>
      </c>
      <c r="D7010" s="6" t="str">
        <f ca="1">IFERROR(__xludf.DUMMYFUNCTION("""COMPUTED_VALUE"""),"PAINE")</f>
        <v>PAINE</v>
      </c>
    </row>
    <row r="7011" spans="1:4">
      <c r="A7011" s="7">
        <f ca="1">IFERROR(__xludf.DUMMYFUNCTION("""COMPUTED_VALUE"""),44616)</f>
        <v>44616</v>
      </c>
      <c r="B7011" s="6" t="str">
        <f ca="1">IFERROR(__xludf.DUMMYFUNCTION("""COMPUTED_VALUE"""),"-33.8922236,-70.7350747")</f>
        <v>-33.8922236,-70.7350747</v>
      </c>
      <c r="C7011" s="6" t="str">
        <f ca="1">IFERROR(__xludf.DUMMYFUNCTION("""COMPUTED_VALUE"""),"DIEGO PORTALES P221")</f>
        <v>DIEGO PORTALES P221</v>
      </c>
      <c r="D7011" s="6" t="str">
        <f ca="1">IFERROR(__xludf.DUMMYFUNCTION("""COMPUTED_VALUE"""),"PAINE")</f>
        <v>PAINE</v>
      </c>
    </row>
    <row r="7012" spans="1:4">
      <c r="A7012" s="7">
        <f ca="1">IFERROR(__xludf.DUMMYFUNCTION("""COMPUTED_VALUE"""),44617)</f>
        <v>44617</v>
      </c>
      <c r="B7012" s="8" t="str">
        <f ca="1">IFERROR(__xludf.DUMMYFUNCTION("""COMPUTED_VALUE"""),"33.8676357, -70.7370364")</f>
        <v>33.8676357, -70.7370364</v>
      </c>
      <c r="C7012" s="6" t="str">
        <f ca="1">IFERROR(__xludf.DUMMYFUNCTION("""COMPUTED_VALUE"""),"SIN CALLE S/N,")</f>
        <v>SIN CALLE S/N,</v>
      </c>
      <c r="D7012" s="6" t="str">
        <f ca="1">IFERROR(__xludf.DUMMYFUNCTION("""COMPUTED_VALUE"""),"PAINE")</f>
        <v>PAINE</v>
      </c>
    </row>
    <row r="7013" spans="1:4">
      <c r="A7013" s="7">
        <f ca="1">IFERROR(__xludf.DUMMYFUNCTION("""COMPUTED_VALUE"""),44617)</f>
        <v>44617</v>
      </c>
      <c r="B7013" s="8" t="str">
        <f ca="1">IFERROR(__xludf.DUMMYFUNCTION("""COMPUTED_VALUE"""),"33.8676357, -70.7370364")</f>
        <v>33.8676357, -70.7370364</v>
      </c>
      <c r="C7013" s="6" t="str">
        <f ca="1">IFERROR(__xludf.DUMMYFUNCTION("""COMPUTED_VALUE"""),"SIN CALLE S/N")</f>
        <v>SIN CALLE S/N</v>
      </c>
      <c r="D7013" s="6" t="str">
        <f ca="1">IFERROR(__xludf.DUMMYFUNCTION("""COMPUTED_VALUE"""),"PAINE")</f>
        <v>PAINE</v>
      </c>
    </row>
    <row r="7014" spans="1:4">
      <c r="A7014" s="7">
        <f ca="1">IFERROR(__xludf.DUMMYFUNCTION("""COMPUTED_VALUE"""),44617)</f>
        <v>44617</v>
      </c>
      <c r="B7014" s="6" t="str">
        <f ca="1">IFERROR(__xludf.DUMMYFUNCTION("""COMPUTED_VALUE"""),"-33.27074-70.72321")</f>
        <v>-33.27074-70.72321</v>
      </c>
      <c r="C7014" s="6" t="str">
        <f ca="1">IFERROR(__xludf.DUMMYFUNCTION("""COMPUTED_VALUE"""),"LAGO PEÑUELA 1232")</f>
        <v>LAGO PEÑUELA 1232</v>
      </c>
      <c r="D7014" s="6" t="str">
        <f ca="1">IFERROR(__xludf.DUMMYFUNCTION("""COMPUTED_VALUE"""),"LAMPA")</f>
        <v>LAMPA</v>
      </c>
    </row>
    <row r="7015" spans="1:4">
      <c r="A7015" s="7">
        <f ca="1">IFERROR(__xludf.DUMMYFUNCTION("""COMPUTED_VALUE"""),44617)</f>
        <v>44617</v>
      </c>
      <c r="B7015" s="6" t="str">
        <f ca="1">IFERROR(__xludf.DUMMYFUNCTION("""COMPUTED_VALUE"""),"-33.27144-70.88211")</f>
        <v>-33.27144-70.88211</v>
      </c>
      <c r="C7015" s="6" t="str">
        <f ca="1">IFERROR(__xludf.DUMMYFUNCTION("""COMPUTED_VALUE"""),"MARTICORENA P-2")</f>
        <v>MARTICORENA P-2</v>
      </c>
      <c r="D7015" s="6" t="str">
        <f ca="1">IFERROR(__xludf.DUMMYFUNCTION("""COMPUTED_VALUE"""),"LAMPA")</f>
        <v>LAMPA</v>
      </c>
    </row>
    <row r="7016" spans="1:4">
      <c r="A7016" s="7">
        <f ca="1">IFERROR(__xludf.DUMMYFUNCTION("""COMPUTED_VALUE"""),44617)</f>
        <v>44617</v>
      </c>
      <c r="B7016" s="6" t="str">
        <f ca="1">IFERROR(__xludf.DUMMYFUNCTION("""COMPUTED_VALUE"""),"-33.625880-70.509973")</f>
        <v>-33.625880-70.509973</v>
      </c>
      <c r="C7016" s="6" t="str">
        <f ca="1">IFERROR(__xludf.DUMMYFUNCTION("""COMPUTED_VALUE"""),"MUSTAFA 54970")</f>
        <v>MUSTAFA 54970</v>
      </c>
      <c r="D7016" s="6" t="str">
        <f ca="1">IFERROR(__xludf.DUMMYFUNCTION("""COMPUTED_VALUE"""),"SAN JOSE DE MAIPO")</f>
        <v>SAN JOSE DE MAIPO</v>
      </c>
    </row>
    <row r="7017" spans="1:4">
      <c r="A7017" s="7">
        <f ca="1">IFERROR(__xludf.DUMMYFUNCTION("""COMPUTED_VALUE"""),44617)</f>
        <v>44617</v>
      </c>
      <c r="B7017" s="6" t="str">
        <f ca="1">IFERROR(__xludf.DUMMYFUNCTION("""COMPUTED_VALUE"""),"-33.6450931-70.3534767")</f>
        <v>-33.6450931-70.3534767</v>
      </c>
      <c r="C7017" s="6" t="str">
        <f ca="1">IFERROR(__xludf.DUMMYFUNCTION("""COMPUTED_VALUE"""),"CONCEPCION 1247")</f>
        <v>CONCEPCION 1247</v>
      </c>
      <c r="D7017" s="6" t="str">
        <f ca="1">IFERROR(__xludf.DUMMYFUNCTION("""COMPUTED_VALUE"""),"SAN JOSE DE MAIPO")</f>
        <v>SAN JOSE DE MAIPO</v>
      </c>
    </row>
    <row r="7018" spans="1:4">
      <c r="A7018" s="7">
        <f ca="1">IFERROR(__xludf.DUMMYFUNCTION("""COMPUTED_VALUE"""),44617)</f>
        <v>44617</v>
      </c>
      <c r="B7018" s="6" t="str">
        <f ca="1">IFERROR(__xludf.DUMMYFUNCTION("""COMPUTED_VALUE"""),"-33.6355953-70.3506088")</f>
        <v>-33.6355953-70.3506088</v>
      </c>
      <c r="C7018" s="6" t="str">
        <f ca="1">IFERROR(__xludf.DUMMYFUNCTION("""COMPUTED_VALUE"""),"EL ESFUERZO 19086")</f>
        <v>EL ESFUERZO 19086</v>
      </c>
      <c r="D7018" s="6" t="str">
        <f ca="1">IFERROR(__xludf.DUMMYFUNCTION("""COMPUTED_VALUE"""),"SAN JOSE DE MAIPO")</f>
        <v>SAN JOSE DE MAIPO</v>
      </c>
    </row>
    <row r="7019" spans="1:4">
      <c r="A7019" s="7">
        <f ca="1">IFERROR(__xludf.DUMMYFUNCTION("""COMPUTED_VALUE"""),44617)</f>
        <v>44617</v>
      </c>
      <c r="B7019" s="8" t="str">
        <f ca="1">IFERROR(__xludf.DUMMYFUNCTION("""COMPUTED_VALUE"""),"-33.320529,-70.847953")</f>
        <v>-33.320529,-70.847953</v>
      </c>
      <c r="C7019" s="6" t="str">
        <f ca="1">IFERROR(__xludf.DUMMYFUNCTION("""COMPUTED_VALUE"""),"EX. HAC. LAMPA PARC.20 N.3485")</f>
        <v>EX. HAC. LAMPA PARC.20 N.3485</v>
      </c>
      <c r="D7019" s="6" t="str">
        <f ca="1">IFERROR(__xludf.DUMMYFUNCTION("""COMPUTED_VALUE"""),"LAMPA")</f>
        <v>LAMPA</v>
      </c>
    </row>
    <row r="7020" spans="1:4">
      <c r="A7020" s="7">
        <f ca="1">IFERROR(__xludf.DUMMYFUNCTION("""COMPUTED_VALUE"""),44617)</f>
        <v>44617</v>
      </c>
      <c r="B7020" s="8" t="str">
        <f ca="1">IFERROR(__xludf.DUMMYFUNCTION("""COMPUTED_VALUE"""),"-33.320529,-70.847953")</f>
        <v>-33.320529,-70.847953</v>
      </c>
      <c r="C7020" s="6" t="str">
        <f ca="1">IFERROR(__xludf.DUMMYFUNCTION("""COMPUTED_VALUE"""),"EX. HAC. LAMPA PARC.20 N.3485")</f>
        <v>EX. HAC. LAMPA PARC.20 N.3485</v>
      </c>
      <c r="D7020" s="6" t="str">
        <f ca="1">IFERROR(__xludf.DUMMYFUNCTION("""COMPUTED_VALUE"""),"LAMPA")</f>
        <v>LAMPA</v>
      </c>
    </row>
    <row r="7021" spans="1:4">
      <c r="A7021" s="7">
        <f ca="1">IFERROR(__xludf.DUMMYFUNCTION("""COMPUTED_VALUE"""),44617)</f>
        <v>44617</v>
      </c>
      <c r="B7021" s="8" t="str">
        <f ca="1">IFERROR(__xludf.DUMMYFUNCTION("""COMPUTED_VALUE"""),"-33.297462,-70.577479")</f>
        <v>-33.297462,-70.577479</v>
      </c>
      <c r="C7021" s="6" t="str">
        <f ca="1">IFERROR(__xludf.DUMMYFUNCTION("""COMPUTED_VALUE"""),"LAS MALVAS 1059")</f>
        <v>LAS MALVAS 1059</v>
      </c>
      <c r="D7021" s="6" t="str">
        <f ca="1">IFERROR(__xludf.DUMMYFUNCTION("""COMPUTED_VALUE"""),"LAMPA")</f>
        <v>LAMPA</v>
      </c>
    </row>
    <row r="7022" spans="1:4">
      <c r="A7022" s="7">
        <f ca="1">IFERROR(__xludf.DUMMYFUNCTION("""COMPUTED_VALUE"""),44617)</f>
        <v>44617</v>
      </c>
      <c r="B7022" s="8" t="str">
        <f ca="1">IFERROR(__xludf.DUMMYFUNCTION("""COMPUTED_VALUE"""),"-33.297462,-70.577479")</f>
        <v>-33.297462,-70.577479</v>
      </c>
      <c r="C7022" s="6" t="str">
        <f ca="1">IFERROR(__xludf.DUMMYFUNCTION("""COMPUTED_VALUE"""),"LAS MALVAS 1059")</f>
        <v>LAS MALVAS 1059</v>
      </c>
      <c r="D7022" s="6" t="str">
        <f ca="1">IFERROR(__xludf.DUMMYFUNCTION("""COMPUTED_VALUE"""),"LAMPA")</f>
        <v>LAMPA</v>
      </c>
    </row>
    <row r="7023" spans="1:4">
      <c r="A7023" s="7">
        <f ca="1">IFERROR(__xludf.DUMMYFUNCTION("""COMPUTED_VALUE"""),44617)</f>
        <v>44617</v>
      </c>
      <c r="B7023" s="8" t="str">
        <f ca="1">IFERROR(__xludf.DUMMYFUNCTION("""COMPUTED_VALUE"""),"-33.667146,-70.918606")</f>
        <v>-33.667146,-70.918606</v>
      </c>
      <c r="C7023" s="6" t="str">
        <f ca="1">IFERROR(__xludf.DUMMYFUNCTION("""COMPUTED_VALUE"""),"ERNESTO MILLER 1522")</f>
        <v>ERNESTO MILLER 1522</v>
      </c>
      <c r="D7023" s="6" t="str">
        <f ca="1">IFERROR(__xludf.DUMMYFUNCTION("""COMPUTED_VALUE"""),"TALAGANTE")</f>
        <v>TALAGANTE</v>
      </c>
    </row>
    <row r="7024" spans="1:4">
      <c r="A7024" s="7">
        <f ca="1">IFERROR(__xludf.DUMMYFUNCTION("""COMPUTED_VALUE"""),44617)</f>
        <v>44617</v>
      </c>
      <c r="B7024" s="8" t="str">
        <f ca="1">IFERROR(__xludf.DUMMYFUNCTION("""COMPUTED_VALUE"""),"-33.193265,-70.673850")</f>
        <v>-33.193265,-70.673850</v>
      </c>
      <c r="C7024" s="6" t="str">
        <f ca="1">IFERROR(__xludf.DUMMYFUNCTION("""COMPUTED_VALUE"""),"LOS ESTEROS 1021")</f>
        <v>LOS ESTEROS 1021</v>
      </c>
      <c r="D7024" s="6" t="str">
        <f ca="1">IFERROR(__xludf.DUMMYFUNCTION("""COMPUTED_VALUE"""),"COLINA")</f>
        <v>COLINA</v>
      </c>
    </row>
    <row r="7025" spans="1:4">
      <c r="A7025" s="7">
        <f ca="1">IFERROR(__xludf.DUMMYFUNCTION("""COMPUTED_VALUE"""),44617)</f>
        <v>44617</v>
      </c>
      <c r="B7025" s="6" t="str">
        <f ca="1">IFERROR(__xludf.DUMMYFUNCTION("""COMPUTED_VALUE"""),"-33.728573,-70.539289")</f>
        <v>-33.728573,-70.539289</v>
      </c>
      <c r="C7025" s="6" t="str">
        <f ca="1">IFERROR(__xludf.DUMMYFUNCTION("""COMPUTED_VALUE"""),"EL PRINCIPAL SITIO 86")</f>
        <v>EL PRINCIPAL SITIO 86</v>
      </c>
      <c r="D7025" s="6" t="str">
        <f ca="1">IFERROR(__xludf.DUMMYFUNCTION("""COMPUTED_VALUE"""),"PIRQUE")</f>
        <v>PIRQUE</v>
      </c>
    </row>
    <row r="7026" spans="1:4">
      <c r="A7026" s="7">
        <f ca="1">IFERROR(__xludf.DUMMYFUNCTION("""COMPUTED_VALUE"""),44617)</f>
        <v>44617</v>
      </c>
      <c r="B7026" s="6" t="str">
        <f ca="1">IFERROR(__xludf.DUMMYFUNCTION("""COMPUTED_VALUE"""),"-33.409940,-71.148037")</f>
        <v>-33.409940,-71.148037</v>
      </c>
      <c r="C7026" s="6" t="str">
        <f ca="1">IFERROR(__xludf.DUMMYFUNCTION("""COMPUTED_VALUE"""),"AV AMBROSIO O'HIGGINS 316")</f>
        <v>AV AMBROSIO O'HIGGINS 316</v>
      </c>
      <c r="D7026" s="6" t="str">
        <f ca="1">IFERROR(__xludf.DUMMYFUNCTION("""COMPUTED_VALUE"""),"CURACAVI")</f>
        <v>CURACAVI</v>
      </c>
    </row>
    <row r="7027" spans="1:4">
      <c r="A7027" s="7">
        <f ca="1">IFERROR(__xludf.DUMMYFUNCTION("""COMPUTED_VALUE"""),44617)</f>
        <v>44617</v>
      </c>
      <c r="B7027" s="6" t="str">
        <f ca="1">IFERROR(__xludf.DUMMYFUNCTION("""COMPUTED_VALUE"""),"-33.408840,-71.148037")</f>
        <v>-33.408840,-71.148037</v>
      </c>
      <c r="C7027" s="6" t="str">
        <f ca="1">IFERROR(__xludf.DUMMYFUNCTION("""COMPUTED_VALUE"""),"AV AMBROSIO O'HIGGINS 316 S/2")</f>
        <v>AV AMBROSIO O'HIGGINS 316 S/2</v>
      </c>
      <c r="D7027" s="6" t="str">
        <f ca="1">IFERROR(__xludf.DUMMYFUNCTION("""COMPUTED_VALUE"""),"CURACAVI")</f>
        <v>CURACAVI</v>
      </c>
    </row>
    <row r="7028" spans="1:4">
      <c r="A7028" s="7">
        <f ca="1">IFERROR(__xludf.DUMMYFUNCTION("""COMPUTED_VALUE"""),44617)</f>
        <v>44617</v>
      </c>
      <c r="B7028" s="8" t="str">
        <f ca="1">IFERROR(__xludf.DUMMYFUNCTION("""COMPUTED_VALUE"""),"-33.753672,-70.742215")</f>
        <v>-33.753672,-70.742215</v>
      </c>
      <c r="C7028" s="6" t="str">
        <f ca="1">IFERROR(__xludf.DUMMYFUNCTION("""COMPUTED_VALUE"""),"JORGE VALDES CRUZAT 3139")</f>
        <v>JORGE VALDES CRUZAT 3139</v>
      </c>
      <c r="D7028" s="6" t="str">
        <f ca="1">IFERROR(__xludf.DUMMYFUNCTION("""COMPUTED_VALUE"""),"BUIN")</f>
        <v>BUIN</v>
      </c>
    </row>
    <row r="7029" spans="1:4">
      <c r="A7029" s="7">
        <f ca="1">IFERROR(__xludf.DUMMYFUNCTION("""COMPUTED_VALUE"""),44617)</f>
        <v>44617</v>
      </c>
      <c r="B7029" s="6" t="str">
        <f ca="1">IFERROR(__xludf.DUMMYFUNCTION("""COMPUTED_VALUE"""),"-33.812892,-70.733169")</f>
        <v>-33.812892,-70.733169</v>
      </c>
      <c r="C7029" s="6" t="str">
        <f ca="1">IFERROR(__xludf.DUMMYFUNCTION("""COMPUTED_VALUE"""),"DIOGENES CARVAJAL 861")</f>
        <v>DIOGENES CARVAJAL 861</v>
      </c>
      <c r="D7029" s="6" t="str">
        <f ca="1">IFERROR(__xludf.DUMMYFUNCTION("""COMPUTED_VALUE"""),"PAINE")</f>
        <v>PAINE</v>
      </c>
    </row>
    <row r="7030" spans="1:4">
      <c r="A7030" s="7">
        <f ca="1">IFERROR(__xludf.DUMMYFUNCTION("""COMPUTED_VALUE"""),44617)</f>
        <v>44617</v>
      </c>
      <c r="B7030" s="6" t="str">
        <f ca="1">IFERROR(__xludf.DUMMYFUNCTION("""COMPUTED_VALUE"""),"-33.804598,-70.712787")</f>
        <v>-33.804598,-70.712787</v>
      </c>
      <c r="C7030" s="6" t="str">
        <f ca="1">IFERROR(__xludf.DUMMYFUNCTION("""COMPUTED_VALUE"""),"PAULA JARAQUEMADA 47")</f>
        <v>PAULA JARAQUEMADA 47</v>
      </c>
      <c r="D7030" s="6" t="str">
        <f ca="1">IFERROR(__xludf.DUMMYFUNCTION("""COMPUTED_VALUE"""),"PAINE")</f>
        <v>PAINE</v>
      </c>
    </row>
    <row r="7031" spans="1:4">
      <c r="A7031" s="7">
        <f ca="1">IFERROR(__xludf.DUMMYFUNCTION("""COMPUTED_VALUE"""),44617)</f>
        <v>44617</v>
      </c>
      <c r="B7031" s="6" t="str">
        <f ca="1">IFERROR(__xludf.DUMMYFUNCTION("""COMPUTED_VALUE"""),"-33.2775256,-70.8348672")</f>
        <v>-33.2775256,-70.8348672</v>
      </c>
      <c r="C7031" s="6" t="str">
        <f ca="1">IFERROR(__xludf.DUMMYFUNCTION("""COMPUTED_VALUE"""),"CACIQUE COLIN KMT1")</f>
        <v>CACIQUE COLIN KMT1</v>
      </c>
      <c r="D7031" s="6" t="str">
        <f ca="1">IFERROR(__xludf.DUMMYFUNCTION("""COMPUTED_VALUE"""),"LAMPA")</f>
        <v>LAMPA</v>
      </c>
    </row>
    <row r="7032" spans="1:4">
      <c r="A7032" s="7">
        <f ca="1">IFERROR(__xludf.DUMMYFUNCTION("""COMPUTED_VALUE"""),44617)</f>
        <v>44617</v>
      </c>
      <c r="B7032" s="6" t="str">
        <f ca="1">IFERROR(__xludf.DUMMYFUNCTION("""COMPUTED_VALUE"""),"-33.861637,-70.723832")</f>
        <v>-33.861637,-70.723832</v>
      </c>
      <c r="C7032" s="6" t="str">
        <f ca="1">IFERROR(__xludf.DUMMYFUNCTION("""COMPUTED_VALUE"""),"ROMERO P/103 B")</f>
        <v>ROMERO P/103 B</v>
      </c>
      <c r="D7032" s="6" t="str">
        <f ca="1">IFERROR(__xludf.DUMMYFUNCTION("""COMPUTED_VALUE"""),"PAINE")</f>
        <v>PAINE</v>
      </c>
    </row>
    <row r="7033" spans="1:4">
      <c r="A7033" s="7">
        <f ca="1">IFERROR(__xludf.DUMMYFUNCTION("""COMPUTED_VALUE"""),44617)</f>
        <v>44617</v>
      </c>
      <c r="B7033" s="6" t="str">
        <f ca="1">IFERROR(__xludf.DUMMYFUNCTION("""COMPUTED_VALUE"""),"-33.863419,-70.749583")</f>
        <v>-33.863419,-70.749583</v>
      </c>
      <c r="C7033" s="6" t="str">
        <f ca="1">IFERROR(__xludf.DUMMYFUNCTION("""COMPUTED_VALUE"""),"PASAJE A 1161")</f>
        <v>PASAJE A 1161</v>
      </c>
      <c r="D7033" s="6" t="str">
        <f ca="1">IFERROR(__xludf.DUMMYFUNCTION("""COMPUTED_VALUE"""),"PAINE")</f>
        <v>PAINE</v>
      </c>
    </row>
    <row r="7034" spans="1:4">
      <c r="A7034" s="7">
        <f ca="1">IFERROR(__xludf.DUMMYFUNCTION("""COMPUTED_VALUE"""),44618)</f>
        <v>44618</v>
      </c>
      <c r="B7034" s="6" t="str">
        <f ca="1">IFERROR(__xludf.DUMMYFUNCTION("""COMPUTED_VALUE"""),"-33.6655107-70.3496165")</f>
        <v>-33.6655107-70.3496165</v>
      </c>
      <c r="C7034" s="6" t="str">
        <f ca="1">IFERROR(__xludf.DUMMYFUNCTION("""COMPUTED_VALUE"""),"SAN JOSE ALTO S/N")</f>
        <v>SAN JOSE ALTO S/N</v>
      </c>
      <c r="D7034" s="6" t="str">
        <f ca="1">IFERROR(__xludf.DUMMYFUNCTION("""COMPUTED_VALUE"""),"SAN JOSE DE MAIPO")</f>
        <v>SAN JOSE DE MAIPO</v>
      </c>
    </row>
    <row r="7035" spans="1:4">
      <c r="A7035" s="7">
        <f ca="1">IFERROR(__xludf.DUMMYFUNCTION("""COMPUTED_VALUE"""),44618)</f>
        <v>44618</v>
      </c>
      <c r="B7035" s="6" t="str">
        <f ca="1">IFERROR(__xludf.DUMMYFUNCTION("""COMPUTED_VALUE"""),"-33.6634569-70.3501389")</f>
        <v>-33.6634569-70.3501389</v>
      </c>
      <c r="C7035" s="6" t="str">
        <f ca="1">IFERROR(__xludf.DUMMYFUNCTION("""COMPUTED_VALUE"""),"SAN JOSE ALTO S/N")</f>
        <v>SAN JOSE ALTO S/N</v>
      </c>
      <c r="D7035" s="6" t="str">
        <f ca="1">IFERROR(__xludf.DUMMYFUNCTION("""COMPUTED_VALUE"""),"SAN JOSE DE MAIPO")</f>
        <v>SAN JOSE DE MAIPO</v>
      </c>
    </row>
    <row r="7036" spans="1:4">
      <c r="A7036" s="7">
        <f ca="1">IFERROR(__xludf.DUMMYFUNCTION("""COMPUTED_VALUE"""),44618)</f>
        <v>44618</v>
      </c>
      <c r="B7036" s="8" t="str">
        <f ca="1">IFERROR(__xludf.DUMMYFUNCTION("""COMPUTED_VALUE"""),"-33.182824,-70.652879")</f>
        <v>-33.182824,-70.652879</v>
      </c>
      <c r="C7036" s="6" t="str">
        <f ca="1">IFERROR(__xludf.DUMMYFUNCTION("""COMPUTED_VALUE"""),"MICHAEL COLINA 198")</f>
        <v>MICHAEL COLINA 198</v>
      </c>
      <c r="D7036" s="6" t="str">
        <f ca="1">IFERROR(__xludf.DUMMYFUNCTION("""COMPUTED_VALUE"""),"COLINA")</f>
        <v>COLINA</v>
      </c>
    </row>
    <row r="7037" spans="1:4">
      <c r="A7037" s="7">
        <f ca="1">IFERROR(__xludf.DUMMYFUNCTION("""COMPUTED_VALUE"""),44618)</f>
        <v>44618</v>
      </c>
      <c r="B7037" s="8" t="str">
        <f ca="1">IFERROR(__xludf.DUMMYFUNCTION("""COMPUTED_VALUE"""),"-33.181625,-70.667676")</f>
        <v>-33.181625,-70.667676</v>
      </c>
      <c r="C7037" s="6" t="str">
        <f ca="1">IFERROR(__xludf.DUMMYFUNCTION("""COMPUTED_VALUE"""),"EDUARDO BARRIO 1796")</f>
        <v>EDUARDO BARRIO 1796</v>
      </c>
      <c r="D7037" s="6" t="str">
        <f ca="1">IFERROR(__xludf.DUMMYFUNCTION("""COMPUTED_VALUE"""),"COLINA")</f>
        <v>COLINA</v>
      </c>
    </row>
    <row r="7038" spans="1:4">
      <c r="A7038" s="7">
        <f ca="1">IFERROR(__xludf.DUMMYFUNCTION("""COMPUTED_VALUE"""),44618)</f>
        <v>44618</v>
      </c>
      <c r="B7038" s="8" t="str">
        <f ca="1">IFERROR(__xludf.DUMMYFUNCTION("""COMPUTED_VALUE"""),"-33.698218,-70.577734")</f>
        <v>-33.698218,-70.577734</v>
      </c>
      <c r="C7038" s="6" t="str">
        <f ca="1">IFERROR(__xludf.DUMMYFUNCTION("""COMPUTED_VALUE"""),"LA MEDIA LUNA SITIO 5 ")</f>
        <v xml:space="preserve">LA MEDIA LUNA SITIO 5 </v>
      </c>
      <c r="D7038" s="6" t="str">
        <f ca="1">IFERROR(__xludf.DUMMYFUNCTION("""COMPUTED_VALUE"""),"PIRQUE")</f>
        <v>PIRQUE</v>
      </c>
    </row>
    <row r="7039" spans="1:4">
      <c r="A7039" s="7">
        <f ca="1">IFERROR(__xludf.DUMMYFUNCTION("""COMPUTED_VALUE"""),44618)</f>
        <v>44618</v>
      </c>
      <c r="B7039" s="8" t="str">
        <f ca="1">IFERROR(__xludf.DUMMYFUNCTION("""COMPUTED_VALUE"""),"-33.698271,-70.577359")</f>
        <v>-33.698271,-70.577359</v>
      </c>
      <c r="C7039" s="6" t="str">
        <f ca="1">IFERROR(__xludf.DUMMYFUNCTION("""COMPUTED_VALUE"""),"LA MEDIA LUNA PARCELA 25")</f>
        <v>LA MEDIA LUNA PARCELA 25</v>
      </c>
      <c r="D7039" s="6" t="str">
        <f ca="1">IFERROR(__xludf.DUMMYFUNCTION("""COMPUTED_VALUE"""),"PIRQUE")</f>
        <v>PIRQUE</v>
      </c>
    </row>
    <row r="7040" spans="1:4">
      <c r="A7040" s="7">
        <f ca="1">IFERROR(__xludf.DUMMYFUNCTION("""COMPUTED_VALUE"""),44620)</f>
        <v>44620</v>
      </c>
      <c r="B7040" s="6" t="str">
        <f ca="1">IFERROR(__xludf.DUMMYFUNCTION("""COMPUTED_VALUE"""),"-33.23723-70.80847")</f>
        <v>-33.23723-70.80847</v>
      </c>
      <c r="C7040" s="6" t="str">
        <f ca="1">IFERROR(__xludf.DUMMYFUNCTION("""COMPUTED_VALUE"""),"ARTURO PRAT M3 S20")</f>
        <v>ARTURO PRAT M3 S20</v>
      </c>
      <c r="D7040" s="6" t="str">
        <f ca="1">IFERROR(__xludf.DUMMYFUNCTION("""COMPUTED_VALUE"""),"LAMPA")</f>
        <v>LAMPA</v>
      </c>
    </row>
    <row r="7041" spans="1:4">
      <c r="A7041" s="7">
        <f ca="1">IFERROR(__xludf.DUMMYFUNCTION("""COMPUTED_VALUE"""),44620)</f>
        <v>44620</v>
      </c>
      <c r="B7041" s="6" t="str">
        <f ca="1">IFERROR(__xludf.DUMMYFUNCTION("""COMPUTED_VALUE"""),"-33.29104-70.87827")</f>
        <v>-33.29104-70.87827</v>
      </c>
      <c r="C7041" s="6" t="str">
        <f ca="1">IFERROR(__xludf.DUMMYFUNCTION("""COMPUTED_VALUE"""),"CARMEN RUBIO 24")</f>
        <v>CARMEN RUBIO 24</v>
      </c>
      <c r="D7041" s="6" t="str">
        <f ca="1">IFERROR(__xludf.DUMMYFUNCTION("""COMPUTED_VALUE"""),"LAMPA")</f>
        <v>LAMPA</v>
      </c>
    </row>
    <row r="7042" spans="1:4">
      <c r="A7042" s="7">
        <f ca="1">IFERROR(__xludf.DUMMYFUNCTION("""COMPUTED_VALUE"""),44620)</f>
        <v>44620</v>
      </c>
      <c r="B7042" s="6" t="str">
        <f ca="1">IFERROR(__xludf.DUMMYFUNCTION("""COMPUTED_VALUE"""),"-33.6855838-70.3384881")</f>
        <v>-33.6855838-70.3384881</v>
      </c>
      <c r="C7042" s="6" t="str">
        <f ca="1">IFERROR(__xludf.DUMMYFUNCTION("""COMPUTED_VALUE"""),"EL ARENAL 063")</f>
        <v>EL ARENAL 063</v>
      </c>
      <c r="D7042" s="6" t="str">
        <f ca="1">IFERROR(__xludf.DUMMYFUNCTION("""COMPUTED_VALUE"""),"SAN JOSE DE MAIPO")</f>
        <v>SAN JOSE DE MAIPO</v>
      </c>
    </row>
    <row r="7043" spans="1:4">
      <c r="A7043" s="7">
        <f ca="1">IFERROR(__xludf.DUMMYFUNCTION("""COMPUTED_VALUE"""),44620)</f>
        <v>44620</v>
      </c>
      <c r="B7043" s="6" t="str">
        <f ca="1">IFERROR(__xludf.DUMMYFUNCTION("""COMPUTED_VALUE"""),"-33.6855838-70.3384881")</f>
        <v>-33.6855838-70.3384881</v>
      </c>
      <c r="C7043" s="6" t="str">
        <f ca="1">IFERROR(__xludf.DUMMYFUNCTION("""COMPUTED_VALUE"""),"EL ARENAL 063")</f>
        <v>EL ARENAL 063</v>
      </c>
      <c r="D7043" s="6" t="str">
        <f ca="1">IFERROR(__xludf.DUMMYFUNCTION("""COMPUTED_VALUE"""),"SAN JOSE DE MAIPO")</f>
        <v>SAN JOSE DE MAIPO</v>
      </c>
    </row>
    <row r="7044" spans="1:4">
      <c r="A7044" s="7">
        <f ca="1">IFERROR(__xludf.DUMMYFUNCTION("""COMPUTED_VALUE"""),44620)</f>
        <v>44620</v>
      </c>
      <c r="B7044" s="6" t="str">
        <f ca="1">IFERROR(__xludf.DUMMYFUNCTION("""COMPUTED_VALUE"""),"-33.6348-70.3474")</f>
        <v>-33.6348-70.3474</v>
      </c>
      <c r="C7044" s="6" t="str">
        <f ca="1">IFERROR(__xludf.DUMMYFUNCTION("""COMPUTED_VALUE"""),"AV CEMENTERIO 19058")</f>
        <v>AV CEMENTERIO 19058</v>
      </c>
      <c r="D7044" s="6" t="str">
        <f ca="1">IFERROR(__xludf.DUMMYFUNCTION("""COMPUTED_VALUE"""),"SAN JOSE DE MAIPO")</f>
        <v>SAN JOSE DE MAIPO</v>
      </c>
    </row>
    <row r="7045" spans="1:4">
      <c r="A7045" s="7">
        <f ca="1">IFERROR(__xludf.DUMMYFUNCTION("""COMPUTED_VALUE"""),44620)</f>
        <v>44620</v>
      </c>
      <c r="B7045" s="8" t="str">
        <f ca="1">IFERROR(__xludf.DUMMYFUNCTION("""COMPUTED_VALUE"""),"-33.639344,-70.582111")</f>
        <v>-33.639344,-70.582111</v>
      </c>
      <c r="C7045" s="6" t="str">
        <f ca="1">IFERROR(__xludf.DUMMYFUNCTION("""COMPUTED_VALUE"""),"AV. VIRGINIA SUBERCOSOVA 915")</f>
        <v>AV. VIRGINIA SUBERCOSOVA 915</v>
      </c>
      <c r="D7045" s="6" t="str">
        <f ca="1">IFERROR(__xludf.DUMMYFUNCTION("""COMPUTED_VALUE"""),"PIRQUE")</f>
        <v>PIRQUE</v>
      </c>
    </row>
    <row r="7046" spans="1:4">
      <c r="A7046" s="7">
        <f ca="1">IFERROR(__xludf.DUMMYFUNCTION("""COMPUTED_VALUE"""),44620)</f>
        <v>44620</v>
      </c>
      <c r="B7046" s="8" t="str">
        <f ca="1">IFERROR(__xludf.DUMMYFUNCTION("""COMPUTED_VALUE"""),"-33.710386,-70.530891")</f>
        <v>-33.710386,-70.530891</v>
      </c>
      <c r="C7046" s="6" t="str">
        <f ca="1">IFERROR(__xludf.DUMMYFUNCTION("""COMPUTED_VALUE"""),"ORILLA DEL RIO 156")</f>
        <v>ORILLA DEL RIO 156</v>
      </c>
      <c r="D7046" s="6" t="str">
        <f ca="1">IFERROR(__xludf.DUMMYFUNCTION("""COMPUTED_VALUE"""),"PIRQUE")</f>
        <v>PIRQUE</v>
      </c>
    </row>
    <row r="7047" spans="1:4">
      <c r="A7047" s="7">
        <f ca="1">IFERROR(__xludf.DUMMYFUNCTION("""COMPUTED_VALUE"""),44620)</f>
        <v>44620</v>
      </c>
      <c r="B7047" s="8" t="str">
        <f ca="1">IFERROR(__xludf.DUMMYFUNCTION("""COMPUTED_VALUE"""),"-33.6419130,-70.5812010")</f>
        <v>-33.6419130,-70.5812010</v>
      </c>
      <c r="C7047" s="6" t="str">
        <f ca="1">IFERROR(__xludf.DUMMYFUNCTION("""COMPUTED_VALUE"""),"SUBERCASEAUX 1631")</f>
        <v>SUBERCASEAUX 1631</v>
      </c>
      <c r="D7047" s="6" t="str">
        <f ca="1">IFERROR(__xludf.DUMMYFUNCTION("""COMPUTED_VALUE"""),"PIRQUE")</f>
        <v>PIRQUE</v>
      </c>
    </row>
    <row r="7048" spans="1:4">
      <c r="A7048" s="7">
        <f ca="1">IFERROR(__xludf.DUMMYFUNCTION("""COMPUTED_VALUE"""),44620)</f>
        <v>44620</v>
      </c>
      <c r="B7048" s="6" t="str">
        <f ca="1">IFERROR(__xludf.DUMMYFUNCTION("""COMPUTED_VALUE"""),"-33.572591,-70.820826")</f>
        <v>-33.572591,-70.820826</v>
      </c>
      <c r="C7048" s="6" t="str">
        <f ca="1">IFERROR(__xludf.DUMMYFUNCTION("""COMPUTED_VALUE"""),"PA POYENTU 1446CH VILLA EL ALTO ")</f>
        <v xml:space="preserve">PA POYENTU 1446CH VILLA EL ALTO </v>
      </c>
      <c r="D7048" s="6" t="str">
        <f ca="1">IFERROR(__xludf.DUMMYFUNCTION("""COMPUTED_VALUE"""),"PADRE HURTADO")</f>
        <v>PADRE HURTADO</v>
      </c>
    </row>
    <row r="7049" spans="1:4">
      <c r="A7049" s="7">
        <f ca="1">IFERROR(__xludf.DUMMYFUNCTION("""COMPUTED_VALUE"""),44620)</f>
        <v>44620</v>
      </c>
      <c r="B7049" s="6" t="str">
        <f ca="1">IFERROR(__xludf.DUMMYFUNCTION("""COMPUTED_VALUE"""),"-33.630249,-71.253011")</f>
        <v>-33.630249,-71.253011</v>
      </c>
      <c r="C7049" s="6" t="str">
        <f ca="1">IFERROR(__xludf.DUMMYFUNCTION("""COMPUTED_VALUE"""),"VILLA ALEGRE PAR 22")</f>
        <v>VILLA ALEGRE PAR 22</v>
      </c>
      <c r="D7049" s="6" t="str">
        <f ca="1">IFERROR(__xludf.DUMMYFUNCTION("""COMPUTED_VALUE"""),"MELIPILLA")</f>
        <v>MELIPILLA</v>
      </c>
    </row>
    <row r="7050" spans="1:4">
      <c r="A7050" s="7">
        <f ca="1">IFERROR(__xludf.DUMMYFUNCTION("""COMPUTED_VALUE"""),44621)</f>
        <v>44621</v>
      </c>
      <c r="B7050" s="8" t="str">
        <f ca="1">IFERROR(__xludf.DUMMYFUNCTION("""COMPUTED_VALUE"""),"33.6116873, -70.8972801")</f>
        <v>33.6116873, -70.8972801</v>
      </c>
      <c r="C7050" s="6" t="str">
        <f ca="1">IFERROR(__xludf.DUMMYFUNCTION("""COMPUTED_VALUE"""),"VICUÑA MACKENNA 3415,")</f>
        <v>VICUÑA MACKENNA 3415,</v>
      </c>
      <c r="D7050" s="6" t="str">
        <f ca="1">IFERROR(__xludf.DUMMYFUNCTION("""COMPUTED_VALUE"""),"PEÑAFLOR")</f>
        <v>PEÑAFLOR</v>
      </c>
    </row>
    <row r="7051" spans="1:4">
      <c r="A7051" s="7">
        <f ca="1">IFERROR(__xludf.DUMMYFUNCTION("""COMPUTED_VALUE"""),44621)</f>
        <v>44621</v>
      </c>
      <c r="B7051" s="8" t="str">
        <f ca="1">IFERROR(__xludf.DUMMYFUNCTION("""COMPUTED_VALUE"""),"33749544-70913974")</f>
        <v>33749544-70913974</v>
      </c>
      <c r="C7051" s="6" t="str">
        <f ca="1">IFERROR(__xludf.DUMMYFUNCTION("""COMPUTED_VALUE"""),"AV SANTELICES 1908 PARCELA 7")</f>
        <v>AV SANTELICES 1908 PARCELA 7</v>
      </c>
      <c r="D7051" s="6" t="str">
        <f ca="1">IFERROR(__xludf.DUMMYFUNCTION("""COMPUTED_VALUE"""),"ISLA DE MAIPO")</f>
        <v>ISLA DE MAIPO</v>
      </c>
    </row>
    <row r="7052" spans="1:4">
      <c r="A7052" s="7">
        <f ca="1">IFERROR(__xludf.DUMMYFUNCTION("""COMPUTED_VALUE"""),44621)</f>
        <v>44621</v>
      </c>
      <c r="B7052" s="8" t="str">
        <f ca="1">IFERROR(__xludf.DUMMYFUNCTION("""COMPUTED_VALUE"""),"33749544-70913974")</f>
        <v>33749544-70913974</v>
      </c>
      <c r="C7052" s="6" t="str">
        <f ca="1">IFERROR(__xludf.DUMMYFUNCTION("""COMPUTED_VALUE"""),"AV SANTELICES 1908 PARCELA 7")</f>
        <v>AV SANTELICES 1908 PARCELA 7</v>
      </c>
      <c r="D7052" s="6" t="str">
        <f ca="1">IFERROR(__xludf.DUMMYFUNCTION("""COMPUTED_VALUE"""),"ISLA DE MAIPO")</f>
        <v>ISLA DE MAIPO</v>
      </c>
    </row>
    <row r="7053" spans="1:4">
      <c r="A7053" s="7">
        <f ca="1">IFERROR(__xludf.DUMMYFUNCTION("""COMPUTED_VALUE"""),44621)</f>
        <v>44621</v>
      </c>
      <c r="B7053" s="6" t="str">
        <f ca="1">IFERROR(__xludf.DUMMYFUNCTION("""COMPUTED_VALUE"""),"-33.3935161-71.12841113")</f>
        <v>-33.3935161-71.12841113</v>
      </c>
      <c r="C7053" s="6" t="str">
        <f ca="1">IFERROR(__xludf.DUMMYFUNCTION("""COMPUTED_VALUE"""),"PRESBITERO MORAGA 915")</f>
        <v>PRESBITERO MORAGA 915</v>
      </c>
      <c r="D7053" s="6" t="str">
        <f ca="1">IFERROR(__xludf.DUMMYFUNCTION("""COMPUTED_VALUE"""),"CURACAVI")</f>
        <v>CURACAVI</v>
      </c>
    </row>
    <row r="7054" spans="1:4">
      <c r="A7054" s="7">
        <f ca="1">IFERROR(__xludf.DUMMYFUNCTION("""COMPUTED_VALUE"""),44621)</f>
        <v>44621</v>
      </c>
      <c r="B7054" s="6" t="str">
        <f ca="1">IFERROR(__xludf.DUMMYFUNCTION("""COMPUTED_VALUE"""),"-33.3935161-71.12841113")</f>
        <v>-33.3935161-71.12841113</v>
      </c>
      <c r="C7054" s="6" t="str">
        <f ca="1">IFERROR(__xludf.DUMMYFUNCTION("""COMPUTED_VALUE"""),"PRESBITERO MORAGA 915")</f>
        <v>PRESBITERO MORAGA 915</v>
      </c>
      <c r="D7054" s="6" t="str">
        <f ca="1">IFERROR(__xludf.DUMMYFUNCTION("""COMPUTED_VALUE"""),"CURACAVI")</f>
        <v>CURACAVI</v>
      </c>
    </row>
    <row r="7055" spans="1:4">
      <c r="A7055" s="7">
        <f ca="1">IFERROR(__xludf.DUMMYFUNCTION("""COMPUTED_VALUE"""),44621)</f>
        <v>44621</v>
      </c>
      <c r="B7055" s="6" t="str">
        <f ca="1">IFERROR(__xludf.DUMMYFUNCTION("""COMPUTED_VALUE"""),"-33.67389-71.20858")</f>
        <v>-33.67389-71.20858</v>
      </c>
      <c r="C7055" s="6" t="str">
        <f ca="1">IFERROR(__xludf.DUMMYFUNCTION("""COMPUTED_VALUE"""),"OSTOLAZAS 242")</f>
        <v>OSTOLAZAS 242</v>
      </c>
      <c r="D7055" s="6" t="str">
        <f ca="1">IFERROR(__xludf.DUMMYFUNCTION("""COMPUTED_VALUE"""),"MELIPILLA")</f>
        <v>MELIPILLA</v>
      </c>
    </row>
    <row r="7056" spans="1:4">
      <c r="A7056" s="7">
        <f ca="1">IFERROR(__xludf.DUMMYFUNCTION("""COMPUTED_VALUE"""),44621)</f>
        <v>44621</v>
      </c>
      <c r="B7056" s="6" t="str">
        <f ca="1">IFERROR(__xludf.DUMMYFUNCTION("""COMPUTED_VALUE"""),"-33.67389-71.20858")</f>
        <v>-33.67389-71.20858</v>
      </c>
      <c r="C7056" s="6" t="str">
        <f ca="1">IFERROR(__xludf.DUMMYFUNCTION("""COMPUTED_VALUE"""),"OSTOLAZAS 242")</f>
        <v>OSTOLAZAS 242</v>
      </c>
      <c r="D7056" s="6" t="str">
        <f ca="1">IFERROR(__xludf.DUMMYFUNCTION("""COMPUTED_VALUE"""),"MELIPILLA")</f>
        <v>MELIPILLA</v>
      </c>
    </row>
    <row r="7057" spans="1:4">
      <c r="A7057" s="7">
        <f ca="1">IFERROR(__xludf.DUMMYFUNCTION("""COMPUTED_VALUE"""),44621)</f>
        <v>44621</v>
      </c>
      <c r="B7057" s="6" t="str">
        <f ca="1">IFERROR(__xludf.DUMMYFUNCTION("""COMPUTED_VALUE"""),"-33.67389-71.20858")</f>
        <v>-33.67389-71.20858</v>
      </c>
      <c r="C7057" s="6" t="str">
        <f ca="1">IFERROR(__xludf.DUMMYFUNCTION("""COMPUTED_VALUE"""),"OSTOLAZAS 242")</f>
        <v>OSTOLAZAS 242</v>
      </c>
      <c r="D7057" s="6" t="str">
        <f ca="1">IFERROR(__xludf.DUMMYFUNCTION("""COMPUTED_VALUE"""),"MELIPILLA")</f>
        <v>MELIPILLA</v>
      </c>
    </row>
    <row r="7058" spans="1:4">
      <c r="A7058" s="7">
        <f ca="1">IFERROR(__xludf.DUMMYFUNCTION("""COMPUTED_VALUE"""),44621)</f>
        <v>44621</v>
      </c>
      <c r="B7058" s="6" t="str">
        <f ca="1">IFERROR(__xludf.DUMMYFUNCTION("""COMPUTED_VALUE"""),"-33.67072-71.21839")</f>
        <v>-33.67072-71.21839</v>
      </c>
      <c r="C7058" s="6" t="str">
        <f ca="1">IFERROR(__xludf.DUMMYFUNCTION("""COMPUTED_VALUE"""),"AV VICUÑA MACKENNA 848")</f>
        <v>AV VICUÑA MACKENNA 848</v>
      </c>
      <c r="D7058" s="6" t="str">
        <f ca="1">IFERROR(__xludf.DUMMYFUNCTION("""COMPUTED_VALUE"""),"MELIPILLA")</f>
        <v>MELIPILLA</v>
      </c>
    </row>
    <row r="7059" spans="1:4">
      <c r="A7059" s="7">
        <f ca="1">IFERROR(__xludf.DUMMYFUNCTION("""COMPUTED_VALUE"""),44621)</f>
        <v>44621</v>
      </c>
      <c r="B7059" s="8" t="str">
        <f ca="1">IFERROR(__xludf.DUMMYFUNCTION("""COMPUTED_VALUE"""),"-33.396739,-71128991")</f>
        <v>-33.396739,-71128991</v>
      </c>
      <c r="C7059" s="6" t="str">
        <f ca="1">IFERROR(__xludf.DUMMYFUNCTION("""COMPUTED_VALUE"""),"ALBERTO FELLEMBERG 1889")</f>
        <v>ALBERTO FELLEMBERG 1889</v>
      </c>
      <c r="D7059" s="6" t="str">
        <f ca="1">IFERROR(__xludf.DUMMYFUNCTION("""COMPUTED_VALUE"""),"CURACAVI")</f>
        <v>CURACAVI</v>
      </c>
    </row>
    <row r="7060" spans="1:4">
      <c r="A7060" s="7">
        <f ca="1">IFERROR(__xludf.DUMMYFUNCTION("""COMPUTED_VALUE"""),44621)</f>
        <v>44621</v>
      </c>
      <c r="B7060" s="8" t="str">
        <f ca="1">IFERROR(__xludf.DUMMYFUNCTION("""COMPUTED_VALUE"""),"-33.712588,-70.567512")</f>
        <v>-33.712588,-70.567512</v>
      </c>
      <c r="C7060" s="6" t="str">
        <f ca="1">IFERROR(__xludf.DUMMYFUNCTION("""COMPUTED_VALUE"""),"RINCONADA DEL PRINCIPAL 1424")</f>
        <v>RINCONADA DEL PRINCIPAL 1424</v>
      </c>
      <c r="D7060" s="6" t="str">
        <f ca="1">IFERROR(__xludf.DUMMYFUNCTION("""COMPUTED_VALUE"""),"PIRQUE")</f>
        <v>PIRQUE</v>
      </c>
    </row>
    <row r="7061" spans="1:4">
      <c r="A7061" s="7">
        <f ca="1">IFERROR(__xludf.DUMMYFUNCTION("""COMPUTED_VALUE"""),44621)</f>
        <v>44621</v>
      </c>
      <c r="B7061" s="8" t="str">
        <f ca="1">IFERROR(__xludf.DUMMYFUNCTION("""COMPUTED_VALUE"""),"-33.43165S,-70.33202W")</f>
        <v>-33.43165S,-70.33202W</v>
      </c>
      <c r="C7061" s="6" t="str">
        <f ca="1">IFERROR(__xludf.DUMMYFUNCTION("""COMPUTED_VALUE"""),"NAVARRETE 121")</f>
        <v>NAVARRETE 121</v>
      </c>
      <c r="D7061" s="6" t="str">
        <f ca="1">IFERROR(__xludf.DUMMYFUNCTION("""COMPUTED_VALUE"""),"PIRQUE")</f>
        <v>PIRQUE</v>
      </c>
    </row>
    <row r="7062" spans="1:4">
      <c r="A7062" s="7">
        <f ca="1">IFERROR(__xludf.DUMMYFUNCTION("""COMPUTED_VALUE"""),44621)</f>
        <v>44621</v>
      </c>
      <c r="B7062" s="6" t="str">
        <f ca="1">IFERROR(__xludf.DUMMYFUNCTION("""COMPUTED_VALUE"""),"-33.5967989,-70.877854")</f>
        <v>-33.5967989,-70.877854</v>
      </c>
      <c r="C7062" s="6" t="str">
        <f ca="1">IFERROR(__xludf.DUMMYFUNCTION("""COMPUTED_VALUE"""),"PA FRANCISCO ESPINOZA 2613")</f>
        <v>PA FRANCISCO ESPINOZA 2613</v>
      </c>
      <c r="D7062" s="6" t="str">
        <f ca="1">IFERROR(__xludf.DUMMYFUNCTION("""COMPUTED_VALUE"""),"PEÑAFLOR")</f>
        <v>PEÑAFLOR</v>
      </c>
    </row>
    <row r="7063" spans="1:4">
      <c r="A7063" s="7">
        <f ca="1">IFERROR(__xludf.DUMMYFUNCTION("""COMPUTED_VALUE"""),44621)</f>
        <v>44621</v>
      </c>
      <c r="B7063" s="6" t="str">
        <f ca="1">IFERROR(__xludf.DUMMYFUNCTION("""COMPUTED_VALUE"""),"-33.644029,-70.625298")</f>
        <v>-33.644029,-70.625298</v>
      </c>
      <c r="C7063" s="6" t="str">
        <f ca="1">IFERROR(__xludf.DUMMYFUNCTION("""COMPUTED_VALUE"""),"AVDA VIRGINIA SUBERCASEUX 203")</f>
        <v>AVDA VIRGINIA SUBERCASEUX 203</v>
      </c>
      <c r="D7063" s="6" t="str">
        <f ca="1">IFERROR(__xludf.DUMMYFUNCTION("""COMPUTED_VALUE"""),"PIRQUE")</f>
        <v>PIRQUE</v>
      </c>
    </row>
    <row r="7064" spans="1:4">
      <c r="A7064" s="7">
        <f ca="1">IFERROR(__xludf.DUMMYFUNCTION("""COMPUTED_VALUE"""),44621)</f>
        <v>44621</v>
      </c>
      <c r="B7064" s="6" t="str">
        <f ca="1">IFERROR(__xludf.DUMMYFUNCTION("""COMPUTED_VALUE"""),"-33.791616,-70.739437")</f>
        <v>-33.791616,-70.739437</v>
      </c>
      <c r="C7064" s="6" t="str">
        <f ca="1">IFERROR(__xludf.DUMMYFUNCTION("""COMPUTED_VALUE"""),"AV. GRAL. BAQUEDANO 3 STA. EUGENIA")</f>
        <v>AV. GRAL. BAQUEDANO 3 STA. EUGENIA</v>
      </c>
      <c r="D7064" s="6" t="str">
        <f ca="1">IFERROR(__xludf.DUMMYFUNCTION("""COMPUTED_VALUE"""),"PAINE")</f>
        <v>PAINE</v>
      </c>
    </row>
    <row r="7065" spans="1:4">
      <c r="A7065" s="7">
        <f ca="1">IFERROR(__xludf.DUMMYFUNCTION("""COMPUTED_VALUE"""),44621)</f>
        <v>44621</v>
      </c>
      <c r="B7065" s="6" t="str">
        <f ca="1">IFERROR(__xludf.DUMMYFUNCTION("""COMPUTED_VALUE"""),"-33.791533,-70.739673")</f>
        <v>-33.791533,-70.739673</v>
      </c>
      <c r="C7065" s="6" t="str">
        <f ca="1">IFERROR(__xludf.DUMMYFUNCTION("""COMPUTED_VALUE"""),"AV. GRAL. BAQUEDANO 3 STA. EUGENIA")</f>
        <v>AV. GRAL. BAQUEDANO 3 STA. EUGENIA</v>
      </c>
      <c r="D7065" s="6" t="str">
        <f ca="1">IFERROR(__xludf.DUMMYFUNCTION("""COMPUTED_VALUE"""),"PAINE")</f>
        <v>PAINE</v>
      </c>
    </row>
    <row r="7066" spans="1:4">
      <c r="A7066" s="7">
        <f ca="1">IFERROR(__xludf.DUMMYFUNCTION("""COMPUTED_VALUE"""),44621)</f>
        <v>44621</v>
      </c>
      <c r="B7066" s="6" t="str">
        <f ca="1">IFERROR(__xludf.DUMMYFUNCTION("""COMPUTED_VALUE"""),"-33.710395,-70.554561")</f>
        <v>-33.710395,-70.554561</v>
      </c>
      <c r="C7066" s="6" t="str">
        <f ca="1">IFERROR(__xludf.DUMMYFUNCTION("""COMPUTED_VALUE"""),"CALLE NUEVA 44 ")</f>
        <v xml:space="preserve">CALLE NUEVA 44 </v>
      </c>
      <c r="D7066" s="6" t="str">
        <f ca="1">IFERROR(__xludf.DUMMYFUNCTION("""COMPUTED_VALUE"""),"PIRQUE")</f>
        <v>PIRQUE</v>
      </c>
    </row>
    <row r="7067" spans="1:4">
      <c r="A7067" s="7">
        <f ca="1">IFERROR(__xludf.DUMMYFUNCTION("""COMPUTED_VALUE"""),44621)</f>
        <v>44621</v>
      </c>
      <c r="B7067" s="6" t="str">
        <f ca="1">IFERROR(__xludf.DUMMYFUNCTION("""COMPUTED_VALUE"""),"-33.710380,-70.554496")</f>
        <v>-33.710380,-70.554496</v>
      </c>
      <c r="C7067" s="6" t="str">
        <f ca="1">IFERROR(__xludf.DUMMYFUNCTION("""COMPUTED_VALUE"""),"CALLE NUEVA 44 ")</f>
        <v xml:space="preserve">CALLE NUEVA 44 </v>
      </c>
      <c r="D7067" s="6" t="str">
        <f ca="1">IFERROR(__xludf.DUMMYFUNCTION("""COMPUTED_VALUE"""),"PIRQUE")</f>
        <v>PIRQUE</v>
      </c>
    </row>
    <row r="7068" spans="1:4">
      <c r="A7068" s="7">
        <f ca="1">IFERROR(__xludf.DUMMYFUNCTION("""COMPUTED_VALUE"""),44622)</f>
        <v>44622</v>
      </c>
      <c r="B7068" s="8" t="str">
        <f ca="1">IFERROR(__xludf.DUMMYFUNCTION("""COMPUTED_VALUE"""),"33.513881, -71.1220205")</f>
        <v>33.513881, -71.1220205</v>
      </c>
      <c r="C7068" s="6" t="str">
        <f ca="1">IFERROR(__xludf.DUMMYFUNCTION("""COMPUTED_VALUE"""),"CALLE CUMBRE 341")</f>
        <v>CALLE CUMBRE 341</v>
      </c>
      <c r="D7068" s="6" t="str">
        <f ca="1">IFERROR(__xludf.DUMMYFUNCTION("""COMPUTED_VALUE"""),"MARIA PINTO")</f>
        <v>MARIA PINTO</v>
      </c>
    </row>
    <row r="7069" spans="1:4">
      <c r="A7069" s="7">
        <f ca="1">IFERROR(__xludf.DUMMYFUNCTION("""COMPUTED_VALUE"""),44622)</f>
        <v>44622</v>
      </c>
      <c r="B7069" s="8" t="str">
        <f ca="1">IFERROR(__xludf.DUMMYFUNCTION("""COMPUTED_VALUE"""),"33.6988714, -70.8300191")</f>
        <v>33.6988714, -70.8300191</v>
      </c>
      <c r="C7069" s="6" t="str">
        <f ca="1">IFERROR(__xludf.DUMMYFUNCTION("""COMPUTED_VALUE"""),"PAPAGAYO 7650 PARCELA 35 B")</f>
        <v>PAPAGAYO 7650 PARCELA 35 B</v>
      </c>
      <c r="D7069" s="6" t="str">
        <f ca="1">IFERROR(__xludf.DUMMYFUNCTION("""COMPUTED_VALUE"""),"TALAGANTE")</f>
        <v>TALAGANTE</v>
      </c>
    </row>
    <row r="7070" spans="1:4">
      <c r="A7070" s="7">
        <f ca="1">IFERROR(__xludf.DUMMYFUNCTION("""COMPUTED_VALUE"""),44622)</f>
        <v>44622</v>
      </c>
      <c r="B7070" s="6" t="str">
        <f ca="1">IFERROR(__xludf.DUMMYFUNCTION("""COMPUTED_VALUE"""),"-33.6912474-70.5816044")</f>
        <v>-33.6912474-70.5816044</v>
      </c>
      <c r="C7070" s="6" t="str">
        <f ca="1">IFERROR(__xludf.DUMMYFUNCTION("""COMPUTED_VALUE"""),"LOS QUILLAYES 5 B")</f>
        <v>LOS QUILLAYES 5 B</v>
      </c>
      <c r="D7070" s="6" t="str">
        <f ca="1">IFERROR(__xludf.DUMMYFUNCTION("""COMPUTED_VALUE"""),"PIRQUE")</f>
        <v>PIRQUE</v>
      </c>
    </row>
    <row r="7071" spans="1:4">
      <c r="A7071" s="7">
        <f ca="1">IFERROR(__xludf.DUMMYFUNCTION("""COMPUTED_VALUE"""),44622)</f>
        <v>44622</v>
      </c>
      <c r="B7071" s="6" t="str">
        <f ca="1">IFERROR(__xludf.DUMMYFUNCTION("""COMPUTED_VALUE"""),"-33.7033865-70.564536")</f>
        <v>-33.7033865-70.564536</v>
      </c>
      <c r="C7071" s="6" t="str">
        <f ca="1">IFERROR(__xludf.DUMMYFUNCTION("""COMPUTED_VALUE"""),"EL PRINCIPAL 21")</f>
        <v>EL PRINCIPAL 21</v>
      </c>
      <c r="D7071" s="6" t="str">
        <f ca="1">IFERROR(__xludf.DUMMYFUNCTION("""COMPUTED_VALUE"""),"PIRQUE")</f>
        <v>PIRQUE</v>
      </c>
    </row>
    <row r="7072" spans="1:4">
      <c r="A7072" s="7">
        <f ca="1">IFERROR(__xludf.DUMMYFUNCTION("""COMPUTED_VALUE"""),44622)</f>
        <v>44622</v>
      </c>
      <c r="B7072" s="6" t="str">
        <f ca="1">IFERROR(__xludf.DUMMYFUNCTION("""COMPUTED_VALUE"""),"-33.7207955-70.5489015")</f>
        <v>-33.7207955-70.5489015</v>
      </c>
      <c r="C7072" s="6" t="str">
        <f ca="1">IFERROR(__xludf.DUMMYFUNCTION("""COMPUTED_VALUE"""),"EL CHALACO SITIO 68 C")</f>
        <v>EL CHALACO SITIO 68 C</v>
      </c>
      <c r="D7072" s="6" t="str">
        <f ca="1">IFERROR(__xludf.DUMMYFUNCTION("""COMPUTED_VALUE"""),"PIRQUE")</f>
        <v>PIRQUE</v>
      </c>
    </row>
    <row r="7073" spans="1:4">
      <c r="A7073" s="7">
        <f ca="1">IFERROR(__xludf.DUMMYFUNCTION("""COMPUTED_VALUE"""),44622)</f>
        <v>44622</v>
      </c>
      <c r="B7073" s="6" t="str">
        <f ca="1">IFERROR(__xludf.DUMMYFUNCTION("""COMPUTED_VALUE"""),"-33.586118-70.807736")</f>
        <v>-33.586118-70.807736</v>
      </c>
      <c r="C7073" s="6" t="str">
        <f ca="1">IFERROR(__xludf.DUMMYFUNCTION("""COMPUTED_VALUE"""),"VILLA LOS JAZMINES SITIO 87")</f>
        <v>VILLA LOS JAZMINES SITIO 87</v>
      </c>
      <c r="D7073" s="6" t="str">
        <f ca="1">IFERROR(__xludf.DUMMYFUNCTION("""COMPUTED_VALUE"""),"PADRE HURTADO")</f>
        <v>PADRE HURTADO</v>
      </c>
    </row>
    <row r="7074" spans="1:4">
      <c r="A7074" s="7">
        <f ca="1">IFERROR(__xludf.DUMMYFUNCTION("""COMPUTED_VALUE"""),44622)</f>
        <v>44622</v>
      </c>
      <c r="B7074" s="6" t="str">
        <f ca="1">IFERROR(__xludf.DUMMYFUNCTION("""COMPUTED_VALUE"""),"-33.384936-71.125591")</f>
        <v>-33.384936-71.125591</v>
      </c>
      <c r="C7074" s="6" t="str">
        <f ca="1">IFERROR(__xludf.DUMMYFUNCTION("""COMPUTED_VALUE"""),"CUYUNCAVI BAJO PARCELA 2")</f>
        <v>CUYUNCAVI BAJO PARCELA 2</v>
      </c>
      <c r="D7074" s="6" t="str">
        <f ca="1">IFERROR(__xludf.DUMMYFUNCTION("""COMPUTED_VALUE"""),"CURACAVI")</f>
        <v>CURACAVI</v>
      </c>
    </row>
    <row r="7075" spans="1:4">
      <c r="A7075" s="7">
        <f ca="1">IFERROR(__xludf.DUMMYFUNCTION("""COMPUTED_VALUE"""),44622)</f>
        <v>44622</v>
      </c>
      <c r="B7075" s="6" t="str">
        <f ca="1">IFERROR(__xludf.DUMMYFUNCTION("""COMPUTED_VALUE"""),"-33.383614-71.125833")</f>
        <v>-33.383614-71.125833</v>
      </c>
      <c r="C7075" s="6" t="str">
        <f ca="1">IFERROR(__xludf.DUMMYFUNCTION("""COMPUTED_VALUE"""),"JUAN PASTENE 75")</f>
        <v>JUAN PASTENE 75</v>
      </c>
      <c r="D7075" s="6" t="str">
        <f ca="1">IFERROR(__xludf.DUMMYFUNCTION("""COMPUTED_VALUE"""),"CURACAVI")</f>
        <v>CURACAVI</v>
      </c>
    </row>
    <row r="7076" spans="1:4">
      <c r="A7076" s="7">
        <f ca="1">IFERROR(__xludf.DUMMYFUNCTION("""COMPUTED_VALUE"""),44622)</f>
        <v>44622</v>
      </c>
      <c r="B7076" s="6" t="str">
        <f ca="1">IFERROR(__xludf.DUMMYFUNCTION("""COMPUTED_VALUE"""),"-33.24044-70.8519")</f>
        <v>-33.24044-70.8519</v>
      </c>
      <c r="C7076" s="6" t="str">
        <f ca="1">IFERROR(__xludf.DUMMYFUNCTION("""COMPUTED_VALUE"""),"AV JOSE FILOMENO CIFUENTES 221")</f>
        <v>AV JOSE FILOMENO CIFUENTES 221</v>
      </c>
      <c r="D7076" s="6" t="str">
        <f ca="1">IFERROR(__xludf.DUMMYFUNCTION("""COMPUTED_VALUE"""),"LAMPA")</f>
        <v>LAMPA</v>
      </c>
    </row>
    <row r="7077" spans="1:4">
      <c r="A7077" s="7">
        <f ca="1">IFERROR(__xludf.DUMMYFUNCTION("""COMPUTED_VALUE"""),44622)</f>
        <v>44622</v>
      </c>
      <c r="B7077" s="6" t="str">
        <f ca="1">IFERROR(__xludf.DUMMYFUNCTION("""COMPUTED_VALUE"""),"-33.24044-70.8519")</f>
        <v>-33.24044-70.8519</v>
      </c>
      <c r="C7077" s="6" t="str">
        <f ca="1">IFERROR(__xludf.DUMMYFUNCTION("""COMPUTED_VALUE"""),"AV JOSE FILOMENO CIFUENTES 221")</f>
        <v>AV JOSE FILOMENO CIFUENTES 221</v>
      </c>
      <c r="D7077" s="6" t="str">
        <f ca="1">IFERROR(__xludf.DUMMYFUNCTION("""COMPUTED_VALUE"""),"LAMPA")</f>
        <v>LAMPA</v>
      </c>
    </row>
    <row r="7078" spans="1:4">
      <c r="A7078" s="7">
        <f ca="1">IFERROR(__xludf.DUMMYFUNCTION("""COMPUTED_VALUE"""),44622)</f>
        <v>44622</v>
      </c>
      <c r="B7078" s="8" t="str">
        <f ca="1">IFERROR(__xludf.DUMMYFUNCTION("""COMPUTED_VALUE"""),"-33.706209,-70.558343")</f>
        <v>-33.706209,-70.558343</v>
      </c>
      <c r="C7078" s="6" t="str">
        <f ca="1">IFERROR(__xludf.DUMMYFUNCTION("""COMPUTED_VALUE"""),"EL OLIVO 7894")</f>
        <v>EL OLIVO 7894</v>
      </c>
      <c r="D7078" s="6" t="str">
        <f ca="1">IFERROR(__xludf.DUMMYFUNCTION("""COMPUTED_VALUE"""),"PIRQUE")</f>
        <v>PIRQUE</v>
      </c>
    </row>
    <row r="7079" spans="1:4">
      <c r="A7079" s="7">
        <f ca="1">IFERROR(__xludf.DUMMYFUNCTION("""COMPUTED_VALUE"""),44622)</f>
        <v>44622</v>
      </c>
      <c r="B7079" s="8" t="str">
        <f ca="1">IFERROR(__xludf.DUMMYFUNCTION("""COMPUTED_VALUE"""),"-33.698272,-70.577415")</f>
        <v>-33.698272,-70.577415</v>
      </c>
      <c r="C7079" s="6" t="str">
        <f ca="1">IFERROR(__xludf.DUMMYFUNCTION("""COMPUTED_VALUE"""),"PSJE. NICANOR PARRA 1745")</f>
        <v>PSJE. NICANOR PARRA 1745</v>
      </c>
      <c r="D7079" s="6" t="str">
        <f ca="1">IFERROR(__xludf.DUMMYFUNCTION("""COMPUTED_VALUE"""),"PIRQUE")</f>
        <v>PIRQUE</v>
      </c>
    </row>
    <row r="7080" spans="1:4">
      <c r="A7080" s="7">
        <f ca="1">IFERROR(__xludf.DUMMYFUNCTION("""COMPUTED_VALUE"""),44622)</f>
        <v>44622</v>
      </c>
      <c r="B7080" s="8" t="str">
        <f ca="1">IFERROR(__xludf.DUMMYFUNCTION("""COMPUTED_VALUE"""),"-33.713142,-70.564025")</f>
        <v>-33.713142,-70.564025</v>
      </c>
      <c r="C7080" s="6" t="str">
        <f ca="1">IFERROR(__xludf.DUMMYFUNCTION("""COMPUTED_VALUE"""),"LA DAMEDA17")</f>
        <v>LA DAMEDA17</v>
      </c>
      <c r="D7080" s="6" t="str">
        <f ca="1">IFERROR(__xludf.DUMMYFUNCTION("""COMPUTED_VALUE"""),"PIRQUE")</f>
        <v>PIRQUE</v>
      </c>
    </row>
    <row r="7081" spans="1:4">
      <c r="A7081" s="7">
        <f ca="1">IFERROR(__xludf.DUMMYFUNCTION("""COMPUTED_VALUE"""),44622)</f>
        <v>44622</v>
      </c>
      <c r="B7081" s="8" t="str">
        <f ca="1">IFERROR(__xludf.DUMMYFUNCTION("""COMPUTED_VALUE"""),"-33.422715,-70.32320W")</f>
        <v>-33.422715,-70.32320W</v>
      </c>
      <c r="C7081" s="6" t="str">
        <f ca="1">IFERROR(__xludf.DUMMYFUNCTION("""COMPUTED_VALUE"""),"ORILLA DEL RIO 161")</f>
        <v>ORILLA DEL RIO 161</v>
      </c>
      <c r="D7081" s="6" t="str">
        <f ca="1">IFERROR(__xludf.DUMMYFUNCTION("""COMPUTED_VALUE"""),"PIRQUE")</f>
        <v>PIRQUE</v>
      </c>
    </row>
    <row r="7082" spans="1:4">
      <c r="A7082" s="7">
        <f ca="1">IFERROR(__xludf.DUMMYFUNCTION("""COMPUTED_VALUE"""),44622)</f>
        <v>44622</v>
      </c>
      <c r="B7082" s="6" t="str">
        <f ca="1">IFERROR(__xludf.DUMMYFUNCTION("""COMPUTED_VALUE"""),"-33.877282,-71.221459")</f>
        <v>-33.877282,-71.221459</v>
      </c>
      <c r="C7082" s="6" t="str">
        <f ca="1">IFERROR(__xludf.DUMMYFUNCTION("""COMPUTED_VALUE"""),"SECTOR TANTEHUE S/ -CV9")</f>
        <v>SECTOR TANTEHUE S/ -CV9</v>
      </c>
      <c r="D7082" s="6" t="str">
        <f ca="1">IFERROR(__xludf.DUMMYFUNCTION("""COMPUTED_VALUE"""),"MELIPILLA")</f>
        <v>MELIPILLA</v>
      </c>
    </row>
    <row r="7083" spans="1:4">
      <c r="A7083" s="7">
        <f ca="1">IFERROR(__xludf.DUMMYFUNCTION("""COMPUTED_VALUE"""),44622)</f>
        <v>44622</v>
      </c>
      <c r="B7083" s="6" t="str">
        <f ca="1">IFERROR(__xludf.DUMMYFUNCTION("""COMPUTED_VALUE"""),"-33.789740,-71.293980")</f>
        <v>-33.789740,-71.293980</v>
      </c>
      <c r="C7083" s="6" t="str">
        <f ca="1">IFERROR(__xludf.DUMMYFUNCTION("""COMPUTED_VALUE"""),"FUNDO SANTA CECILIA ")</f>
        <v xml:space="preserve">FUNDO SANTA CECILIA </v>
      </c>
      <c r="D7083" s="6" t="str">
        <f ca="1">IFERROR(__xludf.DUMMYFUNCTION("""COMPUTED_VALUE"""),"MELIPILLA")</f>
        <v>MELIPILLA</v>
      </c>
    </row>
    <row r="7084" spans="1:4">
      <c r="A7084" s="7">
        <f ca="1">IFERROR(__xludf.DUMMYFUNCTION("""COMPUTED_VALUE"""),44622)</f>
        <v>44622</v>
      </c>
      <c r="B7084" s="6" t="str">
        <f ca="1">IFERROR(__xludf.DUMMYFUNCTION("""COMPUTED_VALUE"""),"-33.3751872,-71.0860312")</f>
        <v>-33.3751872,-71.0860312</v>
      </c>
      <c r="C7084" s="6" t="str">
        <f ca="1">IFERROR(__xludf.DUMMYFUNCTION("""COMPUTED_VALUE"""),"HIJUELAS SEGUNDO P 214")</f>
        <v>HIJUELAS SEGUNDO P 214</v>
      </c>
      <c r="D7084" s="6" t="str">
        <f ca="1">IFERROR(__xludf.DUMMYFUNCTION("""COMPUTED_VALUE"""),"CURACAVI")</f>
        <v>CURACAVI</v>
      </c>
    </row>
    <row r="7085" spans="1:4">
      <c r="A7085" s="7">
        <f ca="1">IFERROR(__xludf.DUMMYFUNCTION("""COMPUTED_VALUE"""),44622)</f>
        <v>44622</v>
      </c>
      <c r="B7085" s="6" t="str">
        <f ca="1">IFERROR(__xludf.DUMMYFUNCTION("""COMPUTED_VALUE"""),"-33.863311,-70.750249")</f>
        <v>-33.863311,-70.750249</v>
      </c>
      <c r="C7085" s="6" t="str">
        <f ca="1">IFERROR(__xludf.DUMMYFUNCTION("""COMPUTED_VALUE"""),"CALLE A 224")</f>
        <v>CALLE A 224</v>
      </c>
      <c r="D7085" s="6" t="str">
        <f ca="1">IFERROR(__xludf.DUMMYFUNCTION("""COMPUTED_VALUE"""),"PAINE")</f>
        <v>PAINE</v>
      </c>
    </row>
    <row r="7086" spans="1:4">
      <c r="A7086" s="7">
        <f ca="1">IFERROR(__xludf.DUMMYFUNCTION("""COMPUTED_VALUE"""),44623)</f>
        <v>44623</v>
      </c>
      <c r="B7086" s="8" t="str">
        <f ca="1">IFERROR(__xludf.DUMMYFUNCTION("""COMPUTED_VALUE"""),"33.607542 -70.89254")</f>
        <v>33.607542 -70.89254</v>
      </c>
      <c r="C7086" s="6" t="str">
        <f ca="1">IFERROR(__xludf.DUMMYFUNCTION("""COMPUTED_VALUE"""),"FRUTILLAR 1212")</f>
        <v>FRUTILLAR 1212</v>
      </c>
      <c r="D7086" s="6" t="str">
        <f ca="1">IFERROR(__xludf.DUMMYFUNCTION("""COMPUTED_VALUE"""),"PEÑAFLOR")</f>
        <v>PEÑAFLOR</v>
      </c>
    </row>
    <row r="7087" spans="1:4">
      <c r="A7087" s="7">
        <f ca="1">IFERROR(__xludf.DUMMYFUNCTION("""COMPUTED_VALUE"""),44623)</f>
        <v>44623</v>
      </c>
      <c r="B7087" s="8" t="str">
        <f ca="1">IFERROR(__xludf.DUMMYFUNCTION("""COMPUTED_VALUE"""),"33.609728 -70.875681")</f>
        <v>33.609728 -70.875681</v>
      </c>
      <c r="C7087" s="6" t="str">
        <f ca="1">IFERROR(__xludf.DUMMYFUNCTION("""COMPUTED_VALUE"""),"LOSABEDULES 1784")</f>
        <v>LOSABEDULES 1784</v>
      </c>
      <c r="D7087" s="6" t="str">
        <f ca="1">IFERROR(__xludf.DUMMYFUNCTION("""COMPUTED_VALUE"""),"PEÑAFLOR")</f>
        <v>PEÑAFLOR</v>
      </c>
    </row>
    <row r="7088" spans="1:4">
      <c r="A7088" s="7">
        <f ca="1">IFERROR(__xludf.DUMMYFUNCTION("""COMPUTED_VALUE"""),44623)</f>
        <v>44623</v>
      </c>
      <c r="B7088" s="6" t="str">
        <f ca="1">IFERROR(__xludf.DUMMYFUNCTION("""COMPUTED_VALUE"""),"-33.805355-70.737330")</f>
        <v>-33.805355-70.737330</v>
      </c>
      <c r="C7088" s="6" t="str">
        <f ca="1">IFERROR(__xludf.DUMMYFUNCTION("""COMPUTED_VALUE"""),"ACCESO ESTACION 284")</f>
        <v>ACCESO ESTACION 284</v>
      </c>
      <c r="D7088" s="6" t="str">
        <f ca="1">IFERROR(__xludf.DUMMYFUNCTION("""COMPUTED_VALUE"""),"PAINE")</f>
        <v>PAINE</v>
      </c>
    </row>
    <row r="7089" spans="1:4">
      <c r="A7089" s="7">
        <f ca="1">IFERROR(__xludf.DUMMYFUNCTION("""COMPUTED_VALUE"""),44623)</f>
        <v>44623</v>
      </c>
      <c r="B7089" s="6" t="str">
        <f ca="1">IFERROR(__xludf.DUMMYFUNCTION("""COMPUTED_VALUE"""),"-33.77197-70.700050")</f>
        <v>-33.77197-70.700050</v>
      </c>
      <c r="C7089" s="6" t="str">
        <f ca="1">IFERROR(__xludf.DUMMYFUNCTION("""COMPUTED_VALUE"""),"LINDEROS EL CERRILLO 22 A")</f>
        <v>LINDEROS EL CERRILLO 22 A</v>
      </c>
      <c r="D7089" s="6" t="str">
        <f ca="1">IFERROR(__xludf.DUMMYFUNCTION("""COMPUTED_VALUE"""),"BUIN")</f>
        <v>BUIN</v>
      </c>
    </row>
    <row r="7090" spans="1:4">
      <c r="A7090" s="7">
        <f ca="1">IFERROR(__xludf.DUMMYFUNCTION("""COMPUTED_VALUE"""),44623)</f>
        <v>44623</v>
      </c>
      <c r="B7090" s="6" t="str">
        <f ca="1">IFERROR(__xludf.DUMMYFUNCTION("""COMPUTED_VALUE"""),"-33.66367-71.28739")</f>
        <v>-33.66367-71.28739</v>
      </c>
      <c r="C7090" s="6" t="str">
        <f ca="1">IFERROR(__xludf.DUMMYFUNCTION("""COMPUTED_VALUE"""),"LUMBRERAS PUANGUE SITIO 6")</f>
        <v>LUMBRERAS PUANGUE SITIO 6</v>
      </c>
      <c r="D7090" s="6" t="str">
        <f ca="1">IFERROR(__xludf.DUMMYFUNCTION("""COMPUTED_VALUE"""),"MELIPILLA")</f>
        <v>MELIPILLA</v>
      </c>
    </row>
    <row r="7091" spans="1:4">
      <c r="A7091" s="7">
        <f ca="1">IFERROR(__xludf.DUMMYFUNCTION("""COMPUTED_VALUE"""),44623)</f>
        <v>44623</v>
      </c>
      <c r="B7091" s="6" t="str">
        <f ca="1">IFERROR(__xludf.DUMMYFUNCTION("""COMPUTED_VALUE"""),"-33.66367-71.28739")</f>
        <v>-33.66367-71.28739</v>
      </c>
      <c r="C7091" s="6" t="str">
        <f ca="1">IFERROR(__xludf.DUMMYFUNCTION("""COMPUTED_VALUE"""),"LUMBRERAS PUANGUE SITIO 6")</f>
        <v>LUMBRERAS PUANGUE SITIO 6</v>
      </c>
      <c r="D7091" s="6" t="str">
        <f ca="1">IFERROR(__xludf.DUMMYFUNCTION("""COMPUTED_VALUE"""),"MELIPILLA")</f>
        <v>MELIPILLA</v>
      </c>
    </row>
    <row r="7092" spans="1:4">
      <c r="A7092" s="7">
        <f ca="1">IFERROR(__xludf.DUMMYFUNCTION("""COMPUTED_VALUE"""),44623)</f>
        <v>44623</v>
      </c>
      <c r="B7092" s="6" t="str">
        <f ca="1">IFERROR(__xludf.DUMMYFUNCTION("""COMPUTED_VALUE"""),"-33.62532-71.21321")</f>
        <v>-33.62532-71.21321</v>
      </c>
      <c r="C7092" s="6" t="str">
        <f ca="1">IFERROR(__xludf.DUMMYFUNCTION("""COMPUTED_VALUE"""),"VICUÑA MACKENNA 848")</f>
        <v>VICUÑA MACKENNA 848</v>
      </c>
      <c r="D7092" s="6" t="str">
        <f ca="1">IFERROR(__xludf.DUMMYFUNCTION("""COMPUTED_VALUE"""),"MELIPILLA")</f>
        <v>MELIPILLA</v>
      </c>
    </row>
    <row r="7093" spans="1:4">
      <c r="A7093" s="7">
        <f ca="1">IFERROR(__xludf.DUMMYFUNCTION("""COMPUTED_VALUE"""),44623)</f>
        <v>44623</v>
      </c>
      <c r="B7093" s="8" t="str">
        <f ca="1">IFERROR(__xludf.DUMMYFUNCTION("""COMPUTED_VALUE"""),"-33.421985,-70.3305W")</f>
        <v>-33.421985,-70.3305W</v>
      </c>
      <c r="C7093" s="6" t="str">
        <f ca="1">IFERROR(__xludf.DUMMYFUNCTION("""COMPUTED_VALUE"""),"EL PRINCIPAL 147")</f>
        <v>EL PRINCIPAL 147</v>
      </c>
      <c r="D7093" s="6" t="str">
        <f ca="1">IFERROR(__xludf.DUMMYFUNCTION("""COMPUTED_VALUE"""),"PIRQUE")</f>
        <v>PIRQUE</v>
      </c>
    </row>
    <row r="7094" spans="1:4">
      <c r="A7094" s="7">
        <f ca="1">IFERROR(__xludf.DUMMYFUNCTION("""COMPUTED_VALUE"""),44623)</f>
        <v>44623</v>
      </c>
      <c r="B7094" s="8" t="str">
        <f ca="1">IFERROR(__xludf.DUMMYFUNCTION("""COMPUTED_VALUE"""),"-33.421985,-70.33015W")</f>
        <v>-33.421985,-70.33015W</v>
      </c>
      <c r="C7094" s="6" t="str">
        <f ca="1">IFERROR(__xludf.DUMMYFUNCTION("""COMPUTED_VALUE"""),"EL PRINCIPAL 147")</f>
        <v>EL PRINCIPAL 147</v>
      </c>
      <c r="D7094" s="6" t="str">
        <f ca="1">IFERROR(__xludf.DUMMYFUNCTION("""COMPUTED_VALUE"""),"PIRQUE")</f>
        <v>PIRQUE</v>
      </c>
    </row>
    <row r="7095" spans="1:4">
      <c r="A7095" s="7">
        <f ca="1">IFERROR(__xludf.DUMMYFUNCTION("""COMPUTED_VALUE"""),44623)</f>
        <v>44623</v>
      </c>
      <c r="B7095" s="8" t="str">
        <f ca="1">IFERROR(__xludf.DUMMYFUNCTION("""COMPUTED_VALUE"""),"-33.674583,-70.584022")</f>
        <v>-33.674583,-70.584022</v>
      </c>
      <c r="C7095" s="6" t="str">
        <f ca="1">IFERROR(__xludf.DUMMYFUNCTION("""COMPUTED_VALUE"""),"ALCALDE HERNAN PRIETO 2986")</f>
        <v>ALCALDE HERNAN PRIETO 2986</v>
      </c>
      <c r="D7095" s="6" t="str">
        <f ca="1">IFERROR(__xludf.DUMMYFUNCTION("""COMPUTED_VALUE"""),"PIRQUE")</f>
        <v>PIRQUE</v>
      </c>
    </row>
    <row r="7096" spans="1:4">
      <c r="A7096" s="7">
        <f ca="1">IFERROR(__xludf.DUMMYFUNCTION("""COMPUTED_VALUE"""),44623)</f>
        <v>44623</v>
      </c>
      <c r="B7096" s="8" t="str">
        <f ca="1">IFERROR(__xludf.DUMMYFUNCTION("""COMPUTED_VALUE"""),"-33.720674,-70.549115")</f>
        <v>-33.720674,-70.549115</v>
      </c>
      <c r="C7096" s="6" t="str">
        <f ca="1">IFERROR(__xludf.DUMMYFUNCTION("""COMPUTED_VALUE"""),"EL PRINCIPAL LOTE 6")</f>
        <v>EL PRINCIPAL LOTE 6</v>
      </c>
      <c r="D7096" s="6" t="str">
        <f ca="1">IFERROR(__xludf.DUMMYFUNCTION("""COMPUTED_VALUE"""),"PIRQUE")</f>
        <v>PIRQUE</v>
      </c>
    </row>
    <row r="7097" spans="1:4">
      <c r="A7097" s="7">
        <f ca="1">IFERROR(__xludf.DUMMYFUNCTION("""COMPUTED_VALUE"""),44623)</f>
        <v>44623</v>
      </c>
      <c r="B7097" s="6" t="str">
        <f ca="1">IFERROR(__xludf.DUMMYFUNCTION("""COMPUTED_VALUE"""),"-33.965730,-71.579354")</f>
        <v>-33.965730,-71.579354</v>
      </c>
      <c r="C7097" s="6" t="str">
        <f ca="1">IFERROR(__xludf.DUMMYFUNCTION("""COMPUTED_VALUE"""),"SECTOR NIHUE S/N")</f>
        <v>SECTOR NIHUE S/N</v>
      </c>
      <c r="D7097" s="6" t="str">
        <f ca="1">IFERROR(__xludf.DUMMYFUNCTION("""COMPUTED_VALUE"""),"SAN PEDRO")</f>
        <v>SAN PEDRO</v>
      </c>
    </row>
    <row r="7098" spans="1:4">
      <c r="A7098" s="7">
        <f ca="1">IFERROR(__xludf.DUMMYFUNCTION("""COMPUTED_VALUE"""),44623)</f>
        <v>44623</v>
      </c>
      <c r="B7098" s="6" t="str">
        <f ca="1">IFERROR(__xludf.DUMMYFUNCTION("""COMPUTED_VALUE"""),"-33.922052,-71.471155")</f>
        <v>-33.922052,-71.471155</v>
      </c>
      <c r="C7098" s="6" t="str">
        <f ca="1">IFERROR(__xludf.DUMMYFUNCTION("""COMPUTED_VALUE"""),"EL YALI S/N ")</f>
        <v xml:space="preserve">EL YALI S/N </v>
      </c>
      <c r="D7098" s="6" t="str">
        <f ca="1">IFERROR(__xludf.DUMMYFUNCTION("""COMPUTED_VALUE"""),"SAN PEDRO")</f>
        <v>SAN PEDRO</v>
      </c>
    </row>
    <row r="7099" spans="1:4">
      <c r="A7099" s="7">
        <f ca="1">IFERROR(__xludf.DUMMYFUNCTION("""COMPUTED_VALUE"""),44623)</f>
        <v>44623</v>
      </c>
      <c r="B7099" s="6" t="str">
        <f ca="1">IFERROR(__xludf.DUMMYFUNCTION("""COMPUTED_VALUE"""),"-33.737385,-71.015037")</f>
        <v>-33.737385,-71.015037</v>
      </c>
      <c r="C7099" s="6" t="str">
        <f ca="1">IFERROR(__xludf.DUMMYFUNCTION("""COMPUTED_VALUE"""),"SECTOR LA TURBINA 374")</f>
        <v>SECTOR LA TURBINA 374</v>
      </c>
      <c r="D7099" s="6" t="str">
        <f ca="1">IFERROR(__xludf.DUMMYFUNCTION("""COMPUTED_VALUE"""),"ISLA DE MAIPO")</f>
        <v>ISLA DE MAIPO</v>
      </c>
    </row>
    <row r="7100" spans="1:4">
      <c r="A7100" s="7">
        <f ca="1">IFERROR(__xludf.DUMMYFUNCTION("""COMPUTED_VALUE"""),44623)</f>
        <v>44623</v>
      </c>
      <c r="B7100" s="8" t="str">
        <f ca="1">IFERROR(__xludf.DUMMYFUNCTION("""COMPUTED_VALUE"""),"-33.515000,-71.082972")</f>
        <v>-33.515000,-71.082972</v>
      </c>
      <c r="C7100" s="6" t="str">
        <f ca="1">IFERROR(__xludf.DUMMYFUNCTION("""COMPUTED_VALUE"""),"PARCELA 7 SITIO 10 ")</f>
        <v xml:space="preserve">PARCELA 7 SITIO 10 </v>
      </c>
      <c r="D7100" s="6" t="str">
        <f ca="1">IFERROR(__xludf.DUMMYFUNCTION("""COMPUTED_VALUE"""),"MARIA PINTO")</f>
        <v>MARIA PINTO</v>
      </c>
    </row>
    <row r="7101" spans="1:4">
      <c r="A7101" s="7">
        <f ca="1">IFERROR(__xludf.DUMMYFUNCTION("""COMPUTED_VALUE"""),44623)</f>
        <v>44623</v>
      </c>
      <c r="B7101" s="6" t="str">
        <f ca="1">IFERROR(__xludf.DUMMYFUNCTION("""COMPUTED_VALUE"""),"-33.803476,-70.712363")</f>
        <v>-33.803476,-70.712363</v>
      </c>
      <c r="C7101" s="6" t="str">
        <f ca="1">IFERROR(__xludf.DUMMYFUNCTION("""COMPUTED_VALUE"""),"ALGARROBO SITIO 50 LOTE G")</f>
        <v>ALGARROBO SITIO 50 LOTE G</v>
      </c>
      <c r="D7101" s="6" t="str">
        <f ca="1">IFERROR(__xludf.DUMMYFUNCTION("""COMPUTED_VALUE"""),"PAINE")</f>
        <v>PAINE</v>
      </c>
    </row>
    <row r="7102" spans="1:4">
      <c r="A7102" s="7">
        <f ca="1">IFERROR(__xludf.DUMMYFUNCTION("""COMPUTED_VALUE"""),44623)</f>
        <v>44623</v>
      </c>
      <c r="B7102" s="6" t="str">
        <f ca="1">IFERROR(__xludf.DUMMYFUNCTION("""COMPUTED_VALUE"""),"-33.269545,-70.889863")</f>
        <v>-33.269545,-70.889863</v>
      </c>
      <c r="C7102" s="6" t="str">
        <f ca="1">IFERROR(__xludf.DUMMYFUNCTION("""COMPUTED_VALUE"""),"VALLE DE LA LUNA PARC 4")</f>
        <v>VALLE DE LA LUNA PARC 4</v>
      </c>
      <c r="D7102" s="6" t="str">
        <f ca="1">IFERROR(__xludf.DUMMYFUNCTION("""COMPUTED_VALUE"""),"LAMPA")</f>
        <v>LAMPA</v>
      </c>
    </row>
    <row r="7103" spans="1:4">
      <c r="A7103" s="7">
        <f ca="1">IFERROR(__xludf.DUMMYFUNCTION("""COMPUTED_VALUE"""),44623)</f>
        <v>44623</v>
      </c>
      <c r="B7103" s="6" t="str">
        <f ca="1">IFERROR(__xludf.DUMMYFUNCTION("""COMPUTED_VALUE"""),"-33.466501,-71.006638")</f>
        <v>-33.466501,-71.006638</v>
      </c>
      <c r="C7103" s="6" t="str">
        <f ca="1">IFERROR(__xludf.DUMMYFUNCTION("""COMPUTED_VALUE"""),"PASAJE YIGOS 561-19")</f>
        <v>PASAJE YIGOS 561-19</v>
      </c>
      <c r="D7103" s="6" t="str">
        <f ca="1">IFERROR(__xludf.DUMMYFUNCTION("""COMPUTED_VALUE"""),"CURACAVI")</f>
        <v>CURACAVI</v>
      </c>
    </row>
    <row r="7104" spans="1:4">
      <c r="A7104" s="7">
        <f ca="1">IFERROR(__xludf.DUMMYFUNCTION("""COMPUTED_VALUE"""),44624)</f>
        <v>44624</v>
      </c>
      <c r="B7104" s="8" t="str">
        <f ca="1">IFERROR(__xludf.DUMMYFUNCTION("""COMPUTED_VALUE"""),"33.745501 - 70.870359")</f>
        <v>33.745501 - 70.870359</v>
      </c>
      <c r="C7104" s="6" t="str">
        <f ca="1">IFERROR(__xludf.DUMMYFUNCTION("""COMPUTED_VALUE"""),"MARIO BERTOLUCCI 401")</f>
        <v>MARIO BERTOLUCCI 401</v>
      </c>
      <c r="D7104" s="6" t="str">
        <f ca="1">IFERROR(__xludf.DUMMYFUNCTION("""COMPUTED_VALUE"""),"ISLA DE MAIPO")</f>
        <v>ISLA DE MAIPO</v>
      </c>
    </row>
    <row r="7105" spans="1:4">
      <c r="A7105" s="7">
        <f ca="1">IFERROR(__xludf.DUMMYFUNCTION("""COMPUTED_VALUE"""),44624)</f>
        <v>44624</v>
      </c>
      <c r="B7105" s="6" t="str">
        <f ca="1">IFERROR(__xludf.DUMMYFUNCTION("""COMPUTED_VALUE"""),"-33.22907-70.81041")</f>
        <v>-33.22907-70.81041</v>
      </c>
      <c r="C7105" s="6" t="str">
        <f ca="1">IFERROR(__xludf.DUMMYFUNCTION("""COMPUTED_VALUE"""),"LATORRE MANZANA 53 SITIO 22")</f>
        <v>LATORRE MANZANA 53 SITIO 22</v>
      </c>
      <c r="D7105" s="6" t="str">
        <f ca="1">IFERROR(__xludf.DUMMYFUNCTION("""COMPUTED_VALUE"""),"LAMPA")</f>
        <v>LAMPA</v>
      </c>
    </row>
    <row r="7106" spans="1:4">
      <c r="A7106" s="7">
        <f ca="1">IFERROR(__xludf.DUMMYFUNCTION("""COMPUTED_VALUE"""),44624)</f>
        <v>44624</v>
      </c>
      <c r="B7106" s="8" t="str">
        <f ca="1">IFERROR(__xludf.DUMMYFUNCTION("""COMPUTED_VALUE"""),"-33.7070000,-70.5575999")</f>
        <v>-33.7070000,-70.5575999</v>
      </c>
      <c r="C7106" s="6" t="str">
        <f ca="1">IFERROR(__xludf.DUMMYFUNCTION("""COMPUTED_VALUE"""),"LAS ARAUCARIAS 700 BILLORIO EL PRINCIPAL")</f>
        <v>LAS ARAUCARIAS 700 BILLORIO EL PRINCIPAL</v>
      </c>
      <c r="D7106" s="6" t="str">
        <f ca="1">IFERROR(__xludf.DUMMYFUNCTION("""COMPUTED_VALUE"""),"PIRQUE")</f>
        <v>PIRQUE</v>
      </c>
    </row>
    <row r="7107" spans="1:4">
      <c r="A7107" s="7">
        <f ca="1">IFERROR(__xludf.DUMMYFUNCTION("""COMPUTED_VALUE"""),44624)</f>
        <v>44624</v>
      </c>
      <c r="B7107" s="8" t="str">
        <f ca="1">IFERROR(__xludf.DUMMYFUNCTION("""COMPUTED_VALUE"""),"-33.412915,-70.34468W")</f>
        <v>-33.412915,-70.34468W</v>
      </c>
      <c r="C7107" s="6" t="str">
        <f ca="1">IFERROR(__xludf.DUMMYFUNCTION("""COMPUTED_VALUE"""),"LOS QUILLAYES SITIO 8 ")</f>
        <v xml:space="preserve">LOS QUILLAYES SITIO 8 </v>
      </c>
      <c r="D7107" s="6" t="str">
        <f ca="1">IFERROR(__xludf.DUMMYFUNCTION("""COMPUTED_VALUE"""),"PIRQUE")</f>
        <v>PIRQUE</v>
      </c>
    </row>
    <row r="7108" spans="1:4">
      <c r="A7108" s="7">
        <f ca="1">IFERROR(__xludf.DUMMYFUNCTION("""COMPUTED_VALUE"""),44624)</f>
        <v>44624</v>
      </c>
      <c r="B7108" s="8" t="str">
        <f ca="1">IFERROR(__xludf.DUMMYFUNCTION("""COMPUTED_VALUE"""),"-33.412915,-70.34468W")</f>
        <v>-33.412915,-70.34468W</v>
      </c>
      <c r="C7108" s="6" t="str">
        <f ca="1">IFERROR(__xludf.DUMMYFUNCTION("""COMPUTED_VALUE"""),"LOS QUILLAYES SITIO 8 ")</f>
        <v xml:space="preserve">LOS QUILLAYES SITIO 8 </v>
      </c>
      <c r="D7108" s="6" t="str">
        <f ca="1">IFERROR(__xludf.DUMMYFUNCTION("""COMPUTED_VALUE"""),"PIRQUE")</f>
        <v>PIRQUE</v>
      </c>
    </row>
    <row r="7109" spans="1:4">
      <c r="A7109" s="7">
        <f ca="1">IFERROR(__xludf.DUMMYFUNCTION("""COMPUTED_VALUE"""),44624)</f>
        <v>44624</v>
      </c>
      <c r="B7109" s="8" t="str">
        <f ca="1">IFERROR(__xludf.DUMMYFUNCTION("""COMPUTED_VALUE"""),"-33.678804,-70.611292")</f>
        <v>-33.678804,-70.611292</v>
      </c>
      <c r="C7109" s="6" t="str">
        <f ca="1">IFERROR(__xludf.DUMMYFUNCTION("""COMPUTED_VALUE"""),"LOS QUILLAYES 03745 SITIO 42")</f>
        <v>LOS QUILLAYES 03745 SITIO 42</v>
      </c>
      <c r="D7109" s="6" t="str">
        <f ca="1">IFERROR(__xludf.DUMMYFUNCTION("""COMPUTED_VALUE"""),"PIRQUE")</f>
        <v>PIRQUE</v>
      </c>
    </row>
    <row r="7110" spans="1:4">
      <c r="A7110" s="7">
        <f ca="1">IFERROR(__xludf.DUMMYFUNCTION("""COMPUTED_VALUE"""),44624)</f>
        <v>44624</v>
      </c>
      <c r="B7110" s="8" t="str">
        <f ca="1">IFERROR(__xludf.DUMMYFUNCTION("""COMPUTED_VALUE"""),"-33.7066800,-70.5330500")</f>
        <v>-33.7066800,-70.5330500</v>
      </c>
      <c r="C7110" s="6" t="str">
        <f ca="1">IFERROR(__xludf.DUMMYFUNCTION("""COMPUTED_VALUE"""),"CAMINO ORILLA DEL RIO PARADERO 16")</f>
        <v>CAMINO ORILLA DEL RIO PARADERO 16</v>
      </c>
      <c r="D7110" s="6" t="str">
        <f ca="1">IFERROR(__xludf.DUMMYFUNCTION("""COMPUTED_VALUE"""),"PIRQUE")</f>
        <v>PIRQUE</v>
      </c>
    </row>
    <row r="7111" spans="1:4">
      <c r="A7111" s="7">
        <f ca="1">IFERROR(__xludf.DUMMYFUNCTION("""COMPUTED_VALUE"""),44624)</f>
        <v>44624</v>
      </c>
      <c r="B7111" s="8" t="str">
        <f ca="1">IFERROR(__xludf.DUMMYFUNCTION("""COMPUTED_VALUE"""),"-33.121225,-70.41299W")</f>
        <v>-33.121225,-70.41299W</v>
      </c>
      <c r="C7111" s="6" t="str">
        <f ca="1">IFERROR(__xludf.DUMMYFUNCTION("""COMPUTED_VALUE"""),"LOS CIRUELOS 23")</f>
        <v>LOS CIRUELOS 23</v>
      </c>
      <c r="D7111" s="6" t="str">
        <f ca="1">IFERROR(__xludf.DUMMYFUNCTION("""COMPUTED_VALUE"""),"COLINA")</f>
        <v>COLINA</v>
      </c>
    </row>
    <row r="7112" spans="1:4">
      <c r="A7112" s="7">
        <f ca="1">IFERROR(__xludf.DUMMYFUNCTION("""COMPUTED_VALUE"""),44624)</f>
        <v>44624</v>
      </c>
      <c r="B7112" s="8" t="str">
        <f ca="1">IFERROR(__xludf.DUMMYFUNCTION("""COMPUTED_VALUE"""),"-33.198909,-70.680410")</f>
        <v>-33.198909,-70.680410</v>
      </c>
      <c r="C7112" s="6" t="str">
        <f ca="1">IFERROR(__xludf.DUMMYFUNCTION("""COMPUTED_VALUE"""),"BAILAHUEN 0657 VILLA LA REINA")</f>
        <v>BAILAHUEN 0657 VILLA LA REINA</v>
      </c>
      <c r="D7112" s="6" t="str">
        <f ca="1">IFERROR(__xludf.DUMMYFUNCTION("""COMPUTED_VALUE"""),"COLINA")</f>
        <v>COLINA</v>
      </c>
    </row>
    <row r="7113" spans="1:4">
      <c r="A7113" s="7">
        <f ca="1">IFERROR(__xludf.DUMMYFUNCTION("""COMPUTED_VALUE"""),44624)</f>
        <v>44624</v>
      </c>
      <c r="B7113" s="6" t="str">
        <f ca="1">IFERROR(__xludf.DUMMYFUNCTION("""COMPUTED_VALUE"""),"-33.677971,.-71.208976")</f>
        <v>-33.677971,.-71.208976</v>
      </c>
      <c r="C7113" s="6" t="str">
        <f ca="1">IFERROR(__xludf.DUMMYFUNCTION("""COMPUTED_VALUE"""),"ARTURO PEREZ 2 CHACABUCANO")</f>
        <v>ARTURO PEREZ 2 CHACABUCANO</v>
      </c>
      <c r="D7113" s="6" t="str">
        <f ca="1">IFERROR(__xludf.DUMMYFUNCTION("""COMPUTED_VALUE"""),"MELIPILLA")</f>
        <v>MELIPILLA</v>
      </c>
    </row>
    <row r="7114" spans="1:4">
      <c r="A7114" s="7">
        <f ca="1">IFERROR(__xludf.DUMMYFUNCTION("""COMPUTED_VALUE"""),44624)</f>
        <v>44624</v>
      </c>
      <c r="B7114" s="6" t="str">
        <f ca="1">IFERROR(__xludf.DUMMYFUNCTION("""COMPUTED_VALUE"""),"-33.305311,-70.856891")</f>
        <v>-33.305311,-70.856891</v>
      </c>
      <c r="C7114" s="6" t="str">
        <f ca="1">IFERROR(__xludf.DUMMYFUNCTION("""COMPUTED_VALUE"""),"SAN MARTIN ST 98A")</f>
        <v>SAN MARTIN ST 98A</v>
      </c>
      <c r="D7114" s="6" t="str">
        <f ca="1">IFERROR(__xludf.DUMMYFUNCTION("""COMPUTED_VALUE"""),"LAMPA")</f>
        <v>LAMPA</v>
      </c>
    </row>
    <row r="7115" spans="1:4">
      <c r="A7115" s="7">
        <f ca="1">IFERROR(__xludf.DUMMYFUNCTION("""COMPUTED_VALUE"""),44624)</f>
        <v>44624</v>
      </c>
      <c r="B7115" s="6" t="str">
        <f ca="1">IFERROR(__xludf.DUMMYFUNCTION("""COMPUTED_VALUE"""),"-33.296658,-70.881727")</f>
        <v>-33.296658,-70.881727</v>
      </c>
      <c r="C7115" s="6" t="str">
        <f ca="1">IFERROR(__xludf.DUMMYFUNCTION("""COMPUTED_VALUE"""),"LOS HALCONES695")</f>
        <v>LOS HALCONES695</v>
      </c>
      <c r="D7115" s="6" t="str">
        <f ca="1">IFERROR(__xludf.DUMMYFUNCTION("""COMPUTED_VALUE"""),"LAMPA")</f>
        <v>LAMPA</v>
      </c>
    </row>
    <row r="7116" spans="1:4">
      <c r="A7116" s="7">
        <f ca="1">IFERROR(__xludf.DUMMYFUNCTION("""COMPUTED_VALUE"""),44624)</f>
        <v>44624</v>
      </c>
      <c r="B7116" s="6" t="str">
        <f ca="1">IFERROR(__xludf.DUMMYFUNCTION("""COMPUTED_VALUE"""),"-33.8041886,-70.7151033")</f>
        <v>-33.8041886,-70.7151033</v>
      </c>
      <c r="C7116" s="6" t="str">
        <f ca="1">IFERROR(__xludf.DUMMYFUNCTION("""COMPUTED_VALUE"""),"PASAJE SIETE 2056")</f>
        <v>PASAJE SIETE 2056</v>
      </c>
      <c r="D7116" s="6" t="str">
        <f ca="1">IFERROR(__xludf.DUMMYFUNCTION("""COMPUTED_VALUE"""),"PAINE")</f>
        <v>PAINE</v>
      </c>
    </row>
    <row r="7117" spans="1:4">
      <c r="A7117" s="7">
        <f ca="1">IFERROR(__xludf.DUMMYFUNCTION("""COMPUTED_VALUE"""),44624)</f>
        <v>44624</v>
      </c>
      <c r="B7117" s="6" t="str">
        <f ca="1">IFERROR(__xludf.DUMMYFUNCTION("""COMPUTED_VALUE"""),"-33.6982703,-70.7108401")</f>
        <v>-33.6982703,-70.7108401</v>
      </c>
      <c r="C7117" s="6" t="str">
        <f ca="1">IFERROR(__xludf.DUMMYFUNCTION("""COMPUTED_VALUE"""),"PJE LO GALVEZ 39")</f>
        <v>PJE LO GALVEZ 39</v>
      </c>
      <c r="D7117" s="6" t="str">
        <f ca="1">IFERROR(__xludf.DUMMYFUNCTION("""COMPUTED_VALUE"""),"BUIN")</f>
        <v>BUIN</v>
      </c>
    </row>
    <row r="7118" spans="1:4">
      <c r="A7118" s="7">
        <f ca="1">IFERROR(__xludf.DUMMYFUNCTION("""COMPUTED_VALUE"""),44624)</f>
        <v>44624</v>
      </c>
      <c r="B7118" s="6" t="str">
        <f ca="1">IFERROR(__xludf.DUMMYFUNCTION("""COMPUTED_VALUE"""),"-33.878415,-70.757519")</f>
        <v>-33.878415,-70.757519</v>
      </c>
      <c r="C7118" s="6" t="str">
        <f ca="1">IFERROR(__xludf.DUMMYFUNCTION("""COMPUTED_VALUE"""),"AGUILA NORTE15")</f>
        <v>AGUILA NORTE15</v>
      </c>
      <c r="D7118" s="6" t="str">
        <f ca="1">IFERROR(__xludf.DUMMYFUNCTION("""COMPUTED_VALUE"""),"PAINE")</f>
        <v>PAINE</v>
      </c>
    </row>
    <row r="7119" spans="1:4">
      <c r="A7119" s="7">
        <f ca="1">IFERROR(__xludf.DUMMYFUNCTION("""COMPUTED_VALUE"""),44624)</f>
        <v>44624</v>
      </c>
      <c r="B7119" s="6" t="str">
        <f ca="1">IFERROR(__xludf.DUMMYFUNCTION("""COMPUTED_VALUE"""),"-33.878279,-70.757370")</f>
        <v>-33.878279,-70.757370</v>
      </c>
      <c r="C7119" s="6" t="str">
        <f ca="1">IFERROR(__xludf.DUMMYFUNCTION("""COMPUTED_VALUE"""),"AGUILA NORTE16")</f>
        <v>AGUILA NORTE16</v>
      </c>
      <c r="D7119" s="6" t="str">
        <f ca="1">IFERROR(__xludf.DUMMYFUNCTION("""COMPUTED_VALUE"""),"PAINE")</f>
        <v>PAINE</v>
      </c>
    </row>
    <row r="7120" spans="1:4">
      <c r="A7120" s="7">
        <f ca="1">IFERROR(__xludf.DUMMYFUNCTION("""COMPUTED_VALUE"""),44625)</f>
        <v>44625</v>
      </c>
      <c r="B7120" s="8" t="str">
        <f ca="1">IFERROR(__xludf.DUMMYFUNCTION("""COMPUTED_VALUE"""),"-33.218383,-70.689784")</f>
        <v>-33.218383,-70.689784</v>
      </c>
      <c r="C7120" s="6" t="str">
        <f ca="1">IFERROR(__xludf.DUMMYFUNCTION("""COMPUTED_VALUE"""),"LAS PIRCAS ORIENTE 1198")</f>
        <v>LAS PIRCAS ORIENTE 1198</v>
      </c>
      <c r="D7120" s="6" t="str">
        <f ca="1">IFERROR(__xludf.DUMMYFUNCTION("""COMPUTED_VALUE"""),"COLINA")</f>
        <v>COLINA</v>
      </c>
    </row>
    <row r="7121" spans="1:4">
      <c r="A7121" s="7">
        <f ca="1">IFERROR(__xludf.DUMMYFUNCTION("""COMPUTED_VALUE"""),44625)</f>
        <v>44625</v>
      </c>
      <c r="B7121" s="8" t="str">
        <f ca="1">IFERROR(__xludf.DUMMYFUNCTION("""COMPUTED_VALUE"""),"-33.645221,-70.605129")</f>
        <v>-33.645221,-70.605129</v>
      </c>
      <c r="C7121" s="6" t="str">
        <f ca="1">IFERROR(__xludf.DUMMYFUNCTION("""COMPUTED_VALUE"""),"EL CRUCEDAL 1 PARCELA 19")</f>
        <v>EL CRUCEDAL 1 PARCELA 19</v>
      </c>
      <c r="D7121" s="6" t="str">
        <f ca="1">IFERROR(__xludf.DUMMYFUNCTION("""COMPUTED_VALUE"""),"PIRQUE")</f>
        <v>PIRQUE</v>
      </c>
    </row>
    <row r="7122" spans="1:4">
      <c r="A7122" s="7">
        <f ca="1">IFERROR(__xludf.DUMMYFUNCTION("""COMPUTED_VALUE"""),44625)</f>
        <v>44625</v>
      </c>
      <c r="B7122" s="8" t="str">
        <f ca="1">IFERROR(__xludf.DUMMYFUNCTION("""COMPUTED_VALUE"""),"-33..737020,-70.716403")</f>
        <v>-33..737020,-70.716403</v>
      </c>
      <c r="C7122" s="6" t="str">
        <f ca="1">IFERROR(__xludf.DUMMYFUNCTION("""COMPUTED_VALUE"""),"CAMINO EL AMPA 1530 CASA 97")</f>
        <v>CAMINO EL AMPA 1530 CASA 97</v>
      </c>
      <c r="D7122" s="6" t="str">
        <f ca="1">IFERROR(__xludf.DUMMYFUNCTION("""COMPUTED_VALUE"""),"PIRQUE")</f>
        <v>PIRQUE</v>
      </c>
    </row>
    <row r="7123" spans="1:4">
      <c r="A7123" s="7">
        <f ca="1">IFERROR(__xludf.DUMMYFUNCTION("""COMPUTED_VALUE"""),44625)</f>
        <v>44625</v>
      </c>
      <c r="B7123" s="6" t="str">
        <f ca="1">IFERROR(__xludf.DUMMYFUNCTION("""COMPUTED_VALUE"""),"-33.677971,.-71.208976")</f>
        <v>-33.677971,.-71.208976</v>
      </c>
      <c r="C7123" s="6" t="str">
        <f ca="1">IFERROR(__xludf.DUMMYFUNCTION("""COMPUTED_VALUE"""),"ARTURO PEREZ 2 CHACABUCANO")</f>
        <v>ARTURO PEREZ 2 CHACABUCANO</v>
      </c>
      <c r="D7123" s="6" t="str">
        <f ca="1">IFERROR(__xludf.DUMMYFUNCTION("""COMPUTED_VALUE"""),"MELIPILLA")</f>
        <v>MELIPILLA</v>
      </c>
    </row>
    <row r="7124" spans="1:4">
      <c r="A7124" s="7">
        <f ca="1">IFERROR(__xludf.DUMMYFUNCTION("""COMPUTED_VALUE"""),44625)</f>
        <v>44625</v>
      </c>
      <c r="B7124" s="6" t="str">
        <f ca="1">IFERROR(__xludf.DUMMYFUNCTION("""COMPUTED_VALUE"""),"-33.864251,-70.749403")</f>
        <v>-33.864251,-70.749403</v>
      </c>
      <c r="C7124" s="6" t="str">
        <f ca="1">IFERROR(__xludf.DUMMYFUNCTION("""COMPUTED_VALUE"""),"PASAJE UNO 205")</f>
        <v>PASAJE UNO 205</v>
      </c>
      <c r="D7124" s="6" t="str">
        <f ca="1">IFERROR(__xludf.DUMMYFUNCTION("""COMPUTED_VALUE"""),"PAINE")</f>
        <v>PAINE</v>
      </c>
    </row>
    <row r="7125" spans="1:4">
      <c r="A7125" s="7">
        <f ca="1">IFERROR(__xludf.DUMMYFUNCTION("""COMPUTED_VALUE"""),44625)</f>
        <v>44625</v>
      </c>
      <c r="B7125" s="6" t="str">
        <f ca="1">IFERROR(__xludf.DUMMYFUNCTION("""COMPUTED_VALUE"""),"-33.863990,-70.799418")</f>
        <v>-33.863990,-70.799418</v>
      </c>
      <c r="C7125" s="6" t="str">
        <f ca="1">IFERROR(__xludf.DUMMYFUNCTION("""COMPUTED_VALUE"""),"PASAJE UNO 209")</f>
        <v>PASAJE UNO 209</v>
      </c>
      <c r="D7125" s="6" t="str">
        <f ca="1">IFERROR(__xludf.DUMMYFUNCTION("""COMPUTED_VALUE"""),"PAINE")</f>
        <v>PAINE</v>
      </c>
    </row>
    <row r="7126" spans="1:4">
      <c r="A7126" s="7">
        <f ca="1">IFERROR(__xludf.DUMMYFUNCTION("""COMPUTED_VALUE"""),44627)</f>
        <v>44627</v>
      </c>
      <c r="B7126" s="8" t="str">
        <f ca="1">IFERROR(__xludf.DUMMYFUNCTION("""COMPUTED_VALUE"""),"33.745463 - 70.870105")</f>
        <v>33.745463 - 70.870105</v>
      </c>
      <c r="C7126" s="6" t="str">
        <f ca="1">IFERROR(__xludf.DUMMYFUNCTION("""COMPUTED_VALUE"""),"MARIO BERTOLUCCI384")</f>
        <v>MARIO BERTOLUCCI384</v>
      </c>
      <c r="D7126" s="6" t="str">
        <f ca="1">IFERROR(__xludf.DUMMYFUNCTION("""COMPUTED_VALUE"""),"ISLA DE MAIPO")</f>
        <v>ISLA DE MAIPO</v>
      </c>
    </row>
    <row r="7127" spans="1:4">
      <c r="A7127" s="7">
        <f ca="1">IFERROR(__xludf.DUMMYFUNCTION("""COMPUTED_VALUE"""),44627)</f>
        <v>44627</v>
      </c>
      <c r="B7127" s="8" t="str">
        <f ca="1">IFERROR(__xludf.DUMMYFUNCTION("""COMPUTED_VALUE"""),"33.513700 - 71.22238")</f>
        <v>33.513700 - 71.22238</v>
      </c>
      <c r="C7127" s="6" t="str">
        <f ca="1">IFERROR(__xludf.DUMMYFUNCTION("""COMPUTED_VALUE"""),"PANQUE 350")</f>
        <v>PANQUE 350</v>
      </c>
      <c r="D7127" s="6" t="str">
        <f ca="1">IFERROR(__xludf.DUMMYFUNCTION("""COMPUTED_VALUE"""),"MARIA PINTO")</f>
        <v>MARIA PINTO</v>
      </c>
    </row>
    <row r="7128" spans="1:4">
      <c r="A7128" s="7">
        <f ca="1">IFERROR(__xludf.DUMMYFUNCTION("""COMPUTED_VALUE"""),44627)</f>
        <v>44627</v>
      </c>
      <c r="B7128" s="6" t="str">
        <f ca="1">IFERROR(__xludf.DUMMYFUNCTION("""COMPUTED_VALUE"""),"-33.646785-70.353610")</f>
        <v>-33.646785-70.353610</v>
      </c>
      <c r="C7128" s="6" t="str">
        <f ca="1">IFERROR(__xludf.DUMMYFUNCTION("""COMPUTED_VALUE"""),"CAMINO AL VOLCAN 20461")</f>
        <v>CAMINO AL VOLCAN 20461</v>
      </c>
      <c r="D7128" s="6" t="str">
        <f ca="1">IFERROR(__xludf.DUMMYFUNCTION("""COMPUTED_VALUE"""),"SAN JOSE DE MAIPO")</f>
        <v>SAN JOSE DE MAIPO</v>
      </c>
    </row>
    <row r="7129" spans="1:4">
      <c r="A7129" s="7">
        <f ca="1">IFERROR(__xludf.DUMMYFUNCTION("""COMPUTED_VALUE"""),44627)</f>
        <v>44627</v>
      </c>
      <c r="B7129" s="6" t="str">
        <f ca="1">IFERROR(__xludf.DUMMYFUNCTION("""COMPUTED_VALUE"""),"-33.637095-70.354610")</f>
        <v>-33.637095-70.354610</v>
      </c>
      <c r="C7129" s="6" t="str">
        <f ca="1">IFERROR(__xludf.DUMMYFUNCTION("""COMPUTED_VALUE"""),"SIN CALLE S/N")</f>
        <v>SIN CALLE S/N</v>
      </c>
      <c r="D7129" s="6" t="str">
        <f ca="1">IFERROR(__xludf.DUMMYFUNCTION("""COMPUTED_VALUE"""),"SAN JOSE DE MAIPO")</f>
        <v>SAN JOSE DE MAIPO</v>
      </c>
    </row>
    <row r="7130" spans="1:4">
      <c r="A7130" s="7">
        <f ca="1">IFERROR(__xludf.DUMMYFUNCTION("""COMPUTED_VALUE"""),44627)</f>
        <v>44627</v>
      </c>
      <c r="B7130" s="6" t="str">
        <f ca="1">IFERROR(__xludf.DUMMYFUNCTION("""COMPUTED_VALUE"""),"-33.27822-70.88308")</f>
        <v>-33.27822-70.88308</v>
      </c>
      <c r="C7130" s="6" t="str">
        <f ca="1">IFERROR(__xludf.DUMMYFUNCTION("""COMPUTED_VALUE"""),"LAS ARAUCARIAS 141")</f>
        <v>LAS ARAUCARIAS 141</v>
      </c>
      <c r="D7130" s="6" t="str">
        <f ca="1">IFERROR(__xludf.DUMMYFUNCTION("""COMPUTED_VALUE"""),"LAMPA")</f>
        <v>LAMPA</v>
      </c>
    </row>
    <row r="7131" spans="1:4">
      <c r="A7131" s="7">
        <f ca="1">IFERROR(__xludf.DUMMYFUNCTION("""COMPUTED_VALUE"""),44627)</f>
        <v>44627</v>
      </c>
      <c r="B7131" s="6" t="str">
        <f ca="1">IFERROR(__xludf.DUMMYFUNCTION("""COMPUTED_VALUE"""),"-33.1222-70.7981")</f>
        <v>-33.1222-70.7981</v>
      </c>
      <c r="C7131" s="6" t="str">
        <f ca="1">IFERROR(__xludf.DUMMYFUNCTION("""COMPUTED_VALUE"""),"LOS LINGUES LOTE 15")</f>
        <v>LOS LINGUES LOTE 15</v>
      </c>
      <c r="D7131" s="6" t="str">
        <f ca="1">IFERROR(__xludf.DUMMYFUNCTION("""COMPUTED_VALUE"""),"TIL TIL")</f>
        <v>TIL TIL</v>
      </c>
    </row>
    <row r="7132" spans="1:4">
      <c r="A7132" s="7">
        <f ca="1">IFERROR(__xludf.DUMMYFUNCTION("""COMPUTED_VALUE"""),44627)</f>
        <v>44627</v>
      </c>
      <c r="B7132" s="8" t="str">
        <f ca="1">IFERROR(__xludf.DUMMYFUNCTION("""COMPUTED_VALUE"""),"-33.433455,-70.33283W")</f>
        <v>-33.433455,-70.33283W</v>
      </c>
      <c r="C7132" s="6" t="str">
        <f ca="1">IFERROR(__xludf.DUMMYFUNCTION("""COMPUTED_VALUE"""),"LA PRINCIPAL LT 2 - 97")</f>
        <v>LA PRINCIPAL LT 2 - 97</v>
      </c>
      <c r="D7132" s="6" t="str">
        <f ca="1">IFERROR(__xludf.DUMMYFUNCTION("""COMPUTED_VALUE"""),"PIRQUE")</f>
        <v>PIRQUE</v>
      </c>
    </row>
    <row r="7133" spans="1:4">
      <c r="A7133" s="7">
        <f ca="1">IFERROR(__xludf.DUMMYFUNCTION("""COMPUTED_VALUE"""),44627)</f>
        <v>44627</v>
      </c>
      <c r="B7133" s="8" t="str">
        <f ca="1">IFERROR(__xludf.DUMMYFUNCTION("""COMPUTED_VALUE"""),"-33.726515,-70.541261")</f>
        <v>-33.726515,-70.541261</v>
      </c>
      <c r="C7133" s="6" t="str">
        <f ca="1">IFERROR(__xludf.DUMMYFUNCTION("""COMPUTED_VALUE"""),"CALLE LA ESCUELA 75")</f>
        <v>CALLE LA ESCUELA 75</v>
      </c>
      <c r="D7133" s="6" t="str">
        <f ca="1">IFERROR(__xludf.DUMMYFUNCTION("""COMPUTED_VALUE"""),"PIRQUE")</f>
        <v>PIRQUE</v>
      </c>
    </row>
    <row r="7134" spans="1:4">
      <c r="A7134" s="7">
        <f ca="1">IFERROR(__xludf.DUMMYFUNCTION("""COMPUTED_VALUE"""),44627)</f>
        <v>44627</v>
      </c>
      <c r="B7134" s="8" t="str">
        <f ca="1">IFERROR(__xludf.DUMMYFUNCTION("""COMPUTED_VALUE"""),"-33.682154,-70.99644")</f>
        <v>-33.682154,-70.99644</v>
      </c>
      <c r="C7134" s="6" t="str">
        <f ca="1">IFERROR(__xludf.DUMMYFUNCTION("""COMPUTED_VALUE"""),"AV. LOS LIBERTADORES 791 CASA 24")</f>
        <v>AV. LOS LIBERTADORES 791 CASA 24</v>
      </c>
      <c r="D7134" s="6" t="str">
        <f ca="1">IFERROR(__xludf.DUMMYFUNCTION("""COMPUTED_VALUE"""),"EL MONTE")</f>
        <v>EL MONTE</v>
      </c>
    </row>
    <row r="7135" spans="1:4">
      <c r="A7135" s="7">
        <f ca="1">IFERROR(__xludf.DUMMYFUNCTION("""COMPUTED_VALUE"""),44627)</f>
        <v>44627</v>
      </c>
      <c r="B7135" s="8" t="str">
        <f ca="1">IFERROR(__xludf.DUMMYFUNCTION("""COMPUTED_VALUE"""),"-33.676363,-70.998855")</f>
        <v>-33.676363,-70.998855</v>
      </c>
      <c r="C7135" s="6" t="str">
        <f ca="1">IFERROR(__xludf.DUMMYFUNCTION("""COMPUTED_VALUE"""),"FRESIA 848")</f>
        <v>FRESIA 848</v>
      </c>
      <c r="D7135" s="6" t="str">
        <f ca="1">IFERROR(__xludf.DUMMYFUNCTION("""COMPUTED_VALUE"""),"EL MONTE")</f>
        <v>EL MONTE</v>
      </c>
    </row>
    <row r="7136" spans="1:4">
      <c r="A7136" s="7">
        <f ca="1">IFERROR(__xludf.DUMMYFUNCTION("""COMPUTED_VALUE"""),44627)</f>
        <v>44627</v>
      </c>
      <c r="B7136" s="6" t="str">
        <f ca="1">IFERROR(__xludf.DUMMYFUNCTION("""COMPUTED_VALUE"""),"-33.743090,-70.863589")</f>
        <v>-33.743090,-70.863589</v>
      </c>
      <c r="C7136" s="6" t="str">
        <f ca="1">IFERROR(__xludf.DUMMYFUNCTION("""COMPUTED_VALUE"""),"BALMACEDA  3835")</f>
        <v>BALMACEDA  3835</v>
      </c>
      <c r="D7136" s="6" t="str">
        <f ca="1">IFERROR(__xludf.DUMMYFUNCTION("""COMPUTED_VALUE"""),"ISLA DE MAIPO")</f>
        <v>ISLA DE MAIPO</v>
      </c>
    </row>
    <row r="7137" spans="1:4">
      <c r="A7137" s="7">
        <f ca="1">IFERROR(__xludf.DUMMYFUNCTION("""COMPUTED_VALUE"""),44627)</f>
        <v>44627</v>
      </c>
      <c r="B7137" s="6" t="str">
        <f ca="1">IFERROR(__xludf.DUMMYFUNCTION("""COMPUTED_VALUE"""),"-33.616919,-71.256998")</f>
        <v>-33.616919,-71.256998</v>
      </c>
      <c r="C7137" s="6" t="str">
        <f ca="1">IFERROR(__xludf.DUMMYFUNCTION("""COMPUTED_VALUE"""),"VILLA  ALEGRE P4 LB")</f>
        <v>VILLA  ALEGRE P4 LB</v>
      </c>
      <c r="D7137" s="6" t="str">
        <f ca="1">IFERROR(__xludf.DUMMYFUNCTION("""COMPUTED_VALUE"""),"MELIPILLA")</f>
        <v>MELIPILLA</v>
      </c>
    </row>
    <row r="7138" spans="1:4">
      <c r="A7138" s="7">
        <f ca="1">IFERROR(__xludf.DUMMYFUNCTION("""COMPUTED_VALUE"""),44627)</f>
        <v>44627</v>
      </c>
      <c r="B7138" s="6" t="str">
        <f ca="1">IFERROR(__xludf.DUMMYFUNCTION("""COMPUTED_VALUE"""),"-33.616979,-71.256998")</f>
        <v>-33.616979,-71.256998</v>
      </c>
      <c r="C7138" s="6" t="str">
        <f ca="1">IFERROR(__xludf.DUMMYFUNCTION("""COMPUTED_VALUE"""),"VILLA ALEGRE P4 LTB")</f>
        <v>VILLA ALEGRE P4 LTB</v>
      </c>
      <c r="D7138" s="6" t="str">
        <f ca="1">IFERROR(__xludf.DUMMYFUNCTION("""COMPUTED_VALUE"""),"MELIPILLA")</f>
        <v>MELIPILLA</v>
      </c>
    </row>
    <row r="7139" spans="1:4">
      <c r="A7139" s="7">
        <f ca="1">IFERROR(__xludf.DUMMYFUNCTION("""COMPUTED_VALUE"""),44627)</f>
        <v>44627</v>
      </c>
      <c r="B7139" s="8" t="str">
        <f ca="1">IFERROR(__xludf.DUMMYFUNCTION("""COMPUTED_VALUE"""),"-33.280383,-70.754480")</f>
        <v>-33.280383,-70.754480</v>
      </c>
      <c r="C7139" s="6" t="str">
        <f ca="1">IFERROR(__xludf.DUMMYFUNCTION("""COMPUTED_VALUE"""),"LOS MUERMOS 114")</f>
        <v>LOS MUERMOS 114</v>
      </c>
      <c r="D7139" s="6" t="str">
        <f ca="1">IFERROR(__xludf.DUMMYFUNCTION("""COMPUTED_VALUE"""),"LAMPA")</f>
        <v>LAMPA</v>
      </c>
    </row>
    <row r="7140" spans="1:4">
      <c r="A7140" s="7">
        <f ca="1">IFERROR(__xludf.DUMMYFUNCTION("""COMPUTED_VALUE"""),44627)</f>
        <v>44627</v>
      </c>
      <c r="B7140" s="6" t="str">
        <f ca="1">IFERROR(__xludf.DUMMYFUNCTION("""COMPUTED_VALUE"""),"-33.805993,-70.737585")</f>
        <v>-33.805993,-70.737585</v>
      </c>
      <c r="C7140" s="6" t="str">
        <f ca="1">IFERROR(__xludf.DUMMYFUNCTION("""COMPUTED_VALUE"""),"ISLA PICTON 118")</f>
        <v>ISLA PICTON 118</v>
      </c>
      <c r="D7140" s="6" t="str">
        <f ca="1">IFERROR(__xludf.DUMMYFUNCTION("""COMPUTED_VALUE"""),"PAINE")</f>
        <v>PAINE</v>
      </c>
    </row>
    <row r="7141" spans="1:4">
      <c r="A7141" s="7">
        <f ca="1">IFERROR(__xludf.DUMMYFUNCTION("""COMPUTED_VALUE"""),44627)</f>
        <v>44627</v>
      </c>
      <c r="B7141" s="6" t="str">
        <f ca="1">IFERROR(__xludf.DUMMYFUNCTION("""COMPUTED_VALUE"""),"-33.864032,-70.750015")</f>
        <v>-33.864032,-70.750015</v>
      </c>
      <c r="C7141" s="6" t="str">
        <f ca="1">IFERROR(__xludf.DUMMYFUNCTION("""COMPUTED_VALUE"""),"PASAJE UNO 212")</f>
        <v>PASAJE UNO 212</v>
      </c>
      <c r="D7141" s="6" t="str">
        <f ca="1">IFERROR(__xludf.DUMMYFUNCTION("""COMPUTED_VALUE"""),"PAINE")</f>
        <v>PAINE</v>
      </c>
    </row>
    <row r="7142" spans="1:4">
      <c r="A7142" s="7">
        <f ca="1">IFERROR(__xludf.DUMMYFUNCTION("""COMPUTED_VALUE"""),44627)</f>
        <v>44627</v>
      </c>
      <c r="B7142" s="6" t="str">
        <f ca="1">IFERROR(__xludf.DUMMYFUNCTION("""COMPUTED_VALUE"""),"-33.870244,-70.746685")</f>
        <v>-33.870244,-70.746685</v>
      </c>
      <c r="C7142" s="6" t="str">
        <f ca="1">IFERROR(__xludf.DUMMYFUNCTION("""COMPUTED_VALUE"""),"HUERTO 47")</f>
        <v>HUERTO 47</v>
      </c>
      <c r="D7142" s="6" t="str">
        <f ca="1">IFERROR(__xludf.DUMMYFUNCTION("""COMPUTED_VALUE"""),"PAINE")</f>
        <v>PAINE</v>
      </c>
    </row>
    <row r="7143" spans="1:4">
      <c r="A7143" s="7">
        <f ca="1">IFERROR(__xludf.DUMMYFUNCTION("""COMPUTED_VALUE"""),44628)</f>
        <v>44628</v>
      </c>
      <c r="B7143" s="8" t="str">
        <f ca="1">IFERROR(__xludf.DUMMYFUNCTION("""COMPUTED_VALUE"""),"33.745460 - 70.870121")</f>
        <v>33.745460 - 70.870121</v>
      </c>
      <c r="C7143" s="6" t="str">
        <f ca="1">IFERROR(__xludf.DUMMYFUNCTION("""COMPUTED_VALUE"""),"MARIO BERTOLUCCI 392")</f>
        <v>MARIO BERTOLUCCI 392</v>
      </c>
      <c r="D7143" s="6" t="str">
        <f ca="1">IFERROR(__xludf.DUMMYFUNCTION("""COMPUTED_VALUE"""),"ISLA DE MAIPO")</f>
        <v>ISLA DE MAIPO</v>
      </c>
    </row>
    <row r="7144" spans="1:4">
      <c r="A7144" s="7">
        <f ca="1">IFERROR(__xludf.DUMMYFUNCTION("""COMPUTED_VALUE"""),44628)</f>
        <v>44628</v>
      </c>
      <c r="B7144" s="8" t="str">
        <f ca="1">IFERROR(__xludf.DUMMYFUNCTION("""COMPUTED_VALUE"""),"33.875744 - 70.720511")</f>
        <v>33.875744 - 70.720511</v>
      </c>
      <c r="C7144" s="6" t="str">
        <f ca="1">IFERROR(__xludf.DUMMYFUNCTION("""COMPUTED_VALUE"""),"EL SAUCE 161 C 4")</f>
        <v>EL SAUCE 161 C 4</v>
      </c>
      <c r="D7144" s="6" t="str">
        <f ca="1">IFERROR(__xludf.DUMMYFUNCTION("""COMPUTED_VALUE"""),"PAINE")</f>
        <v>PAINE</v>
      </c>
    </row>
    <row r="7145" spans="1:4">
      <c r="A7145" s="7">
        <f ca="1">IFERROR(__xludf.DUMMYFUNCTION("""COMPUTED_VALUE"""),44628)</f>
        <v>44628</v>
      </c>
      <c r="B7145" s="6" t="str">
        <f ca="1">IFERROR(__xludf.DUMMYFUNCTION("""COMPUTED_VALUE"""),"-33.58456-70.4812")</f>
        <v>-33.58456-70.4812</v>
      </c>
      <c r="C7145" s="6" t="str">
        <f ca="1">IFERROR(__xludf.DUMMYFUNCTION("""COMPUTED_VALUE"""),"LOS CEREZOS 20017")</f>
        <v>LOS CEREZOS 20017</v>
      </c>
      <c r="D7145" s="6" t="str">
        <f ca="1">IFERROR(__xludf.DUMMYFUNCTION("""COMPUTED_VALUE"""),"SAN JOSE DE MAIPO")</f>
        <v>SAN JOSE DE MAIPO</v>
      </c>
    </row>
    <row r="7146" spans="1:4">
      <c r="A7146" s="7">
        <f ca="1">IFERROR(__xludf.DUMMYFUNCTION("""COMPUTED_VALUE"""),44628)</f>
        <v>44628</v>
      </c>
      <c r="B7146" s="6" t="str">
        <f ca="1">IFERROR(__xludf.DUMMYFUNCTION("""COMPUTED_VALUE"""),"-33.5903-70.48455")</f>
        <v>-33.5903-70.48455</v>
      </c>
      <c r="C7146" s="6" t="str">
        <f ca="1">IFERROR(__xludf.DUMMYFUNCTION("""COMPUTED_VALUE"""),"LAS PIRCAS 129")</f>
        <v>LAS PIRCAS 129</v>
      </c>
      <c r="D7146" s="6" t="str">
        <f ca="1">IFERROR(__xludf.DUMMYFUNCTION("""COMPUTED_VALUE"""),"SAN JOSE DE MAIPO")</f>
        <v>SAN JOSE DE MAIPO</v>
      </c>
    </row>
    <row r="7147" spans="1:4">
      <c r="A7147" s="7">
        <f ca="1">IFERROR(__xludf.DUMMYFUNCTION("""COMPUTED_VALUE"""),44628)</f>
        <v>44628</v>
      </c>
      <c r="B7147" s="6" t="str">
        <f ca="1">IFERROR(__xludf.DUMMYFUNCTION("""COMPUTED_VALUE"""),"-33.58786-70.4805")</f>
        <v>-33.58786-70.4805</v>
      </c>
      <c r="C7147" s="6" t="str">
        <f ca="1">IFERROR(__xludf.DUMMYFUNCTION("""COMPUTED_VALUE"""),"EL CANELO S/N")</f>
        <v>EL CANELO S/N</v>
      </c>
      <c r="D7147" s="6" t="str">
        <f ca="1">IFERROR(__xludf.DUMMYFUNCTION("""COMPUTED_VALUE"""),"SAN JOSE DE MAIPO")</f>
        <v>SAN JOSE DE MAIPO</v>
      </c>
    </row>
    <row r="7148" spans="1:4">
      <c r="A7148" s="7">
        <f ca="1">IFERROR(__xludf.DUMMYFUNCTION("""COMPUTED_VALUE"""),44628)</f>
        <v>44628</v>
      </c>
      <c r="B7148" s="6" t="str">
        <f ca="1">IFERROR(__xludf.DUMMYFUNCTION("""COMPUTED_VALUE"""),"-33.70934-70.55060")</f>
        <v>-33.70934-70.55060</v>
      </c>
      <c r="C7148" s="6" t="str">
        <f ca="1">IFERROR(__xludf.DUMMYFUNCTION("""COMPUTED_VALUE"""),"EL PRINCIPAL 188 D")</f>
        <v>EL PRINCIPAL 188 D</v>
      </c>
      <c r="D7148" s="6" t="str">
        <f ca="1">IFERROR(__xludf.DUMMYFUNCTION("""COMPUTED_VALUE"""),"PIRQUE")</f>
        <v>PIRQUE</v>
      </c>
    </row>
    <row r="7149" spans="1:4">
      <c r="A7149" s="7">
        <f ca="1">IFERROR(__xludf.DUMMYFUNCTION("""COMPUTED_VALUE"""),44628)</f>
        <v>44628</v>
      </c>
      <c r="B7149" s="6" t="str">
        <f ca="1">IFERROR(__xludf.DUMMYFUNCTION("""COMPUTED_VALUE"""),"-33.70887-70.550360")</f>
        <v>-33.70887-70.550360</v>
      </c>
      <c r="C7149" s="6" t="str">
        <f ca="1">IFERROR(__xludf.DUMMYFUNCTION("""COMPUTED_VALUE"""),"VILLORRIO SAN MANUEL 188")</f>
        <v>VILLORRIO SAN MANUEL 188</v>
      </c>
      <c r="D7149" s="6" t="str">
        <f ca="1">IFERROR(__xludf.DUMMYFUNCTION("""COMPUTED_VALUE"""),"PIRQUE")</f>
        <v>PIRQUE</v>
      </c>
    </row>
    <row r="7150" spans="1:4">
      <c r="A7150" s="7">
        <f ca="1">IFERROR(__xludf.DUMMYFUNCTION("""COMPUTED_VALUE"""),44628)</f>
        <v>44628</v>
      </c>
      <c r="B7150" s="6" t="str">
        <f ca="1">IFERROR(__xludf.DUMMYFUNCTION("""COMPUTED_VALUE"""),"-33.629275-70.575650")</f>
        <v>-33.629275-70.575650</v>
      </c>
      <c r="C7150" s="6" t="str">
        <f ca="1">IFERROR(__xludf.DUMMYFUNCTION("""COMPUTED_VALUE"""),"EMILIANA SUBERCASEAUX 163")</f>
        <v>EMILIANA SUBERCASEAUX 163</v>
      </c>
      <c r="D7150" s="6" t="str">
        <f ca="1">IFERROR(__xludf.DUMMYFUNCTION("""COMPUTED_VALUE"""),"PIRQUE")</f>
        <v>PIRQUE</v>
      </c>
    </row>
    <row r="7151" spans="1:4">
      <c r="A7151" s="7">
        <f ca="1">IFERROR(__xludf.DUMMYFUNCTION("""COMPUTED_VALUE"""),44628)</f>
        <v>44628</v>
      </c>
      <c r="B7151" s="6" t="str">
        <f ca="1">IFERROR(__xludf.DUMMYFUNCTION("""COMPUTED_VALUE"""),"-33.392837-71.122191")</f>
        <v>-33.392837-71.122191</v>
      </c>
      <c r="C7151" s="6" t="str">
        <f ca="1">IFERROR(__xludf.DUMMYFUNCTION("""COMPUTED_VALUE"""),"MANUEL GANDARILLAS 2152")</f>
        <v>MANUEL GANDARILLAS 2152</v>
      </c>
      <c r="D7151" s="6" t="str">
        <f ca="1">IFERROR(__xludf.DUMMYFUNCTION("""COMPUTED_VALUE"""),"CURACAVI")</f>
        <v>CURACAVI</v>
      </c>
    </row>
    <row r="7152" spans="1:4">
      <c r="A7152" s="7">
        <f ca="1">IFERROR(__xludf.DUMMYFUNCTION("""COMPUTED_VALUE"""),44628)</f>
        <v>44628</v>
      </c>
      <c r="B7152" s="6" t="str">
        <f ca="1">IFERROR(__xludf.DUMMYFUNCTION("""COMPUTED_VALUE"""),"-33.407679-71.149490")</f>
        <v>-33.407679-71.149490</v>
      </c>
      <c r="C7152" s="6" t="str">
        <f ca="1">IFERROR(__xludf.DUMMYFUNCTION("""COMPUTED_VALUE"""),"PASAJE LA VID 305")</f>
        <v>PASAJE LA VID 305</v>
      </c>
      <c r="D7152" s="6" t="str">
        <f ca="1">IFERROR(__xludf.DUMMYFUNCTION("""COMPUTED_VALUE"""),"CURACAVI")</f>
        <v>CURACAVI</v>
      </c>
    </row>
    <row r="7153" spans="1:4">
      <c r="A7153" s="7">
        <f ca="1">IFERROR(__xludf.DUMMYFUNCTION("""COMPUTED_VALUE"""),44628)</f>
        <v>44628</v>
      </c>
      <c r="B7153" s="8" t="str">
        <f ca="1">IFERROR(__xludf.DUMMYFUNCTION("""COMPUTED_VALUE"""),"-33.706192,-70.558375")</f>
        <v>-33.706192,-70.558375</v>
      </c>
      <c r="C7153" s="6" t="str">
        <f ca="1">IFERROR(__xludf.DUMMYFUNCTION("""COMPUTED_VALUE"""),"EL OLIVO 7881")</f>
        <v>EL OLIVO 7881</v>
      </c>
      <c r="D7153" s="6" t="str">
        <f ca="1">IFERROR(__xludf.DUMMYFUNCTION("""COMPUTED_VALUE"""),"PIRQUE")</f>
        <v>PIRQUE</v>
      </c>
    </row>
    <row r="7154" spans="1:4">
      <c r="A7154" s="7">
        <f ca="1">IFERROR(__xludf.DUMMYFUNCTION("""COMPUTED_VALUE"""),44628)</f>
        <v>44628</v>
      </c>
      <c r="B7154" s="8" t="str">
        <f ca="1">IFERROR(__xludf.DUMMYFUNCTION("""COMPUTED_VALUE"""),"-33.651649,-70.610389")</f>
        <v>-33.651649,-70.610389</v>
      </c>
      <c r="C7154" s="6" t="str">
        <f ca="1">IFERROR(__xludf.DUMMYFUNCTION("""COMPUTED_VALUE"""),"V. SUBERCASEU 3600")</f>
        <v>V. SUBERCASEU 3600</v>
      </c>
      <c r="D7154" s="6" t="str">
        <f ca="1">IFERROR(__xludf.DUMMYFUNCTION("""COMPUTED_VALUE"""),"PIRQUE")</f>
        <v>PIRQUE</v>
      </c>
    </row>
    <row r="7155" spans="1:4">
      <c r="A7155" s="7">
        <f ca="1">IFERROR(__xludf.DUMMYFUNCTION("""COMPUTED_VALUE"""),44628)</f>
        <v>44628</v>
      </c>
      <c r="B7155" s="8" t="str">
        <f ca="1">IFERROR(__xludf.DUMMYFUNCTION("""COMPUTED_VALUE"""),"-33.708980,-70.562516")</f>
        <v>-33.708980,-70.562516</v>
      </c>
      <c r="C7155" s="6" t="str">
        <f ca="1">IFERROR(__xludf.DUMMYFUNCTION("""COMPUTED_VALUE"""),"CALLEJON NAVARRETE 118")</f>
        <v>CALLEJON NAVARRETE 118</v>
      </c>
      <c r="D7155" s="6" t="str">
        <f ca="1">IFERROR(__xludf.DUMMYFUNCTION("""COMPUTED_VALUE"""),"PIRQUE")</f>
        <v>PIRQUE</v>
      </c>
    </row>
    <row r="7156" spans="1:4">
      <c r="A7156" s="7">
        <f ca="1">IFERROR(__xludf.DUMMYFUNCTION("""COMPUTED_VALUE"""),44628)</f>
        <v>44628</v>
      </c>
      <c r="B7156" s="8" t="str">
        <f ca="1">IFERROR(__xludf.DUMMYFUNCTION("""COMPUTED_VALUE"""),"-33.671612,-70.622765")</f>
        <v>-33.671612,-70.622765</v>
      </c>
      <c r="C7156" s="6" t="str">
        <f ca="1">IFERROR(__xludf.DUMMYFUNCTION("""COMPUTED_VALUE"""),"REGIDOR OSVALDO VELENZUELA SITIO 28")</f>
        <v>REGIDOR OSVALDO VELENZUELA SITIO 28</v>
      </c>
      <c r="D7156" s="6" t="str">
        <f ca="1">IFERROR(__xludf.DUMMYFUNCTION("""COMPUTED_VALUE"""),"PIRQUE")</f>
        <v>PIRQUE</v>
      </c>
    </row>
    <row r="7157" spans="1:4">
      <c r="A7157" s="7">
        <f ca="1">IFERROR(__xludf.DUMMYFUNCTION("""COMPUTED_VALUE"""),44628)</f>
        <v>44628</v>
      </c>
      <c r="B7157" s="8" t="str">
        <f ca="1">IFERROR(__xludf.DUMMYFUNCTION("""COMPUTED_VALUE"""),"-33.073595,-70.51422W")</f>
        <v>-33.073595,-70.51422W</v>
      </c>
      <c r="C7157" s="6" t="str">
        <f ca="1">IFERROR(__xludf.DUMMYFUNCTION("""COMPUTED_VALUE"""),"CONDOMINIO EL TRANQUE 2 PC. 71")</f>
        <v>CONDOMINIO EL TRANQUE 2 PC. 71</v>
      </c>
      <c r="D7157" s="6" t="str">
        <f ca="1">IFERROR(__xludf.DUMMYFUNCTION("""COMPUTED_VALUE"""),"TALAGANTE")</f>
        <v>TALAGANTE</v>
      </c>
    </row>
    <row r="7158" spans="1:4">
      <c r="A7158" s="7">
        <f ca="1">IFERROR(__xludf.DUMMYFUNCTION("""COMPUTED_VALUE"""),44628)</f>
        <v>44628</v>
      </c>
      <c r="B7158" s="6" t="str">
        <f ca="1">IFERROR(__xludf.DUMMYFUNCTION("""COMPUTED_VALUE"""),"-33.744951,-70.866318")</f>
        <v>-33.744951,-70.866318</v>
      </c>
      <c r="C7158" s="6" t="str">
        <f ca="1">IFERROR(__xludf.DUMMYFUNCTION("""COMPUTED_VALUE"""),"REGIDOR ERNESTO  TITO JIMENEZ 124")</f>
        <v>REGIDOR ERNESTO  TITO JIMENEZ 124</v>
      </c>
      <c r="D7158" s="6" t="str">
        <f ca="1">IFERROR(__xludf.DUMMYFUNCTION("""COMPUTED_VALUE"""),"ISLA DE MAIPO")</f>
        <v>ISLA DE MAIPO</v>
      </c>
    </row>
    <row r="7159" spans="1:4">
      <c r="A7159" s="7">
        <f ca="1">IFERROR(__xludf.DUMMYFUNCTION("""COMPUTED_VALUE"""),44628)</f>
        <v>44628</v>
      </c>
      <c r="B7159" s="6" t="str">
        <f ca="1">IFERROR(__xludf.DUMMYFUNCTION("""COMPUTED_VALUE"""),"-33.755810,-70.812208")</f>
        <v>-33.755810,-70.812208</v>
      </c>
      <c r="C7159" s="6" t="str">
        <f ca="1">IFERROR(__xludf.DUMMYFUNCTION("""COMPUTED_VALUE"""),"CO PAINE 9127 LONQUENT SIT 19")</f>
        <v>CO PAINE 9127 LONQUENT SIT 19</v>
      </c>
      <c r="D7159" s="6" t="str">
        <f ca="1">IFERROR(__xludf.DUMMYFUNCTION("""COMPUTED_VALUE"""),"BUIN")</f>
        <v>BUIN</v>
      </c>
    </row>
    <row r="7160" spans="1:4">
      <c r="A7160" s="7">
        <f ca="1">IFERROR(__xludf.DUMMYFUNCTION("""COMPUTED_VALUE"""),44628)</f>
        <v>44628</v>
      </c>
      <c r="B7160" s="8" t="str">
        <f ca="1">IFERROR(__xludf.DUMMYFUNCTION("""COMPUTED_VALUE"""),"-33.732442,-70.757513")</f>
        <v>-33.732442,-70.757513</v>
      </c>
      <c r="C7160" s="6" t="str">
        <f ca="1">IFERROR(__xludf.DUMMYFUNCTION("""COMPUTED_VALUE"""),"LO SALINAS 108")</f>
        <v>LO SALINAS 108</v>
      </c>
      <c r="D7160" s="6" t="str">
        <f ca="1">IFERROR(__xludf.DUMMYFUNCTION("""COMPUTED_VALUE"""),"BUIN")</f>
        <v>BUIN</v>
      </c>
    </row>
    <row r="7161" spans="1:4">
      <c r="A7161" s="7">
        <f ca="1">IFERROR(__xludf.DUMMYFUNCTION("""COMPUTED_VALUE"""),44628)</f>
        <v>44628</v>
      </c>
      <c r="B7161" s="8" t="str">
        <f ca="1">IFERROR(__xludf.DUMMYFUNCTION("""COMPUTED_VALUE"""),"-33.515000,-71.082972")</f>
        <v>-33.515000,-71.082972</v>
      </c>
      <c r="C7161" s="6" t="str">
        <f ca="1">IFERROR(__xludf.DUMMYFUNCTION("""COMPUTED_VALUE"""),"PARCELA 7 LOTE 10 RANCHILLO ")</f>
        <v xml:space="preserve">PARCELA 7 LOTE 10 RANCHILLO </v>
      </c>
      <c r="D7161" s="6" t="str">
        <f ca="1">IFERROR(__xludf.DUMMYFUNCTION("""COMPUTED_VALUE"""),"MARIA PINTO")</f>
        <v>MARIA PINTO</v>
      </c>
    </row>
    <row r="7162" spans="1:4">
      <c r="A7162" s="7">
        <f ca="1">IFERROR(__xludf.DUMMYFUNCTION("""COMPUTED_VALUE"""),44628)</f>
        <v>44628</v>
      </c>
      <c r="B7162" s="6" t="str">
        <f ca="1">IFERROR(__xludf.DUMMYFUNCTION("""COMPUTED_VALUE"""),"-33.8255000,-70.73239000")</f>
        <v>-33.8255000,-70.73239000</v>
      </c>
      <c r="C7162" s="6" t="str">
        <f ca="1">IFERROR(__xludf.DUMMYFUNCTION("""COMPUTED_VALUE"""),"LOS COPIHUE 4")</f>
        <v>LOS COPIHUE 4</v>
      </c>
      <c r="D7162" s="6" t="str">
        <f ca="1">IFERROR(__xludf.DUMMYFUNCTION("""COMPUTED_VALUE"""),"PAINE")</f>
        <v>PAINE</v>
      </c>
    </row>
    <row r="7163" spans="1:4">
      <c r="A7163" s="7">
        <f ca="1">IFERROR(__xludf.DUMMYFUNCTION("""COMPUTED_VALUE"""),44628)</f>
        <v>44628</v>
      </c>
      <c r="B7163" s="6" t="str">
        <f ca="1">IFERROR(__xludf.DUMMYFUNCTION("""COMPUTED_VALUE"""),"-33.9065906,-70.7413497")</f>
        <v>-33.9065906,-70.7413497</v>
      </c>
      <c r="C7163" s="6" t="str">
        <f ca="1">IFERROR(__xludf.DUMMYFUNCTION("""COMPUTED_VALUE"""),"CALLE AGUILA SUR P 44")</f>
        <v>CALLE AGUILA SUR P 44</v>
      </c>
      <c r="D7163" s="6" t="str">
        <f ca="1">IFERROR(__xludf.DUMMYFUNCTION("""COMPUTED_VALUE"""),"PAINE")</f>
        <v>PAINE</v>
      </c>
    </row>
    <row r="7164" spans="1:4">
      <c r="A7164" s="7">
        <f ca="1">IFERROR(__xludf.DUMMYFUNCTION("""COMPUTED_VALUE"""),44628)</f>
        <v>44628</v>
      </c>
      <c r="B7164" s="6" t="str">
        <f ca="1">IFERROR(__xludf.DUMMYFUNCTION("""COMPUTED_VALUE"""),"-33.881370,-70.759714")</f>
        <v>-33.881370,-70.759714</v>
      </c>
      <c r="C7164" s="6" t="str">
        <f ca="1">IFERROR(__xludf.DUMMYFUNCTION("""COMPUTED_VALUE"""),"AGUILA SUR 16")</f>
        <v>AGUILA SUR 16</v>
      </c>
      <c r="D7164" s="6" t="str">
        <f ca="1">IFERROR(__xludf.DUMMYFUNCTION("""COMPUTED_VALUE"""),"PAINE")</f>
        <v>PAINE</v>
      </c>
    </row>
    <row r="7165" spans="1:4">
      <c r="A7165" s="7">
        <f ca="1">IFERROR(__xludf.DUMMYFUNCTION("""COMPUTED_VALUE"""),44628)</f>
        <v>44628</v>
      </c>
      <c r="B7165" s="6" t="str">
        <f ca="1">IFERROR(__xludf.DUMMYFUNCTION("""COMPUTED_VALUE"""),"-33.864238,-70.724758")</f>
        <v>-33.864238,-70.724758</v>
      </c>
      <c r="C7165" s="6" t="str">
        <f ca="1">IFERROR(__xludf.DUMMYFUNCTION("""COMPUTED_VALUE"""),"AV EL ROMERO 103")</f>
        <v>AV EL ROMERO 103</v>
      </c>
      <c r="D7165" s="6" t="str">
        <f ca="1">IFERROR(__xludf.DUMMYFUNCTION("""COMPUTED_VALUE"""),"PAINE")</f>
        <v>PAINE</v>
      </c>
    </row>
    <row r="7166" spans="1:4">
      <c r="A7166" s="7">
        <f ca="1">IFERROR(__xludf.DUMMYFUNCTION("""COMPUTED_VALUE"""),44629)</f>
        <v>44629</v>
      </c>
      <c r="B7166" s="8" t="str">
        <f ca="1">IFERROR(__xludf.DUMMYFUNCTION("""COMPUTED_VALUE"""),"33.676146 - 70950154")</f>
        <v>33.676146 - 70950154</v>
      </c>
      <c r="C7166" s="6" t="str">
        <f ca="1">IFERROR(__xludf.DUMMYFUNCTION("""COMPUTED_VALUE"""),"COIHUES 931")</f>
        <v>COIHUES 931</v>
      </c>
      <c r="D7166" s="6" t="str">
        <f ca="1">IFERROR(__xludf.DUMMYFUNCTION("""COMPUTED_VALUE"""),"TALAGANTE")</f>
        <v>TALAGANTE</v>
      </c>
    </row>
    <row r="7167" spans="1:4">
      <c r="A7167" s="7">
        <f ca="1">IFERROR(__xludf.DUMMYFUNCTION("""COMPUTED_VALUE"""),44629)</f>
        <v>44629</v>
      </c>
      <c r="B7167" s="8" t="str">
        <f ca="1">IFERROR(__xludf.DUMMYFUNCTION("""COMPUTED_VALUE"""),"-33.6761456,-70.950154")</f>
        <v>-33.6761456,-70.950154</v>
      </c>
      <c r="C7167" s="6" t="str">
        <f ca="1">IFERROR(__xludf.DUMMYFUNCTION("""COMPUTED_VALUE"""),"COIHUES 931")</f>
        <v>COIHUES 931</v>
      </c>
      <c r="D7167" s="6" t="str">
        <f ca="1">IFERROR(__xludf.DUMMYFUNCTION("""COMPUTED_VALUE"""),"TALAGANTE")</f>
        <v>TALAGANTE</v>
      </c>
    </row>
    <row r="7168" spans="1:4">
      <c r="A7168" s="7">
        <f ca="1">IFERROR(__xludf.DUMMYFUNCTION("""COMPUTED_VALUE"""),44629)</f>
        <v>44629</v>
      </c>
      <c r="B7168" s="8" t="str">
        <f ca="1">IFERROR(__xludf.DUMMYFUNCTION("""COMPUTED_VALUE"""),"-33.321045,-70.741066")</f>
        <v>-33.321045,-70.741066</v>
      </c>
      <c r="C7168" s="6" t="str">
        <f ca="1">IFERROR(__xludf.DUMMYFUNCTION("""COMPUTED_VALUE"""),"PADRE MATEO 215")</f>
        <v>PADRE MATEO 215</v>
      </c>
      <c r="D7168" s="6" t="str">
        <f ca="1">IFERROR(__xludf.DUMMYFUNCTION("""COMPUTED_VALUE"""),"PAINE")</f>
        <v>PAINE</v>
      </c>
    </row>
    <row r="7169" spans="1:4">
      <c r="A7169" s="7">
        <f ca="1">IFERROR(__xludf.DUMMYFUNCTION("""COMPUTED_VALUE"""),44629)</f>
        <v>44629</v>
      </c>
      <c r="B7169" s="8" t="str">
        <f ca="1">IFERROR(__xludf.DUMMYFUNCTION("""COMPUTED_VALUE"""),"-33.821073,-70.739364")</f>
        <v>-33.821073,-70.739364</v>
      </c>
      <c r="C7169" s="6" t="str">
        <f ca="1">IFERROR(__xludf.DUMMYFUNCTION("""COMPUTED_VALUE"""),"BUIN 1625")</f>
        <v>BUIN 1625</v>
      </c>
      <c r="D7169" s="6" t="str">
        <f ca="1">IFERROR(__xludf.DUMMYFUNCTION("""COMPUTED_VALUE"""),"PAINE")</f>
        <v>PAINE</v>
      </c>
    </row>
    <row r="7170" spans="1:4">
      <c r="A7170" s="7">
        <f ca="1">IFERROR(__xludf.DUMMYFUNCTION("""COMPUTED_VALUE"""),44629)</f>
        <v>44629</v>
      </c>
      <c r="B7170" s="6" t="str">
        <f ca="1">IFERROR(__xludf.DUMMYFUNCTION("""COMPUTED_VALUE"""),"-33.97046-70.84224")</f>
        <v>-33.97046-70.84224</v>
      </c>
      <c r="C7170" s="6" t="str">
        <f ca="1">IFERROR(__xludf.DUMMYFUNCTION("""COMPUTED_VALUE"""),"CRUCE SUR LOTE 23")</f>
        <v>CRUCE SUR LOTE 23</v>
      </c>
      <c r="D7170" s="6" t="str">
        <f ca="1">IFERROR(__xludf.DUMMYFUNCTION("""COMPUTED_VALUE"""),"TIL TIL")</f>
        <v>TIL TIL</v>
      </c>
    </row>
    <row r="7171" spans="1:4">
      <c r="A7171" s="7">
        <f ca="1">IFERROR(__xludf.DUMMYFUNCTION("""COMPUTED_VALUE"""),44629)</f>
        <v>44629</v>
      </c>
      <c r="B7171" s="6" t="str">
        <f ca="1">IFERROR(__xludf.DUMMYFUNCTION("""COMPUTED_VALUE"""),"-33.96887-70.84076")</f>
        <v>-33.96887-70.84076</v>
      </c>
      <c r="C7171" s="6" t="str">
        <f ca="1">IFERROR(__xludf.DUMMYFUNCTION("""COMPUTED_VALUE"""),"CALLE ESTACION S/N")</f>
        <v>CALLE ESTACION S/N</v>
      </c>
      <c r="D7171" s="6" t="str">
        <f ca="1">IFERROR(__xludf.DUMMYFUNCTION("""COMPUTED_VALUE"""),"TIL TIL")</f>
        <v>TIL TIL</v>
      </c>
    </row>
    <row r="7172" spans="1:4">
      <c r="A7172" s="7">
        <f ca="1">IFERROR(__xludf.DUMMYFUNCTION("""COMPUTED_VALUE"""),44629)</f>
        <v>44629</v>
      </c>
      <c r="B7172" s="6" t="str">
        <f ca="1">IFERROR(__xludf.DUMMYFUNCTION("""COMPUTED_VALUE"""),"-33.637165-70.35464")</f>
        <v>-33.637165-70.35464</v>
      </c>
      <c r="C7172" s="6" t="str">
        <f ca="1">IFERROR(__xludf.DUMMYFUNCTION("""COMPUTED_VALUE"""),"SIN CALLE S/N")</f>
        <v>SIN CALLE S/N</v>
      </c>
      <c r="D7172" s="6" t="str">
        <f ca="1">IFERROR(__xludf.DUMMYFUNCTION("""COMPUTED_VALUE"""),"SAN JOSE DE MAIPO")</f>
        <v>SAN JOSE DE MAIPO</v>
      </c>
    </row>
    <row r="7173" spans="1:4">
      <c r="A7173" s="7">
        <f ca="1">IFERROR(__xludf.DUMMYFUNCTION("""COMPUTED_VALUE"""),44629)</f>
        <v>44629</v>
      </c>
      <c r="B7173" s="6" t="str">
        <f ca="1">IFERROR(__xludf.DUMMYFUNCTION("""COMPUTED_VALUE"""),"-33.685775-70.338390")</f>
        <v>-33.685775-70.338390</v>
      </c>
      <c r="C7173" s="6" t="str">
        <f ca="1">IFERROR(__xludf.DUMMYFUNCTION("""COMPUTED_VALUE"""),"EL ARENAL 80")</f>
        <v>EL ARENAL 80</v>
      </c>
      <c r="D7173" s="6" t="str">
        <f ca="1">IFERROR(__xludf.DUMMYFUNCTION("""COMPUTED_VALUE"""),"SAN JOSE DE MAIPO")</f>
        <v>SAN JOSE DE MAIPO</v>
      </c>
    </row>
    <row r="7174" spans="1:4">
      <c r="A7174" s="7">
        <f ca="1">IFERROR(__xludf.DUMMYFUNCTION("""COMPUTED_VALUE"""),44629)</f>
        <v>44629</v>
      </c>
      <c r="B7174" s="8" t="str">
        <f ca="1">IFERROR(__xludf.DUMMYFUNCTION("""COMPUTED_VALUE"""),"-33.073595,-70.51422W")</f>
        <v>-33.073595,-70.51422W</v>
      </c>
      <c r="C7174" s="6" t="str">
        <f ca="1">IFERROR(__xludf.DUMMYFUNCTION("""COMPUTED_VALUE"""),"CONDOMINIO EL TRANQUE 2 PC. 71")</f>
        <v>CONDOMINIO EL TRANQUE 2 PC. 71</v>
      </c>
      <c r="D7174" s="6" t="str">
        <f ca="1">IFERROR(__xludf.DUMMYFUNCTION("""COMPUTED_VALUE"""),"TALAGANTE")</f>
        <v>TALAGANTE</v>
      </c>
    </row>
    <row r="7175" spans="1:4">
      <c r="A7175" s="7">
        <f ca="1">IFERROR(__xludf.DUMMYFUNCTION("""COMPUTED_VALUE"""),44629)</f>
        <v>44629</v>
      </c>
      <c r="B7175" s="8" t="str">
        <f ca="1">IFERROR(__xludf.DUMMYFUNCTION("""COMPUTED_VALUE"""),"-33.093035,-70.53117W")</f>
        <v>-33.093035,-70.53117W</v>
      </c>
      <c r="C7175" s="6" t="str">
        <f ca="1">IFERROR(__xludf.DUMMYFUNCTION("""COMPUTED_VALUE"""),"SITIO 23 PC.5 PLAZUELA")</f>
        <v>SITIO 23 PC.5 PLAZUELA</v>
      </c>
      <c r="D7175" s="6" t="str">
        <f ca="1">IFERROR(__xludf.DUMMYFUNCTION("""COMPUTED_VALUE"""),"TALAGANTE")</f>
        <v>TALAGANTE</v>
      </c>
    </row>
    <row r="7176" spans="1:4">
      <c r="A7176" s="7">
        <f ca="1">IFERROR(__xludf.DUMMYFUNCTION("""COMPUTED_VALUE"""),44629)</f>
        <v>44629</v>
      </c>
      <c r="B7176" s="8" t="str">
        <f ca="1">IFERROR(__xludf.DUMMYFUNCTION("""COMPUTED_VALUE"""),"-33.7170490,-70.5570740")</f>
        <v>-33.7170490,-70.5570740</v>
      </c>
      <c r="C7176" s="6" t="str">
        <f ca="1">IFERROR(__xludf.DUMMYFUNCTION("""COMPUTED_VALUE"""),"PJE. NAVARRETE 121")</f>
        <v>PJE. NAVARRETE 121</v>
      </c>
      <c r="D7176" s="6" t="str">
        <f ca="1">IFERROR(__xludf.DUMMYFUNCTION("""COMPUTED_VALUE"""),"PIRQUE")</f>
        <v>PIRQUE</v>
      </c>
    </row>
    <row r="7177" spans="1:4">
      <c r="A7177" s="7">
        <f ca="1">IFERROR(__xludf.DUMMYFUNCTION("""COMPUTED_VALUE"""),44629)</f>
        <v>44629</v>
      </c>
      <c r="B7177" s="8" t="str">
        <f ca="1">IFERROR(__xludf.DUMMYFUNCTION("""COMPUTED_VALUE"""),"-33.647992,-70.612614")</f>
        <v>-33.647992,-70.612614</v>
      </c>
      <c r="C7177" s="6" t="str">
        <f ca="1">IFERROR(__xludf.DUMMYFUNCTION("""COMPUTED_VALUE"""),"VIRGINIA SUBERCASAUX 4008 PC. 187")</f>
        <v>VIRGINIA SUBERCASAUX 4008 PC. 187</v>
      </c>
      <c r="D7177" s="6" t="str">
        <f ca="1">IFERROR(__xludf.DUMMYFUNCTION("""COMPUTED_VALUE"""),"PIRQUE")</f>
        <v>PIRQUE</v>
      </c>
    </row>
    <row r="7178" spans="1:4">
      <c r="A7178" s="7">
        <f ca="1">IFERROR(__xludf.DUMMYFUNCTION("""COMPUTED_VALUE"""),44629)</f>
        <v>44629</v>
      </c>
      <c r="B7178" s="8" t="str">
        <f ca="1">IFERROR(__xludf.DUMMYFUNCTION("""COMPUTED_VALUE"""),"-33.720034,-70.55643")</f>
        <v>-33.720034,-70.55643</v>
      </c>
      <c r="C7178" s="6" t="str">
        <f ca="1">IFERROR(__xludf.DUMMYFUNCTION("""COMPUTED_VALUE"""),"NAVARRETE 121")</f>
        <v>NAVARRETE 121</v>
      </c>
      <c r="D7178" s="6" t="str">
        <f ca="1">IFERROR(__xludf.DUMMYFUNCTION("""COMPUTED_VALUE"""),"PIRQUE")</f>
        <v>PIRQUE</v>
      </c>
    </row>
    <row r="7179" spans="1:4">
      <c r="A7179" s="7">
        <f ca="1">IFERROR(__xludf.DUMMYFUNCTION("""COMPUTED_VALUE"""),44629)</f>
        <v>44629</v>
      </c>
      <c r="B7179" s="8" t="str">
        <f ca="1">IFERROR(__xludf.DUMMYFUNCTION("""COMPUTED_VALUE"""),"-33.424555,-70.33465W")</f>
        <v>-33.424555,-70.33465W</v>
      </c>
      <c r="C7179" s="6" t="str">
        <f ca="1">IFERROR(__xludf.DUMMYFUNCTION("""COMPUTED_VALUE"""),"EL PRINCIPAL S/N LOTE A-1")</f>
        <v>EL PRINCIPAL S/N LOTE A-1</v>
      </c>
      <c r="D7179" s="6" t="str">
        <f ca="1">IFERROR(__xludf.DUMMYFUNCTION("""COMPUTED_VALUE"""),"PIRQUE")</f>
        <v>PIRQUE</v>
      </c>
    </row>
    <row r="7180" spans="1:4">
      <c r="A7180" s="7">
        <f ca="1">IFERROR(__xludf.DUMMYFUNCTION("""COMPUTED_VALUE"""),44629)</f>
        <v>44629</v>
      </c>
      <c r="B7180" s="8" t="str">
        <f ca="1">IFERROR(__xludf.DUMMYFUNCTION("""COMPUTED_VALUE"""),"-33.720896,-70.554488")</f>
        <v>-33.720896,-70.554488</v>
      </c>
      <c r="C7180" s="6" t="str">
        <f ca="1">IFERROR(__xludf.DUMMYFUNCTION("""COMPUTED_VALUE"""),"EL PRINCIPAL 122")</f>
        <v>EL PRINCIPAL 122</v>
      </c>
      <c r="D7180" s="6" t="str">
        <f ca="1">IFERROR(__xludf.DUMMYFUNCTION("""COMPUTED_VALUE"""),"PIRQUE")</f>
        <v>PIRQUE</v>
      </c>
    </row>
    <row r="7181" spans="1:4">
      <c r="A7181" s="7">
        <f ca="1">IFERROR(__xludf.DUMMYFUNCTION("""COMPUTED_VALUE"""),44629)</f>
        <v>44629</v>
      </c>
      <c r="B7181" s="6" t="str">
        <f ca="1">IFERROR(__xludf.DUMMYFUNCTION("""COMPUTED_VALUE"""),"-33.574161,-71.244833")</f>
        <v>-33.574161,-71.244833</v>
      </c>
      <c r="C7181" s="6" t="str">
        <f ca="1">IFERROR(__xludf.DUMMYFUNCTION("""COMPUTED_VALUE"""),"SANTA FILOMENA 1 LOTEON HARAS SAN RAFAEL")</f>
        <v>SANTA FILOMENA 1 LOTEON HARAS SAN RAFAEL</v>
      </c>
      <c r="D7181" s="6" t="str">
        <f ca="1">IFERROR(__xludf.DUMMYFUNCTION("""COMPUTED_VALUE"""),"MELIPILLA")</f>
        <v>MELIPILLA</v>
      </c>
    </row>
    <row r="7182" spans="1:4">
      <c r="A7182" s="7">
        <f ca="1">IFERROR(__xludf.DUMMYFUNCTION("""COMPUTED_VALUE"""),44629)</f>
        <v>44629</v>
      </c>
      <c r="B7182" s="6" t="str">
        <f ca="1">IFERROR(__xludf.DUMMYFUNCTION("""COMPUTED_VALUE"""),"-33.574161,-71.244833")</f>
        <v>-33.574161,-71.244833</v>
      </c>
      <c r="C7182" s="6" t="str">
        <f ca="1">IFERROR(__xludf.DUMMYFUNCTION("""COMPUTED_VALUE"""),"SANTA FILOMENA 1 LOTEON HARAS SAN RAFAEL")</f>
        <v>SANTA FILOMENA 1 LOTEON HARAS SAN RAFAEL</v>
      </c>
      <c r="D7182" s="6" t="str">
        <f ca="1">IFERROR(__xludf.DUMMYFUNCTION("""COMPUTED_VALUE"""),"MELIPILLA")</f>
        <v>MELIPILLA</v>
      </c>
    </row>
    <row r="7183" spans="1:4">
      <c r="A7183" s="7">
        <f ca="1">IFERROR(__xludf.DUMMYFUNCTION("""COMPUTED_VALUE"""),44629)</f>
        <v>44629</v>
      </c>
      <c r="B7183" s="6" t="str">
        <f ca="1">IFERROR(__xludf.DUMMYFUNCTION("""COMPUTED_VALUE"""),"-35.437576,-71.638647")</f>
        <v>-35.437576,-71.638647</v>
      </c>
      <c r="C7183" s="6" t="str">
        <f ca="1">IFERROR(__xludf.DUMMYFUNCTION("""COMPUTED_VALUE"""),"VEINTIUNO ORIENTE  428 LOTEO DON MARCELO ")</f>
        <v xml:space="preserve">VEINTIUNO ORIENTE  428 LOTEO DON MARCELO </v>
      </c>
      <c r="D7183" s="6" t="str">
        <f ca="1">IFERROR(__xludf.DUMMYFUNCTION("""COMPUTED_VALUE"""),"TALCA")</f>
        <v>TALCA</v>
      </c>
    </row>
    <row r="7184" spans="1:4">
      <c r="A7184" s="7">
        <f ca="1">IFERROR(__xludf.DUMMYFUNCTION("""COMPUTED_VALUE"""),44629)</f>
        <v>44629</v>
      </c>
      <c r="B7184" s="6" t="str">
        <f ca="1">IFERROR(__xludf.DUMMYFUNCTION("""COMPUTED_VALUE"""),"-35.429989,-71.632714")</f>
        <v>-35.429989,-71.632714</v>
      </c>
      <c r="C7184" s="6" t="str">
        <f ca="1">IFERROR(__xludf.DUMMYFUNCTION("""COMPUTED_VALUE"""),"LAGO LLANQUIHUE  3125 VILLA TABUNCO")</f>
        <v>LAGO LLANQUIHUE  3125 VILLA TABUNCO</v>
      </c>
      <c r="D7184" s="6" t="str">
        <f ca="1">IFERROR(__xludf.DUMMYFUNCTION("""COMPUTED_VALUE"""),"TALCA")</f>
        <v>TALCA</v>
      </c>
    </row>
    <row r="7185" spans="1:4">
      <c r="A7185" s="7">
        <f ca="1">IFERROR(__xludf.DUMMYFUNCTION("""COMPUTED_VALUE"""),44630)</f>
        <v>44630</v>
      </c>
      <c r="B7185" s="8" t="str">
        <f ca="1">IFERROR(__xludf.DUMMYFUNCTION("""COMPUTED_VALUE"""),"33713936-70684877")</f>
        <v>33713936-70684877</v>
      </c>
      <c r="C7185" s="6" t="str">
        <f ca="1">IFERROR(__xludf.DUMMYFUNCTION("""COMPUTED_VALUE"""),"LOS GUINDOS 4231")</f>
        <v>LOS GUINDOS 4231</v>
      </c>
      <c r="D7185" s="6" t="str">
        <f ca="1">IFERROR(__xludf.DUMMYFUNCTION("""COMPUTED_VALUE"""),"BUIN")</f>
        <v>BUIN</v>
      </c>
    </row>
    <row r="7186" spans="1:4">
      <c r="A7186" s="7">
        <f ca="1">IFERROR(__xludf.DUMMYFUNCTION("""COMPUTED_VALUE"""),44630)</f>
        <v>44630</v>
      </c>
      <c r="B7186" s="8" t="str">
        <f ca="1">IFERROR(__xludf.DUMMYFUNCTION("""COMPUTED_VALUE"""),"33736052-70861417")</f>
        <v>33736052-70861417</v>
      </c>
      <c r="C7186" s="6" t="str">
        <f ca="1">IFERROR(__xludf.DUMMYFUNCTION("""COMPUTED_VALUE"""),"EL MAITEN 218")</f>
        <v>EL MAITEN 218</v>
      </c>
      <c r="D7186" s="6" t="str">
        <f ca="1">IFERROR(__xludf.DUMMYFUNCTION("""COMPUTED_VALUE"""),"ISLA DE MAIPO")</f>
        <v>ISLA DE MAIPO</v>
      </c>
    </row>
    <row r="7187" spans="1:4">
      <c r="A7187" s="7">
        <f ca="1">IFERROR(__xludf.DUMMYFUNCTION("""COMPUTED_VALUE"""),44630)</f>
        <v>44630</v>
      </c>
      <c r="B7187" s="6" t="str">
        <f ca="1">IFERROR(__xludf.DUMMYFUNCTION("""COMPUTED_VALUE"""),"-33.45605-71.02732")</f>
        <v>-33.45605-71.02732</v>
      </c>
      <c r="C7187" s="6" t="str">
        <f ca="1">IFERROR(__xludf.DUMMYFUNCTION("""COMPUTED_VALUE"""),"BATALLA SAN JUAN LOTE 3")</f>
        <v>BATALLA SAN JUAN LOTE 3</v>
      </c>
      <c r="D7187" s="6" t="str">
        <f ca="1">IFERROR(__xludf.DUMMYFUNCTION("""COMPUTED_VALUE"""),"CURACAVI")</f>
        <v>CURACAVI</v>
      </c>
    </row>
    <row r="7188" spans="1:4">
      <c r="A7188" s="7">
        <f ca="1">IFERROR(__xludf.DUMMYFUNCTION("""COMPUTED_VALUE"""),44630)</f>
        <v>44630</v>
      </c>
      <c r="B7188" s="6" t="str">
        <f ca="1">IFERROR(__xludf.DUMMYFUNCTION("""COMPUTED_VALUE"""),"-33.40337-71.12695")</f>
        <v>-33.40337-71.12695</v>
      </c>
      <c r="C7188" s="6" t="str">
        <f ca="1">IFERROR(__xludf.DUMMYFUNCTION("""COMPUTED_VALUE"""),"MANUEL FIGUEROA PONCE 2059")</f>
        <v>MANUEL FIGUEROA PONCE 2059</v>
      </c>
      <c r="D7188" s="6" t="str">
        <f ca="1">IFERROR(__xludf.DUMMYFUNCTION("""COMPUTED_VALUE"""),"CURACAVI")</f>
        <v>CURACAVI</v>
      </c>
    </row>
    <row r="7189" spans="1:4">
      <c r="A7189" s="7">
        <f ca="1">IFERROR(__xludf.DUMMYFUNCTION("""COMPUTED_VALUE"""),44630)</f>
        <v>44630</v>
      </c>
      <c r="B7189" s="6" t="str">
        <f ca="1">IFERROR(__xludf.DUMMYFUNCTION("""COMPUTED_VALUE"""),"-33.709405-70.551640")</f>
        <v>-33.709405-70.551640</v>
      </c>
      <c r="C7189" s="6" t="str">
        <f ca="1">IFERROR(__xludf.DUMMYFUNCTION("""COMPUTED_VALUE"""),"EL CHALACO 192 F")</f>
        <v>EL CHALACO 192 F</v>
      </c>
      <c r="D7189" s="6" t="str">
        <f ca="1">IFERROR(__xludf.DUMMYFUNCTION("""COMPUTED_VALUE"""),"PIRQUE")</f>
        <v>PIRQUE</v>
      </c>
    </row>
    <row r="7190" spans="1:4">
      <c r="A7190" s="7">
        <f ca="1">IFERROR(__xludf.DUMMYFUNCTION("""COMPUTED_VALUE"""),44630)</f>
        <v>44630</v>
      </c>
      <c r="B7190" s="6" t="str">
        <f ca="1">IFERROR(__xludf.DUMMYFUNCTION("""COMPUTED_VALUE"""),"-33.704225-70.563660")</f>
        <v>-33.704225-70.563660</v>
      </c>
      <c r="C7190" s="6" t="str">
        <f ca="1">IFERROR(__xludf.DUMMYFUNCTION("""COMPUTED_VALUE"""),"AV ALCALDE HERNAN PRIETO 2")</f>
        <v>AV ALCALDE HERNAN PRIETO 2</v>
      </c>
      <c r="D7190" s="6" t="str">
        <f ca="1">IFERROR(__xludf.DUMMYFUNCTION("""COMPUTED_VALUE"""),"PIRQUE")</f>
        <v>PIRQUE</v>
      </c>
    </row>
    <row r="7191" spans="1:4">
      <c r="A7191" s="7">
        <f ca="1">IFERROR(__xludf.DUMMYFUNCTION("""COMPUTED_VALUE"""),44630)</f>
        <v>44630</v>
      </c>
      <c r="B7191" s="8" t="str">
        <f ca="1">IFERROR(__xludf.DUMMYFUNCTION("""COMPUTED_VALUE"""),"-33.422265,-70.32301W")</f>
        <v>-33.422265,-70.32301W</v>
      </c>
      <c r="C7191" s="6" t="str">
        <f ca="1">IFERROR(__xludf.DUMMYFUNCTION("""COMPUTED_VALUE"""),"ORILLA DEL RIO 1606 LOTE 17")</f>
        <v>ORILLA DEL RIO 1606 LOTE 17</v>
      </c>
      <c r="D7191" s="6" t="str">
        <f ca="1">IFERROR(__xludf.DUMMYFUNCTION("""COMPUTED_VALUE"""),"PIRQUE")</f>
        <v>PIRQUE</v>
      </c>
    </row>
    <row r="7192" spans="1:4">
      <c r="A7192" s="7">
        <f ca="1">IFERROR(__xludf.DUMMYFUNCTION("""COMPUTED_VALUE"""),44630)</f>
        <v>44630</v>
      </c>
      <c r="B7192" s="8" t="str">
        <f ca="1">IFERROR(__xludf.DUMMYFUNCTION("""COMPUTED_VALUE"""),"-33.7265620,-70.5521390")</f>
        <v>-33.7265620,-70.5521390</v>
      </c>
      <c r="C7192" s="6" t="str">
        <f ca="1">IFERROR(__xludf.DUMMYFUNCTION("""COMPUTED_VALUE"""),"CERRO CARRETON 11035")</f>
        <v>CERRO CARRETON 11035</v>
      </c>
      <c r="D7192" s="6" t="str">
        <f ca="1">IFERROR(__xludf.DUMMYFUNCTION("""COMPUTED_VALUE"""),"PIRQUE")</f>
        <v>PIRQUE</v>
      </c>
    </row>
    <row r="7193" spans="1:4">
      <c r="A7193" s="7">
        <f ca="1">IFERROR(__xludf.DUMMYFUNCTION("""COMPUTED_VALUE"""),44630)</f>
        <v>44630</v>
      </c>
      <c r="B7193" s="8" t="str">
        <f ca="1">IFERROR(__xludf.DUMMYFUNCTION("""COMPUTED_VALUE"""),"-33.723575,-70.541516")</f>
        <v>-33.723575,-70.541516</v>
      </c>
      <c r="C7193" s="6" t="str">
        <f ca="1">IFERROR(__xludf.DUMMYFUNCTION("""COMPUTED_VALUE"""),"CALLE NUEVA 47.B")</f>
        <v>CALLE NUEVA 47.B</v>
      </c>
      <c r="D7193" s="6" t="str">
        <f ca="1">IFERROR(__xludf.DUMMYFUNCTION("""COMPUTED_VALUE"""),"PIRQUE")</f>
        <v>PIRQUE</v>
      </c>
    </row>
    <row r="7194" spans="1:4">
      <c r="A7194" s="7">
        <f ca="1">IFERROR(__xludf.DUMMYFUNCTION("""COMPUTED_VALUE"""),44630)</f>
        <v>44630</v>
      </c>
      <c r="B7194" s="8" t="str">
        <f ca="1">IFERROR(__xludf.DUMMYFUNCTION("""COMPUTED_VALUE"""),"-33.432495,-70.32295W")</f>
        <v>-33.432495,-70.32295W</v>
      </c>
      <c r="C7194" s="6" t="str">
        <f ca="1">IFERROR(__xludf.DUMMYFUNCTION("""COMPUTED_VALUE"""),"LOS MAGNOLIOS 47")</f>
        <v>LOS MAGNOLIOS 47</v>
      </c>
      <c r="D7194" s="6" t="str">
        <f ca="1">IFERROR(__xludf.DUMMYFUNCTION("""COMPUTED_VALUE"""),"PIRQUE")</f>
        <v>PIRQUE</v>
      </c>
    </row>
    <row r="7195" spans="1:4">
      <c r="A7195" s="7">
        <f ca="1">IFERROR(__xludf.DUMMYFUNCTION("""COMPUTED_VALUE"""),44630)</f>
        <v>44630</v>
      </c>
      <c r="B7195" s="6" t="str">
        <f ca="1">IFERROR(__xludf.DUMMYFUNCTION("""COMPUTED_VALUE"""),"-33.701875,-71.221965")</f>
        <v>-33.701875,-71.221965</v>
      </c>
      <c r="C7195" s="6" t="str">
        <f ca="1">IFERROR(__xludf.DUMMYFUNCTION("""COMPUTED_VALUE"""),"COLON 899")</f>
        <v>COLON 899</v>
      </c>
      <c r="D7195" s="6" t="str">
        <f ca="1">IFERROR(__xludf.DUMMYFUNCTION("""COMPUTED_VALUE"""),"MELIPILLA")</f>
        <v>MELIPILLA</v>
      </c>
    </row>
    <row r="7196" spans="1:4">
      <c r="A7196" s="7">
        <f ca="1">IFERROR(__xludf.DUMMYFUNCTION("""COMPUTED_VALUE"""),44630)</f>
        <v>44630</v>
      </c>
      <c r="B7196" s="6" t="str">
        <f ca="1">IFERROR(__xludf.DUMMYFUNCTION("""COMPUTED_VALUE"""),"-33.574161,-71244833")</f>
        <v>-33.574161,-71244833</v>
      </c>
      <c r="C7196" s="6" t="str">
        <f ca="1">IFERROR(__xludf.DUMMYFUNCTION("""COMPUTED_VALUE"""),"SAN FILOMENA 1")</f>
        <v>SAN FILOMENA 1</v>
      </c>
      <c r="D7196" s="6" t="str">
        <f ca="1">IFERROR(__xludf.DUMMYFUNCTION("""COMPUTED_VALUE"""),"MELIPILLA")</f>
        <v>MELIPILLA</v>
      </c>
    </row>
    <row r="7197" spans="1:4">
      <c r="A7197" s="7">
        <f ca="1">IFERROR(__xludf.DUMMYFUNCTION("""COMPUTED_VALUE"""),44630)</f>
        <v>44630</v>
      </c>
      <c r="B7197" s="6" t="str">
        <f ca="1">IFERROR(__xludf.DUMMYFUNCTION("""COMPUTED_VALUE"""),"-33.562241,-70.892233")</f>
        <v>-33.562241,-70.892233</v>
      </c>
      <c r="C7197" s="6" t="str">
        <f ca="1">IFERROR(__xludf.DUMMYFUNCTION("""COMPUTED_VALUE"""),"LOS AROMOS S/N")</f>
        <v>LOS AROMOS S/N</v>
      </c>
      <c r="D7197" s="6" t="str">
        <f ca="1">IFERROR(__xludf.DUMMYFUNCTION("""COMPUTED_VALUE"""),"PADRE HURTADO")</f>
        <v>PADRE HURTADO</v>
      </c>
    </row>
    <row r="7198" spans="1:4">
      <c r="A7198" s="7">
        <f ca="1">IFERROR(__xludf.DUMMYFUNCTION("""COMPUTED_VALUE"""),44630)</f>
        <v>44630</v>
      </c>
      <c r="B7198" s="6" t="str">
        <f ca="1">IFERROR(__xludf.DUMMYFUNCTION("""COMPUTED_VALUE"""),"-33.562241,-70.892233")</f>
        <v>-33.562241,-70.892233</v>
      </c>
      <c r="C7198" s="6" t="str">
        <f ca="1">IFERROR(__xludf.DUMMYFUNCTION("""COMPUTED_VALUE"""),"LOS AROMOS S/N")</f>
        <v>LOS AROMOS S/N</v>
      </c>
      <c r="D7198" s="6" t="str">
        <f ca="1">IFERROR(__xludf.DUMMYFUNCTION("""COMPUTED_VALUE"""),"PADRE HURTADO")</f>
        <v>PADRE HURTADO</v>
      </c>
    </row>
    <row r="7199" spans="1:4">
      <c r="A7199" s="7">
        <f ca="1">IFERROR(__xludf.DUMMYFUNCTION("""COMPUTED_VALUE"""),44630)</f>
        <v>44630</v>
      </c>
      <c r="B7199" s="6" t="str">
        <f ca="1">IFERROR(__xludf.DUMMYFUNCTION("""COMPUTED_VALUE"""),"-33.670892,-71.222065")</f>
        <v>-33.670892,-71.222065</v>
      </c>
      <c r="C7199" s="6" t="str">
        <f ca="1">IFERROR(__xludf.DUMMYFUNCTION("""COMPUTED_VALUE"""),"SANTA JULIA  S/N CV23PARCELA 13")</f>
        <v>SANTA JULIA  S/N CV23PARCELA 13</v>
      </c>
      <c r="D7199" s="6" t="str">
        <f ca="1">IFERROR(__xludf.DUMMYFUNCTION("""COMPUTED_VALUE"""),"MELIPILLA")</f>
        <v>MELIPILLA</v>
      </c>
    </row>
    <row r="7200" spans="1:4">
      <c r="A7200" s="7">
        <f ca="1">IFERROR(__xludf.DUMMYFUNCTION("""COMPUTED_VALUE"""),44630)</f>
        <v>44630</v>
      </c>
      <c r="B7200" s="6" t="str">
        <f ca="1">IFERROR(__xludf.DUMMYFUNCTION("""COMPUTED_VALUE"""),"-35.425766,-71.625893")</f>
        <v>-35.425766,-71.625893</v>
      </c>
      <c r="C7200" s="6" t="str">
        <f ca="1">IFERROR(__xludf.DUMMYFUNCTION("""COMPUTED_VALUE"""),"TREINTA ORIENTE 1711 ")</f>
        <v xml:space="preserve">TREINTA ORIENTE 1711 </v>
      </c>
      <c r="D7200" s="6" t="str">
        <f ca="1">IFERROR(__xludf.DUMMYFUNCTION("""COMPUTED_VALUE"""),"TALCA")</f>
        <v>TALCA</v>
      </c>
    </row>
    <row r="7201" spans="1:4">
      <c r="A7201" s="7">
        <f ca="1">IFERROR(__xludf.DUMMYFUNCTION("""COMPUTED_VALUE"""),44630)</f>
        <v>44630</v>
      </c>
      <c r="B7201" s="6" t="str">
        <f ca="1">IFERROR(__xludf.DUMMYFUNCTION("""COMPUTED_VALUE"""),"-35.435985,-71.634769")</f>
        <v>-35.435985,-71.634769</v>
      </c>
      <c r="C7201" s="6" t="str">
        <f ca="1">IFERROR(__xludf.DUMMYFUNCTION("""COMPUTED_VALUE"""),"25 1/2 ORIENTE 685")</f>
        <v>25 1/2 ORIENTE 685</v>
      </c>
      <c r="D7201" s="6" t="str">
        <f ca="1">IFERROR(__xludf.DUMMYFUNCTION("""COMPUTED_VALUE"""),"TALCA")</f>
        <v>TALCA</v>
      </c>
    </row>
    <row r="7202" spans="1:4">
      <c r="A7202" s="7">
        <f ca="1">IFERROR(__xludf.DUMMYFUNCTION("""COMPUTED_VALUE"""),44630)</f>
        <v>44630</v>
      </c>
      <c r="B7202" s="6" t="str">
        <f ca="1">IFERROR(__xludf.DUMMYFUNCTION("""COMPUTED_VALUE"""),"-35.427370,-71.625013")</f>
        <v>-35.427370,-71.625013</v>
      </c>
      <c r="C7202" s="6" t="str">
        <f ca="1">IFERROR(__xludf.DUMMYFUNCTION("""COMPUTED_VALUE"""),"TREINTA Y MEDIO ORIENTE 1634")</f>
        <v>TREINTA Y MEDIO ORIENTE 1634</v>
      </c>
      <c r="D7202" s="6" t="str">
        <f ca="1">IFERROR(__xludf.DUMMYFUNCTION("""COMPUTED_VALUE"""),"TALCA")</f>
        <v>TALCA</v>
      </c>
    </row>
    <row r="7203" spans="1:4">
      <c r="A7203" s="7">
        <f ca="1">IFERROR(__xludf.DUMMYFUNCTION("""COMPUTED_VALUE"""),44630)</f>
        <v>44630</v>
      </c>
      <c r="B7203" s="6" t="str">
        <f ca="1">IFERROR(__xludf.DUMMYFUNCTION("""COMPUTED_VALUE"""),"-35.437704,-71.635822")</f>
        <v>-35.437704,-71.635822</v>
      </c>
      <c r="C7203" s="6" t="str">
        <f ca="1">IFERROR(__xludf.DUMMYFUNCTION("""COMPUTED_VALUE"""),"VEINTISIES ORIENTE 485 LOTEO DON MANUEL")</f>
        <v>VEINTISIES ORIENTE 485 LOTEO DON MANUEL</v>
      </c>
      <c r="D7203" s="6" t="str">
        <f ca="1">IFERROR(__xludf.DUMMYFUNCTION("""COMPUTED_VALUE"""),"TALCA")</f>
        <v>TALCA</v>
      </c>
    </row>
    <row r="7204" spans="1:4">
      <c r="A7204" s="7">
        <f ca="1">IFERROR(__xludf.DUMMYFUNCTION("""COMPUTED_VALUE"""),44630)</f>
        <v>44630</v>
      </c>
      <c r="B7204" s="8" t="str">
        <f ca="1">IFERROR(__xludf.DUMMYFUNCTION("""COMPUTED_VALUE"""),"-33.787864,-70.787105")</f>
        <v>-33.787864,-70.787105</v>
      </c>
      <c r="C7204" s="6" t="str">
        <f ca="1">IFERROR(__xludf.DUMMYFUNCTION("""COMPUTED_VALUE"""),"VILUCO 5000")</f>
        <v>VILUCO 5000</v>
      </c>
      <c r="D7204" s="6" t="str">
        <f ca="1">IFERROR(__xludf.DUMMYFUNCTION("""COMPUTED_VALUE"""),"BUIN")</f>
        <v>BUIN</v>
      </c>
    </row>
    <row r="7205" spans="1:4">
      <c r="A7205" s="7">
        <f ca="1">IFERROR(__xludf.DUMMYFUNCTION("""COMPUTED_VALUE"""),44630)</f>
        <v>44630</v>
      </c>
      <c r="B7205" s="6" t="str">
        <f ca="1">IFERROR(__xludf.DUMMYFUNCTION("""COMPUTED_VALUE"""),"-33.893975,-70.759598")</f>
        <v>-33.893975,-70.759598</v>
      </c>
      <c r="C7205" s="6" t="str">
        <f ca="1">IFERROR(__xludf.DUMMYFUNCTION("""COMPUTED_VALUE"""),"AGUILA SUR S/N ")</f>
        <v xml:space="preserve">AGUILA SUR S/N </v>
      </c>
      <c r="D7205" s="6" t="str">
        <f ca="1">IFERROR(__xludf.DUMMYFUNCTION("""COMPUTED_VALUE"""),"PAINE")</f>
        <v>PAINE</v>
      </c>
    </row>
    <row r="7206" spans="1:4">
      <c r="A7206" s="7">
        <f ca="1">IFERROR(__xludf.DUMMYFUNCTION("""COMPUTED_VALUE"""),44630)</f>
        <v>44630</v>
      </c>
      <c r="B7206" s="6" t="str">
        <f ca="1">IFERROR(__xludf.DUMMYFUNCTION("""COMPUTED_VALUE"""),"-33.805776,-70.738387")</f>
        <v>-33.805776,-70.738387</v>
      </c>
      <c r="C7206" s="6" t="str">
        <f ca="1">IFERROR(__xludf.DUMMYFUNCTION("""COMPUTED_VALUE"""),"SAN JOSE 165")</f>
        <v>SAN JOSE 165</v>
      </c>
      <c r="D7206" s="6" t="str">
        <f ca="1">IFERROR(__xludf.DUMMYFUNCTION("""COMPUTED_VALUE"""),"PAINE")</f>
        <v>PAINE</v>
      </c>
    </row>
    <row r="7207" spans="1:4">
      <c r="A7207" s="7">
        <f ca="1">IFERROR(__xludf.DUMMYFUNCTION("""COMPUTED_VALUE"""),44630)</f>
        <v>44630</v>
      </c>
      <c r="B7207" s="6" t="str">
        <f ca="1">IFERROR(__xludf.DUMMYFUNCTION("""COMPUTED_VALUE"""),"-33.708271,-70.555827")</f>
        <v>-33.708271,-70.555827</v>
      </c>
      <c r="C7207" s="6" t="str">
        <f ca="1">IFERROR(__xludf.DUMMYFUNCTION("""COMPUTED_VALUE"""),"CALLE NUEVA 40")</f>
        <v>CALLE NUEVA 40</v>
      </c>
      <c r="D7207" s="6" t="str">
        <f ca="1">IFERROR(__xludf.DUMMYFUNCTION("""COMPUTED_VALUE"""),"PIRQUE")</f>
        <v>PIRQUE</v>
      </c>
    </row>
    <row r="7208" spans="1:4">
      <c r="A7208" s="7">
        <f ca="1">IFERROR(__xludf.DUMMYFUNCTION("""COMPUTED_VALUE"""),44630)</f>
        <v>44630</v>
      </c>
      <c r="B7208" s="6" t="str">
        <f ca="1">IFERROR(__xludf.DUMMYFUNCTION("""COMPUTED_VALUE"""),"-33.708271,-70.555827")</f>
        <v>-33.708271,-70.555827</v>
      </c>
      <c r="C7208" s="6" t="str">
        <f ca="1">IFERROR(__xludf.DUMMYFUNCTION("""COMPUTED_VALUE"""),"CALLE NUEVA 41")</f>
        <v>CALLE NUEVA 41</v>
      </c>
      <c r="D7208" s="6" t="str">
        <f ca="1">IFERROR(__xludf.DUMMYFUNCTION("""COMPUTED_VALUE"""),"PIRQUE")</f>
        <v>PIRQUE</v>
      </c>
    </row>
    <row r="7209" spans="1:4">
      <c r="A7209" s="7">
        <f ca="1">IFERROR(__xludf.DUMMYFUNCTION("""COMPUTED_VALUE"""),44631)</f>
        <v>44631</v>
      </c>
      <c r="B7209" s="8" t="str">
        <f ca="1">IFERROR(__xludf.DUMMYFUNCTION("""COMPUTED_VALUE"""),"33722889-70737377")</f>
        <v>33722889-70737377</v>
      </c>
      <c r="C7209" s="6" t="str">
        <f ca="1">IFERROR(__xludf.DUMMYFUNCTION("""COMPUTED_VALUE"""),"SALVADOR ALCALDE 164,")</f>
        <v>SALVADOR ALCALDE 164,</v>
      </c>
      <c r="D7209" s="6" t="str">
        <f ca="1">IFERROR(__xludf.DUMMYFUNCTION("""COMPUTED_VALUE"""),"BUIN")</f>
        <v>BUIN</v>
      </c>
    </row>
    <row r="7210" spans="1:4">
      <c r="A7210" s="7">
        <f ca="1">IFERROR(__xludf.DUMMYFUNCTION("""COMPUTED_VALUE"""),44631)</f>
        <v>44631</v>
      </c>
      <c r="B7210" s="8" t="str">
        <f ca="1">IFERROR(__xludf.DUMMYFUNCTION("""COMPUTED_VALUE"""),"33722560-70738967")</f>
        <v>33722560-70738967</v>
      </c>
      <c r="C7210" s="6" t="str">
        <f ca="1">IFERROR(__xludf.DUMMYFUNCTION("""COMPUTED_VALUE"""),"GERMAN SILVA ARANGUIZ 65")</f>
        <v>GERMAN SILVA ARANGUIZ 65</v>
      </c>
      <c r="D7210" s="6" t="str">
        <f ca="1">IFERROR(__xludf.DUMMYFUNCTION("""COMPUTED_VALUE"""),"BUIN")</f>
        <v>BUIN</v>
      </c>
    </row>
    <row r="7211" spans="1:4">
      <c r="A7211" s="7">
        <f ca="1">IFERROR(__xludf.DUMMYFUNCTION("""COMPUTED_VALUE"""),44631)</f>
        <v>44631</v>
      </c>
      <c r="B7211" s="6" t="str">
        <f ca="1">IFERROR(__xludf.DUMMYFUNCTION("""COMPUTED_VALUE"""),"33.866775-70.766715")</f>
        <v>33.866775-70.766715</v>
      </c>
      <c r="C7211" s="6" t="str">
        <f ca="1">IFERROR(__xludf.DUMMYFUNCTION("""COMPUTED_VALUE"""),"DARIO PAVEZ 3")</f>
        <v>DARIO PAVEZ 3</v>
      </c>
      <c r="D7211" s="6" t="str">
        <f ca="1">IFERROR(__xludf.DUMMYFUNCTION("""COMPUTED_VALUE"""),"PAINE")</f>
        <v>PAINE</v>
      </c>
    </row>
    <row r="7212" spans="1:4">
      <c r="A7212" s="7">
        <f ca="1">IFERROR(__xludf.DUMMYFUNCTION("""COMPUTED_VALUE"""),44631)</f>
        <v>44631</v>
      </c>
      <c r="B7212" s="6" t="str">
        <f ca="1">IFERROR(__xludf.DUMMYFUNCTION("""COMPUTED_VALUE"""),"-33.6855637-70.3384429")</f>
        <v>-33.6855637-70.3384429</v>
      </c>
      <c r="C7212" s="6" t="str">
        <f ca="1">IFERROR(__xludf.DUMMYFUNCTION("""COMPUTED_VALUE"""),"CAMINO AL VOLCAN 26241")</f>
        <v>CAMINO AL VOLCAN 26241</v>
      </c>
      <c r="D7212" s="6" t="str">
        <f ca="1">IFERROR(__xludf.DUMMYFUNCTION("""COMPUTED_VALUE"""),"SAN JOSE DE MAIPO")</f>
        <v>SAN JOSE DE MAIPO</v>
      </c>
    </row>
    <row r="7213" spans="1:4">
      <c r="A7213" s="7">
        <f ca="1">IFERROR(__xludf.DUMMYFUNCTION("""COMPUTED_VALUE"""),44631)</f>
        <v>44631</v>
      </c>
      <c r="B7213" s="6" t="str">
        <f ca="1">IFERROR(__xludf.DUMMYFUNCTION("""COMPUTED_VALUE"""),"-33.646762-70.3535634")</f>
        <v>-33.646762-70.3535634</v>
      </c>
      <c r="C7213" s="6" t="str">
        <f ca="1">IFERROR(__xludf.DUMMYFUNCTION("""COMPUTED_VALUE"""),"CAMINO AL VOLCAN 20473")</f>
        <v>CAMINO AL VOLCAN 20473</v>
      </c>
      <c r="D7213" s="6" t="str">
        <f ca="1">IFERROR(__xludf.DUMMYFUNCTION("""COMPUTED_VALUE"""),"SAN JOSE DE MAIPO")</f>
        <v>SAN JOSE DE MAIPO</v>
      </c>
    </row>
    <row r="7214" spans="1:4">
      <c r="A7214" s="7">
        <f ca="1">IFERROR(__xludf.DUMMYFUNCTION("""COMPUTED_VALUE"""),44631)</f>
        <v>44631</v>
      </c>
      <c r="B7214" s="6" t="str">
        <f ca="1">IFERROR(__xludf.DUMMYFUNCTION("""COMPUTED_VALUE"""),"-33.631695-70.3511566")</f>
        <v>-33.631695-70.3511566</v>
      </c>
      <c r="C7214" s="6" t="str">
        <f ca="1">IFERROR(__xludf.DUMMYFUNCTION("""COMPUTED_VALUE"""),"COMERCIO 18792")</f>
        <v>COMERCIO 18792</v>
      </c>
      <c r="D7214" s="6" t="str">
        <f ca="1">IFERROR(__xludf.DUMMYFUNCTION("""COMPUTED_VALUE"""),"SAN JOSE DE MAIPO")</f>
        <v>SAN JOSE DE MAIPO</v>
      </c>
    </row>
    <row r="7215" spans="1:4">
      <c r="A7215" s="7">
        <f ca="1">IFERROR(__xludf.DUMMYFUNCTION("""COMPUTED_VALUE"""),44631)</f>
        <v>44631</v>
      </c>
      <c r="B7215" s="6" t="str">
        <f ca="1">IFERROR(__xludf.DUMMYFUNCTION("""COMPUTED_VALUE"""),"-33.14137-70.79929")</f>
        <v>-33.14137-70.79929</v>
      </c>
      <c r="C7215" s="6" t="str">
        <f ca="1">IFERROR(__xludf.DUMMYFUNCTION("""COMPUTED_VALUE"""),"2 ORIENTE 324")</f>
        <v>2 ORIENTE 324</v>
      </c>
      <c r="D7215" s="6" t="str">
        <f ca="1">IFERROR(__xludf.DUMMYFUNCTION("""COMPUTED_VALUE"""),"TIL TIL")</f>
        <v>TIL TIL</v>
      </c>
    </row>
    <row r="7216" spans="1:4">
      <c r="A7216" s="7">
        <f ca="1">IFERROR(__xludf.DUMMYFUNCTION("""COMPUTED_VALUE"""),44631)</f>
        <v>44631</v>
      </c>
      <c r="B7216" s="6" t="str">
        <f ca="1">IFERROR(__xludf.DUMMYFUNCTION("""COMPUTED_VALUE"""),"-33.14216-70.80427")</f>
        <v>-33.14216-70.80427</v>
      </c>
      <c r="C7216" s="6" t="str">
        <f ca="1">IFERROR(__xludf.DUMMYFUNCTION("""COMPUTED_VALUE"""),"PANAMERICANA NORTE 299")</f>
        <v>PANAMERICANA NORTE 299</v>
      </c>
      <c r="D7216" s="6" t="str">
        <f ca="1">IFERROR(__xludf.DUMMYFUNCTION("""COMPUTED_VALUE"""),"TIL TIL")</f>
        <v>TIL TIL</v>
      </c>
    </row>
    <row r="7217" spans="1:4">
      <c r="A7217" s="7">
        <f ca="1">IFERROR(__xludf.DUMMYFUNCTION("""COMPUTED_VALUE"""),44631)</f>
        <v>44631</v>
      </c>
      <c r="B7217" s="8" t="str">
        <f ca="1">IFERROR(__xludf.DUMMYFUNCTION("""COMPUTED_VALUE"""),"-33.753575,-70.541516")</f>
        <v>-33.753575,-70.541516</v>
      </c>
      <c r="C7217" s="6" t="str">
        <f ca="1">IFERROR(__xludf.DUMMYFUNCTION("""COMPUTED_VALUE"""),"CALLE NUEVA 47B ")</f>
        <v xml:space="preserve">CALLE NUEVA 47B </v>
      </c>
      <c r="D7217" s="6" t="str">
        <f ca="1">IFERROR(__xludf.DUMMYFUNCTION("""COMPUTED_VALUE"""),"PIRQUE")</f>
        <v>PIRQUE</v>
      </c>
    </row>
    <row r="7218" spans="1:4">
      <c r="A7218" s="7">
        <f ca="1">IFERROR(__xludf.DUMMYFUNCTION("""COMPUTED_VALUE"""),44631)</f>
        <v>44631</v>
      </c>
      <c r="B7218" s="8" t="str">
        <f ca="1">IFERROR(__xludf.DUMMYFUNCTION("""COMPUTED_VALUE"""),"-33.644846,-70.604394")</f>
        <v>-33.644846,-70.604394</v>
      </c>
      <c r="C7218" s="6" t="str">
        <f ca="1">IFERROR(__xludf.DUMMYFUNCTION("""COMPUTED_VALUE"""),"EL CRUCERAL 1 CASA 2O")</f>
        <v>EL CRUCERAL 1 CASA 2O</v>
      </c>
      <c r="D7218" s="6" t="str">
        <f ca="1">IFERROR(__xludf.DUMMYFUNCTION("""COMPUTED_VALUE"""),"PIRQUE")</f>
        <v>PIRQUE</v>
      </c>
    </row>
    <row r="7219" spans="1:4">
      <c r="A7219" s="7">
        <f ca="1">IFERROR(__xludf.DUMMYFUNCTION("""COMPUTED_VALUE"""),44631)</f>
        <v>44631</v>
      </c>
      <c r="B7219" s="8" t="str">
        <f ca="1">IFERROR(__xludf.DUMMYFUNCTION("""COMPUTED_VALUE"""),"-33.198909,-70.680410")</f>
        <v>-33.198909,-70.680410</v>
      </c>
      <c r="C7219" s="6" t="str">
        <f ca="1">IFERROR(__xludf.DUMMYFUNCTION("""COMPUTED_VALUE"""),"BALAHUEN 0657")</f>
        <v>BALAHUEN 0657</v>
      </c>
      <c r="D7219" s="6" t="str">
        <f ca="1">IFERROR(__xludf.DUMMYFUNCTION("""COMPUTED_VALUE"""),"COLINA")</f>
        <v>COLINA</v>
      </c>
    </row>
    <row r="7220" spans="1:4">
      <c r="A7220" s="7">
        <f ca="1">IFERROR(__xludf.DUMMYFUNCTION("""COMPUTED_VALUE"""),44631)</f>
        <v>44631</v>
      </c>
      <c r="B7220" s="8" t="str">
        <f ca="1">IFERROR(__xludf.DUMMYFUNCTION("""COMPUTED_VALUE"""),"-33.185643,-70.674827")</f>
        <v>-33.185643,-70.674827</v>
      </c>
      <c r="C7220" s="6" t="str">
        <f ca="1">IFERROR(__xludf.DUMMYFUNCTION("""COMPUTED_VALUE"""),"CALDERA 736 VILLA SAN ANTONIO")</f>
        <v>CALDERA 736 VILLA SAN ANTONIO</v>
      </c>
      <c r="D7220" s="6" t="str">
        <f ca="1">IFERROR(__xludf.DUMMYFUNCTION("""COMPUTED_VALUE"""),"COLINA")</f>
        <v>COLINA</v>
      </c>
    </row>
    <row r="7221" spans="1:4">
      <c r="A7221" s="7">
        <f ca="1">IFERROR(__xludf.DUMMYFUNCTION("""COMPUTED_VALUE"""),44631)</f>
        <v>44631</v>
      </c>
      <c r="B7221" s="6" t="str">
        <f ca="1">IFERROR(__xludf.DUMMYFUNCTION("""COMPUTED_VALUE"""),"-35.446476,-71.661859")</f>
        <v>-35.446476,-71.661859</v>
      </c>
      <c r="C7221" s="6" t="str">
        <f ca="1">IFERROR(__xludf.DUMMYFUNCTION("""COMPUTED_VALUE"""),"7 1/2 OTE 0223 DOCAS")</f>
        <v>7 1/2 OTE 0223 DOCAS</v>
      </c>
      <c r="D7221" s="6" t="str">
        <f ca="1">IFERROR(__xludf.DUMMYFUNCTION("""COMPUTED_VALUE"""),"TALCA")</f>
        <v>TALCA</v>
      </c>
    </row>
    <row r="7222" spans="1:4">
      <c r="A7222" s="7">
        <f ca="1">IFERROR(__xludf.DUMMYFUNCTION("""COMPUTED_VALUE"""),44631)</f>
        <v>44631</v>
      </c>
      <c r="B7222" s="6" t="str">
        <f ca="1">IFERROR(__xludf.DUMMYFUNCTION("""COMPUTED_VALUE"""),"-35.4632855,-71.6792152")</f>
        <v>-35.4632855,-71.6792152</v>
      </c>
      <c r="C7222" s="6" t="str">
        <f ca="1">IFERROR(__xludf.DUMMYFUNCTION("""COMPUTED_VALUE"""),"CALLE LOS ANGELES 573")</f>
        <v>CALLE LOS ANGELES 573</v>
      </c>
      <c r="D7222" s="6" t="str">
        <f ca="1">IFERROR(__xludf.DUMMYFUNCTION("""COMPUTED_VALUE"""),"TALCA")</f>
        <v>TALCA</v>
      </c>
    </row>
    <row r="7223" spans="1:4">
      <c r="A7223" s="7">
        <f ca="1">IFERROR(__xludf.DUMMYFUNCTION("""COMPUTED_VALUE"""),44631)</f>
        <v>44631</v>
      </c>
      <c r="B7223" s="6" t="str">
        <f ca="1">IFERROR(__xludf.DUMMYFUNCTION("""COMPUTED_VALUE"""),"-35.429807,-71.632233")</f>
        <v>-35.429807,-71.632233</v>
      </c>
      <c r="C7223" s="6" t="str">
        <f ca="1">IFERROR(__xludf.DUMMYFUNCTION("""COMPUTED_VALUE"""),"LAGO RINHUE 3176 VILLA TABUNCO")</f>
        <v>LAGO RINHUE 3176 VILLA TABUNCO</v>
      </c>
      <c r="D7223" s="6" t="str">
        <f ca="1">IFERROR(__xludf.DUMMYFUNCTION("""COMPUTED_VALUE"""),"TALCA")</f>
        <v>TALCA</v>
      </c>
    </row>
    <row r="7224" spans="1:4">
      <c r="A7224" s="7">
        <f ca="1">IFERROR(__xludf.DUMMYFUNCTION("""COMPUTED_VALUE"""),44631)</f>
        <v>44631</v>
      </c>
      <c r="B7224" s="6" t="str">
        <f ca="1">IFERROR(__xludf.DUMMYFUNCTION("""COMPUTED_VALUE"""),"-35.433620,-71.634559")</f>
        <v>-35.433620,-71.634559</v>
      </c>
      <c r="C7224" s="6" t="str">
        <f ca="1">IFERROR(__xludf.DUMMYFUNCTION("""COMPUTED_VALUE"""),"VEINTICINCO ORIENTE 3 1/2 SUR 2839")</f>
        <v>VEINTICINCO ORIENTE 3 1/2 SUR 2839</v>
      </c>
      <c r="D7224" s="6" t="str">
        <f ca="1">IFERROR(__xludf.DUMMYFUNCTION("""COMPUTED_VALUE"""),"TALCA")</f>
        <v>TALCA</v>
      </c>
    </row>
    <row r="7225" spans="1:4">
      <c r="A7225" s="7">
        <f ca="1">IFERROR(__xludf.DUMMYFUNCTION("""COMPUTED_VALUE"""),44631)</f>
        <v>44631</v>
      </c>
      <c r="B7225" s="8" t="str">
        <f ca="1">IFERROR(__xludf.DUMMYFUNCTION("""COMPUTED_VALUE"""),"-33.754614,-70.826684")</f>
        <v>-33.754614,-70.826684</v>
      </c>
      <c r="C7225" s="6" t="str">
        <f ca="1">IFERROR(__xludf.DUMMYFUNCTION("""COMPUTED_VALUE"""),"EL MAICILLO 4314")</f>
        <v>EL MAICILLO 4314</v>
      </c>
      <c r="D7225" s="6" t="str">
        <f ca="1">IFERROR(__xludf.DUMMYFUNCTION("""COMPUTED_VALUE"""),"ISLA DE MAIPO")</f>
        <v>ISLA DE MAIPO</v>
      </c>
    </row>
    <row r="7226" spans="1:4">
      <c r="A7226" s="7">
        <f ca="1">IFERROR(__xludf.DUMMYFUNCTION("""COMPUTED_VALUE"""),44631)</f>
        <v>44631</v>
      </c>
      <c r="B7226" s="8" t="str">
        <f ca="1">IFERROR(__xludf.DUMMYFUNCTION("""COMPUTED_VALUE"""),"-33.740975,-70.741653")</f>
        <v>-33.740975,-70.741653</v>
      </c>
      <c r="C7226" s="6" t="str">
        <f ca="1">IFERROR(__xludf.DUMMYFUNCTION("""COMPUTED_VALUE"""),"MARTA BRUNET 314")</f>
        <v>MARTA BRUNET 314</v>
      </c>
      <c r="D7226" s="6" t="str">
        <f ca="1">IFERROR(__xludf.DUMMYFUNCTION("""COMPUTED_VALUE"""),"BUIN")</f>
        <v>BUIN</v>
      </c>
    </row>
    <row r="7227" spans="1:4">
      <c r="A7227" s="7">
        <f ca="1">IFERROR(__xludf.DUMMYFUNCTION("""COMPUTED_VALUE"""),44631)</f>
        <v>44631</v>
      </c>
      <c r="B7227" s="6" t="str">
        <f ca="1">IFERROR(__xludf.DUMMYFUNCTION("""COMPUTED_VALUE"""),"-33.9069618,-70.7383899")</f>
        <v>-33.9069618,-70.7383899</v>
      </c>
      <c r="C7227" s="6" t="str">
        <f ca="1">IFERROR(__xludf.DUMMYFUNCTION("""COMPUTED_VALUE"""),"LOS ALERCES 42")</f>
        <v>LOS ALERCES 42</v>
      </c>
      <c r="D7227" s="6" t="str">
        <f ca="1">IFERROR(__xludf.DUMMYFUNCTION("""COMPUTED_VALUE"""),"PAINE")</f>
        <v>PAINE</v>
      </c>
    </row>
    <row r="7228" spans="1:4">
      <c r="A7228" s="7">
        <f ca="1">IFERROR(__xludf.DUMMYFUNCTION("""COMPUTED_VALUE"""),44631)</f>
        <v>44631</v>
      </c>
      <c r="B7228" s="6" t="str">
        <f ca="1">IFERROR(__xludf.DUMMYFUNCTION("""COMPUTED_VALUE"""),"-33.819711,-70.739314")</f>
        <v>-33.819711,-70.739314</v>
      </c>
      <c r="C7228" s="6" t="str">
        <f ca="1">IFERROR(__xludf.DUMMYFUNCTION("""COMPUTED_VALUE"""),"BRASIL 1514")</f>
        <v>BRASIL 1514</v>
      </c>
      <c r="D7228" s="6" t="str">
        <f ca="1">IFERROR(__xludf.DUMMYFUNCTION("""COMPUTED_VALUE"""),"PAINE")</f>
        <v>PAINE</v>
      </c>
    </row>
    <row r="7229" spans="1:4">
      <c r="A7229" s="7">
        <f ca="1">IFERROR(__xludf.DUMMYFUNCTION("""COMPUTED_VALUE"""),44631)</f>
        <v>44631</v>
      </c>
      <c r="B7229" s="6" t="str">
        <f ca="1">IFERROR(__xludf.DUMMYFUNCTION("""COMPUTED_VALUE"""),"-33.875756,-70.756037")</f>
        <v>-33.875756,-70.756037</v>
      </c>
      <c r="C7229" s="6" t="str">
        <f ca="1">IFERROR(__xludf.DUMMYFUNCTION("""COMPUTED_VALUE"""),"AGUILA NORTE 9")</f>
        <v>AGUILA NORTE 9</v>
      </c>
      <c r="D7229" s="6" t="str">
        <f ca="1">IFERROR(__xludf.DUMMYFUNCTION("""COMPUTED_VALUE"""),"PAINE")</f>
        <v>PAINE</v>
      </c>
    </row>
    <row r="7230" spans="1:4">
      <c r="A7230" s="7">
        <f ca="1">IFERROR(__xludf.DUMMYFUNCTION("""COMPUTED_VALUE"""),44631)</f>
        <v>44631</v>
      </c>
      <c r="B7230" s="6" t="str">
        <f ca="1">IFERROR(__xludf.DUMMYFUNCTION("""COMPUTED_VALUE"""),"-33.8736293,-70.7446805")</f>
        <v>-33.8736293,-70.7446805</v>
      </c>
      <c r="C7230" s="6" t="str">
        <f ca="1">IFERROR(__xludf.DUMMYFUNCTION("""COMPUTED_VALUE"""),"DIEGO PORTALES 43")</f>
        <v>DIEGO PORTALES 43</v>
      </c>
      <c r="D7230" s="6" t="str">
        <f ca="1">IFERROR(__xludf.DUMMYFUNCTION("""COMPUTED_VALUE"""),"PAINE")</f>
        <v>PAINE</v>
      </c>
    </row>
    <row r="7231" spans="1:4">
      <c r="A7231" s="7">
        <f ca="1">IFERROR(__xludf.DUMMYFUNCTION("""COMPUTED_VALUE"""),44632)</f>
        <v>44632</v>
      </c>
      <c r="B7231" s="6" t="str">
        <f ca="1">IFERROR(__xludf.DUMMYFUNCTION("""COMPUTED_VALUE"""),"-33.398398-71.129024")</f>
        <v>-33.398398-71.129024</v>
      </c>
      <c r="C7231" s="6" t="str">
        <f ca="1">IFERROR(__xludf.DUMMYFUNCTION("""COMPUTED_VALUE"""),"CARLOS BRULL  1866")</f>
        <v>CARLOS BRULL  1866</v>
      </c>
      <c r="D7231" s="6" t="str">
        <f ca="1">IFERROR(__xludf.DUMMYFUNCTION("""COMPUTED_VALUE"""),"CURACAVI")</f>
        <v>CURACAVI</v>
      </c>
    </row>
    <row r="7232" spans="1:4">
      <c r="A7232" s="7">
        <f ca="1">IFERROR(__xludf.DUMMYFUNCTION("""COMPUTED_VALUE"""),44632)</f>
        <v>44632</v>
      </c>
      <c r="B7232" s="6" t="str">
        <f ca="1">IFERROR(__xludf.DUMMYFUNCTION("""COMPUTED_VALUE"""),"-33.415552-71.154723")</f>
        <v>-33.415552-71.154723</v>
      </c>
      <c r="C7232" s="6" t="str">
        <f ca="1">IFERROR(__xludf.DUMMYFUNCTION("""COMPUTED_VALUE"""),"JOSE RAMON ARMAZAN 285")</f>
        <v>JOSE RAMON ARMAZAN 285</v>
      </c>
      <c r="D7232" s="6" t="str">
        <f ca="1">IFERROR(__xludf.DUMMYFUNCTION("""COMPUTED_VALUE"""),"CURACAVI")</f>
        <v>CURACAVI</v>
      </c>
    </row>
    <row r="7233" spans="1:4">
      <c r="A7233" s="7">
        <f ca="1">IFERROR(__xludf.DUMMYFUNCTION("""COMPUTED_VALUE"""),44632)</f>
        <v>44632</v>
      </c>
      <c r="B7233" s="6" t="str">
        <f ca="1">IFERROR(__xludf.DUMMYFUNCTION("""COMPUTED_VALUE"""),"-33.415418-71.154608")</f>
        <v>-33.415418-71.154608</v>
      </c>
      <c r="C7233" s="6" t="str">
        <f ca="1">IFERROR(__xludf.DUMMYFUNCTION("""COMPUTED_VALUE"""),"JOSE RAMON ARMAZAN 285")</f>
        <v>JOSE RAMON ARMAZAN 285</v>
      </c>
      <c r="D7233" s="6" t="str">
        <f ca="1">IFERROR(__xludf.DUMMYFUNCTION("""COMPUTED_VALUE"""),"CURACAVI")</f>
        <v>CURACAVI</v>
      </c>
    </row>
    <row r="7234" spans="1:4">
      <c r="A7234" s="7">
        <f ca="1">IFERROR(__xludf.DUMMYFUNCTION("""COMPUTED_VALUE"""),44632)</f>
        <v>44632</v>
      </c>
      <c r="B7234" s="8" t="str">
        <f ca="1">IFERROR(__xludf.DUMMYFUNCTION("""COMPUTED_VALUE"""),"-33.679929,-70.976568")</f>
        <v>-33.679929,-70.976568</v>
      </c>
      <c r="C7234" s="6" t="str">
        <f ca="1">IFERROR(__xludf.DUMMYFUNCTION("""COMPUTED_VALUE"""),"AV. SAN FRANCISCO 042")</f>
        <v>AV. SAN FRANCISCO 042</v>
      </c>
      <c r="D7234" s="6" t="str">
        <f ca="1">IFERROR(__xludf.DUMMYFUNCTION("""COMPUTED_VALUE"""),"EL MONTE")</f>
        <v>EL MONTE</v>
      </c>
    </row>
    <row r="7235" spans="1:4">
      <c r="A7235" s="7">
        <f ca="1">IFERROR(__xludf.DUMMYFUNCTION("""COMPUTED_VALUE"""),44632)</f>
        <v>44632</v>
      </c>
      <c r="B7235" s="8" t="str">
        <f ca="1">IFERROR(__xludf.DUMMYFUNCTION("""COMPUTED_VALUE"""),"-33.689000,-70.583597")</f>
        <v>-33.689000,-70.583597</v>
      </c>
      <c r="C7235" s="6" t="str">
        <f ca="1">IFERROR(__xludf.DUMMYFUNCTION("""COMPUTED_VALUE"""),"LOS QUILLAYES S/N10 LOARCAYA")</f>
        <v>LOS QUILLAYES S/N10 LOARCAYA</v>
      </c>
      <c r="D7235" s="6" t="str">
        <f ca="1">IFERROR(__xludf.DUMMYFUNCTION("""COMPUTED_VALUE"""),"PIRQUE")</f>
        <v>PIRQUE</v>
      </c>
    </row>
    <row r="7236" spans="1:4">
      <c r="A7236" s="7">
        <f ca="1">IFERROR(__xludf.DUMMYFUNCTION("""COMPUTED_VALUE"""),44632)</f>
        <v>44632</v>
      </c>
      <c r="B7236" s="8" t="str">
        <f ca="1">IFERROR(__xludf.DUMMYFUNCTION("""COMPUTED_VALUE"""),"-33.689000,-70.583597")</f>
        <v>-33.689000,-70.583597</v>
      </c>
      <c r="C7236" s="6" t="str">
        <f ca="1">IFERROR(__xludf.DUMMYFUNCTION("""COMPUTED_VALUE"""),"LOS QUILLAYES S/N10 LOARCAYA")</f>
        <v>LOS QUILLAYES S/N10 LOARCAYA</v>
      </c>
      <c r="D7236" s="6" t="str">
        <f ca="1">IFERROR(__xludf.DUMMYFUNCTION("""COMPUTED_VALUE"""),"PIRQUE")</f>
        <v>PIRQUE</v>
      </c>
    </row>
    <row r="7237" spans="1:4">
      <c r="A7237" s="7">
        <f ca="1">IFERROR(__xludf.DUMMYFUNCTION("""COMPUTED_VALUE"""),44632)</f>
        <v>44632</v>
      </c>
      <c r="B7237" s="6" t="str">
        <f ca="1">IFERROR(__xludf.DUMMYFUNCTION("""COMPUTED_VALUE"""),"-33.864093,-70.749751")</f>
        <v>-33.864093,-70.749751</v>
      </c>
      <c r="C7237" s="6" t="str">
        <f ca="1">IFERROR(__xludf.DUMMYFUNCTION("""COMPUTED_VALUE"""),"NUEVA DOS 208")</f>
        <v>NUEVA DOS 208</v>
      </c>
      <c r="D7237" s="6" t="str">
        <f ca="1">IFERROR(__xludf.DUMMYFUNCTION("""COMPUTED_VALUE"""),"PAINE")</f>
        <v>PAINE</v>
      </c>
    </row>
    <row r="7238" spans="1:4">
      <c r="A7238" s="7">
        <f ca="1">IFERROR(__xludf.DUMMYFUNCTION("""COMPUTED_VALUE"""),44632)</f>
        <v>44632</v>
      </c>
      <c r="B7238" s="6" t="str">
        <f ca="1">IFERROR(__xludf.DUMMYFUNCTION("""COMPUTED_VALUE"""),"-33.853840,-70.761986")</f>
        <v>-33.853840,-70.761986</v>
      </c>
      <c r="C7238" s="6" t="str">
        <f ca="1">IFERROR(__xludf.DUMMYFUNCTION("""COMPUTED_VALUE"""),"MANUEL RODRIGUEZ 345")</f>
        <v>MANUEL RODRIGUEZ 345</v>
      </c>
      <c r="D7238" s="6" t="str">
        <f ca="1">IFERROR(__xludf.DUMMYFUNCTION("""COMPUTED_VALUE"""),"PAINE")</f>
        <v>PAINE</v>
      </c>
    </row>
    <row r="7239" spans="1:4">
      <c r="A7239" s="7">
        <f ca="1">IFERROR(__xludf.DUMMYFUNCTION("""COMPUTED_VALUE"""),44633)</f>
        <v>44633</v>
      </c>
      <c r="B7239" s="6" t="str">
        <f ca="1">IFERROR(__xludf.DUMMYFUNCTION("""COMPUTED_VALUE"""),"-33.722768-70.556414")</f>
        <v>-33.722768-70.556414</v>
      </c>
      <c r="C7239" s="6" t="str">
        <f ca="1">IFERROR(__xludf.DUMMYFUNCTION("""COMPUTED_VALUE"""),"LOS CORRALES S/N")</f>
        <v>LOS CORRALES S/N</v>
      </c>
      <c r="D7239" s="6" t="str">
        <f ca="1">IFERROR(__xludf.DUMMYFUNCTION("""COMPUTED_VALUE"""),"PIRQUE")</f>
        <v>PIRQUE</v>
      </c>
    </row>
    <row r="7240" spans="1:4">
      <c r="A7240" s="7">
        <f ca="1">IFERROR(__xludf.DUMMYFUNCTION("""COMPUTED_VALUE"""),44633)</f>
        <v>44633</v>
      </c>
      <c r="B7240" s="6" t="str">
        <f ca="1">IFERROR(__xludf.DUMMYFUNCTION("""COMPUTED_VALUE"""),"-33.722620-70-556647")</f>
        <v>-33.722620-70-556647</v>
      </c>
      <c r="C7240" s="6" t="str">
        <f ca="1">IFERROR(__xludf.DUMMYFUNCTION("""COMPUTED_VALUE"""),"PRINCIPAL S/N PARCELA 31")</f>
        <v>PRINCIPAL S/N PARCELA 31</v>
      </c>
      <c r="D7240" s="6" t="str">
        <f ca="1">IFERROR(__xludf.DUMMYFUNCTION("""COMPUTED_VALUE"""),"PIRQUE")</f>
        <v>PIRQUE</v>
      </c>
    </row>
    <row r="7241" spans="1:4">
      <c r="A7241" s="7">
        <f ca="1">IFERROR(__xludf.DUMMYFUNCTION("""COMPUTED_VALUE"""),44633)</f>
        <v>44633</v>
      </c>
      <c r="B7241" s="8" t="str">
        <f ca="1">IFERROR(__xludf.DUMMYFUNCTION("""COMPUTED_VALUE"""),"-34.037014,-71.221001")</f>
        <v>-34.037014,-71.221001</v>
      </c>
      <c r="C7241" s="6" t="str">
        <f ca="1">IFERROR(__xludf.DUMMYFUNCTION("""COMPUTED_VALUE"""),"LA LINEA")</f>
        <v>LA LINEA</v>
      </c>
      <c r="D7241" s="6" t="str">
        <f ca="1">IFERROR(__xludf.DUMMYFUNCTION("""COMPUTED_VALUE"""),"ALHUÉ")</f>
        <v>ALHUÉ</v>
      </c>
    </row>
    <row r="7242" spans="1:4">
      <c r="A7242" s="7">
        <f ca="1">IFERROR(__xludf.DUMMYFUNCTION("""COMPUTED_VALUE"""),44634)</f>
        <v>44634</v>
      </c>
      <c r="B7242" s="8" t="str">
        <f ca="1">IFERROR(__xludf.DUMMYFUNCTION("""COMPUTED_VALUE"""),"33518544-71122762")</f>
        <v>33518544-71122762</v>
      </c>
      <c r="C7242" s="6" t="str">
        <f ca="1">IFERROR(__xludf.DUMMYFUNCTION("""COMPUTED_VALUE"""),"DIEGO PORTALES S/N")</f>
        <v>DIEGO PORTALES S/N</v>
      </c>
      <c r="D7242" s="6" t="str">
        <f ca="1">IFERROR(__xludf.DUMMYFUNCTION("""COMPUTED_VALUE"""),"MARIA PINTO")</f>
        <v>MARIA PINTO</v>
      </c>
    </row>
    <row r="7243" spans="1:4">
      <c r="A7243" s="7">
        <f ca="1">IFERROR(__xludf.DUMMYFUNCTION("""COMPUTED_VALUE"""),44634)</f>
        <v>44634</v>
      </c>
      <c r="B7243" s="6" t="str">
        <f ca="1">IFERROR(__xludf.DUMMYFUNCTION("""COMPUTED_VALUE"""),"-33.721649,-70.847348")</f>
        <v>-33.721649,-70.847348</v>
      </c>
      <c r="C7243" s="6" t="str">
        <f ca="1">IFERROR(__xludf.DUMMYFUNCTION("""COMPUTED_VALUE"""),"EL RECREO 1078 ")</f>
        <v xml:space="preserve">EL RECREO 1078 </v>
      </c>
      <c r="D7243" s="6" t="str">
        <f ca="1">IFERROR(__xludf.DUMMYFUNCTION("""COMPUTED_VALUE"""),"ISLA DE MAIPO")</f>
        <v>ISLA DE MAIPO</v>
      </c>
    </row>
    <row r="7244" spans="1:4">
      <c r="A7244" s="7">
        <f ca="1">IFERROR(__xludf.DUMMYFUNCTION("""COMPUTED_VALUE"""),44634)</f>
        <v>44634</v>
      </c>
      <c r="B7244" s="6" t="str">
        <f ca="1">IFERROR(__xludf.DUMMYFUNCTION("""COMPUTED_VALUE"""),"-33.5861262,-70.8074572")</f>
        <v>-33.5861262,-70.8074572</v>
      </c>
      <c r="C7244" s="6" t="str">
        <f ca="1">IFERROR(__xludf.DUMMYFUNCTION("""COMPUTED_VALUE"""),"PJE FOMENTO 1446")</f>
        <v>PJE FOMENTO 1446</v>
      </c>
      <c r="D7244" s="6" t="str">
        <f ca="1">IFERROR(__xludf.DUMMYFUNCTION("""COMPUTED_VALUE"""),"PADRE HURTADO")</f>
        <v>PADRE HURTADO</v>
      </c>
    </row>
    <row r="7245" spans="1:4">
      <c r="A7245" s="7">
        <f ca="1">IFERROR(__xludf.DUMMYFUNCTION("""COMPUTED_VALUE"""),44635)</f>
        <v>44635</v>
      </c>
      <c r="B7245" s="8" t="str">
        <f ca="1">IFERROR(__xludf.DUMMYFUNCTION("""COMPUTED_VALUE"""),"33679047-71177841")</f>
        <v>33679047-71177841</v>
      </c>
      <c r="C7245" s="6" t="str">
        <f ca="1">IFERROR(__xludf.DUMMYFUNCTION("""COMPUTED_VALUE"""),"CALLE CAOBA 02041")</f>
        <v>CALLE CAOBA 02041</v>
      </c>
      <c r="D7245" s="6" t="str">
        <f ca="1">IFERROR(__xludf.DUMMYFUNCTION("""COMPUTED_VALUE"""),"MELIPILLA")</f>
        <v>MELIPILLA</v>
      </c>
    </row>
    <row r="7246" spans="1:4">
      <c r="A7246" s="7">
        <f ca="1">IFERROR(__xludf.DUMMYFUNCTION("""COMPUTED_VALUE"""),44635)</f>
        <v>44635</v>
      </c>
      <c r="B7246" s="8" t="str">
        <f ca="1">IFERROR(__xludf.DUMMYFUNCTION("""COMPUTED_VALUE"""),"33696166-70673506")</f>
        <v>33696166-70673506</v>
      </c>
      <c r="C7246" s="6" t="str">
        <f ca="1">IFERROR(__xludf.DUMMYFUNCTION("""COMPUTED_VALUE"""),"PADRE HURTADO St-14")</f>
        <v>PADRE HURTADO St-14</v>
      </c>
      <c r="D7246" s="6" t="str">
        <f ca="1">IFERROR(__xludf.DUMMYFUNCTION("""COMPUTED_VALUE"""),"BUIN")</f>
        <v>BUIN</v>
      </c>
    </row>
    <row r="7247" spans="1:4">
      <c r="A7247" s="7">
        <f ca="1">IFERROR(__xludf.DUMMYFUNCTION("""COMPUTED_VALUE"""),44635)</f>
        <v>44635</v>
      </c>
      <c r="B7247" s="8" t="str">
        <f ca="1">IFERROR(__xludf.DUMMYFUNCTION("""COMPUTED_VALUE"""),"33696162-70673513")</f>
        <v>33696162-70673513</v>
      </c>
      <c r="C7247" s="6" t="str">
        <f ca="1">IFERROR(__xludf.DUMMYFUNCTION("""COMPUTED_VALUE"""),"PADRE HURTADO St-14")</f>
        <v>PADRE HURTADO St-14</v>
      </c>
      <c r="D7247" s="6" t="str">
        <f ca="1">IFERROR(__xludf.DUMMYFUNCTION("""COMPUTED_VALUE"""),"BUIN")</f>
        <v>BUIN</v>
      </c>
    </row>
    <row r="7248" spans="1:4">
      <c r="A7248" s="7">
        <f ca="1">IFERROR(__xludf.DUMMYFUNCTION("""COMPUTED_VALUE"""),44635)</f>
        <v>44635</v>
      </c>
      <c r="B7248" s="6" t="str">
        <f ca="1">IFERROR(__xludf.DUMMYFUNCTION("""COMPUTED_VALUE"""),"-33.70635-70.545670")</f>
        <v>-33.70635-70.545670</v>
      </c>
      <c r="C7248" s="6" t="str">
        <f ca="1">IFERROR(__xludf.DUMMYFUNCTION("""COMPUTED_VALUE"""),"EL PRINCIPAL 155")</f>
        <v>EL PRINCIPAL 155</v>
      </c>
      <c r="D7248" s="6" t="str">
        <f ca="1">IFERROR(__xludf.DUMMYFUNCTION("""COMPUTED_VALUE"""),"PIRQUE")</f>
        <v>PIRQUE</v>
      </c>
    </row>
    <row r="7249" spans="1:4">
      <c r="A7249" s="7">
        <f ca="1">IFERROR(__xludf.DUMMYFUNCTION("""COMPUTED_VALUE"""),44635)</f>
        <v>44635</v>
      </c>
      <c r="B7249" s="6" t="str">
        <f ca="1">IFERROR(__xludf.DUMMYFUNCTION("""COMPUTED_VALUE"""),"-33.615030-70.901737")</f>
        <v>-33.615030-70.901737</v>
      </c>
      <c r="C7249" s="6" t="str">
        <f ca="1">IFERROR(__xludf.DUMMYFUNCTION("""COMPUTED_VALUE"""),"SOCIO JONATHAN BRAVO 3643")</f>
        <v>SOCIO JONATHAN BRAVO 3643</v>
      </c>
      <c r="D7249" s="6" t="str">
        <f ca="1">IFERROR(__xludf.DUMMYFUNCTION("""COMPUTED_VALUE"""),"PEÑAFLOR")</f>
        <v>PEÑAFLOR</v>
      </c>
    </row>
    <row r="7250" spans="1:4">
      <c r="A7250" s="7">
        <f ca="1">IFERROR(__xludf.DUMMYFUNCTION("""COMPUTED_VALUE"""),44635)</f>
        <v>44635</v>
      </c>
      <c r="B7250" s="8" t="str">
        <f ca="1">IFERROR(__xludf.DUMMYFUNCTION("""COMPUTED_VALUE"""),"-33.726597,-70.541144")</f>
        <v>-33.726597,-70.541144</v>
      </c>
      <c r="C7250" s="6" t="str">
        <f ca="1">IFERROR(__xludf.DUMMYFUNCTION("""COMPUTED_VALUE"""),"LA ESCUELA 79 G")</f>
        <v>LA ESCUELA 79 G</v>
      </c>
      <c r="D7250" s="6" t="str">
        <f ca="1">IFERROR(__xludf.DUMMYFUNCTION("""COMPUTED_VALUE"""),"PIRQUE")</f>
        <v>PIRQUE</v>
      </c>
    </row>
    <row r="7251" spans="1:4">
      <c r="A7251" s="7">
        <f ca="1">IFERROR(__xludf.DUMMYFUNCTION("""COMPUTED_VALUE"""),44635)</f>
        <v>44635</v>
      </c>
      <c r="B7251" s="8" t="str">
        <f ca="1">IFERROR(__xludf.DUMMYFUNCTION("""COMPUTED_VALUE"""),"-33.644846,-70.604394")</f>
        <v>-33.644846,-70.604394</v>
      </c>
      <c r="C7251" s="6" t="str">
        <f ca="1">IFERROR(__xludf.DUMMYFUNCTION("""COMPUTED_VALUE"""),"EL CRUCERAL 1 CASA 2O")</f>
        <v>EL CRUCERAL 1 CASA 2O</v>
      </c>
      <c r="D7251" s="6" t="str">
        <f ca="1">IFERROR(__xludf.DUMMYFUNCTION("""COMPUTED_VALUE"""),"PIRQUE")</f>
        <v>PIRQUE</v>
      </c>
    </row>
    <row r="7252" spans="1:4">
      <c r="A7252" s="7">
        <f ca="1">IFERROR(__xludf.DUMMYFUNCTION("""COMPUTED_VALUE"""),44635)</f>
        <v>44635</v>
      </c>
      <c r="B7252" s="8" t="str">
        <f ca="1">IFERROR(__xludf.DUMMYFUNCTION("""COMPUTED_VALUE"""),"-33.644846,-70.604394")</f>
        <v>-33.644846,-70.604394</v>
      </c>
      <c r="C7252" s="6" t="str">
        <f ca="1">IFERROR(__xludf.DUMMYFUNCTION("""COMPUTED_VALUE"""),"EL CRUCERAL 1 CASA 2O")</f>
        <v>EL CRUCERAL 1 CASA 2O</v>
      </c>
      <c r="D7252" s="6" t="str">
        <f ca="1">IFERROR(__xludf.DUMMYFUNCTION("""COMPUTED_VALUE"""),"PIRQUE")</f>
        <v>PIRQUE</v>
      </c>
    </row>
    <row r="7253" spans="1:4">
      <c r="A7253" s="7">
        <f ca="1">IFERROR(__xludf.DUMMYFUNCTION("""COMPUTED_VALUE"""),44635)</f>
        <v>44635</v>
      </c>
      <c r="B7253" s="8" t="str">
        <f ca="1">IFERROR(__xludf.DUMMYFUNCTION("""COMPUTED_VALUE"""),"-33.719604,-70.545189")</f>
        <v>-33.719604,-70.545189</v>
      </c>
      <c r="C7253" s="6" t="str">
        <f ca="1">IFERROR(__xludf.DUMMYFUNCTION("""COMPUTED_VALUE"""),"EL CHALACO 68 PARCELA 12")</f>
        <v>EL CHALACO 68 PARCELA 12</v>
      </c>
      <c r="D7253" s="6" t="str">
        <f ca="1">IFERROR(__xludf.DUMMYFUNCTION("""COMPUTED_VALUE"""),"PIRQUE")</f>
        <v>PIRQUE</v>
      </c>
    </row>
    <row r="7254" spans="1:4">
      <c r="A7254" s="7">
        <f ca="1">IFERROR(__xludf.DUMMYFUNCTION("""COMPUTED_VALUE"""),44635)</f>
        <v>44635</v>
      </c>
      <c r="B7254" s="8" t="str">
        <f ca="1">IFERROR(__xludf.DUMMYFUNCTION("""COMPUTED_VALUE"""),"-33.715737,-70.544668")</f>
        <v>-33.715737,-70.544668</v>
      </c>
      <c r="C7254" s="6" t="str">
        <f ca="1">IFERROR(__xludf.DUMMYFUNCTION("""COMPUTED_VALUE"""),"EL CHALACO 66B PARCELA 23A")</f>
        <v>EL CHALACO 66B PARCELA 23A</v>
      </c>
      <c r="D7254" s="6" t="str">
        <f ca="1">IFERROR(__xludf.DUMMYFUNCTION("""COMPUTED_VALUE"""),"PIRQUE")</f>
        <v>PIRQUE</v>
      </c>
    </row>
    <row r="7255" spans="1:4">
      <c r="A7255" s="7">
        <f ca="1">IFERROR(__xludf.DUMMYFUNCTION("""COMPUTED_VALUE"""),44635)</f>
        <v>44635</v>
      </c>
      <c r="B7255" s="6" t="str">
        <f ca="1">IFERROR(__xludf.DUMMYFUNCTION("""COMPUTED_VALUE"""),"-33.759472,-70.897444")</f>
        <v>-33.759472,-70.897444</v>
      </c>
      <c r="C7255" s="6" t="str">
        <f ca="1">IFERROR(__xludf.DUMMYFUNCTION("""COMPUTED_VALUE"""),"PARAISO NORTE 38")</f>
        <v>PARAISO NORTE 38</v>
      </c>
      <c r="D7255" s="6" t="str">
        <f ca="1">IFERROR(__xludf.DUMMYFUNCTION("""COMPUTED_VALUE"""),"ISLA DE MAIPO")</f>
        <v>ISLA DE MAIPO</v>
      </c>
    </row>
    <row r="7256" spans="1:4">
      <c r="A7256" s="7">
        <f ca="1">IFERROR(__xludf.DUMMYFUNCTION("""COMPUTED_VALUE"""),44635)</f>
        <v>44635</v>
      </c>
      <c r="B7256" s="6" t="str">
        <f ca="1">IFERROR(__xludf.DUMMYFUNCTION("""COMPUTED_VALUE"""),"-33.569093,-70.7957113")</f>
        <v>-33.569093,-70.7957113</v>
      </c>
      <c r="C7256" s="6" t="str">
        <f ca="1">IFERROR(__xludf.DUMMYFUNCTION("""COMPUTED_VALUE"""),"SEGUNDA TRANVERSAL  911")</f>
        <v>SEGUNDA TRANVERSAL  911</v>
      </c>
      <c r="D7256" s="6" t="str">
        <f ca="1">IFERROR(__xludf.DUMMYFUNCTION("""COMPUTED_VALUE"""),"PADRE HURTADO")</f>
        <v>PADRE HURTADO</v>
      </c>
    </row>
    <row r="7257" spans="1:4">
      <c r="A7257" s="7">
        <f ca="1">IFERROR(__xludf.DUMMYFUNCTION("""COMPUTED_VALUE"""),44635)</f>
        <v>44635</v>
      </c>
      <c r="B7257" s="6" t="str">
        <f ca="1">IFERROR(__xludf.DUMMYFUNCTION("""COMPUTED_VALUE"""),"-33.894455,-71.3999105")</f>
        <v>-33.894455,-71.3999105</v>
      </c>
      <c r="C7257" s="6" t="str">
        <f ca="1">IFERROR(__xludf.DUMMYFUNCTION("""COMPUTED_VALUE"""),"LOS CULENES 1")</f>
        <v>LOS CULENES 1</v>
      </c>
      <c r="D7257" s="6" t="str">
        <f ca="1">IFERROR(__xludf.DUMMYFUNCTION("""COMPUTED_VALUE"""),"SAN PEDRO")</f>
        <v>SAN PEDRO</v>
      </c>
    </row>
    <row r="7258" spans="1:4">
      <c r="A7258" s="7">
        <f ca="1">IFERROR(__xludf.DUMMYFUNCTION("""COMPUTED_VALUE"""),44635)</f>
        <v>44635</v>
      </c>
      <c r="B7258" s="6" t="str">
        <f ca="1">IFERROR(__xludf.DUMMYFUNCTION("""COMPUTED_VALUE"""),"-33.754603,-70.811945")</f>
        <v>-33.754603,-70.811945</v>
      </c>
      <c r="C7258" s="6" t="str">
        <f ca="1">IFERROR(__xludf.DUMMYFUNCTION("""COMPUTED_VALUE"""),"CO PAINE  9125")</f>
        <v>CO PAINE  9125</v>
      </c>
      <c r="D7258" s="6" t="str">
        <f ca="1">IFERROR(__xludf.DUMMYFUNCTION("""COMPUTED_VALUE"""),"BUIN")</f>
        <v>BUIN</v>
      </c>
    </row>
    <row r="7259" spans="1:4">
      <c r="A7259" s="7">
        <f ca="1">IFERROR(__xludf.DUMMYFUNCTION("""COMPUTED_VALUE"""),44635)</f>
        <v>44635</v>
      </c>
      <c r="B7259" s="6" t="str">
        <f ca="1">IFERROR(__xludf.DUMMYFUNCTION("""COMPUTED_VALUE"""),"-33.9067431,-70.7383929")</f>
        <v>-33.9067431,-70.7383929</v>
      </c>
      <c r="C7259" s="6" t="str">
        <f ca="1">IFERROR(__xludf.DUMMYFUNCTION("""COMPUTED_VALUE"""),"LOS ALERCES 9A")</f>
        <v>LOS ALERCES 9A</v>
      </c>
      <c r="D7259" s="6" t="str">
        <f ca="1">IFERROR(__xludf.DUMMYFUNCTION("""COMPUTED_VALUE"""),"PAINE")</f>
        <v>PAINE</v>
      </c>
    </row>
    <row r="7260" spans="1:4">
      <c r="A7260" s="7">
        <f ca="1">IFERROR(__xludf.DUMMYFUNCTION("""COMPUTED_VALUE"""),44635)</f>
        <v>44635</v>
      </c>
      <c r="B7260" s="6" t="str">
        <f ca="1">IFERROR(__xludf.DUMMYFUNCTION("""COMPUTED_VALUE"""),"-33.9067431,-70.7383929")</f>
        <v>-33.9067431,-70.7383929</v>
      </c>
      <c r="C7260" s="6" t="str">
        <f ca="1">IFERROR(__xludf.DUMMYFUNCTION("""COMPUTED_VALUE"""),"LOS ALERCES N°9B")</f>
        <v>LOS ALERCES N°9B</v>
      </c>
      <c r="D7260" s="6" t="str">
        <f ca="1">IFERROR(__xludf.DUMMYFUNCTION("""COMPUTED_VALUE"""),"PAINE")</f>
        <v>PAINE</v>
      </c>
    </row>
    <row r="7261" spans="1:4">
      <c r="A7261" s="7">
        <f ca="1">IFERROR(__xludf.DUMMYFUNCTION("""COMPUTED_VALUE"""),44636)</f>
        <v>44636</v>
      </c>
      <c r="B7261" s="8" t="str">
        <f ca="1">IFERROR(__xludf.DUMMYFUNCTION("""COMPUTED_VALUE"""),"33795428-70729327")</f>
        <v>33795428-70729327</v>
      </c>
      <c r="C7261" s="6" t="str">
        <f ca="1">IFERROR(__xludf.DUMMYFUNCTION("""COMPUTED_VALUE"""),"LOS ACACIOS 797")</f>
        <v>LOS ACACIOS 797</v>
      </c>
      <c r="D7261" s="6" t="str">
        <f ca="1">IFERROR(__xludf.DUMMYFUNCTION("""COMPUTED_VALUE"""),"PAINE")</f>
        <v>PAINE</v>
      </c>
    </row>
    <row r="7262" spans="1:4">
      <c r="A7262" s="7">
        <f ca="1">IFERROR(__xludf.DUMMYFUNCTION("""COMPUTED_VALUE"""),44636)</f>
        <v>44636</v>
      </c>
      <c r="B7262" s="8" t="str">
        <f ca="1">IFERROR(__xludf.DUMMYFUNCTION("""COMPUTED_VALUE"""),"33749205-70732667")</f>
        <v>33749205-70732667</v>
      </c>
      <c r="C7262" s="6" t="str">
        <f ca="1">IFERROR(__xludf.DUMMYFUNCTION("""COMPUTED_VALUE"""),"LOS ROSALES 0245")</f>
        <v>LOS ROSALES 0245</v>
      </c>
      <c r="D7262" s="6" t="str">
        <f ca="1">IFERROR(__xludf.DUMMYFUNCTION("""COMPUTED_VALUE"""),"BUIN")</f>
        <v>BUIN</v>
      </c>
    </row>
    <row r="7263" spans="1:4">
      <c r="A7263" s="7">
        <f ca="1">IFERROR(__xludf.DUMMYFUNCTION("""COMPUTED_VALUE"""),44636)</f>
        <v>44636</v>
      </c>
      <c r="B7263" s="8" t="str">
        <f ca="1">IFERROR(__xludf.DUMMYFUNCTION("""COMPUTED_VALUE"""),"33797904-70775006")</f>
        <v>33797904-70775006</v>
      </c>
      <c r="C7263" s="6" t="str">
        <f ca="1">IFERROR(__xludf.DUMMYFUNCTION("""COMPUTED_VALUE"""),"PAINE 3215 ST-17")</f>
        <v>PAINE 3215 ST-17</v>
      </c>
      <c r="D7263" s="6" t="str">
        <f ca="1">IFERROR(__xludf.DUMMYFUNCTION("""COMPUTED_VALUE"""),"BUIN")</f>
        <v>BUIN</v>
      </c>
    </row>
    <row r="7264" spans="1:4">
      <c r="A7264" s="7">
        <f ca="1">IFERROR(__xludf.DUMMYFUNCTION("""COMPUTED_VALUE"""),44636)</f>
        <v>44636</v>
      </c>
      <c r="B7264" s="6" t="str">
        <f ca="1">IFERROR(__xludf.DUMMYFUNCTION("""COMPUTED_VALUE"""),"-33.6464156-70.3535957")</f>
        <v>-33.6464156-70.3535957</v>
      </c>
      <c r="C7264" s="6" t="str">
        <f ca="1">IFERROR(__xludf.DUMMYFUNCTION("""COMPUTED_VALUE"""),"CAMINO AL VOLCAN 20429")</f>
        <v>CAMINO AL VOLCAN 20429</v>
      </c>
      <c r="D7264" s="6" t="str">
        <f ca="1">IFERROR(__xludf.DUMMYFUNCTION("""COMPUTED_VALUE"""),"SAN JOSE DE MAIPO")</f>
        <v>SAN JOSE DE MAIPO</v>
      </c>
    </row>
    <row r="7265" spans="1:4">
      <c r="A7265" s="7">
        <f ca="1">IFERROR(__xludf.DUMMYFUNCTION("""COMPUTED_VALUE"""),44636)</f>
        <v>44636</v>
      </c>
      <c r="B7265" s="6" t="str">
        <f ca="1">IFERROR(__xludf.DUMMYFUNCTION("""COMPUTED_VALUE"""),"-33.6370167-70.3560611")</f>
        <v>-33.6370167-70.3560611</v>
      </c>
      <c r="C7265" s="6" t="str">
        <f ca="1">IFERROR(__xludf.DUMMYFUNCTION("""COMPUTED_VALUE"""),"CUATRO 569")</f>
        <v>CUATRO 569</v>
      </c>
      <c r="D7265" s="6" t="str">
        <f ca="1">IFERROR(__xludf.DUMMYFUNCTION("""COMPUTED_VALUE"""),"SAN JOSE DE MAIPO")</f>
        <v>SAN JOSE DE MAIPO</v>
      </c>
    </row>
    <row r="7266" spans="1:4">
      <c r="A7266" s="7">
        <f ca="1">IFERROR(__xludf.DUMMYFUNCTION("""COMPUTED_VALUE"""),44636)</f>
        <v>44636</v>
      </c>
      <c r="B7266" s="6" t="str">
        <f ca="1">IFERROR(__xludf.DUMMYFUNCTION("""COMPUTED_VALUE"""),"-33.5882408-70.3914287")</f>
        <v>-33.5882408-70.3914287</v>
      </c>
      <c r="C7266" s="6" t="str">
        <f ca="1">IFERROR(__xludf.DUMMYFUNCTION("""COMPUTED_VALUE"""),"LOS OLMOS 11494")</f>
        <v>LOS OLMOS 11494</v>
      </c>
      <c r="D7266" s="6" t="str">
        <f ca="1">IFERROR(__xludf.DUMMYFUNCTION("""COMPUTED_VALUE"""),"SAN JOSE DE MAIPO")</f>
        <v>SAN JOSE DE MAIPO</v>
      </c>
    </row>
    <row r="7267" spans="1:4">
      <c r="A7267" s="7">
        <f ca="1">IFERROR(__xludf.DUMMYFUNCTION("""COMPUTED_VALUE"""),44636)</f>
        <v>44636</v>
      </c>
      <c r="B7267" s="6" t="str">
        <f ca="1">IFERROR(__xludf.DUMMYFUNCTION("""COMPUTED_VALUE"""),"-33.13055-70.79507")</f>
        <v>-33.13055-70.79507</v>
      </c>
      <c r="C7267" s="6" t="str">
        <f ca="1">IFERROR(__xludf.DUMMYFUNCTION("""COMPUTED_VALUE"""),"LAS CIMAS 716")</f>
        <v>LAS CIMAS 716</v>
      </c>
      <c r="D7267" s="6" t="str">
        <f ca="1">IFERROR(__xludf.DUMMYFUNCTION("""COMPUTED_VALUE"""),"TIL TIL")</f>
        <v>TIL TIL</v>
      </c>
    </row>
    <row r="7268" spans="1:4">
      <c r="A7268" s="7">
        <f ca="1">IFERROR(__xludf.DUMMYFUNCTION("""COMPUTED_VALUE"""),44636)</f>
        <v>44636</v>
      </c>
      <c r="B7268" s="6" t="str">
        <f ca="1">IFERROR(__xludf.DUMMYFUNCTION("""COMPUTED_VALUE"""),"-33.13552-70.80779")</f>
        <v>-33.13552-70.80779</v>
      </c>
      <c r="C7268" s="6" t="str">
        <f ca="1">IFERROR(__xludf.DUMMYFUNCTION("""COMPUTED_VALUE"""),"1 ORIENTE 136 D")</f>
        <v>1 ORIENTE 136 D</v>
      </c>
      <c r="D7268" s="6" t="str">
        <f ca="1">IFERROR(__xludf.DUMMYFUNCTION("""COMPUTED_VALUE"""),"TIL TIL")</f>
        <v>TIL TIL</v>
      </c>
    </row>
    <row r="7269" spans="1:4">
      <c r="A7269" s="7">
        <f ca="1">IFERROR(__xludf.DUMMYFUNCTION("""COMPUTED_VALUE"""),44636)</f>
        <v>44636</v>
      </c>
      <c r="B7269" s="8" t="str">
        <f ca="1">IFERROR(__xludf.DUMMYFUNCTION("""COMPUTED_VALUE"""),"-33,707126,-70.569116")</f>
        <v>-33,707126,-70.569116</v>
      </c>
      <c r="C7269" s="6" t="str">
        <f ca="1">IFERROR(__xludf.DUMMYFUNCTION("""COMPUTED_VALUE"""),"ALCALDE HERNAN PRIETO KM 8")</f>
        <v>ALCALDE HERNAN PRIETO KM 8</v>
      </c>
      <c r="D7269" s="6" t="str">
        <f ca="1">IFERROR(__xludf.DUMMYFUNCTION("""COMPUTED_VALUE"""),"PIRQUE")</f>
        <v>PIRQUE</v>
      </c>
    </row>
    <row r="7270" spans="1:4">
      <c r="A7270" s="7">
        <f ca="1">IFERROR(__xludf.DUMMYFUNCTION("""COMPUTED_VALUE"""),44636)</f>
        <v>44636</v>
      </c>
      <c r="B7270" s="8" t="str">
        <f ca="1">IFERROR(__xludf.DUMMYFUNCTION("""COMPUTED_VALUE"""),"-33.70.7126,-70.569116")</f>
        <v>-33.70.7126,-70.569116</v>
      </c>
      <c r="C7270" s="6" t="str">
        <f ca="1">IFERROR(__xludf.DUMMYFUNCTION("""COMPUTED_VALUE"""),"ALCALDE HERNAN PRIETO KM 8")</f>
        <v>ALCALDE HERNAN PRIETO KM 8</v>
      </c>
      <c r="D7270" s="6" t="str">
        <f ca="1">IFERROR(__xludf.DUMMYFUNCTION("""COMPUTED_VALUE"""),"PIRQUE")</f>
        <v>PIRQUE</v>
      </c>
    </row>
    <row r="7271" spans="1:4">
      <c r="A7271" s="7">
        <f ca="1">IFERROR(__xludf.DUMMYFUNCTION("""COMPUTED_VALUE"""),44636)</f>
        <v>44636</v>
      </c>
      <c r="B7271" s="6" t="str">
        <f ca="1">IFERROR(__xludf.DUMMYFUNCTION("""COMPUTED_VALUE"""),"-33.894455,-71.399105")</f>
        <v>-33.894455,-71.399105</v>
      </c>
      <c r="C7271" s="6" t="str">
        <f ca="1">IFERROR(__xludf.DUMMYFUNCTION("""COMPUTED_VALUE"""),"LOS CULENES 1")</f>
        <v>LOS CULENES 1</v>
      </c>
      <c r="D7271" s="6" t="str">
        <f ca="1">IFERROR(__xludf.DUMMYFUNCTION("""COMPUTED_VALUE"""),"SAN PEDRO")</f>
        <v>SAN PEDRO</v>
      </c>
    </row>
    <row r="7272" spans="1:4">
      <c r="A7272" s="7">
        <f ca="1">IFERROR(__xludf.DUMMYFUNCTION("""COMPUTED_VALUE"""),44636)</f>
        <v>44636</v>
      </c>
      <c r="B7272" s="6" t="str">
        <f ca="1">IFERROR(__xludf.DUMMYFUNCTION("""COMPUTED_VALUE"""),"-33.900621,-71.406918")</f>
        <v>-33.900621,-71.406918</v>
      </c>
      <c r="C7272" s="6" t="str">
        <f ca="1">IFERROR(__xludf.DUMMYFUNCTION("""COMPUTED_VALUE"""),"LAS ARAÑAS S/N")</f>
        <v>LAS ARAÑAS S/N</v>
      </c>
      <c r="D7272" s="6" t="str">
        <f ca="1">IFERROR(__xludf.DUMMYFUNCTION("""COMPUTED_VALUE"""),"SAN PEDRO")</f>
        <v>SAN PEDRO</v>
      </c>
    </row>
    <row r="7273" spans="1:4">
      <c r="A7273" s="7">
        <f ca="1">IFERROR(__xludf.DUMMYFUNCTION("""COMPUTED_VALUE"""),44636)</f>
        <v>44636</v>
      </c>
      <c r="B7273" s="8" t="str">
        <f ca="1">IFERROR(__xludf.DUMMYFUNCTION("""COMPUTED_VALUE"""),"-33.741413,-70.746105")</f>
        <v>-33.741413,-70.746105</v>
      </c>
      <c r="C7273" s="6" t="str">
        <f ca="1">IFERROR(__xludf.DUMMYFUNCTION("""COMPUTED_VALUE"""),"JUAN GONZALEZ PONIENTE 981")</f>
        <v>JUAN GONZALEZ PONIENTE 981</v>
      </c>
      <c r="D7273" s="6" t="str">
        <f ca="1">IFERROR(__xludf.DUMMYFUNCTION("""COMPUTED_VALUE"""),"BUIN")</f>
        <v>BUIN</v>
      </c>
    </row>
    <row r="7274" spans="1:4">
      <c r="A7274" s="7">
        <f ca="1">IFERROR(__xludf.DUMMYFUNCTION("""COMPUTED_VALUE"""),44636)</f>
        <v>44636</v>
      </c>
      <c r="B7274" s="6" t="str">
        <f ca="1">IFERROR(__xludf.DUMMYFUNCTION("""COMPUTED_VALUE"""),"-33.9067494,-70.7392116")</f>
        <v>-33.9067494,-70.7392116</v>
      </c>
      <c r="C7274" s="6" t="str">
        <f ca="1">IFERROR(__xludf.DUMMYFUNCTION("""COMPUTED_VALUE"""),"LOS ENCINOS C22")</f>
        <v>LOS ENCINOS C22</v>
      </c>
      <c r="D7274" s="6" t="str">
        <f ca="1">IFERROR(__xludf.DUMMYFUNCTION("""COMPUTED_VALUE"""),"PAINE")</f>
        <v>PAINE</v>
      </c>
    </row>
    <row r="7275" spans="1:4">
      <c r="A7275" s="7">
        <f ca="1">IFERROR(__xludf.DUMMYFUNCTION("""COMPUTED_VALUE"""),44636)</f>
        <v>44636</v>
      </c>
      <c r="B7275" s="6" t="str">
        <f ca="1">IFERROR(__xludf.DUMMYFUNCTION("""COMPUTED_VALUE"""),"-33.8806384,-70.7420088")</f>
        <v>-33.8806384,-70.7420088</v>
      </c>
      <c r="C7275" s="6" t="str">
        <f ca="1">IFERROR(__xludf.DUMMYFUNCTION("""COMPUTED_VALUE"""),"EL RENACER 529B")</f>
        <v>EL RENACER 529B</v>
      </c>
      <c r="D7275" s="6" t="str">
        <f ca="1">IFERROR(__xludf.DUMMYFUNCTION("""COMPUTED_VALUE"""),"PAINE")</f>
        <v>PAINE</v>
      </c>
    </row>
    <row r="7276" spans="1:4">
      <c r="A7276" s="7">
        <f ca="1">IFERROR(__xludf.DUMMYFUNCTION("""COMPUTED_VALUE"""),44637)</f>
        <v>44637</v>
      </c>
      <c r="B7276" s="8" t="str">
        <f ca="1">IFERROR(__xludf.DUMMYFUNCTION("""COMPUTED_VALUE"""),"33773168-71265712")</f>
        <v>33773168-71265712</v>
      </c>
      <c r="C7276" s="6" t="str">
        <f ca="1">IFERROR(__xludf.DUMMYFUNCTION("""COMPUTED_VALUE"""),"EL BOLDO PARCELA 13")</f>
        <v>EL BOLDO PARCELA 13</v>
      </c>
      <c r="D7276" s="6" t="str">
        <f ca="1">IFERROR(__xludf.DUMMYFUNCTION("""COMPUTED_VALUE"""),"MELIPILLA")</f>
        <v>MELIPILLA</v>
      </c>
    </row>
    <row r="7277" spans="1:4">
      <c r="A7277" s="7">
        <f ca="1">IFERROR(__xludf.DUMMYFUNCTION("""COMPUTED_VALUE"""),44637)</f>
        <v>44637</v>
      </c>
      <c r="B7277" s="8" t="str">
        <f ca="1">IFERROR(__xludf.DUMMYFUNCTION("""COMPUTED_VALUE"""),"33735021-70864248")</f>
        <v>33735021-70864248</v>
      </c>
      <c r="C7277" s="6" t="str">
        <f ca="1">IFERROR(__xludf.DUMMYFUNCTION("""COMPUTED_VALUE"""),"ALAMO HUACHO 4391")</f>
        <v>ALAMO HUACHO 4391</v>
      </c>
      <c r="D7277" s="6" t="str">
        <f ca="1">IFERROR(__xludf.DUMMYFUNCTION("""COMPUTED_VALUE"""),"ISLA DE MAIPO")</f>
        <v>ISLA DE MAIPO</v>
      </c>
    </row>
    <row r="7278" spans="1:4">
      <c r="A7278" s="7">
        <f ca="1">IFERROR(__xludf.DUMMYFUNCTION("""COMPUTED_VALUE"""),44637)</f>
        <v>44637</v>
      </c>
      <c r="B7278" s="8" t="str">
        <f ca="1">IFERROR(__xludf.DUMMYFUNCTION("""COMPUTED_VALUE"""),"33695611-70875585")</f>
        <v>33695611-70875585</v>
      </c>
      <c r="C7278" s="6" t="str">
        <f ca="1">IFERROR(__xludf.DUMMYFUNCTION("""COMPUTED_VALUE"""),"TRECERROS S/N")</f>
        <v>TRECERROS S/N</v>
      </c>
      <c r="D7278" s="6" t="str">
        <f ca="1">IFERROR(__xludf.DUMMYFUNCTION("""COMPUTED_VALUE"""),"TALAGANTE")</f>
        <v>TALAGANTE</v>
      </c>
    </row>
    <row r="7279" spans="1:4">
      <c r="A7279" s="7">
        <f ca="1">IFERROR(__xludf.DUMMYFUNCTION("""COMPUTED_VALUE"""),44637)</f>
        <v>44637</v>
      </c>
      <c r="B7279" s="6" t="str">
        <f ca="1">IFERROR(__xludf.DUMMYFUNCTION("""COMPUTED_VALUE"""),"-33.588245-70.391460")</f>
        <v>-33.588245-70.391460</v>
      </c>
      <c r="C7279" s="6" t="str">
        <f ca="1">IFERROR(__xludf.DUMMYFUNCTION("""COMPUTED_VALUE"""),"LOS OLMOS 11494")</f>
        <v>LOS OLMOS 11494</v>
      </c>
      <c r="D7279" s="6" t="str">
        <f ca="1">IFERROR(__xludf.DUMMYFUNCTION("""COMPUTED_VALUE"""),"SAN JOSE DE MAIPO")</f>
        <v>SAN JOSE DE MAIPO</v>
      </c>
    </row>
    <row r="7280" spans="1:4">
      <c r="A7280" s="7">
        <f ca="1">IFERROR(__xludf.DUMMYFUNCTION("""COMPUTED_VALUE"""),44637)</f>
        <v>44637</v>
      </c>
      <c r="B7280" s="6" t="str">
        <f ca="1">IFERROR(__xludf.DUMMYFUNCTION("""COMPUTED_VALUE"""),"-33.588245-70.391390")</f>
        <v>-33.588245-70.391390</v>
      </c>
      <c r="C7280" s="6" t="str">
        <f ca="1">IFERROR(__xludf.DUMMYFUNCTION("""COMPUTED_VALUE"""),"LOS OLMOS 11494")</f>
        <v>LOS OLMOS 11494</v>
      </c>
      <c r="D7280" s="6" t="str">
        <f ca="1">IFERROR(__xludf.DUMMYFUNCTION("""COMPUTED_VALUE"""),"SAN JOSE DE MAIPO")</f>
        <v>SAN JOSE DE MAIPO</v>
      </c>
    </row>
    <row r="7281" spans="1:4">
      <c r="A7281" s="7">
        <f ca="1">IFERROR(__xludf.DUMMYFUNCTION("""COMPUTED_VALUE"""),44637)</f>
        <v>44637</v>
      </c>
      <c r="B7281" s="6" t="str">
        <f ca="1">IFERROR(__xludf.DUMMYFUNCTION("""COMPUTED_VALUE"""),"-33.69206-71.22524")</f>
        <v>-33.69206-71.22524</v>
      </c>
      <c r="C7281" s="6" t="str">
        <f ca="1">IFERROR(__xludf.DUMMYFUNCTION("""COMPUTED_VALUE"""),"RAPEL 1019")</f>
        <v>RAPEL 1019</v>
      </c>
      <c r="D7281" s="6" t="str">
        <f ca="1">IFERROR(__xludf.DUMMYFUNCTION("""COMPUTED_VALUE"""),"MELIPILLA")</f>
        <v>MELIPILLA</v>
      </c>
    </row>
    <row r="7282" spans="1:4">
      <c r="A7282" s="7">
        <f ca="1">IFERROR(__xludf.DUMMYFUNCTION("""COMPUTED_VALUE"""),44637)</f>
        <v>44637</v>
      </c>
      <c r="B7282" s="6" t="str">
        <f ca="1">IFERROR(__xludf.DUMMYFUNCTION("""COMPUTED_VALUE"""),"-33.69206-71.22524")</f>
        <v>-33.69206-71.22524</v>
      </c>
      <c r="C7282" s="6" t="str">
        <f ca="1">IFERROR(__xludf.DUMMYFUNCTION("""COMPUTED_VALUE"""),"RAPEL 1019")</f>
        <v>RAPEL 1019</v>
      </c>
      <c r="D7282" s="6" t="str">
        <f ca="1">IFERROR(__xludf.DUMMYFUNCTION("""COMPUTED_VALUE"""),"MELIPILLA")</f>
        <v>MELIPILLA</v>
      </c>
    </row>
    <row r="7283" spans="1:4">
      <c r="A7283" s="7">
        <f ca="1">IFERROR(__xludf.DUMMYFUNCTION("""COMPUTED_VALUE"""),44637)</f>
        <v>44637</v>
      </c>
      <c r="B7283" s="6" t="str">
        <f ca="1">IFERROR(__xludf.DUMMYFUNCTION("""COMPUTED_VALUE"""),"-33.69199-71.22729")</f>
        <v>-33.69199-71.22729</v>
      </c>
      <c r="C7283" s="6" t="str">
        <f ca="1">IFERROR(__xludf.DUMMYFUNCTION("""COMPUTED_VALUE"""),"EL CERRO 1325")</f>
        <v>EL CERRO 1325</v>
      </c>
      <c r="D7283" s="6" t="str">
        <f ca="1">IFERROR(__xludf.DUMMYFUNCTION("""COMPUTED_VALUE"""),"MELIPILLA")</f>
        <v>MELIPILLA</v>
      </c>
    </row>
    <row r="7284" spans="1:4">
      <c r="A7284" s="7">
        <f ca="1">IFERROR(__xludf.DUMMYFUNCTION("""COMPUTED_VALUE"""),44637)</f>
        <v>44637</v>
      </c>
      <c r="B7284" s="6" t="str">
        <f ca="1">IFERROR(__xludf.DUMMYFUNCTION("""COMPUTED_VALUE"""),"-33.69199-71.22729")</f>
        <v>-33.69199-71.22729</v>
      </c>
      <c r="C7284" s="6" t="str">
        <f ca="1">IFERROR(__xludf.DUMMYFUNCTION("""COMPUTED_VALUE"""),"EL CERRO 1325")</f>
        <v>EL CERRO 1325</v>
      </c>
      <c r="D7284" s="6" t="str">
        <f ca="1">IFERROR(__xludf.DUMMYFUNCTION("""COMPUTED_VALUE"""),"MELIPILLA")</f>
        <v>MELIPILLA</v>
      </c>
    </row>
    <row r="7285" spans="1:4">
      <c r="A7285" s="7">
        <f ca="1">IFERROR(__xludf.DUMMYFUNCTION("""COMPUTED_VALUE"""),44637)</f>
        <v>44637</v>
      </c>
      <c r="B7285" s="6" t="str">
        <f ca="1">IFERROR(__xludf.DUMMYFUNCTION("""COMPUTED_VALUE"""),"-33.415915-71.153906")</f>
        <v>-33.415915-71.153906</v>
      </c>
      <c r="C7285" s="6" t="str">
        <f ca="1">IFERROR(__xludf.DUMMYFUNCTION("""COMPUTED_VALUE"""),"JOSE RAMON ARMAZAN 285")</f>
        <v>JOSE RAMON ARMAZAN 285</v>
      </c>
      <c r="D7285" s="6" t="str">
        <f ca="1">IFERROR(__xludf.DUMMYFUNCTION("""COMPUTED_VALUE"""),"CURACAVI")</f>
        <v>CURACAVI</v>
      </c>
    </row>
    <row r="7286" spans="1:4">
      <c r="A7286" s="7">
        <f ca="1">IFERROR(__xludf.DUMMYFUNCTION("""COMPUTED_VALUE"""),44637)</f>
        <v>44637</v>
      </c>
      <c r="B7286" s="6" t="str">
        <f ca="1">IFERROR(__xludf.DUMMYFUNCTION("""COMPUTED_VALUE"""),"-33.416530-71.129119")</f>
        <v>-33.416530-71.129119</v>
      </c>
      <c r="C7286" s="6" t="str">
        <f ca="1">IFERROR(__xludf.DUMMYFUNCTION("""COMPUTED_VALUE"""),"LO AGUILA S/N 7A")</f>
        <v>LO AGUILA S/N 7A</v>
      </c>
      <c r="D7286" s="6" t="str">
        <f ca="1">IFERROR(__xludf.DUMMYFUNCTION("""COMPUTED_VALUE"""),"CURACAVI")</f>
        <v>CURACAVI</v>
      </c>
    </row>
    <row r="7287" spans="1:4">
      <c r="A7287" s="7">
        <f ca="1">IFERROR(__xludf.DUMMYFUNCTION("""COMPUTED_VALUE"""),44637)</f>
        <v>44637</v>
      </c>
      <c r="B7287" s="8" t="str">
        <f ca="1">IFERROR(__xludf.DUMMYFUNCTION("""COMPUTED_VALUE"""),"-33.685620,-70.577996")</f>
        <v>-33.685620,-70.577996</v>
      </c>
      <c r="C7287" s="6" t="str">
        <f ca="1">IFERROR(__xludf.DUMMYFUNCTION("""COMPUTED_VALUE"""),"LOTEO SANTA TERESA 11")</f>
        <v>LOTEO SANTA TERESA 11</v>
      </c>
      <c r="D7287" s="6" t="str">
        <f ca="1">IFERROR(__xludf.DUMMYFUNCTION("""COMPUTED_VALUE"""),"PIRQUE")</f>
        <v>PIRQUE</v>
      </c>
    </row>
    <row r="7288" spans="1:4">
      <c r="A7288" s="7">
        <f ca="1">IFERROR(__xludf.DUMMYFUNCTION("""COMPUTED_VALUE"""),44637)</f>
        <v>44637</v>
      </c>
      <c r="B7288" s="8" t="str">
        <f ca="1">IFERROR(__xludf.DUMMYFUNCTION("""COMPUTED_VALUE"""),"-33.669495,-70.556229")</f>
        <v>-33.669495,-70.556229</v>
      </c>
      <c r="C7288" s="6" t="str">
        <f ca="1">IFERROR(__xludf.DUMMYFUNCTION("""COMPUTED_VALUE"""),"P.MANUEL V. GOMEZ 2682")</f>
        <v>P.MANUEL V. GOMEZ 2682</v>
      </c>
      <c r="D7288" s="6" t="str">
        <f ca="1">IFERROR(__xludf.DUMMYFUNCTION("""COMPUTED_VALUE"""),"PIRQUE")</f>
        <v>PIRQUE</v>
      </c>
    </row>
    <row r="7289" spans="1:4">
      <c r="A7289" s="7">
        <f ca="1">IFERROR(__xludf.DUMMYFUNCTION("""COMPUTED_VALUE"""),44637)</f>
        <v>44637</v>
      </c>
      <c r="B7289" s="8" t="str">
        <f ca="1">IFERROR(__xludf.DUMMYFUNCTION("""COMPUTED_VALUE"""),"-33.190764,-70.673613")</f>
        <v>-33.190764,-70.673613</v>
      </c>
      <c r="C7289" s="6" t="str">
        <f ca="1">IFERROR(__xludf.DUMMYFUNCTION("""COMPUTED_VALUE"""),"PJE. ISTITOR 0187")</f>
        <v>PJE. ISTITOR 0187</v>
      </c>
      <c r="D7289" s="6" t="str">
        <f ca="1">IFERROR(__xludf.DUMMYFUNCTION("""COMPUTED_VALUE"""),"COLINA")</f>
        <v>COLINA</v>
      </c>
    </row>
    <row r="7290" spans="1:4">
      <c r="A7290" s="7">
        <f ca="1">IFERROR(__xludf.DUMMYFUNCTION("""COMPUTED_VALUE"""),44637)</f>
        <v>44637</v>
      </c>
      <c r="B7290" s="6" t="str">
        <f ca="1">IFERROR(__xludf.DUMMYFUNCTION("""COMPUTED_VALUE"""),"-33.913746,-71.443251")</f>
        <v>-33.913746,-71.443251</v>
      </c>
      <c r="C7290" s="6" t="str">
        <f ca="1">IFERROR(__xludf.DUMMYFUNCTION("""COMPUTED_VALUE"""),"CA UNO 2")</f>
        <v>CA UNO 2</v>
      </c>
      <c r="D7290" s="6" t="str">
        <f ca="1">IFERROR(__xludf.DUMMYFUNCTION("""COMPUTED_VALUE"""),"SAN PEDRO")</f>
        <v>SAN PEDRO</v>
      </c>
    </row>
    <row r="7291" spans="1:4">
      <c r="A7291" s="7">
        <f ca="1">IFERROR(__xludf.DUMMYFUNCTION("""COMPUTED_VALUE"""),44637)</f>
        <v>44637</v>
      </c>
      <c r="B7291" s="6" t="str">
        <f ca="1">IFERROR(__xludf.DUMMYFUNCTION("""COMPUTED_VALUE"""),"-33.749176,-70.914776")</f>
        <v>-33.749176,-70.914776</v>
      </c>
      <c r="C7291" s="6" t="str">
        <f ca="1">IFERROR(__xludf.DUMMYFUNCTION("""COMPUTED_VALUE"""),"AVENIDA SANTELICES 1943 ")</f>
        <v xml:space="preserve">AVENIDA SANTELICES 1943 </v>
      </c>
      <c r="D7291" s="6" t="str">
        <f ca="1">IFERROR(__xludf.DUMMYFUNCTION("""COMPUTED_VALUE"""),"ISLA DE MAIPO")</f>
        <v>ISLA DE MAIPO</v>
      </c>
    </row>
    <row r="7292" spans="1:4">
      <c r="A7292" s="7">
        <f ca="1">IFERROR(__xludf.DUMMYFUNCTION("""COMPUTED_VALUE"""),44637)</f>
        <v>44637</v>
      </c>
      <c r="B7292" s="8" t="str">
        <f ca="1">IFERROR(__xludf.DUMMYFUNCTION("""COMPUTED_VALUE"""),"-33.587950,-70.756804")</f>
        <v>-33.587950,-70.756804</v>
      </c>
      <c r="C7292" s="6" t="str">
        <f ca="1">IFERROR(__xludf.DUMMYFUNCTION("""COMPUTED_VALUE"""),"LO ERMITA PARCELA 8")</f>
        <v>LO ERMITA PARCELA 8</v>
      </c>
      <c r="D7292" s="6" t="str">
        <f ca="1">IFERROR(__xludf.DUMMYFUNCTION("""COMPUTED_VALUE"""),"CALERA DE TANGO")</f>
        <v>CALERA DE TANGO</v>
      </c>
    </row>
    <row r="7293" spans="1:4">
      <c r="A7293" s="7">
        <f ca="1">IFERROR(__xludf.DUMMYFUNCTION("""COMPUTED_VALUE"""),44637)</f>
        <v>44637</v>
      </c>
      <c r="B7293" s="8" t="str">
        <f ca="1">IFERROR(__xludf.DUMMYFUNCTION("""COMPUTED_VALUE"""),"-33.587950,-70.756804")</f>
        <v>-33.587950,-70.756804</v>
      </c>
      <c r="C7293" s="6" t="str">
        <f ca="1">IFERROR(__xludf.DUMMYFUNCTION("""COMPUTED_VALUE"""),"LO ERMITA PARCELA 8")</f>
        <v>LO ERMITA PARCELA 8</v>
      </c>
      <c r="D7293" s="6" t="str">
        <f ca="1">IFERROR(__xludf.DUMMYFUNCTION("""COMPUTED_VALUE"""),"CALERA DE TANGO")</f>
        <v>CALERA DE TANGO</v>
      </c>
    </row>
    <row r="7294" spans="1:4">
      <c r="A7294" s="7">
        <f ca="1">IFERROR(__xludf.DUMMYFUNCTION("""COMPUTED_VALUE"""),44637)</f>
        <v>44637</v>
      </c>
      <c r="B7294" s="6" t="str">
        <f ca="1">IFERROR(__xludf.DUMMYFUNCTION("""COMPUTED_VALUE"""),"-33.867261,-70.748947")</f>
        <v>-33.867261,-70.748947</v>
      </c>
      <c r="C7294" s="6" t="str">
        <f ca="1">IFERROR(__xludf.DUMMYFUNCTION("""COMPUTED_VALUE"""),"PASAJE SAUCE 2")</f>
        <v>PASAJE SAUCE 2</v>
      </c>
      <c r="D7294" s="6" t="str">
        <f ca="1">IFERROR(__xludf.DUMMYFUNCTION("""COMPUTED_VALUE"""),"PAINE")</f>
        <v>PAINE</v>
      </c>
    </row>
    <row r="7295" spans="1:4">
      <c r="A7295" s="7">
        <f ca="1">IFERROR(__xludf.DUMMYFUNCTION("""COMPUTED_VALUE"""),44637)</f>
        <v>44637</v>
      </c>
      <c r="B7295" s="6" t="str">
        <f ca="1">IFERROR(__xludf.DUMMYFUNCTION("""COMPUTED_VALUE"""),"-33.705867,-70.557778")</f>
        <v>-33.705867,-70.557778</v>
      </c>
      <c r="C7295" s="6" t="str">
        <f ca="1">IFERROR(__xludf.DUMMYFUNCTION("""COMPUTED_VALUE"""),"LOS AROMOS 622")</f>
        <v>LOS AROMOS 622</v>
      </c>
      <c r="D7295" s="6" t="str">
        <f ca="1">IFERROR(__xludf.DUMMYFUNCTION("""COMPUTED_VALUE"""),"PIRQUE")</f>
        <v>PIRQUE</v>
      </c>
    </row>
    <row r="7296" spans="1:4">
      <c r="A7296" s="7">
        <f ca="1">IFERROR(__xludf.DUMMYFUNCTION("""COMPUTED_VALUE"""),44637)</f>
        <v>44637</v>
      </c>
      <c r="B7296" s="6" t="str">
        <f ca="1">IFERROR(__xludf.DUMMYFUNCTION("""COMPUTED_VALUE"""),"-33.629018,-70.575515")</f>
        <v>-33.629018,-70.575515</v>
      </c>
      <c r="C7296" s="6" t="str">
        <f ca="1">IFERROR(__xludf.DUMMYFUNCTION("""COMPUTED_VALUE"""),"EMILIANA SUBERCASEAUX 133")</f>
        <v>EMILIANA SUBERCASEAUX 133</v>
      </c>
      <c r="D7296" s="6" t="str">
        <f ca="1">IFERROR(__xludf.DUMMYFUNCTION("""COMPUTED_VALUE"""),"PIRQUE")</f>
        <v>PIRQUE</v>
      </c>
    </row>
    <row r="7297" spans="1:4">
      <c r="A7297" s="7">
        <f ca="1">IFERROR(__xludf.DUMMYFUNCTION("""COMPUTED_VALUE"""),44637)</f>
        <v>44637</v>
      </c>
      <c r="B7297" s="6" t="str">
        <f ca="1">IFERROR(__xludf.DUMMYFUNCTION("""COMPUTED_VALUE"""),"-33.797581,-70.681402")</f>
        <v>-33.797581,-70.681402</v>
      </c>
      <c r="C7297" s="6" t="str">
        <f ca="1">IFERROR(__xludf.DUMMYFUNCTION("""COMPUTED_VALUE"""),"Calle 24 de  Abril 92")</f>
        <v>Calle 24 de  Abril 92</v>
      </c>
      <c r="D7297" s="6" t="str">
        <f ca="1">IFERROR(__xludf.DUMMYFUNCTION("""COMPUTED_VALUE"""),"PAINE")</f>
        <v>PAINE</v>
      </c>
    </row>
    <row r="7298" spans="1:4">
      <c r="A7298" s="7">
        <f ca="1">IFERROR(__xludf.DUMMYFUNCTION("""COMPUTED_VALUE"""),44637)</f>
        <v>44637</v>
      </c>
      <c r="B7298" s="6" t="str">
        <f ca="1">IFERROR(__xludf.DUMMYFUNCTION("""COMPUTED_VALUE"""),"-33.862803,-70.750654")</f>
        <v>-33.862803,-70.750654</v>
      </c>
      <c r="C7298" s="6" t="str">
        <f ca="1">IFERROR(__xludf.DUMMYFUNCTION("""COMPUTED_VALUE"""),"KENNEDY 94")</f>
        <v>KENNEDY 94</v>
      </c>
      <c r="D7298" s="6" t="str">
        <f ca="1">IFERROR(__xludf.DUMMYFUNCTION("""COMPUTED_VALUE"""),"PAINE")</f>
        <v>PAINE</v>
      </c>
    </row>
    <row r="7299" spans="1:4">
      <c r="A7299" s="7">
        <f ca="1">IFERROR(__xludf.DUMMYFUNCTION("""COMPUTED_VALUE"""),44637)</f>
        <v>44637</v>
      </c>
      <c r="B7299" s="6" t="str">
        <f ca="1">IFERROR(__xludf.DUMMYFUNCTION("""COMPUTED_VALUE"""),"-33.834725,-70.645938")</f>
        <v>-33.834725,-70.645938</v>
      </c>
      <c r="C7299" s="6" t="str">
        <f ca="1">IFERROR(__xludf.DUMMYFUNCTION("""COMPUTED_VALUE"""),"JAIME ATRIA 7032")</f>
        <v>JAIME ATRIA 7032</v>
      </c>
      <c r="D7299" s="6" t="str">
        <f ca="1">IFERROR(__xludf.DUMMYFUNCTION("""COMPUTED_VALUE"""),"PAINE")</f>
        <v>PAINE</v>
      </c>
    </row>
    <row r="7300" spans="1:4">
      <c r="A7300" s="7">
        <f ca="1">IFERROR(__xludf.DUMMYFUNCTION("""COMPUTED_VALUE"""),44637)</f>
        <v>44637</v>
      </c>
      <c r="B7300" s="6" t="str">
        <f ca="1">IFERROR(__xludf.DUMMYFUNCTION("""COMPUTED_VALUE"""),"-33.804321,-70.715746")</f>
        <v>-33.804321,-70.715746</v>
      </c>
      <c r="C7300" s="6" t="str">
        <f ca="1">IFERROR(__xludf.DUMMYFUNCTION("""COMPUTED_VALUE"""),"PASAJE SEIS N°2031")</f>
        <v>PASAJE SEIS N°2031</v>
      </c>
      <c r="D7300" s="6" t="str">
        <f ca="1">IFERROR(__xludf.DUMMYFUNCTION("""COMPUTED_VALUE"""),"PAINE")</f>
        <v>PAINE</v>
      </c>
    </row>
    <row r="7301" spans="1:4">
      <c r="A7301" s="7">
        <f ca="1">IFERROR(__xludf.DUMMYFUNCTION("""COMPUTED_VALUE"""),44637)</f>
        <v>44637</v>
      </c>
      <c r="B7301" s="6" t="str">
        <f ca="1">IFERROR(__xludf.DUMMYFUNCTION("""COMPUTED_VALUE"""),"-33.804909,-70.715640")</f>
        <v>-33.804909,-70.715640</v>
      </c>
      <c r="C7301" s="6" t="str">
        <f ca="1">IFERROR(__xludf.DUMMYFUNCTION("""COMPUTED_VALUE"""),"PASAJE SIETE N°2060")</f>
        <v>PASAJE SIETE N°2060</v>
      </c>
      <c r="D7301" s="6" t="str">
        <f ca="1">IFERROR(__xludf.DUMMYFUNCTION("""COMPUTED_VALUE"""),"PAINE")</f>
        <v>PAINE</v>
      </c>
    </row>
    <row r="7302" spans="1:4">
      <c r="A7302" s="7">
        <f ca="1">IFERROR(__xludf.DUMMYFUNCTION("""COMPUTED_VALUE"""),44638)</f>
        <v>44638</v>
      </c>
      <c r="B7302" s="8" t="str">
        <f ca="1">IFERROR(__xludf.DUMMYFUNCTION("""COMPUTED_VALUE"""),"-33.8329862, -70.7684705")</f>
        <v>-33.8329862, -70.7684705</v>
      </c>
      <c r="C7302" s="6" t="str">
        <f ca="1">IFERROR(__xludf.DUMMYFUNCTION("""COMPUTED_VALUE"""),"COL DE PAINE 58")</f>
        <v>COL DE PAINE 58</v>
      </c>
      <c r="D7302" s="6" t="str">
        <f ca="1">IFERROR(__xludf.DUMMYFUNCTION("""COMPUTED_VALUE"""),"PAINE")</f>
        <v>PAINE</v>
      </c>
    </row>
    <row r="7303" spans="1:4">
      <c r="A7303" s="7">
        <f ca="1">IFERROR(__xludf.DUMMYFUNCTION("""COMPUTED_VALUE"""),44638)</f>
        <v>44638</v>
      </c>
      <c r="B7303" s="8" t="str">
        <f ca="1">IFERROR(__xludf.DUMMYFUNCTION("""COMPUTED_VALUE"""),"-33.8329862, -70.7684705")</f>
        <v>-33.8329862, -70.7684705</v>
      </c>
      <c r="C7303" s="6" t="str">
        <f ca="1">IFERROR(__xludf.DUMMYFUNCTION("""COMPUTED_VALUE"""),"COL DE PAINE 58")</f>
        <v>COL DE PAINE 58</v>
      </c>
      <c r="D7303" s="6" t="str">
        <f ca="1">IFERROR(__xludf.DUMMYFUNCTION("""COMPUTED_VALUE"""),"PAINE")</f>
        <v>PAINE</v>
      </c>
    </row>
    <row r="7304" spans="1:4">
      <c r="A7304" s="7">
        <f ca="1">IFERROR(__xludf.DUMMYFUNCTION("""COMPUTED_VALUE"""),44638)</f>
        <v>44638</v>
      </c>
      <c r="B7304" s="6" t="str">
        <f ca="1">IFERROR(__xludf.DUMMYFUNCTION("""COMPUTED_VALUE"""),"-33.845712-70.765021")</f>
        <v>-33.845712-70.765021</v>
      </c>
      <c r="C7304" s="6" t="str">
        <f ca="1">IFERROR(__xludf.DUMMYFUNCTION("""COMPUTED_VALUE"""),"LAS CAMELIAS 21")</f>
        <v>LAS CAMELIAS 21</v>
      </c>
      <c r="D7304" s="6" t="str">
        <f ca="1">IFERROR(__xludf.DUMMYFUNCTION("""COMPUTED_VALUE"""),"PAINE")</f>
        <v>PAINE</v>
      </c>
    </row>
    <row r="7305" spans="1:4">
      <c r="A7305" s="7">
        <f ca="1">IFERROR(__xludf.DUMMYFUNCTION("""COMPUTED_VALUE"""),44638)</f>
        <v>44638</v>
      </c>
      <c r="B7305" s="6" t="str">
        <f ca="1">IFERROR(__xludf.DUMMYFUNCTION("""COMPUTED_VALUE"""),"-33.787441-70.2352777")</f>
        <v>-33.787441-70.2352777</v>
      </c>
      <c r="C7305" s="6" t="str">
        <f ca="1">IFERROR(__xludf.DUMMYFUNCTION("""COMPUTED_VALUE"""),"LOS RODADOS 1227")</f>
        <v>LOS RODADOS 1227</v>
      </c>
      <c r="D7305" s="6" t="str">
        <f ca="1">IFERROR(__xludf.DUMMYFUNCTION("""COMPUTED_VALUE"""),"SAN JOSE DE MAIPO")</f>
        <v>SAN JOSE DE MAIPO</v>
      </c>
    </row>
    <row r="7306" spans="1:4">
      <c r="A7306" s="7">
        <f ca="1">IFERROR(__xludf.DUMMYFUNCTION("""COMPUTED_VALUE"""),44638)</f>
        <v>44638</v>
      </c>
      <c r="B7306" s="6" t="str">
        <f ca="1">IFERROR(__xludf.DUMMYFUNCTION("""COMPUTED_VALUE"""),"-33.6365272-70.3544871")</f>
        <v>-33.6365272-70.3544871</v>
      </c>
      <c r="C7306" s="6" t="str">
        <f ca="1">IFERROR(__xludf.DUMMYFUNCTION("""COMPUTED_VALUE"""),"CHACARILLA 2 ")</f>
        <v xml:space="preserve">CHACARILLA 2 </v>
      </c>
      <c r="D7306" s="6" t="str">
        <f ca="1">IFERROR(__xludf.DUMMYFUNCTION("""COMPUTED_VALUE"""),"SAN JOSE DE MAIPO")</f>
        <v>SAN JOSE DE MAIPO</v>
      </c>
    </row>
    <row r="7307" spans="1:4">
      <c r="A7307" s="7">
        <f ca="1">IFERROR(__xludf.DUMMYFUNCTION("""COMPUTED_VALUE"""),44638)</f>
        <v>44638</v>
      </c>
      <c r="B7307" s="6" t="str">
        <f ca="1">IFERROR(__xludf.DUMMYFUNCTION("""COMPUTED_VALUE"""),"-33.5871773-70.391169")</f>
        <v>-33.5871773-70.391169</v>
      </c>
      <c r="C7307" s="6" t="str">
        <f ca="1">IFERROR(__xludf.DUMMYFUNCTION("""COMPUTED_VALUE"""),"CAMINO AL VOLCAN 11423")</f>
        <v>CAMINO AL VOLCAN 11423</v>
      </c>
      <c r="D7307" s="6" t="str">
        <f ca="1">IFERROR(__xludf.DUMMYFUNCTION("""COMPUTED_VALUE"""),"SAN JOSE DE MAIPO")</f>
        <v>SAN JOSE DE MAIPO</v>
      </c>
    </row>
    <row r="7308" spans="1:4">
      <c r="A7308" s="7">
        <f ca="1">IFERROR(__xludf.DUMMYFUNCTION("""COMPUTED_VALUE"""),44638)</f>
        <v>44638</v>
      </c>
      <c r="B7308" s="8" t="str">
        <f ca="1">IFERROR(__xludf.DUMMYFUNCTION("""COMPUTED_VALUE"""),"-33.218508,-70.680205")</f>
        <v>-33.218508,-70.680205</v>
      </c>
      <c r="C7308" s="6" t="str">
        <f ca="1">IFERROR(__xludf.DUMMYFUNCTION("""COMPUTED_VALUE"""),"DEL ESTERO SUR 118Z-29")</f>
        <v>DEL ESTERO SUR 118Z-29</v>
      </c>
      <c r="D7308" s="6" t="str">
        <f ca="1">IFERROR(__xludf.DUMMYFUNCTION("""COMPUTED_VALUE"""),"COLINA")</f>
        <v>COLINA</v>
      </c>
    </row>
    <row r="7309" spans="1:4">
      <c r="A7309" s="7">
        <f ca="1">IFERROR(__xludf.DUMMYFUNCTION("""COMPUTED_VALUE"""),44638)</f>
        <v>44638</v>
      </c>
      <c r="B7309" s="6" t="str">
        <f ca="1">IFERROR(__xludf.DUMMYFUNCTION("""COMPUTED_VALUE"""),"-33.749313,-70.914920")</f>
        <v>-33.749313,-70.914920</v>
      </c>
      <c r="C7309" s="6" t="str">
        <f ca="1">IFERROR(__xludf.DUMMYFUNCTION("""COMPUTED_VALUE"""),"AV SANTELICES 1943")</f>
        <v>AV SANTELICES 1943</v>
      </c>
      <c r="D7309" s="6" t="str">
        <f ca="1">IFERROR(__xludf.DUMMYFUNCTION("""COMPUTED_VALUE"""),"ISLA DE MAIPO")</f>
        <v>ISLA DE MAIPO</v>
      </c>
    </row>
    <row r="7310" spans="1:4">
      <c r="A7310" s="7">
        <f ca="1">IFERROR(__xludf.DUMMYFUNCTION("""COMPUTED_VALUE"""),44638)</f>
        <v>44638</v>
      </c>
      <c r="B7310" s="6" t="str">
        <f ca="1">IFERROR(__xludf.DUMMYFUNCTION("""COMPUTED_VALUE"""),"-33.522957,-71.169362")</f>
        <v>-33.522957,-71.169362</v>
      </c>
      <c r="C7310" s="6" t="str">
        <f ca="1">IFERROR(__xludf.DUMMYFUNCTION("""COMPUTED_VALUE"""),"BARACALDO 11 PC-11 FAMILIA  GUMERA BARACALDO")</f>
        <v>BARACALDO 11 PC-11 FAMILIA  GUMERA BARACALDO</v>
      </c>
      <c r="D7310" s="6" t="str">
        <f ca="1">IFERROR(__xludf.DUMMYFUNCTION("""COMPUTED_VALUE"""),"MARIA PINTO")</f>
        <v>MARIA PINTO</v>
      </c>
    </row>
    <row r="7311" spans="1:4">
      <c r="A7311" s="7">
        <f ca="1">IFERROR(__xludf.DUMMYFUNCTION("""COMPUTED_VALUE"""),44638)</f>
        <v>44638</v>
      </c>
      <c r="B7311" s="6" t="str">
        <f ca="1">IFERROR(__xludf.DUMMYFUNCTION("""COMPUTED_VALUE"""),"-33.861400,-70.753036")</f>
        <v>-33.861400,-70.753036</v>
      </c>
      <c r="C7311" s="6" t="str">
        <f ca="1">IFERROR(__xludf.DUMMYFUNCTION("""COMPUTED_VALUE"""),"LOS ALAMOS 109")</f>
        <v>LOS ALAMOS 109</v>
      </c>
      <c r="D7311" s="6" t="str">
        <f ca="1">IFERROR(__xludf.DUMMYFUNCTION("""COMPUTED_VALUE"""),"PAINE")</f>
        <v>PAINE</v>
      </c>
    </row>
    <row r="7312" spans="1:4">
      <c r="A7312" s="7">
        <f ca="1">IFERROR(__xludf.DUMMYFUNCTION("""COMPUTED_VALUE"""),44638)</f>
        <v>44638</v>
      </c>
      <c r="B7312" s="6" t="str">
        <f ca="1">IFERROR(__xludf.DUMMYFUNCTION("""COMPUTED_VALUE"""),"-33.806685,-70.738810")</f>
        <v>-33.806685,-70.738810</v>
      </c>
      <c r="C7312" s="6" t="str">
        <f ca="1">IFERROR(__xludf.DUMMYFUNCTION("""COMPUTED_VALUE"""),"PJE. SAN BARTOLOME 23")</f>
        <v>PJE. SAN BARTOLOME 23</v>
      </c>
      <c r="D7312" s="6" t="str">
        <f ca="1">IFERROR(__xludf.DUMMYFUNCTION("""COMPUTED_VALUE"""),"PAINE")</f>
        <v>PAINE</v>
      </c>
    </row>
    <row r="7313" spans="1:4">
      <c r="A7313" s="7">
        <f ca="1">IFERROR(__xludf.DUMMYFUNCTION("""COMPUTED_VALUE"""),44638)</f>
        <v>44638</v>
      </c>
      <c r="B7313" s="6" t="str">
        <f ca="1">IFERROR(__xludf.DUMMYFUNCTION("""COMPUTED_VALUE"""),"-33.865413,-70.749445")</f>
        <v>-33.865413,-70.749445</v>
      </c>
      <c r="C7313" s="6" t="str">
        <f ca="1">IFERROR(__xludf.DUMMYFUNCTION("""COMPUTED_VALUE"""),"EL CAÑAMO 19")</f>
        <v>EL CAÑAMO 19</v>
      </c>
      <c r="D7313" s="6" t="str">
        <f ca="1">IFERROR(__xludf.DUMMYFUNCTION("""COMPUTED_VALUE"""),"PAINE")</f>
        <v>PAINE</v>
      </c>
    </row>
    <row r="7314" spans="1:4">
      <c r="A7314" s="7">
        <f ca="1">IFERROR(__xludf.DUMMYFUNCTION("""COMPUTED_VALUE"""),44638)</f>
        <v>44638</v>
      </c>
      <c r="B7314" s="6" t="str">
        <f ca="1">IFERROR(__xludf.DUMMYFUNCTION("""COMPUTED_VALUE"""),"-33.819636,-70.738874")</f>
        <v>-33.819636,-70.738874</v>
      </c>
      <c r="C7314" s="6" t="str">
        <f ca="1">IFERROR(__xludf.DUMMYFUNCTION("""COMPUTED_VALUE"""),"BRASIL 1522")</f>
        <v>BRASIL 1522</v>
      </c>
      <c r="D7314" s="6" t="str">
        <f ca="1">IFERROR(__xludf.DUMMYFUNCTION("""COMPUTED_VALUE"""),"PAINE")</f>
        <v>PAINE</v>
      </c>
    </row>
    <row r="7315" spans="1:4">
      <c r="A7315" s="7">
        <f ca="1">IFERROR(__xludf.DUMMYFUNCTION("""COMPUTED_VALUE"""),44638)</f>
        <v>44638</v>
      </c>
      <c r="B7315" s="6" t="str">
        <f ca="1">IFERROR(__xludf.DUMMYFUNCTION("""COMPUTED_VALUE"""),"-33.837757,-70.751936")</f>
        <v>-33.837757,-70.751936</v>
      </c>
      <c r="C7315" s="6" t="str">
        <f ca="1">IFERROR(__xludf.DUMMYFUNCTION("""COMPUTED_VALUE"""),"COLONIAS DE PAINE 78")</f>
        <v>COLONIAS DE PAINE 78</v>
      </c>
      <c r="D7315" s="6" t="str">
        <f ca="1">IFERROR(__xludf.DUMMYFUNCTION("""COMPUTED_VALUE"""),"PAINE")</f>
        <v>PAINE</v>
      </c>
    </row>
    <row r="7316" spans="1:4">
      <c r="A7316" s="7">
        <f ca="1">IFERROR(__xludf.DUMMYFUNCTION("""COMPUTED_VALUE"""),44638)</f>
        <v>44638</v>
      </c>
      <c r="B7316" s="6" t="str">
        <f ca="1">IFERROR(__xludf.DUMMYFUNCTION("""COMPUTED_VALUE"""),"-33.6349197,-70.7581269")</f>
        <v>-33.6349197,-70.7581269</v>
      </c>
      <c r="C7316" s="6" t="str">
        <f ca="1">IFERROR(__xludf.DUMMYFUNCTION("""COMPUTED_VALUE"""),"CANELA 243")</f>
        <v>CANELA 243</v>
      </c>
      <c r="D7316" s="6" t="str">
        <f ca="1">IFERROR(__xludf.DUMMYFUNCTION("""COMPUTED_VALUE"""),"CALERA DE TANGO")</f>
        <v>CALERA DE TANGO</v>
      </c>
    </row>
    <row r="7317" spans="1:4">
      <c r="A7317" s="7">
        <f ca="1">IFERROR(__xludf.DUMMYFUNCTION("""COMPUTED_VALUE"""),44638)</f>
        <v>44638</v>
      </c>
      <c r="B7317" s="6" t="str">
        <f ca="1">IFERROR(__xludf.DUMMYFUNCTION("""COMPUTED_VALUE"""),"-33.6317117,-70.7661003")</f>
        <v>-33.6317117,-70.7661003</v>
      </c>
      <c r="C7317" s="6" t="str">
        <f ca="1">IFERROR(__xludf.DUMMYFUNCTION("""COMPUTED_VALUE"""),"EL VIÑEDO 261")</f>
        <v>EL VIÑEDO 261</v>
      </c>
      <c r="D7317" s="6" t="str">
        <f ca="1">IFERROR(__xludf.DUMMYFUNCTION("""COMPUTED_VALUE"""),"CALERA DE TANGO")</f>
        <v>CALERA DE TANGO</v>
      </c>
    </row>
    <row r="7318" spans="1:4">
      <c r="A7318" s="7">
        <f ca="1">IFERROR(__xludf.DUMMYFUNCTION("""COMPUTED_VALUE"""),44639)</f>
        <v>44639</v>
      </c>
      <c r="B7318" s="6" t="str">
        <f ca="1">IFERROR(__xludf.DUMMYFUNCTION("""COMPUTED_VALUE"""),"-33.378411-71.104311")</f>
        <v>-33.378411-71.104311</v>
      </c>
      <c r="C7318" s="6" t="str">
        <f ca="1">IFERROR(__xludf.DUMMYFUNCTION("""COMPUTED_VALUE"""),"FUNDO CUYUNCAVI S/N LOTE 61")</f>
        <v>FUNDO CUYUNCAVI S/N LOTE 61</v>
      </c>
      <c r="D7318" s="6" t="str">
        <f ca="1">IFERROR(__xludf.DUMMYFUNCTION("""COMPUTED_VALUE"""),"CURACAVI")</f>
        <v>CURACAVI</v>
      </c>
    </row>
    <row r="7319" spans="1:4">
      <c r="A7319" s="7">
        <f ca="1">IFERROR(__xludf.DUMMYFUNCTION("""COMPUTED_VALUE"""),44639)</f>
        <v>44639</v>
      </c>
      <c r="B7319" s="6" t="str">
        <f ca="1">IFERROR(__xludf.DUMMYFUNCTION("""COMPUTED_VALUE"""),"-33.398730-71.121629")</f>
        <v>-33.398730-71.121629</v>
      </c>
      <c r="C7319" s="6" t="str">
        <f ca="1">IFERROR(__xludf.DUMMYFUNCTION("""COMPUTED_VALUE"""),"LOS ALERCES 327")</f>
        <v>LOS ALERCES 327</v>
      </c>
      <c r="D7319" s="6" t="str">
        <f ca="1">IFERROR(__xludf.DUMMYFUNCTION("""COMPUTED_VALUE"""),"CURACAVI")</f>
        <v>CURACAVI</v>
      </c>
    </row>
    <row r="7320" spans="1:4">
      <c r="A7320" s="7">
        <f ca="1">IFERROR(__xludf.DUMMYFUNCTION("""COMPUTED_VALUE"""),44639)</f>
        <v>44639</v>
      </c>
      <c r="B7320" s="6" t="str">
        <f ca="1">IFERROR(__xludf.DUMMYFUNCTION("""COMPUTED_VALUE"""),"-33.393365-71.123578")</f>
        <v>-33.393365-71.123578</v>
      </c>
      <c r="C7320" s="6" t="str">
        <f ca="1">IFERROR(__xludf.DUMMYFUNCTION("""COMPUTED_VALUE"""),"MANUEL DE SALAS 2162")</f>
        <v>MANUEL DE SALAS 2162</v>
      </c>
      <c r="D7320" s="6" t="str">
        <f ca="1">IFERROR(__xludf.DUMMYFUNCTION("""COMPUTED_VALUE"""),"CURACAVI")</f>
        <v>CURACAVI</v>
      </c>
    </row>
    <row r="7321" spans="1:4">
      <c r="A7321" s="7">
        <f ca="1">IFERROR(__xludf.DUMMYFUNCTION("""COMPUTED_VALUE"""),44639)</f>
        <v>44639</v>
      </c>
      <c r="B7321" s="8" t="str">
        <f ca="1">IFERROR(__xludf.DUMMYFUNCTION("""COMPUTED_VALUE"""),"-33.214862,-70.682800")</f>
        <v>-33.214862,-70.682800</v>
      </c>
      <c r="C7321" s="6" t="str">
        <f ca="1">IFERROR(__xludf.DUMMYFUNCTION("""COMPUTED_VALUE"""),"LAS CABAÑAS 73")</f>
        <v>LAS CABAÑAS 73</v>
      </c>
      <c r="D7321" s="6" t="str">
        <f ca="1">IFERROR(__xludf.DUMMYFUNCTION("""COMPUTED_VALUE"""),"COLINA")</f>
        <v>COLINA</v>
      </c>
    </row>
    <row r="7322" spans="1:4">
      <c r="A7322" s="7">
        <f ca="1">IFERROR(__xludf.DUMMYFUNCTION("""COMPUTED_VALUE"""),44639)</f>
        <v>44639</v>
      </c>
      <c r="B7322" s="8" t="str">
        <f ca="1">IFERROR(__xludf.DUMMYFUNCTION("""COMPUTED_VALUE"""),"-33.180634,-70.661144")</f>
        <v>-33.180634,-70.661144</v>
      </c>
      <c r="C7322" s="6" t="str">
        <f ca="1">IFERROR(__xludf.DUMMYFUNCTION("""COMPUTED_VALUE"""),"LIDIA MUÑOZ 1200")</f>
        <v>LIDIA MUÑOZ 1200</v>
      </c>
      <c r="D7322" s="6" t="str">
        <f ca="1">IFERROR(__xludf.DUMMYFUNCTION("""COMPUTED_VALUE"""),"COLINA")</f>
        <v>COLINA</v>
      </c>
    </row>
    <row r="7323" spans="1:4">
      <c r="A7323" s="7">
        <f ca="1">IFERROR(__xludf.DUMMYFUNCTION("""COMPUTED_VALUE"""),44639)</f>
        <v>44639</v>
      </c>
      <c r="B7323" s="8" t="str">
        <f ca="1">IFERROR(__xludf.DUMMYFUNCTION("""COMPUTED_VALUE"""),"-33.195491,-70.6845")</f>
        <v>-33.195491,-70.6845</v>
      </c>
      <c r="C7323" s="6" t="str">
        <f ca="1">IFERROR(__xludf.DUMMYFUNCTION("""COMPUTED_VALUE"""),"PROYECTANA B 710")</f>
        <v>PROYECTANA B 710</v>
      </c>
      <c r="D7323" s="6" t="str">
        <f ca="1">IFERROR(__xludf.DUMMYFUNCTION("""COMPUTED_VALUE"""),"COLINA")</f>
        <v>COLINA</v>
      </c>
    </row>
    <row r="7324" spans="1:4">
      <c r="A7324" s="7">
        <f ca="1">IFERROR(__xludf.DUMMYFUNCTION("""COMPUTED_VALUE"""),44639)</f>
        <v>44639</v>
      </c>
      <c r="B7324" s="8" t="str">
        <f ca="1">IFERROR(__xludf.DUMMYFUNCTION("""COMPUTED_VALUE"""),"-33.706985,-70.562263")</f>
        <v>-33.706985,-70.562263</v>
      </c>
      <c r="C7324" s="6" t="str">
        <f ca="1">IFERROR(__xludf.DUMMYFUNCTION("""COMPUTED_VALUE"""),"EL PRINCIPAL 35 SITIO D")</f>
        <v>EL PRINCIPAL 35 SITIO D</v>
      </c>
      <c r="D7324" s="6" t="str">
        <f ca="1">IFERROR(__xludf.DUMMYFUNCTION("""COMPUTED_VALUE"""),"PIRQUE")</f>
        <v>PIRQUE</v>
      </c>
    </row>
    <row r="7325" spans="1:4">
      <c r="A7325" s="7">
        <f ca="1">IFERROR(__xludf.DUMMYFUNCTION("""COMPUTED_VALUE"""),44639)</f>
        <v>44639</v>
      </c>
      <c r="B7325" s="6" t="str">
        <f ca="1">IFERROR(__xludf.DUMMYFUNCTION("""COMPUTED_VALUE"""),"-33.607689,-70.851875")</f>
        <v>-33.607689,-70.851875</v>
      </c>
      <c r="C7325" s="6" t="str">
        <f ca="1">IFERROR(__xludf.DUMMYFUNCTION("""COMPUTED_VALUE"""),"GABRIELA MISTRAL 336")</f>
        <v>GABRIELA MISTRAL 336</v>
      </c>
      <c r="D7325" s="6" t="str">
        <f ca="1">IFERROR(__xludf.DUMMYFUNCTION("""COMPUTED_VALUE"""),"PEÑAFLOR")</f>
        <v>PEÑAFLOR</v>
      </c>
    </row>
    <row r="7326" spans="1:4">
      <c r="A7326" s="7">
        <f ca="1">IFERROR(__xludf.DUMMYFUNCTION("""COMPUTED_VALUE"""),44639)</f>
        <v>44639</v>
      </c>
      <c r="B7326" s="6" t="str">
        <f ca="1">IFERROR(__xludf.DUMMYFUNCTION("""COMPUTED_VALUE"""),"-33.748894,-70.914759")</f>
        <v>-33.748894,-70.914759</v>
      </c>
      <c r="C7326" s="6" t="str">
        <f ca="1">IFERROR(__xludf.DUMMYFUNCTION("""COMPUTED_VALUE"""),"AVDA SANTELICES 1943 LOTE 4")</f>
        <v>AVDA SANTELICES 1943 LOTE 4</v>
      </c>
      <c r="D7326" s="6" t="str">
        <f ca="1">IFERROR(__xludf.DUMMYFUNCTION("""COMPUTED_VALUE"""),"ISLA DE MAIPO")</f>
        <v>ISLA DE MAIPO</v>
      </c>
    </row>
    <row r="7327" spans="1:4">
      <c r="A7327" s="7">
        <f ca="1">IFERROR(__xludf.DUMMYFUNCTION("""COMPUTED_VALUE"""),44639)</f>
        <v>44639</v>
      </c>
      <c r="B7327" s="6" t="str">
        <f ca="1">IFERROR(__xludf.DUMMYFUNCTION("""COMPUTED_VALUE"""),"-33.847811,-70.765975")</f>
        <v>-33.847811,-70.765975</v>
      </c>
      <c r="C7327" s="6" t="str">
        <f ca="1">IFERROR(__xludf.DUMMYFUNCTION("""COMPUTED_VALUE"""),"LAS CAMELIAS 13")</f>
        <v>LAS CAMELIAS 13</v>
      </c>
      <c r="D7327" s="6" t="str">
        <f ca="1">IFERROR(__xludf.DUMMYFUNCTION("""COMPUTED_VALUE"""),"PAINE")</f>
        <v>PAINE</v>
      </c>
    </row>
    <row r="7328" spans="1:4">
      <c r="A7328" s="7">
        <f ca="1">IFERROR(__xludf.DUMMYFUNCTION("""COMPUTED_VALUE"""),44639)</f>
        <v>44639</v>
      </c>
      <c r="B7328" s="6" t="str">
        <f ca="1">IFERROR(__xludf.DUMMYFUNCTION("""COMPUTED_VALUE"""),"-33.847610,-70.765700")</f>
        <v>-33.847610,-70.765700</v>
      </c>
      <c r="C7328" s="6" t="str">
        <f ca="1">IFERROR(__xludf.DUMMYFUNCTION("""COMPUTED_VALUE"""),"LAS CAMELIAS 13")</f>
        <v>LAS CAMELIAS 13</v>
      </c>
      <c r="D7328" s="6" t="str">
        <f ca="1">IFERROR(__xludf.DUMMYFUNCTION("""COMPUTED_VALUE"""),"PAINE")</f>
        <v>PAINE</v>
      </c>
    </row>
    <row r="7329" spans="1:4">
      <c r="A7329" s="7">
        <f ca="1">IFERROR(__xludf.DUMMYFUNCTION("""COMPUTED_VALUE"""),44639)</f>
        <v>44639</v>
      </c>
      <c r="B7329" s="6" t="str">
        <f ca="1">IFERROR(__xludf.DUMMYFUNCTION("""COMPUTED_VALUE"""),"-33.2830196,-70.8443121")</f>
        <v>-33.2830196,-70.8443121</v>
      </c>
      <c r="C7329" s="6" t="str">
        <f ca="1">IFERROR(__xludf.DUMMYFUNCTION("""COMPUTED_VALUE"""),"SN LOTE 6A")</f>
        <v>SN LOTE 6A</v>
      </c>
      <c r="D7329" s="6" t="str">
        <f ca="1">IFERROR(__xludf.DUMMYFUNCTION("""COMPUTED_VALUE"""),"LAMPA")</f>
        <v>LAMPA</v>
      </c>
    </row>
    <row r="7330" spans="1:4">
      <c r="A7330" s="7">
        <f ca="1">IFERROR(__xludf.DUMMYFUNCTION("""COMPUTED_VALUE"""),44639)</f>
        <v>44639</v>
      </c>
      <c r="B7330" s="6" t="str">
        <f ca="1">IFERROR(__xludf.DUMMYFUNCTION("""COMPUTED_VALUE"""),"-33.3745283,-71.0863941")</f>
        <v>-33.3745283,-71.0863941</v>
      </c>
      <c r="C7330" s="6" t="str">
        <f ca="1">IFERROR(__xludf.DUMMYFUNCTION("""COMPUTED_VALUE"""),"HIGUERAS SEGUNDA P214")</f>
        <v>HIGUERAS SEGUNDA P214</v>
      </c>
      <c r="D7330" s="6" t="str">
        <f ca="1">IFERROR(__xludf.DUMMYFUNCTION("""COMPUTED_VALUE"""),"CURACAVI")</f>
        <v>CURACAVI</v>
      </c>
    </row>
    <row r="7331" spans="1:4">
      <c r="A7331" s="7">
        <f ca="1">IFERROR(__xludf.DUMMYFUNCTION("""COMPUTED_VALUE"""),44640)</f>
        <v>44640</v>
      </c>
      <c r="B7331" s="6" t="str">
        <f ca="1">IFERROR(__xludf.DUMMYFUNCTION("""COMPUTED_VALUE"""),"-33.550477-70.672305")</f>
        <v>-33.550477-70.672305</v>
      </c>
      <c r="C7331" s="6" t="str">
        <f ca="1">IFERROR(__xludf.DUMMYFUNCTION("""COMPUTED_VALUE"""),"SITIO 64 MANZANA 5")</f>
        <v>SITIO 64 MANZANA 5</v>
      </c>
      <c r="D7331" s="6" t="str">
        <f ca="1">IFERROR(__xludf.DUMMYFUNCTION("""COMPUTED_VALUE"""),"PADRE HURTADO")</f>
        <v>PADRE HURTADO</v>
      </c>
    </row>
    <row r="7332" spans="1:4">
      <c r="A7332" s="7">
        <f ca="1">IFERROR(__xludf.DUMMYFUNCTION("""COMPUTED_VALUE"""),44641)</f>
        <v>44641</v>
      </c>
      <c r="B7332" s="8" t="str">
        <f ca="1">IFERROR(__xludf.DUMMYFUNCTION("""COMPUTED_VALUE"""),"33736094-70912645")</f>
        <v>33736094-70912645</v>
      </c>
      <c r="C7332" s="6" t="str">
        <f ca="1">IFERROR(__xludf.DUMMYFUNCTION("""COMPUTED_VALUE"""),"JAIME GUZMAN 2263,")</f>
        <v>JAIME GUZMAN 2263,</v>
      </c>
      <c r="D7332" s="6" t="str">
        <f ca="1">IFERROR(__xludf.DUMMYFUNCTION("""COMPUTED_VALUE"""),"ISLA DE MAIPO")</f>
        <v>ISLA DE MAIPO</v>
      </c>
    </row>
    <row r="7333" spans="1:4">
      <c r="A7333" s="7">
        <f ca="1">IFERROR(__xludf.DUMMYFUNCTION("""COMPUTED_VALUE"""),44641)</f>
        <v>44641</v>
      </c>
      <c r="B7333" s="8" t="str">
        <f ca="1">IFERROR(__xludf.DUMMYFUNCTION("""COMPUTED_VALUE"""),"33736094-70912645")</f>
        <v>33736094-70912645</v>
      </c>
      <c r="C7333" s="6" t="str">
        <f ca="1">IFERROR(__xludf.DUMMYFUNCTION("""COMPUTED_VALUE"""),"JOSE RIVERA 729")</f>
        <v>JOSE RIVERA 729</v>
      </c>
      <c r="D7333" s="6" t="str">
        <f ca="1">IFERROR(__xludf.DUMMYFUNCTION("""COMPUTED_VALUE"""),"PEÑAFLOR")</f>
        <v>PEÑAFLOR</v>
      </c>
    </row>
    <row r="7334" spans="1:4">
      <c r="A7334" s="7">
        <f ca="1">IFERROR(__xludf.DUMMYFUNCTION("""COMPUTED_VALUE"""),44641)</f>
        <v>44641</v>
      </c>
      <c r="B7334" s="8" t="str">
        <f ca="1">IFERROR(__xludf.DUMMYFUNCTION("""COMPUTED_VALUE"""),"33911204-70655709")</f>
        <v>33911204-70655709</v>
      </c>
      <c r="C7334" s="6" t="str">
        <f ca="1">IFERROR(__xludf.DUMMYFUNCTION("""COMPUTED_VALUE"""),"INTERIOR CHADA PARCELA 34 LOTE A")</f>
        <v>INTERIOR CHADA PARCELA 34 LOTE A</v>
      </c>
      <c r="D7334" s="6" t="str">
        <f ca="1">IFERROR(__xludf.DUMMYFUNCTION("""COMPUTED_VALUE"""),"PAINE")</f>
        <v>PAINE</v>
      </c>
    </row>
    <row r="7335" spans="1:4">
      <c r="A7335" s="7">
        <f ca="1">IFERROR(__xludf.DUMMYFUNCTION("""COMPUTED_VALUE"""),44641)</f>
        <v>44641</v>
      </c>
      <c r="B7335" s="6" t="str">
        <f ca="1">IFERROR(__xludf.DUMMYFUNCTION("""COMPUTED_VALUE"""),"-33.60496-70.866610")</f>
        <v>-33.60496-70.866610</v>
      </c>
      <c r="C7335" s="6" t="str">
        <f ca="1">IFERROR(__xludf.DUMMYFUNCTION("""COMPUTED_VALUE"""),"EL PUYARAL 542")</f>
        <v>EL PUYARAL 542</v>
      </c>
      <c r="D7335" s="6" t="str">
        <f ca="1">IFERROR(__xludf.DUMMYFUNCTION("""COMPUTED_VALUE"""),"PEÑAFLOR")</f>
        <v>PEÑAFLOR</v>
      </c>
    </row>
    <row r="7336" spans="1:4">
      <c r="A7336" s="7">
        <f ca="1">IFERROR(__xludf.DUMMYFUNCTION("""COMPUTED_VALUE"""),44641)</f>
        <v>44641</v>
      </c>
      <c r="B7336" s="6" t="str">
        <f ca="1">IFERROR(__xludf.DUMMYFUNCTION("""COMPUTED_VALUE"""),"-33.675635-70.99372")</f>
        <v>-33.675635-70.99372</v>
      </c>
      <c r="C7336" s="6" t="str">
        <f ca="1">IFERROR(__xludf.DUMMYFUNCTION("""COMPUTED_VALUE"""),"LUIS MARIN GARCIA 347")</f>
        <v>LUIS MARIN GARCIA 347</v>
      </c>
      <c r="D7336" s="6" t="str">
        <f ca="1">IFERROR(__xludf.DUMMYFUNCTION("""COMPUTED_VALUE"""),"EL MONTE")</f>
        <v>EL MONTE</v>
      </c>
    </row>
    <row r="7337" spans="1:4">
      <c r="A7337" s="7">
        <f ca="1">IFERROR(__xludf.DUMMYFUNCTION("""COMPUTED_VALUE"""),44641)</f>
        <v>44641</v>
      </c>
      <c r="B7337" s="8" t="str">
        <f ca="1">IFERROR(__xludf.DUMMYFUNCTION("""COMPUTED_VALUE"""),"-33.706964,-70.562465")</f>
        <v>-33.706964,-70.562465</v>
      </c>
      <c r="C7337" s="6" t="str">
        <f ca="1">IFERROR(__xludf.DUMMYFUNCTION("""COMPUTED_VALUE"""),"CALLE NUEVA 35-A")</f>
        <v>CALLE NUEVA 35-A</v>
      </c>
      <c r="D7337" s="6" t="str">
        <f ca="1">IFERROR(__xludf.DUMMYFUNCTION("""COMPUTED_VALUE"""),"PIRQUE")</f>
        <v>PIRQUE</v>
      </c>
    </row>
    <row r="7338" spans="1:4">
      <c r="A7338" s="7">
        <f ca="1">IFERROR(__xludf.DUMMYFUNCTION("""COMPUTED_VALUE"""),44641)</f>
        <v>44641</v>
      </c>
      <c r="B7338" s="8" t="str">
        <f ca="1">IFERROR(__xludf.DUMMYFUNCTION("""COMPUTED_VALUE"""),"-33.729204,-70.537643")</f>
        <v>-33.729204,-70.537643</v>
      </c>
      <c r="C7338" s="6" t="str">
        <f ca="1">IFERROR(__xludf.DUMMYFUNCTION("""COMPUTED_VALUE"""),"LA ESCUELA 85")</f>
        <v>LA ESCUELA 85</v>
      </c>
      <c r="D7338" s="6" t="str">
        <f ca="1">IFERROR(__xludf.DUMMYFUNCTION("""COMPUTED_VALUE"""),"PIRQUE")</f>
        <v>PIRQUE</v>
      </c>
    </row>
    <row r="7339" spans="1:4">
      <c r="A7339" s="7">
        <f ca="1">IFERROR(__xludf.DUMMYFUNCTION("""COMPUTED_VALUE"""),44641)</f>
        <v>44641</v>
      </c>
      <c r="B7339" s="8" t="str">
        <f ca="1">IFERROR(__xludf.DUMMYFUNCTION("""COMPUTED_VALUE"""),"-33.7058069,-70.5693740")</f>
        <v>-33.7058069,-70.5693740</v>
      </c>
      <c r="C7339" s="6" t="str">
        <f ca="1">IFERROR(__xludf.DUMMYFUNCTION("""COMPUTED_VALUE"""),"EL PRINCIPAL 41")</f>
        <v>EL PRINCIPAL 41</v>
      </c>
      <c r="D7339" s="6" t="str">
        <f ca="1">IFERROR(__xludf.DUMMYFUNCTION("""COMPUTED_VALUE"""),"PIRQUE")</f>
        <v>PIRQUE</v>
      </c>
    </row>
    <row r="7340" spans="1:4">
      <c r="A7340" s="7">
        <f ca="1">IFERROR(__xludf.DUMMYFUNCTION("""COMPUTED_VALUE"""),44641)</f>
        <v>44641</v>
      </c>
      <c r="B7340" s="6" t="str">
        <f ca="1">IFERROR(__xludf.DUMMYFUNCTION("""COMPUTED_VALUE"""),"-33.866514,-70.852047")</f>
        <v>-33.866514,-70.852047</v>
      </c>
      <c r="C7340" s="6" t="str">
        <f ca="1">IFERROR(__xludf.DUMMYFUNCTION("""COMPUTED_VALUE"""),"HUITICALAN S/N EL MANZANITO ST -8 LT -3")</f>
        <v>HUITICALAN S/N EL MANZANITO ST -8 LT -3</v>
      </c>
      <c r="D7340" s="6" t="str">
        <f ca="1">IFERROR(__xludf.DUMMYFUNCTION("""COMPUTED_VALUE"""),"PAINE")</f>
        <v>PAINE</v>
      </c>
    </row>
    <row r="7341" spans="1:4">
      <c r="A7341" s="7">
        <f ca="1">IFERROR(__xludf.DUMMYFUNCTION("""COMPUTED_VALUE"""),44641)</f>
        <v>44641</v>
      </c>
      <c r="B7341" s="6" t="str">
        <f ca="1">IFERROR(__xludf.DUMMYFUNCTION("""COMPUTED_VALUE"""),"-33.795528,-70.679627")</f>
        <v>-33.795528,-70.679627</v>
      </c>
      <c r="C7341" s="6" t="str">
        <f ca="1">IFERROR(__xludf.DUMMYFUNCTION("""COMPUTED_VALUE"""),"SIN CALLE S/N PARC EL TRANSITO 92-2 SECTOR 24 ABRIL")</f>
        <v>SIN CALLE S/N PARC EL TRANSITO 92-2 SECTOR 24 ABRIL</v>
      </c>
      <c r="D7341" s="6" t="str">
        <f ca="1">IFERROR(__xludf.DUMMYFUNCTION("""COMPUTED_VALUE"""),"PAINE")</f>
        <v>PAINE</v>
      </c>
    </row>
    <row r="7342" spans="1:4">
      <c r="A7342" s="7">
        <f ca="1">IFERROR(__xludf.DUMMYFUNCTION("""COMPUTED_VALUE"""),44641)</f>
        <v>44641</v>
      </c>
      <c r="B7342" s="6" t="str">
        <f ca="1">IFERROR(__xludf.DUMMYFUNCTION("""COMPUTED_VALUE"""),"-33.242224,-70.771253")</f>
        <v>-33.242224,-70.771253</v>
      </c>
      <c r="C7342" s="6" t="str">
        <f ca="1">IFERROR(__xludf.DUMMYFUNCTION("""COMPUTED_VALUE"""),"SANTA SARA S/N HIJ 10 LOTE A")</f>
        <v>SANTA SARA S/N HIJ 10 LOTE A</v>
      </c>
      <c r="D7342" s="6" t="str">
        <f ca="1">IFERROR(__xludf.DUMMYFUNCTION("""COMPUTED_VALUE"""),"LAMPA")</f>
        <v>LAMPA</v>
      </c>
    </row>
    <row r="7343" spans="1:4">
      <c r="A7343" s="7">
        <f ca="1">IFERROR(__xludf.DUMMYFUNCTION("""COMPUTED_VALUE"""),44641)</f>
        <v>44641</v>
      </c>
      <c r="B7343" s="8" t="str">
        <f ca="1">IFERROR(__xludf.DUMMYFUNCTION("""COMPUTED_VALUE"""),"-33.771000,-71.199235")</f>
        <v>-33.771000,-71.199235</v>
      </c>
      <c r="C7343" s="6" t="str">
        <f ca="1">IFERROR(__xludf.DUMMYFUNCTION("""COMPUTED_VALUE"""),"PARCELA NUMERO 30 PABELLON ")</f>
        <v xml:space="preserve">PARCELA NUMERO 30 PABELLON </v>
      </c>
      <c r="D7343" s="6" t="str">
        <f ca="1">IFERROR(__xludf.DUMMYFUNCTION("""COMPUTED_VALUE"""),"MELIPILLA")</f>
        <v>MELIPILLA</v>
      </c>
    </row>
    <row r="7344" spans="1:4">
      <c r="A7344" s="7">
        <f ca="1">IFERROR(__xludf.DUMMYFUNCTION("""COMPUTED_VALUE"""),44641)</f>
        <v>44641</v>
      </c>
      <c r="B7344" s="8" t="str">
        <f ca="1">IFERROR(__xludf.DUMMYFUNCTION("""COMPUTED_VALUE"""),"-33.751300,-71.164276")</f>
        <v>-33.751300,-71.164276</v>
      </c>
      <c r="C7344" s="6" t="str">
        <f ca="1">IFERROR(__xludf.DUMMYFUNCTION("""COMPUTED_VALUE"""),"PRCELA 31 CARMEN BAJO ")</f>
        <v xml:space="preserve">PRCELA 31 CARMEN BAJO </v>
      </c>
      <c r="D7344" s="6" t="str">
        <f ca="1">IFERROR(__xludf.DUMMYFUNCTION("""COMPUTED_VALUE"""),"MELIPILLA")</f>
        <v>MELIPILLA</v>
      </c>
    </row>
    <row r="7345" spans="1:4">
      <c r="A7345" s="7">
        <f ca="1">IFERROR(__xludf.DUMMYFUNCTION("""COMPUTED_VALUE"""),44641)</f>
        <v>44641</v>
      </c>
      <c r="B7345" s="6" t="str">
        <f ca="1">IFERROR(__xludf.DUMMYFUNCTION("""COMPUTED_VALUE"""),"-33.878359,-70.878972")</f>
        <v>-33.878359,-70.878972</v>
      </c>
      <c r="C7345" s="6" t="str">
        <f ca="1">IFERROR(__xludf.DUMMYFUNCTION("""COMPUTED_VALUE"""),"LA GRUTA 39 PINTUE")</f>
        <v>LA GRUTA 39 PINTUE</v>
      </c>
      <c r="D7345" s="6" t="str">
        <f ca="1">IFERROR(__xludf.DUMMYFUNCTION("""COMPUTED_VALUE"""),"PAINE")</f>
        <v>PAINE</v>
      </c>
    </row>
    <row r="7346" spans="1:4">
      <c r="A7346" s="7">
        <f ca="1">IFERROR(__xludf.DUMMYFUNCTION("""COMPUTED_VALUE"""),44641)</f>
        <v>44641</v>
      </c>
      <c r="B7346" s="6" t="str">
        <f ca="1">IFERROR(__xludf.DUMMYFUNCTION("""COMPUTED_VALUE"""),"-33.821465,-70.767962")</f>
        <v>-33.821465,-70.767962</v>
      </c>
      <c r="C7346" s="6" t="str">
        <f ca="1">IFERROR(__xludf.DUMMYFUNCTION("""COMPUTED_VALUE"""),"LA COLONIA 20 DE PAINE")</f>
        <v>LA COLONIA 20 DE PAINE</v>
      </c>
      <c r="D7346" s="6" t="str">
        <f ca="1">IFERROR(__xludf.DUMMYFUNCTION("""COMPUTED_VALUE"""),"PAINE")</f>
        <v>PAINE</v>
      </c>
    </row>
    <row r="7347" spans="1:4">
      <c r="A7347" s="7">
        <f ca="1">IFERROR(__xludf.DUMMYFUNCTION("""COMPUTED_VALUE"""),44641)</f>
        <v>44641</v>
      </c>
      <c r="B7347" s="6" t="str">
        <f ca="1">IFERROR(__xludf.DUMMYFUNCTION("""COMPUTED_VALUE"""),"-33.735631,-70.568094")</f>
        <v>-33.735631,-70.568094</v>
      </c>
      <c r="C7347" s="6" t="str">
        <f ca="1">IFERROR(__xludf.DUMMYFUNCTION("""COMPUTED_VALUE"""),"LOS QUILLAYES 1180")</f>
        <v>LOS QUILLAYES 1180</v>
      </c>
      <c r="D7347" s="6" t="str">
        <f ca="1">IFERROR(__xludf.DUMMYFUNCTION("""COMPUTED_VALUE"""),"PIRQUE")</f>
        <v>PIRQUE</v>
      </c>
    </row>
    <row r="7348" spans="1:4">
      <c r="A7348" s="7">
        <f ca="1">IFERROR(__xludf.DUMMYFUNCTION("""COMPUTED_VALUE"""),44641)</f>
        <v>44641</v>
      </c>
      <c r="B7348" s="6" t="str">
        <f ca="1">IFERROR(__xludf.DUMMYFUNCTION("""COMPUTED_VALUE"""),"-33.735854,-70.568175")</f>
        <v>-33.735854,-70.568175</v>
      </c>
      <c r="C7348" s="6" t="str">
        <f ca="1">IFERROR(__xludf.DUMMYFUNCTION("""COMPUTED_VALUE"""),"LOS QUILLAYES 1180")</f>
        <v>LOS QUILLAYES 1180</v>
      </c>
      <c r="D7348" s="6" t="str">
        <f ca="1">IFERROR(__xludf.DUMMYFUNCTION("""COMPUTED_VALUE"""),"PIRQUE")</f>
        <v>PIRQUE</v>
      </c>
    </row>
    <row r="7349" spans="1:4">
      <c r="A7349" s="7">
        <f ca="1">IFERROR(__xludf.DUMMYFUNCTION("""COMPUTED_VALUE"""),44642)</f>
        <v>44642</v>
      </c>
      <c r="B7349" s="8" t="str">
        <f ca="1">IFERROR(__xludf.DUMMYFUNCTION("""COMPUTED_VALUE"""),"33833155-70650112")</f>
        <v>33833155-70650112</v>
      </c>
      <c r="C7349" s="6" t="str">
        <f ca="1">IFERROR(__xludf.DUMMYFUNCTION("""COMPUTED_VALUE"""),"MAITENES SITIO 8")</f>
        <v>MAITENES SITIO 8</v>
      </c>
      <c r="D7349" s="6" t="str">
        <f ca="1">IFERROR(__xludf.DUMMYFUNCTION("""COMPUTED_VALUE"""),"PAINE")</f>
        <v>PAINE</v>
      </c>
    </row>
    <row r="7350" spans="1:4">
      <c r="A7350" s="7">
        <f ca="1">IFERROR(__xludf.DUMMYFUNCTION("""COMPUTED_VALUE"""),44642)</f>
        <v>44642</v>
      </c>
      <c r="B7350" s="8" t="str">
        <f ca="1">IFERROR(__xludf.DUMMYFUNCTION("""COMPUTED_VALUE"""),"33848503-70643403")</f>
        <v>33848503-70643403</v>
      </c>
      <c r="C7350" s="6" t="str">
        <f ca="1">IFERROR(__xludf.DUMMYFUNCTION("""COMPUTED_VALUE"""),"CARDONAL SITIO 10,")</f>
        <v>CARDONAL SITIO 10,</v>
      </c>
      <c r="D7350" s="6" t="str">
        <f ca="1">IFERROR(__xludf.DUMMYFUNCTION("""COMPUTED_VALUE"""),"PAINE")</f>
        <v>PAINE</v>
      </c>
    </row>
    <row r="7351" spans="1:4">
      <c r="A7351" s="7">
        <f ca="1">IFERROR(__xludf.DUMMYFUNCTION("""COMPUTED_VALUE"""),44642)</f>
        <v>44642</v>
      </c>
      <c r="B7351" s="8" t="str">
        <f ca="1">IFERROR(__xludf.DUMMYFUNCTION("""COMPUTED_VALUE"""),"33827232-70643007")</f>
        <v>33827232-70643007</v>
      </c>
      <c r="C7351" s="6" t="str">
        <f ca="1">IFERROR(__xludf.DUMMYFUNCTION("""COMPUTED_VALUE"""),"CAMINO PADRE HURTADO PARCELA 1")</f>
        <v>CAMINO PADRE HURTADO PARCELA 1</v>
      </c>
      <c r="D7351" s="6" t="str">
        <f ca="1">IFERROR(__xludf.DUMMYFUNCTION("""COMPUTED_VALUE"""),"PAINE")</f>
        <v>PAINE</v>
      </c>
    </row>
    <row r="7352" spans="1:4">
      <c r="A7352" s="7">
        <f ca="1">IFERROR(__xludf.DUMMYFUNCTION("""COMPUTED_VALUE"""),44642)</f>
        <v>44642</v>
      </c>
      <c r="B7352" s="8" t="str">
        <f ca="1">IFERROR(__xludf.DUMMYFUNCTION("""COMPUTED_VALUE"""),"33735872-70912429")</f>
        <v>33735872-70912429</v>
      </c>
      <c r="C7352" s="6" t="str">
        <f ca="1">IFERROR(__xludf.DUMMYFUNCTION("""COMPUTED_VALUE"""),"JOSE RIVERA 729,")</f>
        <v>JOSE RIVERA 729,</v>
      </c>
      <c r="D7352" s="6" t="str">
        <f ca="1">IFERROR(__xludf.DUMMYFUNCTION("""COMPUTED_VALUE"""),"ISLA DE MAIPO")</f>
        <v>ISLA DE MAIPO</v>
      </c>
    </row>
    <row r="7353" spans="1:4">
      <c r="A7353" s="7">
        <f ca="1">IFERROR(__xludf.DUMMYFUNCTION("""COMPUTED_VALUE"""),44642)</f>
        <v>44642</v>
      </c>
      <c r="B7353" s="6" t="str">
        <f ca="1">IFERROR(__xludf.DUMMYFUNCTION("""COMPUTED_VALUE"""),"-33.712415-70.562480")</f>
        <v>-33.712415-70.562480</v>
      </c>
      <c r="C7353" s="6" t="str">
        <f ca="1">IFERROR(__xludf.DUMMYFUNCTION("""COMPUTED_VALUE"""),"LOTE 18 A")</f>
        <v>LOTE 18 A</v>
      </c>
      <c r="D7353" s="6" t="str">
        <f ca="1">IFERROR(__xludf.DUMMYFUNCTION("""COMPUTED_VALUE"""),"PIRQUE")</f>
        <v>PIRQUE</v>
      </c>
    </row>
    <row r="7354" spans="1:4">
      <c r="A7354" s="7">
        <f ca="1">IFERROR(__xludf.DUMMYFUNCTION("""COMPUTED_VALUE"""),44642)</f>
        <v>44642</v>
      </c>
      <c r="B7354" s="6" t="str">
        <f ca="1">IFERROR(__xludf.DUMMYFUNCTION("""COMPUTED_VALUE"""),"-33.70482-70.56408")</f>
        <v>-33.70482-70.56408</v>
      </c>
      <c r="C7354" s="6" t="str">
        <f ca="1">IFERROR(__xludf.DUMMYFUNCTION("""COMPUTED_VALUE"""),"CAMINO EL PRINCIPAL 24")</f>
        <v>CAMINO EL PRINCIPAL 24</v>
      </c>
      <c r="D7354" s="6" t="str">
        <f ca="1">IFERROR(__xludf.DUMMYFUNCTION("""COMPUTED_VALUE"""),"PIRQUE")</f>
        <v>PIRQUE</v>
      </c>
    </row>
    <row r="7355" spans="1:4">
      <c r="A7355" s="7">
        <f ca="1">IFERROR(__xludf.DUMMYFUNCTION("""COMPUTED_VALUE"""),44642)</f>
        <v>44642</v>
      </c>
      <c r="B7355" s="6" t="str">
        <f ca="1">IFERROR(__xludf.DUMMYFUNCTION("""COMPUTED_VALUE"""),"-33.658315-70.58564")</f>
        <v>-33.658315-70.58564</v>
      </c>
      <c r="C7355" s="6" t="str">
        <f ca="1">IFERROR(__xludf.DUMMYFUNCTION("""COMPUTED_VALUE"""),"ALCALDE HERNAN PRIETO 24")</f>
        <v>ALCALDE HERNAN PRIETO 24</v>
      </c>
      <c r="D7355" s="6" t="str">
        <f ca="1">IFERROR(__xludf.DUMMYFUNCTION("""COMPUTED_VALUE"""),"PIRQUE")</f>
        <v>PIRQUE</v>
      </c>
    </row>
    <row r="7356" spans="1:4">
      <c r="A7356" s="7">
        <f ca="1">IFERROR(__xludf.DUMMYFUNCTION("""COMPUTED_VALUE"""),44642)</f>
        <v>44642</v>
      </c>
      <c r="B7356" s="6" t="str">
        <f ca="1">IFERROR(__xludf.DUMMYFUNCTION("""COMPUTED_VALUE"""),"-33.53987-70.35065")</f>
        <v>-33.53987-70.35065</v>
      </c>
      <c r="C7356" s="6" t="str">
        <f ca="1">IFERROR(__xludf.DUMMYFUNCTION("""COMPUTED_VALUE"""),"COMERCIO S/N")</f>
        <v>COMERCIO S/N</v>
      </c>
      <c r="D7356" s="6" t="str">
        <f ca="1">IFERROR(__xludf.DUMMYFUNCTION("""COMPUTED_VALUE"""),"SAN JOSE DE MAIPO")</f>
        <v>SAN JOSE DE MAIPO</v>
      </c>
    </row>
    <row r="7357" spans="1:4">
      <c r="A7357" s="7">
        <f ca="1">IFERROR(__xludf.DUMMYFUNCTION("""COMPUTED_VALUE"""),44642)</f>
        <v>44642</v>
      </c>
      <c r="B7357" s="6" t="str">
        <f ca="1">IFERROR(__xludf.DUMMYFUNCTION("""COMPUTED_VALUE"""),"-33.63104-70.35041")</f>
        <v>-33.63104-70.35041</v>
      </c>
      <c r="C7357" s="6" t="str">
        <f ca="1">IFERROR(__xludf.DUMMYFUNCTION("""COMPUTED_VALUE"""),"COMERCIO S/N")</f>
        <v>COMERCIO S/N</v>
      </c>
      <c r="D7357" s="6" t="str">
        <f ca="1">IFERROR(__xludf.DUMMYFUNCTION("""COMPUTED_VALUE"""),"SAN JOSE DE MAIPO")</f>
        <v>SAN JOSE DE MAIPO</v>
      </c>
    </row>
    <row r="7358" spans="1:4">
      <c r="A7358" s="7">
        <f ca="1">IFERROR(__xludf.DUMMYFUNCTION("""COMPUTED_VALUE"""),44642)</f>
        <v>44642</v>
      </c>
      <c r="B7358" s="6" t="str">
        <f ca="1">IFERROR(__xludf.DUMMYFUNCTION("""COMPUTED_VALUE"""),"-33.594039-70.811517")</f>
        <v>-33.594039-70.811517</v>
      </c>
      <c r="C7358" s="6" t="str">
        <f ca="1">IFERROR(__xludf.DUMMYFUNCTION("""COMPUTED_VALUE"""),"LAS ARALIAS 500")</f>
        <v>LAS ARALIAS 500</v>
      </c>
      <c r="D7358" s="6" t="str">
        <f ca="1">IFERROR(__xludf.DUMMYFUNCTION("""COMPUTED_VALUE"""),"PADRE HURTADO")</f>
        <v>PADRE HURTADO</v>
      </c>
    </row>
    <row r="7359" spans="1:4">
      <c r="A7359" s="7">
        <f ca="1">IFERROR(__xludf.DUMMYFUNCTION("""COMPUTED_VALUE"""),44642)</f>
        <v>44642</v>
      </c>
      <c r="B7359" s="8" t="str">
        <f ca="1">IFERROR(__xludf.DUMMYFUNCTION("""COMPUTED_VALUE"""),"-33.382898,-70.677527")</f>
        <v>-33.382898,-70.677527</v>
      </c>
      <c r="C7359" s="6" t="str">
        <f ca="1">IFERROR(__xludf.DUMMYFUNCTION("""COMPUTED_VALUE"""),"ALCALDE HERNAN PRIETO 10-B")</f>
        <v>ALCALDE HERNAN PRIETO 10-B</v>
      </c>
      <c r="D7359" s="6" t="str">
        <f ca="1">IFERROR(__xludf.DUMMYFUNCTION("""COMPUTED_VALUE"""),"PIRQUE")</f>
        <v>PIRQUE</v>
      </c>
    </row>
    <row r="7360" spans="1:4">
      <c r="A7360" s="7">
        <f ca="1">IFERROR(__xludf.DUMMYFUNCTION("""COMPUTED_VALUE"""),44642)</f>
        <v>44642</v>
      </c>
      <c r="B7360" s="8" t="str">
        <f ca="1">IFERROR(__xludf.DUMMYFUNCTION("""COMPUTED_VALUE"""),"-33.396833,-71.28959")</f>
        <v>-33.396833,-71.28959</v>
      </c>
      <c r="C7360" s="6" t="str">
        <f ca="1">IFERROR(__xludf.DUMMYFUNCTION("""COMPUTED_VALUE"""),"FELLEMBERG 1889")</f>
        <v>FELLEMBERG 1889</v>
      </c>
      <c r="D7360" s="6" t="str">
        <f ca="1">IFERROR(__xludf.DUMMYFUNCTION("""COMPUTED_VALUE"""),"CURACAVI")</f>
        <v>CURACAVI</v>
      </c>
    </row>
    <row r="7361" spans="1:4">
      <c r="A7361" s="7">
        <f ca="1">IFERROR(__xludf.DUMMYFUNCTION("""COMPUTED_VALUE"""),44642)</f>
        <v>44642</v>
      </c>
      <c r="B7361" s="8" t="str">
        <f ca="1">IFERROR(__xludf.DUMMYFUNCTION("""COMPUTED_VALUE"""),"-33.721525,-70.551411")</f>
        <v>-33.721525,-70.551411</v>
      </c>
      <c r="C7361" s="6" t="str">
        <f ca="1">IFERROR(__xludf.DUMMYFUNCTION("""COMPUTED_VALUE"""),"LOS CORRALES C106")</f>
        <v>LOS CORRALES C106</v>
      </c>
      <c r="D7361" s="6" t="str">
        <f ca="1">IFERROR(__xludf.DUMMYFUNCTION("""COMPUTED_VALUE"""),"PIRQUE")</f>
        <v>PIRQUE</v>
      </c>
    </row>
    <row r="7362" spans="1:4">
      <c r="A7362" s="7">
        <f ca="1">IFERROR(__xludf.DUMMYFUNCTION("""COMPUTED_VALUE"""),44642)</f>
        <v>44642</v>
      </c>
      <c r="B7362" s="8" t="str">
        <f ca="1">IFERROR(__xludf.DUMMYFUNCTION("""COMPUTED_VALUE"""),"-33.660605,-70.929776")</f>
        <v>-33.660605,-70.929776</v>
      </c>
      <c r="C7362" s="6" t="str">
        <f ca="1">IFERROR(__xludf.DUMMYFUNCTION("""COMPUTED_VALUE"""),"DOMINGO TORO HERRERA 1016")</f>
        <v>DOMINGO TORO HERRERA 1016</v>
      </c>
      <c r="D7362" s="6" t="str">
        <f ca="1">IFERROR(__xludf.DUMMYFUNCTION("""COMPUTED_VALUE"""),"TALAGANTE")</f>
        <v>TALAGANTE</v>
      </c>
    </row>
    <row r="7363" spans="1:4">
      <c r="A7363" s="7">
        <f ca="1">IFERROR(__xludf.DUMMYFUNCTION("""COMPUTED_VALUE"""),44642)</f>
        <v>44642</v>
      </c>
      <c r="B7363" s="8" t="str">
        <f ca="1">IFERROR(__xludf.DUMMYFUNCTION("""COMPUTED_VALUE"""),"-33.707944,-70.542566")</f>
        <v>-33.707944,-70.542566</v>
      </c>
      <c r="C7363" s="6" t="str">
        <f ca="1">IFERROR(__xludf.DUMMYFUNCTION("""COMPUTED_VALUE"""),"ORIILA DEL RIO 60")</f>
        <v>ORIILA DEL RIO 60</v>
      </c>
      <c r="D7363" s="6" t="str">
        <f ca="1">IFERROR(__xludf.DUMMYFUNCTION("""COMPUTED_VALUE"""),"PIRQUE")</f>
        <v>PIRQUE</v>
      </c>
    </row>
    <row r="7364" spans="1:4">
      <c r="A7364" s="7">
        <f ca="1">IFERROR(__xludf.DUMMYFUNCTION("""COMPUTED_VALUE"""),44642)</f>
        <v>44642</v>
      </c>
      <c r="B7364" s="8" t="str">
        <f ca="1">IFERROR(__xludf.DUMMYFUNCTION("""COMPUTED_VALUE"""),"-33.705254,-70.550751")</f>
        <v>-33.705254,-70.550751</v>
      </c>
      <c r="C7364" s="6" t="str">
        <f ca="1">IFERROR(__xludf.DUMMYFUNCTION("""COMPUTED_VALUE"""),"ORILLA DEL RIO 147")</f>
        <v>ORILLA DEL RIO 147</v>
      </c>
      <c r="D7364" s="6" t="str">
        <f ca="1">IFERROR(__xludf.DUMMYFUNCTION("""COMPUTED_VALUE"""),"PIRQUE")</f>
        <v>PIRQUE</v>
      </c>
    </row>
    <row r="7365" spans="1:4">
      <c r="A7365" s="7">
        <f ca="1">IFERROR(__xludf.DUMMYFUNCTION("""COMPUTED_VALUE"""),44642)</f>
        <v>44642</v>
      </c>
      <c r="B7365" s="6" t="str">
        <f ca="1">IFERROR(__xludf.DUMMYFUNCTION("""COMPUTED_VALUE"""),"-33.899482,-71.450978")</f>
        <v>-33.899482,-71.450978</v>
      </c>
      <c r="C7365" s="6" t="str">
        <f ca="1">IFERROR(__xludf.DUMMYFUNCTION("""COMPUTED_VALUE"""),"CAMINO ACCESO  SAN PEDRO  S/N ")</f>
        <v xml:space="preserve">CAMINO ACCESO  SAN PEDRO  S/N </v>
      </c>
      <c r="D7365" s="6" t="str">
        <f ca="1">IFERROR(__xludf.DUMMYFUNCTION("""COMPUTED_VALUE"""),"SAN PEDRO")</f>
        <v>SAN PEDRO</v>
      </c>
    </row>
    <row r="7366" spans="1:4">
      <c r="A7366" s="7">
        <f ca="1">IFERROR(__xludf.DUMMYFUNCTION("""COMPUTED_VALUE"""),44642)</f>
        <v>44642</v>
      </c>
      <c r="B7366" s="6" t="str">
        <f ca="1">IFERROR(__xludf.DUMMYFUNCTION("""COMPUTED_VALUE"""),"-33.889629,-70.722392")</f>
        <v>-33.889629,-70.722392</v>
      </c>
      <c r="C7366" s="6" t="str">
        <f ca="1">IFERROR(__xludf.DUMMYFUNCTION("""COMPUTED_VALUE"""),"COLONIA KENNEDY PC 176")</f>
        <v>COLONIA KENNEDY PC 176</v>
      </c>
      <c r="D7366" s="6" t="str">
        <f ca="1">IFERROR(__xludf.DUMMYFUNCTION("""COMPUTED_VALUE"""),"PAINE")</f>
        <v>PAINE</v>
      </c>
    </row>
    <row r="7367" spans="1:4">
      <c r="A7367" s="7">
        <f ca="1">IFERROR(__xludf.DUMMYFUNCTION("""COMPUTED_VALUE"""),44642)</f>
        <v>44642</v>
      </c>
      <c r="B7367" s="8" t="str">
        <f ca="1">IFERROR(__xludf.DUMMYFUNCTION("""COMPUTED_VALUE"""),"-33.689551,-70.528245")</f>
        <v>-33.689551,-70.528245</v>
      </c>
      <c r="C7367" s="6" t="str">
        <f ca="1">IFERROR(__xludf.DUMMYFUNCTION("""COMPUTED_VALUE"""),"JOSE JULIO NIETO S/N")</f>
        <v>JOSE JULIO NIETO S/N</v>
      </c>
      <c r="D7367" s="6" t="str">
        <f ca="1">IFERROR(__xludf.DUMMYFUNCTION("""COMPUTED_VALUE"""),"PIRQUE")</f>
        <v>PIRQUE</v>
      </c>
    </row>
    <row r="7368" spans="1:4">
      <c r="A7368" s="7">
        <f ca="1">IFERROR(__xludf.DUMMYFUNCTION("""COMPUTED_VALUE"""),44642)</f>
        <v>44642</v>
      </c>
      <c r="B7368" s="8" t="str">
        <f ca="1">IFERROR(__xludf.DUMMYFUNCTION("""COMPUTED_VALUE"""),"-33.689551,-70.528245")</f>
        <v>-33.689551,-70.528245</v>
      </c>
      <c r="C7368" s="6" t="str">
        <f ca="1">IFERROR(__xludf.DUMMYFUNCTION("""COMPUTED_VALUE"""),"JOSE JULIO NIETO S/N")</f>
        <v>JOSE JULIO NIETO S/N</v>
      </c>
      <c r="D7368" s="6" t="str">
        <f ca="1">IFERROR(__xludf.DUMMYFUNCTION("""COMPUTED_VALUE"""),"PIRQUE")</f>
        <v>PIRQUE</v>
      </c>
    </row>
    <row r="7369" spans="1:4">
      <c r="A7369" s="7">
        <f ca="1">IFERROR(__xludf.DUMMYFUNCTION("""COMPUTED_VALUE"""),44642)</f>
        <v>44642</v>
      </c>
      <c r="B7369" s="8" t="str">
        <f ca="1">IFERROR(__xludf.DUMMYFUNCTION("""COMPUTED_VALUE"""),"-34.029762,-71.099379")</f>
        <v>-34.029762,-71.099379</v>
      </c>
      <c r="C7369" s="6" t="str">
        <f ca="1">IFERROR(__xludf.DUMMYFUNCTION("""COMPUTED_VALUE"""),"O""HIGGINS S/N")</f>
        <v>O"HIGGINS S/N</v>
      </c>
      <c r="D7369" s="6" t="str">
        <f ca="1">IFERROR(__xludf.DUMMYFUNCTION("""COMPUTED_VALUE"""),"ALHUÉ")</f>
        <v>ALHUÉ</v>
      </c>
    </row>
    <row r="7370" spans="1:4">
      <c r="A7370" s="7">
        <f ca="1">IFERROR(__xludf.DUMMYFUNCTION("""COMPUTED_VALUE"""),44642)</f>
        <v>44642</v>
      </c>
      <c r="B7370" s="8" t="str">
        <f ca="1">IFERROR(__xludf.DUMMYFUNCTION("""COMPUTED_VALUE"""),"-34.026517,-71.104327")</f>
        <v>-34.026517,-71.104327</v>
      </c>
      <c r="C7370" s="6" t="str">
        <f ca="1">IFERROR(__xludf.DUMMYFUNCTION("""COMPUTED_VALUE"""),"LOS NOGALES 319")</f>
        <v>LOS NOGALES 319</v>
      </c>
      <c r="D7370" s="6" t="str">
        <f ca="1">IFERROR(__xludf.DUMMYFUNCTION("""COMPUTED_VALUE"""),"ALHUÉ")</f>
        <v>ALHUÉ</v>
      </c>
    </row>
    <row r="7371" spans="1:4">
      <c r="A7371" s="7">
        <f ca="1">IFERROR(__xludf.DUMMYFUNCTION("""COMPUTED_VALUE"""),44642)</f>
        <v>44642</v>
      </c>
      <c r="B7371" s="6" t="str">
        <f ca="1">IFERROR(__xludf.DUMMYFUNCTION("""COMPUTED_VALUE"""),"-33.829424,-70.771870")</f>
        <v>-33.829424,-70.771870</v>
      </c>
      <c r="C7371" s="6" t="str">
        <f ca="1">IFERROR(__xludf.DUMMYFUNCTION("""COMPUTED_VALUE"""),"COLONIAS DE PAINE 68")</f>
        <v>COLONIAS DE PAINE 68</v>
      </c>
      <c r="D7371" s="6" t="str">
        <f ca="1">IFERROR(__xludf.DUMMYFUNCTION("""COMPUTED_VALUE"""),"PAINE")</f>
        <v>PAINE</v>
      </c>
    </row>
    <row r="7372" spans="1:4">
      <c r="A7372" s="7">
        <f ca="1">IFERROR(__xludf.DUMMYFUNCTION("""COMPUTED_VALUE"""),44642)</f>
        <v>44642</v>
      </c>
      <c r="B7372" s="6" t="str">
        <f ca="1">IFERROR(__xludf.DUMMYFUNCTION("""COMPUTED_VALUE"""),"-33.806799,-70.739768")</f>
        <v>-33.806799,-70.739768</v>
      </c>
      <c r="C7372" s="6" t="str">
        <f ca="1">IFERROR(__xludf.DUMMYFUNCTION("""COMPUTED_VALUE"""),"SAN JOSE 8")</f>
        <v>SAN JOSE 8</v>
      </c>
      <c r="D7372" s="6" t="str">
        <f ca="1">IFERROR(__xludf.DUMMYFUNCTION("""COMPUTED_VALUE"""),"PAINE")</f>
        <v>PAINE</v>
      </c>
    </row>
    <row r="7373" spans="1:4">
      <c r="A7373" s="7">
        <f ca="1">IFERROR(__xludf.DUMMYFUNCTION("""COMPUTED_VALUE"""),44642)</f>
        <v>44642</v>
      </c>
      <c r="B7373" s="6" t="str">
        <f ca="1">IFERROR(__xludf.DUMMYFUNCTION("""COMPUTED_VALUE"""),"-33.828218,-70.730001")</f>
        <v>-33.828218,-70.730001</v>
      </c>
      <c r="C7373" s="6" t="str">
        <f ca="1">IFERROR(__xludf.DUMMYFUNCTION("""COMPUTED_VALUE"""),"NVO HORIZONTE S/N SITIO L-A")</f>
        <v>NVO HORIZONTE S/N SITIO L-A</v>
      </c>
      <c r="D7373" s="6" t="str">
        <f ca="1">IFERROR(__xludf.DUMMYFUNCTION("""COMPUTED_VALUE"""),"PAINE")</f>
        <v>PAINE</v>
      </c>
    </row>
    <row r="7374" spans="1:4">
      <c r="A7374" s="7">
        <f ca="1">IFERROR(__xludf.DUMMYFUNCTION("""COMPUTED_VALUE"""),44642)</f>
        <v>44642</v>
      </c>
      <c r="B7374" s="6" t="str">
        <f ca="1">IFERROR(__xludf.DUMMYFUNCTION("""COMPUTED_VALUE"""),"-33.881357,-70.738167")</f>
        <v>-33.881357,-70.738167</v>
      </c>
      <c r="C7374" s="6" t="str">
        <f ca="1">IFERROR(__xludf.DUMMYFUNCTION("""COMPUTED_VALUE"""),"RUTA 5 SUR 216")</f>
        <v>RUTA 5 SUR 216</v>
      </c>
      <c r="D7374" s="6" t="str">
        <f ca="1">IFERROR(__xludf.DUMMYFUNCTION("""COMPUTED_VALUE"""),"PAINE")</f>
        <v>PAINE</v>
      </c>
    </row>
    <row r="7375" spans="1:4">
      <c r="A7375" s="7">
        <f ca="1">IFERROR(__xludf.DUMMYFUNCTION("""COMPUTED_VALUE"""),44643)</f>
        <v>44643</v>
      </c>
      <c r="B7375" s="8" t="str">
        <f ca="1">IFERROR(__xludf.DUMMYFUNCTION("""COMPUTED_VALUE"""),"33688508-71347667")</f>
        <v>33688508-71347667</v>
      </c>
      <c r="C7375" s="6" t="str">
        <f ca="1">IFERROR(__xludf.DUMMYFUNCTION("""COMPUTED_VALUE"""),"PANGUE 1589 PARC 8,")</f>
        <v>PANGUE 1589 PARC 8,</v>
      </c>
      <c r="D7375" s="6" t="str">
        <f ca="1">IFERROR(__xludf.DUMMYFUNCTION("""COMPUTED_VALUE"""),"MELIPILLA")</f>
        <v>MELIPILLA</v>
      </c>
    </row>
    <row r="7376" spans="1:4">
      <c r="A7376" s="7">
        <f ca="1">IFERROR(__xludf.DUMMYFUNCTION("""COMPUTED_VALUE"""),44643)</f>
        <v>44643</v>
      </c>
      <c r="B7376" s="8" t="str">
        <f ca="1">IFERROR(__xludf.DUMMYFUNCTION("""COMPUTED_VALUE"""),"33289137-70885935")</f>
        <v>33289137-70885935</v>
      </c>
      <c r="C7376" s="6" t="str">
        <f ca="1">IFERROR(__xludf.DUMMYFUNCTION("""COMPUTED_VALUE"""),"PEDRO PRADO 66,")</f>
        <v>PEDRO PRADO 66,</v>
      </c>
      <c r="D7376" s="6" t="str">
        <f ca="1">IFERROR(__xludf.DUMMYFUNCTION("""COMPUTED_VALUE"""),"LAMPA")</f>
        <v>LAMPA</v>
      </c>
    </row>
    <row r="7377" spans="1:4">
      <c r="A7377" s="7">
        <f ca="1">IFERROR(__xludf.DUMMYFUNCTION("""COMPUTED_VALUE"""),44643)</f>
        <v>44643</v>
      </c>
      <c r="B7377" s="8" t="str">
        <f ca="1">IFERROR(__xludf.DUMMYFUNCTION("""COMPUTED_VALUE"""),"33683509-70100645")</f>
        <v>33683509-70100645</v>
      </c>
      <c r="C7377" s="6" t="str">
        <f ca="1">IFERROR(__xludf.DUMMYFUNCTION("""COMPUTED_VALUE"""),"CHINIGUE PARCELA 19 lote 5")</f>
        <v>CHINIGUE PARCELA 19 lote 5</v>
      </c>
      <c r="D7377" s="6" t="str">
        <f ca="1">IFERROR(__xludf.DUMMYFUNCTION("""COMPUTED_VALUE"""),"EL MONTE")</f>
        <v>EL MONTE</v>
      </c>
    </row>
    <row r="7378" spans="1:4">
      <c r="A7378" s="7">
        <f ca="1">IFERROR(__xludf.DUMMYFUNCTION("""COMPUTED_VALUE"""),44643)</f>
        <v>44643</v>
      </c>
      <c r="B7378" s="8" t="str">
        <f ca="1">IFERROR(__xludf.DUMMYFUNCTION("""COMPUTED_VALUE"""),"33682920-70099022")</f>
        <v>33682920-70099022</v>
      </c>
      <c r="C7378" s="6" t="str">
        <f ca="1">IFERROR(__xludf.DUMMYFUNCTION("""COMPUTED_VALUE"""),"CHINIGUE PARCELA 19 lote 5")</f>
        <v>CHINIGUE PARCELA 19 lote 5</v>
      </c>
      <c r="D7378" s="6" t="str">
        <f ca="1">IFERROR(__xludf.DUMMYFUNCTION("""COMPUTED_VALUE"""),"EL MONTE")</f>
        <v>EL MONTE</v>
      </c>
    </row>
    <row r="7379" spans="1:4">
      <c r="A7379" s="7">
        <f ca="1">IFERROR(__xludf.DUMMYFUNCTION("""COMPUTED_VALUE"""),44643)</f>
        <v>44643</v>
      </c>
      <c r="B7379" s="6" t="str">
        <f ca="1">IFERROR(__xludf.DUMMYFUNCTION("""COMPUTED_VALUE"""),"-33.28582-70.86941")</f>
        <v>-33.28582-70.86941</v>
      </c>
      <c r="C7379" s="6" t="str">
        <f ca="1">IFERROR(__xludf.DUMMYFUNCTION("""COMPUTED_VALUE"""),"IGNACIO CARRERA PINTO 1393 F")</f>
        <v>IGNACIO CARRERA PINTO 1393 F</v>
      </c>
      <c r="D7379" s="6" t="str">
        <f ca="1">IFERROR(__xludf.DUMMYFUNCTION("""COMPUTED_VALUE"""),"LAMPA")</f>
        <v>LAMPA</v>
      </c>
    </row>
    <row r="7380" spans="1:4">
      <c r="A7380" s="7">
        <f ca="1">IFERROR(__xludf.DUMMYFUNCTION("""COMPUTED_VALUE"""),44643)</f>
        <v>44643</v>
      </c>
      <c r="B7380" s="6" t="str">
        <f ca="1">IFERROR(__xludf.DUMMYFUNCTION("""COMPUTED_VALUE"""),"-33.25001-70.65711")</f>
        <v>-33.25001-70.65711</v>
      </c>
      <c r="C7380" s="6" t="str">
        <f ca="1">IFERROR(__xludf.DUMMYFUNCTION("""COMPUTED_VALUE"""),"DOS ORIENTE 361")</f>
        <v>DOS ORIENTE 361</v>
      </c>
      <c r="D7380" s="6" t="str">
        <f ca="1">IFERROR(__xludf.DUMMYFUNCTION("""COMPUTED_VALUE"""),"TIL TIL")</f>
        <v>TIL TIL</v>
      </c>
    </row>
    <row r="7381" spans="1:4">
      <c r="A7381" s="7">
        <f ca="1">IFERROR(__xludf.DUMMYFUNCTION("""COMPUTED_VALUE"""),44643)</f>
        <v>44643</v>
      </c>
      <c r="B7381" s="6" t="str">
        <f ca="1">IFERROR(__xludf.DUMMYFUNCTION("""COMPUTED_VALUE"""),"-33.813895-70.738260")</f>
        <v>-33.813895-70.738260</v>
      </c>
      <c r="C7381" s="6" t="str">
        <f ca="1">IFERROR(__xludf.DUMMYFUNCTION("""COMPUTED_VALUE"""),"PEREZ CANTO 462")</f>
        <v>PEREZ CANTO 462</v>
      </c>
      <c r="D7381" s="6" t="str">
        <f ca="1">IFERROR(__xludf.DUMMYFUNCTION("""COMPUTED_VALUE"""),"PAINE")</f>
        <v>PAINE</v>
      </c>
    </row>
    <row r="7382" spans="1:4">
      <c r="A7382" s="7">
        <f ca="1">IFERROR(__xludf.DUMMYFUNCTION("""COMPUTED_VALUE"""),44643)</f>
        <v>44643</v>
      </c>
      <c r="B7382" s="6" t="str">
        <f ca="1">IFERROR(__xludf.DUMMYFUNCTION("""COMPUTED_VALUE"""),"-33.732365-70.785950")</f>
        <v>-33.732365-70.785950</v>
      </c>
      <c r="C7382" s="6" t="str">
        <f ca="1">IFERROR(__xludf.DUMMYFUNCTION("""COMPUTED_VALUE"""),"PJE BELEN 54")</f>
        <v>PJE BELEN 54</v>
      </c>
      <c r="D7382" s="6" t="str">
        <f ca="1">IFERROR(__xludf.DUMMYFUNCTION("""COMPUTED_VALUE"""),"BUIN")</f>
        <v>BUIN</v>
      </c>
    </row>
    <row r="7383" spans="1:4">
      <c r="A7383" s="7">
        <f ca="1">IFERROR(__xludf.DUMMYFUNCTION("""COMPUTED_VALUE"""),44643)</f>
        <v>44643</v>
      </c>
      <c r="B7383" s="6" t="str">
        <f ca="1">IFERROR(__xludf.DUMMYFUNCTION("""COMPUTED_VALUE"""),"-33.594296-70.812271")</f>
        <v>-33.594296-70.812271</v>
      </c>
      <c r="C7383" s="6" t="str">
        <f ca="1">IFERROR(__xludf.DUMMYFUNCTION("""COMPUTED_VALUE"""),"LAS ARALIAS 509")</f>
        <v>LAS ARALIAS 509</v>
      </c>
      <c r="D7383" s="6" t="str">
        <f ca="1">IFERROR(__xludf.DUMMYFUNCTION("""COMPUTED_VALUE"""),"PADRE HURTADO")</f>
        <v>PADRE HURTADO</v>
      </c>
    </row>
    <row r="7384" spans="1:4">
      <c r="A7384" s="7">
        <f ca="1">IFERROR(__xludf.DUMMYFUNCTION("""COMPUTED_VALUE"""),44643)</f>
        <v>44643</v>
      </c>
      <c r="B7384" s="8" t="str">
        <f ca="1">IFERROR(__xludf.DUMMYFUNCTION("""COMPUTED_VALUE"""),"-33.721809,-70.544852")</f>
        <v>-33.721809,-70.544852</v>
      </c>
      <c r="C7384" s="6" t="str">
        <f ca="1">IFERROR(__xludf.DUMMYFUNCTION("""COMPUTED_VALUE"""),"EL PRINCIPAL PC.13")</f>
        <v>EL PRINCIPAL PC.13</v>
      </c>
      <c r="D7384" s="6" t="str">
        <f ca="1">IFERROR(__xludf.DUMMYFUNCTION("""COMPUTED_VALUE"""),"PIRQUE")</f>
        <v>PIRQUE</v>
      </c>
    </row>
    <row r="7385" spans="1:4">
      <c r="A7385" s="7">
        <f ca="1">IFERROR(__xludf.DUMMYFUNCTION("""COMPUTED_VALUE"""),44643)</f>
        <v>44643</v>
      </c>
      <c r="B7385" s="8" t="str">
        <f ca="1">IFERROR(__xludf.DUMMYFUNCTION("""COMPUTED_VALUE"""),"-33.689763,-71.035402")</f>
        <v>-33.689763,-71.035402</v>
      </c>
      <c r="C7385" s="6" t="str">
        <f ca="1">IFERROR(__xludf.DUMMYFUNCTION("""COMPUTED_VALUE"""),"HONDURA 098")</f>
        <v>HONDURA 098</v>
      </c>
      <c r="D7385" s="6" t="str">
        <f ca="1">IFERROR(__xludf.DUMMYFUNCTION("""COMPUTED_VALUE"""),"EL MONTE")</f>
        <v>EL MONTE</v>
      </c>
    </row>
    <row r="7386" spans="1:4">
      <c r="A7386" s="7">
        <f ca="1">IFERROR(__xludf.DUMMYFUNCTION("""COMPUTED_VALUE"""),44643)</f>
        <v>44643</v>
      </c>
      <c r="B7386" s="6" t="str">
        <f ca="1">IFERROR(__xludf.DUMMYFUNCTION("""COMPUTED_VALUE"""),"-33.862381,-70.749417")</f>
        <v>-33.862381,-70.749417</v>
      </c>
      <c r="C7386" s="6" t="str">
        <f ca="1">IFERROR(__xludf.DUMMYFUNCTION("""COMPUTED_VALUE"""),"LAS ACACIAS 94")</f>
        <v>LAS ACACIAS 94</v>
      </c>
      <c r="D7386" s="6" t="str">
        <f ca="1">IFERROR(__xludf.DUMMYFUNCTION("""COMPUTED_VALUE"""),"PAINE")</f>
        <v>PAINE</v>
      </c>
    </row>
    <row r="7387" spans="1:4">
      <c r="A7387" s="7">
        <f ca="1">IFERROR(__xludf.DUMMYFUNCTION("""COMPUTED_VALUE"""),44643)</f>
        <v>44643</v>
      </c>
      <c r="B7387" s="6" t="str">
        <f ca="1">IFERROR(__xludf.DUMMYFUNCTION("""COMPUTED_VALUE"""),"-33.870627,-70.889126")</f>
        <v>-33.870627,-70.889126</v>
      </c>
      <c r="C7387" s="6" t="str">
        <f ca="1">IFERROR(__xludf.DUMMYFUNCTION("""COMPUTED_VALUE"""),"CA NUEVA 32 PINTUE CALLE  NUEVA SITIO ")</f>
        <v xml:space="preserve">CA NUEVA 32 PINTUE CALLE  NUEVA SITIO </v>
      </c>
      <c r="D7387" s="6" t="str">
        <f ca="1">IFERROR(__xludf.DUMMYFUNCTION("""COMPUTED_VALUE"""),"PAINE")</f>
        <v>PAINE</v>
      </c>
    </row>
    <row r="7388" spans="1:4">
      <c r="A7388" s="7">
        <f ca="1">IFERROR(__xludf.DUMMYFUNCTION("""COMPUTED_VALUE"""),44643)</f>
        <v>44643</v>
      </c>
      <c r="B7388" s="8" t="str">
        <f ca="1">IFERROR(__xludf.DUMMYFUNCTION("""COMPUTED_VALUE"""),"-33.923376,-71.466616")</f>
        <v>-33.923376,-71.466616</v>
      </c>
      <c r="C7388" s="6" t="str">
        <f ca="1">IFERROR(__xludf.DUMMYFUNCTION("""COMPUTED_VALUE"""),"EL YALI S/N SAN PEDRO ")</f>
        <v xml:space="preserve">EL YALI S/N SAN PEDRO </v>
      </c>
      <c r="D7388" s="6" t="str">
        <f ca="1">IFERROR(__xludf.DUMMYFUNCTION("""COMPUTED_VALUE"""),"MELIPILLA")</f>
        <v>MELIPILLA</v>
      </c>
    </row>
    <row r="7389" spans="1:4">
      <c r="A7389" s="7">
        <f ca="1">IFERROR(__xludf.DUMMYFUNCTION("""COMPUTED_VALUE"""),44643)</f>
        <v>44643</v>
      </c>
      <c r="B7389" s="8" t="str">
        <f ca="1">IFERROR(__xludf.DUMMYFUNCTION("""COMPUTED_VALUE"""),"-33.805920,-71.219627")</f>
        <v>-33.805920,-71.219627</v>
      </c>
      <c r="C7389" s="6" t="str">
        <f ca="1">IFERROR(__xludf.DUMMYFUNCTION("""COMPUTED_VALUE"""),"PARCELA 110 CULIPRAN")</f>
        <v>PARCELA 110 CULIPRAN</v>
      </c>
      <c r="D7389" s="6" t="str">
        <f ca="1">IFERROR(__xludf.DUMMYFUNCTION("""COMPUTED_VALUE"""),"MELIPILLA")</f>
        <v>MELIPILLA</v>
      </c>
    </row>
    <row r="7390" spans="1:4">
      <c r="A7390" s="7">
        <f ca="1">IFERROR(__xludf.DUMMYFUNCTION("""COMPUTED_VALUE"""),44643)</f>
        <v>44643</v>
      </c>
      <c r="B7390" s="6" t="str">
        <f ca="1">IFERROR(__xludf.DUMMYFUNCTION("""COMPUTED_VALUE"""),"-33.853397,-70.764204")</f>
        <v>-33.853397,-70.764204</v>
      </c>
      <c r="C7390" s="6" t="str">
        <f ca="1">IFERROR(__xludf.DUMMYFUNCTION("""COMPUTED_VALUE"""),"PARC. LAS CAMELIAS SITIO 1 CHAMPA")</f>
        <v>PARC. LAS CAMELIAS SITIO 1 CHAMPA</v>
      </c>
      <c r="D7390" s="6" t="str">
        <f ca="1">IFERROR(__xludf.DUMMYFUNCTION("""COMPUTED_VALUE"""),"PAINE")</f>
        <v>PAINE</v>
      </c>
    </row>
    <row r="7391" spans="1:4">
      <c r="A7391" s="7">
        <f ca="1">IFERROR(__xludf.DUMMYFUNCTION("""COMPUTED_VALUE"""),44643)</f>
        <v>44643</v>
      </c>
      <c r="B7391" s="6" t="str">
        <f ca="1">IFERROR(__xludf.DUMMYFUNCTION("""COMPUTED_VALUE"""),"-33.852937,-70.763460")</f>
        <v>-33.852937,-70.763460</v>
      </c>
      <c r="C7391" s="6" t="str">
        <f ca="1">IFERROR(__xludf.DUMMYFUNCTION("""COMPUTED_VALUE"""),"LAS CAMELIAS 3 CHAMPA 12")</f>
        <v>LAS CAMELIAS 3 CHAMPA 12</v>
      </c>
      <c r="D7391" s="6" t="str">
        <f ca="1">IFERROR(__xludf.DUMMYFUNCTION("""COMPUTED_VALUE"""),"PAINE")</f>
        <v>PAINE</v>
      </c>
    </row>
    <row r="7392" spans="1:4">
      <c r="A7392" s="7">
        <f ca="1">IFERROR(__xludf.DUMMYFUNCTION("""COMPUTED_VALUE"""),44643)</f>
        <v>44643</v>
      </c>
      <c r="B7392" s="6" t="str">
        <f ca="1">IFERROR(__xludf.DUMMYFUNCTION("""COMPUTED_VALUE"""),"-33.658157,-70.585224")</f>
        <v>-33.658157,-70.585224</v>
      </c>
      <c r="C7392" s="6" t="str">
        <f ca="1">IFERROR(__xludf.DUMMYFUNCTION("""COMPUTED_VALUE"""),"CARLOS VIAL INFANTE 24")</f>
        <v>CARLOS VIAL INFANTE 24</v>
      </c>
      <c r="D7392" s="6" t="str">
        <f ca="1">IFERROR(__xludf.DUMMYFUNCTION("""COMPUTED_VALUE"""),"PIRQUE")</f>
        <v>PIRQUE</v>
      </c>
    </row>
    <row r="7393" spans="1:4">
      <c r="A7393" s="7">
        <f ca="1">IFERROR(__xludf.DUMMYFUNCTION("""COMPUTED_VALUE"""),44644)</f>
        <v>44644</v>
      </c>
      <c r="B7393" s="8" t="str">
        <f ca="1">IFERROR(__xludf.DUMMYFUNCTION("""COMPUTED_VALUE"""),"33877508-70720796")</f>
        <v>33877508-70720796</v>
      </c>
      <c r="C7393" s="6" t="str">
        <f ca="1">IFERROR(__xludf.DUMMYFUNCTION("""COMPUTED_VALUE"""),"EL SAUCE 162")</f>
        <v>EL SAUCE 162</v>
      </c>
      <c r="D7393" s="6" t="str">
        <f ca="1">IFERROR(__xludf.DUMMYFUNCTION("""COMPUTED_VALUE"""),"PAINE")</f>
        <v>PAINE</v>
      </c>
    </row>
    <row r="7394" spans="1:4">
      <c r="A7394" s="7">
        <f ca="1">IFERROR(__xludf.DUMMYFUNCTION("""COMPUTED_VALUE"""),44644)</f>
        <v>44644</v>
      </c>
      <c r="B7394" s="8" t="str">
        <f ca="1">IFERROR(__xludf.DUMMYFUNCTION("""COMPUTED_VALUE"""),"33848671-70643736")</f>
        <v>33848671-70643736</v>
      </c>
      <c r="C7394" s="6" t="str">
        <f ca="1">IFERROR(__xludf.DUMMYFUNCTION("""COMPUTED_VALUE"""),"CARDINAL 10")</f>
        <v>CARDINAL 10</v>
      </c>
      <c r="D7394" s="6" t="str">
        <f ca="1">IFERROR(__xludf.DUMMYFUNCTION("""COMPUTED_VALUE"""),"PAINE")</f>
        <v>PAINE</v>
      </c>
    </row>
    <row r="7395" spans="1:4">
      <c r="A7395" s="7">
        <f ca="1">IFERROR(__xludf.DUMMYFUNCTION("""COMPUTED_VALUE"""),44644)</f>
        <v>44644</v>
      </c>
      <c r="B7395" s="8" t="str">
        <f ca="1">IFERROR(__xludf.DUMMYFUNCTION("""COMPUTED_VALUE"""),"33732035-70907911")</f>
        <v>33732035-70907911</v>
      </c>
      <c r="C7395" s="6" t="str">
        <f ca="1">IFERROR(__xludf.DUMMYFUNCTION("""COMPUTED_VALUE"""),"GACITUA 1020")</f>
        <v>GACITUA 1020</v>
      </c>
      <c r="D7395" s="6" t="str">
        <f ca="1">IFERROR(__xludf.DUMMYFUNCTION("""COMPUTED_VALUE"""),"ISLA DE MAIPO")</f>
        <v>ISLA DE MAIPO</v>
      </c>
    </row>
    <row r="7396" spans="1:4">
      <c r="A7396" s="7">
        <f ca="1">IFERROR(__xludf.DUMMYFUNCTION("""COMPUTED_VALUE"""),44644)</f>
        <v>44644</v>
      </c>
      <c r="B7396" s="8" t="str">
        <f ca="1">IFERROR(__xludf.DUMMYFUNCTION("""COMPUTED_VALUE"""),"33732016-70908047")</f>
        <v>33732016-70908047</v>
      </c>
      <c r="C7396" s="6" t="str">
        <f ca="1">IFERROR(__xludf.DUMMYFUNCTION("""COMPUTED_VALUE"""),"GACITUA 100")</f>
        <v>GACITUA 100</v>
      </c>
      <c r="D7396" s="6" t="str">
        <f ca="1">IFERROR(__xludf.DUMMYFUNCTION("""COMPUTED_VALUE"""),"ISLA DE MAIPO")</f>
        <v>ISLA DE MAIPO</v>
      </c>
    </row>
    <row r="7397" spans="1:4">
      <c r="A7397" s="7">
        <f ca="1">IFERROR(__xludf.DUMMYFUNCTION("""COMPUTED_VALUE"""),44644)</f>
        <v>44644</v>
      </c>
      <c r="B7397" s="8" t="str">
        <f ca="1">IFERROR(__xludf.DUMMYFUNCTION("""COMPUTED_VALUE"""),"33816760-70746232")</f>
        <v>33816760-70746232</v>
      </c>
      <c r="C7397" s="6" t="str">
        <f ca="1">IFERROR(__xludf.DUMMYFUNCTION("""COMPUTED_VALUE"""),"SAN MARTIN 194")</f>
        <v>SAN MARTIN 194</v>
      </c>
      <c r="D7397" s="6" t="str">
        <f ca="1">IFERROR(__xludf.DUMMYFUNCTION("""COMPUTED_VALUE"""),"PAINE")</f>
        <v>PAINE</v>
      </c>
    </row>
    <row r="7398" spans="1:4">
      <c r="A7398" s="7">
        <f ca="1">IFERROR(__xludf.DUMMYFUNCTION("""COMPUTED_VALUE"""),44644)</f>
        <v>44644</v>
      </c>
      <c r="B7398" s="6" t="str">
        <f ca="1">IFERROR(__xludf.DUMMYFUNCTION("""COMPUTED_VALUE"""),"-33.715939-70.740795")</f>
        <v>-33.715939-70.740795</v>
      </c>
      <c r="C7398" s="6" t="str">
        <f ca="1">IFERROR(__xludf.DUMMYFUNCTION("""COMPUTED_VALUE"""),"EL ANHELO 0120")</f>
        <v>EL ANHELO 0120</v>
      </c>
      <c r="D7398" s="6" t="str">
        <f ca="1">IFERROR(__xludf.DUMMYFUNCTION("""COMPUTED_VALUE"""),"BUIN")</f>
        <v>BUIN</v>
      </c>
    </row>
    <row r="7399" spans="1:4">
      <c r="A7399" s="7">
        <f ca="1">IFERROR(__xludf.DUMMYFUNCTION("""COMPUTED_VALUE"""),44644)</f>
        <v>44644</v>
      </c>
      <c r="B7399" s="6" t="str">
        <f ca="1">IFERROR(__xludf.DUMMYFUNCTION("""COMPUTED_VALUE"""),"-33.655335-70.345620")</f>
        <v>-33.655335-70.345620</v>
      </c>
      <c r="C7399" s="6" t="str">
        <f ca="1">IFERROR(__xludf.DUMMYFUNCTION("""COMPUTED_VALUE"""),"SANTA MARIA DEL ESTERO 54 B")</f>
        <v>SANTA MARIA DEL ESTERO 54 B</v>
      </c>
      <c r="D7399" s="6" t="str">
        <f ca="1">IFERROR(__xludf.DUMMYFUNCTION("""COMPUTED_VALUE"""),"SAN JOSE DE MAIPO")</f>
        <v>SAN JOSE DE MAIPO</v>
      </c>
    </row>
    <row r="7400" spans="1:4">
      <c r="A7400" s="7">
        <f ca="1">IFERROR(__xludf.DUMMYFUNCTION("""COMPUTED_VALUE"""),44644)</f>
        <v>44644</v>
      </c>
      <c r="B7400" s="6" t="str">
        <f ca="1">IFERROR(__xludf.DUMMYFUNCTION("""COMPUTED_VALUE"""),"-33.655145-70.345750")</f>
        <v>-33.655145-70.345750</v>
      </c>
      <c r="C7400" s="6" t="str">
        <f ca="1">IFERROR(__xludf.DUMMYFUNCTION("""COMPUTED_VALUE"""),"CAMINO ORIENTE S-3E")</f>
        <v>CAMINO ORIENTE S-3E</v>
      </c>
      <c r="D7400" s="6" t="str">
        <f ca="1">IFERROR(__xludf.DUMMYFUNCTION("""COMPUTED_VALUE"""),"SAN JOSE DE MAIPO")</f>
        <v>SAN JOSE DE MAIPO</v>
      </c>
    </row>
    <row r="7401" spans="1:4">
      <c r="A7401" s="7">
        <f ca="1">IFERROR(__xludf.DUMMYFUNCTION("""COMPUTED_VALUE"""),44644)</f>
        <v>44644</v>
      </c>
      <c r="B7401" s="6" t="str">
        <f ca="1">IFERROR(__xludf.DUMMYFUNCTION("""COMPUTED_VALUE"""),"-33.655145-70.345750")</f>
        <v>-33.655145-70.345750</v>
      </c>
      <c r="C7401" s="6" t="str">
        <f ca="1">IFERROR(__xludf.DUMMYFUNCTION("""COMPUTED_VALUE"""),"CAMINO ORIENTE S-3E")</f>
        <v>CAMINO ORIENTE S-3E</v>
      </c>
      <c r="D7401" s="6" t="str">
        <f ca="1">IFERROR(__xludf.DUMMYFUNCTION("""COMPUTED_VALUE"""),"SAN JOSE DE MAIPO")</f>
        <v>SAN JOSE DE MAIPO</v>
      </c>
    </row>
    <row r="7402" spans="1:4">
      <c r="A7402" s="7">
        <f ca="1">IFERROR(__xludf.DUMMYFUNCTION("""COMPUTED_VALUE"""),44644)</f>
        <v>44644</v>
      </c>
      <c r="B7402" s="8" t="str">
        <f ca="1">IFERROR(__xludf.DUMMYFUNCTION("""COMPUTED_VALUE"""),"-33.707151,-70.562133")</f>
        <v>-33.707151,-70.562133</v>
      </c>
      <c r="C7402" s="6" t="str">
        <f ca="1">IFERROR(__xludf.DUMMYFUNCTION("""COMPUTED_VALUE"""),"CALLE NUEVA 35C")</f>
        <v>CALLE NUEVA 35C</v>
      </c>
      <c r="D7402" s="6" t="str">
        <f ca="1">IFERROR(__xludf.DUMMYFUNCTION("""COMPUTED_VALUE"""),"PIRQUE")</f>
        <v>PIRQUE</v>
      </c>
    </row>
    <row r="7403" spans="1:4">
      <c r="A7403" s="7">
        <f ca="1">IFERROR(__xludf.DUMMYFUNCTION("""COMPUTED_VALUE"""),44644)</f>
        <v>44644</v>
      </c>
      <c r="B7403" s="6" t="str">
        <f ca="1">IFERROR(__xludf.DUMMYFUNCTION("""COMPUTED_VALUE"""),"-33.742726,-70.741492")</f>
        <v>-33.742726,-70.741492</v>
      </c>
      <c r="C7403" s="6" t="str">
        <f ca="1">IFERROR(__xludf.DUMMYFUNCTION("""COMPUTED_VALUE"""),"VILLASECA 241")</f>
        <v>VILLASECA 241</v>
      </c>
      <c r="D7403" s="6" t="str">
        <f ca="1">IFERROR(__xludf.DUMMYFUNCTION("""COMPUTED_VALUE"""),"BUIN")</f>
        <v>BUIN</v>
      </c>
    </row>
    <row r="7404" spans="1:4">
      <c r="A7404" s="7">
        <f ca="1">IFERROR(__xludf.DUMMYFUNCTION("""COMPUTED_VALUE"""),44644)</f>
        <v>44644</v>
      </c>
      <c r="B7404" s="6" t="str">
        <f ca="1">IFERROR(__xludf.DUMMYFUNCTION("""COMPUTED_VALUE"""),"-33.786370,-70.817377")</f>
        <v>-33.786370,-70.817377</v>
      </c>
      <c r="C7404" s="6" t="str">
        <f ca="1">IFERROR(__xludf.DUMMYFUNCTION("""COMPUTED_VALUE"""),"LAS PATAGUAS 3590")</f>
        <v>LAS PATAGUAS 3590</v>
      </c>
      <c r="D7404" s="6" t="str">
        <f ca="1">IFERROR(__xludf.DUMMYFUNCTION("""COMPUTED_VALUE"""),"BUIN")</f>
        <v>BUIN</v>
      </c>
    </row>
    <row r="7405" spans="1:4">
      <c r="A7405" s="7">
        <f ca="1">IFERROR(__xludf.DUMMYFUNCTION("""COMPUTED_VALUE"""),44644)</f>
        <v>44644</v>
      </c>
      <c r="B7405" s="6" t="str">
        <f ca="1">IFERROR(__xludf.DUMMYFUNCTION("""COMPUTED_VALUE"""),"-33.556682,-70.868523")</f>
        <v>-33.556682,-70.868523</v>
      </c>
      <c r="C7405" s="6" t="str">
        <f ca="1">IFERROR(__xludf.DUMMYFUNCTION("""COMPUTED_VALUE"""),"VILLORRIO SANTA LUISA  11 B ")</f>
        <v xml:space="preserve">VILLORRIO SANTA LUISA  11 B </v>
      </c>
      <c r="D7405" s="6" t="str">
        <f ca="1">IFERROR(__xludf.DUMMYFUNCTION("""COMPUTED_VALUE"""),"PADRE HURTADO")</f>
        <v>PADRE HURTADO</v>
      </c>
    </row>
    <row r="7406" spans="1:4">
      <c r="A7406" s="7">
        <f ca="1">IFERROR(__xludf.DUMMYFUNCTION("""COMPUTED_VALUE"""),44644)</f>
        <v>44644</v>
      </c>
      <c r="B7406" s="6" t="str">
        <f ca="1">IFERROR(__xludf.DUMMYFUNCTION("""COMPUTED_VALUE"""),"-35.435196,-71.634656")</f>
        <v>-35.435196,-71.634656</v>
      </c>
      <c r="C7406" s="6" t="str">
        <f ca="1">IFERROR(__xludf.DUMMYFUNCTION("""COMPUTED_VALUE"""),"PASAJE CUATRO SUR A 2860 BRISAS DE SAN MIGUEL ")</f>
        <v xml:space="preserve">PASAJE CUATRO SUR A 2860 BRISAS DE SAN MIGUEL </v>
      </c>
      <c r="D7406" s="6" t="str">
        <f ca="1">IFERROR(__xludf.DUMMYFUNCTION("""COMPUTED_VALUE"""),"TALCA")</f>
        <v>TALCA</v>
      </c>
    </row>
    <row r="7407" spans="1:4">
      <c r="A7407" s="7">
        <f ca="1">IFERROR(__xludf.DUMMYFUNCTION("""COMPUTED_VALUE"""),44644)</f>
        <v>44644</v>
      </c>
      <c r="B7407" s="6" t="str">
        <f ca="1">IFERROR(__xludf.DUMMYFUNCTION("""COMPUTED_VALUE"""),"-35.434676,-71.630407")</f>
        <v>-35.434676,-71.630407</v>
      </c>
      <c r="C7407" s="6" t="str">
        <f ca="1">IFERROR(__xludf.DUMMYFUNCTION("""COMPUTED_VALUE"""),"CUATRO SUR 2845 BRISAS DE SAN MIGUEL")</f>
        <v>CUATRO SUR 2845 BRISAS DE SAN MIGUEL</v>
      </c>
      <c r="D7407" s="6" t="str">
        <f ca="1">IFERROR(__xludf.DUMMYFUNCTION("""COMPUTED_VALUE"""),"TALCA")</f>
        <v>TALCA</v>
      </c>
    </row>
    <row r="7408" spans="1:4">
      <c r="A7408" s="7">
        <f ca="1">IFERROR(__xludf.DUMMYFUNCTION("""COMPUTED_VALUE"""),44644)</f>
        <v>44644</v>
      </c>
      <c r="B7408" s="6" t="str">
        <f ca="1">IFERROR(__xludf.DUMMYFUNCTION("""COMPUTED_VALUE"""),"-35.401117,-71.643455")</f>
        <v>-35.401117,-71.643455</v>
      </c>
      <c r="C7408" s="6" t="str">
        <f ca="1">IFERROR(__xludf.DUMMYFUNCTION("""COMPUTED_VALUE"""),"SEIS ORIENTE B 3243")</f>
        <v>SEIS ORIENTE B 3243</v>
      </c>
      <c r="D7408" s="6" t="str">
        <f ca="1">IFERROR(__xludf.DUMMYFUNCTION("""COMPUTED_VALUE"""),"TALCA")</f>
        <v>TALCA</v>
      </c>
    </row>
    <row r="7409" spans="1:4">
      <c r="A7409" s="7">
        <f ca="1">IFERROR(__xludf.DUMMYFUNCTION("""COMPUTED_VALUE"""),44644)</f>
        <v>44644</v>
      </c>
      <c r="B7409" s="6" t="str">
        <f ca="1">IFERROR(__xludf.DUMMYFUNCTION("""COMPUTED_VALUE"""),"-35.400653,-71.642241")</f>
        <v>-35.400653,-71.642241</v>
      </c>
      <c r="C7409" s="6" t="str">
        <f ca="1">IFERROR(__xludf.DUMMYFUNCTION("""COMPUTED_VALUE"""),"SEIS ORIENTE C 3262 VEINTIUNO 1/2 NORTE ")</f>
        <v xml:space="preserve">SEIS ORIENTE C 3262 VEINTIUNO 1/2 NORTE </v>
      </c>
      <c r="D7409" s="6" t="str">
        <f ca="1">IFERROR(__xludf.DUMMYFUNCTION("""COMPUTED_VALUE"""),"TALCA")</f>
        <v>TALCA</v>
      </c>
    </row>
    <row r="7410" spans="1:4">
      <c r="A7410" s="7">
        <f ca="1">IFERROR(__xludf.DUMMYFUNCTION("""COMPUTED_VALUE"""),44644)</f>
        <v>44644</v>
      </c>
      <c r="B7410" s="8" t="str">
        <f ca="1">IFERROR(__xludf.DUMMYFUNCTION("""COMPUTED_VALUE"""),"-33.656722,-71.275339")</f>
        <v>-33.656722,-71.275339</v>
      </c>
      <c r="C7410" s="6" t="str">
        <f ca="1">IFERROR(__xludf.DUMMYFUNCTION("""COMPUTED_VALUE"""),"PASAJE LA HIGUERA N28 ")</f>
        <v xml:space="preserve">PASAJE LA HIGUERA N28 </v>
      </c>
      <c r="D7410" s="6" t="str">
        <f ca="1">IFERROR(__xludf.DUMMYFUNCTION("""COMPUTED_VALUE"""),"MELIPILLA")</f>
        <v>MELIPILLA</v>
      </c>
    </row>
    <row r="7411" spans="1:4">
      <c r="A7411" s="7">
        <f ca="1">IFERROR(__xludf.DUMMYFUNCTION("""COMPUTED_VALUE"""),44644)</f>
        <v>44644</v>
      </c>
      <c r="B7411" s="8" t="str">
        <f ca="1">IFERROR(__xludf.DUMMYFUNCTION("""COMPUTED_VALUE"""),"-33.665219,-71.315423")</f>
        <v>-33.665219,-71.315423</v>
      </c>
      <c r="C7411" s="6" t="str">
        <f ca="1">IFERROR(__xludf.DUMMYFUNCTION("""COMPUTED_VALUE"""),"LOS PIÑOS 56 PUANGUE ")</f>
        <v xml:space="preserve">LOS PIÑOS 56 PUANGUE </v>
      </c>
      <c r="D7411" s="6" t="str">
        <f ca="1">IFERROR(__xludf.DUMMYFUNCTION("""COMPUTED_VALUE"""),"MELIPILLA")</f>
        <v>MELIPILLA</v>
      </c>
    </row>
    <row r="7412" spans="1:4">
      <c r="A7412" s="7">
        <f ca="1">IFERROR(__xludf.DUMMYFUNCTION("""COMPUTED_VALUE"""),44644)</f>
        <v>44644</v>
      </c>
      <c r="B7412" s="8" t="str">
        <f ca="1">IFERROR(__xludf.DUMMYFUNCTION("""COMPUTED_VALUE"""),"-33.686524,-70.881285")</f>
        <v>-33.686524,-70.881285</v>
      </c>
      <c r="C7412" s="6" t="str">
        <f ca="1">IFERROR(__xludf.DUMMYFUNCTION("""COMPUTED_VALUE"""),"CAMINO LOS PERROS S/N")</f>
        <v>CAMINO LOS PERROS S/N</v>
      </c>
      <c r="D7412" s="6" t="str">
        <f ca="1">IFERROR(__xludf.DUMMYFUNCTION("""COMPUTED_VALUE"""),"TALAGANTE")</f>
        <v>TALAGANTE</v>
      </c>
    </row>
    <row r="7413" spans="1:4">
      <c r="A7413" s="7">
        <f ca="1">IFERROR(__xludf.DUMMYFUNCTION("""COMPUTED_VALUE"""),44644)</f>
        <v>44644</v>
      </c>
      <c r="B7413" s="8" t="str">
        <f ca="1">IFERROR(__xludf.DUMMYFUNCTION("""COMPUTED_VALUE"""),"-33.686524,-70.881285")</f>
        <v>-33.686524,-70.881285</v>
      </c>
      <c r="C7413" s="6" t="str">
        <f ca="1">IFERROR(__xludf.DUMMYFUNCTION("""COMPUTED_VALUE"""),"CAMINO LOS PERROS S/N")</f>
        <v>CAMINO LOS PERROS S/N</v>
      </c>
      <c r="D7413" s="6" t="str">
        <f ca="1">IFERROR(__xludf.DUMMYFUNCTION("""COMPUTED_VALUE"""),"TALAGANTE")</f>
        <v>TALAGANTE</v>
      </c>
    </row>
    <row r="7414" spans="1:4">
      <c r="A7414" s="7">
        <f ca="1">IFERROR(__xludf.DUMMYFUNCTION("""COMPUTED_VALUE"""),44644)</f>
        <v>44644</v>
      </c>
      <c r="B7414" s="6" t="str">
        <f ca="1">IFERROR(__xludf.DUMMYFUNCTION("""COMPUTED_VALUE"""),"-33.858947,-70.741618")</f>
        <v>-33.858947,-70.741618</v>
      </c>
      <c r="C7414" s="6" t="str">
        <f ca="1">IFERROR(__xludf.DUMMYFUNCTION("""COMPUTED_VALUE"""),"UNION NORTE COL KENNEDY131")</f>
        <v>UNION NORTE COL KENNEDY131</v>
      </c>
      <c r="D7414" s="6" t="str">
        <f ca="1">IFERROR(__xludf.DUMMYFUNCTION("""COMPUTED_VALUE"""),"PAINE")</f>
        <v>PAINE</v>
      </c>
    </row>
    <row r="7415" spans="1:4">
      <c r="A7415" s="7">
        <f ca="1">IFERROR(__xludf.DUMMYFUNCTION("""COMPUTED_VALUE"""),44644)</f>
        <v>44644</v>
      </c>
      <c r="B7415" s="6" t="str">
        <f ca="1">IFERROR(__xludf.DUMMYFUNCTION("""COMPUTED_VALUE"""),"-33.878401, -70.742683")</f>
        <v>-33.878401, -70.742683</v>
      </c>
      <c r="C7415" s="6" t="str">
        <f ca="1">IFERROR(__xludf.DUMMYFUNCTION("""COMPUTED_VALUE"""),"SITIO 30, LAS MULAS")</f>
        <v>SITIO 30, LAS MULAS</v>
      </c>
      <c r="D7415" s="6" t="str">
        <f ca="1">IFERROR(__xludf.DUMMYFUNCTION("""COMPUTED_VALUE"""),"PAINE")</f>
        <v>PAINE</v>
      </c>
    </row>
    <row r="7416" spans="1:4">
      <c r="A7416" s="7">
        <f ca="1">IFERROR(__xludf.DUMMYFUNCTION("""COMPUTED_VALUE"""),44644)</f>
        <v>44644</v>
      </c>
      <c r="B7416" s="6" t="str">
        <f ca="1">IFERROR(__xludf.DUMMYFUNCTION("""COMPUTED_VALUE"""),"-33.884229,-70.732594")</f>
        <v>-33.884229,-70.732594</v>
      </c>
      <c r="C7416" s="6" t="str">
        <f ca="1">IFERROR(__xludf.DUMMYFUNCTION("""COMPUTED_VALUE"""),"COLONIA KENNEDY 199B")</f>
        <v>COLONIA KENNEDY 199B</v>
      </c>
      <c r="D7416" s="6" t="str">
        <f ca="1">IFERROR(__xludf.DUMMYFUNCTION("""COMPUTED_VALUE"""),"PAINE")</f>
        <v>PAINE</v>
      </c>
    </row>
    <row r="7417" spans="1:4">
      <c r="A7417" s="7">
        <f ca="1">IFERROR(__xludf.DUMMYFUNCTION("""COMPUTED_VALUE"""),44645)</f>
        <v>44645</v>
      </c>
      <c r="B7417" s="8" t="str">
        <f ca="1">IFERROR(__xludf.DUMMYFUNCTION("""COMPUTED_VALUE"""),"33725559-70991684")</f>
        <v>33725559-70991684</v>
      </c>
      <c r="C7417" s="6" t="str">
        <f ca="1">IFERROR(__xludf.DUMMYFUNCTION("""COMPUTED_VALUE"""),"LOS LAGOS NALTAHUE S/N")</f>
        <v>LOS LAGOS NALTAHUE S/N</v>
      </c>
      <c r="D7417" s="6" t="str">
        <f ca="1">IFERROR(__xludf.DUMMYFUNCTION("""COMPUTED_VALUE"""),"ISLA DE MAIPO")</f>
        <v>ISLA DE MAIPO</v>
      </c>
    </row>
    <row r="7418" spans="1:4">
      <c r="A7418" s="7">
        <f ca="1">IFERROR(__xludf.DUMMYFUNCTION("""COMPUTED_VALUE"""),44645)</f>
        <v>44645</v>
      </c>
      <c r="B7418" s="8" t="str">
        <f ca="1">IFERROR(__xludf.DUMMYFUNCTION("""COMPUTED_VALUE"""),"33734508-70866356")</f>
        <v>33734508-70866356</v>
      </c>
      <c r="C7418" s="6" t="str">
        <f ca="1">IFERROR(__xludf.DUMMYFUNCTION("""COMPUTED_VALUE"""),"VISTA HERMOSA 387")</f>
        <v>VISTA HERMOSA 387</v>
      </c>
      <c r="D7418" s="6" t="str">
        <f ca="1">IFERROR(__xludf.DUMMYFUNCTION("""COMPUTED_VALUE"""),"ISLA DE MAIPO")</f>
        <v>ISLA DE MAIPO</v>
      </c>
    </row>
    <row r="7419" spans="1:4">
      <c r="A7419" s="7">
        <f ca="1">IFERROR(__xludf.DUMMYFUNCTION("""COMPUTED_VALUE"""),44645)</f>
        <v>44645</v>
      </c>
      <c r="B7419" s="8" t="str">
        <f ca="1">IFERROR(__xludf.DUMMYFUNCTION("""COMPUTED_VALUE"""),"33838470-70643718")</f>
        <v>33838470-70643718</v>
      </c>
      <c r="C7419" s="6" t="str">
        <f ca="1">IFERROR(__xludf.DUMMYFUNCTION("""COMPUTED_VALUE"""),"LA VICTORIA SITIO F")</f>
        <v>LA VICTORIA SITIO F</v>
      </c>
      <c r="D7419" s="6" t="str">
        <f ca="1">IFERROR(__xludf.DUMMYFUNCTION("""COMPUTED_VALUE"""),"PAINE")</f>
        <v>PAINE</v>
      </c>
    </row>
    <row r="7420" spans="1:4">
      <c r="A7420" s="7">
        <f ca="1">IFERROR(__xludf.DUMMYFUNCTION("""COMPUTED_VALUE"""),44645)</f>
        <v>44645</v>
      </c>
      <c r="B7420" s="8" t="str">
        <f ca="1">IFERROR(__xludf.DUMMYFUNCTION("""COMPUTED_VALUE"""),"33838533-70639260")</f>
        <v>33838533-70639260</v>
      </c>
      <c r="C7420" s="6" t="str">
        <f ca="1">IFERROR(__xludf.DUMMYFUNCTION("""COMPUTED_VALUE"""),"VICTOR CAMPESINALO")</f>
        <v>VICTOR CAMPESINALO</v>
      </c>
      <c r="D7420" s="6" t="str">
        <f ca="1">IFERROR(__xludf.DUMMYFUNCTION("""COMPUTED_VALUE"""),"PAINE")</f>
        <v>PAINE</v>
      </c>
    </row>
    <row r="7421" spans="1:4">
      <c r="A7421" s="7">
        <f ca="1">IFERROR(__xludf.DUMMYFUNCTION("""COMPUTED_VALUE"""),44645)</f>
        <v>44645</v>
      </c>
      <c r="B7421" s="6" t="str">
        <f ca="1">IFERROR(__xludf.DUMMYFUNCTION("""COMPUTED_VALUE"""),"-33.599190-70.858613")</f>
        <v>-33.599190-70.858613</v>
      </c>
      <c r="C7421" s="6" t="str">
        <f ca="1">IFERROR(__xludf.DUMMYFUNCTION("""COMPUTED_VALUE"""),"PADRE JOSE GREGORIO MESA 2684")</f>
        <v>PADRE JOSE GREGORIO MESA 2684</v>
      </c>
      <c r="D7421" s="6" t="str">
        <f ca="1">IFERROR(__xludf.DUMMYFUNCTION("""COMPUTED_VALUE"""),"PEÑAFLOR")</f>
        <v>PEÑAFLOR</v>
      </c>
    </row>
    <row r="7422" spans="1:4">
      <c r="A7422" s="7">
        <f ca="1">IFERROR(__xludf.DUMMYFUNCTION("""COMPUTED_VALUE"""),44645)</f>
        <v>44645</v>
      </c>
      <c r="B7422" s="6" t="str">
        <f ca="1">IFERROR(__xludf.DUMMYFUNCTION("""COMPUTED_VALUE"""),"-33.600904-70.865284")</f>
        <v>-33.600904-70.865284</v>
      </c>
      <c r="C7422" s="6" t="str">
        <f ca="1">IFERROR(__xludf.DUMMYFUNCTION("""COMPUTED_VALUE"""),"AV. MIRAFLORES 1360")</f>
        <v>AV. MIRAFLORES 1360</v>
      </c>
      <c r="D7422" s="6" t="str">
        <f ca="1">IFERROR(__xludf.DUMMYFUNCTION("""COMPUTED_VALUE"""),"PEÑAFLOR")</f>
        <v>PEÑAFLOR</v>
      </c>
    </row>
    <row r="7423" spans="1:4">
      <c r="A7423" s="7">
        <f ca="1">IFERROR(__xludf.DUMMYFUNCTION("""COMPUTED_VALUE"""),44645)</f>
        <v>44645</v>
      </c>
      <c r="B7423" s="8" t="str">
        <f ca="1">IFERROR(__xludf.DUMMYFUNCTION("""COMPUTED_VALUE"""),"-33.300846,-70.8730006")</f>
        <v>-33.300846,-70.8730006</v>
      </c>
      <c r="C7423" s="6" t="str">
        <f ca="1">IFERROR(__xludf.DUMMYFUNCTION("""COMPUTED_VALUE"""),"AV. LA HACIENDA 3010 CASA 12 B")</f>
        <v>AV. LA HACIENDA 3010 CASA 12 B</v>
      </c>
      <c r="D7423" s="6" t="str">
        <f ca="1">IFERROR(__xludf.DUMMYFUNCTION("""COMPUTED_VALUE"""),"LAMPA")</f>
        <v>LAMPA</v>
      </c>
    </row>
    <row r="7424" spans="1:4">
      <c r="A7424" s="7">
        <f ca="1">IFERROR(__xludf.DUMMYFUNCTION("""COMPUTED_VALUE"""),44645)</f>
        <v>44645</v>
      </c>
      <c r="B7424" s="8" t="str">
        <f ca="1">IFERROR(__xludf.DUMMYFUNCTION("""COMPUTED_VALUE"""),"-33.676261,-70.998914")</f>
        <v>-33.676261,-70.998914</v>
      </c>
      <c r="C7424" s="6" t="str">
        <f ca="1">IFERROR(__xludf.DUMMYFUNCTION("""COMPUTED_VALUE"""),"FRESID 855")</f>
        <v>FRESID 855</v>
      </c>
      <c r="D7424" s="6" t="str">
        <f ca="1">IFERROR(__xludf.DUMMYFUNCTION("""COMPUTED_VALUE"""),"EL MONTE")</f>
        <v>EL MONTE</v>
      </c>
    </row>
    <row r="7425" spans="1:4">
      <c r="A7425" s="7">
        <f ca="1">IFERROR(__xludf.DUMMYFUNCTION("""COMPUTED_VALUE"""),44645)</f>
        <v>44645</v>
      </c>
      <c r="B7425" s="6" t="str">
        <f ca="1">IFERROR(__xludf.DUMMYFUNCTION("""COMPUTED_VALUE"""),"-33.889595,-71.419990")</f>
        <v>-33.889595,-71.419990</v>
      </c>
      <c r="C7425" s="6" t="str">
        <f ca="1">IFERROR(__xludf.DUMMYFUNCTION("""COMPUTED_VALUE"""),"LLANCAY  S/N")</f>
        <v>LLANCAY  S/N</v>
      </c>
      <c r="D7425" s="6" t="str">
        <f ca="1">IFERROR(__xludf.DUMMYFUNCTION("""COMPUTED_VALUE"""),"SAN PEDRO")</f>
        <v>SAN PEDRO</v>
      </c>
    </row>
    <row r="7426" spans="1:4">
      <c r="A7426" s="7">
        <f ca="1">IFERROR(__xludf.DUMMYFUNCTION("""COMPUTED_VALUE"""),44645)</f>
        <v>44645</v>
      </c>
      <c r="B7426" s="6" t="str">
        <f ca="1">IFERROR(__xludf.DUMMYFUNCTION("""COMPUTED_VALUE"""),"-35.444522,-71.634110")</f>
        <v>-35.444522,-71.634110</v>
      </c>
      <c r="C7426" s="6" t="str">
        <f ca="1">IFERROR(__xludf.DUMMYFUNCTION("""COMPUTED_VALUE"""),"PA DIEZ Y MEDIO SUR 3121 POBL LONCOMILLA")</f>
        <v>PA DIEZ Y MEDIO SUR 3121 POBL LONCOMILLA</v>
      </c>
      <c r="D7426" s="6" t="str">
        <f ca="1">IFERROR(__xludf.DUMMYFUNCTION("""COMPUTED_VALUE"""),"TALCA")</f>
        <v>TALCA</v>
      </c>
    </row>
    <row r="7427" spans="1:4">
      <c r="A7427" s="7">
        <f ca="1">IFERROR(__xludf.DUMMYFUNCTION("""COMPUTED_VALUE"""),44645)</f>
        <v>44645</v>
      </c>
      <c r="B7427" s="6" t="str">
        <f ca="1">IFERROR(__xludf.DUMMYFUNCTION("""COMPUTED_VALUE"""),"-35.444667,-71.633696")</f>
        <v>-35.444667,-71.633696</v>
      </c>
      <c r="C7427" s="6" t="str">
        <f ca="1">IFERROR(__xludf.DUMMYFUNCTION("""COMPUTED_VALUE"""),"DIEZ Y MEDIO SUR 3139 POB LONCOMILLA ")</f>
        <v xml:space="preserve">DIEZ Y MEDIO SUR 3139 POB LONCOMILLA </v>
      </c>
      <c r="D7427" s="6" t="str">
        <f ca="1">IFERROR(__xludf.DUMMYFUNCTION("""COMPUTED_VALUE"""),"TALCA")</f>
        <v>TALCA</v>
      </c>
    </row>
    <row r="7428" spans="1:4">
      <c r="A7428" s="7">
        <f ca="1">IFERROR(__xludf.DUMMYFUNCTION("""COMPUTED_VALUE"""),44645)</f>
        <v>44645</v>
      </c>
      <c r="B7428" s="6" t="str">
        <f ca="1">IFERROR(__xludf.DUMMYFUNCTION("""COMPUTED_VALUE"""),"-35.447607,-71.636765")</f>
        <v>-35.447607,-71.636765</v>
      </c>
      <c r="C7428" s="6" t="str">
        <f ca="1">IFERROR(__xludf.DUMMYFUNCTION("""COMPUTED_VALUE"""),"PASAJE CATORCE SUR  3077 POBL S M DEL PIDUCO")</f>
        <v>PASAJE CATORCE SUR  3077 POBL S M DEL PIDUCO</v>
      </c>
      <c r="D7428" s="6" t="str">
        <f ca="1">IFERROR(__xludf.DUMMYFUNCTION("""COMPUTED_VALUE"""),"TALCA")</f>
        <v>TALCA</v>
      </c>
    </row>
    <row r="7429" spans="1:4">
      <c r="A7429" s="7">
        <f ca="1">IFERROR(__xludf.DUMMYFUNCTION("""COMPUTED_VALUE"""),44645)</f>
        <v>44645</v>
      </c>
      <c r="B7429" s="6" t="str">
        <f ca="1">IFERROR(__xludf.DUMMYFUNCTION("""COMPUTED_VALUE"""),"-35.445140,-71.655376")</f>
        <v>-35.445140,-71.655376</v>
      </c>
      <c r="C7429" s="6" t="str">
        <f ca="1">IFERROR(__xludf.DUMMYFUNCTION("""COMPUTED_VALUE"""),"SGTO SDO D REBOLLEDO 555")</f>
        <v>SGTO SDO D REBOLLEDO 555</v>
      </c>
      <c r="D7429" s="6" t="str">
        <f ca="1">IFERROR(__xludf.DUMMYFUNCTION("""COMPUTED_VALUE"""),"TALCA")</f>
        <v>TALCA</v>
      </c>
    </row>
    <row r="7430" spans="1:4">
      <c r="A7430" s="7">
        <f ca="1">IFERROR(__xludf.DUMMYFUNCTION("""COMPUTED_VALUE"""),44645)</f>
        <v>44645</v>
      </c>
      <c r="B7430" s="8" t="str">
        <f ca="1">IFERROR(__xludf.DUMMYFUNCTION("""COMPUTED_VALUE"""),"-34.036443,-71.702207")</f>
        <v>-34.036443,-71.702207</v>
      </c>
      <c r="C7430" s="6" t="str">
        <f ca="1">IFERROR(__xludf.DUMMYFUNCTION("""COMPUTED_VALUE"""),"SANTA ROSA DE CHACON S/N ")</f>
        <v xml:space="preserve">SANTA ROSA DE CHACON S/N </v>
      </c>
      <c r="D7430" s="6" t="str">
        <f ca="1">IFERROR(__xludf.DUMMYFUNCTION("""COMPUTED_VALUE"""),"ALHUÉ")</f>
        <v>ALHUÉ</v>
      </c>
    </row>
    <row r="7431" spans="1:4">
      <c r="A7431" s="7">
        <f ca="1">IFERROR(__xludf.DUMMYFUNCTION("""COMPUTED_VALUE"""),44645)</f>
        <v>44645</v>
      </c>
      <c r="B7431" s="8" t="str">
        <f ca="1">IFERROR(__xludf.DUMMYFUNCTION("""COMPUTED_VALUE"""),"-34.036979,-71.100194")</f>
        <v>-34.036979,-71.100194</v>
      </c>
      <c r="C7431" s="6" t="str">
        <f ca="1">IFERROR(__xludf.DUMMYFUNCTION("""COMPUTED_VALUE"""),"ESMERALDA S/N")</f>
        <v>ESMERALDA S/N</v>
      </c>
      <c r="D7431" s="6" t="str">
        <f ca="1">IFERROR(__xludf.DUMMYFUNCTION("""COMPUTED_VALUE"""),"ALHUÉ")</f>
        <v>ALHUÉ</v>
      </c>
    </row>
    <row r="7432" spans="1:4">
      <c r="A7432" s="7">
        <f ca="1">IFERROR(__xludf.DUMMYFUNCTION("""COMPUTED_VALUE"""),44645)</f>
        <v>44645</v>
      </c>
      <c r="B7432" s="8" t="str">
        <f ca="1">IFERROR(__xludf.DUMMYFUNCTION("""COMPUTED_VALUE"""),"-33.803794,-70.701406")</f>
        <v>-33.803794,-70.701406</v>
      </c>
      <c r="C7432" s="6" t="str">
        <f ca="1">IFERROR(__xludf.DUMMYFUNCTION("""COMPUTED_VALUE"""),"AVENIDA 8 DE SEPTIEMBRE SITIO 25")</f>
        <v>AVENIDA 8 DE SEPTIEMBRE SITIO 25</v>
      </c>
      <c r="D7432" s="6" t="str">
        <f ca="1">IFERROR(__xludf.DUMMYFUNCTION("""COMPUTED_VALUE"""),"PAINE")</f>
        <v>PAINE</v>
      </c>
    </row>
    <row r="7433" spans="1:4">
      <c r="A7433" s="7">
        <f ca="1">IFERROR(__xludf.DUMMYFUNCTION("""COMPUTED_VALUE"""),44645)</f>
        <v>44645</v>
      </c>
      <c r="B7433" s="6" t="str">
        <f ca="1">IFERROR(__xludf.DUMMYFUNCTION("""COMPUTED_VALUE"""),"-33.812826,-70.744841")</f>
        <v>-33.812826,-70.744841</v>
      </c>
      <c r="C7433" s="6" t="str">
        <f ca="1">IFERROR(__xludf.DUMMYFUNCTION("""COMPUTED_VALUE"""),"LAS COLONIAS 823")</f>
        <v>LAS COLONIAS 823</v>
      </c>
      <c r="D7433" s="6" t="str">
        <f ca="1">IFERROR(__xludf.DUMMYFUNCTION("""COMPUTED_VALUE"""),"PAINE")</f>
        <v>PAINE</v>
      </c>
    </row>
    <row r="7434" spans="1:4">
      <c r="A7434" s="7">
        <f ca="1">IFERROR(__xludf.DUMMYFUNCTION("""COMPUTED_VALUE"""),44645)</f>
        <v>44645</v>
      </c>
      <c r="B7434" s="6" t="str">
        <f ca="1">IFERROR(__xludf.DUMMYFUNCTION("""COMPUTED_VALUE"""),"-33.806866,-70.738184")</f>
        <v>-33.806866,-70.738184</v>
      </c>
      <c r="C7434" s="6" t="str">
        <f ca="1">IFERROR(__xludf.DUMMYFUNCTION("""COMPUTED_VALUE"""),"SAN JOSE 15")</f>
        <v>SAN JOSE 15</v>
      </c>
      <c r="D7434" s="6" t="str">
        <f ca="1">IFERROR(__xludf.DUMMYFUNCTION("""COMPUTED_VALUE"""),"PAINE")</f>
        <v>PAINE</v>
      </c>
    </row>
    <row r="7435" spans="1:4">
      <c r="A7435" s="7">
        <f ca="1">IFERROR(__xludf.DUMMYFUNCTION("""COMPUTED_VALUE"""),44645)</f>
        <v>44645</v>
      </c>
      <c r="B7435" s="6" t="str">
        <f ca="1">IFERROR(__xludf.DUMMYFUNCTION("""COMPUTED_VALUE"""),"-33.727592,-70.715612")</f>
        <v>-33.727592,-70.715612</v>
      </c>
      <c r="C7435" s="6" t="str">
        <f ca="1">IFERROR(__xludf.DUMMYFUNCTION("""COMPUTED_VALUE"""),"FERNANDO RODRIGUEZ CAMPOS 107")</f>
        <v>FERNANDO RODRIGUEZ CAMPOS 107</v>
      </c>
      <c r="D7435" s="6" t="str">
        <f ca="1">IFERROR(__xludf.DUMMYFUNCTION("""COMPUTED_VALUE"""),"BUIN")</f>
        <v>BUIN</v>
      </c>
    </row>
    <row r="7436" spans="1:4">
      <c r="A7436" s="7">
        <f ca="1">IFERROR(__xludf.DUMMYFUNCTION("""COMPUTED_VALUE"""),44645)</f>
        <v>44645</v>
      </c>
      <c r="B7436" s="6" t="str">
        <f ca="1">IFERROR(__xludf.DUMMYFUNCTION("""COMPUTED_VALUE"""),"-33.704093,-70.589692")</f>
        <v>-33.704093,-70.589692</v>
      </c>
      <c r="C7436" s="6" t="str">
        <f ca="1">IFERROR(__xludf.DUMMYFUNCTION("""COMPUTED_VALUE"""),"CASAS DE LOS ARCAYA PARC 6")</f>
        <v>CASAS DE LOS ARCAYA PARC 6</v>
      </c>
      <c r="D7436" s="6" t="str">
        <f ca="1">IFERROR(__xludf.DUMMYFUNCTION("""COMPUTED_VALUE"""),"PIRQUE")</f>
        <v>PIRQUE</v>
      </c>
    </row>
    <row r="7437" spans="1:4">
      <c r="A7437" s="7">
        <f ca="1">IFERROR(__xludf.DUMMYFUNCTION("""COMPUTED_VALUE"""),44645)</f>
        <v>44645</v>
      </c>
      <c r="B7437" s="6" t="str">
        <f ca="1">IFERROR(__xludf.DUMMYFUNCTION("""COMPUTED_VALUE"""),"-33.8121052,-70.7344471")</f>
        <v>-33.8121052,-70.7344471</v>
      </c>
      <c r="C7437" s="6" t="str">
        <f ca="1">IFERROR(__xludf.DUMMYFUNCTION("""COMPUTED_VALUE"""),"EL COIGUE 687")</f>
        <v>EL COIGUE 687</v>
      </c>
      <c r="D7437" s="6" t="str">
        <f ca="1">IFERROR(__xludf.DUMMYFUNCTION("""COMPUTED_VALUE"""),"PAINE")</f>
        <v>PAINE</v>
      </c>
    </row>
    <row r="7438" spans="1:4">
      <c r="A7438" s="7">
        <f ca="1">IFERROR(__xludf.DUMMYFUNCTION("""COMPUTED_VALUE"""),44646)</f>
        <v>44646</v>
      </c>
      <c r="B7438" s="8" t="str">
        <f ca="1">IFERROR(__xludf.DUMMYFUNCTION("""COMPUTED_VALUE"""),"-33.219676,-70.685221")</f>
        <v>-33.219676,-70.685221</v>
      </c>
      <c r="C7438" s="6" t="str">
        <f ca="1">IFERROR(__xludf.DUMMYFUNCTION("""COMPUTED_VALUE"""),"EL POTRILLO 108")</f>
        <v>EL POTRILLO 108</v>
      </c>
      <c r="D7438" s="6" t="str">
        <f ca="1">IFERROR(__xludf.DUMMYFUNCTION("""COMPUTED_VALUE"""),"COLINA")</f>
        <v>COLINA</v>
      </c>
    </row>
    <row r="7439" spans="1:4">
      <c r="A7439" s="7">
        <f ca="1">IFERROR(__xludf.DUMMYFUNCTION("""COMPUTED_VALUE"""),44646)</f>
        <v>44646</v>
      </c>
      <c r="B7439" s="8" t="str">
        <f ca="1">IFERROR(__xludf.DUMMYFUNCTION("""COMPUTED_VALUE"""),"-33.207948,-70.677263")</f>
        <v>-33.207948,-70.677263</v>
      </c>
      <c r="C7439" s="6" t="str">
        <f ca="1">IFERROR(__xludf.DUMMYFUNCTION("""COMPUTED_VALUE"""),"COSTANERA PONIENTE 1052")</f>
        <v>COSTANERA PONIENTE 1052</v>
      </c>
      <c r="D7439" s="6" t="str">
        <f ca="1">IFERROR(__xludf.DUMMYFUNCTION("""COMPUTED_VALUE"""),"COLINA")</f>
        <v>COLINA</v>
      </c>
    </row>
    <row r="7440" spans="1:4">
      <c r="A7440" s="7">
        <f ca="1">IFERROR(__xludf.DUMMYFUNCTION("""COMPUTED_VALUE"""),44646)</f>
        <v>44646</v>
      </c>
      <c r="B7440" s="8" t="str">
        <f ca="1">IFERROR(__xludf.DUMMYFUNCTION("""COMPUTED_VALUE"""),"-33.306581,-70.679961")</f>
        <v>-33.306581,-70.679961</v>
      </c>
      <c r="C7440" s="6" t="str">
        <f ca="1">IFERROR(__xludf.DUMMYFUNCTION("""COMPUTED_VALUE"""),"FERMIN VERGARA 146")</f>
        <v>FERMIN VERGARA 146</v>
      </c>
      <c r="D7440" s="6" t="str">
        <f ca="1">IFERROR(__xludf.DUMMYFUNCTION("""COMPUTED_VALUE"""),"COLINA")</f>
        <v>COLINA</v>
      </c>
    </row>
    <row r="7441" spans="1:4">
      <c r="A7441" s="7">
        <f ca="1">IFERROR(__xludf.DUMMYFUNCTION("""COMPUTED_VALUE"""),44646)</f>
        <v>44646</v>
      </c>
      <c r="B7441" s="6" t="str">
        <f ca="1">IFERROR(__xludf.DUMMYFUNCTION("""COMPUTED_VALUE"""),"-33.757555,-70.914885")</f>
        <v>-33.757555,-70.914885</v>
      </c>
      <c r="C7441" s="6" t="str">
        <f ca="1">IFERROR(__xludf.DUMMYFUNCTION("""COMPUTED_VALUE"""),"ACEVEDO 720")</f>
        <v>ACEVEDO 720</v>
      </c>
      <c r="D7441" s="6" t="str">
        <f ca="1">IFERROR(__xludf.DUMMYFUNCTION("""COMPUTED_VALUE"""),"ISLA DE MAIPO")</f>
        <v>ISLA DE MAIPO</v>
      </c>
    </row>
    <row r="7442" spans="1:4">
      <c r="A7442" s="7">
        <f ca="1">IFERROR(__xludf.DUMMYFUNCTION("""COMPUTED_VALUE"""),44646)</f>
        <v>44646</v>
      </c>
      <c r="B7442" s="6" t="str">
        <f ca="1">IFERROR(__xludf.DUMMYFUNCTION("""COMPUTED_VALUE"""),"-35.430664,-71.627886")</f>
        <v>-35.430664,-71.627886</v>
      </c>
      <c r="C7442" s="6" t="str">
        <f ca="1">IFERROR(__xludf.DUMMYFUNCTION("""COMPUTED_VALUE"""),"TREINTA ORIENTE DOS Y MEDIO NORTE 1043")</f>
        <v>TREINTA ORIENTE DOS Y MEDIO NORTE 1043</v>
      </c>
      <c r="D7442" s="6" t="str">
        <f ca="1">IFERROR(__xludf.DUMMYFUNCTION("""COMPUTED_VALUE"""),"TALCA")</f>
        <v>TALCA</v>
      </c>
    </row>
    <row r="7443" spans="1:4">
      <c r="A7443" s="7">
        <f ca="1">IFERROR(__xludf.DUMMYFUNCTION("""COMPUTED_VALUE"""),44646)</f>
        <v>44646</v>
      </c>
      <c r="B7443" s="6" t="str">
        <f ca="1">IFERROR(__xludf.DUMMYFUNCTION("""COMPUTED_VALUE"""),"-35.427960,-71.629790")</f>
        <v>-35.427960,-71.629790</v>
      </c>
      <c r="C7443" s="6" t="str">
        <f ca="1">IFERROR(__xludf.DUMMYFUNCTION("""COMPUTED_VALUE"""),"VILCHEZ BAJOS S/N LOTE 4-C -047110 EL CERRILLO 1")</f>
        <v>VILCHEZ BAJOS S/N LOTE 4-C -047110 EL CERRILLO 1</v>
      </c>
      <c r="D7443" s="6" t="str">
        <f ca="1">IFERROR(__xludf.DUMMYFUNCTION("""COMPUTED_VALUE"""),"TALCA")</f>
        <v>TALCA</v>
      </c>
    </row>
    <row r="7444" spans="1:4">
      <c r="A7444" s="7">
        <f ca="1">IFERROR(__xludf.DUMMYFUNCTION("""COMPUTED_VALUE"""),44646)</f>
        <v>44646</v>
      </c>
      <c r="B7444" s="6" t="str">
        <f ca="1">IFERROR(__xludf.DUMMYFUNCTION("""COMPUTED_VALUE"""),"-35.396170,-71.653823")</f>
        <v>-35.396170,-71.653823</v>
      </c>
      <c r="C7444" s="6" t="str">
        <f ca="1">IFERROR(__xludf.DUMMYFUNCTION("""COMPUTED_VALUE"""),"VEINTIDOS Y MEDIO NORTE  A 3 LOTE A 1047")</f>
        <v>VEINTIDOS Y MEDIO NORTE  A 3 LOTE A 1047</v>
      </c>
      <c r="D7444" s="6" t="str">
        <f ca="1">IFERROR(__xludf.DUMMYFUNCTION("""COMPUTED_VALUE"""),"TALCA")</f>
        <v>TALCA</v>
      </c>
    </row>
    <row r="7445" spans="1:4">
      <c r="A7445" s="7">
        <f ca="1">IFERROR(__xludf.DUMMYFUNCTION("""COMPUTED_VALUE"""),44646)</f>
        <v>44646</v>
      </c>
      <c r="B7445" s="6" t="str">
        <f ca="1">IFERROR(__xludf.DUMMYFUNCTION("""COMPUTED_VALUE"""),"-33.217568,-70.786488")</f>
        <v>-33.217568,-70.786488</v>
      </c>
      <c r="C7445" s="6" t="str">
        <f ca="1">IFERROR(__xludf.DUMMYFUNCTION("""COMPUTED_VALUE"""),"STA. CAROLINA PARC 22 LOTE 22E")</f>
        <v>STA. CAROLINA PARC 22 LOTE 22E</v>
      </c>
      <c r="D7445" s="6" t="str">
        <f ca="1">IFERROR(__xludf.DUMMYFUNCTION("""COMPUTED_VALUE"""),"LAMPA")</f>
        <v>LAMPA</v>
      </c>
    </row>
    <row r="7446" spans="1:4">
      <c r="A7446" s="7">
        <f ca="1">IFERROR(__xludf.DUMMYFUNCTION("""COMPUTED_VALUE"""),44647)</f>
        <v>44647</v>
      </c>
      <c r="B7446" s="6" t="str">
        <f ca="1">IFERROR(__xludf.DUMMYFUNCTION("""COMPUTED_VALUE"""),"-33.851852,-70.943227")</f>
        <v>-33.851852,-70.943227</v>
      </c>
      <c r="C7446" s="6" t="str">
        <f ca="1">IFERROR(__xludf.DUMMYFUNCTION("""COMPUTED_VALUE"""),"RESERVA CORA 49")</f>
        <v>RESERVA CORA 49</v>
      </c>
      <c r="D7446" s="6" t="str">
        <f ca="1">IFERROR(__xludf.DUMMYFUNCTION("""COMPUTED_VALUE"""),"PAINE")</f>
        <v>PAINE</v>
      </c>
    </row>
    <row r="7447" spans="1:4">
      <c r="A7447" s="7">
        <f ca="1">IFERROR(__xludf.DUMMYFUNCTION("""COMPUTED_VALUE"""),44648)</f>
        <v>44648</v>
      </c>
      <c r="B7447" s="8" t="str">
        <f ca="1">IFERROR(__xludf.DUMMYFUNCTION("""COMPUTED_VALUE"""),"33684214-70098894")</f>
        <v>33684214-70098894</v>
      </c>
      <c r="C7447" s="6" t="str">
        <f ca="1">IFERROR(__xludf.DUMMYFUNCTION("""COMPUTED_VALUE"""),"CHIÑIGUE EL CRISTO 19")</f>
        <v>CHIÑIGUE EL CRISTO 19</v>
      </c>
      <c r="D7447" s="6" t="str">
        <f ca="1">IFERROR(__xludf.DUMMYFUNCTION("""COMPUTED_VALUE"""),"EL MONTE")</f>
        <v>EL MONTE</v>
      </c>
    </row>
    <row r="7448" spans="1:4">
      <c r="A7448" s="7">
        <f ca="1">IFERROR(__xludf.DUMMYFUNCTION("""COMPUTED_VALUE"""),44648)</f>
        <v>44648</v>
      </c>
      <c r="B7448" s="8" t="str">
        <f ca="1">IFERROR(__xludf.DUMMYFUNCTION("""COMPUTED_VALUE"""),"33684682-70098721")</f>
        <v>33684682-70098721</v>
      </c>
      <c r="C7448" s="6" t="str">
        <f ca="1">IFERROR(__xludf.DUMMYFUNCTION("""COMPUTED_VALUE"""),"CHIÑIGUE EL CRISTO S/N")</f>
        <v>CHIÑIGUE EL CRISTO S/N</v>
      </c>
      <c r="D7448" s="6" t="str">
        <f ca="1">IFERROR(__xludf.DUMMYFUNCTION("""COMPUTED_VALUE"""),"EL MONTE")</f>
        <v>EL MONTE</v>
      </c>
    </row>
    <row r="7449" spans="1:4">
      <c r="A7449" s="7">
        <f ca="1">IFERROR(__xludf.DUMMYFUNCTION("""COMPUTED_VALUE"""),44648)</f>
        <v>44648</v>
      </c>
      <c r="B7449" s="6" t="str">
        <f ca="1">IFERROR(__xludf.DUMMYFUNCTION("""COMPUTED_VALUE"""),"-33.38821-71.106560")</f>
        <v>-33.38821-71.106560</v>
      </c>
      <c r="C7449" s="6" t="str">
        <f ca="1">IFERROR(__xludf.DUMMYFUNCTION("""COMPUTED_VALUE"""),"CUYUNCAVI PARCELA 46")</f>
        <v>CUYUNCAVI PARCELA 46</v>
      </c>
      <c r="D7449" s="6" t="str">
        <f ca="1">IFERROR(__xludf.DUMMYFUNCTION("""COMPUTED_VALUE"""),"CURACAVI")</f>
        <v>CURACAVI</v>
      </c>
    </row>
    <row r="7450" spans="1:4">
      <c r="A7450" s="7">
        <f ca="1">IFERROR(__xludf.DUMMYFUNCTION("""COMPUTED_VALUE"""),44648)</f>
        <v>44648</v>
      </c>
      <c r="B7450" s="6" t="str">
        <f ca="1">IFERROR(__xludf.DUMMYFUNCTION("""COMPUTED_VALUE"""),"-33.38821-71.106560")</f>
        <v>-33.38821-71.106560</v>
      </c>
      <c r="C7450" s="6" t="str">
        <f ca="1">IFERROR(__xludf.DUMMYFUNCTION("""COMPUTED_VALUE"""),"CUYUNCAVI PARCELA 46")</f>
        <v>CUYUNCAVI PARCELA 46</v>
      </c>
      <c r="D7450" s="6" t="str">
        <f ca="1">IFERROR(__xludf.DUMMYFUNCTION("""COMPUTED_VALUE"""),"CURACAVI")</f>
        <v>CURACAVI</v>
      </c>
    </row>
    <row r="7451" spans="1:4">
      <c r="A7451" s="7">
        <f ca="1">IFERROR(__xludf.DUMMYFUNCTION("""COMPUTED_VALUE"""),44648)</f>
        <v>44648</v>
      </c>
      <c r="B7451" s="6" t="str">
        <f ca="1">IFERROR(__xludf.DUMMYFUNCTION("""COMPUTED_VALUE"""),"-33.834371,-70.847122")</f>
        <v>-33.834371,-70.847122</v>
      </c>
      <c r="C7451" s="6" t="str">
        <f ca="1">IFERROR(__xludf.DUMMYFUNCTION("""COMPUTED_VALUE"""),"CI PERALILLO S/N  N°6 SITIO -8 PARCELACION ")</f>
        <v xml:space="preserve">CI PERALILLO S/N  N°6 SITIO -8 PARCELACION </v>
      </c>
      <c r="D7451" s="6" t="str">
        <f ca="1">IFERROR(__xludf.DUMMYFUNCTION("""COMPUTED_VALUE"""),"PAINE")</f>
        <v>PAINE</v>
      </c>
    </row>
    <row r="7452" spans="1:4">
      <c r="A7452" s="7">
        <f ca="1">IFERROR(__xludf.DUMMYFUNCTION("""COMPUTED_VALUE"""),44648)</f>
        <v>44648</v>
      </c>
      <c r="B7452" s="6" t="str">
        <f ca="1">IFERROR(__xludf.DUMMYFUNCTION("""COMPUTED_VALUE"""),"-33.869358,-70.853355")</f>
        <v>-33.869358,-70.853355</v>
      </c>
      <c r="C7452" s="6" t="str">
        <f ca="1">IFERROR(__xludf.DUMMYFUNCTION("""COMPUTED_VALUE"""),"HUITICALAN PARCELA 5 SITIO 12")</f>
        <v>HUITICALAN PARCELA 5 SITIO 12</v>
      </c>
      <c r="D7452" s="6" t="str">
        <f ca="1">IFERROR(__xludf.DUMMYFUNCTION("""COMPUTED_VALUE"""),"PAINE")</f>
        <v>PAINE</v>
      </c>
    </row>
    <row r="7453" spans="1:4">
      <c r="A7453" s="7">
        <f ca="1">IFERROR(__xludf.DUMMYFUNCTION("""COMPUTED_VALUE"""),44648)</f>
        <v>44648</v>
      </c>
      <c r="B7453" s="8" t="str">
        <f ca="1">IFERROR(__xludf.DUMMYFUNCTION("""COMPUTED_VALUE"""),"-33.864992,-70.700865")</f>
        <v>-33.864992,-70.700865</v>
      </c>
      <c r="C7453" s="6" t="str">
        <f ca="1">IFERROR(__xludf.DUMMYFUNCTION("""COMPUTED_VALUE"""),"LA ALBORADA SITIO 22")</f>
        <v>LA ALBORADA SITIO 22</v>
      </c>
      <c r="D7453" s="6" t="str">
        <f ca="1">IFERROR(__xludf.DUMMYFUNCTION("""COMPUTED_VALUE"""),"PAINE")</f>
        <v>PAINE</v>
      </c>
    </row>
    <row r="7454" spans="1:4">
      <c r="A7454" s="7">
        <f ca="1">IFERROR(__xludf.DUMMYFUNCTION("""COMPUTED_VALUE"""),44648)</f>
        <v>44648</v>
      </c>
      <c r="B7454" s="8" t="str">
        <f ca="1">IFERROR(__xludf.DUMMYFUNCTION("""COMPUTED_VALUE"""),"-33.587846,-70.756465")</f>
        <v>-33.587846,-70.756465</v>
      </c>
      <c r="C7454" s="6" t="str">
        <f ca="1">IFERROR(__xludf.DUMMYFUNCTION("""COMPUTED_VALUE"""),"CAMINO LO HERMITA HIJUELA N°8")</f>
        <v>CAMINO LO HERMITA HIJUELA N°8</v>
      </c>
      <c r="D7454" s="6" t="str">
        <f ca="1">IFERROR(__xludf.DUMMYFUNCTION("""COMPUTED_VALUE"""),"CALERA DE TANGO")</f>
        <v>CALERA DE TANGO</v>
      </c>
    </row>
    <row r="7455" spans="1:4">
      <c r="A7455" s="7">
        <f ca="1">IFERROR(__xludf.DUMMYFUNCTION("""COMPUTED_VALUE"""),44648)</f>
        <v>44648</v>
      </c>
      <c r="B7455" s="8" t="str">
        <f ca="1">IFERROR(__xludf.DUMMYFUNCTION("""COMPUTED_VALUE"""),"-33.585587,-70.815889")</f>
        <v>-33.585587,-70.815889</v>
      </c>
      <c r="C7455" s="6" t="str">
        <f ca="1">IFERROR(__xludf.DUMMYFUNCTION("""COMPUTED_VALUE"""),"Parcela 10/M71 5-22")</f>
        <v>Parcela 10/M71 5-22</v>
      </c>
      <c r="D7455" s="6" t="str">
        <f ca="1">IFERROR(__xludf.DUMMYFUNCTION("""COMPUTED_VALUE"""),"PADRE HURTADO")</f>
        <v>PADRE HURTADO</v>
      </c>
    </row>
    <row r="7456" spans="1:4">
      <c r="A7456" s="7">
        <f ca="1">IFERROR(__xludf.DUMMYFUNCTION("""COMPUTED_VALUE"""),44648)</f>
        <v>44648</v>
      </c>
      <c r="B7456" s="8" t="str">
        <f ca="1">IFERROR(__xludf.DUMMYFUNCTION("""COMPUTED_VALUE"""),"-33.752588,-70.825888")</f>
        <v>-33.752588,-70.825888</v>
      </c>
      <c r="C7456" s="6" t="str">
        <f ca="1">IFERROR(__xludf.DUMMYFUNCTION("""COMPUTED_VALUE"""),"EL MAICILLO 4625")</f>
        <v>EL MAICILLO 4625</v>
      </c>
      <c r="D7456" s="6" t="str">
        <f ca="1">IFERROR(__xludf.DUMMYFUNCTION("""COMPUTED_VALUE"""),"ISLA DE MAIPO")</f>
        <v>ISLA DE MAIPO</v>
      </c>
    </row>
    <row r="7457" spans="1:4">
      <c r="A7457" s="7">
        <f ca="1">IFERROR(__xludf.DUMMYFUNCTION("""COMPUTED_VALUE"""),44648)</f>
        <v>44648</v>
      </c>
      <c r="B7457" s="6" t="str">
        <f ca="1">IFERROR(__xludf.DUMMYFUNCTION("""COMPUTED_VALUE"""),"-33.846715,-70.765228")</f>
        <v>-33.846715,-70.765228</v>
      </c>
      <c r="C7457" s="6" t="str">
        <f ca="1">IFERROR(__xludf.DUMMYFUNCTION("""COMPUTED_VALUE"""),"LAS CAMELIAS S/N LOTE 2 ST19")</f>
        <v>LAS CAMELIAS S/N LOTE 2 ST19</v>
      </c>
      <c r="D7457" s="6" t="str">
        <f ca="1">IFERROR(__xludf.DUMMYFUNCTION("""COMPUTED_VALUE"""),"PAINE")</f>
        <v>PAINE</v>
      </c>
    </row>
    <row r="7458" spans="1:4">
      <c r="A7458" s="7">
        <f ca="1">IFERROR(__xludf.DUMMYFUNCTION("""COMPUTED_VALUE"""),44648)</f>
        <v>44648</v>
      </c>
      <c r="B7458" s="6" t="str">
        <f ca="1">IFERROR(__xludf.DUMMYFUNCTION("""COMPUTED_VALUE"""),"-33.861397,-70.752779")</f>
        <v>-33.861397,-70.752779</v>
      </c>
      <c r="C7458" s="6" t="str">
        <f ca="1">IFERROR(__xludf.DUMMYFUNCTION("""COMPUTED_VALUE"""),"LOS AROMOS 109 CHAMPA")</f>
        <v>LOS AROMOS 109 CHAMPA</v>
      </c>
      <c r="D7458" s="6" t="str">
        <f ca="1">IFERROR(__xludf.DUMMYFUNCTION("""COMPUTED_VALUE"""),"PAINE")</f>
        <v>PAINE</v>
      </c>
    </row>
    <row r="7459" spans="1:4">
      <c r="A7459" s="7">
        <f ca="1">IFERROR(__xludf.DUMMYFUNCTION("""COMPUTED_VALUE"""),44648)</f>
        <v>44648</v>
      </c>
      <c r="B7459" s="6" t="str">
        <f ca="1">IFERROR(__xludf.DUMMYFUNCTION("""COMPUTED_VALUE"""),"-33.849594,-70.764746")</f>
        <v>-33.849594,-70.764746</v>
      </c>
      <c r="C7459" s="6" t="str">
        <f ca="1">IFERROR(__xludf.DUMMYFUNCTION("""COMPUTED_VALUE"""),"LAS CAMELIAS 12 CHAMPA")</f>
        <v>LAS CAMELIAS 12 CHAMPA</v>
      </c>
      <c r="D7459" s="6" t="str">
        <f ca="1">IFERROR(__xludf.DUMMYFUNCTION("""COMPUTED_VALUE"""),"PAINE")</f>
        <v>PAINE</v>
      </c>
    </row>
    <row r="7460" spans="1:4">
      <c r="A7460" s="7">
        <f ca="1">IFERROR(__xludf.DUMMYFUNCTION("""COMPUTED_VALUE"""),44648)</f>
        <v>44648</v>
      </c>
      <c r="B7460" s="6" t="str">
        <f ca="1">IFERROR(__xludf.DUMMYFUNCTION("""COMPUTED_VALUE"""),"-33.8806944,-70.7425788")</f>
        <v>-33.8806944,-70.7425788</v>
      </c>
      <c r="C7460" s="6" t="str">
        <f ca="1">IFERROR(__xludf.DUMMYFUNCTION("""COMPUTED_VALUE"""),"LAS MULAS 29B")</f>
        <v>LAS MULAS 29B</v>
      </c>
      <c r="D7460" s="6" t="str">
        <f ca="1">IFERROR(__xludf.DUMMYFUNCTION("""COMPUTED_VALUE"""),"PAINE")</f>
        <v>PAINE</v>
      </c>
    </row>
    <row r="7461" spans="1:4">
      <c r="A7461" s="7">
        <f ca="1">IFERROR(__xludf.DUMMYFUNCTION("""COMPUTED_VALUE"""),44649)</f>
        <v>44649</v>
      </c>
      <c r="B7461" s="8" t="str">
        <f ca="1">IFERROR(__xludf.DUMMYFUNCTION("""COMPUTED_VALUE"""),"33911139-70654969")</f>
        <v>33911139-70654969</v>
      </c>
      <c r="C7461" s="6" t="str">
        <f ca="1">IFERROR(__xludf.DUMMYFUNCTION("""COMPUTED_VALUE"""),"CHADA 34A")</f>
        <v>CHADA 34A</v>
      </c>
      <c r="D7461" s="6" t="str">
        <f ca="1">IFERROR(__xludf.DUMMYFUNCTION("""COMPUTED_VALUE"""),"PAINE")</f>
        <v>PAINE</v>
      </c>
    </row>
    <row r="7462" spans="1:4">
      <c r="A7462" s="7">
        <f ca="1">IFERROR(__xludf.DUMMYFUNCTION("""COMPUTED_VALUE"""),44649)</f>
        <v>44649</v>
      </c>
      <c r="B7462" s="8" t="str">
        <f ca="1">IFERROR(__xludf.DUMMYFUNCTION("""COMPUTED_VALUE"""),"33804277-70705227")</f>
        <v>33804277-70705227</v>
      </c>
      <c r="C7462" s="6" t="str">
        <f ca="1">IFERROR(__xludf.DUMMYFUNCTION("""COMPUTED_VALUE"""),"AV18 DE SEPTIEMBRE S/N")</f>
        <v>AV18 DE SEPTIEMBRE S/N</v>
      </c>
      <c r="D7462" s="6" t="str">
        <f ca="1">IFERROR(__xludf.DUMMYFUNCTION("""COMPUTED_VALUE"""),"PAINE")</f>
        <v>PAINE</v>
      </c>
    </row>
    <row r="7463" spans="1:4">
      <c r="A7463" s="7">
        <f ca="1">IFERROR(__xludf.DUMMYFUNCTION("""COMPUTED_VALUE"""),44649)</f>
        <v>44649</v>
      </c>
      <c r="B7463" s="8" t="str">
        <f ca="1">IFERROR(__xludf.DUMMYFUNCTION("""COMPUTED_VALUE"""),"33734494-70905992")</f>
        <v>33734494-70905992</v>
      </c>
      <c r="C7463" s="6" t="str">
        <f ca="1">IFERROR(__xludf.DUMMYFUNCTION("""COMPUTED_VALUE"""),"LO PRADO 670")</f>
        <v>LO PRADO 670</v>
      </c>
      <c r="D7463" s="6" t="str">
        <f ca="1">IFERROR(__xludf.DUMMYFUNCTION("""COMPUTED_VALUE"""),"ISLA DE MAIPO")</f>
        <v>ISLA DE MAIPO</v>
      </c>
    </row>
    <row r="7464" spans="1:4">
      <c r="A7464" s="7">
        <f ca="1">IFERROR(__xludf.DUMMYFUNCTION("""COMPUTED_VALUE"""),44649)</f>
        <v>44649</v>
      </c>
      <c r="B7464" s="8" t="str">
        <f ca="1">IFERROR(__xludf.DUMMYFUNCTION("""COMPUTED_VALUE"""),"33733046-70908505")</f>
        <v>33733046-70908505</v>
      </c>
      <c r="C7464" s="6" t="str">
        <f ca="1">IFERROR(__xludf.DUMMYFUNCTION("""COMPUTED_VALUE"""),"LA HIGUERA 1030")</f>
        <v>LA HIGUERA 1030</v>
      </c>
      <c r="D7464" s="6" t="str">
        <f ca="1">IFERROR(__xludf.DUMMYFUNCTION("""COMPUTED_VALUE"""),"ISLA DE MAIPO")</f>
        <v>ISLA DE MAIPO</v>
      </c>
    </row>
    <row r="7465" spans="1:4">
      <c r="A7465" s="7">
        <f ca="1">IFERROR(__xludf.DUMMYFUNCTION("""COMPUTED_VALUE"""),44649)</f>
        <v>44649</v>
      </c>
      <c r="B7465" s="8" t="str">
        <f ca="1">IFERROR(__xludf.DUMMYFUNCTION("""COMPUTED_VALUE"""),"33738818-70863929")</f>
        <v>33738818-70863929</v>
      </c>
      <c r="C7465" s="6" t="str">
        <f ca="1">IFERROR(__xludf.DUMMYFUNCTION("""COMPUTED_VALUE"""),"CREPUSCULO 4258")</f>
        <v>CREPUSCULO 4258</v>
      </c>
      <c r="D7465" s="6" t="str">
        <f ca="1">IFERROR(__xludf.DUMMYFUNCTION("""COMPUTED_VALUE"""),"ISLA DE MAIPO")</f>
        <v>ISLA DE MAIPO</v>
      </c>
    </row>
    <row r="7466" spans="1:4">
      <c r="A7466" s="7">
        <f ca="1">IFERROR(__xludf.DUMMYFUNCTION("""COMPUTED_VALUE"""),44649)</f>
        <v>44649</v>
      </c>
      <c r="B7466" s="8" t="str">
        <f ca="1">IFERROR(__xludf.DUMMYFUNCTION("""COMPUTED_VALUE"""),"33794997-70884347")</f>
        <v>33794997-70884347</v>
      </c>
      <c r="C7466" s="6" t="str">
        <f ca="1">IFERROR(__xludf.DUMMYFUNCTION("""COMPUTED_VALUE"""),"SAN JOSE 4135")</f>
        <v>SAN JOSE 4135</v>
      </c>
      <c r="D7466" s="6" t="str">
        <f ca="1">IFERROR(__xludf.DUMMYFUNCTION("""COMPUTED_VALUE"""),"ISLA DE MAIPO")</f>
        <v>ISLA DE MAIPO</v>
      </c>
    </row>
    <row r="7467" spans="1:4">
      <c r="A7467" s="7">
        <f ca="1">IFERROR(__xludf.DUMMYFUNCTION("""COMPUTED_VALUE"""),44649)</f>
        <v>44649</v>
      </c>
      <c r="B7467" s="8" t="str">
        <f ca="1">IFERROR(__xludf.DUMMYFUNCTION("""COMPUTED_VALUE"""),"33785785-70887718")</f>
        <v>33785785-70887718</v>
      </c>
      <c r="C7467" s="6" t="str">
        <f ca="1">IFERROR(__xludf.DUMMYFUNCTION("""COMPUTED_VALUE"""),"SAN MARTIRIAN 722")</f>
        <v>SAN MARTIRIAN 722</v>
      </c>
      <c r="D7467" s="6" t="str">
        <f ca="1">IFERROR(__xludf.DUMMYFUNCTION("""COMPUTED_VALUE"""),"ISLA DE MAIPO")</f>
        <v>ISLA DE MAIPO</v>
      </c>
    </row>
    <row r="7468" spans="1:4">
      <c r="A7468" s="7">
        <f ca="1">IFERROR(__xludf.DUMMYFUNCTION("""COMPUTED_VALUE"""),44649)</f>
        <v>44649</v>
      </c>
      <c r="B7468" s="8" t="str">
        <f ca="1">IFERROR(__xludf.DUMMYFUNCTION("""COMPUTED_VALUE"""),"33738853-70863886")</f>
        <v>33738853-70863886</v>
      </c>
      <c r="C7468" s="6" t="str">
        <f ca="1">IFERROR(__xludf.DUMMYFUNCTION("""COMPUTED_VALUE"""),"CREPUSCULO 164 B")</f>
        <v>CREPUSCULO 164 B</v>
      </c>
      <c r="D7468" s="6" t="str">
        <f ca="1">IFERROR(__xludf.DUMMYFUNCTION("""COMPUTED_VALUE"""),"ISLA DE MAIPO")</f>
        <v>ISLA DE MAIPO</v>
      </c>
    </row>
    <row r="7469" spans="1:4">
      <c r="A7469" s="7">
        <f ca="1">IFERROR(__xludf.DUMMYFUNCTION("""COMPUTED_VALUE"""),44649)</f>
        <v>44649</v>
      </c>
      <c r="B7469" s="6" t="str">
        <f ca="1">IFERROR(__xludf.DUMMYFUNCTION("""COMPUTED_VALUE"""),"-33.67977-71.21832")</f>
        <v>-33.67977-71.21832</v>
      </c>
      <c r="C7469" s="6" t="str">
        <f ca="1">IFERROR(__xludf.DUMMYFUNCTION("""COMPUTED_VALUE"""),"AV. VICUÑA MACKENNA 848")</f>
        <v>AV. VICUÑA MACKENNA 848</v>
      </c>
      <c r="D7469" s="6" t="str">
        <f ca="1">IFERROR(__xludf.DUMMYFUNCTION("""COMPUTED_VALUE"""),"MELIPILLA")</f>
        <v>MELIPILLA</v>
      </c>
    </row>
    <row r="7470" spans="1:4">
      <c r="A7470" s="7">
        <f ca="1">IFERROR(__xludf.DUMMYFUNCTION("""COMPUTED_VALUE"""),44649)</f>
        <v>44649</v>
      </c>
      <c r="B7470" s="6" t="str">
        <f ca="1">IFERROR(__xludf.DUMMYFUNCTION("""COMPUTED_VALUE"""),"-33.55721-71.21652")</f>
        <v>-33.55721-71.21652</v>
      </c>
      <c r="C7470" s="6" t="str">
        <f ca="1">IFERROR(__xludf.DUMMYFUNCTION("""COMPUTED_VALUE"""),"LAS OSTALAZAS 337")</f>
        <v>LAS OSTALAZAS 337</v>
      </c>
      <c r="D7470" s="6" t="str">
        <f ca="1">IFERROR(__xludf.DUMMYFUNCTION("""COMPUTED_VALUE"""),"MELIPILLA")</f>
        <v>MELIPILLA</v>
      </c>
    </row>
    <row r="7471" spans="1:4">
      <c r="A7471" s="7">
        <f ca="1">IFERROR(__xludf.DUMMYFUNCTION("""COMPUTED_VALUE"""),44649)</f>
        <v>44649</v>
      </c>
      <c r="B7471" s="8" t="str">
        <f ca="1">IFERROR(__xludf.DUMMYFUNCTION("""COMPUTED_VALUE"""),"-33.670036,-70.557986")</f>
        <v>-33.670036,-70.557986</v>
      </c>
      <c r="C7471" s="6" t="str">
        <f ca="1">IFERROR(__xludf.DUMMYFUNCTION("""COMPUTED_VALUE"""),"GUILLERO MARTINEZ 2505")</f>
        <v>GUILLERO MARTINEZ 2505</v>
      </c>
      <c r="D7471" s="6" t="str">
        <f ca="1">IFERROR(__xludf.DUMMYFUNCTION("""COMPUTED_VALUE"""),"PIRQUE")</f>
        <v>PIRQUE</v>
      </c>
    </row>
    <row r="7472" spans="1:4">
      <c r="A7472" s="7">
        <f ca="1">IFERROR(__xludf.DUMMYFUNCTION("""COMPUTED_VALUE"""),44649)</f>
        <v>44649</v>
      </c>
      <c r="B7472" s="8" t="str">
        <f ca="1">IFERROR(__xludf.DUMMYFUNCTION("""COMPUTED_VALUE"""),"-33.650549,-70.568731")</f>
        <v>-33.650549,-70.568731</v>
      </c>
      <c r="C7472" s="6" t="str">
        <f ca="1">IFERROR(__xludf.DUMMYFUNCTION("""COMPUTED_VALUE"""),"LOS ALOMOS CALLE GABRIELA MISTRAL 457")</f>
        <v>LOS ALOMOS CALLE GABRIELA MISTRAL 457</v>
      </c>
      <c r="D7472" s="6" t="str">
        <f ca="1">IFERROR(__xludf.DUMMYFUNCTION("""COMPUTED_VALUE"""),"PIRQUE")</f>
        <v>PIRQUE</v>
      </c>
    </row>
    <row r="7473" spans="1:4">
      <c r="A7473" s="7">
        <f ca="1">IFERROR(__xludf.DUMMYFUNCTION("""COMPUTED_VALUE"""),44649)</f>
        <v>44649</v>
      </c>
      <c r="B7473" s="8" t="str">
        <f ca="1">IFERROR(__xludf.DUMMYFUNCTION("""COMPUTED_VALUE"""),"-33.1183337,-70.668389")</f>
        <v>-33.1183337,-70.668389</v>
      </c>
      <c r="C7473" s="6" t="str">
        <f ca="1">IFERROR(__xludf.DUMMYFUNCTION("""COMPUTED_VALUE"""),"ESCRITOR RICARDO LATEHAM 2710")</f>
        <v>ESCRITOR RICARDO LATEHAM 2710</v>
      </c>
      <c r="D7473" s="6" t="str">
        <f ca="1">IFERROR(__xludf.DUMMYFUNCTION("""COMPUTED_VALUE"""),"COLINA")</f>
        <v>COLINA</v>
      </c>
    </row>
    <row r="7474" spans="1:4">
      <c r="A7474" s="7">
        <f ca="1">IFERROR(__xludf.DUMMYFUNCTION("""COMPUTED_VALUE"""),44649)</f>
        <v>44649</v>
      </c>
      <c r="B7474" s="8" t="str">
        <f ca="1">IFERROR(__xludf.DUMMYFUNCTION("""COMPUTED_VALUE"""),"-33.7042606,-70.5632849")</f>
        <v>-33.7042606,-70.5632849</v>
      </c>
      <c r="C7474" s="6" t="str">
        <f ca="1">IFERROR(__xludf.DUMMYFUNCTION("""COMPUTED_VALUE"""),"AV ALCALDE HERNAN PRIETO 22")</f>
        <v>AV ALCALDE HERNAN PRIETO 22</v>
      </c>
      <c r="D7474" s="6" t="str">
        <f ca="1">IFERROR(__xludf.DUMMYFUNCTION("""COMPUTED_VALUE"""),"PIRQUE")</f>
        <v>PIRQUE</v>
      </c>
    </row>
    <row r="7475" spans="1:4">
      <c r="A7475" s="7">
        <f ca="1">IFERROR(__xludf.DUMMYFUNCTION("""COMPUTED_VALUE"""),44649)</f>
        <v>44649</v>
      </c>
      <c r="B7475" s="8" t="str">
        <f ca="1">IFERROR(__xludf.DUMMYFUNCTION("""COMPUTED_VALUE"""),"-33.6424531,-70.5911868")</f>
        <v>-33.6424531,-70.5911868</v>
      </c>
      <c r="C7475" s="6" t="str">
        <f ca="1">IFERROR(__xludf.DUMMYFUNCTION("""COMPUTED_VALUE"""),"VIRGINIA SUBERCASAUX 1763")</f>
        <v>VIRGINIA SUBERCASAUX 1763</v>
      </c>
      <c r="D7475" s="6" t="str">
        <f ca="1">IFERROR(__xludf.DUMMYFUNCTION("""COMPUTED_VALUE"""),"PIRQUE")</f>
        <v>PIRQUE</v>
      </c>
    </row>
    <row r="7476" spans="1:4">
      <c r="A7476" s="7">
        <f ca="1">IFERROR(__xludf.DUMMYFUNCTION("""COMPUTED_VALUE"""),44649)</f>
        <v>44649</v>
      </c>
      <c r="B7476" s="8" t="str">
        <f ca="1">IFERROR(__xludf.DUMMYFUNCTION("""COMPUTED_VALUE"""),"-33.707329,-70.549051")</f>
        <v>-33.707329,-70.549051</v>
      </c>
      <c r="C7476" s="6" t="str">
        <f ca="1">IFERROR(__xludf.DUMMYFUNCTION("""COMPUTED_VALUE"""),"SAN VICENTE SITIO 19")</f>
        <v>SAN VICENTE SITIO 19</v>
      </c>
      <c r="D7476" s="6" t="str">
        <f ca="1">IFERROR(__xludf.DUMMYFUNCTION("""COMPUTED_VALUE"""),"PIRQUE")</f>
        <v>PIRQUE</v>
      </c>
    </row>
    <row r="7477" spans="1:4">
      <c r="A7477" s="7">
        <f ca="1">IFERROR(__xludf.DUMMYFUNCTION("""COMPUTED_VALUE"""),44649)</f>
        <v>44649</v>
      </c>
      <c r="B7477" s="8" t="str">
        <f ca="1">IFERROR(__xludf.DUMMYFUNCTION("""COMPUTED_VALUE"""),"-33.707222,-70.549072")</f>
        <v>-33.707222,-70.549072</v>
      </c>
      <c r="C7477" s="6" t="str">
        <f ca="1">IFERROR(__xludf.DUMMYFUNCTION("""COMPUTED_VALUE"""),"ORILLA DEL RIO 176 A")</f>
        <v>ORILLA DEL RIO 176 A</v>
      </c>
      <c r="D7477" s="6" t="str">
        <f ca="1">IFERROR(__xludf.DUMMYFUNCTION("""COMPUTED_VALUE"""),"PIRQUE")</f>
        <v>PIRQUE</v>
      </c>
    </row>
    <row r="7478" spans="1:4">
      <c r="A7478" s="7">
        <f ca="1">IFERROR(__xludf.DUMMYFUNCTION("""COMPUTED_VALUE"""),44649)</f>
        <v>44649</v>
      </c>
      <c r="B7478" s="6" t="str">
        <f ca="1">IFERROR(__xludf.DUMMYFUNCTION("""COMPUTED_VALUE"""),"-33.784243,-70.885906")</f>
        <v>-33.784243,-70.885906</v>
      </c>
      <c r="C7478" s="6" t="str">
        <f ca="1">IFERROR(__xludf.DUMMYFUNCTION("""COMPUTED_VALUE"""),"LIBERTAD 1794")</f>
        <v>LIBERTAD 1794</v>
      </c>
      <c r="D7478" s="6" t="str">
        <f ca="1">IFERROR(__xludf.DUMMYFUNCTION("""COMPUTED_VALUE"""),"ISLA DE MAIPO")</f>
        <v>ISLA DE MAIPO</v>
      </c>
    </row>
    <row r="7479" spans="1:4">
      <c r="A7479" s="7">
        <f ca="1">IFERROR(__xludf.DUMMYFUNCTION("""COMPUTED_VALUE"""),44649)</f>
        <v>44649</v>
      </c>
      <c r="B7479" s="6" t="str">
        <f ca="1">IFERROR(__xludf.DUMMYFUNCTION("""COMPUTED_VALUE"""),"-33.698743,-71.050091")</f>
        <v>-33.698743,-71.050091</v>
      </c>
      <c r="C7479" s="6" t="str">
        <f ca="1">IFERROR(__xludf.DUMMYFUNCTION("""COMPUTED_VALUE"""),"GREGORIO ORTEGA 1")</f>
        <v>GREGORIO ORTEGA 1</v>
      </c>
      <c r="D7479" s="6" t="str">
        <f ca="1">IFERROR(__xludf.DUMMYFUNCTION("""COMPUTED_VALUE"""),"EL MONTE")</f>
        <v>EL MONTE</v>
      </c>
    </row>
    <row r="7480" spans="1:4">
      <c r="A7480" s="7">
        <f ca="1">IFERROR(__xludf.DUMMYFUNCTION("""COMPUTED_VALUE"""),44649)</f>
        <v>44649</v>
      </c>
      <c r="B7480" s="8" t="str">
        <f ca="1">IFERROR(__xludf.DUMMYFUNCTION("""COMPUTED_VALUE"""),"-33.633125,-70.904310")</f>
        <v>-33.633125,-70.904310</v>
      </c>
      <c r="C7480" s="6" t="str">
        <f ca="1">IFERROR(__xludf.DUMMYFUNCTION("""COMPUTED_VALUE"""),"BERLIN 36")</f>
        <v>BERLIN 36</v>
      </c>
      <c r="D7480" s="6" t="str">
        <f ca="1">IFERROR(__xludf.DUMMYFUNCTION("""COMPUTED_VALUE"""),"CALERA DE TANGO")</f>
        <v>CALERA DE TANGO</v>
      </c>
    </row>
    <row r="7481" spans="1:4">
      <c r="A7481" s="7">
        <f ca="1">IFERROR(__xludf.DUMMYFUNCTION("""COMPUTED_VALUE"""),44649)</f>
        <v>44649</v>
      </c>
      <c r="B7481" s="8" t="str">
        <f ca="1">IFERROR(__xludf.DUMMYFUNCTION("""COMPUTED_VALUE"""),"-33.811870,-70.730646")</f>
        <v>-33.811870,-70.730646</v>
      </c>
      <c r="C7481" s="6" t="str">
        <f ca="1">IFERROR(__xludf.DUMMYFUNCTION("""COMPUTED_VALUE"""),"ANELEY 726")</f>
        <v>ANELEY 726</v>
      </c>
      <c r="D7481" s="6" t="str">
        <f ca="1">IFERROR(__xludf.DUMMYFUNCTION("""COMPUTED_VALUE"""),"PAINE")</f>
        <v>PAINE</v>
      </c>
    </row>
    <row r="7482" spans="1:4">
      <c r="A7482" s="7">
        <f ca="1">IFERROR(__xludf.DUMMYFUNCTION("""COMPUTED_VALUE"""),44649)</f>
        <v>44649</v>
      </c>
      <c r="B7482" s="8" t="str">
        <f ca="1">IFERROR(__xludf.DUMMYFUNCTION("""COMPUTED_VALUE"""),"-33.791540,-70.739834")</f>
        <v>-33.791540,-70.739834</v>
      </c>
      <c r="C7482" s="6" t="str">
        <f ca="1">IFERROR(__xludf.DUMMYFUNCTION("""COMPUTED_VALUE"""),"CALLE GENERAL BAQUEDANO SITIO 3")</f>
        <v>CALLE GENERAL BAQUEDANO SITIO 3</v>
      </c>
      <c r="D7482" s="6" t="str">
        <f ca="1">IFERROR(__xludf.DUMMYFUNCTION("""COMPUTED_VALUE"""),"PAINE")</f>
        <v>PAINE</v>
      </c>
    </row>
    <row r="7483" spans="1:4">
      <c r="A7483" s="7">
        <f ca="1">IFERROR(__xludf.DUMMYFUNCTION("""COMPUTED_VALUE"""),44649)</f>
        <v>44649</v>
      </c>
      <c r="B7483" s="8" t="str">
        <f ca="1">IFERROR(__xludf.DUMMYFUNCTION("""COMPUTED_VALUE"""),"-33.633125,-70.904310")</f>
        <v>-33.633125,-70.904310</v>
      </c>
      <c r="C7483" s="6" t="str">
        <f ca="1">IFERROR(__xludf.DUMMYFUNCTION("""COMPUTED_VALUE"""),"BERLIN 36")</f>
        <v>BERLIN 36</v>
      </c>
      <c r="D7483" s="6" t="str">
        <f ca="1">IFERROR(__xludf.DUMMYFUNCTION("""COMPUTED_VALUE"""),"CALERA DE TANGO")</f>
        <v>CALERA DE TANGO</v>
      </c>
    </row>
    <row r="7484" spans="1:4">
      <c r="A7484" s="7">
        <f ca="1">IFERROR(__xludf.DUMMYFUNCTION("""COMPUTED_VALUE"""),44649)</f>
        <v>44649</v>
      </c>
      <c r="B7484" s="6" t="str">
        <f ca="1">IFERROR(__xludf.DUMMYFUNCTION("""COMPUTED_VALUE"""),"-33.893532,-70.756585")</f>
        <v>-33.893532,-70.756585</v>
      </c>
      <c r="C7484" s="6" t="str">
        <f ca="1">IFERROR(__xludf.DUMMYFUNCTION("""COMPUTED_VALUE"""),"CO. AGUILA SUR PARC. 28 B2")</f>
        <v>CO. AGUILA SUR PARC. 28 B2</v>
      </c>
      <c r="D7484" s="6" t="str">
        <f ca="1">IFERROR(__xludf.DUMMYFUNCTION("""COMPUTED_VALUE"""),"PAINE")</f>
        <v>PAINE</v>
      </c>
    </row>
    <row r="7485" spans="1:4">
      <c r="A7485" s="7">
        <f ca="1">IFERROR(__xludf.DUMMYFUNCTION("""COMPUTED_VALUE"""),44649)</f>
        <v>44649</v>
      </c>
      <c r="B7485" s="6" t="str">
        <f ca="1">IFERROR(__xludf.DUMMYFUNCTION("""COMPUTED_VALUE"""),"-33.861275,-70.752631")</f>
        <v>-33.861275,-70.752631</v>
      </c>
      <c r="C7485" s="6" t="str">
        <f ca="1">IFERROR(__xludf.DUMMYFUNCTION("""COMPUTED_VALUE"""),"LOS AROMOS 109 HOSPITAL LT11")</f>
        <v>LOS AROMOS 109 HOSPITAL LT11</v>
      </c>
      <c r="D7485" s="6" t="str">
        <f ca="1">IFERROR(__xludf.DUMMYFUNCTION("""COMPUTED_VALUE"""),"PAINE")</f>
        <v>PAINE</v>
      </c>
    </row>
    <row r="7486" spans="1:4">
      <c r="A7486" s="7">
        <f ca="1">IFERROR(__xludf.DUMMYFUNCTION("""COMPUTED_VALUE"""),44649)</f>
        <v>44649</v>
      </c>
      <c r="B7486" s="6" t="str">
        <f ca="1">IFERROR(__xludf.DUMMYFUNCTION("""COMPUTED_VALUE"""),"-33.821325,-70.751901")</f>
        <v>-33.821325,-70.751901</v>
      </c>
      <c r="C7486" s="6" t="str">
        <f ca="1">IFERROR(__xludf.DUMMYFUNCTION("""COMPUTED_VALUE"""),"RUTA 5 SUR 271")</f>
        <v>RUTA 5 SUR 271</v>
      </c>
      <c r="D7486" s="6" t="str">
        <f ca="1">IFERROR(__xludf.DUMMYFUNCTION("""COMPUTED_VALUE"""),"PAINE")</f>
        <v>PAINE</v>
      </c>
    </row>
    <row r="7487" spans="1:4">
      <c r="A7487" s="7">
        <f ca="1">IFERROR(__xludf.DUMMYFUNCTION("""COMPUTED_VALUE"""),44650)</f>
        <v>44650</v>
      </c>
      <c r="B7487" s="8" t="str">
        <f ca="1">IFERROR(__xludf.DUMMYFUNCTION("""COMPUTED_VALUE"""),"33733002-70908536")</f>
        <v>33733002-70908536</v>
      </c>
      <c r="C7487" s="6" t="str">
        <f ca="1">IFERROR(__xludf.DUMMYFUNCTION("""COMPUTED_VALUE"""),"LA HIGUERA1020")</f>
        <v>LA HIGUERA1020</v>
      </c>
      <c r="D7487" s="6" t="str">
        <f ca="1">IFERROR(__xludf.DUMMYFUNCTION("""COMPUTED_VALUE"""),"ISLA DE MAIPO")</f>
        <v>ISLA DE MAIPO</v>
      </c>
    </row>
    <row r="7488" spans="1:4">
      <c r="A7488" s="7">
        <f ca="1">IFERROR(__xludf.DUMMYFUNCTION("""COMPUTED_VALUE"""),44650)</f>
        <v>44650</v>
      </c>
      <c r="B7488" s="8" t="str">
        <f ca="1">IFERROR(__xludf.DUMMYFUNCTION("""COMPUTED_VALUE"""),"33732589-70909144")</f>
        <v>33732589-70909144</v>
      </c>
      <c r="C7488" s="6" t="str">
        <f ca="1">IFERROR(__xludf.DUMMYFUNCTION("""COMPUTED_VALUE"""),"LA HIGUERA 935")</f>
        <v>LA HIGUERA 935</v>
      </c>
      <c r="D7488" s="6" t="str">
        <f ca="1">IFERROR(__xludf.DUMMYFUNCTION("""COMPUTED_VALUE"""),"ISLA DE MAIPO")</f>
        <v>ISLA DE MAIPO</v>
      </c>
    </row>
    <row r="7489" spans="1:4">
      <c r="A7489" s="7">
        <f ca="1">IFERROR(__xludf.DUMMYFUNCTION("""COMPUTED_VALUE"""),44650)</f>
        <v>44650</v>
      </c>
      <c r="B7489" s="8" t="str">
        <f ca="1">IFERROR(__xludf.DUMMYFUNCTION("""COMPUTED_VALUE"""),"33521334-71151563")</f>
        <v>33521334-71151563</v>
      </c>
      <c r="C7489" s="6" t="str">
        <f ca="1">IFERROR(__xludf.DUMMYFUNCTION("""COMPUTED_VALUE"""),"BARACALDO 5")</f>
        <v>BARACALDO 5</v>
      </c>
      <c r="D7489" s="6" t="str">
        <f ca="1">IFERROR(__xludf.DUMMYFUNCTION("""COMPUTED_VALUE"""),"MARIA PINTO")</f>
        <v>MARIA PINTO</v>
      </c>
    </row>
    <row r="7490" spans="1:4">
      <c r="A7490" s="7">
        <f ca="1">IFERROR(__xludf.DUMMYFUNCTION("""COMPUTED_VALUE"""),44650)</f>
        <v>44650</v>
      </c>
      <c r="B7490" s="8" t="str">
        <f ca="1">IFERROR(__xludf.DUMMYFUNCTION("""COMPUTED_VALUE"""),"33522456-71158539")</f>
        <v>33522456-71158539</v>
      </c>
      <c r="C7490" s="6" t="str">
        <f ca="1">IFERROR(__xludf.DUMMYFUNCTION("""COMPUTED_VALUE"""),"BARACALDO 21")</f>
        <v>BARACALDO 21</v>
      </c>
      <c r="D7490" s="6" t="str">
        <f ca="1">IFERROR(__xludf.DUMMYFUNCTION("""COMPUTED_VALUE"""),"MARIA PINTO")</f>
        <v>MARIA PINTO</v>
      </c>
    </row>
    <row r="7491" spans="1:4">
      <c r="A7491" s="7">
        <f ca="1">IFERROR(__xludf.DUMMYFUNCTION("""COMPUTED_VALUE"""),44650)</f>
        <v>44650</v>
      </c>
      <c r="B7491" s="8" t="str">
        <f ca="1">IFERROR(__xludf.DUMMYFUNCTION("""COMPUTED_VALUE"""),"-33.6726878,-70.6235031")</f>
        <v>-33.6726878,-70.6235031</v>
      </c>
      <c r="C7491" s="6" t="str">
        <f ca="1">IFERROR(__xludf.DUMMYFUNCTION("""COMPUTED_VALUE"""),"REGIDOR OSVALDO VELENZUELA ")</f>
        <v xml:space="preserve">REGIDOR OSVALDO VELENZUELA </v>
      </c>
      <c r="D7491" s="6" t="str">
        <f ca="1">IFERROR(__xludf.DUMMYFUNCTION("""COMPUTED_VALUE"""),"PIRQUE")</f>
        <v>PIRQUE</v>
      </c>
    </row>
    <row r="7492" spans="1:4">
      <c r="A7492" s="7">
        <f ca="1">IFERROR(__xludf.DUMMYFUNCTION("""COMPUTED_VALUE"""),44650)</f>
        <v>44650</v>
      </c>
      <c r="B7492" s="8" t="str">
        <f ca="1">IFERROR(__xludf.DUMMYFUNCTION("""COMPUTED_VALUE"""),"-33.721649,-70.555379")</f>
        <v>-33.721649,-70.555379</v>
      </c>
      <c r="C7492" s="6" t="str">
        <f ca="1">IFERROR(__xludf.DUMMYFUNCTION("""COMPUTED_VALUE"""),"PASAJE NAVARRETE 119")</f>
        <v>PASAJE NAVARRETE 119</v>
      </c>
      <c r="D7492" s="6" t="str">
        <f ca="1">IFERROR(__xludf.DUMMYFUNCTION("""COMPUTED_VALUE"""),"PIRQUE")</f>
        <v>PIRQUE</v>
      </c>
    </row>
    <row r="7493" spans="1:4">
      <c r="A7493" s="7">
        <f ca="1">IFERROR(__xludf.DUMMYFUNCTION("""COMPUTED_VALUE"""),44650)</f>
        <v>44650</v>
      </c>
      <c r="B7493" s="6" t="str">
        <f ca="1">IFERROR(__xludf.DUMMYFUNCTION("""COMPUTED_VALUE"""),"-33.698884,-71.049747")</f>
        <v>-33.698884,-71.049747</v>
      </c>
      <c r="C7493" s="6" t="str">
        <f ca="1">IFERROR(__xludf.DUMMYFUNCTION("""COMPUTED_VALUE"""),"GREGORIO ORTEGA S/N ")</f>
        <v xml:space="preserve">GREGORIO ORTEGA S/N </v>
      </c>
      <c r="D7493" s="6" t="str">
        <f ca="1">IFERROR(__xludf.DUMMYFUNCTION("""COMPUTED_VALUE"""),"EL MONTE")</f>
        <v>EL MONTE</v>
      </c>
    </row>
    <row r="7494" spans="1:4">
      <c r="A7494" s="7">
        <f ca="1">IFERROR(__xludf.DUMMYFUNCTION("""COMPUTED_VALUE"""),44650)</f>
        <v>44650</v>
      </c>
      <c r="B7494" s="6" t="str">
        <f ca="1">IFERROR(__xludf.DUMMYFUNCTION("""COMPUTED_VALUE"""),"-33.669711,-70.992741")</f>
        <v>-33.669711,-70.992741</v>
      </c>
      <c r="C7494" s="6" t="str">
        <f ca="1">IFERROR(__xludf.DUMMYFUNCTION("""COMPUTED_VALUE"""),"MACARENA LA PUNTILLA 682")</f>
        <v>MACARENA LA PUNTILLA 682</v>
      </c>
      <c r="D7494" s="6" t="str">
        <f ca="1">IFERROR(__xludf.DUMMYFUNCTION("""COMPUTED_VALUE"""),"EL MONTE")</f>
        <v>EL MONTE</v>
      </c>
    </row>
    <row r="7495" spans="1:4">
      <c r="A7495" s="7">
        <f ca="1">IFERROR(__xludf.DUMMYFUNCTION("""COMPUTED_VALUE"""),44650)</f>
        <v>44650</v>
      </c>
      <c r="B7495" s="6" t="str">
        <f ca="1">IFERROR(__xludf.DUMMYFUNCTION("""COMPUTED_VALUE"""),"-33.869119,-70.852546")</f>
        <v>-33.869119,-70.852546</v>
      </c>
      <c r="C7495" s="6" t="str">
        <f ca="1">IFERROR(__xludf.DUMMYFUNCTION("""COMPUTED_VALUE"""),"CO INTERIOR 6")</f>
        <v>CO INTERIOR 6</v>
      </c>
      <c r="D7495" s="6" t="str">
        <f ca="1">IFERROR(__xludf.DUMMYFUNCTION("""COMPUTED_VALUE"""),"PAINE")</f>
        <v>PAINE</v>
      </c>
    </row>
    <row r="7496" spans="1:4">
      <c r="A7496" s="7">
        <f ca="1">IFERROR(__xludf.DUMMYFUNCTION("""COMPUTED_VALUE"""),44650)</f>
        <v>44650</v>
      </c>
      <c r="B7496" s="6" t="str">
        <f ca="1">IFERROR(__xludf.DUMMYFUNCTION("""COMPUTED_VALUE"""),"-35.401509,-71.644656")</f>
        <v>-35.401509,-71.644656</v>
      </c>
      <c r="C7496" s="6" t="str">
        <f ca="1">IFERROR(__xludf.DUMMYFUNCTION("""COMPUTED_VALUE"""),"PA SEIS ORIENTE B 215 CONDOMINIOS IV ")</f>
        <v xml:space="preserve">PA SEIS ORIENTE B 215 CONDOMINIOS IV </v>
      </c>
      <c r="D7496" s="6" t="str">
        <f ca="1">IFERROR(__xludf.DUMMYFUNCTION("""COMPUTED_VALUE"""),"TALCA")</f>
        <v>TALCA</v>
      </c>
    </row>
    <row r="7497" spans="1:4">
      <c r="A7497" s="7">
        <f ca="1">IFERROR(__xludf.DUMMYFUNCTION("""COMPUTED_VALUE"""),44650)</f>
        <v>44650</v>
      </c>
      <c r="B7497" s="6" t="str">
        <f ca="1">IFERROR(__xludf.DUMMYFUNCTION("""COMPUTED_VALUE"""),"-35.448206,-71.636059")</f>
        <v>-35.448206,-71.636059</v>
      </c>
      <c r="C7497" s="6" t="str">
        <f ca="1">IFERROR(__xludf.DUMMYFUNCTION("""COMPUTED_VALUE"""),"TRINTA Y UNO ORIENTE UNO Y MEDIO SUR 3180")</f>
        <v>TRINTA Y UNO ORIENTE UNO Y MEDIO SUR 3180</v>
      </c>
      <c r="D7497" s="6" t="str">
        <f ca="1">IFERROR(__xludf.DUMMYFUNCTION("""COMPUTED_VALUE"""),"TALCA")</f>
        <v>TALCA</v>
      </c>
    </row>
    <row r="7498" spans="1:4">
      <c r="A7498" s="7">
        <f ca="1">IFERROR(__xludf.DUMMYFUNCTION("""COMPUTED_VALUE"""),44650)</f>
        <v>44650</v>
      </c>
      <c r="B7498" s="6" t="str">
        <f ca="1">IFERROR(__xludf.DUMMYFUNCTION("""COMPUTED_VALUE"""),"-35.444640,-71.634415")</f>
        <v>-35.444640,-71.634415</v>
      </c>
      <c r="C7498" s="6" t="str">
        <f ca="1">IFERROR(__xludf.DUMMYFUNCTION("""COMPUTED_VALUE"""),"PA DIEZ Y MEDIO SUR 3112 POBL LONCOMILLA")</f>
        <v>PA DIEZ Y MEDIO SUR 3112 POBL LONCOMILLA</v>
      </c>
      <c r="D7498" s="6" t="str">
        <f ca="1">IFERROR(__xludf.DUMMYFUNCTION("""COMPUTED_VALUE"""),"TALCA")</f>
        <v>TALCA</v>
      </c>
    </row>
    <row r="7499" spans="1:4">
      <c r="A7499" s="7">
        <f ca="1">IFERROR(__xludf.DUMMYFUNCTION("""COMPUTED_VALUE"""),44650)</f>
        <v>44650</v>
      </c>
      <c r="B7499" s="6" t="str">
        <f ca="1">IFERROR(__xludf.DUMMYFUNCTION("""COMPUTED_VALUE"""),"-35.440466,-71.638808")</f>
        <v>-35.440466,-71.638808</v>
      </c>
      <c r="C7499" s="6" t="str">
        <f ca="1">IFERROR(__xludf.DUMMYFUNCTION("""COMPUTED_VALUE"""),"OCHO Y MEDIO SUR 2753 POBL PANANM SUR ")</f>
        <v xml:space="preserve">OCHO Y MEDIO SUR 2753 POBL PANANM SUR </v>
      </c>
      <c r="D7499" s="6" t="str">
        <f ca="1">IFERROR(__xludf.DUMMYFUNCTION("""COMPUTED_VALUE"""),"TALCA")</f>
        <v>TALCA</v>
      </c>
    </row>
    <row r="7500" spans="1:4">
      <c r="A7500" s="7">
        <f ca="1">IFERROR(__xludf.DUMMYFUNCTION("""COMPUTED_VALUE"""),44650)</f>
        <v>44650</v>
      </c>
      <c r="B7500" s="8" t="str">
        <f ca="1">IFERROR(__xludf.DUMMYFUNCTION("""COMPUTED_VALUE"""),"-33.681857,-70.950893")</f>
        <v>-33.681857,-70.950893</v>
      </c>
      <c r="C7500" s="6" t="str">
        <f ca="1">IFERROR(__xludf.DUMMYFUNCTION("""COMPUTED_VALUE"""),"1 PONIENTE 4 TEGUALDA ")</f>
        <v xml:space="preserve">1 PONIENTE 4 TEGUALDA </v>
      </c>
      <c r="D7500" s="6" t="str">
        <f ca="1">IFERROR(__xludf.DUMMYFUNCTION("""COMPUTED_VALUE"""),"TALAGANTE")</f>
        <v>TALAGANTE</v>
      </c>
    </row>
    <row r="7501" spans="1:4">
      <c r="A7501" s="7">
        <f ca="1">IFERROR(__xludf.DUMMYFUNCTION("""COMPUTED_VALUE"""),44650)</f>
        <v>44650</v>
      </c>
      <c r="B7501" s="8" t="str">
        <f ca="1">IFERROR(__xludf.DUMMYFUNCTION("""COMPUTED_VALUE"""),"-33.875771,-70.937839")</f>
        <v>-33.875771,-70.937839</v>
      </c>
      <c r="C7501" s="6" t="str">
        <f ca="1">IFERROR(__xludf.DUMMYFUNCTION("""COMPUTED_VALUE"""),"HORCON DE PIEDRA P/89")</f>
        <v>HORCON DE PIEDRA P/89</v>
      </c>
      <c r="D7501" s="6" t="str">
        <f ca="1">IFERROR(__xludf.DUMMYFUNCTION("""COMPUTED_VALUE"""),"PAINE")</f>
        <v>PAINE</v>
      </c>
    </row>
    <row r="7502" spans="1:4">
      <c r="A7502" s="7">
        <f ca="1">IFERROR(__xludf.DUMMYFUNCTION("""COMPUTED_VALUE"""),44650)</f>
        <v>44650</v>
      </c>
      <c r="B7502" s="8" t="str">
        <f ca="1">IFERROR(__xludf.DUMMYFUNCTION("""COMPUTED_VALUE"""),"-33.806083,-70.737342")</f>
        <v>-33.806083,-70.737342</v>
      </c>
      <c r="C7502" s="6" t="str">
        <f ca="1">IFERROR(__xludf.DUMMYFUNCTION("""COMPUTED_VALUE"""),"ISLA NAVARINO 334")</f>
        <v>ISLA NAVARINO 334</v>
      </c>
      <c r="D7502" s="6" t="str">
        <f ca="1">IFERROR(__xludf.DUMMYFUNCTION("""COMPUTED_VALUE"""),"PAINE")</f>
        <v>PAINE</v>
      </c>
    </row>
    <row r="7503" spans="1:4">
      <c r="A7503" s="7">
        <f ca="1">IFERROR(__xludf.DUMMYFUNCTION("""COMPUTED_VALUE"""),44650)</f>
        <v>44650</v>
      </c>
      <c r="B7503" s="8" t="str">
        <f ca="1">IFERROR(__xludf.DUMMYFUNCTION("""COMPUTED_VALUE"""),"-33.802699,-70.701281")</f>
        <v>-33.802699,-70.701281</v>
      </c>
      <c r="C7503" s="6" t="str">
        <f ca="1">IFERROR(__xludf.DUMMYFUNCTION("""COMPUTED_VALUE"""),"18 DE SEPTIEMBRE SITIO 25")</f>
        <v>18 DE SEPTIEMBRE SITIO 25</v>
      </c>
      <c r="D7503" s="6" t="str">
        <f ca="1">IFERROR(__xludf.DUMMYFUNCTION("""COMPUTED_VALUE"""),"PAINE")</f>
        <v>PAINE</v>
      </c>
    </row>
    <row r="7504" spans="1:4">
      <c r="A7504" s="7">
        <f ca="1">IFERROR(__xludf.DUMMYFUNCTION("""COMPUTED_VALUE"""),44650)</f>
        <v>44650</v>
      </c>
      <c r="B7504" s="8" t="str">
        <f ca="1">IFERROR(__xludf.DUMMYFUNCTION("""COMPUTED_VALUE"""),"-33.673735,-71.314810")</f>
        <v>-33.673735,-71.314810</v>
      </c>
      <c r="C7504" s="6" t="str">
        <f ca="1">IFERROR(__xludf.DUMMYFUNCTION("""COMPUTED_VALUE"""),"PUANGUE PASAJE SANTA EMILIA S/N")</f>
        <v>PUANGUE PASAJE SANTA EMILIA S/N</v>
      </c>
      <c r="D7504" s="6" t="str">
        <f ca="1">IFERROR(__xludf.DUMMYFUNCTION("""COMPUTED_VALUE"""),"MELIPILLA")</f>
        <v>MELIPILLA</v>
      </c>
    </row>
    <row r="7505" spans="1:4">
      <c r="A7505" s="7">
        <f ca="1">IFERROR(__xludf.DUMMYFUNCTION("""COMPUTED_VALUE"""),44650)</f>
        <v>44650</v>
      </c>
      <c r="B7505" s="6" t="str">
        <f ca="1">IFERROR(__xludf.DUMMYFUNCTION("""COMPUTED_VALUE"""),"-33.877327,-70.746429")</f>
        <v>-33.877327,-70.746429</v>
      </c>
      <c r="C7505" s="6" t="str">
        <f ca="1">IFERROR(__xludf.DUMMYFUNCTION("""COMPUTED_VALUE"""),"LECHO DEL RIO ST 27")</f>
        <v>LECHO DEL RIO ST 27</v>
      </c>
      <c r="D7505" s="6" t="str">
        <f ca="1">IFERROR(__xludf.DUMMYFUNCTION("""COMPUTED_VALUE"""),"PAINE")</f>
        <v>PAINE</v>
      </c>
    </row>
    <row r="7506" spans="1:4">
      <c r="A7506" s="7">
        <f ca="1">IFERROR(__xludf.DUMMYFUNCTION("""COMPUTED_VALUE"""),44650)</f>
        <v>44650</v>
      </c>
      <c r="B7506" s="6" t="str">
        <f ca="1">IFERROR(__xludf.DUMMYFUNCTION("""COMPUTED_VALUE"""),"-33.889080,-70.725955")</f>
        <v>-33.889080,-70.725955</v>
      </c>
      <c r="C7506" s="6" t="str">
        <f ca="1">IFERROR(__xludf.DUMMYFUNCTION("""COMPUTED_VALUE"""),"COLONIA KENNEDY PC. 205")</f>
        <v>COLONIA KENNEDY PC. 205</v>
      </c>
      <c r="D7506" s="6" t="str">
        <f ca="1">IFERROR(__xludf.DUMMYFUNCTION("""COMPUTED_VALUE"""),"PAINE")</f>
        <v>PAINE</v>
      </c>
    </row>
    <row r="7507" spans="1:4">
      <c r="A7507" s="7">
        <f ca="1">IFERROR(__xludf.DUMMYFUNCTION("""COMPUTED_VALUE"""),44650)</f>
        <v>44650</v>
      </c>
      <c r="B7507" s="6" t="str">
        <f ca="1">IFERROR(__xludf.DUMMYFUNCTION("""COMPUTED_VALUE"""),"-33.882014,-70.760054")</f>
        <v>-33.882014,-70.760054</v>
      </c>
      <c r="C7507" s="6" t="str">
        <f ca="1">IFERROR(__xludf.DUMMYFUNCTION("""COMPUTED_VALUE"""),"CAM. AGUILA SUR PARC.16 LOTE10")</f>
        <v>CAM. AGUILA SUR PARC.16 LOTE10</v>
      </c>
      <c r="D7507" s="6" t="str">
        <f ca="1">IFERROR(__xludf.DUMMYFUNCTION("""COMPUTED_VALUE"""),"PAINE")</f>
        <v>PAINE</v>
      </c>
    </row>
    <row r="7508" spans="1:4">
      <c r="A7508" s="7">
        <f ca="1">IFERROR(__xludf.DUMMYFUNCTION("""COMPUTED_VALUE"""),44651)</f>
        <v>44651</v>
      </c>
      <c r="B7508" s="8" t="str">
        <f ca="1">IFERROR(__xludf.DUMMYFUNCTION("""COMPUTED_VALUE"""),"33517141-71121164")</f>
        <v>33517141-71121164</v>
      </c>
      <c r="C7508" s="6" t="str">
        <f ca="1">IFERROR(__xludf.DUMMYFUNCTION("""COMPUTED_VALUE"""),"ONCE DE SEPTIEMBRE 303")</f>
        <v>ONCE DE SEPTIEMBRE 303</v>
      </c>
      <c r="D7508" s="6" t="str">
        <f ca="1">IFERROR(__xludf.DUMMYFUNCTION("""COMPUTED_VALUE"""),"MARIA PINTO")</f>
        <v>MARIA PINTO</v>
      </c>
    </row>
    <row r="7509" spans="1:4">
      <c r="A7509" s="7">
        <f ca="1">IFERROR(__xludf.DUMMYFUNCTION("""COMPUTED_VALUE"""),44651)</f>
        <v>44651</v>
      </c>
      <c r="B7509" s="8" t="str">
        <f ca="1">IFERROR(__xludf.DUMMYFUNCTION("""COMPUTED_VALUE"""),"33520098-71151230")</f>
        <v>33520098-71151230</v>
      </c>
      <c r="C7509" s="6" t="str">
        <f ca="1">IFERROR(__xludf.DUMMYFUNCTION("""COMPUTED_VALUE"""),"BARACALDO 5")</f>
        <v>BARACALDO 5</v>
      </c>
      <c r="D7509" s="6" t="str">
        <f ca="1">IFERROR(__xludf.DUMMYFUNCTION("""COMPUTED_VALUE"""),"MARIA PINTO")</f>
        <v>MARIA PINTO</v>
      </c>
    </row>
    <row r="7510" spans="1:4">
      <c r="A7510" s="7">
        <f ca="1">IFERROR(__xludf.DUMMYFUNCTION("""COMPUTED_VALUE"""),44651)</f>
        <v>44651</v>
      </c>
      <c r="B7510" s="8" t="str">
        <f ca="1">IFERROR(__xludf.DUMMYFUNCTION("""COMPUTED_VALUE"""),"33865452-70640915")</f>
        <v>33865452-70640915</v>
      </c>
      <c r="C7510" s="6" t="str">
        <f ca="1">IFERROR(__xludf.DUMMYFUNCTION("""COMPUTED_VALUE"""),"SANTA MARTA CULITRIN S/N")</f>
        <v>SANTA MARTA CULITRIN S/N</v>
      </c>
      <c r="D7510" s="6" t="str">
        <f ca="1">IFERROR(__xludf.DUMMYFUNCTION("""COMPUTED_VALUE"""),"PAINE")</f>
        <v>PAINE</v>
      </c>
    </row>
    <row r="7511" spans="1:4">
      <c r="A7511" s="7">
        <f ca="1">IFERROR(__xludf.DUMMYFUNCTION("""COMPUTED_VALUE"""),44651)</f>
        <v>44651</v>
      </c>
      <c r="B7511" s="8" t="str">
        <f ca="1">IFERROR(__xludf.DUMMYFUNCTION("""COMPUTED_VALUE"""),"33837527-70641959")</f>
        <v>33837527-70641959</v>
      </c>
      <c r="C7511" s="6" t="str">
        <f ca="1">IFERROR(__xludf.DUMMYFUNCTION("""COMPUTED_VALUE"""),"VICTORIA CAMPESINA lote 1 sitio k")</f>
        <v>VICTORIA CAMPESINA lote 1 sitio k</v>
      </c>
      <c r="D7511" s="6" t="str">
        <f ca="1">IFERROR(__xludf.DUMMYFUNCTION("""COMPUTED_VALUE"""),"PAINE")</f>
        <v>PAINE</v>
      </c>
    </row>
    <row r="7512" spans="1:4">
      <c r="A7512" s="7">
        <f ca="1">IFERROR(__xludf.DUMMYFUNCTION("""COMPUTED_VALUE"""),44651)</f>
        <v>44651</v>
      </c>
      <c r="B7512" s="8" t="str">
        <f ca="1">IFERROR(__xludf.DUMMYFUNCTION("""COMPUTED_VALUE"""),"33727415-70915843")</f>
        <v>33727415-70915843</v>
      </c>
      <c r="C7512" s="6" t="str">
        <f ca="1">IFERROR(__xludf.DUMMYFUNCTION("""COMPUTED_VALUE"""),"SENADOR JAIME GUZMAN 3719 A")</f>
        <v>SENADOR JAIME GUZMAN 3719 A</v>
      </c>
      <c r="D7512" s="6" t="str">
        <f ca="1">IFERROR(__xludf.DUMMYFUNCTION("""COMPUTED_VALUE"""),"ISLA DE MAIPO")</f>
        <v>ISLA DE MAIPO</v>
      </c>
    </row>
    <row r="7513" spans="1:4">
      <c r="A7513" s="7">
        <f ca="1">IFERROR(__xludf.DUMMYFUNCTION("""COMPUTED_VALUE"""),44651)</f>
        <v>44651</v>
      </c>
      <c r="B7513" s="8" t="str">
        <f ca="1">IFERROR(__xludf.DUMMYFUNCTION("""COMPUTED_VALUE"""),"33732225-70906720")</f>
        <v>33732225-70906720</v>
      </c>
      <c r="C7513" s="6" t="str">
        <f ca="1">IFERROR(__xludf.DUMMYFUNCTION("""COMPUTED_VALUE"""),"GACITUA 784")</f>
        <v>GACITUA 784</v>
      </c>
      <c r="D7513" s="6" t="str">
        <f ca="1">IFERROR(__xludf.DUMMYFUNCTION("""COMPUTED_VALUE"""),"ISLA DE MAIPO")</f>
        <v>ISLA DE MAIPO</v>
      </c>
    </row>
    <row r="7514" spans="1:4">
      <c r="A7514" s="7">
        <f ca="1">IFERROR(__xludf.DUMMYFUNCTION("""COMPUTED_VALUE"""),44651)</f>
        <v>44651</v>
      </c>
      <c r="B7514" s="6" t="str">
        <f ca="1">IFERROR(__xludf.DUMMYFUNCTION("""COMPUTED_VALUE"""),"-33.784525-70.236570")</f>
        <v>-33.784525-70.236570</v>
      </c>
      <c r="C7514" s="6" t="str">
        <f ca="1">IFERROR(__xludf.DUMMYFUNCTION("""COMPUTED_VALUE"""),"CAMINO AL VOLCAN 41492")</f>
        <v>CAMINO AL VOLCAN 41492</v>
      </c>
      <c r="D7514" s="6" t="str">
        <f ca="1">IFERROR(__xludf.DUMMYFUNCTION("""COMPUTED_VALUE"""),"SAN JOSE DE MAIPO")</f>
        <v>SAN JOSE DE MAIPO</v>
      </c>
    </row>
    <row r="7515" spans="1:4">
      <c r="A7515" s="7">
        <f ca="1">IFERROR(__xludf.DUMMYFUNCTION("""COMPUTED_VALUE"""),44651)</f>
        <v>44651</v>
      </c>
      <c r="B7515" s="6" t="str">
        <f ca="1">IFERROR(__xludf.DUMMYFUNCTION("""COMPUTED_VALUE"""),"-33.630305-70.350680")</f>
        <v>-33.630305-70.350680</v>
      </c>
      <c r="C7515" s="6" t="str">
        <f ca="1">IFERROR(__xludf.DUMMYFUNCTION("""COMPUTED_VALUE"""),"COMERCIO 18650")</f>
        <v>COMERCIO 18650</v>
      </c>
      <c r="D7515" s="6" t="str">
        <f ca="1">IFERROR(__xludf.DUMMYFUNCTION("""COMPUTED_VALUE"""),"SAN JOSE DE MAIPO")</f>
        <v>SAN JOSE DE MAIPO</v>
      </c>
    </row>
    <row r="7516" spans="1:4">
      <c r="A7516" s="7">
        <f ca="1">IFERROR(__xludf.DUMMYFUNCTION("""COMPUTED_VALUE"""),44651)</f>
        <v>44651</v>
      </c>
      <c r="B7516" s="6" t="str">
        <f ca="1">IFERROR(__xludf.DUMMYFUNCTION("""COMPUTED_VALUE"""),"-33.585485-70.393640")</f>
        <v>-33.585485-70.393640</v>
      </c>
      <c r="C7516" s="6" t="str">
        <f ca="1">IFERROR(__xludf.DUMMYFUNCTION("""COMPUTED_VALUE"""),"CAMINO AL VOLCAN 11287")</f>
        <v>CAMINO AL VOLCAN 11287</v>
      </c>
      <c r="D7516" s="6" t="str">
        <f ca="1">IFERROR(__xludf.DUMMYFUNCTION("""COMPUTED_VALUE"""),"SAN JOSE DE MAIPO")</f>
        <v>SAN JOSE DE MAIPO</v>
      </c>
    </row>
    <row r="7517" spans="1:4">
      <c r="A7517" s="7">
        <f ca="1">IFERROR(__xludf.DUMMYFUNCTION("""COMPUTED_VALUE"""),44651)</f>
        <v>44651</v>
      </c>
      <c r="B7517" s="6" t="str">
        <f ca="1">IFERROR(__xludf.DUMMYFUNCTION("""COMPUTED_VALUE"""),"-33.616784-70.926576")</f>
        <v>-33.616784-70.926576</v>
      </c>
      <c r="C7517" s="6" t="str">
        <f ca="1">IFERROR(__xludf.DUMMYFUNCTION("""COMPUTED_VALUE"""),"FRANCISCO BILBAO 450")</f>
        <v>FRANCISCO BILBAO 450</v>
      </c>
      <c r="D7517" s="6" t="str">
        <f ca="1">IFERROR(__xludf.DUMMYFUNCTION("""COMPUTED_VALUE"""),"PEÑAFLOR")</f>
        <v>PEÑAFLOR</v>
      </c>
    </row>
    <row r="7518" spans="1:4">
      <c r="A7518" s="7">
        <f ca="1">IFERROR(__xludf.DUMMYFUNCTION("""COMPUTED_VALUE"""),44651)</f>
        <v>44651</v>
      </c>
      <c r="B7518" s="6" t="str">
        <f ca="1">IFERROR(__xludf.DUMMYFUNCTION("""COMPUTED_VALUE"""),"-33.454110-71.031670")</f>
        <v>-33.454110-71.031670</v>
      </c>
      <c r="C7518" s="6" t="str">
        <f ca="1">IFERROR(__xludf.DUMMYFUNCTION("""COMPUTED_VALUE"""),"PJE SAN JUAN P16")</f>
        <v>PJE SAN JUAN P16</v>
      </c>
      <c r="D7518" s="6" t="str">
        <f ca="1">IFERROR(__xludf.DUMMYFUNCTION("""COMPUTED_VALUE"""),"CURACAVI")</f>
        <v>CURACAVI</v>
      </c>
    </row>
    <row r="7519" spans="1:4">
      <c r="A7519" s="7">
        <f ca="1">IFERROR(__xludf.DUMMYFUNCTION("""COMPUTED_VALUE"""),44651)</f>
        <v>44651</v>
      </c>
      <c r="B7519" s="6" t="str">
        <f ca="1">IFERROR(__xludf.DUMMYFUNCTION("""COMPUTED_VALUE"""),"-33.565488-70.799289")</f>
        <v>-33.565488-70.799289</v>
      </c>
      <c r="C7519" s="6" t="str">
        <f ca="1">IFERROR(__xludf.DUMMYFUNCTION("""COMPUTED_VALUE"""),"IGNACIO CARRERA PINTO 737")</f>
        <v>IGNACIO CARRERA PINTO 737</v>
      </c>
      <c r="D7519" s="6" t="str">
        <f ca="1">IFERROR(__xludf.DUMMYFUNCTION("""COMPUTED_VALUE"""),"PADRE HURTADO")</f>
        <v>PADRE HURTADO</v>
      </c>
    </row>
    <row r="7520" spans="1:4">
      <c r="A7520" s="7">
        <f ca="1">IFERROR(__xludf.DUMMYFUNCTION("""COMPUTED_VALUE"""),44651)</f>
        <v>44651</v>
      </c>
      <c r="B7520" s="6" t="str">
        <f ca="1">IFERROR(__xludf.DUMMYFUNCTION("""COMPUTED_VALUE"""),"-33.725691,-70.556692")</f>
        <v>-33.725691,-70.556692</v>
      </c>
      <c r="C7520" s="6" t="str">
        <f ca="1">IFERROR(__xludf.DUMMYFUNCTION("""COMPUTED_VALUE"""),"LOS CORRALES 97 EL PRINCIPAL")</f>
        <v>LOS CORRALES 97 EL PRINCIPAL</v>
      </c>
      <c r="D7520" s="6" t="str">
        <f ca="1">IFERROR(__xludf.DUMMYFUNCTION("""COMPUTED_VALUE"""),"PIRQUE")</f>
        <v>PIRQUE</v>
      </c>
    </row>
    <row r="7521" spans="1:4">
      <c r="A7521" s="7">
        <f ca="1">IFERROR(__xludf.DUMMYFUNCTION("""COMPUTED_VALUE"""),44651)</f>
        <v>44651</v>
      </c>
      <c r="B7521" s="6" t="str">
        <f ca="1">IFERROR(__xludf.DUMMYFUNCTION("""COMPUTED_VALUE"""),"-33.877731,-70.886430")</f>
        <v>-33.877731,-70.886430</v>
      </c>
      <c r="C7521" s="6" t="str">
        <f ca="1">IFERROR(__xludf.DUMMYFUNCTION("""COMPUTED_VALUE"""),"M LETELIER S7N ")</f>
        <v xml:space="preserve">M LETELIER S7N </v>
      </c>
      <c r="D7521" s="6" t="str">
        <f ca="1">IFERROR(__xludf.DUMMYFUNCTION("""COMPUTED_VALUE"""),"PAINE")</f>
        <v>PAINE</v>
      </c>
    </row>
    <row r="7522" spans="1:4">
      <c r="A7522" s="7">
        <f ca="1">IFERROR(__xludf.DUMMYFUNCTION("""COMPUTED_VALUE"""),44651)</f>
        <v>44651</v>
      </c>
      <c r="B7522" s="6" t="str">
        <f ca="1">IFERROR(__xludf.DUMMYFUNCTION("""COMPUTED_VALUE"""),"-33.851142,-70766794")</f>
        <v>-33.851142,-70766794</v>
      </c>
      <c r="C7522" s="6" t="str">
        <f ca="1">IFERROR(__xludf.DUMMYFUNCTION("""COMPUTED_VALUE"""),"PJ UNO 303")</f>
        <v>PJ UNO 303</v>
      </c>
      <c r="D7522" s="6" t="str">
        <f ca="1">IFERROR(__xludf.DUMMYFUNCTION("""COMPUTED_VALUE"""),"PAINE")</f>
        <v>PAINE</v>
      </c>
    </row>
    <row r="7523" spans="1:4">
      <c r="A7523" s="7">
        <f ca="1">IFERROR(__xludf.DUMMYFUNCTION("""COMPUTED_VALUE"""),44651)</f>
        <v>44651</v>
      </c>
      <c r="B7523" s="6" t="str">
        <f ca="1">IFERROR(__xludf.DUMMYFUNCTION("""COMPUTED_VALUE"""),"-33.684917,-71.011197")</f>
        <v>-33.684917,-71.011197</v>
      </c>
      <c r="C7523" s="6" t="str">
        <f ca="1">IFERROR(__xludf.DUMMYFUNCTION("""COMPUTED_VALUE"""),"SECTOR EL MONTE 15")</f>
        <v>SECTOR EL MONTE 15</v>
      </c>
      <c r="D7523" s="6" t="str">
        <f ca="1">IFERROR(__xludf.DUMMYFUNCTION("""COMPUTED_VALUE"""),"EL MONTE")</f>
        <v>EL MONTE</v>
      </c>
    </row>
    <row r="7524" spans="1:4">
      <c r="A7524" s="7">
        <f ca="1">IFERROR(__xludf.DUMMYFUNCTION("""COMPUTED_VALUE"""),44651)</f>
        <v>44651</v>
      </c>
      <c r="B7524" s="6" t="str">
        <f ca="1">IFERROR(__xludf.DUMMYFUNCTION("""COMPUTED_VALUE"""),"-33.542560,-708900")</f>
        <v>-33.542560,-708900</v>
      </c>
      <c r="C7524" s="6" t="str">
        <f ca="1">IFERROR(__xludf.DUMMYFUNCTION("""COMPUTED_VALUE"""),"CO LA ESPERANZO S/N ")</f>
        <v xml:space="preserve">CO LA ESPERANZO S/N </v>
      </c>
      <c r="D7524" s="6" t="str">
        <f ca="1">IFERROR(__xludf.DUMMYFUNCTION("""COMPUTED_VALUE"""),"PADRE HURTADO")</f>
        <v>PADRE HURTADO</v>
      </c>
    </row>
    <row r="7525" spans="1:4">
      <c r="A7525" s="7">
        <f ca="1">IFERROR(__xludf.DUMMYFUNCTION("""COMPUTED_VALUE"""),44651)</f>
        <v>44651</v>
      </c>
      <c r="B7525" s="6" t="str">
        <f ca="1">IFERROR(__xludf.DUMMYFUNCTION("""COMPUTED_VALUE"""),"-33.5771169,-70.8105077")</f>
        <v>-33.5771169,-70.8105077</v>
      </c>
      <c r="C7525" s="6" t="str">
        <f ca="1">IFERROR(__xludf.DUMMYFUNCTION("""COMPUTED_VALUE"""),"EL PILLIN 972")</f>
        <v>EL PILLIN 972</v>
      </c>
      <c r="D7525" s="6" t="str">
        <f ca="1">IFERROR(__xludf.DUMMYFUNCTION("""COMPUTED_VALUE"""),"PADRE HURTADO")</f>
        <v>PADRE HURTADO</v>
      </c>
    </row>
    <row r="7526" spans="1:4">
      <c r="A7526" s="7">
        <f ca="1">IFERROR(__xludf.DUMMYFUNCTION("""COMPUTED_VALUE"""),44651)</f>
        <v>44651</v>
      </c>
      <c r="B7526" s="8" t="str">
        <f ca="1">IFERROR(__xludf.DUMMYFUNCTION("""COMPUTED_VALUE"""),"-33.642152,-70.758027")</f>
        <v>-33.642152,-70.758027</v>
      </c>
      <c r="C7526" s="6" t="str">
        <f ca="1">IFERROR(__xludf.DUMMYFUNCTION("""COMPUTED_VALUE"""),"SANTA INEZ 43")</f>
        <v>SANTA INEZ 43</v>
      </c>
      <c r="D7526" s="6" t="str">
        <f ca="1">IFERROR(__xludf.DUMMYFUNCTION("""COMPUTED_VALUE"""),"CALERA DE TANGO")</f>
        <v>CALERA DE TANGO</v>
      </c>
    </row>
    <row r="7527" spans="1:4">
      <c r="A7527" s="7">
        <f ca="1">IFERROR(__xludf.DUMMYFUNCTION("""COMPUTED_VALUE"""),44651)</f>
        <v>44651</v>
      </c>
      <c r="B7527" s="6" t="str">
        <f ca="1">IFERROR(__xludf.DUMMYFUNCTION("""COMPUTED_VALUE"""),"-33.893453,-70.756533")</f>
        <v>-33.893453,-70.756533</v>
      </c>
      <c r="C7527" s="6" t="str">
        <f ca="1">IFERROR(__xludf.DUMMYFUNCTION("""COMPUTED_VALUE"""),"CO. AGUILA SUR PARC. 28 B2")</f>
        <v>CO. AGUILA SUR PARC. 28 B2</v>
      </c>
      <c r="D7527" s="6" t="str">
        <f ca="1">IFERROR(__xludf.DUMMYFUNCTION("""COMPUTED_VALUE"""),"PAINE")</f>
        <v>PAINE</v>
      </c>
    </row>
    <row r="7528" spans="1:4">
      <c r="A7528" s="7">
        <f ca="1">IFERROR(__xludf.DUMMYFUNCTION("""COMPUTED_VALUE"""),44651)</f>
        <v>44651</v>
      </c>
      <c r="B7528" s="6" t="str">
        <f ca="1">IFERROR(__xludf.DUMMYFUNCTION("""COMPUTED_VALUE"""),"-33.877953,-70.745985")</f>
        <v>-33.877953,-70.745985</v>
      </c>
      <c r="C7528" s="6" t="str">
        <f ca="1">IFERROR(__xludf.DUMMYFUNCTION("""COMPUTED_VALUE"""),"LAS MULAS SITIO 4 LECHO DEL RIO HOSPITAL")</f>
        <v>LAS MULAS SITIO 4 LECHO DEL RIO HOSPITAL</v>
      </c>
      <c r="D7528" s="6" t="str">
        <f ca="1">IFERROR(__xludf.DUMMYFUNCTION("""COMPUTED_VALUE"""),"PAINE")</f>
        <v>PAINE</v>
      </c>
    </row>
    <row r="7529" spans="1:4">
      <c r="A7529" s="7">
        <f ca="1">IFERROR(__xludf.DUMMYFUNCTION("""COMPUTED_VALUE"""),44651)</f>
        <v>44651</v>
      </c>
      <c r="B7529" s="6" t="str">
        <f ca="1">IFERROR(__xludf.DUMMYFUNCTION("""COMPUTED_VALUE"""),"-33.8858364,-70.7308213")</f>
        <v>-33.8858364,-70.7308213</v>
      </c>
      <c r="C7529" s="6" t="str">
        <f ca="1">IFERROR(__xludf.DUMMYFUNCTION("""COMPUTED_VALUE"""),"COLONIA KENNEDY P 201")</f>
        <v>COLONIA KENNEDY P 201</v>
      </c>
      <c r="D7529" s="6" t="str">
        <f ca="1">IFERROR(__xludf.DUMMYFUNCTION("""COMPUTED_VALUE"""),"PAINE")</f>
        <v>PAINE</v>
      </c>
    </row>
    <row r="7530" spans="1:4">
      <c r="A7530" s="7">
        <f ca="1">IFERROR(__xludf.DUMMYFUNCTION("""COMPUTED_VALUE"""),44651)</f>
        <v>44651</v>
      </c>
      <c r="B7530" s="6" t="str">
        <f ca="1">IFERROR(__xludf.DUMMYFUNCTION("""COMPUTED_VALUE"""),"-33.8858364,-70.7308213")</f>
        <v>-33.8858364,-70.7308213</v>
      </c>
      <c r="C7530" s="6" t="str">
        <f ca="1">IFERROR(__xludf.DUMMYFUNCTION("""COMPUTED_VALUE"""),"LA ENSENADA 9")</f>
        <v>LA ENSENADA 9</v>
      </c>
      <c r="D7530" s="6" t="str">
        <f ca="1">IFERROR(__xludf.DUMMYFUNCTION("""COMPUTED_VALUE"""),"PAINE")</f>
        <v>PAINE</v>
      </c>
    </row>
    <row r="7531" spans="1:4">
      <c r="A7531" s="7">
        <f ca="1">IFERROR(__xludf.DUMMYFUNCTION("""COMPUTED_VALUE"""),44651)</f>
        <v>44651</v>
      </c>
      <c r="B7531" s="6" t="str">
        <f ca="1">IFERROR(__xludf.DUMMYFUNCTION("""COMPUTED_VALUE"""),"-33.8038621,-70.7147993")</f>
        <v>-33.8038621,-70.7147993</v>
      </c>
      <c r="C7531" s="6" t="str">
        <f ca="1">IFERROR(__xludf.DUMMYFUNCTION("""COMPUTED_VALUE"""),"PASAJE SIETE N°2059")</f>
        <v>PASAJE SIETE N°2059</v>
      </c>
      <c r="D7531" s="6" t="str">
        <f ca="1">IFERROR(__xludf.DUMMYFUNCTION("""COMPUTED_VALUE"""),"PAINE")</f>
        <v>PAINE</v>
      </c>
    </row>
    <row r="7532" spans="1:4">
      <c r="A7532" s="7">
        <f ca="1">IFERROR(__xludf.DUMMYFUNCTION("""COMPUTED_VALUE"""),44652)</f>
        <v>44652</v>
      </c>
      <c r="B7532" s="8" t="str">
        <f ca="1">IFERROR(__xludf.DUMMYFUNCTION("""COMPUTED_VALUE"""),"33192678-70683369")</f>
        <v>33192678-70683369</v>
      </c>
      <c r="C7532" s="6" t="str">
        <f ca="1">IFERROR(__xludf.DUMMYFUNCTION("""COMPUTED_VALUE"""),"EL CANELILLO 855")</f>
        <v>EL CANELILLO 855</v>
      </c>
      <c r="D7532" s="6" t="str">
        <f ca="1">IFERROR(__xludf.DUMMYFUNCTION("""COMPUTED_VALUE"""),"COLINA")</f>
        <v>COLINA</v>
      </c>
    </row>
    <row r="7533" spans="1:4">
      <c r="A7533" s="7">
        <f ca="1">IFERROR(__xludf.DUMMYFUNCTION("""COMPUTED_VALUE"""),44652)</f>
        <v>44652</v>
      </c>
      <c r="B7533" s="8" t="str">
        <f ca="1">IFERROR(__xludf.DUMMYFUNCTION("""COMPUTED_VALUE"""),"33731546-70910624")</f>
        <v>33731546-70910624</v>
      </c>
      <c r="C7533" s="6" t="str">
        <f ca="1">IFERROR(__xludf.DUMMYFUNCTION("""COMPUTED_VALUE"""),"LO CESPEDES 500")</f>
        <v>LO CESPEDES 500</v>
      </c>
      <c r="D7533" s="6" t="str">
        <f ca="1">IFERROR(__xludf.DUMMYFUNCTION("""COMPUTED_VALUE"""),"ISLA DE MAIPO")</f>
        <v>ISLA DE MAIPO</v>
      </c>
    </row>
    <row r="7534" spans="1:4">
      <c r="A7534" s="7">
        <f ca="1">IFERROR(__xludf.DUMMYFUNCTION("""COMPUTED_VALUE"""),44652)</f>
        <v>44652</v>
      </c>
      <c r="B7534" s="8" t="str">
        <f ca="1">IFERROR(__xludf.DUMMYFUNCTION("""COMPUTED_VALUE"""),"33731546-70910624")</f>
        <v>33731546-70910624</v>
      </c>
      <c r="C7534" s="6" t="str">
        <f ca="1">IFERROR(__xludf.DUMMYFUNCTION("""COMPUTED_VALUE"""),"LO CESPEDES 500")</f>
        <v>LO CESPEDES 500</v>
      </c>
      <c r="D7534" s="6" t="str">
        <f ca="1">IFERROR(__xludf.DUMMYFUNCTION("""COMPUTED_VALUE"""),"ISLA DE MAIPO")</f>
        <v>ISLA DE MAIPO</v>
      </c>
    </row>
    <row r="7535" spans="1:4">
      <c r="A7535" s="7">
        <f ca="1">IFERROR(__xludf.DUMMYFUNCTION("""COMPUTED_VALUE"""),44652)</f>
        <v>44652</v>
      </c>
      <c r="B7535" s="8" t="str">
        <f ca="1">IFERROR(__xludf.DUMMYFUNCTION("""COMPUTED_VALUE"""),"33734270-70860915")</f>
        <v>33734270-70860915</v>
      </c>
      <c r="C7535" s="6" t="str">
        <f ca="1">IFERROR(__xludf.DUMMYFUNCTION("""COMPUTED_VALUE"""),"SANTA INES 285")</f>
        <v>SANTA INES 285</v>
      </c>
      <c r="D7535" s="6" t="str">
        <f ca="1">IFERROR(__xludf.DUMMYFUNCTION("""COMPUTED_VALUE"""),"ISLA DE MAIPO")</f>
        <v>ISLA DE MAIPO</v>
      </c>
    </row>
    <row r="7536" spans="1:4">
      <c r="A7536" s="7">
        <f ca="1">IFERROR(__xludf.DUMMYFUNCTION("""COMPUTED_VALUE"""),44652)</f>
        <v>44652</v>
      </c>
      <c r="B7536" s="6" t="str">
        <f ca="1">IFERROR(__xludf.DUMMYFUNCTION("""COMPUTED_VALUE"""),"-33.727475-70.553480")</f>
        <v>-33.727475-70.553480</v>
      </c>
      <c r="C7536" s="6" t="str">
        <f ca="1">IFERROR(__xludf.DUMMYFUNCTION("""COMPUTED_VALUE"""),"CERRO EL PURGATORIO 1964")</f>
        <v>CERRO EL PURGATORIO 1964</v>
      </c>
      <c r="D7536" s="6" t="str">
        <f ca="1">IFERROR(__xludf.DUMMYFUNCTION("""COMPUTED_VALUE"""),"PIRQUE")</f>
        <v>PIRQUE</v>
      </c>
    </row>
    <row r="7537" spans="1:4">
      <c r="A7537" s="7">
        <f ca="1">IFERROR(__xludf.DUMMYFUNCTION("""COMPUTED_VALUE"""),44652)</f>
        <v>44652</v>
      </c>
      <c r="B7537" s="6" t="str">
        <f ca="1">IFERROR(__xludf.DUMMYFUNCTION("""COMPUTED_VALUE"""),"-33.706085-70.539330")</f>
        <v>-33.706085-70.539330</v>
      </c>
      <c r="C7537" s="6" t="str">
        <f ca="1">IFERROR(__xludf.DUMMYFUNCTION("""COMPUTED_VALUE"""),"EL PRINCIPAL SITIO 163")</f>
        <v>EL PRINCIPAL SITIO 163</v>
      </c>
      <c r="D7537" s="6" t="str">
        <f ca="1">IFERROR(__xludf.DUMMYFUNCTION("""COMPUTED_VALUE"""),"PIRQUE")</f>
        <v>PIRQUE</v>
      </c>
    </row>
    <row r="7538" spans="1:4">
      <c r="A7538" s="7">
        <f ca="1">IFERROR(__xludf.DUMMYFUNCTION("""COMPUTED_VALUE"""),44652)</f>
        <v>44652</v>
      </c>
      <c r="B7538" s="6" t="str">
        <f ca="1">IFERROR(__xludf.DUMMYFUNCTION("""COMPUTED_VALUE"""),"-33.703515-70.564050")</f>
        <v>-33.703515-70.564050</v>
      </c>
      <c r="C7538" s="6" t="str">
        <f ca="1">IFERROR(__xludf.DUMMYFUNCTION("""COMPUTED_VALUE"""),"EL PRINCIPAL SITIO 21 B")</f>
        <v>EL PRINCIPAL SITIO 21 B</v>
      </c>
      <c r="D7538" s="6" t="str">
        <f ca="1">IFERROR(__xludf.DUMMYFUNCTION("""COMPUTED_VALUE"""),"PIRQUE")</f>
        <v>PIRQUE</v>
      </c>
    </row>
    <row r="7539" spans="1:4">
      <c r="A7539" s="7">
        <f ca="1">IFERROR(__xludf.DUMMYFUNCTION("""COMPUTED_VALUE"""),44652)</f>
        <v>44652</v>
      </c>
      <c r="B7539" s="6" t="str">
        <f ca="1">IFERROR(__xludf.DUMMYFUNCTION("""COMPUTED_VALUE"""),"-33.670338-71.206002")</f>
        <v>-33.670338-71.206002</v>
      </c>
      <c r="C7539" s="6" t="str">
        <f ca="1">IFERROR(__xludf.DUMMYFUNCTION("""COMPUTED_VALUE"""),"OSTOLAZAS 786")</f>
        <v>OSTOLAZAS 786</v>
      </c>
      <c r="D7539" s="6" t="str">
        <f ca="1">IFERROR(__xludf.DUMMYFUNCTION("""COMPUTED_VALUE"""),"MELIPILLA")</f>
        <v>MELIPILLA</v>
      </c>
    </row>
    <row r="7540" spans="1:4">
      <c r="A7540" s="7">
        <f ca="1">IFERROR(__xludf.DUMMYFUNCTION("""COMPUTED_VALUE"""),44652)</f>
        <v>44652</v>
      </c>
      <c r="B7540" s="6" t="str">
        <f ca="1">IFERROR(__xludf.DUMMYFUNCTION("""COMPUTED_VALUE"""),"-33.625211-71.271165")</f>
        <v>-33.625211-71.271165</v>
      </c>
      <c r="C7540" s="6" t="str">
        <f ca="1">IFERROR(__xludf.DUMMYFUNCTION("""COMPUTED_VALUE"""),"EDUVIGIS OJEDA 374")</f>
        <v>EDUVIGIS OJEDA 374</v>
      </c>
      <c r="D7540" s="6" t="str">
        <f ca="1">IFERROR(__xludf.DUMMYFUNCTION("""COMPUTED_VALUE"""),"MELIPILLA")</f>
        <v>MELIPILLA</v>
      </c>
    </row>
    <row r="7541" spans="1:4">
      <c r="A7541" s="7">
        <f ca="1">IFERROR(__xludf.DUMMYFUNCTION("""COMPUTED_VALUE"""),44652)</f>
        <v>44652</v>
      </c>
      <c r="B7541" s="8" t="str">
        <f ca="1">IFERROR(__xludf.DUMMYFUNCTION("""COMPUTED_VALUE"""),"-33.725357,-70.577732")</f>
        <v>-33.725357,-70.577732</v>
      </c>
      <c r="C7541" s="6" t="str">
        <f ca="1">IFERROR(__xludf.DUMMYFUNCTION("""COMPUTED_VALUE"""),"LITRAL 37")</f>
        <v>LITRAL 37</v>
      </c>
      <c r="D7541" s="6" t="str">
        <f ca="1">IFERROR(__xludf.DUMMYFUNCTION("""COMPUTED_VALUE"""),"PIRQUE")</f>
        <v>PIRQUE</v>
      </c>
    </row>
    <row r="7542" spans="1:4">
      <c r="A7542" s="7">
        <f ca="1">IFERROR(__xludf.DUMMYFUNCTION("""COMPUTED_VALUE"""),44652)</f>
        <v>44652</v>
      </c>
      <c r="B7542" s="8" t="str">
        <f ca="1">IFERROR(__xludf.DUMMYFUNCTION("""COMPUTED_VALUE"""),"-33.655558,-70.586461")</f>
        <v>-33.655558,-70.586461</v>
      </c>
      <c r="C7542" s="6" t="str">
        <f ca="1">IFERROR(__xludf.DUMMYFUNCTION("""COMPUTED_VALUE"""),"CALLE NUEVA CASA 39")</f>
        <v>CALLE NUEVA CASA 39</v>
      </c>
      <c r="D7542" s="6" t="str">
        <f ca="1">IFERROR(__xludf.DUMMYFUNCTION("""COMPUTED_VALUE"""),"PIRQUE")</f>
        <v>PIRQUE</v>
      </c>
    </row>
    <row r="7543" spans="1:4">
      <c r="A7543" s="7">
        <f ca="1">IFERROR(__xludf.DUMMYFUNCTION("""COMPUTED_VALUE"""),44652)</f>
        <v>44652</v>
      </c>
      <c r="B7543" s="8" t="str">
        <f ca="1">IFERROR(__xludf.DUMMYFUNCTION("""COMPUTED_VALUE"""),"-33.726207,-70.555185")</f>
        <v>-33.726207,-70.555185</v>
      </c>
      <c r="C7543" s="6" t="str">
        <f ca="1">IFERROR(__xludf.DUMMYFUNCTION("""COMPUTED_VALUE"""),"LA CONALES 97 SITIO 10")</f>
        <v>LA CONALES 97 SITIO 10</v>
      </c>
      <c r="D7543" s="6" t="str">
        <f ca="1">IFERROR(__xludf.DUMMYFUNCTION("""COMPUTED_VALUE"""),"PIRQUE")</f>
        <v>PIRQUE</v>
      </c>
    </row>
    <row r="7544" spans="1:4">
      <c r="A7544" s="7">
        <f ca="1">IFERROR(__xludf.DUMMYFUNCTION("""COMPUTED_VALUE"""),44652)</f>
        <v>44652</v>
      </c>
      <c r="B7544" s="8" t="str">
        <f ca="1">IFERROR(__xludf.DUMMYFUNCTION("""COMPUTED_VALUE"""),"-33.66115,-70.630197")</f>
        <v>-33.66115,-70.630197</v>
      </c>
      <c r="C7544" s="6" t="str">
        <f ca="1">IFERROR(__xludf.DUMMYFUNCTION("""COMPUTED_VALUE"""),"SAN VICENTE SITIO 19")</f>
        <v>SAN VICENTE SITIO 19</v>
      </c>
      <c r="D7544" s="6" t="str">
        <f ca="1">IFERROR(__xludf.DUMMYFUNCTION("""COMPUTED_VALUE"""),"PIRQUE")</f>
        <v>PIRQUE</v>
      </c>
    </row>
    <row r="7545" spans="1:4">
      <c r="A7545" s="7">
        <f ca="1">IFERROR(__xludf.DUMMYFUNCTION("""COMPUTED_VALUE"""),44652)</f>
        <v>44652</v>
      </c>
      <c r="B7545" s="8" t="str">
        <f ca="1">IFERROR(__xludf.DUMMYFUNCTION("""COMPUTED_VALUE"""),"-33.662115,-70.630197")</f>
        <v>-33.662115,-70.630197</v>
      </c>
      <c r="C7545" s="6" t="str">
        <f ca="1">IFERROR(__xludf.DUMMYFUNCTION("""COMPUTED_VALUE"""),"SAN VICENTE SITIO 19")</f>
        <v>SAN VICENTE SITIO 19</v>
      </c>
      <c r="D7545" s="6" t="str">
        <f ca="1">IFERROR(__xludf.DUMMYFUNCTION("""COMPUTED_VALUE"""),"PIRQUE")</f>
        <v>PIRQUE</v>
      </c>
    </row>
    <row r="7546" spans="1:4">
      <c r="A7546" s="7">
        <f ca="1">IFERROR(__xludf.DUMMYFUNCTION("""COMPUTED_VALUE"""),44652)</f>
        <v>44652</v>
      </c>
      <c r="B7546" s="6" t="str">
        <f ca="1">IFERROR(__xludf.DUMMYFUNCTION("""COMPUTED_VALUE"""),"-33.607691,-71.227710")</f>
        <v>-33.607691,-71.227710</v>
      </c>
      <c r="C7546" s="6" t="str">
        <f ca="1">IFERROR(__xludf.DUMMYFUNCTION("""COMPUTED_VALUE"""),"EL TRIGAL S/N")</f>
        <v>EL TRIGAL S/N</v>
      </c>
      <c r="D7546" s="6" t="str">
        <f ca="1">IFERROR(__xludf.DUMMYFUNCTION("""COMPUTED_VALUE"""),"MELIPILLA")</f>
        <v>MELIPILLA</v>
      </c>
    </row>
    <row r="7547" spans="1:4">
      <c r="A7547" s="7">
        <f ca="1">IFERROR(__xludf.DUMMYFUNCTION("""COMPUTED_VALUE"""),44652)</f>
        <v>44652</v>
      </c>
      <c r="B7547" s="6" t="str">
        <f ca="1">IFERROR(__xludf.DUMMYFUNCTION("""COMPUTED_VALUE"""),"-33.557211,-70.869012")</f>
        <v>-33.557211,-70.869012</v>
      </c>
      <c r="C7547" s="6" t="str">
        <f ca="1">IFERROR(__xludf.DUMMYFUNCTION("""COMPUTED_VALUE"""),"SANTA LUISA S/N ")</f>
        <v xml:space="preserve">SANTA LUISA S/N </v>
      </c>
      <c r="D7547" s="6" t="str">
        <f ca="1">IFERROR(__xludf.DUMMYFUNCTION("""COMPUTED_VALUE"""),"PADRE HURTADO")</f>
        <v>PADRE HURTADO</v>
      </c>
    </row>
    <row r="7548" spans="1:4">
      <c r="A7548" s="7">
        <f ca="1">IFERROR(__xludf.DUMMYFUNCTION("""COMPUTED_VALUE"""),44652)</f>
        <v>44652</v>
      </c>
      <c r="B7548" s="6" t="str">
        <f ca="1">IFERROR(__xludf.DUMMYFUNCTION("""COMPUTED_VALUE"""),"-33.557253,-70.869011")</f>
        <v>-33.557253,-70.869011</v>
      </c>
      <c r="C7548" s="6" t="str">
        <f ca="1">IFERROR(__xludf.DUMMYFUNCTION("""COMPUTED_VALUE"""),"SANTA LUISA S/N ")</f>
        <v xml:space="preserve">SANTA LUISA S/N </v>
      </c>
      <c r="D7548" s="6" t="str">
        <f ca="1">IFERROR(__xludf.DUMMYFUNCTION("""COMPUTED_VALUE"""),"PADRE HURTADO")</f>
        <v>PADRE HURTADO</v>
      </c>
    </row>
    <row r="7549" spans="1:4">
      <c r="A7549" s="7">
        <f ca="1">IFERROR(__xludf.DUMMYFUNCTION("""COMPUTED_VALUE"""),44652)</f>
        <v>44652</v>
      </c>
      <c r="B7549" s="6" t="str">
        <f ca="1">IFERROR(__xludf.DUMMYFUNCTION("""COMPUTED_VALUE"""),"-35.4295745,-71.6278094")</f>
        <v>-35.4295745,-71.6278094</v>
      </c>
      <c r="C7549" s="6" t="str">
        <f ca="1">IFERROR(__xludf.DUMMYFUNCTION("""COMPUTED_VALUE"""),"TREIS Y MEDIO NORTE 3392")</f>
        <v>TREIS Y MEDIO NORTE 3392</v>
      </c>
      <c r="D7549" s="6" t="str">
        <f ca="1">IFERROR(__xludf.DUMMYFUNCTION("""COMPUTED_VALUE"""),"TALCA")</f>
        <v>TALCA</v>
      </c>
    </row>
    <row r="7550" spans="1:4">
      <c r="A7550" s="7">
        <f ca="1">IFERROR(__xludf.DUMMYFUNCTION("""COMPUTED_VALUE"""),44652)</f>
        <v>44652</v>
      </c>
      <c r="B7550" s="6" t="str">
        <f ca="1">IFERROR(__xludf.DUMMYFUNCTION("""COMPUTED_VALUE"""),"-35.4267905,-71.6285954")</f>
        <v>-35.4267905,-71.6285954</v>
      </c>
      <c r="C7550" s="6" t="str">
        <f ca="1">IFERROR(__xludf.DUMMYFUNCTION("""COMPUTED_VALUE"""),"VEINTICUATRO Y MEDIO  ORIENTE 1469")</f>
        <v>VEINTICUATRO Y MEDIO  ORIENTE 1469</v>
      </c>
      <c r="D7550" s="6" t="str">
        <f ca="1">IFERROR(__xludf.DUMMYFUNCTION("""COMPUTED_VALUE"""),"TALCA")</f>
        <v>TALCA</v>
      </c>
    </row>
    <row r="7551" spans="1:4">
      <c r="A7551" s="7">
        <f ca="1">IFERROR(__xludf.DUMMYFUNCTION("""COMPUTED_VALUE"""),44652)</f>
        <v>44652</v>
      </c>
      <c r="B7551" s="8" t="str">
        <f ca="1">IFERROR(__xludf.DUMMYFUNCTION("""COMPUTED_VALUE"""),"-33.843608,-70.731272")</f>
        <v>-33.843608,-70.731272</v>
      </c>
      <c r="C7551" s="6" t="str">
        <f ca="1">IFERROR(__xludf.DUMMYFUNCTION("""COMPUTED_VALUE"""),"SUYAI 826")</f>
        <v>SUYAI 826</v>
      </c>
      <c r="D7551" s="6" t="str">
        <f ca="1">IFERROR(__xludf.DUMMYFUNCTION("""COMPUTED_VALUE"""),"PAINE")</f>
        <v>PAINE</v>
      </c>
    </row>
    <row r="7552" spans="1:4">
      <c r="A7552" s="7">
        <f ca="1">IFERROR(__xludf.DUMMYFUNCTION("""COMPUTED_VALUE"""),44652)</f>
        <v>44652</v>
      </c>
      <c r="B7552" s="8" t="str">
        <f ca="1">IFERROR(__xludf.DUMMYFUNCTION("""COMPUTED_VALUE"""),"-34.033395,-71.100338")</f>
        <v>-34.033395,-71.100338</v>
      </c>
      <c r="C7552" s="6" t="str">
        <f ca="1">IFERROR(__xludf.DUMMYFUNCTION("""COMPUTED_VALUE"""),"CINCO DE ABRIL")</f>
        <v>CINCO DE ABRIL</v>
      </c>
      <c r="D7552" s="6" t="str">
        <f ca="1">IFERROR(__xludf.DUMMYFUNCTION("""COMPUTED_VALUE"""),"ALHUÉ")</f>
        <v>ALHUÉ</v>
      </c>
    </row>
    <row r="7553" spans="1:4">
      <c r="A7553" s="7">
        <f ca="1">IFERROR(__xludf.DUMMYFUNCTION("""COMPUTED_VALUE"""),44652)</f>
        <v>44652</v>
      </c>
      <c r="B7553" s="8" t="str">
        <f ca="1">IFERROR(__xludf.DUMMYFUNCTION("""COMPUTED_VALUE"""),"-33.763359.-71.294005")</f>
        <v>-33.763359.-71.294005</v>
      </c>
      <c r="C7553" s="6" t="str">
        <f ca="1">IFERROR(__xludf.DUMMYFUNCTION("""COMPUTED_VALUE"""),"SAN RAFAEL CODIGUA 17")</f>
        <v>SAN RAFAEL CODIGUA 17</v>
      </c>
      <c r="D7553" s="6" t="str">
        <f ca="1">IFERROR(__xludf.DUMMYFUNCTION("""COMPUTED_VALUE"""),"MELIPILLA")</f>
        <v>MELIPILLA</v>
      </c>
    </row>
    <row r="7554" spans="1:4">
      <c r="A7554" s="7">
        <f ca="1">IFERROR(__xludf.DUMMYFUNCTION("""COMPUTED_VALUE"""),44652)</f>
        <v>44652</v>
      </c>
      <c r="B7554" s="6" t="str">
        <f ca="1">IFERROR(__xludf.DUMMYFUNCTION("""COMPUTED_VALUE"""),"-33.803329,-70.717257")</f>
        <v>-33.803329,-70.717257</v>
      </c>
      <c r="C7554" s="6" t="str">
        <f ca="1">IFERROR(__xludf.DUMMYFUNCTION("""COMPUTED_VALUE"""),"COND LOS LAURELES 219 D")</f>
        <v>COND LOS LAURELES 219 D</v>
      </c>
      <c r="D7554" s="6" t="str">
        <f ca="1">IFERROR(__xludf.DUMMYFUNCTION("""COMPUTED_VALUE"""),"PAINE")</f>
        <v>PAINE</v>
      </c>
    </row>
    <row r="7555" spans="1:4">
      <c r="A7555" s="7">
        <f ca="1">IFERROR(__xludf.DUMMYFUNCTION("""COMPUTED_VALUE"""),44652)</f>
        <v>44652</v>
      </c>
      <c r="B7555" s="6" t="str">
        <f ca="1">IFERROR(__xludf.DUMMYFUNCTION("""COMPUTED_VALUE"""),"-33.8054834,-70.73379870")</f>
        <v>-33.8054834,-70.73379870</v>
      </c>
      <c r="C7555" s="6" t="str">
        <f ca="1">IFERROR(__xludf.DUMMYFUNCTION("""COMPUTED_VALUE"""),"JOSE FUENTES 178")</f>
        <v>JOSE FUENTES 178</v>
      </c>
      <c r="D7555" s="6" t="str">
        <f ca="1">IFERROR(__xludf.DUMMYFUNCTION("""COMPUTED_VALUE"""),"PAINE")</f>
        <v>PAINE</v>
      </c>
    </row>
    <row r="7556" spans="1:4">
      <c r="A7556" s="7">
        <f ca="1">IFERROR(__xludf.DUMMYFUNCTION("""COMPUTED_VALUE"""),44652)</f>
        <v>44652</v>
      </c>
      <c r="B7556" s="6" t="str">
        <f ca="1">IFERROR(__xludf.DUMMYFUNCTION("""COMPUTED_VALUE"""),"-33.8121052,-70.7344471")</f>
        <v>-33.8121052,-70.7344471</v>
      </c>
      <c r="C7556" s="6" t="str">
        <f ca="1">IFERROR(__xludf.DUMMYFUNCTION("""COMPUTED_VALUE"""),"EL COIGUE 675")</f>
        <v>EL COIGUE 675</v>
      </c>
      <c r="D7556" s="6" t="str">
        <f ca="1">IFERROR(__xludf.DUMMYFUNCTION("""COMPUTED_VALUE"""),"PAINE")</f>
        <v>PAINE</v>
      </c>
    </row>
    <row r="7557" spans="1:4">
      <c r="A7557" s="7">
        <f ca="1">IFERROR(__xludf.DUMMYFUNCTION("""COMPUTED_VALUE"""),44652)</f>
        <v>44652</v>
      </c>
      <c r="B7557" s="6" t="str">
        <f ca="1">IFERROR(__xludf.DUMMYFUNCTION("""COMPUTED_VALUE"""),"-33.8133200,-70.7293233")</f>
        <v>-33.8133200,-70.7293233</v>
      </c>
      <c r="C7557" s="6" t="str">
        <f ca="1">IFERROR(__xludf.DUMMYFUNCTION("""COMPUTED_VALUE"""),"PASAJE KUYEN 926")</f>
        <v>PASAJE KUYEN 926</v>
      </c>
      <c r="D7557" s="6" t="str">
        <f ca="1">IFERROR(__xludf.DUMMYFUNCTION("""COMPUTED_VALUE"""),"PAINE")</f>
        <v>PAINE</v>
      </c>
    </row>
    <row r="7558" spans="1:4">
      <c r="A7558" s="7">
        <f ca="1">IFERROR(__xludf.DUMMYFUNCTION("""COMPUTED_VALUE"""),44653)</f>
        <v>44653</v>
      </c>
      <c r="B7558" s="6" t="str">
        <f ca="1">IFERROR(__xludf.DUMMYFUNCTION("""COMPUTED_VALUE"""),"-33.818302,-70.739039")</f>
        <v>-33.818302,-70.739039</v>
      </c>
      <c r="C7558" s="6" t="str">
        <f ca="1">IFERROR(__xludf.DUMMYFUNCTION("""COMPUTED_VALUE"""),"EL TABO 1410")</f>
        <v>EL TABO 1410</v>
      </c>
      <c r="D7558" s="6" t="str">
        <f ca="1">IFERROR(__xludf.DUMMYFUNCTION("""COMPUTED_VALUE"""),"PAINE")</f>
        <v>PAINE</v>
      </c>
    </row>
    <row r="7559" spans="1:4">
      <c r="A7559" s="7">
        <f ca="1">IFERROR(__xludf.DUMMYFUNCTION("""COMPUTED_VALUE"""),44653)</f>
        <v>44653</v>
      </c>
      <c r="B7559" s="6" t="str">
        <f ca="1">IFERROR(__xludf.DUMMYFUNCTION("""COMPUTED_VALUE"""),"-33.816435,-70.741107")</f>
        <v>-33.816435,-70.741107</v>
      </c>
      <c r="C7559" s="6" t="str">
        <f ca="1">IFERROR(__xludf.DUMMYFUNCTION("""COMPUTED_VALUE"""),"MIGUEL CAMPINO 186")</f>
        <v>MIGUEL CAMPINO 186</v>
      </c>
      <c r="D7559" s="6" t="str">
        <f ca="1">IFERROR(__xludf.DUMMYFUNCTION("""COMPUTED_VALUE"""),"PAINE")</f>
        <v>PAINE</v>
      </c>
    </row>
    <row r="7560" spans="1:4">
      <c r="A7560" s="7">
        <f ca="1">IFERROR(__xludf.DUMMYFUNCTION("""COMPUTED_VALUE"""),44653)</f>
        <v>44653</v>
      </c>
      <c r="B7560" s="6" t="str">
        <f ca="1">IFERROR(__xludf.DUMMYFUNCTION("""COMPUTED_VALUE"""),"-33.815946,-70.746186")</f>
        <v>-33.815946,-70.746186</v>
      </c>
      <c r="C7560" s="6" t="str">
        <f ca="1">IFERROR(__xludf.DUMMYFUNCTION("""COMPUTED_VALUE"""),"SERRANO 281")</f>
        <v>SERRANO 281</v>
      </c>
      <c r="D7560" s="6" t="str">
        <f ca="1">IFERROR(__xludf.DUMMYFUNCTION("""COMPUTED_VALUE"""),"PAINE")</f>
        <v>PAINE</v>
      </c>
    </row>
    <row r="7561" spans="1:4">
      <c r="A7561" s="7">
        <f ca="1">IFERROR(__xludf.DUMMYFUNCTION("""COMPUTED_VALUE"""),44654)</f>
        <v>44654</v>
      </c>
      <c r="B7561" s="6" t="str">
        <f ca="1">IFERROR(__xludf.DUMMYFUNCTION("""COMPUTED_VALUE"""),"-33.805781,-70.730010")</f>
        <v>-33.805781,-70.730010</v>
      </c>
      <c r="C7561" s="6" t="str">
        <f ca="1">IFERROR(__xludf.DUMMYFUNCTION("""COMPUTED_VALUE"""),"RIO CAMARONES 188")</f>
        <v>RIO CAMARONES 188</v>
      </c>
      <c r="D7561" s="6" t="str">
        <f ca="1">IFERROR(__xludf.DUMMYFUNCTION("""COMPUTED_VALUE"""),"PAINE")</f>
        <v>PAINE</v>
      </c>
    </row>
    <row r="7562" spans="1:4">
      <c r="A7562" s="7">
        <f ca="1">IFERROR(__xludf.DUMMYFUNCTION("""COMPUTED_VALUE"""),44654)</f>
        <v>44654</v>
      </c>
      <c r="B7562" s="6" t="str">
        <f ca="1">IFERROR(__xludf.DUMMYFUNCTION("""COMPUTED_VALUE"""),"-33.805777,-70.730194")</f>
        <v>-33.805777,-70.730194</v>
      </c>
      <c r="C7562" s="6" t="str">
        <f ca="1">IFERROR(__xludf.DUMMYFUNCTION("""COMPUTED_VALUE"""),"RIO CAMARONES 180")</f>
        <v>RIO CAMARONES 180</v>
      </c>
      <c r="D7562" s="6" t="str">
        <f ca="1">IFERROR(__xludf.DUMMYFUNCTION("""COMPUTED_VALUE"""),"PAINE")</f>
        <v>PAINE</v>
      </c>
    </row>
    <row r="7563" spans="1:4">
      <c r="A7563" s="7">
        <f ca="1">IFERROR(__xludf.DUMMYFUNCTION("""COMPUTED_VALUE"""),44655)</f>
        <v>44655</v>
      </c>
      <c r="B7563" s="8" t="str">
        <f ca="1">IFERROR(__xludf.DUMMYFUNCTION("""COMPUTED_VALUE"""),"33858169-70614302")</f>
        <v>33858169-70614302</v>
      </c>
      <c r="C7563" s="6" t="str">
        <f ca="1">IFERROR(__xludf.DUMMYFUNCTION("""COMPUTED_VALUE"""),"EL ESCORIAL SITIO 42")</f>
        <v>EL ESCORIAL SITIO 42</v>
      </c>
      <c r="D7563" s="6" t="str">
        <f ca="1">IFERROR(__xludf.DUMMYFUNCTION("""COMPUTED_VALUE"""),"PAINE")</f>
        <v>PAINE</v>
      </c>
    </row>
    <row r="7564" spans="1:4">
      <c r="A7564" s="7">
        <f ca="1">IFERROR(__xludf.DUMMYFUNCTION("""COMPUTED_VALUE"""),44655)</f>
        <v>44655</v>
      </c>
      <c r="B7564" s="8" t="str">
        <f ca="1">IFERROR(__xludf.DUMMYFUNCTION("""COMPUTED_VALUE"""),"-33.8468311, -70.6352978")</f>
        <v>-33.8468311, -70.6352978</v>
      </c>
      <c r="C7564" s="6" t="str">
        <f ca="1">IFERROR(__xludf.DUMMYFUNCTION("""COMPUTED_VALUE"""),"CAMINO PADRE HURTADO PARCELA 2")</f>
        <v>CAMINO PADRE HURTADO PARCELA 2</v>
      </c>
      <c r="D7564" s="6" t="str">
        <f ca="1">IFERROR(__xludf.DUMMYFUNCTION("""COMPUTED_VALUE"""),"PAINE")</f>
        <v>PAINE</v>
      </c>
    </row>
    <row r="7565" spans="1:4">
      <c r="A7565" s="7">
        <f ca="1">IFERROR(__xludf.DUMMYFUNCTION("""COMPUTED_VALUE"""),44655)</f>
        <v>44655</v>
      </c>
      <c r="B7565" s="8" t="str">
        <f ca="1">IFERROR(__xludf.DUMMYFUNCTION("""COMPUTED_VALUE"""),"33916381-70741909")</f>
        <v>33916381-70741909</v>
      </c>
      <c r="C7565" s="6" t="str">
        <f ca="1">IFERROR(__xludf.DUMMYFUNCTION("""COMPUTED_VALUE"""),"PARCELA 62 HOSPITAL")</f>
        <v>PARCELA 62 HOSPITAL</v>
      </c>
      <c r="D7565" s="6" t="str">
        <f ca="1">IFERROR(__xludf.DUMMYFUNCTION("""COMPUTED_VALUE"""),"PAINE")</f>
        <v>PAINE</v>
      </c>
    </row>
    <row r="7566" spans="1:4">
      <c r="A7566" s="7">
        <f ca="1">IFERROR(__xludf.DUMMYFUNCTION("""COMPUTED_VALUE"""),44655)</f>
        <v>44655</v>
      </c>
      <c r="B7566" s="8" t="str">
        <f ca="1">IFERROR(__xludf.DUMMYFUNCTION("""COMPUTED_VALUE"""),"33916381-70741909")</f>
        <v>33916381-70741909</v>
      </c>
      <c r="C7566" s="6" t="str">
        <f ca="1">IFERROR(__xludf.DUMMYFUNCTION("""COMPUTED_VALUE"""),"PARCELA 62 HOSPITAL")</f>
        <v>PARCELA 62 HOSPITAL</v>
      </c>
      <c r="D7566" s="6" t="str">
        <f ca="1">IFERROR(__xludf.DUMMYFUNCTION("""COMPUTED_VALUE"""),"PAINE")</f>
        <v>PAINE</v>
      </c>
    </row>
    <row r="7567" spans="1:4">
      <c r="A7567" s="7">
        <f ca="1">IFERROR(__xludf.DUMMYFUNCTION("""COMPUTED_VALUE"""),44655)</f>
        <v>44655</v>
      </c>
      <c r="B7567" s="8" t="str">
        <f ca="1">IFERROR(__xludf.DUMMYFUNCTION("""COMPUTED_VALUE"""),"33783312-70886346")</f>
        <v>33783312-70886346</v>
      </c>
      <c r="C7567" s="6" t="str">
        <f ca="1">IFERROR(__xludf.DUMMYFUNCTION("""COMPUTED_VALUE"""),"LAS MERCEDES 1739")</f>
        <v>LAS MERCEDES 1739</v>
      </c>
      <c r="D7567" s="6" t="str">
        <f ca="1">IFERROR(__xludf.DUMMYFUNCTION("""COMPUTED_VALUE"""),"ISLA DE MAIPO")</f>
        <v>ISLA DE MAIPO</v>
      </c>
    </row>
    <row r="7568" spans="1:4">
      <c r="A7568" s="7">
        <f ca="1">IFERROR(__xludf.DUMMYFUNCTION("""COMPUTED_VALUE"""),44655)</f>
        <v>44655</v>
      </c>
      <c r="B7568" s="8" t="str">
        <f ca="1">IFERROR(__xludf.DUMMYFUNCTION("""COMPUTED_VALUE"""),"33784639-70892481")</f>
        <v>33784639-70892481</v>
      </c>
      <c r="C7568" s="6" t="str">
        <f ca="1">IFERROR(__xludf.DUMMYFUNCTION("""COMPUTED_VALUE"""),"SAN MARTIRIAN 329,")</f>
        <v>SAN MARTIRIAN 329,</v>
      </c>
      <c r="D7568" s="6" t="str">
        <f ca="1">IFERROR(__xludf.DUMMYFUNCTION("""COMPUTED_VALUE"""),"ISLA DE MAIPO")</f>
        <v>ISLA DE MAIPO</v>
      </c>
    </row>
    <row r="7569" spans="1:4">
      <c r="A7569" s="7">
        <f ca="1">IFERROR(__xludf.DUMMYFUNCTION("""COMPUTED_VALUE"""),44655)</f>
        <v>44655</v>
      </c>
      <c r="B7569" s="8" t="str">
        <f ca="1">IFERROR(__xludf.DUMMYFUNCTION("""COMPUTED_VALUE"""),"-33.916381,-70.741909")</f>
        <v>-33.916381,-70.741909</v>
      </c>
      <c r="C7569" s="6" t="str">
        <f ca="1">IFERROR(__xludf.DUMMYFUNCTION("""COMPUTED_VALUE"""),"PARCELA 62,")</f>
        <v>PARCELA 62,</v>
      </c>
      <c r="D7569" s="6" t="str">
        <f ca="1">IFERROR(__xludf.DUMMYFUNCTION("""COMPUTED_VALUE"""),"ISLA DE MAIPO")</f>
        <v>ISLA DE MAIPO</v>
      </c>
    </row>
    <row r="7570" spans="1:4">
      <c r="A7570" s="7">
        <f ca="1">IFERROR(__xludf.DUMMYFUNCTION("""COMPUTED_VALUE"""),44655)</f>
        <v>44655</v>
      </c>
      <c r="B7570" s="6" t="str">
        <f ca="1">IFERROR(__xludf.DUMMYFUNCTION("""COMPUTED_VALUE"""),"-33.605215-70.870700")</f>
        <v>-33.605215-70.870700</v>
      </c>
      <c r="C7570" s="6" t="str">
        <f ca="1">IFERROR(__xludf.DUMMYFUNCTION("""COMPUTED_VALUE"""),"ROSALES 529")</f>
        <v>ROSALES 529</v>
      </c>
      <c r="D7570" s="6" t="str">
        <f ca="1">IFERROR(__xludf.DUMMYFUNCTION("""COMPUTED_VALUE"""),"PEÑAFLOR")</f>
        <v>PEÑAFLOR</v>
      </c>
    </row>
    <row r="7571" spans="1:4">
      <c r="A7571" s="7">
        <f ca="1">IFERROR(__xludf.DUMMYFUNCTION("""COMPUTED_VALUE"""),44655)</f>
        <v>44655</v>
      </c>
      <c r="B7571" s="6" t="str">
        <f ca="1">IFERROR(__xludf.DUMMYFUNCTION("""COMPUTED_VALUE"""),"-33.611815-70.86810")</f>
        <v>-33.611815-70.86810</v>
      </c>
      <c r="C7571" s="6" t="str">
        <f ca="1">IFERROR(__xludf.DUMMYFUNCTION("""COMPUTED_VALUE"""),"CALLE DOS 996")</f>
        <v>CALLE DOS 996</v>
      </c>
      <c r="D7571" s="6" t="str">
        <f ca="1">IFERROR(__xludf.DUMMYFUNCTION("""COMPUTED_VALUE"""),"PEÑAFLOR")</f>
        <v>PEÑAFLOR</v>
      </c>
    </row>
    <row r="7572" spans="1:4">
      <c r="A7572" s="7">
        <f ca="1">IFERROR(__xludf.DUMMYFUNCTION("""COMPUTED_VALUE"""),44655)</f>
        <v>44655</v>
      </c>
      <c r="B7572" s="6" t="str">
        <f ca="1">IFERROR(__xludf.DUMMYFUNCTION("""COMPUTED_VALUE"""),"-33.402228-71.1293733")</f>
        <v>-33.402228-71.1293733</v>
      </c>
      <c r="C7572" s="6" t="str">
        <f ca="1">IFERROR(__xludf.DUMMYFUNCTION("""COMPUTED_VALUE"""),"UNION CHILENA S-26")</f>
        <v>UNION CHILENA S-26</v>
      </c>
      <c r="D7572" s="6" t="str">
        <f ca="1">IFERROR(__xludf.DUMMYFUNCTION("""COMPUTED_VALUE"""),"CURACAVI")</f>
        <v>CURACAVI</v>
      </c>
    </row>
    <row r="7573" spans="1:4">
      <c r="A7573" s="7">
        <f ca="1">IFERROR(__xludf.DUMMYFUNCTION("""COMPUTED_VALUE"""),44655)</f>
        <v>44655</v>
      </c>
      <c r="B7573" s="8" t="str">
        <f ca="1">IFERROR(__xludf.DUMMYFUNCTION("""COMPUTED_VALUE"""),"-33.706855,-70.558369")</f>
        <v>-33.706855,-70.558369</v>
      </c>
      <c r="C7573" s="6" t="str">
        <f ca="1">IFERROR(__xludf.DUMMYFUNCTION("""COMPUTED_VALUE"""),"CALLE EL OLIVO 7964")</f>
        <v>CALLE EL OLIVO 7964</v>
      </c>
      <c r="D7573" s="6" t="str">
        <f ca="1">IFERROR(__xludf.DUMMYFUNCTION("""COMPUTED_VALUE"""),"PIRQUE")</f>
        <v>PIRQUE</v>
      </c>
    </row>
    <row r="7574" spans="1:4">
      <c r="A7574" s="7">
        <f ca="1">IFERROR(__xludf.DUMMYFUNCTION("""COMPUTED_VALUE"""),44655)</f>
        <v>44655</v>
      </c>
      <c r="B7574" s="8" t="str">
        <f ca="1">IFERROR(__xludf.DUMMYFUNCTION("""COMPUTED_VALUE"""),"-33.697369,-70.569069")</f>
        <v>-33.697369,-70.569069</v>
      </c>
      <c r="C7574" s="6" t="str">
        <f ca="1">IFERROR(__xludf.DUMMYFUNCTION("""COMPUTED_VALUE"""),"PARCELA 39 LOTE 2B CAMINO EL PRINCIPAL")</f>
        <v>PARCELA 39 LOTE 2B CAMINO EL PRINCIPAL</v>
      </c>
      <c r="D7574" s="6" t="str">
        <f ca="1">IFERROR(__xludf.DUMMYFUNCTION("""COMPUTED_VALUE"""),"PIRQUE")</f>
        <v>PIRQUE</v>
      </c>
    </row>
    <row r="7575" spans="1:4">
      <c r="A7575" s="7">
        <f ca="1">IFERROR(__xludf.DUMMYFUNCTION("""COMPUTED_VALUE"""),44655)</f>
        <v>44655</v>
      </c>
      <c r="B7575" s="8" t="str">
        <f ca="1">IFERROR(__xludf.DUMMYFUNCTION("""COMPUTED_VALUE"""),"-33.728817,-70.551728")</f>
        <v>-33.728817,-70.551728</v>
      </c>
      <c r="C7575" s="6" t="str">
        <f ca="1">IFERROR(__xludf.DUMMYFUNCTION("""COMPUTED_VALUE"""),"LAS PALMERAS 2153")</f>
        <v>LAS PALMERAS 2153</v>
      </c>
      <c r="D7575" s="6" t="str">
        <f ca="1">IFERROR(__xludf.DUMMYFUNCTION("""COMPUTED_VALUE"""),"PIRQUE")</f>
        <v>PIRQUE</v>
      </c>
    </row>
    <row r="7576" spans="1:4">
      <c r="A7576" s="7">
        <f ca="1">IFERROR(__xludf.DUMMYFUNCTION("""COMPUTED_VALUE"""),44655)</f>
        <v>44655</v>
      </c>
      <c r="B7576" s="6" t="str">
        <f ca="1">IFERROR(__xludf.DUMMYFUNCTION("""COMPUTED_VALUE"""),"-33.574810,-71.245083")</f>
        <v>-33.574810,-71.245083</v>
      </c>
      <c r="C7576" s="6" t="str">
        <f ca="1">IFERROR(__xludf.DUMMYFUNCTION("""COMPUTED_VALUE"""),"SNATA FILOMENA 1 LOTEO LA PAR SANTA FILOMENA -SAN JOSE ")</f>
        <v xml:space="preserve">SNATA FILOMENA 1 LOTEO LA PAR SANTA FILOMENA -SAN JOSE </v>
      </c>
      <c r="D7576" s="6" t="str">
        <f ca="1">IFERROR(__xludf.DUMMYFUNCTION("""COMPUTED_VALUE"""),"MELIPILLA")</f>
        <v>MELIPILLA</v>
      </c>
    </row>
    <row r="7577" spans="1:4">
      <c r="A7577" s="7">
        <f ca="1">IFERROR(__xludf.DUMMYFUNCTION("""COMPUTED_VALUE"""),44655)</f>
        <v>44655</v>
      </c>
      <c r="B7577" s="6" t="str">
        <f ca="1">IFERROR(__xludf.DUMMYFUNCTION("""COMPUTED_VALUE"""),"-33.819593,-70.647744")</f>
        <v>-33.819593,-70.647744</v>
      </c>
      <c r="C7577" s="6" t="str">
        <f ca="1">IFERROR(__xludf.DUMMYFUNCTION("""COMPUTED_VALUE"""),"CO PADRE HURTADO 8 HUELQUEN CAM PADRE")</f>
        <v>CO PADRE HURTADO 8 HUELQUEN CAM PADRE</v>
      </c>
      <c r="D7577" s="6" t="str">
        <f ca="1">IFERROR(__xludf.DUMMYFUNCTION("""COMPUTED_VALUE"""),"PAINE")</f>
        <v>PAINE</v>
      </c>
    </row>
    <row r="7578" spans="1:4">
      <c r="A7578" s="7">
        <f ca="1">IFERROR(__xludf.DUMMYFUNCTION("""COMPUTED_VALUE"""),44655)</f>
        <v>44655</v>
      </c>
      <c r="B7578" s="6" t="str">
        <f ca="1">IFERROR(__xludf.DUMMYFUNCTION("""COMPUTED_VALUE"""),"-33.741580,-70.897321")</f>
        <v>-33.741580,-70.897321</v>
      </c>
      <c r="C7578" s="6" t="str">
        <f ca="1">IFERROR(__xludf.DUMMYFUNCTION("""COMPUTED_VALUE"""),"SAN VALENTIN 237")</f>
        <v>SAN VALENTIN 237</v>
      </c>
      <c r="D7578" s="6" t="str">
        <f ca="1">IFERROR(__xludf.DUMMYFUNCTION("""COMPUTED_VALUE"""),"ISLA DE MAIPO")</f>
        <v>ISLA DE MAIPO</v>
      </c>
    </row>
    <row r="7579" spans="1:4">
      <c r="A7579" s="7">
        <f ca="1">IFERROR(__xludf.DUMMYFUNCTION("""COMPUTED_VALUE"""),44655)</f>
        <v>44655</v>
      </c>
      <c r="B7579" s="8" t="str">
        <f ca="1">IFERROR(__xludf.DUMMYFUNCTION("""COMPUTED_VALUE"""),"-33.81974,-70.737260")</f>
        <v>-33.81974,-70.737260</v>
      </c>
      <c r="C7579" s="6" t="str">
        <f ca="1">IFERROR(__xludf.DUMMYFUNCTION("""COMPUTED_VALUE"""),"BUIN 1520")</f>
        <v>BUIN 1520</v>
      </c>
      <c r="D7579" s="6" t="str">
        <f ca="1">IFERROR(__xludf.DUMMYFUNCTION("""COMPUTED_VALUE"""),"PAINE")</f>
        <v>PAINE</v>
      </c>
    </row>
    <row r="7580" spans="1:4">
      <c r="A7580" s="7">
        <f ca="1">IFERROR(__xludf.DUMMYFUNCTION("""COMPUTED_VALUE"""),44655)</f>
        <v>44655</v>
      </c>
      <c r="B7580" s="8" t="str">
        <f ca="1">IFERROR(__xludf.DUMMYFUNCTION("""COMPUTED_VALUE"""),"-34.031714,-71.203480")</f>
        <v>-34.031714,-71.203480</v>
      </c>
      <c r="C7580" s="6" t="str">
        <f ca="1">IFERROR(__xludf.DUMMYFUNCTION("""COMPUTED_VALUE"""),"PTE BULLIN S/N ")</f>
        <v xml:space="preserve">PTE BULLIN S/N </v>
      </c>
      <c r="D7580" s="6" t="str">
        <f ca="1">IFERROR(__xludf.DUMMYFUNCTION("""COMPUTED_VALUE"""),"ALHUÉ")</f>
        <v>ALHUÉ</v>
      </c>
    </row>
    <row r="7581" spans="1:4">
      <c r="A7581" s="7">
        <f ca="1">IFERROR(__xludf.DUMMYFUNCTION("""COMPUTED_VALUE"""),44655)</f>
        <v>44655</v>
      </c>
      <c r="B7581" s="8" t="str">
        <f ca="1">IFERROR(__xludf.DUMMYFUNCTION("""COMPUTED_VALUE"""),"-33.825123,-70.731238")</f>
        <v>-33.825123,-70.731238</v>
      </c>
      <c r="C7581" s="6" t="str">
        <f ca="1">IFERROR(__xludf.DUMMYFUNCTION("""COMPUTED_VALUE"""),"LEOPOLDO CASTAÑEDA ")</f>
        <v xml:space="preserve">LEOPOLDO CASTAÑEDA </v>
      </c>
      <c r="D7581" s="6" t="str">
        <f ca="1">IFERROR(__xludf.DUMMYFUNCTION("""COMPUTED_VALUE"""),"PAINE")</f>
        <v>PAINE</v>
      </c>
    </row>
    <row r="7582" spans="1:4">
      <c r="A7582" s="7">
        <f ca="1">IFERROR(__xludf.DUMMYFUNCTION("""COMPUTED_VALUE"""),44655)</f>
        <v>44655</v>
      </c>
      <c r="B7582" s="8" t="str">
        <f ca="1">IFERROR(__xludf.DUMMYFUNCTION("""COMPUTED_VALUE"""),"-33.778661,-71.241724")</f>
        <v>-33.778661,-71.241724</v>
      </c>
      <c r="C7582" s="6" t="str">
        <f ca="1">IFERROR(__xludf.DUMMYFUNCTION("""COMPUTED_VALUE"""),"EL MOLINO PARCELA 14")</f>
        <v>EL MOLINO PARCELA 14</v>
      </c>
      <c r="D7582" s="6" t="str">
        <f ca="1">IFERROR(__xludf.DUMMYFUNCTION("""COMPUTED_VALUE"""),"MELIPILLA")</f>
        <v>MELIPILLA</v>
      </c>
    </row>
    <row r="7583" spans="1:4">
      <c r="A7583" s="7">
        <f ca="1">IFERROR(__xludf.DUMMYFUNCTION("""COMPUTED_VALUE"""),44655)</f>
        <v>44655</v>
      </c>
      <c r="B7583" s="6" t="str">
        <f ca="1">IFERROR(__xludf.DUMMYFUNCTION("""COMPUTED_VALUE"""),"-33.878632,-70.745677")</f>
        <v>-33.878632,-70.745677</v>
      </c>
      <c r="C7583" s="6" t="str">
        <f ca="1">IFERROR(__xludf.DUMMYFUNCTION("""COMPUTED_VALUE"""),"LECHO DEL RIO LOTE C")</f>
        <v>LECHO DEL RIO LOTE C</v>
      </c>
      <c r="D7583" s="6" t="str">
        <f ca="1">IFERROR(__xludf.DUMMYFUNCTION("""COMPUTED_VALUE"""),"PAINE")</f>
        <v>PAINE</v>
      </c>
    </row>
    <row r="7584" spans="1:4">
      <c r="A7584" s="7">
        <f ca="1">IFERROR(__xludf.DUMMYFUNCTION("""COMPUTED_VALUE"""),44655)</f>
        <v>44655</v>
      </c>
      <c r="B7584" s="6" t="str">
        <f ca="1">IFERROR(__xludf.DUMMYFUNCTION("""COMPUTED_VALUE"""),"-33.706854,-70.555178")</f>
        <v>-33.706854,-70.555178</v>
      </c>
      <c r="C7584" s="6" t="str">
        <f ca="1">IFERROR(__xludf.DUMMYFUNCTION("""COMPUTED_VALUE"""),"EL LINGUE 7886")</f>
        <v>EL LINGUE 7886</v>
      </c>
      <c r="D7584" s="6" t="str">
        <f ca="1">IFERROR(__xludf.DUMMYFUNCTION("""COMPUTED_VALUE"""),"PIRQUE")</f>
        <v>PIRQUE</v>
      </c>
    </row>
    <row r="7585" spans="1:4">
      <c r="A7585" s="7">
        <f ca="1">IFERROR(__xludf.DUMMYFUNCTION("""COMPUTED_VALUE"""),44655)</f>
        <v>44655</v>
      </c>
      <c r="B7585" s="6" t="str">
        <f ca="1">IFERROR(__xludf.DUMMYFUNCTION("""COMPUTED_VALUE"""),"-33.759002,-70.735062")</f>
        <v>-33.759002,-70.735062</v>
      </c>
      <c r="C7585" s="6" t="str">
        <f ca="1">IFERROR(__xludf.DUMMYFUNCTION("""COMPUTED_VALUE"""),"LINDEROS 113")</f>
        <v>LINDEROS 113</v>
      </c>
      <c r="D7585" s="6" t="str">
        <f ca="1">IFERROR(__xludf.DUMMYFUNCTION("""COMPUTED_VALUE"""),"BUIN")</f>
        <v>BUIN</v>
      </c>
    </row>
    <row r="7586" spans="1:4">
      <c r="A7586" s="7">
        <f ca="1">IFERROR(__xludf.DUMMYFUNCTION("""COMPUTED_VALUE"""),44655)</f>
        <v>44655</v>
      </c>
      <c r="B7586" s="6" t="str">
        <f ca="1">IFERROR(__xludf.DUMMYFUNCTION("""COMPUTED_VALUE"""),"-33.8035430,-70.7142564")</f>
        <v>-33.8035430,-70.7142564</v>
      </c>
      <c r="C7586" s="6" t="str">
        <f ca="1">IFERROR(__xludf.DUMMYFUNCTION("""COMPUTED_VALUE"""),"CALLE UNO 2085")</f>
        <v>CALLE UNO 2085</v>
      </c>
      <c r="D7586" s="6" t="str">
        <f ca="1">IFERROR(__xludf.DUMMYFUNCTION("""COMPUTED_VALUE"""),"PAINE")</f>
        <v>PAINE</v>
      </c>
    </row>
    <row r="7587" spans="1:4">
      <c r="A7587" s="7">
        <f ca="1">IFERROR(__xludf.DUMMYFUNCTION("""COMPUTED_VALUE"""),44656)</f>
        <v>44656</v>
      </c>
      <c r="B7587" s="8" t="str">
        <f ca="1">IFERROR(__xludf.DUMMYFUNCTION("""COMPUTED_VALUE"""),"33835642-70649424")</f>
        <v>33835642-70649424</v>
      </c>
      <c r="C7587" s="6" t="str">
        <f ca="1">IFERROR(__xludf.DUMMYFUNCTION("""COMPUTED_VALUE"""),"SANTA TERESA SECTOR C, LOTE E,")</f>
        <v>SANTA TERESA SECTOR C, LOTE E,</v>
      </c>
      <c r="D7587" s="6" t="str">
        <f ca="1">IFERROR(__xludf.DUMMYFUNCTION("""COMPUTED_VALUE"""),"PAINE")</f>
        <v>PAINE</v>
      </c>
    </row>
    <row r="7588" spans="1:4">
      <c r="A7588" s="7">
        <f ca="1">IFERROR(__xludf.DUMMYFUNCTION("""COMPUTED_VALUE"""),44656)</f>
        <v>44656</v>
      </c>
      <c r="B7588" s="8" t="str">
        <f ca="1">IFERROR(__xludf.DUMMYFUNCTION("""COMPUTED_VALUE"""),"33805727-70734767")</f>
        <v>33805727-70734767</v>
      </c>
      <c r="C7588" s="6" t="str">
        <f ca="1">IFERROR(__xludf.DUMMYFUNCTION("""COMPUTED_VALUE"""),"SAN CARLOS 158")</f>
        <v>SAN CARLOS 158</v>
      </c>
      <c r="D7588" s="6" t="str">
        <f ca="1">IFERROR(__xludf.DUMMYFUNCTION("""COMPUTED_VALUE"""),"PAINE")</f>
        <v>PAINE</v>
      </c>
    </row>
    <row r="7589" spans="1:4">
      <c r="A7589" s="7">
        <f ca="1">IFERROR(__xludf.DUMMYFUNCTION("""COMPUTED_VALUE"""),44656)</f>
        <v>44656</v>
      </c>
      <c r="B7589" s="8" t="str">
        <f ca="1">IFERROR(__xludf.DUMMYFUNCTION("""COMPUTED_VALUE"""),"33783900-70886956")</f>
        <v>33783900-70886956</v>
      </c>
      <c r="C7589" s="6" t="str">
        <f ca="1">IFERROR(__xludf.DUMMYFUNCTION("""COMPUTED_VALUE"""),"LAS MERCEDES 1765,")</f>
        <v>LAS MERCEDES 1765,</v>
      </c>
      <c r="D7589" s="6" t="str">
        <f ca="1">IFERROR(__xludf.DUMMYFUNCTION("""COMPUTED_VALUE"""),"ISLA DE MAIPO")</f>
        <v>ISLA DE MAIPO</v>
      </c>
    </row>
    <row r="7590" spans="1:4">
      <c r="A7590" s="7">
        <f ca="1">IFERROR(__xludf.DUMMYFUNCTION("""COMPUTED_VALUE"""),44656)</f>
        <v>44656</v>
      </c>
      <c r="B7590" s="8" t="str">
        <f ca="1">IFERROR(__xludf.DUMMYFUNCTION("""COMPUTED_VALUE"""),"33749811-70899890")</f>
        <v>33749811-70899890</v>
      </c>
      <c r="C7590" s="6" t="str">
        <f ca="1">IFERROR(__xludf.DUMMYFUNCTION("""COMPUTED_VALUE"""),"EL TATIO 232,")</f>
        <v>EL TATIO 232,</v>
      </c>
      <c r="D7590" s="6" t="str">
        <f ca="1">IFERROR(__xludf.DUMMYFUNCTION("""COMPUTED_VALUE"""),"ISLA DE MAIPO")</f>
        <v>ISLA DE MAIPO</v>
      </c>
    </row>
    <row r="7591" spans="1:4">
      <c r="A7591" s="7">
        <f ca="1">IFERROR(__xludf.DUMMYFUNCTION("""COMPUTED_VALUE"""),44656)</f>
        <v>44656</v>
      </c>
      <c r="B7591" s="8" t="str">
        <f ca="1">IFERROR(__xludf.DUMMYFUNCTION("""COMPUTED_VALUE"""),"33733079-70907228")</f>
        <v>33733079-70907228</v>
      </c>
      <c r="C7591" s="6" t="str">
        <f ca="1">IFERROR(__xludf.DUMMYFUNCTION("""COMPUTED_VALUE"""),"EL MANZANO 1140,")</f>
        <v>EL MANZANO 1140,</v>
      </c>
      <c r="D7591" s="6" t="str">
        <f ca="1">IFERROR(__xludf.DUMMYFUNCTION("""COMPUTED_VALUE"""),"ISLA DE MAIPO")</f>
        <v>ISLA DE MAIPO</v>
      </c>
    </row>
    <row r="7592" spans="1:4">
      <c r="A7592" s="7">
        <f ca="1">IFERROR(__xludf.DUMMYFUNCTION("""COMPUTED_VALUE"""),44656)</f>
        <v>44656</v>
      </c>
      <c r="B7592" s="6" t="str">
        <f ca="1">IFERROR(__xludf.DUMMYFUNCTION("""COMPUTED_VALUE"""),"-33.637955-70.355110")</f>
        <v>-33.637955-70.355110</v>
      </c>
      <c r="C7592" s="6" t="str">
        <f ca="1">IFERROR(__xludf.DUMMYFUNCTION("""COMPUTED_VALUE"""),"SIN CALLE S/N")</f>
        <v>SIN CALLE S/N</v>
      </c>
      <c r="D7592" s="6" t="str">
        <f ca="1">IFERROR(__xludf.DUMMYFUNCTION("""COMPUTED_VALUE"""),"SAN JOSE DE MAIPO")</f>
        <v>SAN JOSE DE MAIPO</v>
      </c>
    </row>
    <row r="7593" spans="1:4">
      <c r="A7593" s="7">
        <f ca="1">IFERROR(__xludf.DUMMYFUNCTION("""COMPUTED_VALUE"""),44656)</f>
        <v>44656</v>
      </c>
      <c r="B7593" s="6" t="str">
        <f ca="1">IFERROR(__xludf.DUMMYFUNCTION("""COMPUTED_VALUE"""),"-33.637475-70.35508")</f>
        <v>-33.637475-70.35508</v>
      </c>
      <c r="C7593" s="6" t="str">
        <f ca="1">IFERROR(__xludf.DUMMYFUNCTION("""COMPUTED_VALUE"""),"CHACARRILLA S/N CASA 4")</f>
        <v>CHACARRILLA S/N CASA 4</v>
      </c>
      <c r="D7593" s="6" t="str">
        <f ca="1">IFERROR(__xludf.DUMMYFUNCTION("""COMPUTED_VALUE"""),"SAN JOSE DE MAIPO")</f>
        <v>SAN JOSE DE MAIPO</v>
      </c>
    </row>
    <row r="7594" spans="1:4">
      <c r="A7594" s="7">
        <f ca="1">IFERROR(__xludf.DUMMYFUNCTION("""COMPUTED_VALUE"""),44656)</f>
        <v>44656</v>
      </c>
      <c r="B7594" s="6" t="str">
        <f ca="1">IFERROR(__xludf.DUMMYFUNCTION("""COMPUTED_VALUE"""),"-33.597225-70.377113")</f>
        <v>-33.597225-70.377113</v>
      </c>
      <c r="C7594" s="6" t="str">
        <f ca="1">IFERROR(__xludf.DUMMYFUNCTION("""COMPUTED_VALUE"""),"EL COLORADO 13243")</f>
        <v>EL COLORADO 13243</v>
      </c>
      <c r="D7594" s="6" t="str">
        <f ca="1">IFERROR(__xludf.DUMMYFUNCTION("""COMPUTED_VALUE"""),"SAN JOSE DE MAIPO")</f>
        <v>SAN JOSE DE MAIPO</v>
      </c>
    </row>
    <row r="7595" spans="1:4">
      <c r="A7595" s="7">
        <f ca="1">IFERROR(__xludf.DUMMYFUNCTION("""COMPUTED_VALUE"""),44656)</f>
        <v>44656</v>
      </c>
      <c r="B7595" s="6" t="str">
        <f ca="1">IFERROR(__xludf.DUMMYFUNCTION("""COMPUTED_VALUE"""),"-33.856669-71.489920")</f>
        <v>-33.856669-71.489920</v>
      </c>
      <c r="C7595" s="6" t="str">
        <f ca="1">IFERROR(__xludf.DUMMYFUNCTION("""COMPUTED_VALUE"""),"CAMINO CEMENTERIO S/N")</f>
        <v>CAMINO CEMENTERIO S/N</v>
      </c>
      <c r="D7595" s="6" t="str">
        <f ca="1">IFERROR(__xludf.DUMMYFUNCTION("""COMPUTED_VALUE"""),"SAN PEDRO")</f>
        <v>SAN PEDRO</v>
      </c>
    </row>
    <row r="7596" spans="1:4">
      <c r="A7596" s="7">
        <f ca="1">IFERROR(__xludf.DUMMYFUNCTION("""COMPUTED_VALUE"""),44656)</f>
        <v>44656</v>
      </c>
      <c r="B7596" s="6" t="str">
        <f ca="1">IFERROR(__xludf.DUMMYFUNCTION("""COMPUTED_VALUE"""),"-33.609794-70.834139")</f>
        <v>-33.609794-70.834139</v>
      </c>
      <c r="C7596" s="6" t="str">
        <f ca="1">IFERROR(__xludf.DUMMYFUNCTION("""COMPUTED_VALUE"""),"MANUEL CASTILLO 1990")</f>
        <v>MANUEL CASTILLO 1990</v>
      </c>
      <c r="D7596" s="6" t="str">
        <f ca="1">IFERROR(__xludf.DUMMYFUNCTION("""COMPUTED_VALUE"""),"PEÑAFLOR")</f>
        <v>PEÑAFLOR</v>
      </c>
    </row>
    <row r="7597" spans="1:4">
      <c r="A7597" s="7">
        <f ca="1">IFERROR(__xludf.DUMMYFUNCTION("""COMPUTED_VALUE"""),44656)</f>
        <v>44656</v>
      </c>
      <c r="B7597" s="6" t="str">
        <f ca="1">IFERROR(__xludf.DUMMYFUNCTION("""COMPUTED_VALUE"""),"-33.378308-71.106592")</f>
        <v>-33.378308-71.106592</v>
      </c>
      <c r="C7597" s="6" t="str">
        <f ca="1">IFERROR(__xludf.DUMMYFUNCTION("""COMPUTED_VALUE"""),"FUNDO CUYUNCAVI S/N LOTE 61")</f>
        <v>FUNDO CUYUNCAVI S/N LOTE 61</v>
      </c>
      <c r="D7597" s="6" t="str">
        <f ca="1">IFERROR(__xludf.DUMMYFUNCTION("""COMPUTED_VALUE"""),"CURACAVI")</f>
        <v>CURACAVI</v>
      </c>
    </row>
    <row r="7598" spans="1:4">
      <c r="A7598" s="7">
        <f ca="1">IFERROR(__xludf.DUMMYFUNCTION("""COMPUTED_VALUE"""),44656)</f>
        <v>44656</v>
      </c>
      <c r="B7598" s="6" t="str">
        <f ca="1">IFERROR(__xludf.DUMMYFUNCTION("""COMPUTED_VALUE"""),"-33.397884-71.128725")</f>
        <v>-33.397884-71.128725</v>
      </c>
      <c r="C7598" s="6" t="str">
        <f ca="1">IFERROR(__xludf.DUMMYFUNCTION("""COMPUTED_VALUE"""),"PRESBITERO MORAGA 555")</f>
        <v>PRESBITERO MORAGA 555</v>
      </c>
      <c r="D7598" s="6" t="str">
        <f ca="1">IFERROR(__xludf.DUMMYFUNCTION("""COMPUTED_VALUE"""),"CURACAVI")</f>
        <v>CURACAVI</v>
      </c>
    </row>
    <row r="7599" spans="1:4">
      <c r="A7599" s="7">
        <f ca="1">IFERROR(__xludf.DUMMYFUNCTION("""COMPUTED_VALUE"""),44656)</f>
        <v>44656</v>
      </c>
      <c r="B7599" s="6" t="str">
        <f ca="1">IFERROR(__xludf.DUMMYFUNCTION("""COMPUTED_VALUE"""),"-33.408665-71.148610")</f>
        <v>-33.408665-71.148610</v>
      </c>
      <c r="C7599" s="6" t="str">
        <f ca="1">IFERROR(__xludf.DUMMYFUNCTION("""COMPUTED_VALUE"""),"BALMACEDA 33")</f>
        <v>BALMACEDA 33</v>
      </c>
      <c r="D7599" s="6" t="str">
        <f ca="1">IFERROR(__xludf.DUMMYFUNCTION("""COMPUTED_VALUE"""),"CURACAVI")</f>
        <v>CURACAVI</v>
      </c>
    </row>
    <row r="7600" spans="1:4">
      <c r="A7600" s="7">
        <f ca="1">IFERROR(__xludf.DUMMYFUNCTION("""COMPUTED_VALUE"""),44656)</f>
        <v>44656</v>
      </c>
      <c r="B7600" s="6" t="str">
        <f ca="1">IFERROR(__xludf.DUMMYFUNCTION("""COMPUTED_VALUE"""),"-33.396441-71.127227")</f>
        <v>-33.396441-71.127227</v>
      </c>
      <c r="C7600" s="6" t="str">
        <f ca="1">IFERROR(__xludf.DUMMYFUNCTION("""COMPUTED_VALUE"""),"MANUEL LARRAIN 621")</f>
        <v>MANUEL LARRAIN 621</v>
      </c>
      <c r="D7600" s="6" t="str">
        <f ca="1">IFERROR(__xludf.DUMMYFUNCTION("""COMPUTED_VALUE"""),"CURACAVI")</f>
        <v>CURACAVI</v>
      </c>
    </row>
    <row r="7601" spans="1:4">
      <c r="A7601" s="7">
        <f ca="1">IFERROR(__xludf.DUMMYFUNCTION("""COMPUTED_VALUE"""),44656)</f>
        <v>44656</v>
      </c>
      <c r="B7601" s="8" t="str">
        <f ca="1">IFERROR(__xludf.DUMMYFUNCTION("""COMPUTED_VALUE"""),"-33.324616,-70.754228")</f>
        <v>-33.324616,-70.754228</v>
      </c>
      <c r="C7601" s="6" t="str">
        <f ca="1">IFERROR(__xludf.DUMMYFUNCTION("""COMPUTED_VALUE"""),"PRENZANA ORIENTE 282")</f>
        <v>PRENZANA ORIENTE 282</v>
      </c>
      <c r="D7601" s="6" t="str">
        <f ca="1">IFERROR(__xludf.DUMMYFUNCTION("""COMPUTED_VALUE"""),"LAMPA")</f>
        <v>LAMPA</v>
      </c>
    </row>
    <row r="7602" spans="1:4">
      <c r="A7602" s="7">
        <f ca="1">IFERROR(__xludf.DUMMYFUNCTION("""COMPUTED_VALUE"""),44656)</f>
        <v>44656</v>
      </c>
      <c r="B7602" s="8" t="str">
        <f ca="1">IFERROR(__xludf.DUMMYFUNCTION("""COMPUTED_VALUE"""),"-33.674491,-70.975392")</f>
        <v>-33.674491,-70.975392</v>
      </c>
      <c r="C7602" s="6" t="str">
        <f ca="1">IFERROR(__xludf.DUMMYFUNCTION("""COMPUTED_VALUE"""),"PAOLA VERDUGO 322")</f>
        <v>PAOLA VERDUGO 322</v>
      </c>
      <c r="D7602" s="6" t="str">
        <f ca="1">IFERROR(__xludf.DUMMYFUNCTION("""COMPUTED_VALUE"""),"EL MONTE")</f>
        <v>EL MONTE</v>
      </c>
    </row>
    <row r="7603" spans="1:4">
      <c r="A7603" s="7">
        <f ca="1">IFERROR(__xludf.DUMMYFUNCTION("""COMPUTED_VALUE"""),44656)</f>
        <v>44656</v>
      </c>
      <c r="B7603" s="8" t="str">
        <f ca="1">IFERROR(__xludf.DUMMYFUNCTION("""COMPUTED_VALUE"""),"-33.660766,-70.929562")</f>
        <v>-33.660766,-70.929562</v>
      </c>
      <c r="C7603" s="6" t="str">
        <f ca="1">IFERROR(__xludf.DUMMYFUNCTION("""COMPUTED_VALUE"""),"TORO HERRERA 1016 A")</f>
        <v>TORO HERRERA 1016 A</v>
      </c>
      <c r="D7603" s="6" t="str">
        <f ca="1">IFERROR(__xludf.DUMMYFUNCTION("""COMPUTED_VALUE"""),"TALAGANTE")</f>
        <v>TALAGANTE</v>
      </c>
    </row>
    <row r="7604" spans="1:4">
      <c r="A7604" s="7">
        <f ca="1">IFERROR(__xludf.DUMMYFUNCTION("""COMPUTED_VALUE"""),44656)</f>
        <v>44656</v>
      </c>
      <c r="B7604" s="6" t="str">
        <f ca="1">IFERROR(__xludf.DUMMYFUNCTION("""COMPUTED_VALUE"""),"-35.427258,-71.631371")</f>
        <v>-35.427258,-71.631371</v>
      </c>
      <c r="C7604" s="6" t="str">
        <f ca="1">IFERROR(__xludf.DUMMYFUNCTION("""COMPUTED_VALUE"""),"CUATRO NORTE 3148")</f>
        <v>CUATRO NORTE 3148</v>
      </c>
      <c r="D7604" s="6" t="str">
        <f ca="1">IFERROR(__xludf.DUMMYFUNCTION("""COMPUTED_VALUE"""),"TALCA")</f>
        <v>TALCA</v>
      </c>
    </row>
    <row r="7605" spans="1:4">
      <c r="A7605" s="7">
        <f ca="1">IFERROR(__xludf.DUMMYFUNCTION("""COMPUTED_VALUE"""),44656)</f>
        <v>44656</v>
      </c>
      <c r="B7605" s="6" t="str">
        <f ca="1">IFERROR(__xludf.DUMMYFUNCTION("""COMPUTED_VALUE"""),"-35.427956,-71.631340")</f>
        <v>-35.427956,-71.631340</v>
      </c>
      <c r="C7605" s="6" t="str">
        <f ca="1">IFERROR(__xludf.DUMMYFUNCTION("""COMPUTED_VALUE"""),"TRES Y MEDIO NORTE 3147")</f>
        <v>TRES Y MEDIO NORTE 3147</v>
      </c>
      <c r="D7605" s="6" t="str">
        <f ca="1">IFERROR(__xludf.DUMMYFUNCTION("""COMPUTED_VALUE"""),"TALCA")</f>
        <v>TALCA</v>
      </c>
    </row>
    <row r="7606" spans="1:4">
      <c r="A7606" s="7">
        <f ca="1">IFERROR(__xludf.DUMMYFUNCTION("""COMPUTED_VALUE"""),44656)</f>
        <v>44656</v>
      </c>
      <c r="B7606" s="8" t="str">
        <f ca="1">IFERROR(__xludf.DUMMYFUNCTION("""COMPUTED_VALUE"""),"-33.796983,-70.731119")</f>
        <v>-33.796983,-70.731119</v>
      </c>
      <c r="C7606" s="6" t="str">
        <f ca="1">IFERROR(__xludf.DUMMYFUNCTION("""COMPUTED_VALUE"""),"ESPINOS 675")</f>
        <v>ESPINOS 675</v>
      </c>
      <c r="D7606" s="6" t="str">
        <f ca="1">IFERROR(__xludf.DUMMYFUNCTION("""COMPUTED_VALUE"""),"PAINE")</f>
        <v>PAINE</v>
      </c>
    </row>
    <row r="7607" spans="1:4">
      <c r="A7607" s="7">
        <f ca="1">IFERROR(__xludf.DUMMYFUNCTION("""COMPUTED_VALUE"""),44656)</f>
        <v>44656</v>
      </c>
      <c r="B7607" s="8" t="str">
        <f ca="1">IFERROR(__xludf.DUMMYFUNCTION("""COMPUTED_VALUE"""),"-33.968192,-71.482496")</f>
        <v>-33.968192,-71.482496</v>
      </c>
      <c r="C7607" s="6" t="str">
        <f ca="1">IFERROR(__xludf.DUMMYFUNCTION("""COMPUTED_VALUE"""),"LOYCA ABAJO S/N SAN PEDRO ")</f>
        <v xml:space="preserve">LOYCA ABAJO S/N SAN PEDRO </v>
      </c>
      <c r="D7607" s="6" t="str">
        <f ca="1">IFERROR(__xludf.DUMMYFUNCTION("""COMPUTED_VALUE"""),"MELIPILLA")</f>
        <v>MELIPILLA</v>
      </c>
    </row>
    <row r="7608" spans="1:4">
      <c r="A7608" s="7">
        <f ca="1">IFERROR(__xludf.DUMMYFUNCTION("""COMPUTED_VALUE"""),44656)</f>
        <v>44656</v>
      </c>
      <c r="B7608" s="8" t="str">
        <f ca="1">IFERROR(__xludf.DUMMYFUNCTION("""COMPUTED_VALUE"""),"-33.968192,-71.482496")</f>
        <v>-33.968192,-71.482496</v>
      </c>
      <c r="C7608" s="6" t="str">
        <f ca="1">IFERROR(__xludf.DUMMYFUNCTION("""COMPUTED_VALUE"""),"LOYCA ABAJO S/N SAN PEDRO ")</f>
        <v xml:space="preserve">LOYCA ABAJO S/N SAN PEDRO </v>
      </c>
      <c r="D7608" s="6" t="str">
        <f ca="1">IFERROR(__xludf.DUMMYFUNCTION("""COMPUTED_VALUE"""),"MELIPILLA")</f>
        <v>MELIPILLA</v>
      </c>
    </row>
    <row r="7609" spans="1:4">
      <c r="A7609" s="7">
        <f ca="1">IFERROR(__xludf.DUMMYFUNCTION("""COMPUTED_VALUE"""),44656)</f>
        <v>44656</v>
      </c>
      <c r="B7609" s="8" t="str">
        <f ca="1">IFERROR(__xludf.DUMMYFUNCTION("""COMPUTED_VALUE"""),"-33.796983,-70.731119")</f>
        <v>-33.796983,-70.731119</v>
      </c>
      <c r="C7609" s="6" t="str">
        <f ca="1">IFERROR(__xludf.DUMMYFUNCTION("""COMPUTED_VALUE"""),"ESPINOS 675")</f>
        <v>ESPINOS 675</v>
      </c>
      <c r="D7609" s="6" t="str">
        <f ca="1">IFERROR(__xludf.DUMMYFUNCTION("""COMPUTED_VALUE"""),"PAINE")</f>
        <v>PAINE</v>
      </c>
    </row>
    <row r="7610" spans="1:4">
      <c r="A7610" s="7">
        <f ca="1">IFERROR(__xludf.DUMMYFUNCTION("""COMPUTED_VALUE"""),44656)</f>
        <v>44656</v>
      </c>
      <c r="B7610" s="6" t="str">
        <f ca="1">IFERROR(__xludf.DUMMYFUNCTION("""COMPUTED_VALUE"""),"-33.878588,-70.745320")</f>
        <v>-33.878588,-70.745320</v>
      </c>
      <c r="C7610" s="6" t="str">
        <f ca="1">IFERROR(__xludf.DUMMYFUNCTION("""COMPUTED_VALUE"""),"LECHO DEL RIO LOTE C")</f>
        <v>LECHO DEL RIO LOTE C</v>
      </c>
      <c r="D7610" s="6" t="str">
        <f ca="1">IFERROR(__xludf.DUMMYFUNCTION("""COMPUTED_VALUE"""),"PAINE")</f>
        <v>PAINE</v>
      </c>
    </row>
    <row r="7611" spans="1:4">
      <c r="A7611" s="7">
        <f ca="1">IFERROR(__xludf.DUMMYFUNCTION("""COMPUTED_VALUE"""),44656)</f>
        <v>44656</v>
      </c>
      <c r="B7611" s="6" t="str">
        <f ca="1">IFERROR(__xludf.DUMMYFUNCTION("""COMPUTED_VALUE"""),"-33.877958,-70.745889")</f>
        <v>-33.877958,-70.745889</v>
      </c>
      <c r="C7611" s="6" t="str">
        <f ca="1">IFERROR(__xludf.DUMMYFUNCTION("""COMPUTED_VALUE"""),"LECHO DEL RIO LOTE C")</f>
        <v>LECHO DEL RIO LOTE C</v>
      </c>
      <c r="D7611" s="6" t="str">
        <f ca="1">IFERROR(__xludf.DUMMYFUNCTION("""COMPUTED_VALUE"""),"PAINE")</f>
        <v>PAINE</v>
      </c>
    </row>
    <row r="7612" spans="1:4">
      <c r="A7612" s="7">
        <f ca="1">IFERROR(__xludf.DUMMYFUNCTION("""COMPUTED_VALUE"""),44656)</f>
        <v>44656</v>
      </c>
      <c r="B7612" s="6" t="str">
        <f ca="1">IFERROR(__xludf.DUMMYFUNCTION("""COMPUTED_VALUE"""),"-33.859492,-70.849260")</f>
        <v>-33.859492,-70.849260</v>
      </c>
      <c r="C7612" s="6" t="str">
        <f ca="1">IFERROR(__xludf.DUMMYFUNCTION("""COMPUTED_VALUE"""),"EL MANZANITO 15")</f>
        <v>EL MANZANITO 15</v>
      </c>
      <c r="D7612" s="6" t="str">
        <f ca="1">IFERROR(__xludf.DUMMYFUNCTION("""COMPUTED_VALUE"""),"PAINE")</f>
        <v>PAINE</v>
      </c>
    </row>
    <row r="7613" spans="1:4">
      <c r="A7613" s="7">
        <f ca="1">IFERROR(__xludf.DUMMYFUNCTION("""COMPUTED_VALUE"""),44656)</f>
        <v>44656</v>
      </c>
      <c r="B7613" s="6" t="str">
        <f ca="1">IFERROR(__xludf.DUMMYFUNCTION("""COMPUTED_VALUE"""),"-33.804571,-70.737797")</f>
        <v>-33.804571,-70.737797</v>
      </c>
      <c r="C7613" s="6" t="str">
        <f ca="1">IFERROR(__xludf.DUMMYFUNCTION("""COMPUTED_VALUE"""),"CALLE CUATRO 247")</f>
        <v>CALLE CUATRO 247</v>
      </c>
      <c r="D7613" s="6" t="str">
        <f ca="1">IFERROR(__xludf.DUMMYFUNCTION("""COMPUTED_VALUE"""),"PAINE")</f>
        <v>PAINE</v>
      </c>
    </row>
    <row r="7614" spans="1:4">
      <c r="A7614" s="7">
        <f ca="1">IFERROR(__xludf.DUMMYFUNCTION("""COMPUTED_VALUE"""),44656)</f>
        <v>44656</v>
      </c>
      <c r="B7614" s="6" t="str">
        <f ca="1">IFERROR(__xludf.DUMMYFUNCTION("""COMPUTED_VALUE"""),"-33.4615915,-71.0829190")</f>
        <v>-33.4615915,-71.0829190</v>
      </c>
      <c r="C7614" s="6" t="str">
        <f ca="1">IFERROR(__xludf.DUMMYFUNCTION("""COMPUTED_VALUE"""),"LOS OLIVOS 395")</f>
        <v>LOS OLIVOS 395</v>
      </c>
      <c r="D7614" s="6" t="str">
        <f ca="1">IFERROR(__xludf.DUMMYFUNCTION("""COMPUTED_VALUE"""),"MARIA PINTO")</f>
        <v>MARIA PINTO</v>
      </c>
    </row>
    <row r="7615" spans="1:4">
      <c r="A7615" s="7">
        <f ca="1">IFERROR(__xludf.DUMMYFUNCTION("""COMPUTED_VALUE"""),44657)</f>
        <v>44657</v>
      </c>
      <c r="B7615" s="8" t="str">
        <f ca="1">IFERROR(__xludf.DUMMYFUNCTION("""COMPUTED_VALUE"""),"33840728-70801546")</f>
        <v>33840728-70801546</v>
      </c>
      <c r="C7615" s="6" t="str">
        <f ca="1">IFERROR(__xludf.DUMMYFUNCTION("""COMPUTED_VALUE"""),"VINCULO 360")</f>
        <v>VINCULO 360</v>
      </c>
      <c r="D7615" s="6" t="str">
        <f ca="1">IFERROR(__xludf.DUMMYFUNCTION("""COMPUTED_VALUE"""),"PAINE")</f>
        <v>PAINE</v>
      </c>
    </row>
    <row r="7616" spans="1:4">
      <c r="A7616" s="7">
        <f ca="1">IFERROR(__xludf.DUMMYFUNCTION("""COMPUTED_VALUE"""),44657)</f>
        <v>44657</v>
      </c>
      <c r="B7616" s="8" t="str">
        <f ca="1">IFERROR(__xludf.DUMMYFUNCTION("""COMPUTED_VALUE"""),"33846872-70635481")</f>
        <v>33846872-70635481</v>
      </c>
      <c r="C7616" s="6" t="str">
        <f ca="1">IFERROR(__xludf.DUMMYFUNCTION("""COMPUTED_VALUE"""),"CAMINO PADRE HURTADO 2 EL ESCORIAL")</f>
        <v>CAMINO PADRE HURTADO 2 EL ESCORIAL</v>
      </c>
      <c r="D7616" s="6" t="str">
        <f ca="1">IFERROR(__xludf.DUMMYFUNCTION("""COMPUTED_VALUE"""),"PAINE")</f>
        <v>PAINE</v>
      </c>
    </row>
    <row r="7617" spans="1:4">
      <c r="A7617" s="7">
        <f ca="1">IFERROR(__xludf.DUMMYFUNCTION("""COMPUTED_VALUE"""),44657)</f>
        <v>44657</v>
      </c>
      <c r="B7617" s="8" t="str">
        <f ca="1">IFERROR(__xludf.DUMMYFUNCTION("""COMPUTED_VALUE"""),"33804062-70733444")</f>
        <v>33804062-70733444</v>
      </c>
      <c r="C7617" s="6" t="str">
        <f ca="1">IFERROR(__xludf.DUMMYFUNCTION("""COMPUTED_VALUE"""),"LOS ALERCE 453")</f>
        <v>LOS ALERCE 453</v>
      </c>
      <c r="D7617" s="6" t="str">
        <f ca="1">IFERROR(__xludf.DUMMYFUNCTION("""COMPUTED_VALUE"""),"PAINE")</f>
        <v>PAINE</v>
      </c>
    </row>
    <row r="7618" spans="1:4">
      <c r="A7618" s="7">
        <f ca="1">IFERROR(__xludf.DUMMYFUNCTION("""COMPUTED_VALUE"""),44657)</f>
        <v>44657</v>
      </c>
      <c r="B7618" s="8" t="str">
        <f ca="1">IFERROR(__xludf.DUMMYFUNCTION("""COMPUTED_VALUE"""),"33916523-70742172")</f>
        <v>33916523-70742172</v>
      </c>
      <c r="C7618" s="6" t="str">
        <f ca="1">IFERROR(__xludf.DUMMYFUNCTION("""COMPUTED_VALUE"""),"AGUILA SUR 62,")</f>
        <v>AGUILA SUR 62,</v>
      </c>
      <c r="D7618" s="6" t="str">
        <f ca="1">IFERROR(__xludf.DUMMYFUNCTION("""COMPUTED_VALUE"""),"ISLA DE MAIPO")</f>
        <v>ISLA DE MAIPO</v>
      </c>
    </row>
    <row r="7619" spans="1:4">
      <c r="A7619" s="7">
        <f ca="1">IFERROR(__xludf.DUMMYFUNCTION("""COMPUTED_VALUE"""),44657)</f>
        <v>44657</v>
      </c>
      <c r="B7619" s="8" t="str">
        <f ca="1">IFERROR(__xludf.DUMMYFUNCTION("""COMPUTED_VALUE"""),"33754458-70826001")</f>
        <v>33754458-70826001</v>
      </c>
      <c r="C7619" s="6" t="str">
        <f ca="1">IFERROR(__xludf.DUMMYFUNCTION("""COMPUTED_VALUE"""),"EL MAICILLO 4149")</f>
        <v>EL MAICILLO 4149</v>
      </c>
      <c r="D7619" s="6" t="str">
        <f ca="1">IFERROR(__xludf.DUMMYFUNCTION("""COMPUTED_VALUE"""),"ISLA DE MAIPO")</f>
        <v>ISLA DE MAIPO</v>
      </c>
    </row>
    <row r="7620" spans="1:4">
      <c r="A7620" s="7">
        <f ca="1">IFERROR(__xludf.DUMMYFUNCTION("""COMPUTED_VALUE"""),44657)</f>
        <v>44657</v>
      </c>
      <c r="B7620" s="6" t="str">
        <f ca="1">IFERROR(__xludf.DUMMYFUNCTION("""COMPUTED_VALUE"""),"-33.408173-71.130590")</f>
        <v>-33.408173-71.130590</v>
      </c>
      <c r="C7620" s="6" t="str">
        <f ca="1">IFERROR(__xludf.DUMMYFUNCTION("""COMPUTED_VALUE"""),"CERRO MAUCO 1787")</f>
        <v>CERRO MAUCO 1787</v>
      </c>
      <c r="D7620" s="6" t="str">
        <f ca="1">IFERROR(__xludf.DUMMYFUNCTION("""COMPUTED_VALUE"""),"CURACAVI")</f>
        <v>CURACAVI</v>
      </c>
    </row>
    <row r="7621" spans="1:4">
      <c r="A7621" s="7">
        <f ca="1">IFERROR(__xludf.DUMMYFUNCTION("""COMPUTED_VALUE"""),44657)</f>
        <v>44657</v>
      </c>
      <c r="B7621" s="6" t="str">
        <f ca="1">IFERROR(__xludf.DUMMYFUNCTION("""COMPUTED_VALUE"""),"-33.714655-70.55016")</f>
        <v>-33.714655-70.55016</v>
      </c>
      <c r="C7621" s="6" t="str">
        <f ca="1">IFERROR(__xludf.DUMMYFUNCTION("""COMPUTED_VALUE"""),"EL PRINCIPAL 55 LOTE 5")</f>
        <v>EL PRINCIPAL 55 LOTE 5</v>
      </c>
      <c r="D7621" s="6" t="str">
        <f ca="1">IFERROR(__xludf.DUMMYFUNCTION("""COMPUTED_VALUE"""),"PIRQUE")</f>
        <v>PIRQUE</v>
      </c>
    </row>
    <row r="7622" spans="1:4">
      <c r="A7622" s="7">
        <f ca="1">IFERROR(__xludf.DUMMYFUNCTION("""COMPUTED_VALUE"""),44657)</f>
        <v>44657</v>
      </c>
      <c r="B7622" s="6" t="str">
        <f ca="1">IFERROR(__xludf.DUMMYFUNCTION("""COMPUTED_VALUE"""),"-33.707535-70.548940")</f>
        <v>-33.707535-70.548940</v>
      </c>
      <c r="C7622" s="6" t="str">
        <f ca="1">IFERROR(__xludf.DUMMYFUNCTION("""COMPUTED_VALUE"""),"EL PRINCIPAL 176 C")</f>
        <v>EL PRINCIPAL 176 C</v>
      </c>
      <c r="D7622" s="6" t="str">
        <f ca="1">IFERROR(__xludf.DUMMYFUNCTION("""COMPUTED_VALUE"""),"PIRQUE")</f>
        <v>PIRQUE</v>
      </c>
    </row>
    <row r="7623" spans="1:4">
      <c r="A7623" s="7">
        <f ca="1">IFERROR(__xludf.DUMMYFUNCTION("""COMPUTED_VALUE"""),44657)</f>
        <v>44657</v>
      </c>
      <c r="B7623" s="6" t="str">
        <f ca="1">IFERROR(__xludf.DUMMYFUNCTION("""COMPUTED_VALUE"""),"-33.707535-70.548940")</f>
        <v>-33.707535-70.548940</v>
      </c>
      <c r="C7623" s="6" t="str">
        <f ca="1">IFERROR(__xludf.DUMMYFUNCTION("""COMPUTED_VALUE"""),"EL PRINCIPAL 176 C")</f>
        <v>EL PRINCIPAL 176 C</v>
      </c>
      <c r="D7623" s="6" t="str">
        <f ca="1">IFERROR(__xludf.DUMMYFUNCTION("""COMPUTED_VALUE"""),"PIRQUE")</f>
        <v>PIRQUE</v>
      </c>
    </row>
    <row r="7624" spans="1:4">
      <c r="A7624" s="7">
        <f ca="1">IFERROR(__xludf.DUMMYFUNCTION("""COMPUTED_VALUE"""),44657)</f>
        <v>44657</v>
      </c>
      <c r="B7624" s="6" t="str">
        <f ca="1">IFERROR(__xludf.DUMMYFUNCTION("""COMPUTED_VALUE"""),"-33.41207-71.12550")</f>
        <v>-33.41207-71.12550</v>
      </c>
      <c r="C7624" s="6" t="str">
        <f ca="1">IFERROR(__xludf.DUMMYFUNCTION("""COMPUTED_VALUE"""),"CALLE LAS PALMERAS PARC 20")</f>
        <v>CALLE LAS PALMERAS PARC 20</v>
      </c>
      <c r="D7624" s="6" t="str">
        <f ca="1">IFERROR(__xludf.DUMMYFUNCTION("""COMPUTED_VALUE"""),"MELIPILLA")</f>
        <v>MELIPILLA</v>
      </c>
    </row>
    <row r="7625" spans="1:4">
      <c r="A7625" s="7">
        <f ca="1">IFERROR(__xludf.DUMMYFUNCTION("""COMPUTED_VALUE"""),44657)</f>
        <v>44657</v>
      </c>
      <c r="B7625" s="6" t="str">
        <f ca="1">IFERROR(__xludf.DUMMYFUNCTION("""COMPUTED_VALUE"""),"-33.41207-71.12550")</f>
        <v>-33.41207-71.12550</v>
      </c>
      <c r="C7625" s="6" t="str">
        <f ca="1">IFERROR(__xludf.DUMMYFUNCTION("""COMPUTED_VALUE"""),"CAMINO SAN IGNACIO PARC 20")</f>
        <v>CAMINO SAN IGNACIO PARC 20</v>
      </c>
      <c r="D7625" s="6" t="str">
        <f ca="1">IFERROR(__xludf.DUMMYFUNCTION("""COMPUTED_VALUE"""),"MELIPILLA")</f>
        <v>MELIPILLA</v>
      </c>
    </row>
    <row r="7626" spans="1:4">
      <c r="A7626" s="7">
        <f ca="1">IFERROR(__xludf.DUMMYFUNCTION("""COMPUTED_VALUE"""),44657)</f>
        <v>44657</v>
      </c>
      <c r="B7626" s="8" t="str">
        <f ca="1">IFERROR(__xludf.DUMMYFUNCTION("""COMPUTED_VALUE"""),"-33.707084,-70.569105")</f>
        <v>-33.707084,-70.569105</v>
      </c>
      <c r="C7626" s="6" t="str">
        <f ca="1">IFERROR(__xludf.DUMMYFUNCTION("""COMPUTED_VALUE"""),"PC.39 EL PRINCIPAL")</f>
        <v>PC.39 EL PRINCIPAL</v>
      </c>
      <c r="D7626" s="6" t="str">
        <f ca="1">IFERROR(__xludf.DUMMYFUNCTION("""COMPUTED_VALUE"""),"PIRQUE")</f>
        <v>PIRQUE</v>
      </c>
    </row>
    <row r="7627" spans="1:4">
      <c r="A7627" s="7">
        <f ca="1">IFERROR(__xludf.DUMMYFUNCTION("""COMPUTED_VALUE"""),44657)</f>
        <v>44657</v>
      </c>
      <c r="B7627" s="8" t="str">
        <f ca="1">IFERROR(__xludf.DUMMYFUNCTION("""COMPUTED_VALUE"""),"-33.705577,-70.566697")</f>
        <v>-33.705577,-70.566697</v>
      </c>
      <c r="C7627" s="6" t="str">
        <f ca="1">IFERROR(__xludf.DUMMYFUNCTION("""COMPUTED_VALUE"""),"PC.39 EL PRINCIPAL")</f>
        <v>PC.39 EL PRINCIPAL</v>
      </c>
      <c r="D7627" s="6" t="str">
        <f ca="1">IFERROR(__xludf.DUMMYFUNCTION("""COMPUTED_VALUE"""),"PIRQUE")</f>
        <v>PIRQUE</v>
      </c>
    </row>
    <row r="7628" spans="1:4">
      <c r="A7628" s="7">
        <f ca="1">IFERROR(__xludf.DUMMYFUNCTION("""COMPUTED_VALUE"""),44657)</f>
        <v>44657</v>
      </c>
      <c r="B7628" s="8" t="str">
        <f ca="1">IFERROR(__xludf.DUMMYFUNCTION("""COMPUTED_VALUE"""),"-30.706668,-70.558574")</f>
        <v>-30.706668,-70.558574</v>
      </c>
      <c r="C7628" s="6" t="str">
        <f ca="1">IFERROR(__xludf.DUMMYFUNCTION("""COMPUTED_VALUE"""),"CALLE EL OLIVO 7954")</f>
        <v>CALLE EL OLIVO 7954</v>
      </c>
      <c r="D7628" s="6" t="str">
        <f ca="1">IFERROR(__xludf.DUMMYFUNCTION("""COMPUTED_VALUE"""),"PIRQUE")</f>
        <v>PIRQUE</v>
      </c>
    </row>
    <row r="7629" spans="1:4">
      <c r="A7629" s="7">
        <f ca="1">IFERROR(__xludf.DUMMYFUNCTION("""COMPUTED_VALUE"""),44657)</f>
        <v>44657</v>
      </c>
      <c r="B7629" s="6" t="str">
        <f ca="1">IFERROR(__xludf.DUMMYFUNCTION("""COMPUTED_VALUE"""),"-33.824254,-70.733348")</f>
        <v>-33.824254,-70.733348</v>
      </c>
      <c r="C7629" s="6" t="str">
        <f ca="1">IFERROR(__xludf.DUMMYFUNCTION("""COMPUTED_VALUE"""),"ENRIQUE MORAN  853 MZ 2")</f>
        <v>ENRIQUE MORAN  853 MZ 2</v>
      </c>
      <c r="D7629" s="6" t="str">
        <f ca="1">IFERROR(__xludf.DUMMYFUNCTION("""COMPUTED_VALUE"""),"PAINE")</f>
        <v>PAINE</v>
      </c>
    </row>
    <row r="7630" spans="1:4">
      <c r="A7630" s="7">
        <f ca="1">IFERROR(__xludf.DUMMYFUNCTION("""COMPUTED_VALUE"""),44657)</f>
        <v>44657</v>
      </c>
      <c r="B7630" s="6" t="str">
        <f ca="1">IFERROR(__xludf.DUMMYFUNCTION("""COMPUTED_VALUE"""),"-33.8632181,-70.750069")</f>
        <v>-33.8632181,-70.750069</v>
      </c>
      <c r="C7630" s="6" t="str">
        <f ca="1">IFERROR(__xludf.DUMMYFUNCTION("""COMPUTED_VALUE"""),"CA A 220 POB  HOSPITALES")</f>
        <v>CA A 220 POB  HOSPITALES</v>
      </c>
      <c r="D7630" s="6" t="str">
        <f ca="1">IFERROR(__xludf.DUMMYFUNCTION("""COMPUTED_VALUE"""),"PAINE")</f>
        <v>PAINE</v>
      </c>
    </row>
    <row r="7631" spans="1:4">
      <c r="A7631" s="7">
        <f ca="1">IFERROR(__xludf.DUMMYFUNCTION("""COMPUTED_VALUE"""),44657)</f>
        <v>44657</v>
      </c>
      <c r="B7631" s="6" t="str">
        <f ca="1">IFERROR(__xludf.DUMMYFUNCTION("""COMPUTED_VALUE"""),"-33.864129,-70.705084")</f>
        <v>-33.864129,-70.705084</v>
      </c>
      <c r="C7631" s="6" t="str">
        <f ca="1">IFERROR(__xludf.DUMMYFUNCTION("""COMPUTED_VALUE"""),"LA ALBORADA PARCELA 37")</f>
        <v>LA ALBORADA PARCELA 37</v>
      </c>
      <c r="D7631" s="6" t="str">
        <f ca="1">IFERROR(__xludf.DUMMYFUNCTION("""COMPUTED_VALUE"""),"PAINE")</f>
        <v>PAINE</v>
      </c>
    </row>
    <row r="7632" spans="1:4">
      <c r="A7632" s="7">
        <f ca="1">IFERROR(__xludf.DUMMYFUNCTION("""COMPUTED_VALUE"""),44657)</f>
        <v>44657</v>
      </c>
      <c r="B7632" s="8" t="str">
        <f ca="1">IFERROR(__xludf.DUMMYFUNCTION("""COMPUTED_VALUE"""),"-33.686669,-70.880867")</f>
        <v>-33.686669,-70.880867</v>
      </c>
      <c r="C7632" s="6" t="str">
        <f ca="1">IFERROR(__xludf.DUMMYFUNCTION("""COMPUTED_VALUE"""),"CAMINO LOS PERROS ")</f>
        <v xml:space="preserve">CAMINO LOS PERROS </v>
      </c>
      <c r="D7632" s="6" t="str">
        <f ca="1">IFERROR(__xludf.DUMMYFUNCTION("""COMPUTED_VALUE"""),"TALAGANTE")</f>
        <v>TALAGANTE</v>
      </c>
    </row>
    <row r="7633" spans="1:4">
      <c r="A7633" s="7">
        <f ca="1">IFERROR(__xludf.DUMMYFUNCTION("""COMPUTED_VALUE"""),44657)</f>
        <v>44657</v>
      </c>
      <c r="B7633" s="8" t="str">
        <f ca="1">IFERROR(__xludf.DUMMYFUNCTION("""COMPUTED_VALUE"""),"-33.835057,-70.7327540")</f>
        <v>-33.835057,-70.7327540</v>
      </c>
      <c r="C7633" s="6" t="str">
        <f ca="1">IFERROR(__xludf.DUMMYFUNCTION("""COMPUTED_VALUE"""),"ARACENA 900")</f>
        <v>ARACENA 900</v>
      </c>
      <c r="D7633" s="6" t="str">
        <f ca="1">IFERROR(__xludf.DUMMYFUNCTION("""COMPUTED_VALUE"""),"PAINE")</f>
        <v>PAINE</v>
      </c>
    </row>
    <row r="7634" spans="1:4">
      <c r="A7634" s="7">
        <f ca="1">IFERROR(__xludf.DUMMYFUNCTION("""COMPUTED_VALUE"""),44657)</f>
        <v>44657</v>
      </c>
      <c r="B7634" s="8" t="str">
        <f ca="1">IFERROR(__xludf.DUMMYFUNCTION("""COMPUTED_VALUE"""),"-33.805777,-70.737119")</f>
        <v>-33.805777,-70.737119</v>
      </c>
      <c r="C7634" s="6" t="str">
        <f ca="1">IFERROR(__xludf.DUMMYFUNCTION("""COMPUTED_VALUE"""),"ISLA QUIRIQUINA VILLA 18")</f>
        <v>ISLA QUIRIQUINA VILLA 18</v>
      </c>
      <c r="D7634" s="6" t="str">
        <f ca="1">IFERROR(__xludf.DUMMYFUNCTION("""COMPUTED_VALUE"""),"PAINE")</f>
        <v>PAINE</v>
      </c>
    </row>
    <row r="7635" spans="1:4">
      <c r="A7635" s="7">
        <f ca="1">IFERROR(__xludf.DUMMYFUNCTION("""COMPUTED_VALUE"""),44657)</f>
        <v>44657</v>
      </c>
      <c r="B7635" s="8" t="str">
        <f ca="1">IFERROR(__xludf.DUMMYFUNCTION("""COMPUTED_VALUE"""),"-33.665251,-71.315256")</f>
        <v>-33.665251,-71.315256</v>
      </c>
      <c r="C7635" s="6" t="str">
        <f ca="1">IFERROR(__xludf.DUMMYFUNCTION("""COMPUTED_VALUE"""),"LOS PINOS S/N ")</f>
        <v xml:space="preserve">LOS PINOS S/N </v>
      </c>
      <c r="D7635" s="6" t="str">
        <f ca="1">IFERROR(__xludf.DUMMYFUNCTION("""COMPUTED_VALUE"""),"MELIPILLA")</f>
        <v>MELIPILLA</v>
      </c>
    </row>
    <row r="7636" spans="1:4">
      <c r="A7636" s="7">
        <f ca="1">IFERROR(__xludf.DUMMYFUNCTION("""COMPUTED_VALUE"""),44657)</f>
        <v>44657</v>
      </c>
      <c r="B7636" s="6" t="str">
        <f ca="1">IFERROR(__xludf.DUMMYFUNCTION("""COMPUTED_VALUE"""),"-33.804660,-70.737652")</f>
        <v>-33.804660,-70.737652</v>
      </c>
      <c r="C7636" s="6" t="str">
        <f ca="1">IFERROR(__xludf.DUMMYFUNCTION("""COMPUTED_VALUE"""),"CALLE CUATRO 263")</f>
        <v>CALLE CUATRO 263</v>
      </c>
      <c r="D7636" s="6" t="str">
        <f ca="1">IFERROR(__xludf.DUMMYFUNCTION("""COMPUTED_VALUE"""),"PAINE")</f>
        <v>PAINE</v>
      </c>
    </row>
    <row r="7637" spans="1:4">
      <c r="A7637" s="7">
        <f ca="1">IFERROR(__xludf.DUMMYFUNCTION("""COMPUTED_VALUE"""),44657)</f>
        <v>44657</v>
      </c>
      <c r="B7637" s="6" t="str">
        <f ca="1">IFERROR(__xludf.DUMMYFUNCTION("""COMPUTED_VALUE"""),"-33.808384,-70.766649")</f>
        <v>-33.808384,-70.766649</v>
      </c>
      <c r="C7637" s="6" t="str">
        <f ca="1">IFERROR(__xludf.DUMMYFUNCTION("""COMPUTED_VALUE"""),"SANTA VICTORIA DE VILUCO ST 9")</f>
        <v>SANTA VICTORIA DE VILUCO ST 9</v>
      </c>
      <c r="D7637" s="6" t="str">
        <f ca="1">IFERROR(__xludf.DUMMYFUNCTION("""COMPUTED_VALUE"""),"PAINE")</f>
        <v>PAINE</v>
      </c>
    </row>
    <row r="7638" spans="1:4">
      <c r="A7638" s="7">
        <f ca="1">IFERROR(__xludf.DUMMYFUNCTION("""COMPUTED_VALUE"""),44657)</f>
        <v>44657</v>
      </c>
      <c r="B7638" s="6" t="str">
        <f ca="1">IFERROR(__xludf.DUMMYFUNCTION("""COMPUTED_VALUE"""),"-33.859025,-70.849029")</f>
        <v>-33.859025,-70.849029</v>
      </c>
      <c r="C7638" s="6" t="str">
        <f ca="1">IFERROR(__xludf.DUMMYFUNCTION("""COMPUTED_VALUE"""),"CI ABRANTES15 LOTE A")</f>
        <v>CI ABRANTES15 LOTE A</v>
      </c>
      <c r="D7638" s="6" t="str">
        <f ca="1">IFERROR(__xludf.DUMMYFUNCTION("""COMPUTED_VALUE"""),"PAINE")</f>
        <v>PAINE</v>
      </c>
    </row>
    <row r="7639" spans="1:4">
      <c r="A7639" s="7">
        <f ca="1">IFERROR(__xludf.DUMMYFUNCTION("""COMPUTED_VALUE"""),44657)</f>
        <v>44657</v>
      </c>
      <c r="B7639" s="6" t="str">
        <f ca="1">IFERROR(__xludf.DUMMYFUNCTION("""COMPUTED_VALUE"""),"-33.853316,-70.830991")</f>
        <v>-33.853316,-70.830991</v>
      </c>
      <c r="C7639" s="6" t="str">
        <f ca="1">IFERROR(__xludf.DUMMYFUNCTION("""COMPUTED_VALUE"""),"HIJUELA S/N ABRANTES SAN ROBERTO")</f>
        <v>HIJUELA S/N ABRANTES SAN ROBERTO</v>
      </c>
      <c r="D7639" s="6" t="str">
        <f ca="1">IFERROR(__xludf.DUMMYFUNCTION("""COMPUTED_VALUE"""),"PAINE")</f>
        <v>PAINE</v>
      </c>
    </row>
    <row r="7640" spans="1:4">
      <c r="A7640" s="7">
        <f ca="1">IFERROR(__xludf.DUMMYFUNCTION("""COMPUTED_VALUE"""),44657)</f>
        <v>44657</v>
      </c>
      <c r="B7640" s="6" t="str">
        <f ca="1">IFERROR(__xludf.DUMMYFUNCTION("""COMPUTED_VALUE"""),"-33.728907,-70.733667")</f>
        <v>-33.728907,-70.733667</v>
      </c>
      <c r="C7640" s="6" t="str">
        <f ca="1">IFERROR(__xludf.DUMMYFUNCTION("""COMPUTED_VALUE"""),"MANUEL RODRIGUEZ OTE 0269")</f>
        <v>MANUEL RODRIGUEZ OTE 0269</v>
      </c>
      <c r="D7640" s="6" t="str">
        <f ca="1">IFERROR(__xludf.DUMMYFUNCTION("""COMPUTED_VALUE"""),"BUIN")</f>
        <v>BUIN</v>
      </c>
    </row>
    <row r="7641" spans="1:4">
      <c r="A7641" s="7">
        <f ca="1">IFERROR(__xludf.DUMMYFUNCTION("""COMPUTED_VALUE"""),44658)</f>
        <v>44658</v>
      </c>
      <c r="B7641" s="8" t="str">
        <f ca="1">IFERROR(__xludf.DUMMYFUNCTION("""COMPUTED_VALUE"""),"33737399-70913862")</f>
        <v>33737399-70913862</v>
      </c>
      <c r="C7641" s="6" t="str">
        <f ca="1">IFERROR(__xludf.DUMMYFUNCTION("""COMPUTED_VALUE"""),"SAN LUIS 283,")</f>
        <v>SAN LUIS 283,</v>
      </c>
      <c r="D7641" s="6" t="str">
        <f ca="1">IFERROR(__xludf.DUMMYFUNCTION("""COMPUTED_VALUE"""),"ISLA DE MAIPO")</f>
        <v>ISLA DE MAIPO</v>
      </c>
    </row>
    <row r="7642" spans="1:4">
      <c r="A7642" s="7">
        <f ca="1">IFERROR(__xludf.DUMMYFUNCTION("""COMPUTED_VALUE"""),44658)</f>
        <v>44658</v>
      </c>
      <c r="B7642" s="8" t="str">
        <f ca="1">IFERROR(__xludf.DUMMYFUNCTION("""COMPUTED_VALUE"""),"33841361-70818680")</f>
        <v>33841361-70818680</v>
      </c>
      <c r="C7642" s="6" t="str">
        <f ca="1">IFERROR(__xludf.DUMMYFUNCTION("""COMPUTED_VALUE"""),"EL VINCULO S/N")</f>
        <v>EL VINCULO S/N</v>
      </c>
      <c r="D7642" s="6" t="str">
        <f ca="1">IFERROR(__xludf.DUMMYFUNCTION("""COMPUTED_VALUE"""),"PAINE")</f>
        <v>PAINE</v>
      </c>
    </row>
    <row r="7643" spans="1:4">
      <c r="A7643" s="7">
        <f ca="1">IFERROR(__xludf.DUMMYFUNCTION("""COMPUTED_VALUE"""),44658)</f>
        <v>44658</v>
      </c>
      <c r="B7643" s="8" t="str">
        <f ca="1">IFERROR(__xludf.DUMMYFUNCTION("""COMPUTED_VALUE"""),"33747922-70597112")</f>
        <v>33747922-70597112</v>
      </c>
      <c r="C7643" s="6" t="str">
        <f ca="1">IFERROR(__xludf.DUMMYFUNCTION("""COMPUTED_VALUE"""),"PASAJE LAS ROJAS 709")</f>
        <v>PASAJE LAS ROJAS 709</v>
      </c>
      <c r="D7643" s="6" t="str">
        <f ca="1">IFERROR(__xludf.DUMMYFUNCTION("""COMPUTED_VALUE"""),"ISLA DE MAIPO")</f>
        <v>ISLA DE MAIPO</v>
      </c>
    </row>
    <row r="7644" spans="1:4">
      <c r="A7644" s="7">
        <f ca="1">IFERROR(__xludf.DUMMYFUNCTION("""COMPUTED_VALUE"""),44658)</f>
        <v>44658</v>
      </c>
      <c r="B7644" s="8" t="str">
        <f ca="1">IFERROR(__xludf.DUMMYFUNCTION("""COMPUTED_VALUE"""),"33847568-70635077")</f>
        <v>33847568-70635077</v>
      </c>
      <c r="C7644" s="6" t="str">
        <f ca="1">IFERROR(__xludf.DUMMYFUNCTION("""COMPUTED_VALUE"""),"PADRE ALBERTO HURTADO 2,")</f>
        <v>PADRE ALBERTO HURTADO 2,</v>
      </c>
      <c r="D7644" s="6" t="str">
        <f ca="1">IFERROR(__xludf.DUMMYFUNCTION("""COMPUTED_VALUE"""),"PAINE")</f>
        <v>PAINE</v>
      </c>
    </row>
    <row r="7645" spans="1:4">
      <c r="A7645" s="7">
        <f ca="1">IFERROR(__xludf.DUMMYFUNCTION("""COMPUTED_VALUE"""),44658)</f>
        <v>44658</v>
      </c>
      <c r="B7645" s="8" t="str">
        <f ca="1">IFERROR(__xludf.DUMMYFUNCTION("""COMPUTED_VALUE"""),"33843043-70638126")</f>
        <v>33843043-70638126</v>
      </c>
      <c r="C7645" s="6" t="str">
        <f ca="1">IFERROR(__xludf.DUMMYFUNCTION("""COMPUTED_VALUE"""),"SAN ISIDRO ST 3")</f>
        <v>SAN ISIDRO ST 3</v>
      </c>
      <c r="D7645" s="6" t="str">
        <f ca="1">IFERROR(__xludf.DUMMYFUNCTION("""COMPUTED_VALUE"""),"PAINE")</f>
        <v>PAINE</v>
      </c>
    </row>
    <row r="7646" spans="1:4">
      <c r="A7646" s="7">
        <f ca="1">IFERROR(__xludf.DUMMYFUNCTION("""COMPUTED_VALUE"""),44658)</f>
        <v>44658</v>
      </c>
      <c r="B7646" s="8" t="str">
        <f ca="1">IFERROR(__xludf.DUMMYFUNCTION("""COMPUTED_VALUE"""),"33818983-70739865")</f>
        <v>33818983-70739865</v>
      </c>
      <c r="C7646" s="6" t="str">
        <f ca="1">IFERROR(__xludf.DUMMYFUNCTION("""COMPUTED_VALUE"""),"PERU 279")</f>
        <v>PERU 279</v>
      </c>
      <c r="D7646" s="6" t="str">
        <f ca="1">IFERROR(__xludf.DUMMYFUNCTION("""COMPUTED_VALUE"""),"PAINE")</f>
        <v>PAINE</v>
      </c>
    </row>
    <row r="7647" spans="1:4">
      <c r="A7647" s="7">
        <f ca="1">IFERROR(__xludf.DUMMYFUNCTION("""COMPUTED_VALUE"""),44658)</f>
        <v>44658</v>
      </c>
      <c r="B7647" s="6" t="str">
        <f ca="1">IFERROR(__xludf.DUMMYFUNCTION("""COMPUTED_VALUE"""),"-33.731925-70.319360")</f>
        <v>-33.731925-70.319360</v>
      </c>
      <c r="C7647" s="6" t="str">
        <f ca="1">IFERROR(__xludf.DUMMYFUNCTION("""COMPUTED_VALUE"""),"CAMINO VECINAL 0303")</f>
        <v>CAMINO VECINAL 0303</v>
      </c>
      <c r="D7647" s="6" t="str">
        <f ca="1">IFERROR(__xludf.DUMMYFUNCTION("""COMPUTED_VALUE"""),"SAN JOSE DE MAIPO")</f>
        <v>SAN JOSE DE MAIPO</v>
      </c>
    </row>
    <row r="7648" spans="1:4">
      <c r="A7648" s="7">
        <f ca="1">IFERROR(__xludf.DUMMYFUNCTION("""COMPUTED_VALUE"""),44658)</f>
        <v>44658</v>
      </c>
      <c r="B7648" s="6" t="str">
        <f ca="1">IFERROR(__xludf.DUMMYFUNCTION("""COMPUTED_VALUE"""),"-33.663615-70.350470")</f>
        <v>-33.663615-70.350470</v>
      </c>
      <c r="C7648" s="6" t="str">
        <f ca="1">IFERROR(__xludf.DUMMYFUNCTION("""COMPUTED_VALUE"""),"SAN JOSE ALTO S/N")</f>
        <v>SAN JOSE ALTO S/N</v>
      </c>
      <c r="D7648" s="6" t="str">
        <f ca="1">IFERROR(__xludf.DUMMYFUNCTION("""COMPUTED_VALUE"""),"SAN JOSE DE MAIPO")</f>
        <v>SAN JOSE DE MAIPO</v>
      </c>
    </row>
    <row r="7649" spans="1:4">
      <c r="A7649" s="7">
        <f ca="1">IFERROR(__xludf.DUMMYFUNCTION("""COMPUTED_VALUE"""),44658)</f>
        <v>44658</v>
      </c>
      <c r="B7649" s="6" t="str">
        <f ca="1">IFERROR(__xludf.DUMMYFUNCTION("""COMPUTED_VALUE"""),"-33.670372-71.205590")</f>
        <v>-33.670372-71.205590</v>
      </c>
      <c r="C7649" s="6" t="str">
        <f ca="1">IFERROR(__xludf.DUMMYFUNCTION("""COMPUTED_VALUE"""),"OSTOLAZAS S/N P13 B")</f>
        <v>OSTOLAZAS S/N P13 B</v>
      </c>
      <c r="D7649" s="6" t="str">
        <f ca="1">IFERROR(__xludf.DUMMYFUNCTION("""COMPUTED_VALUE"""),"MELIPILLA")</f>
        <v>MELIPILLA</v>
      </c>
    </row>
    <row r="7650" spans="1:4">
      <c r="A7650" s="7">
        <f ca="1">IFERROR(__xludf.DUMMYFUNCTION("""COMPUTED_VALUE"""),44658)</f>
        <v>44658</v>
      </c>
      <c r="B7650" s="6" t="str">
        <f ca="1">IFERROR(__xludf.DUMMYFUNCTION("""COMPUTED_VALUE"""),"-33.670372-71.205590")</f>
        <v>-33.670372-71.205590</v>
      </c>
      <c r="C7650" s="6" t="str">
        <f ca="1">IFERROR(__xludf.DUMMYFUNCTION("""COMPUTED_VALUE"""),"OSTOLAZAS S/N P13 B")</f>
        <v>OSTOLAZAS S/N P13 B</v>
      </c>
      <c r="D7650" s="6" t="str">
        <f ca="1">IFERROR(__xludf.DUMMYFUNCTION("""COMPUTED_VALUE"""),"MELIPILLA")</f>
        <v>MELIPILLA</v>
      </c>
    </row>
    <row r="7651" spans="1:4">
      <c r="A7651" s="7">
        <f ca="1">IFERROR(__xludf.DUMMYFUNCTION("""COMPUTED_VALUE"""),44658)</f>
        <v>44658</v>
      </c>
      <c r="B7651" s="6" t="str">
        <f ca="1">IFERROR(__xludf.DUMMYFUNCTION("""COMPUTED_VALUE""")," -33.670372-71.205590")</f>
        <v xml:space="preserve"> -33.670372-71.205590</v>
      </c>
      <c r="C7651" s="6" t="str">
        <f ca="1">IFERROR(__xludf.DUMMYFUNCTION("""COMPUTED_VALUE"""),"OSTOLAZAS S/N P13 B")</f>
        <v>OSTOLAZAS S/N P13 B</v>
      </c>
      <c r="D7651" s="6" t="str">
        <f ca="1">IFERROR(__xludf.DUMMYFUNCTION("""COMPUTED_VALUE"""),"MELIPILLA")</f>
        <v>MELIPILLA</v>
      </c>
    </row>
    <row r="7652" spans="1:4">
      <c r="A7652" s="7">
        <f ca="1">IFERROR(__xludf.DUMMYFUNCTION("""COMPUTED_VALUE"""),44658)</f>
        <v>44658</v>
      </c>
      <c r="B7652" s="6" t="str">
        <f ca="1">IFERROR(__xludf.DUMMYFUNCTION("""COMPUTED_VALUE"""),"-33.8620192,-70.877901")</f>
        <v>-33.8620192,-70.877901</v>
      </c>
      <c r="C7652" s="6" t="str">
        <f ca="1">IFERROR(__xludf.DUMMYFUNCTION("""COMPUTED_VALUE"""),"ROSARIO VIAL PARC41")</f>
        <v>ROSARIO VIAL PARC41</v>
      </c>
      <c r="D7652" s="6" t="str">
        <f ca="1">IFERROR(__xludf.DUMMYFUNCTION("""COMPUTED_VALUE"""),"PAINE")</f>
        <v>PAINE</v>
      </c>
    </row>
    <row r="7653" spans="1:4">
      <c r="A7653" s="7">
        <f ca="1">IFERROR(__xludf.DUMMYFUNCTION("""COMPUTED_VALUE"""),44658)</f>
        <v>44658</v>
      </c>
      <c r="B7653" s="6" t="str">
        <f ca="1">IFERROR(__xludf.DUMMYFUNCTION("""COMPUTED_VALUE"""),"-33.871846,-70.224089")</f>
        <v>-33.871846,-70.224089</v>
      </c>
      <c r="C7653" s="6" t="str">
        <f ca="1">IFERROR(__xludf.DUMMYFUNCTION("""COMPUTED_VALUE"""),"COLONIAS KENNEDY PAR 157 LOTE 6")</f>
        <v>COLONIAS KENNEDY PAR 157 LOTE 6</v>
      </c>
      <c r="D7653" s="6" t="str">
        <f ca="1">IFERROR(__xludf.DUMMYFUNCTION("""COMPUTED_VALUE"""),"PAINE")</f>
        <v>PAINE</v>
      </c>
    </row>
    <row r="7654" spans="1:4">
      <c r="A7654" s="7">
        <f ca="1">IFERROR(__xludf.DUMMYFUNCTION("""COMPUTED_VALUE"""),44658)</f>
        <v>44658</v>
      </c>
      <c r="B7654" s="8" t="str">
        <f ca="1">IFERROR(__xludf.DUMMYFUNCTION("""COMPUTED_VALUE"""),"-33.799484,-71.217811")</f>
        <v>-33.799484,-71.217811</v>
      </c>
      <c r="C7654" s="6" t="str">
        <f ca="1">IFERROR(__xludf.DUMMYFUNCTION("""COMPUTED_VALUE"""),"EL DIBUJO CULIAPRAN")</f>
        <v>EL DIBUJO CULIAPRAN</v>
      </c>
      <c r="D7654" s="6" t="str">
        <f ca="1">IFERROR(__xludf.DUMMYFUNCTION("""COMPUTED_VALUE"""),"MELIPILLA")</f>
        <v>MELIPILLA</v>
      </c>
    </row>
    <row r="7655" spans="1:4">
      <c r="A7655" s="7">
        <f ca="1">IFERROR(__xludf.DUMMYFUNCTION("""COMPUTED_VALUE"""),44658)</f>
        <v>44658</v>
      </c>
      <c r="B7655" s="8" t="str">
        <f ca="1">IFERROR(__xludf.DUMMYFUNCTION("""COMPUTED_VALUE"""),"-33.803871,-70.714981")</f>
        <v>-33.803871,-70.714981</v>
      </c>
      <c r="C7655" s="6" t="str">
        <f ca="1">IFERROR(__xludf.DUMMYFUNCTION("""COMPUTED_VALUE"""),"VILLA POSESIONES P7 2055")</f>
        <v>VILLA POSESIONES P7 2055</v>
      </c>
      <c r="D7655" s="6" t="str">
        <f ca="1">IFERROR(__xludf.DUMMYFUNCTION("""COMPUTED_VALUE"""),"PAINE")</f>
        <v>PAINE</v>
      </c>
    </row>
    <row r="7656" spans="1:4">
      <c r="A7656" s="7">
        <f ca="1">IFERROR(__xludf.DUMMYFUNCTION("""COMPUTED_VALUE"""),44658)</f>
        <v>44658</v>
      </c>
      <c r="B7656" s="8" t="str">
        <f ca="1">IFERROR(__xludf.DUMMYFUNCTION("""COMPUTED_VALUE"""),"-33.884591,-70.744576")</f>
        <v>-33.884591,-70.744576</v>
      </c>
      <c r="C7656" s="6" t="str">
        <f ca="1">IFERROR(__xludf.DUMMYFUNCTION("""COMPUTED_VALUE"""),"LECHO DEL RIO SITIO 26")</f>
        <v>LECHO DEL RIO SITIO 26</v>
      </c>
      <c r="D7656" s="6" t="str">
        <f ca="1">IFERROR(__xludf.DUMMYFUNCTION("""COMPUTED_VALUE"""),"PAINE")</f>
        <v>PAINE</v>
      </c>
    </row>
    <row r="7657" spans="1:4">
      <c r="A7657" s="7">
        <f ca="1">IFERROR(__xludf.DUMMYFUNCTION("""COMPUTED_VALUE"""),44658)</f>
        <v>44658</v>
      </c>
      <c r="B7657" s="8" t="str">
        <f ca="1">IFERROR(__xludf.DUMMYFUNCTION("""COMPUTED_VALUE"""),"-33.921511,-71.485163")</f>
        <v>-33.921511,-71.485163</v>
      </c>
      <c r="C7657" s="6" t="str">
        <f ca="1">IFERROR(__xludf.DUMMYFUNCTION("""COMPUTED_VALUE"""),"EL PRADO VERDE S/N SAN PEDRO")</f>
        <v>EL PRADO VERDE S/N SAN PEDRO</v>
      </c>
      <c r="D7657" s="6" t="str">
        <f ca="1">IFERROR(__xludf.DUMMYFUNCTION("""COMPUTED_VALUE"""),"MELIPILLA")</f>
        <v>MELIPILLA</v>
      </c>
    </row>
    <row r="7658" spans="1:4">
      <c r="A7658" s="7">
        <f ca="1">IFERROR(__xludf.DUMMYFUNCTION("""COMPUTED_VALUE"""),44658)</f>
        <v>44658</v>
      </c>
      <c r="B7658" s="6" t="str">
        <f ca="1">IFERROR(__xludf.DUMMYFUNCTION("""COMPUTED_VALUE"""),"-33.805318,-70.734421")</f>
        <v>-33.805318,-70.734421</v>
      </c>
      <c r="C7658" s="6" t="str">
        <f ca="1">IFERROR(__xludf.DUMMYFUNCTION("""COMPUTED_VALUE"""),"JUAN ALAERCON SALAZAR 118")</f>
        <v>JUAN ALAERCON SALAZAR 118</v>
      </c>
      <c r="D7658" s="6" t="str">
        <f ca="1">IFERROR(__xludf.DUMMYFUNCTION("""COMPUTED_VALUE"""),"PAINE")</f>
        <v>PAINE</v>
      </c>
    </row>
    <row r="7659" spans="1:4">
      <c r="A7659" s="7">
        <f ca="1">IFERROR(__xludf.DUMMYFUNCTION("""COMPUTED_VALUE"""),44658)</f>
        <v>44658</v>
      </c>
      <c r="B7659" s="6" t="str">
        <f ca="1">IFERROR(__xludf.DUMMYFUNCTION("""COMPUTED_VALUE"""),"-33.823568,-70.731367")</f>
        <v>-33.823568,-70.731367</v>
      </c>
      <c r="C7659" s="6" t="str">
        <f ca="1">IFERROR(__xludf.DUMMYFUNCTION("""COMPUTED_VALUE"""),"PJE. HERMANOS ORELLANA 959")</f>
        <v>PJE. HERMANOS ORELLANA 959</v>
      </c>
      <c r="D7659" s="6" t="str">
        <f ca="1">IFERROR(__xludf.DUMMYFUNCTION("""COMPUTED_VALUE"""),"PAINE")</f>
        <v>PAINE</v>
      </c>
    </row>
    <row r="7660" spans="1:4">
      <c r="A7660" s="7">
        <f ca="1">IFERROR(__xludf.DUMMYFUNCTION("""COMPUTED_VALUE"""),44658)</f>
        <v>44658</v>
      </c>
      <c r="B7660" s="6" t="str">
        <f ca="1">IFERROR(__xludf.DUMMYFUNCTION("""COMPUTED_VALUE"""),"-33.866953,-70.749572")</f>
        <v>-33.866953,-70.749572</v>
      </c>
      <c r="C7660" s="6" t="str">
        <f ca="1">IFERROR(__xludf.DUMMYFUNCTION("""COMPUTED_VALUE"""),"VICTORIA GONZALEZ URIBE 7 MANZ C")</f>
        <v>VICTORIA GONZALEZ URIBE 7 MANZ C</v>
      </c>
      <c r="D7660" s="6" t="str">
        <f ca="1">IFERROR(__xludf.DUMMYFUNCTION("""COMPUTED_VALUE"""),"PAINE")</f>
        <v>PAINE</v>
      </c>
    </row>
    <row r="7661" spans="1:4">
      <c r="A7661" s="7">
        <f ca="1">IFERROR(__xludf.DUMMYFUNCTION("""COMPUTED_VALUE"""),44658)</f>
        <v>44658</v>
      </c>
      <c r="B7661" s="6" t="str">
        <f ca="1">IFERROR(__xludf.DUMMYFUNCTION("""COMPUTED_VALUE"""),"-33-866817,-70.749521")</f>
        <v>-33-866817,-70.749521</v>
      </c>
      <c r="C7661" s="6" t="str">
        <f ca="1">IFERROR(__xludf.DUMMYFUNCTION("""COMPUTED_VALUE"""),"VICTORIA GONZALEZ URIBE 7 MANZ C")</f>
        <v>VICTORIA GONZALEZ URIBE 7 MANZ C</v>
      </c>
      <c r="D7661" s="6" t="str">
        <f ca="1">IFERROR(__xludf.DUMMYFUNCTION("""COMPUTED_VALUE"""),"PAINE")</f>
        <v>PAINE</v>
      </c>
    </row>
    <row r="7662" spans="1:4">
      <c r="A7662" s="7">
        <f ca="1">IFERROR(__xludf.DUMMYFUNCTION("""COMPUTED_VALUE"""),44658)</f>
        <v>44658</v>
      </c>
      <c r="B7662" s="6" t="str">
        <f ca="1">IFERROR(__xludf.DUMMYFUNCTION("""COMPUTED_VALUE"""),"-33.821604,-70.742847")</f>
        <v>-33.821604,-70.742847</v>
      </c>
      <c r="C7662" s="6" t="str">
        <f ca="1">IFERROR(__xludf.DUMMYFUNCTION("""COMPUTED_VALUE"""),"LAS ARAUCARIAS 1749")</f>
        <v>LAS ARAUCARIAS 1749</v>
      </c>
      <c r="D7662" s="6" t="str">
        <f ca="1">IFERROR(__xludf.DUMMYFUNCTION("""COMPUTED_VALUE"""),"PAINE")</f>
        <v>PAINE</v>
      </c>
    </row>
    <row r="7663" spans="1:4">
      <c r="A7663" s="7">
        <f ca="1">IFERROR(__xludf.DUMMYFUNCTION("""COMPUTED_VALUE"""),44658)</f>
        <v>44658</v>
      </c>
      <c r="B7663" s="6" t="str">
        <f ca="1">IFERROR(__xludf.DUMMYFUNCTION("""COMPUTED_VALUE"""),"-33.8729123,-70.7302256")</f>
        <v>-33.8729123,-70.7302256</v>
      </c>
      <c r="C7663" s="6" t="str">
        <f ca="1">IFERROR(__xludf.DUMMYFUNCTION("""COMPUTED_VALUE"""),"LOS ACACIOS 121")</f>
        <v>LOS ACACIOS 121</v>
      </c>
      <c r="D7663" s="6" t="str">
        <f ca="1">IFERROR(__xludf.DUMMYFUNCTION("""COMPUTED_VALUE"""),"PAINE")</f>
        <v>PAINE</v>
      </c>
    </row>
    <row r="7664" spans="1:4">
      <c r="A7664" s="7">
        <f ca="1">IFERROR(__xludf.DUMMYFUNCTION("""COMPUTED_VALUE"""),44659)</f>
        <v>44659</v>
      </c>
      <c r="B7664" s="8" t="str">
        <f ca="1">IFERROR(__xludf.DUMMYFUNCTION("""COMPUTED_VALUE"""),"33844014-7063750")</f>
        <v>33844014-7063750</v>
      </c>
      <c r="C7664" s="6" t="str">
        <f ca="1">IFERROR(__xludf.DUMMYFUNCTION("""COMPUTED_VALUE"""),"CAMINO PADRE HURTADO SITIO 3")</f>
        <v>CAMINO PADRE HURTADO SITIO 3</v>
      </c>
      <c r="D7664" s="6" t="str">
        <f ca="1">IFERROR(__xludf.DUMMYFUNCTION("""COMPUTED_VALUE"""),"PAINE")</f>
        <v>PAINE</v>
      </c>
    </row>
    <row r="7665" spans="1:4">
      <c r="A7665" s="7">
        <f ca="1">IFERROR(__xludf.DUMMYFUNCTION("""COMPUTED_VALUE"""),44659)</f>
        <v>44659</v>
      </c>
      <c r="B7665" s="8" t="str">
        <f ca="1">IFERROR(__xludf.DUMMYFUNCTION("""COMPUTED_VALUE"""),"33840225-70808865")</f>
        <v>33840225-70808865</v>
      </c>
      <c r="C7665" s="6" t="str">
        <f ca="1">IFERROR(__xludf.DUMMYFUNCTION("""COMPUTED_VALUE"""),"MANUEL RODRIGUEZ SITIO 8")</f>
        <v>MANUEL RODRIGUEZ SITIO 8</v>
      </c>
      <c r="D7665" s="6" t="str">
        <f ca="1">IFERROR(__xludf.DUMMYFUNCTION("""COMPUTED_VALUE"""),"PAINE")</f>
        <v>PAINE</v>
      </c>
    </row>
    <row r="7666" spans="1:4">
      <c r="A7666" s="7">
        <f ca="1">IFERROR(__xludf.DUMMYFUNCTION("""COMPUTED_VALUE"""),44659)</f>
        <v>44659</v>
      </c>
      <c r="B7666" s="8" t="str">
        <f ca="1">IFERROR(__xludf.DUMMYFUNCTION("""COMPUTED_VALUE"""),"33675507-70975889")</f>
        <v>33675507-70975889</v>
      </c>
      <c r="C7666" s="6" t="str">
        <f ca="1">IFERROR(__xludf.DUMMYFUNCTION("""COMPUTED_VALUE"""),"IGNACIO SERRANO, 226")</f>
        <v>IGNACIO SERRANO, 226</v>
      </c>
      <c r="D7666" s="6" t="str">
        <f ca="1">IFERROR(__xludf.DUMMYFUNCTION("""COMPUTED_VALUE"""),"EL MONTE")</f>
        <v>EL MONTE</v>
      </c>
    </row>
    <row r="7667" spans="1:4">
      <c r="A7667" s="7">
        <f ca="1">IFERROR(__xludf.DUMMYFUNCTION("""COMPUTED_VALUE"""),44659)</f>
        <v>44659</v>
      </c>
      <c r="B7667" s="8" t="str">
        <f ca="1">IFERROR(__xludf.DUMMYFUNCTION("""COMPUTED_VALUE"""),"33783416-70886590")</f>
        <v>33783416-70886590</v>
      </c>
      <c r="C7667" s="6" t="str">
        <f ca="1">IFERROR(__xludf.DUMMYFUNCTION("""COMPUTED_VALUE"""),"LAS MERCEDES 1739 B")</f>
        <v>LAS MERCEDES 1739 B</v>
      </c>
      <c r="D7667" s="6" t="str">
        <f ca="1">IFERROR(__xludf.DUMMYFUNCTION("""COMPUTED_VALUE"""),"ISLA DE MAIPO")</f>
        <v>ISLA DE MAIPO</v>
      </c>
    </row>
    <row r="7668" spans="1:4">
      <c r="A7668" s="7">
        <f ca="1">IFERROR(__xludf.DUMMYFUNCTION("""COMPUTED_VALUE"""),44659)</f>
        <v>44659</v>
      </c>
      <c r="B7668" s="8" t="str">
        <f ca="1">IFERROR(__xludf.DUMMYFUNCTION("""COMPUTED_VALUE"""),"337677830-707025466")</f>
        <v>337677830-707025466</v>
      </c>
      <c r="C7668" s="6" t="str">
        <f ca="1">IFERROR(__xludf.DUMMYFUNCTION("""COMPUTED_VALUE"""),"EL CERRILLO 590,")</f>
        <v>EL CERRILLO 590,</v>
      </c>
      <c r="D7668" s="6" t="str">
        <f ca="1">IFERROR(__xludf.DUMMYFUNCTION("""COMPUTED_VALUE"""),"BUIN")</f>
        <v>BUIN</v>
      </c>
    </row>
    <row r="7669" spans="1:4">
      <c r="A7669" s="7">
        <f ca="1">IFERROR(__xludf.DUMMYFUNCTION("""COMPUTED_VALUE"""),44659)</f>
        <v>44659</v>
      </c>
      <c r="B7669" s="8" t="str">
        <f ca="1">IFERROR(__xludf.DUMMYFUNCTION("""COMPUTED_VALUE"""),"33804906-70951949")</f>
        <v>33804906-70951949</v>
      </c>
      <c r="C7669" s="6" t="str">
        <f ca="1">IFERROR(__xludf.DUMMYFUNCTION("""COMPUTED_VALUE"""),"LAS LILAS 37,")</f>
        <v>LAS LILAS 37,</v>
      </c>
      <c r="D7669" s="6" t="str">
        <f ca="1">IFERROR(__xludf.DUMMYFUNCTION("""COMPUTED_VALUE"""),"BUIN")</f>
        <v>BUIN</v>
      </c>
    </row>
    <row r="7670" spans="1:4">
      <c r="A7670" s="7">
        <f ca="1">IFERROR(__xludf.DUMMYFUNCTION("""COMPUTED_VALUE"""),44659)</f>
        <v>44659</v>
      </c>
      <c r="B7670" s="6" t="str">
        <f ca="1">IFERROR(__xludf.DUMMYFUNCTION("""COMPUTED_VALUE"""),"-33.671559-71.202550")</f>
        <v>-33.671559-71.202550</v>
      </c>
      <c r="C7670" s="6" t="str">
        <f ca="1">IFERROR(__xludf.DUMMYFUNCTION("""COMPUTED_VALUE"""),"OSTOLAZAS S/N L7")</f>
        <v>OSTOLAZAS S/N L7</v>
      </c>
      <c r="D7670" s="6" t="str">
        <f ca="1">IFERROR(__xludf.DUMMYFUNCTION("""COMPUTED_VALUE"""),"MELIPILLA")</f>
        <v>MELIPILLA</v>
      </c>
    </row>
    <row r="7671" spans="1:4">
      <c r="A7671" s="7">
        <f ca="1">IFERROR(__xludf.DUMMYFUNCTION("""COMPUTED_VALUE"""),44659)</f>
        <v>44659</v>
      </c>
      <c r="B7671" s="6" t="str">
        <f ca="1">IFERROR(__xludf.DUMMYFUNCTION("""COMPUTED_VALUE"""),"-33.671559-71.202550")</f>
        <v>-33.671559-71.202550</v>
      </c>
      <c r="C7671" s="6" t="str">
        <f ca="1">IFERROR(__xludf.DUMMYFUNCTION("""COMPUTED_VALUE"""),"OSTOLAZAS S/N L7")</f>
        <v>OSTOLAZAS S/N L7</v>
      </c>
      <c r="D7671" s="6" t="str">
        <f ca="1">IFERROR(__xludf.DUMMYFUNCTION("""COMPUTED_VALUE"""),"MELIPILLA")</f>
        <v>MELIPILLA</v>
      </c>
    </row>
    <row r="7672" spans="1:4">
      <c r="A7672" s="7">
        <f ca="1">IFERROR(__xludf.DUMMYFUNCTION("""COMPUTED_VALUE"""),44659)</f>
        <v>44659</v>
      </c>
      <c r="B7672" s="6" t="str">
        <f ca="1">IFERROR(__xludf.DUMMYFUNCTION("""COMPUTED_VALUE"""),"-33.666616-71.207036")</f>
        <v>-33.666616-71.207036</v>
      </c>
      <c r="C7672" s="6" t="str">
        <f ca="1">IFERROR(__xludf.DUMMYFUNCTION("""COMPUTED_VALUE"""),"LA ALIANZA S/N P10")</f>
        <v>LA ALIANZA S/N P10</v>
      </c>
      <c r="D7672" s="6" t="str">
        <f ca="1">IFERROR(__xludf.DUMMYFUNCTION("""COMPUTED_VALUE"""),"MELIPILLA")</f>
        <v>MELIPILLA</v>
      </c>
    </row>
    <row r="7673" spans="1:4">
      <c r="A7673" s="7">
        <f ca="1">IFERROR(__xludf.DUMMYFUNCTION("""COMPUTED_VALUE"""),44659)</f>
        <v>44659</v>
      </c>
      <c r="B7673" s="8" t="str">
        <f ca="1">IFERROR(__xludf.DUMMYFUNCTION("""COMPUTED_VALUE"""),"-33.706590,-70.558504")</f>
        <v>-33.706590,-70.558504</v>
      </c>
      <c r="C7673" s="6" t="str">
        <f ca="1">IFERROR(__xludf.DUMMYFUNCTION("""COMPUTED_VALUE"""),"CALLE EL OLIVO 7941")</f>
        <v>CALLE EL OLIVO 7941</v>
      </c>
      <c r="D7673" s="6" t="str">
        <f ca="1">IFERROR(__xludf.DUMMYFUNCTION("""COMPUTED_VALUE"""),"PIRQUE")</f>
        <v>PIRQUE</v>
      </c>
    </row>
    <row r="7674" spans="1:4">
      <c r="A7674" s="7">
        <f ca="1">IFERROR(__xludf.DUMMYFUNCTION("""COMPUTED_VALUE"""),44659)</f>
        <v>44659</v>
      </c>
      <c r="B7674" s="8" t="str">
        <f ca="1">IFERROR(__xludf.DUMMYFUNCTION("""COMPUTED_VALUE"""),"-33.627380,-70.547093")</f>
        <v>-33.627380,-70.547093</v>
      </c>
      <c r="C7674" s="6" t="str">
        <f ca="1">IFERROR(__xludf.DUMMYFUNCTION("""COMPUTED_VALUE"""),"OSCAR AZNA 2945")</f>
        <v>OSCAR AZNA 2945</v>
      </c>
      <c r="D7674" s="6" t="str">
        <f ca="1">IFERROR(__xludf.DUMMYFUNCTION("""COMPUTED_VALUE"""),"PIRQUE")</f>
        <v>PIRQUE</v>
      </c>
    </row>
    <row r="7675" spans="1:4">
      <c r="A7675" s="7">
        <f ca="1">IFERROR(__xludf.DUMMYFUNCTION("""COMPUTED_VALUE"""),44659)</f>
        <v>44659</v>
      </c>
      <c r="B7675" s="8" t="str">
        <f ca="1">IFERROR(__xludf.DUMMYFUNCTION("""COMPUTED_VALUE"""),"-33.712928,-70.567987")</f>
        <v>-33.712928,-70.567987</v>
      </c>
      <c r="C7675" s="6" t="str">
        <f ca="1">IFERROR(__xludf.DUMMYFUNCTION("""COMPUTED_VALUE"""),"LA RINCONADA 140")</f>
        <v>LA RINCONADA 140</v>
      </c>
      <c r="D7675" s="6" t="str">
        <f ca="1">IFERROR(__xludf.DUMMYFUNCTION("""COMPUTED_VALUE"""),"PIRQUE")</f>
        <v>PIRQUE</v>
      </c>
    </row>
    <row r="7676" spans="1:4">
      <c r="A7676" s="7">
        <f ca="1">IFERROR(__xludf.DUMMYFUNCTION("""COMPUTED_VALUE"""),44659)</f>
        <v>44659</v>
      </c>
      <c r="B7676" s="6" t="str">
        <f ca="1">IFERROR(__xludf.DUMMYFUNCTION("""COMPUTED_VALUE"""),"-33.852965,-70.777929")</f>
        <v>-33.852965,-70.777929</v>
      </c>
      <c r="C7676" s="6" t="str">
        <f ca="1">IFERROR(__xludf.DUMMYFUNCTION("""COMPUTED_VALUE"""),"CO ACULEO 10")</f>
        <v>CO ACULEO 10</v>
      </c>
      <c r="D7676" s="6" t="str">
        <f ca="1">IFERROR(__xludf.DUMMYFUNCTION("""COMPUTED_VALUE"""),"PAINE")</f>
        <v>PAINE</v>
      </c>
    </row>
    <row r="7677" spans="1:4">
      <c r="A7677" s="7">
        <f ca="1">IFERROR(__xludf.DUMMYFUNCTION("""COMPUTED_VALUE"""),44659)</f>
        <v>44659</v>
      </c>
      <c r="B7677" s="6" t="str">
        <f ca="1">IFERROR(__xludf.DUMMYFUNCTION("""COMPUTED_VALUE"""),"-33.852035,-70.766777")</f>
        <v>-33.852035,-70.766777</v>
      </c>
      <c r="C7677" s="6" t="str">
        <f ca="1">IFERROR(__xludf.DUMMYFUNCTION("""COMPUTED_VALUE"""),"NUEVA SIETE 0264")</f>
        <v>NUEVA SIETE 0264</v>
      </c>
      <c r="D7677" s="6" t="str">
        <f ca="1">IFERROR(__xludf.DUMMYFUNCTION("""COMPUTED_VALUE"""),"PAINE")</f>
        <v>PAINE</v>
      </c>
    </row>
    <row r="7678" spans="1:4">
      <c r="A7678" s="7">
        <f ca="1">IFERROR(__xludf.DUMMYFUNCTION("""COMPUTED_VALUE"""),44659)</f>
        <v>44659</v>
      </c>
      <c r="B7678" s="6" t="str">
        <f ca="1">IFERROR(__xludf.DUMMYFUNCTION("""COMPUTED_VALUE"""),"-33.754501,-70.889104")</f>
        <v>-33.754501,-70.889104</v>
      </c>
      <c r="C7678" s="6" t="str">
        <f ca="1">IFERROR(__xludf.DUMMYFUNCTION("""COMPUTED_VALUE"""),"CANELO 460")</f>
        <v>CANELO 460</v>
      </c>
      <c r="D7678" s="6" t="str">
        <f ca="1">IFERROR(__xludf.DUMMYFUNCTION("""COMPUTED_VALUE"""),"ISLA DE MAIPO")</f>
        <v>ISLA DE MAIPO</v>
      </c>
    </row>
    <row r="7679" spans="1:4">
      <c r="A7679" s="7">
        <f ca="1">IFERROR(__xludf.DUMMYFUNCTION("""COMPUTED_VALUE"""),44659)</f>
        <v>44659</v>
      </c>
      <c r="B7679" s="8" t="str">
        <f ca="1">IFERROR(__xludf.DUMMYFUNCTION("""COMPUTED_VALUE"""),"-34.031609,-71.094955")</f>
        <v>-34.031609,-71.094955</v>
      </c>
      <c r="C7679" s="6" t="str">
        <f ca="1">IFERROR(__xludf.DUMMYFUNCTION("""COMPUTED_VALUE"""),"CHACABUCO 253")</f>
        <v>CHACABUCO 253</v>
      </c>
      <c r="D7679" s="6" t="str">
        <f ca="1">IFERROR(__xludf.DUMMYFUNCTION("""COMPUTED_VALUE"""),"ALHUÉ")</f>
        <v>ALHUÉ</v>
      </c>
    </row>
    <row r="7680" spans="1:4">
      <c r="A7680" s="7">
        <f ca="1">IFERROR(__xludf.DUMMYFUNCTION("""COMPUTED_VALUE"""),44659)</f>
        <v>44659</v>
      </c>
      <c r="B7680" s="8" t="str">
        <f ca="1">IFERROR(__xludf.DUMMYFUNCTION("""COMPUTED_VALUE"""),"-33.864586,-70.749378")</f>
        <v>-33.864586,-70.749378</v>
      </c>
      <c r="C7680" s="6" t="str">
        <f ca="1">IFERROR(__xludf.DUMMYFUNCTION("""COMPUTED_VALUE"""),"CAÑAMO 97")</f>
        <v>CAÑAMO 97</v>
      </c>
      <c r="D7680" s="6" t="str">
        <f ca="1">IFERROR(__xludf.DUMMYFUNCTION("""COMPUTED_VALUE"""),"PAINE")</f>
        <v>PAINE</v>
      </c>
    </row>
    <row r="7681" spans="1:4">
      <c r="A7681" s="7">
        <f ca="1">IFERROR(__xludf.DUMMYFUNCTION("""COMPUTED_VALUE"""),44659)</f>
        <v>44659</v>
      </c>
      <c r="B7681" s="8" t="str">
        <f ca="1">IFERROR(__xludf.DUMMYFUNCTION("""COMPUTED_VALUE"""),"-34.032856,-71.104707")</f>
        <v>-34.032856,-71.104707</v>
      </c>
      <c r="C7681" s="6" t="str">
        <f ca="1">IFERROR(__xludf.DUMMYFUNCTION("""COMPUTED_VALUE"""),"CALLE 21 DE MAYO 0783")</f>
        <v>CALLE 21 DE MAYO 0783</v>
      </c>
      <c r="D7681" s="6" t="str">
        <f ca="1">IFERROR(__xludf.DUMMYFUNCTION("""COMPUTED_VALUE"""),"ALHUÉ")</f>
        <v>ALHUÉ</v>
      </c>
    </row>
    <row r="7682" spans="1:4">
      <c r="A7682" s="7">
        <f ca="1">IFERROR(__xludf.DUMMYFUNCTION("""COMPUTED_VALUE"""),44659)</f>
        <v>44659</v>
      </c>
      <c r="B7682" s="8" t="str">
        <f ca="1">IFERROR(__xludf.DUMMYFUNCTION("""COMPUTED_VALUE"""),"-33.884602,-70.725702")</f>
        <v>-33.884602,-70.725702</v>
      </c>
      <c r="C7682" s="6" t="str">
        <f ca="1">IFERROR(__xludf.DUMMYFUNCTION("""COMPUTED_VALUE"""),"EL SAUCE 197")</f>
        <v>EL SAUCE 197</v>
      </c>
      <c r="D7682" s="6" t="str">
        <f ca="1">IFERROR(__xludf.DUMMYFUNCTION("""COMPUTED_VALUE"""),"PAINE")</f>
        <v>PAINE</v>
      </c>
    </row>
    <row r="7683" spans="1:4">
      <c r="A7683" s="7">
        <f ca="1">IFERROR(__xludf.DUMMYFUNCTION("""COMPUTED_VALUE"""),44659)</f>
        <v>44659</v>
      </c>
      <c r="B7683" s="6" t="str">
        <f ca="1">IFERROR(__xludf.DUMMYFUNCTION("""COMPUTED_VALUE"""),"-33.816226,-70.745595")</f>
        <v>-33.816226,-70.745595</v>
      </c>
      <c r="C7683" s="6" t="str">
        <f ca="1">IFERROR(__xludf.DUMMYFUNCTION("""COMPUTED_VALUE"""),"PADRE JORGE 138")</f>
        <v>PADRE JORGE 138</v>
      </c>
      <c r="D7683" s="6" t="str">
        <f ca="1">IFERROR(__xludf.DUMMYFUNCTION("""COMPUTED_VALUE"""),"PAINE")</f>
        <v>PAINE</v>
      </c>
    </row>
    <row r="7684" spans="1:4">
      <c r="A7684" s="7">
        <f ca="1">IFERROR(__xludf.DUMMYFUNCTION("""COMPUTED_VALUE"""),44659)</f>
        <v>44659</v>
      </c>
      <c r="B7684" s="6" t="str">
        <f ca="1">IFERROR(__xludf.DUMMYFUNCTION("""COMPUTED_VALUE"""),"-33.878760,-70.744888")</f>
        <v>-33.878760,-70.744888</v>
      </c>
      <c r="C7684" s="6" t="str">
        <f ca="1">IFERROR(__xludf.DUMMYFUNCTION("""COMPUTED_VALUE"""),"LAS MULAS SITIO 24")</f>
        <v>LAS MULAS SITIO 24</v>
      </c>
      <c r="D7684" s="6" t="str">
        <f ca="1">IFERROR(__xludf.DUMMYFUNCTION("""COMPUTED_VALUE"""),"PAINE")</f>
        <v>PAINE</v>
      </c>
    </row>
    <row r="7685" spans="1:4">
      <c r="A7685" s="7">
        <f ca="1">IFERROR(__xludf.DUMMYFUNCTION("""COMPUTED_VALUE"""),44659)</f>
        <v>44659</v>
      </c>
      <c r="B7685" s="6" t="str">
        <f ca="1">IFERROR(__xludf.DUMMYFUNCTION("""COMPUTED_VALUE"""),"-33.878760,-70.744888")</f>
        <v>-33.878760,-70.744888</v>
      </c>
      <c r="C7685" s="6" t="str">
        <f ca="1">IFERROR(__xludf.DUMMYFUNCTION("""COMPUTED_VALUE"""),"LAS MULAS SITIO 24")</f>
        <v>LAS MULAS SITIO 24</v>
      </c>
      <c r="D7685" s="6" t="str">
        <f ca="1">IFERROR(__xludf.DUMMYFUNCTION("""COMPUTED_VALUE"""),"PAINE")</f>
        <v>PAINE</v>
      </c>
    </row>
    <row r="7686" spans="1:4">
      <c r="A7686" s="7">
        <f ca="1">IFERROR(__xludf.DUMMYFUNCTION("""COMPUTED_VALUE"""),44659)</f>
        <v>44659</v>
      </c>
      <c r="B7686" s="6" t="str">
        <f ca="1">IFERROR(__xludf.DUMMYFUNCTION("""COMPUTED_VALUE"""),"-33.666203,-70.674941")</f>
        <v>-33.666203,-70.674941</v>
      </c>
      <c r="C7686" s="6" t="str">
        <f ca="1">IFERROR(__xludf.DUMMYFUNCTION("""COMPUTED_VALUE"""),"LOS LAUCELES 13")</f>
        <v>LOS LAUCELES 13</v>
      </c>
      <c r="D7686" s="6" t="str">
        <f ca="1">IFERROR(__xludf.DUMMYFUNCTION("""COMPUTED_VALUE"""),"BUIN")</f>
        <v>BUIN</v>
      </c>
    </row>
    <row r="7687" spans="1:4">
      <c r="A7687" s="7">
        <f ca="1">IFERROR(__xludf.DUMMYFUNCTION("""COMPUTED_VALUE"""),44659)</f>
        <v>44659</v>
      </c>
      <c r="B7687" s="6" t="str">
        <f ca="1">IFERROR(__xludf.DUMMYFUNCTION("""COMPUTED_VALUE"""),"-33.790967,-70.780133")</f>
        <v>-33.790967,-70.780133</v>
      </c>
      <c r="C7687" s="6" t="str">
        <f ca="1">IFERROR(__xludf.DUMMYFUNCTION("""COMPUTED_VALUE"""),"SANTA JULIA 4")</f>
        <v>SANTA JULIA 4</v>
      </c>
      <c r="D7687" s="6" t="str">
        <f ca="1">IFERROR(__xludf.DUMMYFUNCTION("""COMPUTED_VALUE"""),"BUIN")</f>
        <v>BUIN</v>
      </c>
    </row>
    <row r="7688" spans="1:4">
      <c r="A7688" s="7">
        <f ca="1">IFERROR(__xludf.DUMMYFUNCTION("""COMPUTED_VALUE"""),44659)</f>
        <v>44659</v>
      </c>
      <c r="B7688" s="6" t="str">
        <f ca="1">IFERROR(__xludf.DUMMYFUNCTION("""COMPUTED_VALUE"""),"-33.805269,-70.732309")</f>
        <v>-33.805269,-70.732309</v>
      </c>
      <c r="C7688" s="6" t="str">
        <f ca="1">IFERROR(__xludf.DUMMYFUNCTION("""COMPUTED_VALUE"""),"EL CANELO 524")</f>
        <v>EL CANELO 524</v>
      </c>
      <c r="D7688" s="6" t="str">
        <f ca="1">IFERROR(__xludf.DUMMYFUNCTION("""COMPUTED_VALUE"""),"PAINE")</f>
        <v>PAINE</v>
      </c>
    </row>
    <row r="7689" spans="1:4">
      <c r="A7689" s="7">
        <f ca="1">IFERROR(__xludf.DUMMYFUNCTION("""COMPUTED_VALUE"""),44659)</f>
        <v>44659</v>
      </c>
      <c r="B7689" s="6" t="str">
        <f ca="1">IFERROR(__xludf.DUMMYFUNCTION("""COMPUTED_VALUE"""),"-33.863946,-70.749985")</f>
        <v>-33.863946,-70.749985</v>
      </c>
      <c r="C7689" s="6" t="str">
        <f ca="1">IFERROR(__xludf.DUMMYFUNCTION("""COMPUTED_VALUE"""),"PASAJE UNO 213")</f>
        <v>PASAJE UNO 213</v>
      </c>
      <c r="D7689" s="6" t="str">
        <f ca="1">IFERROR(__xludf.DUMMYFUNCTION("""COMPUTED_VALUE"""),"PAINE")</f>
        <v>PAINE</v>
      </c>
    </row>
    <row r="7690" spans="1:4">
      <c r="A7690" s="7">
        <f ca="1">IFERROR(__xludf.DUMMYFUNCTION("""COMPUTED_VALUE"""),44659)</f>
        <v>44659</v>
      </c>
      <c r="B7690" s="6" t="str">
        <f ca="1">IFERROR(__xludf.DUMMYFUNCTION("""COMPUTED_VALUE"""),"-33.8245077,-70.6465794")</f>
        <v>-33.8245077,-70.6465794</v>
      </c>
      <c r="C7690" s="6" t="str">
        <f ca="1">IFERROR(__xludf.DUMMYFUNCTION("""COMPUTED_VALUE"""),"LA ESTRELLA 10 HUELQUEN")</f>
        <v>LA ESTRELLA 10 HUELQUEN</v>
      </c>
      <c r="D7690" s="6" t="str">
        <f ca="1">IFERROR(__xludf.DUMMYFUNCTION("""COMPUTED_VALUE"""),"PAINE")</f>
        <v>PAINE</v>
      </c>
    </row>
    <row r="7691" spans="1:4">
      <c r="A7691" s="7">
        <f ca="1">IFERROR(__xludf.DUMMYFUNCTION("""COMPUTED_VALUE"""),44659)</f>
        <v>44659</v>
      </c>
      <c r="B7691" s="6" t="str">
        <f ca="1">IFERROR(__xludf.DUMMYFUNCTION("""COMPUTED_VALUE"""),"-33.8245077,-70.6465794")</f>
        <v>-33.8245077,-70.6465794</v>
      </c>
      <c r="C7691" s="6" t="str">
        <f ca="1">IFERROR(__xludf.DUMMYFUNCTION("""COMPUTED_VALUE"""),"LA ESTRELLA 10 A")</f>
        <v>LA ESTRELLA 10 A</v>
      </c>
      <c r="D7691" s="6" t="str">
        <f ca="1">IFERROR(__xludf.DUMMYFUNCTION("""COMPUTED_VALUE"""),"PAINE")</f>
        <v>PAINE</v>
      </c>
    </row>
    <row r="7692" spans="1:4">
      <c r="A7692" s="7">
        <f ca="1">IFERROR(__xludf.DUMMYFUNCTION("""COMPUTED_VALUE"""),44660)</f>
        <v>44660</v>
      </c>
      <c r="B7692" s="6" t="str">
        <f ca="1">IFERROR(__xludf.DUMMYFUNCTION("""COMPUTED_VALUE"""),"-33.397084-71.128193")</f>
        <v>-33.397084-71.128193</v>
      </c>
      <c r="C7692" s="6" t="str">
        <f ca="1">IFERROR(__xludf.DUMMYFUNCTION("""COMPUTED_VALUE"""),"PRESBITERO MORAGA 609")</f>
        <v>PRESBITERO MORAGA 609</v>
      </c>
      <c r="D7692" s="6" t="str">
        <f ca="1">IFERROR(__xludf.DUMMYFUNCTION("""COMPUTED_VALUE"""),"CURACAVI")</f>
        <v>CURACAVI</v>
      </c>
    </row>
    <row r="7693" spans="1:4">
      <c r="A7693" s="7">
        <f ca="1">IFERROR(__xludf.DUMMYFUNCTION("""COMPUTED_VALUE"""),44660)</f>
        <v>44660</v>
      </c>
      <c r="B7693" s="8" t="str">
        <f ca="1">IFERROR(__xludf.DUMMYFUNCTION("""COMPUTED_VALUE"""),"-33.685725,-70.578112")</f>
        <v>-33.685725,-70.578112</v>
      </c>
      <c r="C7693" s="6" t="str">
        <f ca="1">IFERROR(__xludf.DUMMYFUNCTION("""COMPUTED_VALUE"""),"SANTA TERESA PC.11")</f>
        <v>SANTA TERESA PC.11</v>
      </c>
      <c r="D7693" s="6" t="str">
        <f ca="1">IFERROR(__xludf.DUMMYFUNCTION("""COMPUTED_VALUE"""),"PIRQUE")</f>
        <v>PIRQUE</v>
      </c>
    </row>
    <row r="7694" spans="1:4">
      <c r="A7694" s="7">
        <f ca="1">IFERROR(__xludf.DUMMYFUNCTION("""COMPUTED_VALUE"""),44660)</f>
        <v>44660</v>
      </c>
      <c r="B7694" s="8" t="str">
        <f ca="1">IFERROR(__xludf.DUMMYFUNCTION("""COMPUTED_VALUE"""),"-33.685725,-70.578112")</f>
        <v>-33.685725,-70.578112</v>
      </c>
      <c r="C7694" s="6" t="str">
        <f ca="1">IFERROR(__xludf.DUMMYFUNCTION("""COMPUTED_VALUE"""),"SANTA TERESA PC.11")</f>
        <v>SANTA TERESA PC.11</v>
      </c>
      <c r="D7694" s="6" t="str">
        <f ca="1">IFERROR(__xludf.DUMMYFUNCTION("""COMPUTED_VALUE"""),"PIRQUE")</f>
        <v>PIRQUE</v>
      </c>
    </row>
    <row r="7695" spans="1:4">
      <c r="A7695" s="7">
        <f ca="1">IFERROR(__xludf.DUMMYFUNCTION("""COMPUTED_VALUE"""),44660)</f>
        <v>44660</v>
      </c>
      <c r="B7695" s="6" t="str">
        <f ca="1">IFERROR(__xludf.DUMMYFUNCTION("""COMPUTED_VALUE"""),"-33.029585,-70.693994")</f>
        <v>-33.029585,-70.693994</v>
      </c>
      <c r="C7695" s="6" t="str">
        <f ca="1">IFERROR(__xludf.DUMMYFUNCTION("""COMPUTED_VALUE"""),"LA FRAGUA S/N  LOTE 11")</f>
        <v>LA FRAGUA S/N  LOTE 11</v>
      </c>
      <c r="D7695" s="6" t="str">
        <f ca="1">IFERROR(__xludf.DUMMYFUNCTION("""COMPUTED_VALUE"""),"COLINA")</f>
        <v>COLINA</v>
      </c>
    </row>
    <row r="7696" spans="1:4">
      <c r="A7696" s="7">
        <f ca="1">IFERROR(__xludf.DUMMYFUNCTION("""COMPUTED_VALUE"""),44660)</f>
        <v>44660</v>
      </c>
      <c r="B7696" s="6" t="str">
        <f ca="1">IFERROR(__xludf.DUMMYFUNCTION("""COMPUTED_VALUE"""),"-33.725112,-70.722279")</f>
        <v>-33.725112,-70.722279</v>
      </c>
      <c r="C7696" s="6" t="str">
        <f ca="1">IFERROR(__xludf.DUMMYFUNCTION("""COMPUTED_VALUE"""),"PA  ALFREDO MANZO 458 ")</f>
        <v xml:space="preserve">PA  ALFREDO MANZO 458 </v>
      </c>
      <c r="D7696" s="6" t="str">
        <f ca="1">IFERROR(__xludf.DUMMYFUNCTION("""COMPUTED_VALUE"""),"BUIN")</f>
        <v>BUIN</v>
      </c>
    </row>
    <row r="7697" spans="1:4">
      <c r="A7697" s="7">
        <f ca="1">IFERROR(__xludf.DUMMYFUNCTION("""COMPUTED_VALUE"""),44660)</f>
        <v>44660</v>
      </c>
      <c r="B7697" s="6" t="str">
        <f ca="1">IFERROR(__xludf.DUMMYFUNCTION("""COMPUTED_VALUE"""),"-35.43769,-71.632408")</f>
        <v>-35.43769,-71.632408</v>
      </c>
      <c r="C7697" s="6" t="str">
        <f ca="1">IFERROR(__xludf.DUMMYFUNCTION("""COMPUTED_VALUE"""),"CINCO Y MEDIO  SUR 2918 ")</f>
        <v xml:space="preserve">CINCO Y MEDIO  SUR 2918 </v>
      </c>
      <c r="D7697" s="6" t="str">
        <f ca="1">IFERROR(__xludf.DUMMYFUNCTION("""COMPUTED_VALUE"""),"TALCA")</f>
        <v>TALCA</v>
      </c>
    </row>
    <row r="7698" spans="1:4">
      <c r="A7698" s="7">
        <f ca="1">IFERROR(__xludf.DUMMYFUNCTION("""COMPUTED_VALUE"""),44660)</f>
        <v>44660</v>
      </c>
      <c r="B7698" s="6" t="str">
        <f ca="1">IFERROR(__xludf.DUMMYFUNCTION("""COMPUTED_VALUE"""),"-35.437901,-71.631081")</f>
        <v>-35.437901,-71.631081</v>
      </c>
      <c r="C7698" s="6" t="str">
        <f ca="1">IFERROR(__xludf.DUMMYFUNCTION("""COMPUTED_VALUE"""),"TREINTA ORIENTE 634")</f>
        <v>TREINTA ORIENTE 634</v>
      </c>
      <c r="D7698" s="6" t="str">
        <f ca="1">IFERROR(__xludf.DUMMYFUNCTION("""COMPUTED_VALUE"""),"TALCA")</f>
        <v>TALCA</v>
      </c>
    </row>
    <row r="7699" spans="1:4">
      <c r="A7699" s="7">
        <f ca="1">IFERROR(__xludf.DUMMYFUNCTION("""COMPUTED_VALUE"""),44660)</f>
        <v>44660</v>
      </c>
      <c r="B7699" s="6" t="str">
        <f ca="1">IFERROR(__xludf.DUMMYFUNCTION("""COMPUTED_VALUE"""),"-35.434929,-71.634758")</f>
        <v>-35.434929,-71.634758</v>
      </c>
      <c r="C7699" s="6" t="str">
        <f ca="1">IFERROR(__xludf.DUMMYFUNCTION("""COMPUTED_VALUE"""),"PSJ CUATRO SUR A 2855")</f>
        <v>PSJ CUATRO SUR A 2855</v>
      </c>
      <c r="D7699" s="6" t="str">
        <f ca="1">IFERROR(__xludf.DUMMYFUNCTION("""COMPUTED_VALUE"""),"TALCA")</f>
        <v>TALCA</v>
      </c>
    </row>
    <row r="7700" spans="1:4">
      <c r="A7700" s="7">
        <f ca="1">IFERROR(__xludf.DUMMYFUNCTION("""COMPUTED_VALUE"""),44661)</f>
        <v>44661</v>
      </c>
      <c r="B7700" s="6" t="str">
        <f ca="1">IFERROR(__xludf.DUMMYFUNCTION("""COMPUTED_VALUE"""),"-33.563199-70.819134")</f>
        <v>-33.563199-70.819134</v>
      </c>
      <c r="C7700" s="6" t="str">
        <f ca="1">IFERROR(__xludf.DUMMYFUNCTION("""COMPUTED_VALUE"""),"PRESIDENTE PEDRO AGUIRRECERDA 2206")</f>
        <v>PRESIDENTE PEDRO AGUIRRECERDA 2206</v>
      </c>
      <c r="D7700" s="6" t="str">
        <f ca="1">IFERROR(__xludf.DUMMYFUNCTION("""COMPUTED_VALUE"""),"PADRE HURTADO")</f>
        <v>PADRE HURTADO</v>
      </c>
    </row>
    <row r="7701" spans="1:4">
      <c r="A7701" s="7">
        <f ca="1">IFERROR(__xludf.DUMMYFUNCTION("""COMPUTED_VALUE"""),44661)</f>
        <v>44661</v>
      </c>
      <c r="B7701" s="8" t="str">
        <f ca="1">IFERROR(__xludf.DUMMYFUNCTION("""COMPUTED_VALUE"""),"-33.706577,-70.558416")</f>
        <v>-33.706577,-70.558416</v>
      </c>
      <c r="C7701" s="6" t="str">
        <f ca="1">IFERROR(__xludf.DUMMYFUNCTION("""COMPUTED_VALUE"""),"VILLORRIO EL OLIVAR ")</f>
        <v xml:space="preserve">VILLORRIO EL OLIVAR </v>
      </c>
      <c r="D7701" s="6" t="str">
        <f ca="1">IFERROR(__xludf.DUMMYFUNCTION("""COMPUTED_VALUE"""),"PIRQUE")</f>
        <v>PIRQUE</v>
      </c>
    </row>
    <row r="7702" spans="1:4">
      <c r="A7702" s="7">
        <f ca="1">IFERROR(__xludf.DUMMYFUNCTION("""COMPUTED_VALUE"""),44661)</f>
        <v>44661</v>
      </c>
      <c r="B7702" s="8" t="str">
        <f ca="1">IFERROR(__xludf.DUMMYFUNCTION("""COMPUTED_VALUE"""),"-33.674491,-70.975392")</f>
        <v>-33.674491,-70.975392</v>
      </c>
      <c r="C7702" s="6" t="str">
        <f ca="1">IFERROR(__xludf.DUMMYFUNCTION("""COMPUTED_VALUE"""),"PAMELA VERDUGO 322")</f>
        <v>PAMELA VERDUGO 322</v>
      </c>
      <c r="D7702" s="6" t="str">
        <f ca="1">IFERROR(__xludf.DUMMYFUNCTION("""COMPUTED_VALUE"""),"PIRQUE")</f>
        <v>PIRQUE</v>
      </c>
    </row>
    <row r="7703" spans="1:4">
      <c r="A7703" s="7">
        <f ca="1">IFERROR(__xludf.DUMMYFUNCTION("""COMPUTED_VALUE"""),44661)</f>
        <v>44661</v>
      </c>
      <c r="B7703" s="6" t="str">
        <f ca="1">IFERROR(__xludf.DUMMYFUNCTION("""COMPUTED_VALUE"""),"-35.441897,-71.638206")</f>
        <v>-35.441897,-71.638206</v>
      </c>
      <c r="C7703" s="6" t="str">
        <f ca="1">IFERROR(__xludf.DUMMYFUNCTION("""COMPUTED_VALUE"""),"NUEVE Y MEDIO SUR 2811")</f>
        <v>NUEVE Y MEDIO SUR 2811</v>
      </c>
      <c r="D7703" s="6" t="str">
        <f ca="1">IFERROR(__xludf.DUMMYFUNCTION("""COMPUTED_VALUE"""),"TALCA")</f>
        <v>TALCA</v>
      </c>
    </row>
    <row r="7704" spans="1:4">
      <c r="A7704" s="7">
        <f ca="1">IFERROR(__xludf.DUMMYFUNCTION("""COMPUTED_VALUE"""),44661)</f>
        <v>44661</v>
      </c>
      <c r="B7704" s="6" t="str">
        <f ca="1">IFERROR(__xludf.DUMMYFUNCTION("""COMPUTED_VALUE"""),"-35.410912,-71.637749")</f>
        <v>-35.410912,-71.637749</v>
      </c>
      <c r="C7704" s="6" t="str">
        <f ca="1">IFERROR(__xludf.DUMMYFUNCTION("""COMPUTED_VALUE"""),"TRECE ORIENTE C 3167")</f>
        <v>TRECE ORIENTE C 3167</v>
      </c>
      <c r="D7704" s="6" t="str">
        <f ca="1">IFERROR(__xludf.DUMMYFUNCTION("""COMPUTED_VALUE"""),"TALCA")</f>
        <v>TALCA</v>
      </c>
    </row>
    <row r="7705" spans="1:4">
      <c r="A7705" s="7">
        <f ca="1">IFERROR(__xludf.DUMMYFUNCTION("""COMPUTED_VALUE"""),44661)</f>
        <v>44661</v>
      </c>
      <c r="B7705" s="6" t="str">
        <f ca="1">IFERROR(__xludf.DUMMYFUNCTION("""COMPUTED_VALUE"""),"-35.427513,-71.631523")</f>
        <v>-35.427513,-71.631523</v>
      </c>
      <c r="C7705" s="6" t="str">
        <f ca="1">IFERROR(__xludf.DUMMYFUNCTION("""COMPUTED_VALUE"""),"CUTARO NORTE 3128")</f>
        <v>CUTARO NORTE 3128</v>
      </c>
      <c r="D7705" s="6" t="str">
        <f ca="1">IFERROR(__xludf.DUMMYFUNCTION("""COMPUTED_VALUE"""),"TALCA")</f>
        <v>TALCA</v>
      </c>
    </row>
    <row r="7706" spans="1:4">
      <c r="A7706" s="7">
        <f ca="1">IFERROR(__xludf.DUMMYFUNCTION("""COMPUTED_VALUE"""),44661)</f>
        <v>44661</v>
      </c>
      <c r="B7706" s="6" t="str">
        <f ca="1">IFERROR(__xludf.DUMMYFUNCTION("""COMPUTED_VALUE"""),"-35.426949,-71.626457")</f>
        <v>-35.426949,-71.626457</v>
      </c>
      <c r="C7706" s="6" t="str">
        <f ca="1">IFERROR(__xludf.DUMMYFUNCTION("""COMPUTED_VALUE"""),"CINCO Y MEDUIO NORTE 3384")</f>
        <v>CINCO Y MEDUIO NORTE 3384</v>
      </c>
      <c r="D7706" s="6" t="str">
        <f ca="1">IFERROR(__xludf.DUMMYFUNCTION("""COMPUTED_VALUE"""),"TALCA")</f>
        <v>TALCA</v>
      </c>
    </row>
    <row r="7707" spans="1:4">
      <c r="A7707" s="7">
        <f ca="1">IFERROR(__xludf.DUMMYFUNCTION("""COMPUTED_VALUE"""),44662)</f>
        <v>44662</v>
      </c>
      <c r="B7707" s="8" t="str">
        <f ca="1">IFERROR(__xludf.DUMMYFUNCTION("""COMPUTED_VALUE"""),"33840484-70801788")</f>
        <v>33840484-70801788</v>
      </c>
      <c r="C7707" s="6" t="str">
        <f ca="1">IFERROR(__xludf.DUMMYFUNCTION("""COMPUTED_VALUE"""),"VINCULO 360,")</f>
        <v>VINCULO 360,</v>
      </c>
      <c r="D7707" s="6" t="str">
        <f ca="1">IFERROR(__xludf.DUMMYFUNCTION("""COMPUTED_VALUE"""),"PAINE")</f>
        <v>PAINE</v>
      </c>
    </row>
    <row r="7708" spans="1:4">
      <c r="A7708" s="7">
        <f ca="1">IFERROR(__xludf.DUMMYFUNCTION("""COMPUTED_VALUE"""),44662)</f>
        <v>44662</v>
      </c>
      <c r="B7708" s="8" t="str">
        <f ca="1">IFERROR(__xludf.DUMMYFUNCTION("""COMPUTED_VALUE"""),"33848649-70646583")</f>
        <v>33848649-70646583</v>
      </c>
      <c r="C7708" s="6" t="str">
        <f ca="1">IFERROR(__xludf.DUMMYFUNCTION("""COMPUTED_VALUE"""),"CARDONAL ALTO 10")</f>
        <v>CARDONAL ALTO 10</v>
      </c>
      <c r="D7708" s="6" t="str">
        <f ca="1">IFERROR(__xludf.DUMMYFUNCTION("""COMPUTED_VALUE"""),"PAINE")</f>
        <v>PAINE</v>
      </c>
    </row>
    <row r="7709" spans="1:4">
      <c r="A7709" s="7">
        <f ca="1">IFERROR(__xludf.DUMMYFUNCTION("""COMPUTED_VALUE"""),44662)</f>
        <v>44662</v>
      </c>
      <c r="B7709" s="8" t="str">
        <f ca="1">IFERROR(__xludf.DUMMYFUNCTION("""COMPUTED_VALUE"""),"33733289-70907933")</f>
        <v>33733289-70907933</v>
      </c>
      <c r="C7709" s="6" t="str">
        <f ca="1">IFERROR(__xludf.DUMMYFUNCTION("""COMPUTED_VALUE"""),"LA HIGUERA 1090")</f>
        <v>LA HIGUERA 1090</v>
      </c>
      <c r="D7709" s="6" t="str">
        <f ca="1">IFERROR(__xludf.DUMMYFUNCTION("""COMPUTED_VALUE"""),"ISLA DE MAIPO")</f>
        <v>ISLA DE MAIPO</v>
      </c>
    </row>
    <row r="7710" spans="1:4">
      <c r="A7710" s="7">
        <f ca="1">IFERROR(__xludf.DUMMYFUNCTION("""COMPUTED_VALUE"""),44662)</f>
        <v>44662</v>
      </c>
      <c r="B7710" s="8" t="str">
        <f ca="1">IFERROR(__xludf.DUMMYFUNCTION("""COMPUTED_VALUE"""),"33733525-70907161")</f>
        <v>33733525-70907161</v>
      </c>
      <c r="C7710" s="6" t="str">
        <f ca="1">IFERROR(__xludf.DUMMYFUNCTION("""COMPUTED_VALUE"""),"LA HIGUERA 1175")</f>
        <v>LA HIGUERA 1175</v>
      </c>
      <c r="D7710" s="6" t="str">
        <f ca="1">IFERROR(__xludf.DUMMYFUNCTION("""COMPUTED_VALUE"""),"ISLA DE MAIPO")</f>
        <v>ISLA DE MAIPO</v>
      </c>
    </row>
    <row r="7711" spans="1:4">
      <c r="A7711" s="7">
        <f ca="1">IFERROR(__xludf.DUMMYFUNCTION("""COMPUTED_VALUE"""),44662)</f>
        <v>44662</v>
      </c>
      <c r="B7711" s="6" t="str">
        <f ca="1">IFERROR(__xludf.DUMMYFUNCTION("""COMPUTED_VALUE"""),"-33.735785-70.556370")</f>
        <v>-33.735785-70.556370</v>
      </c>
      <c r="C7711" s="6" t="str">
        <f ca="1">IFERROR(__xludf.DUMMYFUNCTION("""COMPUTED_VALUE"""),"CAMINO LA VEGA 29")</f>
        <v>CAMINO LA VEGA 29</v>
      </c>
      <c r="D7711" s="6" t="str">
        <f ca="1">IFERROR(__xludf.DUMMYFUNCTION("""COMPUTED_VALUE"""),"PIRQUE")</f>
        <v>PIRQUE</v>
      </c>
    </row>
    <row r="7712" spans="1:4">
      <c r="A7712" s="7">
        <f ca="1">IFERROR(__xludf.DUMMYFUNCTION("""COMPUTED_VALUE"""),44662)</f>
        <v>44662</v>
      </c>
      <c r="B7712" s="6" t="str">
        <f ca="1">IFERROR(__xludf.DUMMYFUNCTION("""COMPUTED_VALUE"""),"-33.704635-70.54573")</f>
        <v>-33.704635-70.54573</v>
      </c>
      <c r="C7712" s="6" t="str">
        <f ca="1">IFERROR(__xludf.DUMMYFUNCTION("""COMPUTED_VALUE"""),"ORILLA DEL RIO 156")</f>
        <v>ORILLA DEL RIO 156</v>
      </c>
      <c r="D7712" s="6" t="str">
        <f ca="1">IFERROR(__xludf.DUMMYFUNCTION("""COMPUTED_VALUE"""),"PIRQUE")</f>
        <v>PIRQUE</v>
      </c>
    </row>
    <row r="7713" spans="1:4">
      <c r="A7713" s="7">
        <f ca="1">IFERROR(__xludf.DUMMYFUNCTION("""COMPUTED_VALUE"""),44662)</f>
        <v>44662</v>
      </c>
      <c r="B7713" s="6" t="str">
        <f ca="1">IFERROR(__xludf.DUMMYFUNCTION("""COMPUTED_VALUE"""),"-33.594795-70.868670")</f>
        <v>-33.594795-70.868670</v>
      </c>
      <c r="C7713" s="6" t="str">
        <f ca="1">IFERROR(__xludf.DUMMYFUNCTION("""COMPUTED_VALUE"""),"LOS PAJARITOS 2575")</f>
        <v>LOS PAJARITOS 2575</v>
      </c>
      <c r="D7713" s="6" t="str">
        <f ca="1">IFERROR(__xludf.DUMMYFUNCTION("""COMPUTED_VALUE"""),"PEÑAFLOR")</f>
        <v>PEÑAFLOR</v>
      </c>
    </row>
    <row r="7714" spans="1:4">
      <c r="A7714" s="7">
        <f ca="1">IFERROR(__xludf.DUMMYFUNCTION("""COMPUTED_VALUE"""),44662)</f>
        <v>44662</v>
      </c>
      <c r="B7714" s="6" t="str">
        <f ca="1">IFERROR(__xludf.DUMMYFUNCTION("""COMPUTED_VALUE"""),"-33.594455-70.868680")</f>
        <v>-33.594455-70.868680</v>
      </c>
      <c r="C7714" s="6" t="str">
        <f ca="1">IFERROR(__xludf.DUMMYFUNCTION("""COMPUTED_VALUE"""),"LOS PAJARITOS 2575")</f>
        <v>LOS PAJARITOS 2575</v>
      </c>
      <c r="D7714" s="6" t="str">
        <f ca="1">IFERROR(__xludf.DUMMYFUNCTION("""COMPUTED_VALUE"""),"PEÑAFLOR")</f>
        <v>PEÑAFLOR</v>
      </c>
    </row>
    <row r="7715" spans="1:4">
      <c r="A7715" s="7">
        <f ca="1">IFERROR(__xludf.DUMMYFUNCTION("""COMPUTED_VALUE"""),44662)</f>
        <v>44662</v>
      </c>
      <c r="B7715" s="8" t="str">
        <f ca="1">IFERROR(__xludf.DUMMYFUNCTION("""COMPUTED_VALUE"""),"-33.703999,-70.563839")</f>
        <v>-33.703999,-70.563839</v>
      </c>
      <c r="C7715" s="6" t="str">
        <f ca="1">IFERROR(__xludf.DUMMYFUNCTION("""COMPUTED_VALUE"""),"CALLE NUEVA 34C")</f>
        <v>CALLE NUEVA 34C</v>
      </c>
      <c r="D7715" s="6" t="str">
        <f ca="1">IFERROR(__xludf.DUMMYFUNCTION("""COMPUTED_VALUE"""),"PIRQUE")</f>
        <v>PIRQUE</v>
      </c>
    </row>
    <row r="7716" spans="1:4">
      <c r="A7716" s="7">
        <f ca="1">IFERROR(__xludf.DUMMYFUNCTION("""COMPUTED_VALUE"""),44662)</f>
        <v>44662</v>
      </c>
      <c r="B7716" s="8" t="str">
        <f ca="1">IFERROR(__xludf.DUMMYFUNCTION("""COMPUTED_VALUE"""),"-33.720407,-70.555098")</f>
        <v>-33.720407,-70.555098</v>
      </c>
      <c r="C7716" s="6" t="str">
        <f ca="1">IFERROR(__xludf.DUMMYFUNCTION("""COMPUTED_VALUE"""),"LUIS NAVARRETE SITIO 121H")</f>
        <v>LUIS NAVARRETE SITIO 121H</v>
      </c>
      <c r="D7716" s="6" t="str">
        <f ca="1">IFERROR(__xludf.DUMMYFUNCTION("""COMPUTED_VALUE"""),"PIRQUE")</f>
        <v>PIRQUE</v>
      </c>
    </row>
    <row r="7717" spans="1:4">
      <c r="A7717" s="7">
        <f ca="1">IFERROR(__xludf.DUMMYFUNCTION("""COMPUTED_VALUE"""),44662)</f>
        <v>44662</v>
      </c>
      <c r="B7717" s="8" t="str">
        <f ca="1">IFERROR(__xludf.DUMMYFUNCTION("""COMPUTED_VALUE"""),"-33.722415,-70.548539")</f>
        <v>-33.722415,-70.548539</v>
      </c>
      <c r="C7717" s="6" t="str">
        <f ca="1">IFERROR(__xludf.DUMMYFUNCTION("""COMPUTED_VALUE"""),"LA ESCUELA 72")</f>
        <v>LA ESCUELA 72</v>
      </c>
      <c r="D7717" s="6" t="str">
        <f ca="1">IFERROR(__xludf.DUMMYFUNCTION("""COMPUTED_VALUE"""),"PIRQUE")</f>
        <v>PIRQUE</v>
      </c>
    </row>
    <row r="7718" spans="1:4">
      <c r="A7718" s="7">
        <f ca="1">IFERROR(__xludf.DUMMYFUNCTION("""COMPUTED_VALUE"""),44662)</f>
        <v>44662</v>
      </c>
      <c r="B7718" s="6" t="str">
        <f ca="1">IFERROR(__xludf.DUMMYFUNCTION("""COMPUTED_VALUE"""),"-33.677520,-71321891")</f>
        <v>-33.677520,-71321891</v>
      </c>
      <c r="C7718" s="6" t="str">
        <f ca="1">IFERROR(__xludf.DUMMYFUNCTION("""COMPUTED_VALUE"""),"PUANGUE 13")</f>
        <v>PUANGUE 13</v>
      </c>
      <c r="D7718" s="6" t="str">
        <f ca="1">IFERROR(__xludf.DUMMYFUNCTION("""COMPUTED_VALUE"""),"MELIPILLA")</f>
        <v>MELIPILLA</v>
      </c>
    </row>
    <row r="7719" spans="1:4">
      <c r="A7719" s="7">
        <f ca="1">IFERROR(__xludf.DUMMYFUNCTION("""COMPUTED_VALUE"""),44662)</f>
        <v>44662</v>
      </c>
      <c r="B7719" s="6" t="str">
        <f ca="1">IFERROR(__xludf.DUMMYFUNCTION("""COMPUTED_VALUE"""),"-33.677520,-71321891")</f>
        <v>-33.677520,-71321891</v>
      </c>
      <c r="C7719" s="6" t="str">
        <f ca="1">IFERROR(__xludf.DUMMYFUNCTION("""COMPUTED_VALUE"""),"PUANGUE 13")</f>
        <v>PUANGUE 13</v>
      </c>
      <c r="D7719" s="6" t="str">
        <f ca="1">IFERROR(__xludf.DUMMYFUNCTION("""COMPUTED_VALUE"""),"MELIPILLA")</f>
        <v>MELIPILLA</v>
      </c>
    </row>
    <row r="7720" spans="1:4">
      <c r="A7720" s="7">
        <f ca="1">IFERROR(__xludf.DUMMYFUNCTION("""COMPUTED_VALUE"""),44662)</f>
        <v>44662</v>
      </c>
      <c r="B7720" s="6" t="str">
        <f ca="1">IFERROR(__xludf.DUMMYFUNCTION("""COMPUTED_VALUE"""),"-33.677520,-71.321891")</f>
        <v>-33.677520,-71.321891</v>
      </c>
      <c r="C7720" s="6" t="str">
        <f ca="1">IFERROR(__xludf.DUMMYFUNCTION("""COMPUTED_VALUE"""),"PUANGUE 13")</f>
        <v>PUANGUE 13</v>
      </c>
      <c r="D7720" s="6" t="str">
        <f ca="1">IFERROR(__xludf.DUMMYFUNCTION("""COMPUTED_VALUE"""),"MELIPILLA")</f>
        <v>MELIPILLA</v>
      </c>
    </row>
    <row r="7721" spans="1:4">
      <c r="A7721" s="7">
        <f ca="1">IFERROR(__xludf.DUMMYFUNCTION("""COMPUTED_VALUE"""),44662)</f>
        <v>44662</v>
      </c>
      <c r="B7721" s="6" t="str">
        <f ca="1">IFERROR(__xludf.DUMMYFUNCTION("""COMPUTED_VALUE"""),"-33.727534,-70.988827")</f>
        <v>-33.727534,-70.988827</v>
      </c>
      <c r="C7721" s="6" t="str">
        <f ca="1">IFERROR(__xludf.DUMMYFUNCTION("""COMPUTED_VALUE"""),"SAN ANTONIO DE NALTAHUA 7742")</f>
        <v>SAN ANTONIO DE NALTAHUA 7742</v>
      </c>
      <c r="D7721" s="6" t="str">
        <f ca="1">IFERROR(__xludf.DUMMYFUNCTION("""COMPUTED_VALUE"""),"ISLA DE MAIPO")</f>
        <v>ISLA DE MAIPO</v>
      </c>
    </row>
    <row r="7722" spans="1:4">
      <c r="A7722" s="7">
        <f ca="1">IFERROR(__xludf.DUMMYFUNCTION("""COMPUTED_VALUE"""),44662)</f>
        <v>44662</v>
      </c>
      <c r="B7722" s="6" t="str">
        <f ca="1">IFERROR(__xludf.DUMMYFUNCTION("""COMPUTED_VALUE"""),"-33.717940,-70.847797")</f>
        <v>-33.717940,-70.847797</v>
      </c>
      <c r="C7722" s="6" t="str">
        <f ca="1">IFERROR(__xludf.DUMMYFUNCTION("""COMPUTED_VALUE"""),"CO EL RECREO 796 ")</f>
        <v xml:space="preserve">CO EL RECREO 796 </v>
      </c>
      <c r="D7722" s="6" t="str">
        <f ca="1">IFERROR(__xludf.DUMMYFUNCTION("""COMPUTED_VALUE"""),"ISLA DE MAIPO")</f>
        <v>ISLA DE MAIPO</v>
      </c>
    </row>
    <row r="7723" spans="1:4">
      <c r="A7723" s="7">
        <f ca="1">IFERROR(__xludf.DUMMYFUNCTION("""COMPUTED_VALUE"""),44662)</f>
        <v>44662</v>
      </c>
      <c r="B7723" s="8" t="str">
        <f ca="1">IFERROR(__xludf.DUMMYFUNCTION("""COMPUTED_VALUE"""),"-33.769850,-71.199199")</f>
        <v>-33.769850,-71.199199</v>
      </c>
      <c r="C7723" s="6" t="str">
        <f ca="1">IFERROR(__xludf.DUMMYFUNCTION("""COMPUTED_VALUE"""),"LAS PARCELAS SITIO 30 PABELLON ")</f>
        <v xml:space="preserve">LAS PARCELAS SITIO 30 PABELLON </v>
      </c>
      <c r="D7723" s="6" t="str">
        <f ca="1">IFERROR(__xludf.DUMMYFUNCTION("""COMPUTED_VALUE"""),"MELIPILLA")</f>
        <v>MELIPILLA</v>
      </c>
    </row>
    <row r="7724" spans="1:4">
      <c r="A7724" s="7">
        <f ca="1">IFERROR(__xludf.DUMMYFUNCTION("""COMPUTED_VALUE"""),44662)</f>
        <v>44662</v>
      </c>
      <c r="B7724" s="8" t="str">
        <f ca="1">IFERROR(__xludf.DUMMYFUNCTION("""COMPUTED_VALUE"""),"-33.803568,-70.734263")</f>
        <v>-33.803568,-70.734263</v>
      </c>
      <c r="C7724" s="6" t="str">
        <f ca="1">IFERROR(__xludf.DUMMYFUNCTION("""COMPUTED_VALUE"""),"EL PEUMO 433")</f>
        <v>EL PEUMO 433</v>
      </c>
      <c r="D7724" s="6" t="str">
        <f ca="1">IFERROR(__xludf.DUMMYFUNCTION("""COMPUTED_VALUE"""),"PAINE")</f>
        <v>PAINE</v>
      </c>
    </row>
    <row r="7725" spans="1:4">
      <c r="A7725" s="7">
        <f ca="1">IFERROR(__xludf.DUMMYFUNCTION("""COMPUTED_VALUE"""),44662)</f>
        <v>44662</v>
      </c>
      <c r="B7725" s="8" t="str">
        <f ca="1">IFERROR(__xludf.DUMMYFUNCTION("""COMPUTED_VALUE"""),"-33.771313.-71.199682")</f>
        <v>-33.771313.-71.199682</v>
      </c>
      <c r="C7725" s="6" t="str">
        <f ca="1">IFERROR(__xludf.DUMMYFUNCTION("""COMPUTED_VALUE"""),"LOTE 30 C PABELLON ")</f>
        <v xml:space="preserve">LOTE 30 C PABELLON </v>
      </c>
      <c r="D7725" s="6" t="str">
        <f ca="1">IFERROR(__xludf.DUMMYFUNCTION("""COMPUTED_VALUE"""),"MELIPILLA")</f>
        <v>MELIPILLA</v>
      </c>
    </row>
    <row r="7726" spans="1:4">
      <c r="A7726" s="7">
        <f ca="1">IFERROR(__xludf.DUMMYFUNCTION("""COMPUTED_VALUE"""),44662)</f>
        <v>44662</v>
      </c>
      <c r="B7726" s="8" t="str">
        <f ca="1">IFERROR(__xludf.DUMMYFUNCTION("""COMPUTED_VALUE"""),"-33.816427,-70.715797")</f>
        <v>-33.816427,-70.715797</v>
      </c>
      <c r="C7726" s="6" t="str">
        <f ca="1">IFERROR(__xludf.DUMMYFUNCTION("""COMPUTED_VALUE"""),"PARCELA PAULA JARAQUEMADA SITIO 7")</f>
        <v>PARCELA PAULA JARAQUEMADA SITIO 7</v>
      </c>
      <c r="D7726" s="6" t="str">
        <f ca="1">IFERROR(__xludf.DUMMYFUNCTION("""COMPUTED_VALUE"""),"PAINE")</f>
        <v>PAINE</v>
      </c>
    </row>
    <row r="7727" spans="1:4">
      <c r="A7727" s="7">
        <f ca="1">IFERROR(__xludf.DUMMYFUNCTION("""COMPUTED_VALUE"""),44662)</f>
        <v>44662</v>
      </c>
      <c r="B7727" s="6" t="str">
        <f ca="1">IFERROR(__xludf.DUMMYFUNCTION("""COMPUTED_VALUE"""),"-33.803350,-70.731024")</f>
        <v>-33.803350,-70.731024</v>
      </c>
      <c r="C7727" s="6" t="str">
        <f ca="1">IFERROR(__xludf.DUMMYFUNCTION("""COMPUTED_VALUE"""),"FRANCISCO GODOY ROMAN 625")</f>
        <v>FRANCISCO GODOY ROMAN 625</v>
      </c>
      <c r="D7727" s="6" t="str">
        <f ca="1">IFERROR(__xludf.DUMMYFUNCTION("""COMPUTED_VALUE"""),"PAINE")</f>
        <v>PAINE</v>
      </c>
    </row>
    <row r="7728" spans="1:4">
      <c r="A7728" s="7">
        <f ca="1">IFERROR(__xludf.DUMMYFUNCTION("""COMPUTED_VALUE"""),44662)</f>
        <v>44662</v>
      </c>
      <c r="B7728" s="6" t="str">
        <f ca="1">IFERROR(__xludf.DUMMYFUNCTION("""COMPUTED_VALUE"""),"-33.803682,-70.717616")</f>
        <v>-33.803682,-70.717616</v>
      </c>
      <c r="C7728" s="6" t="str">
        <f ca="1">IFERROR(__xludf.DUMMYFUNCTION("""COMPUTED_VALUE""")," LOS BOLDOS 1845")</f>
        <v xml:space="preserve"> LOS BOLDOS 1845</v>
      </c>
      <c r="D7728" s="6" t="str">
        <f ca="1">IFERROR(__xludf.DUMMYFUNCTION("""COMPUTED_VALUE"""),"PAINE")</f>
        <v>PAINE</v>
      </c>
    </row>
    <row r="7729" spans="1:4">
      <c r="A7729" s="7">
        <f ca="1">IFERROR(__xludf.DUMMYFUNCTION("""COMPUTED_VALUE"""),44662)</f>
        <v>44662</v>
      </c>
      <c r="B7729" s="6" t="str">
        <f ca="1">IFERROR(__xludf.DUMMYFUNCTION("""COMPUTED_VALUE"""),"-33.877808,-70.742467")</f>
        <v>-33.877808,-70.742467</v>
      </c>
      <c r="C7729" s="6" t="str">
        <f ca="1">IFERROR(__xludf.DUMMYFUNCTION("""COMPUTED_VALUE"""),"COLONIAS KENNEDY 33")</f>
        <v>COLONIAS KENNEDY 33</v>
      </c>
      <c r="D7729" s="6" t="str">
        <f ca="1">IFERROR(__xludf.DUMMYFUNCTION("""COMPUTED_VALUE"""),"PAINE")</f>
        <v>PAINE</v>
      </c>
    </row>
    <row r="7730" spans="1:4">
      <c r="A7730" s="7">
        <f ca="1">IFERROR(__xludf.DUMMYFUNCTION("""COMPUTED_VALUE"""),44662)</f>
        <v>44662</v>
      </c>
      <c r="B7730" s="6" t="str">
        <f ca="1">IFERROR(__xludf.DUMMYFUNCTION("""COMPUTED_VALUE"""),"-33.8215030,-70.7428970")</f>
        <v>-33.8215030,-70.7428970</v>
      </c>
      <c r="C7730" s="6" t="str">
        <f ca="1">IFERROR(__xludf.DUMMYFUNCTION("""COMPUTED_VALUE"""),"LAS ARAUCARIAS 1741")</f>
        <v>LAS ARAUCARIAS 1741</v>
      </c>
      <c r="D7730" s="6" t="str">
        <f ca="1">IFERROR(__xludf.DUMMYFUNCTION("""COMPUTED_VALUE"""),"PAINE")</f>
        <v>PAINE</v>
      </c>
    </row>
    <row r="7731" spans="1:4">
      <c r="A7731" s="7">
        <f ca="1">IFERROR(__xludf.DUMMYFUNCTION("""COMPUTED_VALUE"""),44662)</f>
        <v>44662</v>
      </c>
      <c r="B7731" s="6" t="str">
        <f ca="1">IFERROR(__xludf.DUMMYFUNCTION("""COMPUTED_VALUE"""),"-33.856336,-70.753035")</f>
        <v>-33.856336,-70.753035</v>
      </c>
      <c r="C7731" s="6" t="str">
        <f ca="1">IFERROR(__xludf.DUMMYFUNCTION("""COMPUTED_VALUE"""),"LOS AROMOS 123, LOTE C")</f>
        <v>LOS AROMOS 123, LOTE C</v>
      </c>
      <c r="D7731" s="6" t="str">
        <f ca="1">IFERROR(__xludf.DUMMYFUNCTION("""COMPUTED_VALUE"""),"PAINE")</f>
        <v>PAINE</v>
      </c>
    </row>
    <row r="7732" spans="1:4">
      <c r="A7732" s="7">
        <f ca="1">IFERROR(__xludf.DUMMYFUNCTION("""COMPUTED_VALUE"""),44662)</f>
        <v>44662</v>
      </c>
      <c r="B7732" s="6" t="str">
        <f ca="1">IFERROR(__xludf.DUMMYFUNCTION("""COMPUTED_VALUE"""),"-33.856434,-70.753215")</f>
        <v>-33.856434,-70.753215</v>
      </c>
      <c r="C7732" s="6" t="str">
        <f ca="1">IFERROR(__xludf.DUMMYFUNCTION("""COMPUTED_VALUE"""),"LOS AROMOS 123, EL HUERTO LOTE C")</f>
        <v>LOS AROMOS 123, EL HUERTO LOTE C</v>
      </c>
      <c r="D7732" s="6" t="str">
        <f ca="1">IFERROR(__xludf.DUMMYFUNCTION("""COMPUTED_VALUE"""),"PAINE")</f>
        <v>PAINE</v>
      </c>
    </row>
    <row r="7733" spans="1:4">
      <c r="A7733" s="7">
        <f ca="1">IFERROR(__xludf.DUMMYFUNCTION("""COMPUTED_VALUE"""),44663)</f>
        <v>44663</v>
      </c>
      <c r="B7733" s="8" t="str">
        <f ca="1">IFERROR(__xludf.DUMMYFUNCTION("""COMPUTED_VALUE"""),"33860179-70636926")</f>
        <v>33860179-70636926</v>
      </c>
      <c r="C7733" s="6" t="str">
        <f ca="1">IFERROR(__xludf.DUMMYFUNCTION("""COMPUTED_VALUE"""),"PADRE HURTADO 17")</f>
        <v>PADRE HURTADO 17</v>
      </c>
      <c r="D7733" s="6" t="str">
        <f ca="1">IFERROR(__xludf.DUMMYFUNCTION("""COMPUTED_VALUE"""),"PAINE")</f>
        <v>PAINE</v>
      </c>
    </row>
    <row r="7734" spans="1:4">
      <c r="A7734" s="7">
        <f ca="1">IFERROR(__xludf.DUMMYFUNCTION("""COMPUTED_VALUE"""),44663)</f>
        <v>44663</v>
      </c>
      <c r="B7734" s="8" t="str">
        <f ca="1">IFERROR(__xludf.DUMMYFUNCTION("""COMPUTED_VALUE"""),"33735963-71016270")</f>
        <v>33735963-71016270</v>
      </c>
      <c r="C7734" s="6" t="str">
        <f ca="1">IFERROR(__xludf.DUMMYFUNCTION("""COMPUTED_VALUE"""),"SAN ANTONIO DE NALTAGUA S/N")</f>
        <v>SAN ANTONIO DE NALTAGUA S/N</v>
      </c>
      <c r="D7734" s="6" t="str">
        <f ca="1">IFERROR(__xludf.DUMMYFUNCTION("""COMPUTED_VALUE"""),"ISLA DE MAIPO")</f>
        <v>ISLA DE MAIPO</v>
      </c>
    </row>
    <row r="7735" spans="1:4">
      <c r="A7735" s="7">
        <f ca="1">IFERROR(__xludf.DUMMYFUNCTION("""COMPUTED_VALUE"""),44663)</f>
        <v>44663</v>
      </c>
      <c r="B7735" s="8" t="str">
        <f ca="1">IFERROR(__xludf.DUMMYFUNCTION("""COMPUTED_VALUE"""),"33842653-70637153")</f>
        <v>33842653-70637153</v>
      </c>
      <c r="C7735" s="6" t="str">
        <f ca="1">IFERROR(__xludf.DUMMYFUNCTION("""COMPUTED_VALUE"""),"SAN ISIDRO CARDONAL SITIO 5 Y 6")</f>
        <v>SAN ISIDRO CARDONAL SITIO 5 Y 6</v>
      </c>
      <c r="D7735" s="6" t="str">
        <f ca="1">IFERROR(__xludf.DUMMYFUNCTION("""COMPUTED_VALUE"""),"PAINE")</f>
        <v>PAINE</v>
      </c>
    </row>
    <row r="7736" spans="1:4">
      <c r="A7736" s="7">
        <f ca="1">IFERROR(__xludf.DUMMYFUNCTION("""COMPUTED_VALUE"""),44663)</f>
        <v>44663</v>
      </c>
      <c r="B7736" s="8" t="str">
        <f ca="1">IFERROR(__xludf.DUMMYFUNCTION("""COMPUTED_VALUE"""),"33839391-70641810")</f>
        <v>33839391-70641810</v>
      </c>
      <c r="C7736" s="6" t="str">
        <f ca="1">IFERROR(__xludf.DUMMYFUNCTION("""COMPUTED_VALUE"""),"VICTORIA CAMPESINA 23")</f>
        <v>VICTORIA CAMPESINA 23</v>
      </c>
      <c r="D7736" s="6" t="str">
        <f ca="1">IFERROR(__xludf.DUMMYFUNCTION("""COMPUTED_VALUE"""),"PAINE")</f>
        <v>PAINE</v>
      </c>
    </row>
    <row r="7737" spans="1:4">
      <c r="A7737" s="7">
        <f ca="1">IFERROR(__xludf.DUMMYFUNCTION("""COMPUTED_VALUE"""),44663)</f>
        <v>44663</v>
      </c>
      <c r="B7737" s="8" t="str">
        <f ca="1">IFERROR(__xludf.DUMMYFUNCTION("""COMPUTED_VALUE"""),"33730641-70910156")</f>
        <v>33730641-70910156</v>
      </c>
      <c r="C7737" s="6" t="str">
        <f ca="1">IFERROR(__xludf.DUMMYFUNCTION("""COMPUTED_VALUE"""),"GACITUA 590")</f>
        <v>GACITUA 590</v>
      </c>
      <c r="D7737" s="6" t="str">
        <f ca="1">IFERROR(__xludf.DUMMYFUNCTION("""COMPUTED_VALUE"""),"ISLA DE MAIPO")</f>
        <v>ISLA DE MAIPO</v>
      </c>
    </row>
    <row r="7738" spans="1:4">
      <c r="A7738" s="7">
        <f ca="1">IFERROR(__xludf.DUMMYFUNCTION("""COMPUTED_VALUE"""),44663)</f>
        <v>44663</v>
      </c>
      <c r="B7738" s="6" t="str">
        <f ca="1">IFERROR(__xludf.DUMMYFUNCTION("""COMPUTED_VALUE"""),"-33.655494-71.276831")</f>
        <v>-33.655494-71.276831</v>
      </c>
      <c r="C7738" s="6" t="str">
        <f ca="1">IFERROR(__xludf.DUMMYFUNCTION("""COMPUTED_VALUE"""),"SANTA ROSA 27")</f>
        <v>SANTA ROSA 27</v>
      </c>
      <c r="D7738" s="6" t="str">
        <f ca="1">IFERROR(__xludf.DUMMYFUNCTION("""COMPUTED_VALUE"""),"MELIPILLA")</f>
        <v>MELIPILLA</v>
      </c>
    </row>
    <row r="7739" spans="1:4">
      <c r="A7739" s="7">
        <f ca="1">IFERROR(__xludf.DUMMYFUNCTION("""COMPUTED_VALUE"""),44663)</f>
        <v>44663</v>
      </c>
      <c r="B7739" s="6" t="str">
        <f ca="1">IFERROR(__xludf.DUMMYFUNCTION("""COMPUTED_VALUE"""),"-33.655331-71.276852")</f>
        <v>-33.655331-71.276852</v>
      </c>
      <c r="C7739" s="6" t="str">
        <f ca="1">IFERROR(__xludf.DUMMYFUNCTION("""COMPUTED_VALUE"""),"SANTA ROSA 27")</f>
        <v>SANTA ROSA 27</v>
      </c>
      <c r="D7739" s="6" t="str">
        <f ca="1">IFERROR(__xludf.DUMMYFUNCTION("""COMPUTED_VALUE"""),"MELIPILLA")</f>
        <v>MELIPILLA</v>
      </c>
    </row>
    <row r="7740" spans="1:4">
      <c r="A7740" s="7">
        <f ca="1">IFERROR(__xludf.DUMMYFUNCTION("""COMPUTED_VALUE"""),44663)</f>
        <v>44663</v>
      </c>
      <c r="B7740" s="6" t="str">
        <f ca="1">IFERROR(__xludf.DUMMYFUNCTION("""COMPUTED_VALUE"""),"-33.783145-70.236700")</f>
        <v>-33.783145-70.236700</v>
      </c>
      <c r="C7740" s="6" t="str">
        <f ca="1">IFERROR(__xludf.DUMMYFUNCTION("""COMPUTED_VALUE"""),"LOS RODADOS 41603")</f>
        <v>LOS RODADOS 41603</v>
      </c>
      <c r="D7740" s="6" t="str">
        <f ca="1">IFERROR(__xludf.DUMMYFUNCTION("""COMPUTED_VALUE"""),"SAN JOSE DE MAIPO")</f>
        <v>SAN JOSE DE MAIPO</v>
      </c>
    </row>
    <row r="7741" spans="1:4">
      <c r="A7741" s="7">
        <f ca="1">IFERROR(__xludf.DUMMYFUNCTION("""COMPUTED_VALUE"""),44663)</f>
        <v>44663</v>
      </c>
      <c r="B7741" s="6" t="str">
        <f ca="1">IFERROR(__xludf.DUMMYFUNCTION("""COMPUTED_VALUE"""),"-33.630925-70.350660")</f>
        <v>-33.630925-70.350660</v>
      </c>
      <c r="C7741" s="6" t="str">
        <f ca="1">IFERROR(__xludf.DUMMYFUNCTION("""COMPUTED_VALUE"""),"COMERCIO 18714")</f>
        <v>COMERCIO 18714</v>
      </c>
      <c r="D7741" s="6" t="str">
        <f ca="1">IFERROR(__xludf.DUMMYFUNCTION("""COMPUTED_VALUE"""),"SAN JOSE DE MAIPO")</f>
        <v>SAN JOSE DE MAIPO</v>
      </c>
    </row>
    <row r="7742" spans="1:4">
      <c r="A7742" s="7">
        <f ca="1">IFERROR(__xludf.DUMMYFUNCTION("""COMPUTED_VALUE"""),44663)</f>
        <v>44663</v>
      </c>
      <c r="B7742" s="6" t="str">
        <f ca="1">IFERROR(__xludf.DUMMYFUNCTION("""COMPUTED_VALUE"""),"-33.605035-70.866640")</f>
        <v>-33.605035-70.866640</v>
      </c>
      <c r="C7742" s="6" t="str">
        <f ca="1">IFERROR(__xludf.DUMMYFUNCTION("""COMPUTED_VALUE"""),"EL PUYARAL 546")</f>
        <v>EL PUYARAL 546</v>
      </c>
      <c r="D7742" s="6" t="str">
        <f ca="1">IFERROR(__xludf.DUMMYFUNCTION("""COMPUTED_VALUE"""),"PEÑAFLOR")</f>
        <v>PEÑAFLOR</v>
      </c>
    </row>
    <row r="7743" spans="1:4">
      <c r="A7743" s="7">
        <f ca="1">IFERROR(__xludf.DUMMYFUNCTION("""COMPUTED_VALUE"""),44663)</f>
        <v>44663</v>
      </c>
      <c r="B7743" s="6" t="str">
        <f ca="1">IFERROR(__xludf.DUMMYFUNCTION("""COMPUTED_VALUE"""),"-33.560730-71.023501")</f>
        <v>-33.560730-71.023501</v>
      </c>
      <c r="C7743" s="6" t="str">
        <f ca="1">IFERROR(__xludf.DUMMYFUNCTION("""COMPUTED_VALUE"""),"UNION CHILENA S/N")</f>
        <v>UNION CHILENA S/N</v>
      </c>
      <c r="D7743" s="6" t="str">
        <f ca="1">IFERROR(__xludf.DUMMYFUNCTION("""COMPUTED_VALUE"""),"CURACAVI")</f>
        <v>CURACAVI</v>
      </c>
    </row>
    <row r="7744" spans="1:4">
      <c r="A7744" s="7">
        <f ca="1">IFERROR(__xludf.DUMMYFUNCTION("""COMPUTED_VALUE"""),44663)</f>
        <v>44663</v>
      </c>
      <c r="B7744" s="6" t="str">
        <f ca="1">IFERROR(__xludf.DUMMYFUNCTION("""COMPUTED_VALUE"""),"-33.560730-71.023501")</f>
        <v>-33.560730-71.023501</v>
      </c>
      <c r="C7744" s="6" t="str">
        <f ca="1">IFERROR(__xludf.DUMMYFUNCTION("""COMPUTED_VALUE"""),"CERRILLOS 13")</f>
        <v>CERRILLOS 13</v>
      </c>
      <c r="D7744" s="6" t="str">
        <f ca="1">IFERROR(__xludf.DUMMYFUNCTION("""COMPUTED_VALUE"""),"CURACAVI")</f>
        <v>CURACAVI</v>
      </c>
    </row>
    <row r="7745" spans="1:4">
      <c r="A7745" s="7">
        <f ca="1">IFERROR(__xludf.DUMMYFUNCTION("""COMPUTED_VALUE"""),44663)</f>
        <v>44663</v>
      </c>
      <c r="B7745" s="6" t="str">
        <f ca="1">IFERROR(__xludf.DUMMYFUNCTION("""COMPUTED_VALUE"""),"-33.460745-71.024040")</f>
        <v>-33.460745-71.024040</v>
      </c>
      <c r="C7745" s="6" t="str">
        <f ca="1">IFERROR(__xludf.DUMMYFUNCTION("""COMPUTED_VALUE"""),"BATALLA SAN JUAN S P-10")</f>
        <v>BATALLA SAN JUAN S P-10</v>
      </c>
      <c r="D7745" s="6" t="str">
        <f ca="1">IFERROR(__xludf.DUMMYFUNCTION("""COMPUTED_VALUE"""),"CURACAVI")</f>
        <v>CURACAVI</v>
      </c>
    </row>
    <row r="7746" spans="1:4">
      <c r="A7746" s="7">
        <f ca="1">IFERROR(__xludf.DUMMYFUNCTION("""COMPUTED_VALUE"""),44663)</f>
        <v>44663</v>
      </c>
      <c r="B7746" s="6" t="str">
        <f ca="1">IFERROR(__xludf.DUMMYFUNCTION("""COMPUTED_VALUE"""),"-33.407904-71.148283")</f>
        <v>-33.407904-71.148283</v>
      </c>
      <c r="C7746" s="6" t="str">
        <f ca="1">IFERROR(__xludf.DUMMYFUNCTION("""COMPUTED_VALUE"""),"PASAJE EL MOSTO 120")</f>
        <v>PASAJE EL MOSTO 120</v>
      </c>
      <c r="D7746" s="6" t="str">
        <f ca="1">IFERROR(__xludf.DUMMYFUNCTION("""COMPUTED_VALUE"""),"CURACAVI")</f>
        <v>CURACAVI</v>
      </c>
    </row>
    <row r="7747" spans="1:4">
      <c r="A7747" s="7">
        <f ca="1">IFERROR(__xludf.DUMMYFUNCTION("""COMPUTED_VALUE"""),44663)</f>
        <v>44663</v>
      </c>
      <c r="B7747" s="8" t="str">
        <f ca="1">IFERROR(__xludf.DUMMYFUNCTION("""COMPUTED_VALUE"""),"-33.628713,-70.576763")</f>
        <v>-33.628713,-70.576763</v>
      </c>
      <c r="C7747" s="6" t="str">
        <f ca="1">IFERROR(__xludf.DUMMYFUNCTION("""COMPUTED_VALUE"""),"TOCORNAL 44 VILLA SAN RAMON ")</f>
        <v xml:space="preserve">TOCORNAL 44 VILLA SAN RAMON </v>
      </c>
      <c r="D7747" s="6" t="str">
        <f ca="1">IFERROR(__xludf.DUMMYFUNCTION("""COMPUTED_VALUE"""),"PIRQUE")</f>
        <v>PIRQUE</v>
      </c>
    </row>
    <row r="7748" spans="1:4">
      <c r="A7748" s="7">
        <f ca="1">IFERROR(__xludf.DUMMYFUNCTION("""COMPUTED_VALUE"""),44663)</f>
        <v>44663</v>
      </c>
      <c r="B7748" s="8" t="str">
        <f ca="1">IFERROR(__xludf.DUMMYFUNCTION("""COMPUTED_VALUE"""),"-33.728804,-70.553982")</f>
        <v>-33.728804,-70.553982</v>
      </c>
      <c r="C7748" s="6" t="str">
        <f ca="1">IFERROR(__xludf.DUMMYFUNCTION("""COMPUTED_VALUE"""),"LOS CORRALES 94")</f>
        <v>LOS CORRALES 94</v>
      </c>
      <c r="D7748" s="6" t="str">
        <f ca="1">IFERROR(__xludf.DUMMYFUNCTION("""COMPUTED_VALUE"""),"PIRQUE")</f>
        <v>PIRQUE</v>
      </c>
    </row>
    <row r="7749" spans="1:4">
      <c r="A7749" s="7">
        <f ca="1">IFERROR(__xludf.DUMMYFUNCTION("""COMPUTED_VALUE"""),44663)</f>
        <v>44663</v>
      </c>
      <c r="B7749" s="6" t="str">
        <f ca="1">IFERROR(__xludf.DUMMYFUNCTION("""COMPUTED_VALUE"""),"-33.730771,-71.1866021")</f>
        <v>-33.730771,-71.1866021</v>
      </c>
      <c r="C7749" s="6" t="str">
        <f ca="1">IFERROR(__xludf.DUMMYFUNCTION("""COMPUTED_VALUE"""),"CARMEN BAJO S/N CV 116 C BAJO")</f>
        <v>CARMEN BAJO S/N CV 116 C BAJO</v>
      </c>
      <c r="D7749" s="6" t="str">
        <f ca="1">IFERROR(__xludf.DUMMYFUNCTION("""COMPUTED_VALUE"""),"MELIPILLA")</f>
        <v>MELIPILLA</v>
      </c>
    </row>
    <row r="7750" spans="1:4">
      <c r="A7750" s="7">
        <f ca="1">IFERROR(__xludf.DUMMYFUNCTION("""COMPUTED_VALUE"""),44663)</f>
        <v>44663</v>
      </c>
      <c r="B7750" s="6" t="str">
        <f ca="1">IFERROR(__xludf.DUMMYFUNCTION("""COMPUTED_VALUE"""),"-33.873621,-70.744025")</f>
        <v>-33.873621,-70.744025</v>
      </c>
      <c r="C7750" s="6" t="str">
        <f ca="1">IFERROR(__xludf.DUMMYFUNCTION("""COMPUTED_VALUE"""),"DIEGO  PORTALES  SUR S/N PAR COLONIA KENNEDY HUERTO 26")</f>
        <v>DIEGO  PORTALES  SUR S/N PAR COLONIA KENNEDY HUERTO 26</v>
      </c>
      <c r="D7750" s="6" t="str">
        <f ca="1">IFERROR(__xludf.DUMMYFUNCTION("""COMPUTED_VALUE"""),"PAINE")</f>
        <v>PAINE</v>
      </c>
    </row>
    <row r="7751" spans="1:4">
      <c r="A7751" s="7">
        <f ca="1">IFERROR(__xludf.DUMMYFUNCTION("""COMPUTED_VALUE"""),44663)</f>
        <v>44663</v>
      </c>
      <c r="B7751" s="8" t="str">
        <f ca="1">IFERROR(__xludf.DUMMYFUNCTION("""COMPUTED_VALUE"""),"-33.803265,-70.700463")</f>
        <v>-33.803265,-70.700463</v>
      </c>
      <c r="C7751" s="6" t="str">
        <f ca="1">IFERROR(__xludf.DUMMYFUNCTION("""COMPUTED_VALUE"""),"AVENIDA 18 DE SEPTIEMBRE")</f>
        <v>AVENIDA 18 DE SEPTIEMBRE</v>
      </c>
      <c r="D7751" s="6" t="str">
        <f ca="1">IFERROR(__xludf.DUMMYFUNCTION("""COMPUTED_VALUE"""),"PAINE")</f>
        <v>PAINE</v>
      </c>
    </row>
    <row r="7752" spans="1:4">
      <c r="A7752" s="7">
        <f ca="1">IFERROR(__xludf.DUMMYFUNCTION("""COMPUTED_VALUE"""),44663)</f>
        <v>44663</v>
      </c>
      <c r="B7752" s="8" t="str">
        <f ca="1">IFERROR(__xludf.DUMMYFUNCTION("""COMPUTED_VALUE"""),"-33.794570,-70.735685")</f>
        <v>-33.794570,-70.735685</v>
      </c>
      <c r="C7752" s="6" t="str">
        <f ca="1">IFERROR(__xludf.DUMMYFUNCTION("""COMPUTED_VALUE"""),"LOS ACACIOS 327")</f>
        <v>LOS ACACIOS 327</v>
      </c>
      <c r="D7752" s="6" t="str">
        <f ca="1">IFERROR(__xludf.DUMMYFUNCTION("""COMPUTED_VALUE"""),"PAINE")</f>
        <v>PAINE</v>
      </c>
    </row>
    <row r="7753" spans="1:4">
      <c r="A7753" s="7">
        <f ca="1">IFERROR(__xludf.DUMMYFUNCTION("""COMPUTED_VALUE"""),44663)</f>
        <v>44663</v>
      </c>
      <c r="B7753" s="8" t="str">
        <f ca="1">IFERROR(__xludf.DUMMYFUNCTION("""COMPUTED_VALUE"""),"-33.989808,-71.502317")</f>
        <v>-33.989808,-71.502317</v>
      </c>
      <c r="C7753" s="6" t="str">
        <f ca="1">IFERROR(__xludf.DUMMYFUNCTION("""COMPUTED_VALUE"""),"ALTOS DE POPETA S/N")</f>
        <v>ALTOS DE POPETA S/N</v>
      </c>
      <c r="D7753" s="6" t="str">
        <f ca="1">IFERROR(__xludf.DUMMYFUNCTION("""COMPUTED_VALUE"""),"MELIPILLA")</f>
        <v>MELIPILLA</v>
      </c>
    </row>
    <row r="7754" spans="1:4">
      <c r="A7754" s="7">
        <f ca="1">IFERROR(__xludf.DUMMYFUNCTION("""COMPUTED_VALUE"""),44663)</f>
        <v>44663</v>
      </c>
      <c r="B7754" s="8" t="str">
        <f ca="1">IFERROR(__xludf.DUMMYFUNCTION("""COMPUTED_VALUE"""),"-33.586264,-71.234851")</f>
        <v>-33.586264,-71.234851</v>
      </c>
      <c r="C7754" s="6" t="str">
        <f ca="1">IFERROR(__xludf.DUMMYFUNCTION("""COMPUTED_VALUE"""),"SANTA FILOMENA S/N")</f>
        <v>SANTA FILOMENA S/N</v>
      </c>
      <c r="D7754" s="6" t="str">
        <f ca="1">IFERROR(__xludf.DUMMYFUNCTION("""COMPUTED_VALUE"""),"MELIPILLA")</f>
        <v>MELIPILLA</v>
      </c>
    </row>
    <row r="7755" spans="1:4">
      <c r="A7755" s="7">
        <f ca="1">IFERROR(__xludf.DUMMYFUNCTION("""COMPUTED_VALUE"""),44663)</f>
        <v>44663</v>
      </c>
      <c r="B7755" s="6" t="str">
        <f ca="1">IFERROR(__xludf.DUMMYFUNCTION("""COMPUTED_VALUE"""),"-33.805645,-70.737808")</f>
        <v>-33.805645,-70.737808</v>
      </c>
      <c r="C7755" s="6" t="str">
        <f ca="1">IFERROR(__xludf.DUMMYFUNCTION("""COMPUTED_VALUE"""),"JOSE PEPE FUENTES 316")</f>
        <v>JOSE PEPE FUENTES 316</v>
      </c>
      <c r="D7755" s="6" t="str">
        <f ca="1">IFERROR(__xludf.DUMMYFUNCTION("""COMPUTED_VALUE"""),"PAINE")</f>
        <v>PAINE</v>
      </c>
    </row>
    <row r="7756" spans="1:4">
      <c r="A7756" s="7">
        <f ca="1">IFERROR(__xludf.DUMMYFUNCTION("""COMPUTED_VALUE"""),44663)</f>
        <v>44663</v>
      </c>
      <c r="B7756" s="6" t="str">
        <f ca="1">IFERROR(__xludf.DUMMYFUNCTION("""COMPUTED_VALUE"""),"-33.878907,-70.745136")</f>
        <v>-33.878907,-70.745136</v>
      </c>
      <c r="C7756" s="6" t="str">
        <f ca="1">IFERROR(__xludf.DUMMYFUNCTION("""COMPUTED_VALUE"""),"LECHO DEL RIO C-1, COLONIA KENNEDY")</f>
        <v>LECHO DEL RIO C-1, COLONIA KENNEDY</v>
      </c>
      <c r="D7756" s="6" t="str">
        <f ca="1">IFERROR(__xludf.DUMMYFUNCTION("""COMPUTED_VALUE"""),"PAINE")</f>
        <v>PAINE</v>
      </c>
    </row>
    <row r="7757" spans="1:4">
      <c r="A7757" s="7">
        <f ca="1">IFERROR(__xludf.DUMMYFUNCTION("""COMPUTED_VALUE"""),44663)</f>
        <v>44663</v>
      </c>
      <c r="B7757" s="6" t="str">
        <f ca="1">IFERROR(__xludf.DUMMYFUNCTION("""COMPUTED_VALUE"""),"-33.879050,-70.909950")</f>
        <v>-33.879050,-70.909950</v>
      </c>
      <c r="C7757" s="6" t="str">
        <f ca="1">IFERROR(__xludf.DUMMYFUNCTION("""COMPUTED_VALUE"""),"ALFONSO LETELIER PC39 LT6")</f>
        <v>ALFONSO LETELIER PC39 LT6</v>
      </c>
      <c r="D7757" s="6" t="str">
        <f ca="1">IFERROR(__xludf.DUMMYFUNCTION("""COMPUTED_VALUE"""),"PAINE")</f>
        <v>PAINE</v>
      </c>
    </row>
    <row r="7758" spans="1:4">
      <c r="A7758" s="7">
        <f ca="1">IFERROR(__xludf.DUMMYFUNCTION("""COMPUTED_VALUE"""),44663)</f>
        <v>44663</v>
      </c>
      <c r="B7758" s="6" t="str">
        <f ca="1">IFERROR(__xludf.DUMMYFUNCTION("""COMPUTED_VALUE"""),"-33.872460,-70.741653")</f>
        <v>-33.872460,-70.741653</v>
      </c>
      <c r="C7758" s="6" t="str">
        <f ca="1">IFERROR(__xludf.DUMMYFUNCTION("""COMPUTED_VALUE"""),"LAS BODEGAS SUR HUERTO 7")</f>
        <v>LAS BODEGAS SUR HUERTO 7</v>
      </c>
      <c r="D7758" s="6" t="str">
        <f ca="1">IFERROR(__xludf.DUMMYFUNCTION("""COMPUTED_VALUE"""),"PAINE")</f>
        <v>PAINE</v>
      </c>
    </row>
    <row r="7759" spans="1:4">
      <c r="A7759" s="7">
        <f ca="1">IFERROR(__xludf.DUMMYFUNCTION("""COMPUTED_VALUE"""),44663)</f>
        <v>44663</v>
      </c>
      <c r="B7759" s="6" t="str">
        <f ca="1">IFERROR(__xludf.DUMMYFUNCTION("""COMPUTED_VALUE"""),"-33.872797,-70.742450")</f>
        <v>-33.872797,-70.742450</v>
      </c>
      <c r="C7759" s="6" t="str">
        <f ca="1">IFERROR(__xludf.DUMMYFUNCTION("""COMPUTED_VALUE"""),"LAS BODEGAS SUR HUERTO 7 SITIO 5")</f>
        <v>LAS BODEGAS SUR HUERTO 7 SITIO 5</v>
      </c>
      <c r="D7759" s="6" t="str">
        <f ca="1">IFERROR(__xludf.DUMMYFUNCTION("""COMPUTED_VALUE"""),"PAINE")</f>
        <v>PAINE</v>
      </c>
    </row>
    <row r="7760" spans="1:4">
      <c r="A7760" s="7">
        <f ca="1">IFERROR(__xludf.DUMMYFUNCTION("""COMPUTED_VALUE"""),44663)</f>
        <v>44663</v>
      </c>
      <c r="B7760" s="6" t="str">
        <f ca="1">IFERROR(__xludf.DUMMYFUNCTION("""COMPUTED_VALUE"""),"-33.8245077,-70.6465794")</f>
        <v>-33.8245077,-70.6465794</v>
      </c>
      <c r="C7760" s="6" t="str">
        <f ca="1">IFERROR(__xludf.DUMMYFUNCTION("""COMPUTED_VALUE"""),"LA ESTRELLA 10B")</f>
        <v>LA ESTRELLA 10B</v>
      </c>
      <c r="D7760" s="6" t="str">
        <f ca="1">IFERROR(__xludf.DUMMYFUNCTION("""COMPUTED_VALUE"""),"PAINE")</f>
        <v>PAINE</v>
      </c>
    </row>
    <row r="7761" spans="1:4">
      <c r="A7761" s="7">
        <f ca="1">IFERROR(__xludf.DUMMYFUNCTION("""COMPUTED_VALUE"""),44664)</f>
        <v>44664</v>
      </c>
      <c r="B7761" s="8" t="str">
        <f ca="1">IFERROR(__xludf.DUMMYFUNCTION("""COMPUTED_VALUE"""),"33733150-70906714")</f>
        <v>33733150-70906714</v>
      </c>
      <c r="C7761" s="6" t="str">
        <f ca="1">IFERROR(__xludf.DUMMYFUNCTION("""COMPUTED_VALUE"""),"EL MANZANO 1175")</f>
        <v>EL MANZANO 1175</v>
      </c>
      <c r="D7761" s="6" t="str">
        <f ca="1">IFERROR(__xludf.DUMMYFUNCTION("""COMPUTED_VALUE"""),"ISLA DE MAIPO")</f>
        <v>ISLA DE MAIPO</v>
      </c>
    </row>
    <row r="7762" spans="1:4">
      <c r="A7762" s="7">
        <f ca="1">IFERROR(__xludf.DUMMYFUNCTION("""COMPUTED_VALUE"""),44664)</f>
        <v>44664</v>
      </c>
      <c r="B7762" s="8" t="str">
        <f ca="1">IFERROR(__xludf.DUMMYFUNCTION("""COMPUTED_VALUE"""),"33734259-70906065")</f>
        <v>33734259-70906065</v>
      </c>
      <c r="C7762" s="6" t="str">
        <f ca="1">IFERROR(__xludf.DUMMYFUNCTION("""COMPUTED_VALUE"""),"LO PRADO 680")</f>
        <v>LO PRADO 680</v>
      </c>
      <c r="D7762" s="6" t="str">
        <f ca="1">IFERROR(__xludf.DUMMYFUNCTION("""COMPUTED_VALUE"""),"ISLA DE MAIPO")</f>
        <v>ISLA DE MAIPO</v>
      </c>
    </row>
    <row r="7763" spans="1:4">
      <c r="A7763" s="7">
        <f ca="1">IFERROR(__xludf.DUMMYFUNCTION("""COMPUTED_VALUE"""),44664)</f>
        <v>44664</v>
      </c>
      <c r="B7763" s="8" t="str">
        <f ca="1">IFERROR(__xludf.DUMMYFUNCTION("""COMPUTED_VALUE"""),"33733240-70904814")</f>
        <v>33733240-70904814</v>
      </c>
      <c r="C7763" s="6" t="str">
        <f ca="1">IFERROR(__xludf.DUMMYFUNCTION("""COMPUTED_VALUE"""),"LA HIGUERA 1150")</f>
        <v>LA HIGUERA 1150</v>
      </c>
      <c r="D7763" s="6" t="str">
        <f ca="1">IFERROR(__xludf.DUMMYFUNCTION("""COMPUTED_VALUE"""),"ISLA DE MAIPO")</f>
        <v>ISLA DE MAIPO</v>
      </c>
    </row>
    <row r="7764" spans="1:4">
      <c r="A7764" s="7">
        <f ca="1">IFERROR(__xludf.DUMMYFUNCTION("""COMPUTED_VALUE"""),44664)</f>
        <v>44664</v>
      </c>
      <c r="B7764" s="8" t="str">
        <f ca="1">IFERROR(__xludf.DUMMYFUNCTION("""COMPUTED_VALUE"""),"33733525-70907161")</f>
        <v>33733525-70907161</v>
      </c>
      <c r="C7764" s="6" t="str">
        <f ca="1">IFERROR(__xludf.DUMMYFUNCTION("""COMPUTED_VALUE"""),"LA HIGUERA 1185,")</f>
        <v>LA HIGUERA 1185,</v>
      </c>
      <c r="D7764" s="6" t="str">
        <f ca="1">IFERROR(__xludf.DUMMYFUNCTION("""COMPUTED_VALUE"""),"ISLA DE MAIPO")</f>
        <v>ISLA DE MAIPO</v>
      </c>
    </row>
    <row r="7765" spans="1:4">
      <c r="A7765" s="7">
        <f ca="1">IFERROR(__xludf.DUMMYFUNCTION("""COMPUTED_VALUE"""),44664)</f>
        <v>44664</v>
      </c>
      <c r="B7765" s="8" t="str">
        <f ca="1">IFERROR(__xludf.DUMMYFUNCTION("""COMPUTED_VALUE"""),"33840842-70802573")</f>
        <v>33840842-70802573</v>
      </c>
      <c r="C7765" s="6" t="str">
        <f ca="1">IFERROR(__xludf.DUMMYFUNCTION("""COMPUTED_VALUE"""),"MlGUEL LETELIER 17,")</f>
        <v>MlGUEL LETELIER 17,</v>
      </c>
      <c r="D7765" s="6" t="str">
        <f ca="1">IFERROR(__xludf.DUMMYFUNCTION("""COMPUTED_VALUE"""),"PAINE")</f>
        <v>PAINE</v>
      </c>
    </row>
    <row r="7766" spans="1:4">
      <c r="A7766" s="7">
        <f ca="1">IFERROR(__xludf.DUMMYFUNCTION("""COMPUTED_VALUE"""),44664)</f>
        <v>44664</v>
      </c>
      <c r="B7766" s="8" t="str">
        <f ca="1">IFERROR(__xludf.DUMMYFUNCTION("""COMPUTED_VALUE"""),"33849127-70646395")</f>
        <v>33849127-70646395</v>
      </c>
      <c r="C7766" s="6" t="str">
        <f ca="1">IFERROR(__xludf.DUMMYFUNCTION("""COMPUTED_VALUE"""),"CARDONAL ALTO 20,")</f>
        <v>CARDONAL ALTO 20,</v>
      </c>
      <c r="D7766" s="6" t="str">
        <f ca="1">IFERROR(__xludf.DUMMYFUNCTION("""COMPUTED_VALUE"""),"PAINE")</f>
        <v>PAINE</v>
      </c>
    </row>
    <row r="7767" spans="1:4">
      <c r="A7767" s="7">
        <f ca="1">IFERROR(__xludf.DUMMYFUNCTION("""COMPUTED_VALUE"""),44664)</f>
        <v>44664</v>
      </c>
      <c r="B7767" s="6" t="str">
        <f ca="1">IFERROR(__xludf.DUMMYFUNCTION("""COMPUTED_VALUE"""),"-33.714755-70.550120")</f>
        <v>-33.714755-70.550120</v>
      </c>
      <c r="C7767" s="6" t="str">
        <f ca="1">IFERROR(__xludf.DUMMYFUNCTION("""COMPUTED_VALUE"""),"EL PRINCIPAL 55")</f>
        <v>EL PRINCIPAL 55</v>
      </c>
      <c r="D7767" s="6" t="str">
        <f ca="1">IFERROR(__xludf.DUMMYFUNCTION("""COMPUTED_VALUE"""),"PIRQUE")</f>
        <v>PIRQUE</v>
      </c>
    </row>
    <row r="7768" spans="1:4">
      <c r="A7768" s="7">
        <f ca="1">IFERROR(__xludf.DUMMYFUNCTION("""COMPUTED_VALUE"""),44664)</f>
        <v>44664</v>
      </c>
      <c r="B7768" s="6" t="str">
        <f ca="1">IFERROR(__xludf.DUMMYFUNCTION("""COMPUTED_VALUE"""),"-33.714755-70.550120")</f>
        <v>-33.714755-70.550120</v>
      </c>
      <c r="C7768" s="6" t="str">
        <f ca="1">IFERROR(__xludf.DUMMYFUNCTION("""COMPUTED_VALUE"""),"EL PRINCIPAL 55")</f>
        <v>EL PRINCIPAL 55</v>
      </c>
      <c r="D7768" s="6" t="str">
        <f ca="1">IFERROR(__xludf.DUMMYFUNCTION("""COMPUTED_VALUE"""),"PIRQUE")</f>
        <v>PIRQUE</v>
      </c>
    </row>
    <row r="7769" spans="1:4">
      <c r="A7769" s="7">
        <f ca="1">IFERROR(__xludf.DUMMYFUNCTION("""COMPUTED_VALUE"""),44664)</f>
        <v>44664</v>
      </c>
      <c r="B7769" s="6" t="str">
        <f ca="1">IFERROR(__xludf.DUMMYFUNCTION("""COMPUTED_VALUE"""),"-33.682302-70.999551")</f>
        <v>-33.682302-70.999551</v>
      </c>
      <c r="C7769" s="6" t="str">
        <f ca="1">IFERROR(__xludf.DUMMYFUNCTION("""COMPUTED_VALUE"""),"EL ROBLE 64")</f>
        <v>EL ROBLE 64</v>
      </c>
      <c r="D7769" s="6" t="str">
        <f ca="1">IFERROR(__xludf.DUMMYFUNCTION("""COMPUTED_VALUE"""),"EL MONTE")</f>
        <v>EL MONTE</v>
      </c>
    </row>
    <row r="7770" spans="1:4">
      <c r="A7770" s="7">
        <f ca="1">IFERROR(__xludf.DUMMYFUNCTION("""COMPUTED_VALUE"""),44664)</f>
        <v>44664</v>
      </c>
      <c r="B7770" s="6" t="str">
        <f ca="1">IFERROR(__xludf.DUMMYFUNCTION("""COMPUTED_VALUE"""),"-33.680808-70.991604")</f>
        <v>-33.680808-70.991604</v>
      </c>
      <c r="C7770" s="6" t="str">
        <f ca="1">IFERROR(__xludf.DUMMYFUNCTION("""COMPUTED_VALUE"""),"MANUEL RODRIGUEZ 680")</f>
        <v>MANUEL RODRIGUEZ 680</v>
      </c>
      <c r="D7770" s="6" t="str">
        <f ca="1">IFERROR(__xludf.DUMMYFUNCTION("""COMPUTED_VALUE"""),"EL MONTE")</f>
        <v>EL MONTE</v>
      </c>
    </row>
    <row r="7771" spans="1:4">
      <c r="A7771" s="7">
        <f ca="1">IFERROR(__xludf.DUMMYFUNCTION("""COMPUTED_VALUE"""),44664)</f>
        <v>44664</v>
      </c>
      <c r="B7771" s="6" t="str">
        <f ca="1">IFERROR(__xludf.DUMMYFUNCTION("""COMPUTED_VALUE"""),"-33.669848-71.206876")</f>
        <v>-33.669848-71.206876</v>
      </c>
      <c r="C7771" s="6" t="str">
        <f ca="1">IFERROR(__xludf.DUMMYFUNCTION("""COMPUTED_VALUE"""),"OSTOLAZAS 505")</f>
        <v>OSTOLAZAS 505</v>
      </c>
      <c r="D7771" s="6" t="str">
        <f ca="1">IFERROR(__xludf.DUMMYFUNCTION("""COMPUTED_VALUE"""),"MELIPILLA")</f>
        <v>MELIPILLA</v>
      </c>
    </row>
    <row r="7772" spans="1:4">
      <c r="A7772" s="7">
        <f ca="1">IFERROR(__xludf.DUMMYFUNCTION("""COMPUTED_VALUE"""),44664)</f>
        <v>44664</v>
      </c>
      <c r="B7772" s="6" t="str">
        <f ca="1">IFERROR(__xludf.DUMMYFUNCTION("""COMPUTED_VALUE"""),"-33.669848-71.206876")</f>
        <v>-33.669848-71.206876</v>
      </c>
      <c r="C7772" s="6" t="str">
        <f ca="1">IFERROR(__xludf.DUMMYFUNCTION("""COMPUTED_VALUE"""),"OSTOLAZAS 505")</f>
        <v>OSTOLAZAS 505</v>
      </c>
      <c r="D7772" s="6" t="str">
        <f ca="1">IFERROR(__xludf.DUMMYFUNCTION("""COMPUTED_VALUE"""),"MELIPILLA")</f>
        <v>MELIPILLA</v>
      </c>
    </row>
    <row r="7773" spans="1:4">
      <c r="A7773" s="7">
        <f ca="1">IFERROR(__xludf.DUMMYFUNCTION("""COMPUTED_VALUE"""),44664)</f>
        <v>44664</v>
      </c>
      <c r="B7773" s="6" t="str">
        <f ca="1">IFERROR(__xludf.DUMMYFUNCTION("""COMPUTED_VALUE"""),"-33.669848-71.206876")</f>
        <v>-33.669848-71.206876</v>
      </c>
      <c r="C7773" s="6" t="str">
        <f ca="1">IFERROR(__xludf.DUMMYFUNCTION("""COMPUTED_VALUE"""),"OSTOLAZAS 505")</f>
        <v>OSTOLAZAS 505</v>
      </c>
      <c r="D7773" s="6" t="str">
        <f ca="1">IFERROR(__xludf.DUMMYFUNCTION("""COMPUTED_VALUE"""),"MELIPILLA")</f>
        <v>MELIPILLA</v>
      </c>
    </row>
    <row r="7774" spans="1:4">
      <c r="A7774" s="7">
        <f ca="1">IFERROR(__xludf.DUMMYFUNCTION("""COMPUTED_VALUE"""),44664)</f>
        <v>44664</v>
      </c>
      <c r="B7774" s="8" t="str">
        <f ca="1">IFERROR(__xludf.DUMMYFUNCTION("""COMPUTED_VALUE"""),"-33.728911,-70.554182")</f>
        <v>-33.728911,-70.554182</v>
      </c>
      <c r="C7774" s="6" t="str">
        <f ca="1">IFERROR(__xludf.DUMMYFUNCTION("""COMPUTED_VALUE"""),"LOS CORRALES 94")</f>
        <v>LOS CORRALES 94</v>
      </c>
      <c r="D7774" s="6" t="str">
        <f ca="1">IFERROR(__xludf.DUMMYFUNCTION("""COMPUTED_VALUE"""),"PIRQUE")</f>
        <v>PIRQUE</v>
      </c>
    </row>
    <row r="7775" spans="1:4">
      <c r="A7775" s="7">
        <f ca="1">IFERROR(__xludf.DUMMYFUNCTION("""COMPUTED_VALUE"""),44664)</f>
        <v>44664</v>
      </c>
      <c r="B7775" s="6" t="str">
        <f ca="1">IFERROR(__xludf.DUMMYFUNCTION("""COMPUTED_VALUE"""),"-33.688305,-71.211781")</f>
        <v>-33.688305,-71.211781</v>
      </c>
      <c r="C7775" s="6" t="str">
        <f ca="1">IFERROR(__xludf.DUMMYFUNCTION("""COMPUTED_VALUE"""),"LIBERTAD 370 A")</f>
        <v>LIBERTAD 370 A</v>
      </c>
      <c r="D7775" s="6" t="str">
        <f ca="1">IFERROR(__xludf.DUMMYFUNCTION("""COMPUTED_VALUE"""),"MELIPILLA")</f>
        <v>MELIPILLA</v>
      </c>
    </row>
    <row r="7776" spans="1:4">
      <c r="A7776" s="7">
        <f ca="1">IFERROR(__xludf.DUMMYFUNCTION("""COMPUTED_VALUE"""),44664)</f>
        <v>44664</v>
      </c>
      <c r="B7776" s="6" t="str">
        <f ca="1">IFERROR(__xludf.DUMMYFUNCTION("""COMPUTED_VALUE"""),"-35.556960,-70.868843")</f>
        <v>-35.556960,-70.868843</v>
      </c>
      <c r="C7776" s="6" t="str">
        <f ca="1">IFERROR(__xludf.DUMMYFUNCTION("""COMPUTED_VALUE"""),"SANTA LUISA  S-11 S/N ")</f>
        <v xml:space="preserve">SANTA LUISA  S-11 S/N </v>
      </c>
      <c r="D7776" s="6" t="str">
        <f ca="1">IFERROR(__xludf.DUMMYFUNCTION("""COMPUTED_VALUE"""),"PADRE HURTADO")</f>
        <v>PADRE HURTADO</v>
      </c>
    </row>
    <row r="7777" spans="1:4">
      <c r="A7777" s="7">
        <f ca="1">IFERROR(__xludf.DUMMYFUNCTION("""COMPUTED_VALUE"""),44664)</f>
        <v>44664</v>
      </c>
      <c r="B7777" s="8" t="str">
        <f ca="1">IFERROR(__xludf.DUMMYFUNCTION("""COMPUTED_VALUE"""),"-33.834335,-70.647081")</f>
        <v>-33.834335,-70.647081</v>
      </c>
      <c r="C7777" s="6" t="str">
        <f ca="1">IFERROR(__xludf.DUMMYFUNCTION("""COMPUTED_VALUE"""),"JAIME ATRIA 10756")</f>
        <v>JAIME ATRIA 10756</v>
      </c>
      <c r="D7777" s="6" t="str">
        <f ca="1">IFERROR(__xludf.DUMMYFUNCTION("""COMPUTED_VALUE"""),"PAINE")</f>
        <v>PAINE</v>
      </c>
    </row>
    <row r="7778" spans="1:4">
      <c r="A7778" s="7">
        <f ca="1">IFERROR(__xludf.DUMMYFUNCTION("""COMPUTED_VALUE"""),44664)</f>
        <v>44664</v>
      </c>
      <c r="B7778" s="8" t="str">
        <f ca="1">IFERROR(__xludf.DUMMYFUNCTION("""COMPUTED_VALUE"""),"-33.804640,-70.728824")</f>
        <v>-33.804640,-70.728824</v>
      </c>
      <c r="C7778" s="6" t="str">
        <f ca="1">IFERROR(__xludf.DUMMYFUNCTION("""COMPUTED_VALUE"""),"RIO QUILLEN 741")</f>
        <v>RIO QUILLEN 741</v>
      </c>
      <c r="D7778" s="6" t="str">
        <f ca="1">IFERROR(__xludf.DUMMYFUNCTION("""COMPUTED_VALUE"""),"PAINE")</f>
        <v>PAINE</v>
      </c>
    </row>
    <row r="7779" spans="1:4">
      <c r="A7779" s="7">
        <f ca="1">IFERROR(__xludf.DUMMYFUNCTION("""COMPUTED_VALUE"""),44664)</f>
        <v>44664</v>
      </c>
      <c r="B7779" s="8" t="str">
        <f ca="1">IFERROR(__xludf.DUMMYFUNCTION("""COMPUTED_VALUE"""),"-33.670267,-70.945828")</f>
        <v>-33.670267,-70.945828</v>
      </c>
      <c r="C7779" s="6" t="str">
        <f ca="1">IFERROR(__xludf.DUMMYFUNCTION("""COMPUTED_VALUE"""),"CAMINO VIEJO 1625")</f>
        <v>CAMINO VIEJO 1625</v>
      </c>
      <c r="D7779" s="6" t="str">
        <f ca="1">IFERROR(__xludf.DUMMYFUNCTION("""COMPUTED_VALUE"""),"TALAGANTE")</f>
        <v>TALAGANTE</v>
      </c>
    </row>
    <row r="7780" spans="1:4">
      <c r="A7780" s="7">
        <f ca="1">IFERROR(__xludf.DUMMYFUNCTION("""COMPUTED_VALUE"""),44664)</f>
        <v>44664</v>
      </c>
      <c r="B7780" s="8" t="str">
        <f ca="1">IFERROR(__xludf.DUMMYFUNCTION("""COMPUTED_VALUE"""),"-33.722521,-70.737822")</f>
        <v>-33.722521,-70.737822</v>
      </c>
      <c r="C7780" s="6" t="str">
        <f ca="1">IFERROR(__xludf.DUMMYFUNCTION("""COMPUTED_VALUE"""),"F CAMPOS RIPLEY 159")</f>
        <v>F CAMPOS RIPLEY 159</v>
      </c>
      <c r="D7780" s="6" t="str">
        <f ca="1">IFERROR(__xludf.DUMMYFUNCTION("""COMPUTED_VALUE"""),"BUIN")</f>
        <v>BUIN</v>
      </c>
    </row>
    <row r="7781" spans="1:4">
      <c r="A7781" s="7">
        <f ca="1">IFERROR(__xludf.DUMMYFUNCTION("""COMPUTED_VALUE"""),44664)</f>
        <v>44664</v>
      </c>
      <c r="B7781" s="8" t="str">
        <f ca="1">IFERROR(__xludf.DUMMYFUNCTION("""COMPUTED_VALUE"""),"-33.673744,-71.315739")</f>
        <v>-33.673744,-71.315739</v>
      </c>
      <c r="C7781" s="6" t="str">
        <f ca="1">IFERROR(__xludf.DUMMYFUNCTION("""COMPUTED_VALUE"""),"PUANGUE SANTA EMILIA S/N")</f>
        <v>PUANGUE SANTA EMILIA S/N</v>
      </c>
      <c r="D7781" s="6" t="str">
        <f ca="1">IFERROR(__xludf.DUMMYFUNCTION("""COMPUTED_VALUE"""),"MELIPILLA")</f>
        <v>MELIPILLA</v>
      </c>
    </row>
    <row r="7782" spans="1:4">
      <c r="A7782" s="7">
        <f ca="1">IFERROR(__xludf.DUMMYFUNCTION("""COMPUTED_VALUE"""),44664)</f>
        <v>44664</v>
      </c>
      <c r="B7782" s="6" t="str">
        <f ca="1">IFERROR(__xludf.DUMMYFUNCTION("""COMPUTED_VALUE"""),"-33.916809,-70.744964")</f>
        <v>-33.916809,-70.744964</v>
      </c>
      <c r="C7782" s="6" t="str">
        <f ca="1">IFERROR(__xludf.DUMMYFUNCTION("""COMPUTED_VALUE"""),"SECTOR TIO NANO AGUILA SUR ST59")</f>
        <v>SECTOR TIO NANO AGUILA SUR ST59</v>
      </c>
      <c r="D7782" s="6" t="str">
        <f ca="1">IFERROR(__xludf.DUMMYFUNCTION("""COMPUTED_VALUE"""),"PAINE")</f>
        <v>PAINE</v>
      </c>
    </row>
    <row r="7783" spans="1:4">
      <c r="A7783" s="7">
        <f ca="1">IFERROR(__xludf.DUMMYFUNCTION("""COMPUTED_VALUE"""),44664)</f>
        <v>44664</v>
      </c>
      <c r="B7783" s="6" t="str">
        <f ca="1">IFERROR(__xludf.DUMMYFUNCTION("""COMPUTED_VALUE"""),"-33.871802,-70.868567")</f>
        <v>-33.871802,-70.868567</v>
      </c>
      <c r="C7783" s="6" t="str">
        <f ca="1">IFERROR(__xludf.DUMMYFUNCTION("""COMPUTED_VALUE"""),"MIGUEL LETELIER PARC. 5-A")</f>
        <v>MIGUEL LETELIER PARC. 5-A</v>
      </c>
      <c r="D7783" s="6" t="str">
        <f ca="1">IFERROR(__xludf.DUMMYFUNCTION("""COMPUTED_VALUE"""),"PAINE")</f>
        <v>PAINE</v>
      </c>
    </row>
    <row r="7784" spans="1:4">
      <c r="A7784" s="7">
        <f ca="1">IFERROR(__xludf.DUMMYFUNCTION("""COMPUTED_VALUE"""),44664)</f>
        <v>44664</v>
      </c>
      <c r="B7784" s="6" t="str">
        <f ca="1">IFERROR(__xludf.DUMMYFUNCTION("""COMPUTED_VALUE"""),"-33.871492,-70.742997")</f>
        <v>-33.871492,-70.742997</v>
      </c>
      <c r="C7784" s="6" t="str">
        <f ca="1">IFERROR(__xludf.DUMMYFUNCTION("""COMPUTED_VALUE"""),"LA BODEGAS SUR HUERTO 9")</f>
        <v>LA BODEGAS SUR HUERTO 9</v>
      </c>
      <c r="D7784" s="6" t="str">
        <f ca="1">IFERROR(__xludf.DUMMYFUNCTION("""COMPUTED_VALUE"""),"PAINE")</f>
        <v>PAINE</v>
      </c>
    </row>
    <row r="7785" spans="1:4">
      <c r="A7785" s="7">
        <f ca="1">IFERROR(__xludf.DUMMYFUNCTION("""COMPUTED_VALUE"""),44664)</f>
        <v>44664</v>
      </c>
      <c r="B7785" s="6" t="str">
        <f ca="1">IFERROR(__xludf.DUMMYFUNCTION("""COMPUTED_VALUE"""),"-33.867664,-70.744382")</f>
        <v>-33.867664,-70.744382</v>
      </c>
      <c r="C7785" s="6" t="str">
        <f ca="1">IFERROR(__xludf.DUMMYFUNCTION("""COMPUTED_VALUE"""),"LAS BODEGAS SUR 1B ")</f>
        <v xml:space="preserve">LAS BODEGAS SUR 1B </v>
      </c>
      <c r="D7785" s="6" t="str">
        <f ca="1">IFERROR(__xludf.DUMMYFUNCTION("""COMPUTED_VALUE"""),"PAINE")</f>
        <v>PAINE</v>
      </c>
    </row>
    <row r="7786" spans="1:4">
      <c r="A7786" s="7">
        <f ca="1">IFERROR(__xludf.DUMMYFUNCTION("""COMPUTED_VALUE"""),44664)</f>
        <v>44664</v>
      </c>
      <c r="B7786" s="6" t="str">
        <f ca="1">IFERROR(__xludf.DUMMYFUNCTION("""COMPUTED_VALUE"""),"-33.8757565,-70.7441153")</f>
        <v>-33.8757565,-70.7441153</v>
      </c>
      <c r="C7786" s="6" t="str">
        <f ca="1">IFERROR(__xludf.DUMMYFUNCTION("""COMPUTED_VALUE"""),"HUERTO 28 HOSPITAL")</f>
        <v>HUERTO 28 HOSPITAL</v>
      </c>
      <c r="D7786" s="6" t="str">
        <f ca="1">IFERROR(__xludf.DUMMYFUNCTION("""COMPUTED_VALUE"""),"PAINE")</f>
        <v>PAINE</v>
      </c>
    </row>
    <row r="7787" spans="1:4">
      <c r="A7787" s="7">
        <f ca="1">IFERROR(__xludf.DUMMYFUNCTION("""COMPUTED_VALUE"""),44664)</f>
        <v>44664</v>
      </c>
      <c r="B7787" s="6" t="str">
        <f ca="1">IFERROR(__xludf.DUMMYFUNCTION("""COMPUTED_VALUE"""),"-33.8622255,-70.7321557")</f>
        <v>-33.8622255,-70.7321557</v>
      </c>
      <c r="C7787" s="6" t="str">
        <f ca="1">IFERROR(__xludf.DUMMYFUNCTION("""COMPUTED_VALUE"""),"LAS ACACIAS 121 C")</f>
        <v>LAS ACACIAS 121 C</v>
      </c>
      <c r="D7787" s="6" t="str">
        <f ca="1">IFERROR(__xludf.DUMMYFUNCTION("""COMPUTED_VALUE"""),"PAINE")</f>
        <v>PAINE</v>
      </c>
    </row>
    <row r="7788" spans="1:4">
      <c r="A7788" s="7">
        <f ca="1">IFERROR(__xludf.DUMMYFUNCTION("""COMPUTED_VALUE"""),44664)</f>
        <v>44664</v>
      </c>
      <c r="B7788" s="6" t="str">
        <f ca="1">IFERROR(__xludf.DUMMYFUNCTION("""COMPUTED_VALUE"""),"-33.8729123,-70.7302256")</f>
        <v>-33.8729123,-70.7302256</v>
      </c>
      <c r="C7788" s="6" t="str">
        <f ca="1">IFERROR(__xludf.DUMMYFUNCTION("""COMPUTED_VALUE"""),"LOS ACACIOS 121")</f>
        <v>LOS ACACIOS 121</v>
      </c>
      <c r="D7788" s="6" t="str">
        <f ca="1">IFERROR(__xludf.DUMMYFUNCTION("""COMPUTED_VALUE"""),"PAINE")</f>
        <v>PAINE</v>
      </c>
    </row>
    <row r="7789" spans="1:4">
      <c r="A7789" s="7">
        <f ca="1">IFERROR(__xludf.DUMMYFUNCTION("""COMPUTED_VALUE"""),44665)</f>
        <v>44665</v>
      </c>
      <c r="B7789" s="8" t="str">
        <f ca="1">IFERROR(__xludf.DUMMYFUNCTION("""COMPUTED_VALUE"""),"33682445-71050268")</f>
        <v>33682445-71050268</v>
      </c>
      <c r="C7789" s="6" t="str">
        <f ca="1">IFERROR(__xludf.DUMMYFUNCTION("""COMPUTED_VALUE"""),"PAICO ALTO S/N,")</f>
        <v>PAICO ALTO S/N,</v>
      </c>
      <c r="D7789" s="6" t="str">
        <f ca="1">IFERROR(__xludf.DUMMYFUNCTION("""COMPUTED_VALUE"""),"EL MONTE")</f>
        <v>EL MONTE</v>
      </c>
    </row>
    <row r="7790" spans="1:4">
      <c r="A7790" s="7">
        <f ca="1">IFERROR(__xludf.DUMMYFUNCTION("""COMPUTED_VALUE"""),44665)</f>
        <v>44665</v>
      </c>
      <c r="B7790" s="8" t="str">
        <f ca="1">IFERROR(__xludf.DUMMYFUNCTION("""COMPUTED_VALUE"""),"-33.804566-70.675931")</f>
        <v>-33.804566-70.675931</v>
      </c>
      <c r="C7790" s="6" t="str">
        <f ca="1">IFERROR(__xludf.DUMMYFUNCTION("""COMPUTED_VALUE"""),"NUEVO SENDERO 13")</f>
        <v>NUEVO SENDERO 13</v>
      </c>
      <c r="D7790" s="6" t="str">
        <f ca="1">IFERROR(__xludf.DUMMYFUNCTION("""COMPUTED_VALUE"""),"PAINE")</f>
        <v>PAINE</v>
      </c>
    </row>
    <row r="7791" spans="1:4">
      <c r="A7791" s="7">
        <f ca="1">IFERROR(__xludf.DUMMYFUNCTION("""COMPUTED_VALUE"""),44665)</f>
        <v>44665</v>
      </c>
      <c r="B7791" s="8" t="str">
        <f ca="1">IFERROR(__xludf.DUMMYFUNCTION("""COMPUTED_VALUE"""),"-33.602947-70.870905")</f>
        <v>-33.602947-70.870905</v>
      </c>
      <c r="C7791" s="6" t="str">
        <f ca="1">IFERROR(__xludf.DUMMYFUNCTION("""COMPUTED_VALUE"""),"SANTA TRINIDAD 370")</f>
        <v>SANTA TRINIDAD 370</v>
      </c>
      <c r="D7791" s="6" t="str">
        <f ca="1">IFERROR(__xludf.DUMMYFUNCTION("""COMPUTED_VALUE"""),"PEÑAFLOR")</f>
        <v>PEÑAFLOR</v>
      </c>
    </row>
    <row r="7792" spans="1:4">
      <c r="A7792" s="7">
        <f ca="1">IFERROR(__xludf.DUMMYFUNCTION("""COMPUTED_VALUE"""),44665)</f>
        <v>44665</v>
      </c>
      <c r="B7792" s="8" t="str">
        <f ca="1">IFERROR(__xludf.DUMMYFUNCTION("""COMPUTED_VALUE"""),"-33.856591-70.929793")</f>
        <v>-33.856591-70.929793</v>
      </c>
      <c r="C7792" s="6" t="str">
        <f ca="1">IFERROR(__xludf.DUMMYFUNCTION("""COMPUTED_VALUE"""),"RASGUE 55")</f>
        <v>RASGUE 55</v>
      </c>
      <c r="D7792" s="6" t="str">
        <f ca="1">IFERROR(__xludf.DUMMYFUNCTION("""COMPUTED_VALUE"""),"PAINE")</f>
        <v>PAINE</v>
      </c>
    </row>
    <row r="7793" spans="1:4">
      <c r="A7793" s="7">
        <f ca="1">IFERROR(__xludf.DUMMYFUNCTION("""COMPUTED_VALUE"""),44665)</f>
        <v>44665</v>
      </c>
      <c r="B7793" s="8" t="str">
        <f ca="1">IFERROR(__xludf.DUMMYFUNCTION("""COMPUTED_VALUE"""),"-33.916381-70.741909")</f>
        <v>-33.916381-70.741909</v>
      </c>
      <c r="C7793" s="6" t="str">
        <f ca="1">IFERROR(__xludf.DUMMYFUNCTION("""COMPUTED_VALUE"""),"AGUILA SUR 62")</f>
        <v>AGUILA SUR 62</v>
      </c>
      <c r="D7793" s="6" t="str">
        <f ca="1">IFERROR(__xludf.DUMMYFUNCTION("""COMPUTED_VALUE"""),"PAINE")</f>
        <v>PAINE</v>
      </c>
    </row>
    <row r="7794" spans="1:4">
      <c r="A7794" s="7">
        <f ca="1">IFERROR(__xludf.DUMMYFUNCTION("""COMPUTED_VALUE"""),44665)</f>
        <v>44665</v>
      </c>
      <c r="B7794" s="6" t="str">
        <f ca="1">IFERROR(__xludf.DUMMYFUNCTION("""COMPUTED_VALUE"""),"-33.597925-70.877880")</f>
        <v>-33.597925-70.877880</v>
      </c>
      <c r="C7794" s="6" t="str">
        <f ca="1">IFERROR(__xludf.DUMMYFUNCTION("""COMPUTED_VALUE"""),"SALVADOR SILVA 2572")</f>
        <v>SALVADOR SILVA 2572</v>
      </c>
      <c r="D7794" s="6" t="str">
        <f ca="1">IFERROR(__xludf.DUMMYFUNCTION("""COMPUTED_VALUE"""),"PEÑAFLOR")</f>
        <v>PEÑAFLOR</v>
      </c>
    </row>
    <row r="7795" spans="1:4">
      <c r="A7795" s="7">
        <f ca="1">IFERROR(__xludf.DUMMYFUNCTION("""COMPUTED_VALUE"""),44665)</f>
        <v>44665</v>
      </c>
      <c r="B7795" s="6" t="str">
        <f ca="1">IFERROR(__xludf.DUMMYFUNCTION("""COMPUTED_VALUE"""),"-33.597925-70.877880")</f>
        <v>-33.597925-70.877880</v>
      </c>
      <c r="C7795" s="6" t="str">
        <f ca="1">IFERROR(__xludf.DUMMYFUNCTION("""COMPUTED_VALUE"""),"SALVADOR SILVA 2572")</f>
        <v>SALVADOR SILVA 2572</v>
      </c>
      <c r="D7795" s="6" t="str">
        <f ca="1">IFERROR(__xludf.DUMMYFUNCTION("""COMPUTED_VALUE"""),"PEÑAFLOR")</f>
        <v>PEÑAFLOR</v>
      </c>
    </row>
    <row r="7796" spans="1:4">
      <c r="A7796" s="7">
        <f ca="1">IFERROR(__xludf.DUMMYFUNCTION("""COMPUTED_VALUE"""),44665)</f>
        <v>44665</v>
      </c>
      <c r="B7796" s="6" t="str">
        <f ca="1">IFERROR(__xludf.DUMMYFUNCTION("""COMPUTED_VALUE"""),"-33.733935-70.307860")</f>
        <v>-33.733935-70.307860</v>
      </c>
      <c r="C7796" s="6" t="str">
        <f ca="1">IFERROR(__xludf.DUMMYFUNCTION("""COMPUTED_VALUE"""),"CALLE 1 0141")</f>
        <v>CALLE 1 0141</v>
      </c>
      <c r="D7796" s="6" t="str">
        <f ca="1">IFERROR(__xludf.DUMMYFUNCTION("""COMPUTED_VALUE"""),"SAN JOSE DE MAIPO")</f>
        <v>SAN JOSE DE MAIPO</v>
      </c>
    </row>
    <row r="7797" spans="1:4">
      <c r="A7797" s="7">
        <f ca="1">IFERROR(__xludf.DUMMYFUNCTION("""COMPUTED_VALUE"""),44665)</f>
        <v>44665</v>
      </c>
      <c r="B7797" s="6" t="str">
        <f ca="1">IFERROR(__xludf.DUMMYFUNCTION("""COMPUTED_VALUE"""),"-33.640475-70.351250")</f>
        <v>-33.640475-70.351250</v>
      </c>
      <c r="C7797" s="6" t="str">
        <f ca="1">IFERROR(__xludf.DUMMYFUNCTION("""COMPUTED_VALUE"""),"DEL CERRO S/N")</f>
        <v>DEL CERRO S/N</v>
      </c>
      <c r="D7797" s="6" t="str">
        <f ca="1">IFERROR(__xludf.DUMMYFUNCTION("""COMPUTED_VALUE"""),"SAN JOSE DE MAIPO")</f>
        <v>SAN JOSE DE MAIPO</v>
      </c>
    </row>
    <row r="7798" spans="1:4">
      <c r="A7798" s="7">
        <f ca="1">IFERROR(__xludf.DUMMYFUNCTION("""COMPUTED_VALUE"""),44665)</f>
        <v>44665</v>
      </c>
      <c r="B7798" s="6" t="str">
        <f ca="1">IFERROR(__xludf.DUMMYFUNCTION("""COMPUTED_VALUE"""),"-33.641485-70.345900")</f>
        <v>-33.641485-70.345900</v>
      </c>
      <c r="C7798" s="6" t="str">
        <f ca="1">IFERROR(__xludf.DUMMYFUNCTION("""COMPUTED_VALUE"""),"AV. CEMENTERIO 19862")</f>
        <v>AV. CEMENTERIO 19862</v>
      </c>
      <c r="D7798" s="6" t="str">
        <f ca="1">IFERROR(__xludf.DUMMYFUNCTION("""COMPUTED_VALUE"""),"SAN JOSE DE MAIPO")</f>
        <v>SAN JOSE DE MAIPO</v>
      </c>
    </row>
    <row r="7799" spans="1:4">
      <c r="A7799" s="7">
        <f ca="1">IFERROR(__xludf.DUMMYFUNCTION("""COMPUTED_VALUE"""),44665)</f>
        <v>44665</v>
      </c>
      <c r="B7799" s="6" t="str">
        <f ca="1">IFERROR(__xludf.DUMMYFUNCTION("""COMPUTED_VALUE"""),"-33.671512-71.207129")</f>
        <v>-33.671512-71.207129</v>
      </c>
      <c r="C7799" s="6" t="str">
        <f ca="1">IFERROR(__xludf.DUMMYFUNCTION("""COMPUTED_VALUE"""),"SECTOR LA ALIANZA P5")</f>
        <v>SECTOR LA ALIANZA P5</v>
      </c>
      <c r="D7799" s="6" t="str">
        <f ca="1">IFERROR(__xludf.DUMMYFUNCTION("""COMPUTED_VALUE"""),"MELIPILLA")</f>
        <v>MELIPILLA</v>
      </c>
    </row>
    <row r="7800" spans="1:4">
      <c r="A7800" s="7">
        <f ca="1">IFERROR(__xludf.DUMMYFUNCTION("""COMPUTED_VALUE"""),44665)</f>
        <v>44665</v>
      </c>
      <c r="B7800" s="6" t="str">
        <f ca="1">IFERROR(__xludf.DUMMYFUNCTION("""COMPUTED_VALUE"""),"-33.669848-71.206876")</f>
        <v>-33.669848-71.206876</v>
      </c>
      <c r="C7800" s="6" t="str">
        <f ca="1">IFERROR(__xludf.DUMMYFUNCTION("""COMPUTED_VALUE"""),"OSTOLAZAS 505")</f>
        <v>OSTOLAZAS 505</v>
      </c>
      <c r="D7800" s="6" t="str">
        <f ca="1">IFERROR(__xludf.DUMMYFUNCTION("""COMPUTED_VALUE"""),"MELIPILLA")</f>
        <v>MELIPILLA</v>
      </c>
    </row>
    <row r="7801" spans="1:4">
      <c r="A7801" s="7">
        <f ca="1">IFERROR(__xludf.DUMMYFUNCTION("""COMPUTED_VALUE"""),44665)</f>
        <v>44665</v>
      </c>
      <c r="B7801" s="6" t="str">
        <f ca="1">IFERROR(__xludf.DUMMYFUNCTION("""COMPUTED_VALUE"""),"-33.669848-71.206876")</f>
        <v>-33.669848-71.206876</v>
      </c>
      <c r="C7801" s="6" t="str">
        <f ca="1">IFERROR(__xludf.DUMMYFUNCTION("""COMPUTED_VALUE"""),"OSTOLAZAS 505")</f>
        <v>OSTOLAZAS 505</v>
      </c>
      <c r="D7801" s="6" t="str">
        <f ca="1">IFERROR(__xludf.DUMMYFUNCTION("""COMPUTED_VALUE"""),"MELIPILLA")</f>
        <v>MELIPILLA</v>
      </c>
    </row>
    <row r="7802" spans="1:4">
      <c r="A7802" s="7">
        <f ca="1">IFERROR(__xludf.DUMMYFUNCTION("""COMPUTED_VALUE"""),44665)</f>
        <v>44665</v>
      </c>
      <c r="B7802" s="6" t="str">
        <f ca="1">IFERROR(__xludf.DUMMYFUNCTION("""COMPUTED_VALUE"""),"-33.650630-71.148066")</f>
        <v>-33.650630-71.148066</v>
      </c>
      <c r="C7802" s="6" t="str">
        <f ca="1">IFERROR(__xludf.DUMMYFUNCTION("""COMPUTED_VALUE"""),"RAFAEL MORANDE 410")</f>
        <v>RAFAEL MORANDE 410</v>
      </c>
      <c r="D7802" s="6" t="str">
        <f ca="1">IFERROR(__xludf.DUMMYFUNCTION("""COMPUTED_VALUE"""),"MELIPILLA")</f>
        <v>MELIPILLA</v>
      </c>
    </row>
    <row r="7803" spans="1:4">
      <c r="A7803" s="7">
        <f ca="1">IFERROR(__xludf.DUMMYFUNCTION("""COMPUTED_VALUE"""),44665)</f>
        <v>44665</v>
      </c>
      <c r="B7803" s="8" t="str">
        <f ca="1">IFERROR(__xludf.DUMMYFUNCTION("""COMPUTED_VALUE"""),"-33.709408,-70.557330")</f>
        <v>-33.709408,-70.557330</v>
      </c>
      <c r="C7803" s="6" t="str">
        <f ca="1">IFERROR(__xludf.DUMMYFUNCTION("""COMPUTED_VALUE"""),"CALLE NUEVA 41 B")</f>
        <v>CALLE NUEVA 41 B</v>
      </c>
      <c r="D7803" s="6" t="str">
        <f ca="1">IFERROR(__xludf.DUMMYFUNCTION("""COMPUTED_VALUE"""),"PIRQUE")</f>
        <v>PIRQUE</v>
      </c>
    </row>
    <row r="7804" spans="1:4">
      <c r="A7804" s="7">
        <f ca="1">IFERROR(__xludf.DUMMYFUNCTION("""COMPUTED_VALUE"""),44665)</f>
        <v>44665</v>
      </c>
      <c r="B7804" s="8" t="str">
        <f ca="1">IFERROR(__xludf.DUMMYFUNCTION("""COMPUTED_VALUE"""),"-33.192947,-70.679435")</f>
        <v>-33.192947,-70.679435</v>
      </c>
      <c r="C7804" s="6" t="str">
        <f ca="1">IFERROR(__xludf.DUMMYFUNCTION("""COMPUTED_VALUE"""),"EL LAMARUGO 580 LAS ARAUCARIAS")</f>
        <v>EL LAMARUGO 580 LAS ARAUCARIAS</v>
      </c>
      <c r="D7804" s="6" t="str">
        <f ca="1">IFERROR(__xludf.DUMMYFUNCTION("""COMPUTED_VALUE"""),"COLINA")</f>
        <v>COLINA</v>
      </c>
    </row>
    <row r="7805" spans="1:4">
      <c r="A7805" s="7">
        <f ca="1">IFERROR(__xludf.DUMMYFUNCTION("""COMPUTED_VALUE"""),44665)</f>
        <v>44665</v>
      </c>
      <c r="B7805" s="8" t="str">
        <f ca="1">IFERROR(__xludf.DUMMYFUNCTION("""COMPUTED_VALUE"""),"-33.181718,-70.670886")</f>
        <v>-33.181718,-70.670886</v>
      </c>
      <c r="C7805" s="6" t="str">
        <f ca="1">IFERROR(__xludf.DUMMYFUNCTION("""COMPUTED_VALUE"""),"EDUARDO BARRIOS 2008")</f>
        <v>EDUARDO BARRIOS 2008</v>
      </c>
      <c r="D7805" s="6" t="str">
        <f ca="1">IFERROR(__xludf.DUMMYFUNCTION("""COMPUTED_VALUE"""),"COLINA")</f>
        <v>COLINA</v>
      </c>
    </row>
    <row r="7806" spans="1:4">
      <c r="A7806" s="7">
        <f ca="1">IFERROR(__xludf.DUMMYFUNCTION("""COMPUTED_VALUE"""),44665)</f>
        <v>44665</v>
      </c>
      <c r="B7806" s="8" t="str">
        <f ca="1">IFERROR(__xludf.DUMMYFUNCTION("""COMPUTED_VALUE"""),"-33.708498,-70.562815")</f>
        <v>-33.708498,-70.562815</v>
      </c>
      <c r="C7806" s="6" t="str">
        <f ca="1">IFERROR(__xludf.DUMMYFUNCTION("""COMPUTED_VALUE"""),"CALLE NUEVA 40 B")</f>
        <v>CALLE NUEVA 40 B</v>
      </c>
      <c r="D7806" s="6" t="str">
        <f ca="1">IFERROR(__xludf.DUMMYFUNCTION("""COMPUTED_VALUE"""),"PIRQUE")</f>
        <v>PIRQUE</v>
      </c>
    </row>
    <row r="7807" spans="1:4">
      <c r="A7807" s="7">
        <f ca="1">IFERROR(__xludf.DUMMYFUNCTION("""COMPUTED_VALUE"""),44665)</f>
        <v>44665</v>
      </c>
      <c r="B7807" s="6" t="str">
        <f ca="1">IFERROR(__xludf.DUMMYFUNCTION("""COMPUTED_VALUE"""),"-33.763088,-71.296882")</f>
        <v>-33.763088,-71.296882</v>
      </c>
      <c r="C7807" s="6" t="str">
        <f ca="1">IFERROR(__xludf.DUMMYFUNCTION("""COMPUTED_VALUE"""),"SECTOR SAN RAFAEL DE CODIGUA CASA 36 SITIO A")</f>
        <v>SECTOR SAN RAFAEL DE CODIGUA CASA 36 SITIO A</v>
      </c>
      <c r="D7807" s="6" t="str">
        <f ca="1">IFERROR(__xludf.DUMMYFUNCTION("""COMPUTED_VALUE"""),"MELIPILLA")</f>
        <v>MELIPILLA</v>
      </c>
    </row>
    <row r="7808" spans="1:4">
      <c r="A7808" s="7">
        <f ca="1">IFERROR(__xludf.DUMMYFUNCTION("""COMPUTED_VALUE"""),44665)</f>
        <v>44665</v>
      </c>
      <c r="B7808" s="6" t="str">
        <f ca="1">IFERROR(__xludf.DUMMYFUNCTION("""COMPUTED_VALUE"""),"-33.762579,-71.297030")</f>
        <v>-33.762579,-71.297030</v>
      </c>
      <c r="C7808" s="6" t="str">
        <f ca="1">IFERROR(__xludf.DUMMYFUNCTION("""COMPUTED_VALUE"""),"VIÑA EL CAMPESINO S/N -CV16 PARCELA 9")</f>
        <v>VIÑA EL CAMPESINO S/N -CV16 PARCELA 9</v>
      </c>
      <c r="D7808" s="6" t="str">
        <f ca="1">IFERROR(__xludf.DUMMYFUNCTION("""COMPUTED_VALUE"""),"MELIPILLA")</f>
        <v>MELIPILLA</v>
      </c>
    </row>
    <row r="7809" spans="1:4">
      <c r="A7809" s="7">
        <f ca="1">IFERROR(__xludf.DUMMYFUNCTION("""COMPUTED_VALUE"""),44665)</f>
        <v>44665</v>
      </c>
      <c r="B7809" s="6" t="str">
        <f ca="1">IFERROR(__xludf.DUMMYFUNCTION("""COMPUTED_VALUE"""),"-33.819341,-70.741322")</f>
        <v>-33.819341,-70.741322</v>
      </c>
      <c r="C7809" s="6" t="str">
        <f ca="1">IFERROR(__xludf.DUMMYFUNCTION("""COMPUTED_VALUE"""),"ARRECIFE 1523")</f>
        <v>ARRECIFE 1523</v>
      </c>
      <c r="D7809" s="6" t="str">
        <f ca="1">IFERROR(__xludf.DUMMYFUNCTION("""COMPUTED_VALUE"""),"PAINE")</f>
        <v>PAINE</v>
      </c>
    </row>
    <row r="7810" spans="1:4">
      <c r="A7810" s="7">
        <f ca="1">IFERROR(__xludf.DUMMYFUNCTION("""COMPUTED_VALUE"""),44665)</f>
        <v>44665</v>
      </c>
      <c r="B7810" s="6" t="str">
        <f ca="1">IFERROR(__xludf.DUMMYFUNCTION("""COMPUTED_VALUE"""),"-33.863120,-70.879654")</f>
        <v>-33.863120,-70.879654</v>
      </c>
      <c r="C7810" s="6" t="str">
        <f ca="1">IFERROR(__xludf.DUMMYFUNCTION("""COMPUTED_VALUE"""),"EL PERAL 15 PINTUE")</f>
        <v>EL PERAL 15 PINTUE</v>
      </c>
      <c r="D7810" s="6" t="str">
        <f ca="1">IFERROR(__xludf.DUMMYFUNCTION("""COMPUTED_VALUE"""),"PAINE")</f>
        <v>PAINE</v>
      </c>
    </row>
    <row r="7811" spans="1:4">
      <c r="A7811" s="7">
        <f ca="1">IFERROR(__xludf.DUMMYFUNCTION("""COMPUTED_VALUE"""),44665)</f>
        <v>44665</v>
      </c>
      <c r="B7811" s="6" t="str">
        <f ca="1">IFERROR(__xludf.DUMMYFUNCTION("""COMPUTED_VALUE"""),"-33.874022,-70.876797")</f>
        <v>-33.874022,-70.876797</v>
      </c>
      <c r="C7811" s="6" t="str">
        <f ca="1">IFERROR(__xludf.DUMMYFUNCTION("""COMPUTED_VALUE"""),"SAN FRANCISCO DE ACULEO ST 5")</f>
        <v>SAN FRANCISCO DE ACULEO ST 5</v>
      </c>
      <c r="D7811" s="6" t="str">
        <f ca="1">IFERROR(__xludf.DUMMYFUNCTION("""COMPUTED_VALUE"""),"PAINE")</f>
        <v>PAINE</v>
      </c>
    </row>
    <row r="7812" spans="1:4">
      <c r="A7812" s="7">
        <f ca="1">IFERROR(__xludf.DUMMYFUNCTION("""COMPUTED_VALUE"""),44665)</f>
        <v>44665</v>
      </c>
      <c r="B7812" s="6" t="str">
        <f ca="1">IFERROR(__xludf.DUMMYFUNCTION("""COMPUTED_VALUE"""),"-33.870872,-70.743751")</f>
        <v>-33.870872,-70.743751</v>
      </c>
      <c r="C7812" s="6" t="str">
        <f ca="1">IFERROR(__xludf.DUMMYFUNCTION("""COMPUTED_VALUE"""),"LAS BODEGAS SUR 22A")</f>
        <v>LAS BODEGAS SUR 22A</v>
      </c>
      <c r="D7812" s="6" t="str">
        <f ca="1">IFERROR(__xludf.DUMMYFUNCTION("""COMPUTED_VALUE"""),"PAINE")</f>
        <v>PAINE</v>
      </c>
    </row>
    <row r="7813" spans="1:4">
      <c r="A7813" s="7">
        <f ca="1">IFERROR(__xludf.DUMMYFUNCTION("""COMPUTED_VALUE"""),44665)</f>
        <v>44665</v>
      </c>
      <c r="B7813" s="6" t="str">
        <f ca="1">IFERROR(__xludf.DUMMYFUNCTION("""COMPUTED_VALUE"""),"-33.869447,-70.743558")</f>
        <v>-33.869447,-70.743558</v>
      </c>
      <c r="C7813" s="6" t="str">
        <f ca="1">IFERROR(__xludf.DUMMYFUNCTION("""COMPUTED_VALUE"""),"LAS BODEGAS SUR 12A")</f>
        <v>LAS BODEGAS SUR 12A</v>
      </c>
      <c r="D7813" s="6" t="str">
        <f ca="1">IFERROR(__xludf.DUMMYFUNCTION("""COMPUTED_VALUE"""),"PAINE")</f>
        <v>PAINE</v>
      </c>
    </row>
    <row r="7814" spans="1:4">
      <c r="A7814" s="7">
        <f ca="1">IFERROR(__xludf.DUMMYFUNCTION("""COMPUTED_VALUE"""),44665)</f>
        <v>44665</v>
      </c>
      <c r="B7814" s="6" t="str">
        <f ca="1">IFERROR(__xludf.DUMMYFUNCTION("""COMPUTED_VALUE"""),"-33.869447,-70.743558")</f>
        <v>-33.869447,-70.743558</v>
      </c>
      <c r="C7814" s="6" t="str">
        <f ca="1">IFERROR(__xludf.DUMMYFUNCTION("""COMPUTED_VALUE"""),"LAS BODEGAS SUR 12A")</f>
        <v>LAS BODEGAS SUR 12A</v>
      </c>
      <c r="D7814" s="6" t="str">
        <f ca="1">IFERROR(__xludf.DUMMYFUNCTION("""COMPUTED_VALUE"""),"PAINE")</f>
        <v>PAINE</v>
      </c>
    </row>
    <row r="7815" spans="1:4">
      <c r="A7815" s="7">
        <f ca="1">IFERROR(__xludf.DUMMYFUNCTION("""COMPUTED_VALUE"""),44665)</f>
        <v>44665</v>
      </c>
      <c r="B7815" s="6" t="str">
        <f ca="1">IFERROR(__xludf.DUMMYFUNCTION("""COMPUTED_VALUE"""),"-33.8162882,-70.7454764")</f>
        <v>-33.8162882,-70.7454764</v>
      </c>
      <c r="C7815" s="6" t="str">
        <f ca="1">IFERROR(__xludf.DUMMYFUNCTION("""COMPUTED_VALUE"""),"PADRE JORGE 242")</f>
        <v>PADRE JORGE 242</v>
      </c>
      <c r="D7815" s="6" t="str">
        <f ca="1">IFERROR(__xludf.DUMMYFUNCTION("""COMPUTED_VALUE"""),"PAINE")</f>
        <v>PAINE</v>
      </c>
    </row>
    <row r="7816" spans="1:4">
      <c r="A7816" s="7">
        <f ca="1">IFERROR(__xludf.DUMMYFUNCTION("""COMPUTED_VALUE"""),44666)</f>
        <v>44666</v>
      </c>
      <c r="B7816" s="6" t="str">
        <f ca="1">IFERROR(__xludf.DUMMYFUNCTION("""COMPUTED_VALUE"""),"-33.677840-71.204604")</f>
        <v>-33.677840-71.204604</v>
      </c>
      <c r="C7816" s="6" t="str">
        <f ca="1">IFERROR(__xludf.DUMMYFUNCTION("""COMPUTED_VALUE"""),"JOSE ARIAS 40")</f>
        <v>JOSE ARIAS 40</v>
      </c>
      <c r="D7816" s="6" t="str">
        <f ca="1">IFERROR(__xludf.DUMMYFUNCTION("""COMPUTED_VALUE"""),"MELIPILLA")</f>
        <v>MELIPILLA</v>
      </c>
    </row>
    <row r="7817" spans="1:4">
      <c r="A7817" s="7">
        <f ca="1">IFERROR(__xludf.DUMMYFUNCTION("""COMPUTED_VALUE"""),44666)</f>
        <v>44666</v>
      </c>
      <c r="B7817" s="6" t="str">
        <f ca="1">IFERROR(__xludf.DUMMYFUNCTION("""COMPUTED_VALUE"""),"-33.672793-71.211298")</f>
        <v>-33.672793-71.211298</v>
      </c>
      <c r="C7817" s="6" t="str">
        <f ca="1">IFERROR(__xludf.DUMMYFUNCTION("""COMPUTED_VALUE"""),"BENJAMIN ULLOA 309")</f>
        <v>BENJAMIN ULLOA 309</v>
      </c>
      <c r="D7817" s="6" t="str">
        <f ca="1">IFERROR(__xludf.DUMMYFUNCTION("""COMPUTED_VALUE"""),"MELIPILLA")</f>
        <v>MELIPILLA</v>
      </c>
    </row>
    <row r="7818" spans="1:4">
      <c r="A7818" s="7">
        <f ca="1">IFERROR(__xludf.DUMMYFUNCTION("""COMPUTED_VALUE"""),44666)</f>
        <v>44666</v>
      </c>
      <c r="B7818" s="6" t="str">
        <f ca="1">IFERROR(__xludf.DUMMYFUNCTION("""COMPUTED_VALUE"""),"-33.677843-71.204341")</f>
        <v>-33.677843-71.204341</v>
      </c>
      <c r="C7818" s="6" t="str">
        <f ca="1">IFERROR(__xludf.DUMMYFUNCTION("""COMPUTED_VALUE"""),"JOSE ARIAS 81")</f>
        <v>JOSE ARIAS 81</v>
      </c>
      <c r="D7818" s="6" t="str">
        <f ca="1">IFERROR(__xludf.DUMMYFUNCTION("""COMPUTED_VALUE"""),"MELIPILLA")</f>
        <v>MELIPILLA</v>
      </c>
    </row>
    <row r="7819" spans="1:4">
      <c r="A7819" s="7">
        <f ca="1">IFERROR(__xludf.DUMMYFUNCTION("""COMPUTED_VALUE"""),44667)</f>
        <v>44667</v>
      </c>
      <c r="B7819" s="8" t="str">
        <f ca="1">IFERROR(__xludf.DUMMYFUNCTION("""COMPUTED_VALUE"""),"-33.193745,-70.682859")</f>
        <v>-33.193745,-70.682859</v>
      </c>
      <c r="C7819" s="6" t="str">
        <f ca="1">IFERROR(__xludf.DUMMYFUNCTION("""COMPUTED_VALUE"""),"EL QUILLAY 795")</f>
        <v>EL QUILLAY 795</v>
      </c>
      <c r="D7819" s="6" t="str">
        <f ca="1">IFERROR(__xludf.DUMMYFUNCTION("""COMPUTED_VALUE"""),"COLINA")</f>
        <v>COLINA</v>
      </c>
    </row>
    <row r="7820" spans="1:4">
      <c r="A7820" s="7">
        <f ca="1">IFERROR(__xludf.DUMMYFUNCTION("""COMPUTED_VALUE"""),44667)</f>
        <v>44667</v>
      </c>
      <c r="B7820" s="6" t="str">
        <f ca="1">IFERROR(__xludf.DUMMYFUNCTION("""COMPUTED_VALUE"""),"-33.875494,-70.720491")</f>
        <v>-33.875494,-70.720491</v>
      </c>
      <c r="C7820" s="6" t="str">
        <f ca="1">IFERROR(__xludf.DUMMYFUNCTION("""COMPUTED_VALUE"""),"EL SAUCE 161")</f>
        <v>EL SAUCE 161</v>
      </c>
      <c r="D7820" s="6" t="str">
        <f ca="1">IFERROR(__xludf.DUMMYFUNCTION("""COMPUTED_VALUE"""),"PAINE")</f>
        <v>PAINE</v>
      </c>
    </row>
    <row r="7821" spans="1:4">
      <c r="A7821" s="7">
        <f ca="1">IFERROR(__xludf.DUMMYFUNCTION("""COMPUTED_VALUE"""),44667)</f>
        <v>44667</v>
      </c>
      <c r="B7821" s="6" t="str">
        <f ca="1">IFERROR(__xludf.DUMMYFUNCTION("""COMPUTED_VALUE"""),"-33.8562081,-70.7536513")</f>
        <v>-33.8562081,-70.7536513</v>
      </c>
      <c r="C7821" s="6" t="str">
        <f ca="1">IFERROR(__xludf.DUMMYFUNCTION("""COMPUTED_VALUE"""),"LOS AROMOS 113")</f>
        <v>LOS AROMOS 113</v>
      </c>
      <c r="D7821" s="6" t="str">
        <f ca="1">IFERROR(__xludf.DUMMYFUNCTION("""COMPUTED_VALUE"""),"PAINE")</f>
        <v>PAINE</v>
      </c>
    </row>
    <row r="7822" spans="1:4">
      <c r="A7822" s="7">
        <f ca="1">IFERROR(__xludf.DUMMYFUNCTION("""COMPUTED_VALUE"""),44667)</f>
        <v>44667</v>
      </c>
      <c r="B7822" s="6" t="str">
        <f ca="1">IFERROR(__xludf.DUMMYFUNCTION("""COMPUTED_VALUE"""),"-33.8562301,-70.7525305")</f>
        <v>-33.8562301,-70.7525305</v>
      </c>
      <c r="C7822" s="6" t="str">
        <f ca="1">IFERROR(__xludf.DUMMYFUNCTION("""COMPUTED_VALUE"""),"PASAJE LOS AROMOS 123")</f>
        <v>PASAJE LOS AROMOS 123</v>
      </c>
      <c r="D7822" s="6" t="str">
        <f ca="1">IFERROR(__xludf.DUMMYFUNCTION("""COMPUTED_VALUE"""),"PAINE")</f>
        <v>PAINE</v>
      </c>
    </row>
    <row r="7823" spans="1:4">
      <c r="A7823" s="7">
        <f ca="1">IFERROR(__xludf.DUMMYFUNCTION("""COMPUTED_VALUE"""),44668)</f>
        <v>44668</v>
      </c>
      <c r="B7823" s="6" t="str">
        <f ca="1">IFERROR(__xludf.DUMMYFUNCTION("""COMPUTED_VALUE"""),"-33.855889,-70.752591")</f>
        <v>-33.855889,-70.752591</v>
      </c>
      <c r="C7823" s="6" t="str">
        <f ca="1">IFERROR(__xludf.DUMMYFUNCTION("""COMPUTED_VALUE"""),"LOS AROMOS 123, LOTE E")</f>
        <v>LOS AROMOS 123, LOTE E</v>
      </c>
      <c r="D7823" s="6" t="str">
        <f ca="1">IFERROR(__xludf.DUMMYFUNCTION("""COMPUTED_VALUE"""),"PAINE")</f>
        <v>PAINE</v>
      </c>
    </row>
    <row r="7824" spans="1:4">
      <c r="A7824" s="7">
        <f ca="1">IFERROR(__xludf.DUMMYFUNCTION("""COMPUTED_VALUE"""),44668)</f>
        <v>44668</v>
      </c>
      <c r="B7824" s="6" t="str">
        <f ca="1">IFERROR(__xludf.DUMMYFUNCTION("""COMPUTED_VALUE"""),"-33.855889,-70.752591")</f>
        <v>-33.855889,-70.752591</v>
      </c>
      <c r="C7824" s="6" t="str">
        <f ca="1">IFERROR(__xludf.DUMMYFUNCTION("""COMPUTED_VALUE"""),"LOS AROMOS 123, LOTE E")</f>
        <v>LOS AROMOS 123, LOTE E</v>
      </c>
      <c r="D7824" s="6" t="str">
        <f ca="1">IFERROR(__xludf.DUMMYFUNCTION("""COMPUTED_VALUE"""),"PAINE")</f>
        <v>PAINE</v>
      </c>
    </row>
    <row r="7825" spans="1:4">
      <c r="A7825" s="7">
        <f ca="1">IFERROR(__xludf.DUMMYFUNCTION("""COMPUTED_VALUE"""),44668)</f>
        <v>44668</v>
      </c>
      <c r="B7825" s="6" t="str">
        <f ca="1">IFERROR(__xludf.DUMMYFUNCTION("""COMPUTED_VALUE"""),"-33.826142,-70.767345")</f>
        <v>-33.826142,-70.767345</v>
      </c>
      <c r="C7825" s="6" t="str">
        <f ca="1">IFERROR(__xludf.DUMMYFUNCTION("""COMPUTED_VALUE"""),"JUAN ANTONIO RIO 22B")</f>
        <v>JUAN ANTONIO RIO 22B</v>
      </c>
      <c r="D7825" s="6" t="str">
        <f ca="1">IFERROR(__xludf.DUMMYFUNCTION("""COMPUTED_VALUE"""),"PAINE")</f>
        <v>PAINE</v>
      </c>
    </row>
    <row r="7826" spans="1:4">
      <c r="A7826" s="7">
        <f ca="1">IFERROR(__xludf.DUMMYFUNCTION("""COMPUTED_VALUE"""),44669)</f>
        <v>44669</v>
      </c>
      <c r="B7826" s="8" t="str">
        <f ca="1">IFERROR(__xludf.DUMMYFUNCTION("""COMPUTED_VALUE"""),"-33.856106-70.754380")</f>
        <v>-33.856106-70.754380</v>
      </c>
      <c r="C7826" s="6" t="str">
        <f ca="1">IFERROR(__xludf.DUMMYFUNCTION("""COMPUTED_VALUE"""),"DARIO PAVEZ 227")</f>
        <v>DARIO PAVEZ 227</v>
      </c>
      <c r="D7826" s="6" t="str">
        <f ca="1">IFERROR(__xludf.DUMMYFUNCTION("""COMPUTED_VALUE"""),"PAINE")</f>
        <v>PAINE</v>
      </c>
    </row>
    <row r="7827" spans="1:4">
      <c r="A7827" s="7">
        <f ca="1">IFERROR(__xludf.DUMMYFUNCTION("""COMPUTED_VALUE"""),44669)</f>
        <v>44669</v>
      </c>
      <c r="B7827" s="8" t="str">
        <f ca="1">IFERROR(__xludf.DUMMYFUNCTION("""COMPUTED_VALUE"""),"-33.838970-70.642373")</f>
        <v>-33.838970-70.642373</v>
      </c>
      <c r="C7827" s="6" t="str">
        <f ca="1">IFERROR(__xludf.DUMMYFUNCTION("""COMPUTED_VALUE"""),"VICTORIA CAMPESINA SITIO 1")</f>
        <v>VICTORIA CAMPESINA SITIO 1</v>
      </c>
      <c r="D7827" s="6" t="str">
        <f ca="1">IFERROR(__xludf.DUMMYFUNCTION("""COMPUTED_VALUE"""),"PAINE")</f>
        <v>PAINE</v>
      </c>
    </row>
    <row r="7828" spans="1:4">
      <c r="A7828" s="7">
        <f ca="1">IFERROR(__xludf.DUMMYFUNCTION("""COMPUTED_VALUE"""),44669)</f>
        <v>44669</v>
      </c>
      <c r="B7828" s="8" t="str">
        <f ca="1">IFERROR(__xludf.DUMMYFUNCTION("""COMPUTED_VALUE"""),"-33.733277-70.906817")</f>
        <v>-33.733277-70.906817</v>
      </c>
      <c r="C7828" s="6" t="str">
        <f ca="1">IFERROR(__xludf.DUMMYFUNCTION("""COMPUTED_VALUE"""),"EL MANZANO 1195")</f>
        <v>EL MANZANO 1195</v>
      </c>
      <c r="D7828" s="6" t="str">
        <f ca="1">IFERROR(__xludf.DUMMYFUNCTION("""COMPUTED_VALUE"""),"ISLA DE MAIPO")</f>
        <v>ISLA DE MAIPO</v>
      </c>
    </row>
    <row r="7829" spans="1:4">
      <c r="A7829" s="7">
        <f ca="1">IFERROR(__xludf.DUMMYFUNCTION("""COMPUTED_VALUE"""),44669)</f>
        <v>44669</v>
      </c>
      <c r="B7829" s="8" t="str">
        <f ca="1">IFERROR(__xludf.DUMMYFUNCTION("""COMPUTED_VALUE"""),"-33.733138-70.907181")</f>
        <v>-33.733138-70.907181</v>
      </c>
      <c r="C7829" s="6" t="str">
        <f ca="1">IFERROR(__xludf.DUMMYFUNCTION("""COMPUTED_VALUE"""),"EL MANZANO 1150")</f>
        <v>EL MANZANO 1150</v>
      </c>
      <c r="D7829" s="6" t="str">
        <f ca="1">IFERROR(__xludf.DUMMYFUNCTION("""COMPUTED_VALUE"""),"ISLA DE MAIPO")</f>
        <v>ISLA DE MAIPO</v>
      </c>
    </row>
    <row r="7830" spans="1:4">
      <c r="A7830" s="7">
        <f ca="1">IFERROR(__xludf.DUMMYFUNCTION("""COMPUTED_VALUE"""),44669)</f>
        <v>44669</v>
      </c>
      <c r="B7830" s="8" t="str">
        <f ca="1">IFERROR(__xludf.DUMMYFUNCTION("""COMPUTED_VALUE"""),"-33873938-70.876762")</f>
        <v>-33873938-70.876762</v>
      </c>
      <c r="C7830" s="6" t="str">
        <f ca="1">IFERROR(__xludf.DUMMYFUNCTION("""COMPUTED_VALUE"""),"MIGUEL LATELIER 5")</f>
        <v>MIGUEL LATELIER 5</v>
      </c>
      <c r="D7830" s="6" t="str">
        <f ca="1">IFERROR(__xludf.DUMMYFUNCTION("""COMPUTED_VALUE"""),"PAINE")</f>
        <v>PAINE</v>
      </c>
    </row>
    <row r="7831" spans="1:4">
      <c r="A7831" s="7">
        <f ca="1">IFERROR(__xludf.DUMMYFUNCTION("""COMPUTED_VALUE"""),44669)</f>
        <v>44669</v>
      </c>
      <c r="B7831" s="8" t="str">
        <f ca="1">IFERROR(__xludf.DUMMYFUNCTION("""COMPUTED_VALUE"""),"-33848297-70.643146")</f>
        <v>-33848297-70.643146</v>
      </c>
      <c r="C7831" s="6" t="str">
        <f ca="1">IFERROR(__xludf.DUMMYFUNCTION("""COMPUTED_VALUE"""),"CARDONAL SITIO 10")</f>
        <v>CARDONAL SITIO 10</v>
      </c>
      <c r="D7831" s="6" t="str">
        <f ca="1">IFERROR(__xludf.DUMMYFUNCTION("""COMPUTED_VALUE"""),"PAINE")</f>
        <v>PAINE</v>
      </c>
    </row>
    <row r="7832" spans="1:4">
      <c r="A7832" s="7">
        <f ca="1">IFERROR(__xludf.DUMMYFUNCTION("""COMPUTED_VALUE"""),44669)</f>
        <v>44669</v>
      </c>
      <c r="B7832" s="6" t="str">
        <f ca="1">IFERROR(__xludf.DUMMYFUNCTION("""COMPUTED_VALUE"""),"-33.655526-71.277094")</f>
        <v>-33.655526-71.277094</v>
      </c>
      <c r="C7832" s="6" t="str">
        <f ca="1">IFERROR(__xludf.DUMMYFUNCTION("""COMPUTED_VALUE"""),"SANTA ROSA S/N")</f>
        <v>SANTA ROSA S/N</v>
      </c>
      <c r="D7832" s="6" t="str">
        <f ca="1">IFERROR(__xludf.DUMMYFUNCTION("""COMPUTED_VALUE"""),"MELIPILLA")</f>
        <v>MELIPILLA</v>
      </c>
    </row>
    <row r="7833" spans="1:4">
      <c r="A7833" s="7">
        <f ca="1">IFERROR(__xludf.DUMMYFUNCTION("""COMPUTED_VALUE"""),44669)</f>
        <v>44669</v>
      </c>
      <c r="B7833" s="6" t="str">
        <f ca="1">IFERROR(__xludf.DUMMYFUNCTION("""COMPUTED_VALUE"""),"-33.605025-70.353040")</f>
        <v>-33.605025-70.353040</v>
      </c>
      <c r="C7833" s="6" t="str">
        <f ca="1">IFERROR(__xludf.DUMMYFUNCTION("""COMPUTED_VALUE"""),"CAMINO GUAYACAN S/N")</f>
        <v>CAMINO GUAYACAN S/N</v>
      </c>
      <c r="D7833" s="6" t="str">
        <f ca="1">IFERROR(__xludf.DUMMYFUNCTION("""COMPUTED_VALUE"""),"SAN JOSE DE MAIPO")</f>
        <v>SAN JOSE DE MAIPO</v>
      </c>
    </row>
    <row r="7834" spans="1:4">
      <c r="A7834" s="7">
        <f ca="1">IFERROR(__xludf.DUMMYFUNCTION("""COMPUTED_VALUE"""),44669)</f>
        <v>44669</v>
      </c>
      <c r="B7834" s="6" t="str">
        <f ca="1">IFERROR(__xludf.DUMMYFUNCTION("""COMPUTED_VALUE"""),"-33.594175-70.381920")</f>
        <v>-33.594175-70.381920</v>
      </c>
      <c r="C7834" s="6" t="str">
        <f ca="1">IFERROR(__xludf.DUMMYFUNCTION("""COMPUTED_VALUE"""),"CAMINO DEL MEDIO 0409 C")</f>
        <v>CAMINO DEL MEDIO 0409 C</v>
      </c>
      <c r="D7834" s="6" t="str">
        <f ca="1">IFERROR(__xludf.DUMMYFUNCTION("""COMPUTED_VALUE"""),"SAN JOSE DE MAIPO")</f>
        <v>SAN JOSE DE MAIPO</v>
      </c>
    </row>
    <row r="7835" spans="1:4">
      <c r="A7835" s="7">
        <f ca="1">IFERROR(__xludf.DUMMYFUNCTION("""COMPUTED_VALUE"""),44669)</f>
        <v>44669</v>
      </c>
      <c r="B7835" s="6" t="str">
        <f ca="1">IFERROR(__xludf.DUMMYFUNCTION("""COMPUTED_VALUE"""),"-33.677935-71.202905")</f>
        <v>-33.677935-71.202905</v>
      </c>
      <c r="C7835" s="6" t="str">
        <f ca="1">IFERROR(__xludf.DUMMYFUNCTION("""COMPUTED_VALUE"""),"JOSE ARIAS 785")</f>
        <v>JOSE ARIAS 785</v>
      </c>
      <c r="D7835" s="6" t="str">
        <f ca="1">IFERROR(__xludf.DUMMYFUNCTION("""COMPUTED_VALUE"""),"MELIPILLA")</f>
        <v>MELIPILLA</v>
      </c>
    </row>
    <row r="7836" spans="1:4">
      <c r="A7836" s="7">
        <f ca="1">IFERROR(__xludf.DUMMYFUNCTION("""COMPUTED_VALUE"""),44669)</f>
        <v>44669</v>
      </c>
      <c r="B7836" s="6" t="str">
        <f ca="1">IFERROR(__xludf.DUMMYFUNCTION("""COMPUTED_VALUE"""),"-33.677819-71.204319")</f>
        <v>-33.677819-71.204319</v>
      </c>
      <c r="C7836" s="6" t="str">
        <f ca="1">IFERROR(__xludf.DUMMYFUNCTION("""COMPUTED_VALUE"""),"JOSE ARIAS 090")</f>
        <v>JOSE ARIAS 090</v>
      </c>
      <c r="D7836" s="6" t="str">
        <f ca="1">IFERROR(__xludf.DUMMYFUNCTION("""COMPUTED_VALUE"""),"MELIPILLA")</f>
        <v>MELIPILLA</v>
      </c>
    </row>
    <row r="7837" spans="1:4">
      <c r="A7837" s="7">
        <f ca="1">IFERROR(__xludf.DUMMYFUNCTION("""COMPUTED_VALUE"""),44669)</f>
        <v>44669</v>
      </c>
      <c r="B7837" s="6" t="str">
        <f ca="1">IFERROR(__xludf.DUMMYFUNCTION("""COMPUTED_VALUE"""),"-33.678001-71.204637")</f>
        <v>-33.678001-71.204637</v>
      </c>
      <c r="C7837" s="6" t="str">
        <f ca="1">IFERROR(__xludf.DUMMYFUNCTION("""COMPUTED_VALUE"""),"JOSE ARIAS 50")</f>
        <v>JOSE ARIAS 50</v>
      </c>
      <c r="D7837" s="6" t="str">
        <f ca="1">IFERROR(__xludf.DUMMYFUNCTION("""COMPUTED_VALUE"""),"MELIPILLA")</f>
        <v>MELIPILLA</v>
      </c>
    </row>
    <row r="7838" spans="1:4">
      <c r="A7838" s="7">
        <f ca="1">IFERROR(__xludf.DUMMYFUNCTION("""COMPUTED_VALUE"""),44669)</f>
        <v>44669</v>
      </c>
      <c r="B7838" s="6" t="str">
        <f ca="1">IFERROR(__xludf.DUMMYFUNCTION("""COMPUTED_VALUE"""),"-33.677805-71.204175")</f>
        <v>-33.677805-71.204175</v>
      </c>
      <c r="C7838" s="6" t="str">
        <f ca="1">IFERROR(__xludf.DUMMYFUNCTION("""COMPUTED_VALUE"""),"JOSE ARIAS 91")</f>
        <v>JOSE ARIAS 91</v>
      </c>
      <c r="D7838" s="6" t="str">
        <f ca="1">IFERROR(__xludf.DUMMYFUNCTION("""COMPUTED_VALUE"""),"MELIPILLA")</f>
        <v>MELIPILLA</v>
      </c>
    </row>
    <row r="7839" spans="1:4">
      <c r="A7839" s="7">
        <f ca="1">IFERROR(__xludf.DUMMYFUNCTION("""COMPUTED_VALUE"""),44669)</f>
        <v>44669</v>
      </c>
      <c r="B7839" s="6" t="str">
        <f ca="1">IFERROR(__xludf.DUMMYFUNCTION("""COMPUTED_VALUE"""),"-33.570814-70.804452")</f>
        <v>-33.570814-70.804452</v>
      </c>
      <c r="C7839" s="6" t="str">
        <f ca="1">IFERROR(__xludf.DUMMYFUNCTION("""COMPUTED_VALUE"""),"TENIENTE MERINO 797")</f>
        <v>TENIENTE MERINO 797</v>
      </c>
      <c r="D7839" s="6" t="str">
        <f ca="1">IFERROR(__xludf.DUMMYFUNCTION("""COMPUTED_VALUE"""),"PADRE HURTADO")</f>
        <v>PADRE HURTADO</v>
      </c>
    </row>
    <row r="7840" spans="1:4">
      <c r="A7840" s="7">
        <f ca="1">IFERROR(__xludf.DUMMYFUNCTION("""COMPUTED_VALUE"""),44669)</f>
        <v>44669</v>
      </c>
      <c r="B7840" s="8" t="str">
        <f ca="1">IFERROR(__xludf.DUMMYFUNCTION("""COMPUTED_VALUE"""),"-33.181718,-70.670886")</f>
        <v>-33.181718,-70.670886</v>
      </c>
      <c r="C7840" s="6" t="str">
        <f ca="1">IFERROR(__xludf.DUMMYFUNCTION("""COMPUTED_VALUE"""),"EDUARDO MARINO 2008")</f>
        <v>EDUARDO MARINO 2008</v>
      </c>
      <c r="D7840" s="6" t="str">
        <f ca="1">IFERROR(__xludf.DUMMYFUNCTION("""COMPUTED_VALUE"""),"COLINA")</f>
        <v>COLINA</v>
      </c>
    </row>
    <row r="7841" spans="1:4">
      <c r="A7841" s="7">
        <f ca="1">IFERROR(__xludf.DUMMYFUNCTION("""COMPUTED_VALUE"""),44669)</f>
        <v>44669</v>
      </c>
      <c r="B7841" s="8" t="str">
        <f ca="1">IFERROR(__xludf.DUMMYFUNCTION("""COMPUTED_VALUE"""),"-33.200156,-70.703052")</f>
        <v>-33.200156,-70.703052</v>
      </c>
      <c r="C7841" s="6" t="str">
        <f ca="1">IFERROR(__xludf.DUMMYFUNCTION("""COMPUTED_VALUE"""),"EDUARDO MARINO 2008")</f>
        <v>EDUARDO MARINO 2008</v>
      </c>
      <c r="D7841" s="6" t="str">
        <f ca="1">IFERROR(__xludf.DUMMYFUNCTION("""COMPUTED_VALUE"""),"COLINA")</f>
        <v>COLINA</v>
      </c>
    </row>
    <row r="7842" spans="1:4">
      <c r="A7842" s="7">
        <f ca="1">IFERROR(__xludf.DUMMYFUNCTION("""COMPUTED_VALUE"""),44669)</f>
        <v>44669</v>
      </c>
      <c r="B7842" s="8" t="str">
        <f ca="1">IFERROR(__xludf.DUMMYFUNCTION("""COMPUTED_VALUE"""),"-33.181681,-70.670291")</f>
        <v>-33.181681,-70.670291</v>
      </c>
      <c r="C7842" s="6" t="str">
        <f ca="1">IFERROR(__xludf.DUMMYFUNCTION("""COMPUTED_VALUE"""),"EDUARDO BARRIOS 2008")</f>
        <v>EDUARDO BARRIOS 2008</v>
      </c>
      <c r="D7842" s="6" t="str">
        <f ca="1">IFERROR(__xludf.DUMMYFUNCTION("""COMPUTED_VALUE"""),"COLINA")</f>
        <v>COLINA</v>
      </c>
    </row>
    <row r="7843" spans="1:4">
      <c r="A7843" s="7">
        <f ca="1">IFERROR(__xludf.DUMMYFUNCTION("""COMPUTED_VALUE"""),44669)</f>
        <v>44669</v>
      </c>
      <c r="B7843" s="8" t="str">
        <f ca="1">IFERROR(__xludf.DUMMYFUNCTION("""COMPUTED_VALUE"""),"-33.213896,-70.682520")</f>
        <v>-33.213896,-70.682520</v>
      </c>
      <c r="C7843" s="6" t="str">
        <f ca="1">IFERROR(__xludf.DUMMYFUNCTION("""COMPUTED_VALUE"""),"LA MONTURA 44")</f>
        <v>LA MONTURA 44</v>
      </c>
      <c r="D7843" s="6" t="str">
        <f ca="1">IFERROR(__xludf.DUMMYFUNCTION("""COMPUTED_VALUE"""),"COLINA")</f>
        <v>COLINA</v>
      </c>
    </row>
    <row r="7844" spans="1:4">
      <c r="A7844" s="7">
        <f ca="1">IFERROR(__xludf.DUMMYFUNCTION("""COMPUTED_VALUE"""),44669)</f>
        <v>44669</v>
      </c>
      <c r="B7844" s="8" t="str">
        <f ca="1">IFERROR(__xludf.DUMMYFUNCTION("""COMPUTED_VALUE"""),"-33.728805,-70.553983")</f>
        <v>-33.728805,-70.553983</v>
      </c>
      <c r="C7844" s="6" t="str">
        <f ca="1">IFERROR(__xludf.DUMMYFUNCTION("""COMPUTED_VALUE"""),"VILLORIO SAN MIGUEL 1746")</f>
        <v>VILLORIO SAN MIGUEL 1746</v>
      </c>
      <c r="D7844" s="6" t="str">
        <f ca="1">IFERROR(__xludf.DUMMYFUNCTION("""COMPUTED_VALUE"""),"PIRQUE")</f>
        <v>PIRQUE</v>
      </c>
    </row>
    <row r="7845" spans="1:4">
      <c r="A7845" s="7">
        <f ca="1">IFERROR(__xludf.DUMMYFUNCTION("""COMPUTED_VALUE"""),44669)</f>
        <v>44669</v>
      </c>
      <c r="B7845" s="8" t="str">
        <f ca="1">IFERROR(__xludf.DUMMYFUNCTION("""COMPUTED_VALUE"""),"-33.708556,-70.555955")</f>
        <v>-33.708556,-70.555955</v>
      </c>
      <c r="C7845" s="6" t="str">
        <f ca="1">IFERROR(__xludf.DUMMYFUNCTION("""COMPUTED_VALUE"""),"CALLE NUEVA 40 B (CO)")</f>
        <v>CALLE NUEVA 40 B (CO)</v>
      </c>
      <c r="D7845" s="6" t="str">
        <f ca="1">IFERROR(__xludf.DUMMYFUNCTION("""COMPUTED_VALUE"""),"PIRQUE")</f>
        <v>PIRQUE</v>
      </c>
    </row>
    <row r="7846" spans="1:4">
      <c r="A7846" s="7">
        <f ca="1">IFERROR(__xludf.DUMMYFUNCTION("""COMPUTED_VALUE"""),44669)</f>
        <v>44669</v>
      </c>
      <c r="B7846" s="8" t="str">
        <f ca="1">IFERROR(__xludf.DUMMYFUNCTION("""COMPUTED_VALUE"""),"33.708136,-70.556242")</f>
        <v>33.708136,-70.556242</v>
      </c>
      <c r="C7846" s="6" t="str">
        <f ca="1">IFERROR(__xludf.DUMMYFUNCTION("""COMPUTED_VALUE"""),"CALLE NUEVA 40 PARCELA 4")</f>
        <v>CALLE NUEVA 40 PARCELA 4</v>
      </c>
      <c r="D7846" s="6" t="str">
        <f ca="1">IFERROR(__xludf.DUMMYFUNCTION("""COMPUTED_VALUE"""),"PIRQUE")</f>
        <v>PIRQUE</v>
      </c>
    </row>
    <row r="7847" spans="1:4">
      <c r="A7847" s="7">
        <f ca="1">IFERROR(__xludf.DUMMYFUNCTION("""COMPUTED_VALUE"""),44669)</f>
        <v>44669</v>
      </c>
      <c r="B7847" s="6" t="str">
        <f ca="1">IFERROR(__xludf.DUMMYFUNCTION("""COMPUTED_VALUE"""),"-33.743516,-70.870227")</f>
        <v>-33.743516,-70.870227</v>
      </c>
      <c r="C7847" s="6" t="str">
        <f ca="1">IFERROR(__xludf.DUMMYFUNCTION("""COMPUTED_VALUE"""),"REGIDOR ERNESTO TITO JIMENEZ 493")</f>
        <v>REGIDOR ERNESTO TITO JIMENEZ 493</v>
      </c>
      <c r="D7847" s="6" t="str">
        <f ca="1">IFERROR(__xludf.DUMMYFUNCTION("""COMPUTED_VALUE"""),"ISLA DE MAIPO")</f>
        <v>ISLA DE MAIPO</v>
      </c>
    </row>
    <row r="7848" spans="1:4">
      <c r="A7848" s="7">
        <f ca="1">IFERROR(__xludf.DUMMYFUNCTION("""COMPUTED_VALUE"""),44669)</f>
        <v>44669</v>
      </c>
      <c r="B7848" s="6" t="str">
        <f ca="1">IFERROR(__xludf.DUMMYFUNCTION("""COMPUTED_VALUE"""),"-33.693809,-71.207361")</f>
        <v>-33.693809,-71.207361</v>
      </c>
      <c r="C7848" s="6" t="str">
        <f ca="1">IFERROR(__xludf.DUMMYFUNCTION("""COMPUTED_VALUE"""),"EGAÑA 1129")</f>
        <v>EGAÑA 1129</v>
      </c>
      <c r="D7848" s="6" t="str">
        <f ca="1">IFERROR(__xludf.DUMMYFUNCTION("""COMPUTED_VALUE"""),"MELIPILLA")</f>
        <v>MELIPILLA</v>
      </c>
    </row>
    <row r="7849" spans="1:4">
      <c r="A7849" s="7">
        <f ca="1">IFERROR(__xludf.DUMMYFUNCTION("""COMPUTED_VALUE"""),44669)</f>
        <v>44669</v>
      </c>
      <c r="B7849" s="6" t="str">
        <f ca="1">IFERROR(__xludf.DUMMYFUNCTION("""COMPUTED_VALUE"""),"-33.556670,-70.868690")</f>
        <v>-33.556670,-70.868690</v>
      </c>
      <c r="C7849" s="6" t="str">
        <f ca="1">IFERROR(__xludf.DUMMYFUNCTION("""COMPUTED_VALUE"""),"VILLORIO SANTA LUISA 11 B")</f>
        <v>VILLORIO SANTA LUISA 11 B</v>
      </c>
      <c r="D7849" s="6" t="str">
        <f ca="1">IFERROR(__xludf.DUMMYFUNCTION("""COMPUTED_VALUE"""),"PADRE HURTADO")</f>
        <v>PADRE HURTADO</v>
      </c>
    </row>
    <row r="7850" spans="1:4">
      <c r="A7850" s="7">
        <f ca="1">IFERROR(__xludf.DUMMYFUNCTION("""COMPUTED_VALUE"""),44669)</f>
        <v>44669</v>
      </c>
      <c r="B7850" s="8" t="str">
        <f ca="1">IFERROR(__xludf.DUMMYFUNCTION("""COMPUTED_VALUE"""),"-33.642162,-70.758038")</f>
        <v>-33.642162,-70.758038</v>
      </c>
      <c r="C7850" s="6" t="str">
        <f ca="1">IFERROR(__xludf.DUMMYFUNCTION("""COMPUTED_VALUE"""),"SANTA INES 48 ")</f>
        <v xml:space="preserve">SANTA INES 48 </v>
      </c>
      <c r="D7850" s="6" t="str">
        <f ca="1">IFERROR(__xludf.DUMMYFUNCTION("""COMPUTED_VALUE"""),"CALERA DE TANGO")</f>
        <v>CALERA DE TANGO</v>
      </c>
    </row>
    <row r="7851" spans="1:4">
      <c r="A7851" s="7">
        <f ca="1">IFERROR(__xludf.DUMMYFUNCTION("""COMPUTED_VALUE"""),44669)</f>
        <v>44669</v>
      </c>
      <c r="B7851" s="8" t="str">
        <f ca="1">IFERROR(__xludf.DUMMYFUNCTION("""COMPUTED_VALUE"""),"-33.681517,-71.205939")</f>
        <v>-33.681517,-71.205939</v>
      </c>
      <c r="C7851" s="6" t="str">
        <f ca="1">IFERROR(__xludf.DUMMYFUNCTION("""COMPUTED_VALUE"""),"AVENIDA MANUEL RODRIGUEZ N 51")</f>
        <v>AVENIDA MANUEL RODRIGUEZ N 51</v>
      </c>
      <c r="D7851" s="6" t="str">
        <f ca="1">IFERROR(__xludf.DUMMYFUNCTION("""COMPUTED_VALUE"""),"MELIPILLA")</f>
        <v>MELIPILLA</v>
      </c>
    </row>
    <row r="7852" spans="1:4">
      <c r="A7852" s="7">
        <f ca="1">IFERROR(__xludf.DUMMYFUNCTION("""COMPUTED_VALUE"""),44669)</f>
        <v>44669</v>
      </c>
      <c r="B7852" s="8" t="str">
        <f ca="1">IFERROR(__xludf.DUMMYFUNCTION("""COMPUTED_VALUE"""),"-33.864338,-70.749889")</f>
        <v>-33.864338,-70.749889</v>
      </c>
      <c r="C7852" s="6" t="str">
        <f ca="1">IFERROR(__xludf.DUMMYFUNCTION("""COMPUTED_VALUE"""),"LOS ACACIOS 99")</f>
        <v>LOS ACACIOS 99</v>
      </c>
      <c r="D7852" s="6" t="str">
        <f ca="1">IFERROR(__xludf.DUMMYFUNCTION("""COMPUTED_VALUE"""),"PAINE")</f>
        <v>PAINE</v>
      </c>
    </row>
    <row r="7853" spans="1:4">
      <c r="A7853" s="7">
        <f ca="1">IFERROR(__xludf.DUMMYFUNCTION("""COMPUTED_VALUE"""),44669)</f>
        <v>44669</v>
      </c>
      <c r="B7853" s="8" t="str">
        <f ca="1">IFERROR(__xludf.DUMMYFUNCTION("""COMPUTED_VALUE"""),"-33.919600,-70.736343")</f>
        <v>-33.919600,-70.736343</v>
      </c>
      <c r="C7853" s="6" t="str">
        <f ca="1">IFERROR(__xludf.DUMMYFUNCTION("""COMPUTED_VALUE"""),"LA ENCENADA 4 ")</f>
        <v xml:space="preserve">LA ENCENADA 4 </v>
      </c>
      <c r="D7853" s="6" t="str">
        <f ca="1">IFERROR(__xludf.DUMMYFUNCTION("""COMPUTED_VALUE"""),"PAINE")</f>
        <v>PAINE</v>
      </c>
    </row>
    <row r="7854" spans="1:4">
      <c r="A7854" s="7">
        <f ca="1">IFERROR(__xludf.DUMMYFUNCTION("""COMPUTED_VALUE"""),44669)</f>
        <v>44669</v>
      </c>
      <c r="B7854" s="6" t="str">
        <f ca="1">IFERROR(__xludf.DUMMYFUNCTION("""COMPUTED_VALUE"""),"-33.803679,-70.717262")</f>
        <v>-33.803679,-70.717262</v>
      </c>
      <c r="C7854" s="6" t="str">
        <f ca="1">IFERROR(__xludf.DUMMYFUNCTION("""COMPUTED_VALUE"""),"LOS BOLDOS 1861")</f>
        <v>LOS BOLDOS 1861</v>
      </c>
      <c r="D7854" s="6" t="str">
        <f ca="1">IFERROR(__xludf.DUMMYFUNCTION("""COMPUTED_VALUE"""),"PAINE")</f>
        <v>PAINE</v>
      </c>
    </row>
    <row r="7855" spans="1:4">
      <c r="A7855" s="7">
        <f ca="1">IFERROR(__xludf.DUMMYFUNCTION("""COMPUTED_VALUE"""),44669)</f>
        <v>44669</v>
      </c>
      <c r="B7855" s="6" t="str">
        <f ca="1">IFERROR(__xludf.DUMMYFUNCTION("""COMPUTED_VALUE"""),"-33.888773,-70.757960")</f>
        <v>-33.888773,-70.757960</v>
      </c>
      <c r="C7855" s="6" t="str">
        <f ca="1">IFERROR(__xludf.DUMMYFUNCTION("""COMPUTED_VALUE"""),"CO.AGUILA NORTE PARC. 19-2")</f>
        <v>CO.AGUILA NORTE PARC. 19-2</v>
      </c>
      <c r="D7855" s="6" t="str">
        <f ca="1">IFERROR(__xludf.DUMMYFUNCTION("""COMPUTED_VALUE"""),"PAINE")</f>
        <v>PAINE</v>
      </c>
    </row>
    <row r="7856" spans="1:4">
      <c r="A7856" s="7">
        <f ca="1">IFERROR(__xludf.DUMMYFUNCTION("""COMPUTED_VALUE"""),44669)</f>
        <v>44669</v>
      </c>
      <c r="B7856" s="6" t="str">
        <f ca="1">IFERROR(__xludf.DUMMYFUNCTION("""COMPUTED_VALUE"""),"-33.844213,-70.956192")</f>
        <v>-33.844213,-70.956192</v>
      </c>
      <c r="C7856" s="6" t="str">
        <f ca="1">IFERROR(__xludf.DUMMYFUNCTION("""COMPUTED_VALUE"""),"ALFONSO LETELIER 35")</f>
        <v>ALFONSO LETELIER 35</v>
      </c>
      <c r="D7856" s="6" t="str">
        <f ca="1">IFERROR(__xludf.DUMMYFUNCTION("""COMPUTED_VALUE"""),"PAINE")</f>
        <v>PAINE</v>
      </c>
    </row>
    <row r="7857" spans="1:4">
      <c r="A7857" s="7">
        <f ca="1">IFERROR(__xludf.DUMMYFUNCTION("""COMPUTED_VALUE"""),44669)</f>
        <v>44669</v>
      </c>
      <c r="B7857" s="6" t="str">
        <f ca="1">IFERROR(__xludf.DUMMYFUNCTION("""COMPUTED_VALUE"""),"-33.8561594,-70.7410992")</f>
        <v>-33.8561594,-70.7410992</v>
      </c>
      <c r="C7857" s="6" t="str">
        <f ca="1">IFERROR(__xludf.DUMMYFUNCTION("""COMPUTED_VALUE"""),"AV. ROMERO PARCELA29")</f>
        <v>AV. ROMERO PARCELA29</v>
      </c>
      <c r="D7857" s="6" t="str">
        <f ca="1">IFERROR(__xludf.DUMMYFUNCTION("""COMPUTED_VALUE"""),"PAINE")</f>
        <v>PAINE</v>
      </c>
    </row>
    <row r="7858" spans="1:4">
      <c r="A7858" s="7">
        <f ca="1">IFERROR(__xludf.DUMMYFUNCTION("""COMPUTED_VALUE"""),44669)</f>
        <v>44669</v>
      </c>
      <c r="B7858" s="6" t="str">
        <f ca="1">IFERROR(__xludf.DUMMYFUNCTION("""COMPUTED_VALUE"""),"-33.8562379,-70.7530548")</f>
        <v>-33.8562379,-70.7530548</v>
      </c>
      <c r="C7858" s="6" t="str">
        <f ca="1">IFERROR(__xludf.DUMMYFUNCTION("""COMPUTED_VALUE"""),"HUERTO 123 LOTE C")</f>
        <v>HUERTO 123 LOTE C</v>
      </c>
      <c r="D7858" s="6" t="str">
        <f ca="1">IFERROR(__xludf.DUMMYFUNCTION("""COMPUTED_VALUE"""),"PAINE")</f>
        <v>PAINE</v>
      </c>
    </row>
    <row r="7859" spans="1:4">
      <c r="A7859" s="7">
        <f ca="1">IFERROR(__xludf.DUMMYFUNCTION("""COMPUTED_VALUE"""),44669)</f>
        <v>44669</v>
      </c>
      <c r="B7859" s="6" t="str">
        <f ca="1">IFERROR(__xludf.DUMMYFUNCTION("""COMPUTED_VALUE"""),"-33.8631611,-70.7320202")</f>
        <v>-33.8631611,-70.7320202</v>
      </c>
      <c r="C7859" s="6" t="str">
        <f ca="1">IFERROR(__xludf.DUMMYFUNCTION("""COMPUTED_VALUE"""),"LAS ACACIAS 121 C")</f>
        <v>LAS ACACIAS 121 C</v>
      </c>
      <c r="D7859" s="6" t="str">
        <f ca="1">IFERROR(__xludf.DUMMYFUNCTION("""COMPUTED_VALUE"""),"PAINE")</f>
        <v>PAINE</v>
      </c>
    </row>
    <row r="7860" spans="1:4">
      <c r="A7860" s="7">
        <f ca="1">IFERROR(__xludf.DUMMYFUNCTION("""COMPUTED_VALUE"""),44669)</f>
        <v>44669</v>
      </c>
      <c r="B7860" s="6" t="str">
        <f ca="1">IFERROR(__xludf.DUMMYFUNCTION("""COMPUTED_VALUE"""),"-33.8631611,-70.7320202")</f>
        <v>-33.8631611,-70.7320202</v>
      </c>
      <c r="C7860" s="6" t="str">
        <f ca="1">IFERROR(__xludf.DUMMYFUNCTION("""COMPUTED_VALUE"""),"LAS ACACIAS 121 LOTE C")</f>
        <v>LAS ACACIAS 121 LOTE C</v>
      </c>
      <c r="D7860" s="6" t="str">
        <f ca="1">IFERROR(__xludf.DUMMYFUNCTION("""COMPUTED_VALUE"""),"PAINE")</f>
        <v>PAINE</v>
      </c>
    </row>
    <row r="7861" spans="1:4">
      <c r="A7861" s="7">
        <f ca="1">IFERROR(__xludf.DUMMYFUNCTION("""COMPUTED_VALUE"""),44669)</f>
        <v>44669</v>
      </c>
      <c r="B7861" s="6" t="str">
        <f ca="1">IFERROR(__xludf.DUMMYFUNCTION("""COMPUTED_VALUE"""),"-33.8631611,-70.7320202")</f>
        <v>-33.8631611,-70.7320202</v>
      </c>
      <c r="C7861" s="6" t="str">
        <f ca="1">IFERROR(__xludf.DUMMYFUNCTION("""COMPUTED_VALUE"""),"LAS ACACIAS 121 C")</f>
        <v>LAS ACACIAS 121 C</v>
      </c>
      <c r="D7861" s="6" t="str">
        <f ca="1">IFERROR(__xludf.DUMMYFUNCTION("""COMPUTED_VALUE"""),"PAINE")</f>
        <v>PAINE</v>
      </c>
    </row>
    <row r="7862" spans="1:4">
      <c r="A7862" s="7">
        <f ca="1">IFERROR(__xludf.DUMMYFUNCTION("""COMPUTED_VALUE"""),44670)</f>
        <v>44670</v>
      </c>
      <c r="B7862" s="8" t="str">
        <f ca="1">IFERROR(__xludf.DUMMYFUNCTION("""COMPUTED_VALUE"""),"-33.855572-70.754397")</f>
        <v>-33.855572-70.754397</v>
      </c>
      <c r="C7862" s="6" t="str">
        <f ca="1">IFERROR(__xludf.DUMMYFUNCTION("""COMPUTED_VALUE"""),"KENNEDY 227")</f>
        <v>KENNEDY 227</v>
      </c>
      <c r="D7862" s="6" t="str">
        <f ca="1">IFERROR(__xludf.DUMMYFUNCTION("""COMPUTED_VALUE"""),"PAINE")</f>
        <v>PAINE</v>
      </c>
    </row>
    <row r="7863" spans="1:4">
      <c r="A7863" s="7">
        <f ca="1">IFERROR(__xludf.DUMMYFUNCTION("""COMPUTED_VALUE"""),44670)</f>
        <v>44670</v>
      </c>
      <c r="B7863" s="8" t="str">
        <f ca="1">IFERROR(__xludf.DUMMYFUNCTION("""COMPUTED_VALUE"""),"-33.785952-70.889752")</f>
        <v>-33.785952-70.889752</v>
      </c>
      <c r="C7863" s="6" t="str">
        <f ca="1">IFERROR(__xludf.DUMMYFUNCTION("""COMPUTED_VALUE"""),"SAN M ARTIN 518")</f>
        <v>SAN M ARTIN 518</v>
      </c>
      <c r="D7863" s="6" t="str">
        <f ca="1">IFERROR(__xludf.DUMMYFUNCTION("""COMPUTED_VALUE"""),"ISLA DE MAIPO")</f>
        <v>ISLA DE MAIPO</v>
      </c>
    </row>
    <row r="7864" spans="1:4">
      <c r="A7864" s="7">
        <f ca="1">IFERROR(__xludf.DUMMYFUNCTION("""COMPUTED_VALUE"""),44670)</f>
        <v>44670</v>
      </c>
      <c r="B7864" s="8" t="str">
        <f ca="1">IFERROR(__xludf.DUMMYFUNCTION("""COMPUTED_VALUE"""),"-33.745127-70.897152")</f>
        <v>-33.745127-70.897152</v>
      </c>
      <c r="C7864" s="6" t="str">
        <f ca="1">IFERROR(__xludf.DUMMYFUNCTION("""COMPUTED_VALUE"""),"LAS PETUNIAS 1458")</f>
        <v>LAS PETUNIAS 1458</v>
      </c>
      <c r="D7864" s="6" t="str">
        <f ca="1">IFERROR(__xludf.DUMMYFUNCTION("""COMPUTED_VALUE"""),"ISLA DE MAIPO")</f>
        <v>ISLA DE MAIPO</v>
      </c>
    </row>
    <row r="7865" spans="1:4">
      <c r="A7865" s="7">
        <f ca="1">IFERROR(__xludf.DUMMYFUNCTION("""COMPUTED_VALUE"""),44670)</f>
        <v>44670</v>
      </c>
      <c r="B7865" s="8" t="str">
        <f ca="1">IFERROR(__xludf.DUMMYFUNCTION("""COMPUTED_VALUE"""),"-33.745127-70.897152")</f>
        <v>-33.745127-70.897152</v>
      </c>
      <c r="C7865" s="6" t="str">
        <f ca="1">IFERROR(__xludf.DUMMYFUNCTION("""COMPUTED_VALUE"""),"LAS PETUNIAS 1458")</f>
        <v>LAS PETUNIAS 1458</v>
      </c>
      <c r="D7865" s="6" t="str">
        <f ca="1">IFERROR(__xludf.DUMMYFUNCTION("""COMPUTED_VALUE"""),"ISLA DE MAIPO")</f>
        <v>ISLA DE MAIPO</v>
      </c>
    </row>
    <row r="7866" spans="1:4">
      <c r="A7866" s="7">
        <f ca="1">IFERROR(__xludf.DUMMYFUNCTION("""COMPUTED_VALUE"""),44670)</f>
        <v>44670</v>
      </c>
      <c r="B7866" s="8" t="str">
        <f ca="1">IFERROR(__xludf.DUMMYFUNCTION("""COMPUTED_VALUE"""),"-33.867391-70.905984")</f>
        <v>-33.867391-70.905984</v>
      </c>
      <c r="C7866" s="6" t="str">
        <f ca="1">IFERROR(__xludf.DUMMYFUNCTION("""COMPUTED_VALUE"""),"RANGUE 122,")</f>
        <v>RANGUE 122,</v>
      </c>
      <c r="D7866" s="6" t="str">
        <f ca="1">IFERROR(__xludf.DUMMYFUNCTION("""COMPUTED_VALUE"""),"PAINE")</f>
        <v>PAINE</v>
      </c>
    </row>
    <row r="7867" spans="1:4">
      <c r="A7867" s="7">
        <f ca="1">IFERROR(__xludf.DUMMYFUNCTION("""COMPUTED_VALUE"""),44670)</f>
        <v>44670</v>
      </c>
      <c r="B7867" s="8" t="str">
        <f ca="1">IFERROR(__xludf.DUMMYFUNCTION("""COMPUTED_VALUE"""),"-33.783445-70.886512")</f>
        <v>-33.783445-70.886512</v>
      </c>
      <c r="C7867" s="6" t="str">
        <f ca="1">IFERROR(__xludf.DUMMYFUNCTION("""COMPUTED_VALUE"""),"LAS MERCEDES")</f>
        <v>LAS MERCEDES</v>
      </c>
      <c r="D7867" s="6" t="str">
        <f ca="1">IFERROR(__xludf.DUMMYFUNCTION("""COMPUTED_VALUE"""),"ISLA DE MAIPO")</f>
        <v>ISLA DE MAIPO</v>
      </c>
    </row>
    <row r="7868" spans="1:4">
      <c r="A7868" s="7">
        <f ca="1">IFERROR(__xludf.DUMMYFUNCTION("""COMPUTED_VALUE"""),44670)</f>
        <v>44670</v>
      </c>
      <c r="B7868" s="8" t="str">
        <f ca="1">IFERROR(__xludf.DUMMYFUNCTION("""COMPUTED_VALUE"""),"-33.629864-70.536671")</f>
        <v>-33.629864-70.536671</v>
      </c>
      <c r="C7868" s="6" t="str">
        <f ca="1">IFERROR(__xludf.DUMMYFUNCTION("""COMPUTED_VALUE"""),"CASILLA 367")</f>
        <v>CASILLA 367</v>
      </c>
      <c r="D7868" s="6" t="str">
        <f ca="1">IFERROR(__xludf.DUMMYFUNCTION("""COMPUTED_VALUE"""),"PIRQUE")</f>
        <v>PIRQUE</v>
      </c>
    </row>
    <row r="7869" spans="1:4">
      <c r="A7869" s="7">
        <f ca="1">IFERROR(__xludf.DUMMYFUNCTION("""COMPUTED_VALUE"""),44670)</f>
        <v>44670</v>
      </c>
      <c r="B7869" s="8" t="str">
        <f ca="1">IFERROR(__xludf.DUMMYFUNCTION("""COMPUTED_VALUE"""),"-33.629864-70.536671")</f>
        <v>-33.629864-70.536671</v>
      </c>
      <c r="C7869" s="6" t="str">
        <f ca="1">IFERROR(__xludf.DUMMYFUNCTION("""COMPUTED_VALUE"""),"CASILLA 367")</f>
        <v>CASILLA 367</v>
      </c>
      <c r="D7869" s="6" t="str">
        <f ca="1">IFERROR(__xludf.DUMMYFUNCTION("""COMPUTED_VALUE"""),"PIRQUE")</f>
        <v>PIRQUE</v>
      </c>
    </row>
    <row r="7870" spans="1:4">
      <c r="A7870" s="7">
        <f ca="1">IFERROR(__xludf.DUMMYFUNCTION("""COMPUTED_VALUE"""),44670)</f>
        <v>44670</v>
      </c>
      <c r="B7870" s="6" t="str">
        <f ca="1">IFERROR(__xludf.DUMMYFUNCTION("""COMPUTED_VALUE"""),"-33.136822-70.801322")</f>
        <v>-33.136822-70.801322</v>
      </c>
      <c r="C7870" s="6" t="str">
        <f ca="1">IFERROR(__xludf.DUMMYFUNCTION("""COMPUTED_VALUE"""),"LAS CIMAS 716")</f>
        <v>LAS CIMAS 716</v>
      </c>
      <c r="D7870" s="6" t="str">
        <f ca="1">IFERROR(__xludf.DUMMYFUNCTION("""COMPUTED_VALUE"""),"TIL TIL")</f>
        <v>TIL TIL</v>
      </c>
    </row>
    <row r="7871" spans="1:4">
      <c r="A7871" s="7">
        <f ca="1">IFERROR(__xludf.DUMMYFUNCTION("""COMPUTED_VALUE"""),44670)</f>
        <v>44670</v>
      </c>
      <c r="B7871" s="6" t="str">
        <f ca="1">IFERROR(__xludf.DUMMYFUNCTION("""COMPUTED_VALUE"""),"-33.728435-70.552250")</f>
        <v>-33.728435-70.552250</v>
      </c>
      <c r="C7871" s="6" t="str">
        <f ca="1">IFERROR(__xludf.DUMMYFUNCTION("""COMPUTED_VALUE"""),"CERRO LA CHUPALLA 11245")</f>
        <v>CERRO LA CHUPALLA 11245</v>
      </c>
      <c r="D7871" s="6" t="str">
        <f ca="1">IFERROR(__xludf.DUMMYFUNCTION("""COMPUTED_VALUE"""),"PIRQUE")</f>
        <v>PIRQUE</v>
      </c>
    </row>
    <row r="7872" spans="1:4">
      <c r="A7872" s="7">
        <f ca="1">IFERROR(__xludf.DUMMYFUNCTION("""COMPUTED_VALUE"""),44670)</f>
        <v>44670</v>
      </c>
      <c r="B7872" s="6" t="str">
        <f ca="1">IFERROR(__xludf.DUMMYFUNCTION("""COMPUTED_VALUE"""),"-33.706505-70.539060")</f>
        <v>-33.706505-70.539060</v>
      </c>
      <c r="C7872" s="6" t="str">
        <f ca="1">IFERROR(__xludf.DUMMYFUNCTION("""COMPUTED_VALUE"""),"ORILLA DEL RIO S/N")</f>
        <v>ORILLA DEL RIO S/N</v>
      </c>
      <c r="D7872" s="6" t="str">
        <f ca="1">IFERROR(__xludf.DUMMYFUNCTION("""COMPUTED_VALUE"""),"PIRQUE")</f>
        <v>PIRQUE</v>
      </c>
    </row>
    <row r="7873" spans="1:4">
      <c r="A7873" s="7">
        <f ca="1">IFERROR(__xludf.DUMMYFUNCTION("""COMPUTED_VALUE"""),44670)</f>
        <v>44670</v>
      </c>
      <c r="B7873" s="6" t="str">
        <f ca="1">IFERROR(__xludf.DUMMYFUNCTION("""COMPUTED_VALUE"""),"-33.705885-70.540110")</f>
        <v>-33.705885-70.540110</v>
      </c>
      <c r="C7873" s="6" t="str">
        <f ca="1">IFERROR(__xludf.DUMMYFUNCTION("""COMPUTED_VALUE"""),"EL PRINCIPAL S/N")</f>
        <v>EL PRINCIPAL S/N</v>
      </c>
      <c r="D7873" s="6" t="str">
        <f ca="1">IFERROR(__xludf.DUMMYFUNCTION("""COMPUTED_VALUE"""),"PIRQUE")</f>
        <v>PIRQUE</v>
      </c>
    </row>
    <row r="7874" spans="1:4">
      <c r="A7874" s="7">
        <f ca="1">IFERROR(__xludf.DUMMYFUNCTION("""COMPUTED_VALUE"""),44670)</f>
        <v>44670</v>
      </c>
      <c r="B7874" s="6" t="str">
        <f ca="1">IFERROR(__xludf.DUMMYFUNCTION("""COMPUTED_VALUE"""),"-33.818268-70.739054")</f>
        <v>-33.818268-70.739054</v>
      </c>
      <c r="C7874" s="6" t="str">
        <f ca="1">IFERROR(__xludf.DUMMYFUNCTION("""COMPUTED_VALUE"""),"PASAJE MIRASOL 1402")</f>
        <v>PASAJE MIRASOL 1402</v>
      </c>
      <c r="D7874" s="6" t="str">
        <f ca="1">IFERROR(__xludf.DUMMYFUNCTION("""COMPUTED_VALUE"""),"PAINE")</f>
        <v>PAINE</v>
      </c>
    </row>
    <row r="7875" spans="1:4">
      <c r="A7875" s="7">
        <f ca="1">IFERROR(__xludf.DUMMYFUNCTION("""COMPUTED_VALUE"""),44670)</f>
        <v>44670</v>
      </c>
      <c r="B7875" s="6" t="str">
        <f ca="1">IFERROR(__xludf.DUMMYFUNCTION("""COMPUTED_VALUE"""),"-33.813559-70.740647")</f>
        <v>-33.813559-70.740647</v>
      </c>
      <c r="C7875" s="6" t="str">
        <f ca="1">IFERROR(__xludf.DUMMYFUNCTION("""COMPUTED_VALUE"""),"LOS PENSAMIENTOS 931")</f>
        <v>LOS PENSAMIENTOS 931</v>
      </c>
      <c r="D7875" s="6" t="str">
        <f ca="1">IFERROR(__xludf.DUMMYFUNCTION("""COMPUTED_VALUE"""),"PAINE")</f>
        <v>PAINE</v>
      </c>
    </row>
    <row r="7876" spans="1:4">
      <c r="A7876" s="7">
        <f ca="1">IFERROR(__xludf.DUMMYFUNCTION("""COMPUTED_VALUE"""),44670)</f>
        <v>44670</v>
      </c>
      <c r="B7876" s="8" t="str">
        <f ca="1">IFERROR(__xludf.DUMMYFUNCTION("""COMPUTED_VALUE"""),"-33.62889,-70.576424")</f>
        <v>-33.62889,-70.576424</v>
      </c>
      <c r="C7876" s="6" t="str">
        <f ca="1">IFERROR(__xludf.DUMMYFUNCTION("""COMPUTED_VALUE"""),"CACHAPOAL 53")</f>
        <v>CACHAPOAL 53</v>
      </c>
      <c r="D7876" s="6" t="str">
        <f ca="1">IFERROR(__xludf.DUMMYFUNCTION("""COMPUTED_VALUE"""),"PIRQUE")</f>
        <v>PIRQUE</v>
      </c>
    </row>
    <row r="7877" spans="1:4">
      <c r="A7877" s="7">
        <f ca="1">IFERROR(__xludf.DUMMYFUNCTION("""COMPUTED_VALUE"""),44670)</f>
        <v>44670</v>
      </c>
      <c r="B7877" s="8" t="str">
        <f ca="1">IFERROR(__xludf.DUMMYFUNCTION("""COMPUTED_VALUE"""),"-33.628567,-70.575892")</f>
        <v>-33.628567,-70.575892</v>
      </c>
      <c r="C7877" s="6" t="str">
        <f ca="1">IFERROR(__xludf.DUMMYFUNCTION("""COMPUTED_VALUE"""),"CONDE DE LA CONQUISTA 44")</f>
        <v>CONDE DE LA CONQUISTA 44</v>
      </c>
      <c r="D7877" s="6" t="str">
        <f ca="1">IFERROR(__xludf.DUMMYFUNCTION("""COMPUTED_VALUE"""),"PIRQUE")</f>
        <v>PIRQUE</v>
      </c>
    </row>
    <row r="7878" spans="1:4">
      <c r="A7878" s="7">
        <f ca="1">IFERROR(__xludf.DUMMYFUNCTION("""COMPUTED_VALUE"""),44670)</f>
        <v>44670</v>
      </c>
      <c r="B7878" s="8" t="str">
        <f ca="1">IFERROR(__xludf.DUMMYFUNCTION("""COMPUTED_VALUE"""),"-33.43137,-70.3334OW")</f>
        <v>-33.43137,-70.3334OW</v>
      </c>
      <c r="C7878" s="6" t="str">
        <f ca="1">IFERROR(__xludf.DUMMYFUNCTION("""COMPUTED_VALUE"""),"CALLE ALAMEDA 131-C")</f>
        <v>CALLE ALAMEDA 131-C</v>
      </c>
      <c r="D7878" s="6" t="str">
        <f ca="1">IFERROR(__xludf.DUMMYFUNCTION("""COMPUTED_VALUE"""),"PIRQUE")</f>
        <v>PIRQUE</v>
      </c>
    </row>
    <row r="7879" spans="1:4">
      <c r="A7879" s="7">
        <f ca="1">IFERROR(__xludf.DUMMYFUNCTION("""COMPUTED_VALUE"""),44670)</f>
        <v>44670</v>
      </c>
      <c r="B7879" s="6" t="str">
        <f ca="1">IFERROR(__xludf.DUMMYFUNCTION("""COMPUTED_VALUE"""),"-33.736900,-70.859673")</f>
        <v>-33.736900,-70.859673</v>
      </c>
      <c r="C7879" s="6" t="str">
        <f ca="1">IFERROR(__xludf.DUMMYFUNCTION("""COMPUTED_VALUE"""),"RAULI 4452")</f>
        <v>RAULI 4452</v>
      </c>
      <c r="D7879" s="6" t="str">
        <f ca="1">IFERROR(__xludf.DUMMYFUNCTION("""COMPUTED_VALUE"""),"ISLA DE MAIPO")</f>
        <v>ISLA DE MAIPO</v>
      </c>
    </row>
    <row r="7880" spans="1:4">
      <c r="A7880" s="7">
        <f ca="1">IFERROR(__xludf.DUMMYFUNCTION("""COMPUTED_VALUE"""),44670)</f>
        <v>44670</v>
      </c>
      <c r="B7880" s="6" t="str">
        <f ca="1">IFERROR(__xludf.DUMMYFUNCTION("""COMPUTED_VALUE"""),"-33.743684,-70.912293")</f>
        <v>-33.743684,-70.912293</v>
      </c>
      <c r="C7880" s="6" t="str">
        <f ca="1">IFERROR(__xludf.DUMMYFUNCTION("""COMPUTED_VALUE"""),"LO MARTINEZ 655")</f>
        <v>LO MARTINEZ 655</v>
      </c>
      <c r="D7880" s="6" t="str">
        <f ca="1">IFERROR(__xludf.DUMMYFUNCTION("""COMPUTED_VALUE"""),"ISLA DE MAIPO")</f>
        <v>ISLA DE MAIPO</v>
      </c>
    </row>
    <row r="7881" spans="1:4">
      <c r="A7881" s="7">
        <f ca="1">IFERROR(__xludf.DUMMYFUNCTION("""COMPUTED_VALUE"""),44670)</f>
        <v>44670</v>
      </c>
      <c r="B7881" s="6" t="str">
        <f ca="1">IFERROR(__xludf.DUMMYFUNCTION("""COMPUTED_VALUE"""),"-33.582952,-71.148301")</f>
        <v>-33.582952,-71.148301</v>
      </c>
      <c r="C7881" s="6" t="str">
        <f ca="1">IFERROR(__xludf.DUMMYFUNCTION("""COMPUTED_VALUE"""),"SECTOR MALLARAUCO S/N ")</f>
        <v xml:space="preserve">SECTOR MALLARAUCO S/N </v>
      </c>
      <c r="D7881" s="6" t="str">
        <f ca="1">IFERROR(__xludf.DUMMYFUNCTION("""COMPUTED_VALUE"""),"MELIPILLA")</f>
        <v>MELIPILLA</v>
      </c>
    </row>
    <row r="7882" spans="1:4">
      <c r="A7882" s="7">
        <f ca="1">IFERROR(__xludf.DUMMYFUNCTION("""COMPUTED_VALUE"""),44670)</f>
        <v>44670</v>
      </c>
      <c r="B7882" s="6" t="str">
        <f ca="1">IFERROR(__xludf.DUMMYFUNCTION("""COMPUTED_VALUE"""),"-35.409306,-71.6199221")</f>
        <v>-35.409306,-71.6199221</v>
      </c>
      <c r="C7882" s="6" t="str">
        <f ca="1">IFERROR(__xludf.DUMMYFUNCTION("""COMPUTED_VALUE"""),"PSAJE 22 1/2 NORTE A 3208")</f>
        <v>PSAJE 22 1/2 NORTE A 3208</v>
      </c>
      <c r="D7882" s="6" t="str">
        <f ca="1">IFERROR(__xludf.DUMMYFUNCTION("""COMPUTED_VALUE"""),"TALCA")</f>
        <v>TALCA</v>
      </c>
    </row>
    <row r="7883" spans="1:4">
      <c r="A7883" s="7">
        <f ca="1">IFERROR(__xludf.DUMMYFUNCTION("""COMPUTED_VALUE"""),44670)</f>
        <v>44670</v>
      </c>
      <c r="B7883" s="6" t="str">
        <f ca="1">IFERROR(__xludf.DUMMYFUNCTION("""COMPUTED_VALUE"""),"-35.4351873,-716343754")</f>
        <v>-35.4351873,-716343754</v>
      </c>
      <c r="C7883" s="6" t="str">
        <f ca="1">IFERROR(__xludf.DUMMYFUNCTION("""COMPUTED_VALUE"""),"CUATRO SUR A 2862")</f>
        <v>CUATRO SUR A 2862</v>
      </c>
      <c r="D7883" s="6" t="str">
        <f ca="1">IFERROR(__xludf.DUMMYFUNCTION("""COMPUTED_VALUE"""),"TALCA")</f>
        <v>TALCA</v>
      </c>
    </row>
    <row r="7884" spans="1:4">
      <c r="A7884" s="7">
        <f ca="1">IFERROR(__xludf.DUMMYFUNCTION("""COMPUTED_VALUE"""),44670)</f>
        <v>44670</v>
      </c>
      <c r="B7884" s="8" t="str">
        <f ca="1">IFERROR(__xludf.DUMMYFUNCTION("""COMPUTED_VALUE"""),"-33.676935,-70.995181")</f>
        <v>-33.676935,-70.995181</v>
      </c>
      <c r="C7884" s="6" t="str">
        <f ca="1">IFERROR(__xludf.DUMMYFUNCTION("""COMPUTED_VALUE"""),"LA DALIAS 746")</f>
        <v>LA DALIAS 746</v>
      </c>
      <c r="D7884" s="6" t="str">
        <f ca="1">IFERROR(__xludf.DUMMYFUNCTION("""COMPUTED_VALUE"""),"TALAGANTE")</f>
        <v>TALAGANTE</v>
      </c>
    </row>
    <row r="7885" spans="1:4">
      <c r="A7885" s="7">
        <f ca="1">IFERROR(__xludf.DUMMYFUNCTION("""COMPUTED_VALUE"""),44670)</f>
        <v>44670</v>
      </c>
      <c r="B7885" s="8" t="str">
        <f ca="1">IFERROR(__xludf.DUMMYFUNCTION("""COMPUTED_VALUE"""),"-33.876643,-70.744885")</f>
        <v>-33.876643,-70.744885</v>
      </c>
      <c r="C7885" s="6" t="str">
        <f ca="1">IFERROR(__xludf.DUMMYFUNCTION("""COMPUTED_VALUE"""),"EL PORVENIR SITIO 1")</f>
        <v>EL PORVENIR SITIO 1</v>
      </c>
      <c r="D7885" s="6" t="str">
        <f ca="1">IFERROR(__xludf.DUMMYFUNCTION("""COMPUTED_VALUE"""),"PAINE")</f>
        <v>PAINE</v>
      </c>
    </row>
    <row r="7886" spans="1:4">
      <c r="A7886" s="7">
        <f ca="1">IFERROR(__xludf.DUMMYFUNCTION("""COMPUTED_VALUE"""),44670)</f>
        <v>44670</v>
      </c>
      <c r="B7886" s="6" t="str">
        <f ca="1">IFERROR(__xludf.DUMMYFUNCTION("""COMPUTED_VALUE"""),"-33.832583,-70.759757")</f>
        <v>-33.832583,-70.759757</v>
      </c>
      <c r="C7886" s="6" t="str">
        <f ca="1">IFERROR(__xludf.DUMMYFUNCTION("""COMPUTED_VALUE"""),"SANTA MARIA PARC. 27")</f>
        <v>SANTA MARIA PARC. 27</v>
      </c>
      <c r="D7886" s="6" t="str">
        <f ca="1">IFERROR(__xludf.DUMMYFUNCTION("""COMPUTED_VALUE"""),"PAINE")</f>
        <v>PAINE</v>
      </c>
    </row>
    <row r="7887" spans="1:4">
      <c r="A7887" s="7">
        <f ca="1">IFERROR(__xludf.DUMMYFUNCTION("""COMPUTED_VALUE"""),44670)</f>
        <v>44670</v>
      </c>
      <c r="B7887" s="6" t="str">
        <f ca="1">IFERROR(__xludf.DUMMYFUNCTION("""COMPUTED_VALUE"""),"-33.805593,-70.737985")</f>
        <v>-33.805593,-70.737985</v>
      </c>
      <c r="C7887" s="6" t="str">
        <f ca="1">IFERROR(__xludf.DUMMYFUNCTION("""COMPUTED_VALUE"""),"ACCESO 1 #248 BAQUEDANO")</f>
        <v>ACCESO 1 #248 BAQUEDANO</v>
      </c>
      <c r="D7887" s="6" t="str">
        <f ca="1">IFERROR(__xludf.DUMMYFUNCTION("""COMPUTED_VALUE"""),"PAINE")</f>
        <v>PAINE</v>
      </c>
    </row>
    <row r="7888" spans="1:4">
      <c r="A7888" s="7">
        <f ca="1">IFERROR(__xludf.DUMMYFUNCTION("""COMPUTED_VALUE"""),44670)</f>
        <v>44670</v>
      </c>
      <c r="B7888" s="6" t="str">
        <f ca="1">IFERROR(__xludf.DUMMYFUNCTION("""COMPUTED_VALUE"""),"-33.819711,-70.737558")</f>
        <v>-33.819711,-70.737558</v>
      </c>
      <c r="C7888" s="6" t="str">
        <f ca="1">IFERROR(__xludf.DUMMYFUNCTION("""COMPUTED_VALUE"""),"BUIN 1521")</f>
        <v>BUIN 1521</v>
      </c>
      <c r="D7888" s="6" t="str">
        <f ca="1">IFERROR(__xludf.DUMMYFUNCTION("""COMPUTED_VALUE"""),"PAINE")</f>
        <v>PAINE</v>
      </c>
    </row>
    <row r="7889" spans="1:4">
      <c r="A7889" s="7">
        <f ca="1">IFERROR(__xludf.DUMMYFUNCTION("""COMPUTED_VALUE"""),44670)</f>
        <v>44670</v>
      </c>
      <c r="B7889" s="6" t="str">
        <f ca="1">IFERROR(__xludf.DUMMYFUNCTION("""COMPUTED_VALUE"""),"-33.813006,-70.731033")</f>
        <v>-33.813006,-70.731033</v>
      </c>
      <c r="C7889" s="6" t="str">
        <f ca="1">IFERROR(__xludf.DUMMYFUNCTION("""COMPUTED_VALUE"""),"PJE. SUYAI 833")</f>
        <v>PJE. SUYAI 833</v>
      </c>
      <c r="D7889" s="6" t="str">
        <f ca="1">IFERROR(__xludf.DUMMYFUNCTION("""COMPUTED_VALUE"""),"PAINE")</f>
        <v>PAINE</v>
      </c>
    </row>
    <row r="7890" spans="1:4">
      <c r="A7890" s="7">
        <f ca="1">IFERROR(__xludf.DUMMYFUNCTION("""COMPUTED_VALUE"""),44670)</f>
        <v>44670</v>
      </c>
      <c r="B7890" s="6" t="str">
        <f ca="1">IFERROR(__xludf.DUMMYFUNCTION("""COMPUTED_VALUE"""),"-33.874287,-70.741601")</f>
        <v>-33.874287,-70.741601</v>
      </c>
      <c r="C7890" s="6" t="str">
        <f ca="1">IFERROR(__xludf.DUMMYFUNCTION("""COMPUTED_VALUE"""),"LAS BODEGAS SUR 10")</f>
        <v>LAS BODEGAS SUR 10</v>
      </c>
      <c r="D7890" s="6" t="str">
        <f ca="1">IFERROR(__xludf.DUMMYFUNCTION("""COMPUTED_VALUE"""),"PAINE")</f>
        <v>PAINE</v>
      </c>
    </row>
    <row r="7891" spans="1:4">
      <c r="A7891" s="7">
        <f ca="1">IFERROR(__xludf.DUMMYFUNCTION("""COMPUTED_VALUE"""),44670)</f>
        <v>44670</v>
      </c>
      <c r="B7891" s="6" t="str">
        <f ca="1">IFERROR(__xludf.DUMMYFUNCTION("""COMPUTED_VALUE"""),"-33.722112,-70.556317")</f>
        <v>-33.722112,-70.556317</v>
      </c>
      <c r="C7891" s="6" t="str">
        <f ca="1">IFERROR(__xludf.DUMMYFUNCTION("""COMPUTED_VALUE"""),"EL PRINCIPAL 120")</f>
        <v>EL PRINCIPAL 120</v>
      </c>
      <c r="D7891" s="6" t="str">
        <f ca="1">IFERROR(__xludf.DUMMYFUNCTION("""COMPUTED_VALUE"""),"PIRQUE")</f>
        <v>PIRQUE</v>
      </c>
    </row>
    <row r="7892" spans="1:4">
      <c r="A7892" s="7">
        <f ca="1">IFERROR(__xludf.DUMMYFUNCTION("""COMPUTED_VALUE"""),44670)</f>
        <v>44670</v>
      </c>
      <c r="B7892" s="6" t="str">
        <f ca="1">IFERROR(__xludf.DUMMYFUNCTION("""COMPUTED_VALUE"""),"-33.722312,-70.556239")</f>
        <v>-33.722312,-70.556239</v>
      </c>
      <c r="C7892" s="6" t="str">
        <f ca="1">IFERROR(__xludf.DUMMYFUNCTION("""COMPUTED_VALUE"""),"EL PRINCIPAL 119")</f>
        <v>EL PRINCIPAL 119</v>
      </c>
      <c r="D7892" s="6" t="str">
        <f ca="1">IFERROR(__xludf.DUMMYFUNCTION("""COMPUTED_VALUE"""),"PIRQUE")</f>
        <v>PIRQUE</v>
      </c>
    </row>
    <row r="7893" spans="1:4">
      <c r="A7893" s="7">
        <f ca="1">IFERROR(__xludf.DUMMYFUNCTION("""COMPUTED_VALUE"""),44670)</f>
        <v>44670</v>
      </c>
      <c r="B7893" s="6" t="str">
        <f ca="1">IFERROR(__xludf.DUMMYFUNCTION("""COMPUTED_VALUE"""),"-33.399842,-70.71125170")</f>
        <v>-33.399842,-70.71125170</v>
      </c>
      <c r="C7893" s="6" t="str">
        <f ca="1">IFERROR(__xludf.DUMMYFUNCTION("""COMPUTED_VALUE"""),"FRANCISCA SAAVEDRA 2012")</f>
        <v>FRANCISCA SAAVEDRA 2012</v>
      </c>
      <c r="D7893" s="6" t="str">
        <f ca="1">IFERROR(__xludf.DUMMYFUNCTION("""COMPUTED_VALUE"""),"CURACAVI")</f>
        <v>CURACAVI</v>
      </c>
    </row>
    <row r="7894" spans="1:4">
      <c r="A7894" s="7">
        <f ca="1">IFERROR(__xludf.DUMMYFUNCTION("""COMPUTED_VALUE"""),44670)</f>
        <v>44670</v>
      </c>
      <c r="B7894" s="6" t="str">
        <f ca="1">IFERROR(__xludf.DUMMYFUNCTION("""COMPUTED_VALUE"""),"-33.170715,-70.531263")</f>
        <v>-33.170715,-70.531263</v>
      </c>
      <c r="C7894" s="6" t="str">
        <f ca="1">IFERROR(__xludf.DUMMYFUNCTION("""COMPUTED_VALUE"""),"ISABEL RIQUELME 1103")</f>
        <v>ISABEL RIQUELME 1103</v>
      </c>
      <c r="D7894" s="6" t="str">
        <f ca="1">IFERROR(__xludf.DUMMYFUNCTION("""COMPUTED_VALUE"""),"LAMPA")</f>
        <v>LAMPA</v>
      </c>
    </row>
    <row r="7895" spans="1:4">
      <c r="A7895" s="7">
        <f ca="1">IFERROR(__xludf.DUMMYFUNCTION("""COMPUTED_VALUE"""),44671)</f>
        <v>44671</v>
      </c>
      <c r="B7895" s="8" t="str">
        <f ca="1">IFERROR(__xludf.DUMMYFUNCTION("""COMPUTED_VALUE"""),"-33.870654-70.879435")</f>
        <v>-33.870654-70.879435</v>
      </c>
      <c r="C7895" s="6" t="str">
        <f ca="1">IFERROR(__xludf.DUMMYFUNCTION("""COMPUTED_VALUE"""),"ROSARIO VIAL 15 PARCELA 38")</f>
        <v>ROSARIO VIAL 15 PARCELA 38</v>
      </c>
      <c r="D7895" s="6" t="str">
        <f ca="1">IFERROR(__xludf.DUMMYFUNCTION("""COMPUTED_VALUE"""),"PAINE")</f>
        <v>PAINE</v>
      </c>
    </row>
    <row r="7896" spans="1:4">
      <c r="A7896" s="7">
        <f ca="1">IFERROR(__xludf.DUMMYFUNCTION("""COMPUTED_VALUE"""),44671)</f>
        <v>44671</v>
      </c>
      <c r="B7896" s="8" t="str">
        <f ca="1">IFERROR(__xludf.DUMMYFUNCTION("""COMPUTED_VALUE"""),"-33.811995-70.879272")</f>
        <v>-33.811995-70.879272</v>
      </c>
      <c r="C7896" s="6" t="str">
        <f ca="1">IFERROR(__xludf.DUMMYFUNCTION("""COMPUTED_VALUE"""),"PERALILLO 2 ")</f>
        <v xml:space="preserve">PERALILLO 2 </v>
      </c>
      <c r="D7896" s="6" t="str">
        <f ca="1">IFERROR(__xludf.DUMMYFUNCTION("""COMPUTED_VALUE"""),"PAINE")</f>
        <v>PAINE</v>
      </c>
    </row>
    <row r="7897" spans="1:4">
      <c r="A7897" s="7">
        <f ca="1">IFERROR(__xludf.DUMMYFUNCTION("""COMPUTED_VALUE"""),44671)</f>
        <v>44671</v>
      </c>
      <c r="B7897" s="6" t="str">
        <f ca="1">IFERROR(__xludf.DUMMYFUNCTION("""COMPUTED_VALUE"""),"-33.810595-70.207610")</f>
        <v>-33.810595-70.207610</v>
      </c>
      <c r="C7897" s="6" t="str">
        <f ca="1">IFERROR(__xludf.DUMMYFUNCTION("""COMPUTED_VALUE"""),"CAMINO AL VOLCAN 45252")</f>
        <v>CAMINO AL VOLCAN 45252</v>
      </c>
      <c r="D7897" s="6" t="str">
        <f ca="1">IFERROR(__xludf.DUMMYFUNCTION("""COMPUTED_VALUE"""),"SAN JOSE DE MAIPO")</f>
        <v>SAN JOSE DE MAIPO</v>
      </c>
    </row>
    <row r="7898" spans="1:4">
      <c r="A7898" s="7">
        <f ca="1">IFERROR(__xludf.DUMMYFUNCTION("""COMPUTED_VALUE"""),44671)</f>
        <v>44671</v>
      </c>
      <c r="B7898" s="6" t="str">
        <f ca="1">IFERROR(__xludf.DUMMYFUNCTION("""COMPUTED_VALUE"""),"-33.636835-70.355680")</f>
        <v>-33.636835-70.355680</v>
      </c>
      <c r="C7898" s="6" t="str">
        <f ca="1">IFERROR(__xludf.DUMMYFUNCTION("""COMPUTED_VALUE"""),"SIN CALLE S/N")</f>
        <v>SIN CALLE S/N</v>
      </c>
      <c r="D7898" s="6" t="str">
        <f ca="1">IFERROR(__xludf.DUMMYFUNCTION("""COMPUTED_VALUE"""),"SAN JOSE DE MAIPO")</f>
        <v>SAN JOSE DE MAIPO</v>
      </c>
    </row>
    <row r="7899" spans="1:4">
      <c r="A7899" s="7">
        <f ca="1">IFERROR(__xludf.DUMMYFUNCTION("""COMPUTED_VALUE"""),44671)</f>
        <v>44671</v>
      </c>
      <c r="B7899" s="6" t="str">
        <f ca="1">IFERROR(__xludf.DUMMYFUNCTION("""COMPUTED_VALUE"""),"-33.649011-70.612089")</f>
        <v>-33.649011-70.612089</v>
      </c>
      <c r="C7899" s="6" t="str">
        <f ca="1">IFERROR(__xludf.DUMMYFUNCTION("""COMPUTED_VALUE"""),"EL CRUCERAL PARCELA 131")</f>
        <v>EL CRUCERAL PARCELA 131</v>
      </c>
      <c r="D7899" s="6" t="str">
        <f ca="1">IFERROR(__xludf.DUMMYFUNCTION("""COMPUTED_VALUE"""),"PIRQUE")</f>
        <v>PIRQUE</v>
      </c>
    </row>
    <row r="7900" spans="1:4">
      <c r="A7900" s="7">
        <f ca="1">IFERROR(__xludf.DUMMYFUNCTION("""COMPUTED_VALUE"""),44671)</f>
        <v>44671</v>
      </c>
      <c r="B7900" s="8" t="str">
        <f ca="1">IFERROR(__xludf.DUMMYFUNCTION("""COMPUTED_VALUE"""),"-33.431975,-70.32555W")</f>
        <v>-33.431975,-70.32555W</v>
      </c>
      <c r="C7900" s="6" t="str">
        <f ca="1">IFERROR(__xludf.DUMMYFUNCTION("""COMPUTED_VALUE"""),"LA ESCUELA 72")</f>
        <v>LA ESCUELA 72</v>
      </c>
      <c r="D7900" s="6" t="str">
        <f ca="1">IFERROR(__xludf.DUMMYFUNCTION("""COMPUTED_VALUE"""),"PIRQUE")</f>
        <v>PIRQUE</v>
      </c>
    </row>
    <row r="7901" spans="1:4">
      <c r="A7901" s="7">
        <f ca="1">IFERROR(__xludf.DUMMYFUNCTION("""COMPUTED_VALUE"""),44671)</f>
        <v>44671</v>
      </c>
      <c r="B7901" s="8" t="str">
        <f ca="1">IFERROR(__xludf.DUMMYFUNCTION("""COMPUTED_VALUE"""),"-33.42475S,-70.335O5W")</f>
        <v>-33.42475S,-70.335O5W</v>
      </c>
      <c r="C7901" s="6" t="str">
        <f ca="1">IFERROR(__xludf.DUMMYFUNCTION("""COMPUTED_VALUE"""),"LA ALAMEDA 17A1")</f>
        <v>LA ALAMEDA 17A1</v>
      </c>
      <c r="D7901" s="6" t="str">
        <f ca="1">IFERROR(__xludf.DUMMYFUNCTION("""COMPUTED_VALUE"""),"PIRQUE")</f>
        <v>PIRQUE</v>
      </c>
    </row>
    <row r="7902" spans="1:4">
      <c r="A7902" s="7">
        <f ca="1">IFERROR(__xludf.DUMMYFUNCTION("""COMPUTED_VALUE"""),44671)</f>
        <v>44671</v>
      </c>
      <c r="B7902" s="8" t="str">
        <f ca="1">IFERROR(__xludf.DUMMYFUNCTION("""COMPUTED_VALUE"""),"-33.722402,-70.548509")</f>
        <v>-33.722402,-70.548509</v>
      </c>
      <c r="C7902" s="6" t="str">
        <f ca="1">IFERROR(__xludf.DUMMYFUNCTION("""COMPUTED_VALUE"""),"LA ESCUELA 72")</f>
        <v>LA ESCUELA 72</v>
      </c>
      <c r="D7902" s="6" t="str">
        <f ca="1">IFERROR(__xludf.DUMMYFUNCTION("""COMPUTED_VALUE"""),"PIRQUE")</f>
        <v>PIRQUE</v>
      </c>
    </row>
    <row r="7903" spans="1:4">
      <c r="A7903" s="7">
        <f ca="1">IFERROR(__xludf.DUMMYFUNCTION("""COMPUTED_VALUE"""),44671)</f>
        <v>44671</v>
      </c>
      <c r="B7903" s="8" t="str">
        <f ca="1">IFERROR(__xludf.DUMMYFUNCTION("""COMPUTED_VALUE"""),"-33.722289,-70.548055")</f>
        <v>-33.722289,-70.548055</v>
      </c>
      <c r="C7903" s="6" t="str">
        <f ca="1">IFERROR(__xludf.DUMMYFUNCTION("""COMPUTED_VALUE"""),"LA ESCUELA72")</f>
        <v>LA ESCUELA72</v>
      </c>
      <c r="D7903" s="6" t="str">
        <f ca="1">IFERROR(__xludf.DUMMYFUNCTION("""COMPUTED_VALUE"""),"PIRQUE")</f>
        <v>PIRQUE</v>
      </c>
    </row>
    <row r="7904" spans="1:4">
      <c r="A7904" s="7">
        <f ca="1">IFERROR(__xludf.DUMMYFUNCTION("""COMPUTED_VALUE"""),44671)</f>
        <v>44671</v>
      </c>
      <c r="B7904" s="8" t="str">
        <f ca="1">IFERROR(__xludf.DUMMYFUNCTION("""COMPUTED_VALUE"""),"-33.649943,-70.909514")</f>
        <v>-33.649943,-70.909514</v>
      </c>
      <c r="C7904" s="6" t="str">
        <f ca="1">IFERROR(__xludf.DUMMYFUNCTION("""COMPUTED_VALUE"""),"RIO YELCHO 0437")</f>
        <v>RIO YELCHO 0437</v>
      </c>
      <c r="D7904" s="6" t="str">
        <f ca="1">IFERROR(__xludf.DUMMYFUNCTION("""COMPUTED_VALUE"""),"TALAGANTE")</f>
        <v>TALAGANTE</v>
      </c>
    </row>
    <row r="7905" spans="1:4">
      <c r="A7905" s="7">
        <f ca="1">IFERROR(__xludf.DUMMYFUNCTION("""COMPUTED_VALUE"""),44671)</f>
        <v>44671</v>
      </c>
      <c r="B7905" s="8" t="str">
        <f ca="1">IFERROR(__xludf.DUMMYFUNCTION("""COMPUTED_VALUE"""),"-33.669976,-70.919986")</f>
        <v>-33.669976,-70.919986</v>
      </c>
      <c r="C7905" s="6" t="str">
        <f ca="1">IFERROR(__xludf.DUMMYFUNCTION("""COMPUTED_VALUE"""),"CA.MENA UNO 11")</f>
        <v>CA.MENA UNO 11</v>
      </c>
      <c r="D7905" s="6" t="str">
        <f ca="1">IFERROR(__xludf.DUMMYFUNCTION("""COMPUTED_VALUE"""),"TALAGANTE")</f>
        <v>TALAGANTE</v>
      </c>
    </row>
    <row r="7906" spans="1:4">
      <c r="A7906" s="7">
        <f ca="1">IFERROR(__xludf.DUMMYFUNCTION("""COMPUTED_VALUE"""),44671)</f>
        <v>44671</v>
      </c>
      <c r="B7906" s="6" t="str">
        <f ca="1">IFERROR(__xludf.DUMMYFUNCTION("""COMPUTED_VALUE"""),"-33.759282,-70.907355")</f>
        <v>-33.759282,-70.907355</v>
      </c>
      <c r="C7906" s="6" t="str">
        <f ca="1">IFERROR(__xludf.DUMMYFUNCTION("""COMPUTED_VALUE"""),"LOS JARDINES 541")</f>
        <v>LOS JARDINES 541</v>
      </c>
      <c r="D7906" s="6" t="str">
        <f ca="1">IFERROR(__xludf.DUMMYFUNCTION("""COMPUTED_VALUE"""),"ISLA DE MAIPO")</f>
        <v>ISLA DE MAIPO</v>
      </c>
    </row>
    <row r="7907" spans="1:4">
      <c r="A7907" s="7">
        <f ca="1">IFERROR(__xludf.DUMMYFUNCTION("""COMPUTED_VALUE"""),44671)</f>
        <v>44671</v>
      </c>
      <c r="B7907" s="6" t="str">
        <f ca="1">IFERROR(__xludf.DUMMYFUNCTION("""COMPUTED_VALUE"""),"-33.734051,-70.866009")</f>
        <v>-33.734051,-70.866009</v>
      </c>
      <c r="C7907" s="6" t="str">
        <f ca="1">IFERROR(__xludf.DUMMYFUNCTION("""COMPUTED_VALUE"""),"EL MAITEN 721")</f>
        <v>EL MAITEN 721</v>
      </c>
      <c r="D7907" s="6" t="str">
        <f ca="1">IFERROR(__xludf.DUMMYFUNCTION("""COMPUTED_VALUE"""),"ISLA DE MAIPO")</f>
        <v>ISLA DE MAIPO</v>
      </c>
    </row>
    <row r="7908" spans="1:4">
      <c r="A7908" s="7">
        <f ca="1">IFERROR(__xludf.DUMMYFUNCTION("""COMPUTED_VALUE"""),44671)</f>
        <v>44671</v>
      </c>
      <c r="B7908" s="6" t="str">
        <f ca="1">IFERROR(__xludf.DUMMYFUNCTION("""COMPUTED_VALUE"""),"-33.849989,-70.765915")</f>
        <v>-33.849989,-70.765915</v>
      </c>
      <c r="C7908" s="6" t="str">
        <f ca="1">IFERROR(__xludf.DUMMYFUNCTION("""COMPUTED_VALUE"""),"LA TURBINA 14")</f>
        <v>LA TURBINA 14</v>
      </c>
      <c r="D7908" s="6" t="str">
        <f ca="1">IFERROR(__xludf.DUMMYFUNCTION("""COMPUTED_VALUE"""),"PAINE")</f>
        <v>PAINE</v>
      </c>
    </row>
    <row r="7909" spans="1:4">
      <c r="A7909" s="7">
        <f ca="1">IFERROR(__xludf.DUMMYFUNCTION("""COMPUTED_VALUE"""),44671)</f>
        <v>44671</v>
      </c>
      <c r="B7909" s="6" t="str">
        <f ca="1">IFERROR(__xludf.DUMMYFUNCTION("""COMPUTED_VALUE"""),"-33.870893,-70.889311")</f>
        <v>-33.870893,-70.889311</v>
      </c>
      <c r="C7909" s="6" t="str">
        <f ca="1">IFERROR(__xludf.DUMMYFUNCTION("""COMPUTED_VALUE"""),"MARTA LETELIER 32")</f>
        <v>MARTA LETELIER 32</v>
      </c>
      <c r="D7909" s="6" t="str">
        <f ca="1">IFERROR(__xludf.DUMMYFUNCTION("""COMPUTED_VALUE"""),"PAINE")</f>
        <v>PAINE</v>
      </c>
    </row>
    <row r="7910" spans="1:4">
      <c r="A7910" s="7">
        <f ca="1">IFERROR(__xludf.DUMMYFUNCTION("""COMPUTED_VALUE"""),44671)</f>
        <v>44671</v>
      </c>
      <c r="B7910" s="6" t="str">
        <f ca="1">IFERROR(__xludf.DUMMYFUNCTION("""COMPUTED_VALUE"""),"-35.4376000,-71.6324400")</f>
        <v>-35.4376000,-71.6324400</v>
      </c>
      <c r="C7910" s="6" t="str">
        <f ca="1">IFERROR(__xludf.DUMMYFUNCTION("""COMPUTED_VALUE"""),"CINCO Y MEDIO SUR 2918")</f>
        <v>CINCO Y MEDIO SUR 2918</v>
      </c>
      <c r="D7910" s="6" t="str">
        <f ca="1">IFERROR(__xludf.DUMMYFUNCTION("""COMPUTED_VALUE"""),"TALCA")</f>
        <v>TALCA</v>
      </c>
    </row>
    <row r="7911" spans="1:4">
      <c r="A7911" s="7">
        <f ca="1">IFERROR(__xludf.DUMMYFUNCTION("""COMPUTED_VALUE"""),44671)</f>
        <v>44671</v>
      </c>
      <c r="B7911" s="6" t="str">
        <f ca="1">IFERROR(__xludf.DUMMYFUNCTION("""COMPUTED_VALUE"""),"-35.432337,-71.6339690")</f>
        <v>-35.432337,-71.6339690</v>
      </c>
      <c r="C7911" s="6" t="str">
        <f ca="1">IFERROR(__xludf.DUMMYFUNCTION("""COMPUTED_VALUE"""),"PASAJE 2 Y MEDIO SUR 3112")</f>
        <v>PASAJE 2 Y MEDIO SUR 3112</v>
      </c>
      <c r="D7911" s="6" t="str">
        <f ca="1">IFERROR(__xludf.DUMMYFUNCTION("""COMPUTED_VALUE"""),"TALCA")</f>
        <v>TALCA</v>
      </c>
    </row>
    <row r="7912" spans="1:4">
      <c r="A7912" s="7">
        <f ca="1">IFERROR(__xludf.DUMMYFUNCTION("""COMPUTED_VALUE"""),44671)</f>
        <v>44671</v>
      </c>
      <c r="B7912" s="6" t="str">
        <f ca="1">IFERROR(__xludf.DUMMYFUNCTION("""COMPUTED_VALUE"""),"-35.4480494,-71.6517032")</f>
        <v>-35.4480494,-71.6517032</v>
      </c>
      <c r="C7912" s="6" t="str">
        <f ca="1">IFERROR(__xludf.DUMMYFUNCTION("""COMPUTED_VALUE"""),"DOCE Y MEDIO SUR A 166")</f>
        <v>DOCE Y MEDIO SUR A 166</v>
      </c>
      <c r="D7912" s="6" t="str">
        <f ca="1">IFERROR(__xludf.DUMMYFUNCTION("""COMPUTED_VALUE"""),"TALCA")</f>
        <v>TALCA</v>
      </c>
    </row>
    <row r="7913" spans="1:4">
      <c r="A7913" s="7">
        <f ca="1">IFERROR(__xludf.DUMMYFUNCTION("""COMPUTED_VALUE"""),44671)</f>
        <v>44671</v>
      </c>
      <c r="B7913" s="6" t="str">
        <f ca="1">IFERROR(__xludf.DUMMYFUNCTION("""COMPUTED_VALUE"""),"-35.4349830,-71.6347399")</f>
        <v>-35.4349830,-71.6347399</v>
      </c>
      <c r="C7913" s="6" t="str">
        <f ca="1">IFERROR(__xludf.DUMMYFUNCTION("""COMPUTED_VALUE"""),"CUATRO SUR A 2857")</f>
        <v>CUATRO SUR A 2857</v>
      </c>
      <c r="D7913" s="6" t="str">
        <f ca="1">IFERROR(__xludf.DUMMYFUNCTION("""COMPUTED_VALUE"""),"TALCA")</f>
        <v>TALCA</v>
      </c>
    </row>
    <row r="7914" spans="1:4">
      <c r="A7914" s="7">
        <f ca="1">IFERROR(__xludf.DUMMYFUNCTION("""COMPUTED_VALUE"""),44671)</f>
        <v>44671</v>
      </c>
      <c r="B7914" s="6" t="str">
        <f ca="1">IFERROR(__xludf.DUMMYFUNCTION("""COMPUTED_VALUE"""),"-35.430933,-71.6061512")</f>
        <v>-35.430933,-71.6061512</v>
      </c>
      <c r="C7914" s="6" t="str">
        <f ca="1">IFERROR(__xludf.DUMMYFUNCTION("""COMPUTED_VALUE"""),"CUARENTA Y TRES Y MEDUIO ORIENTE 2115")</f>
        <v>CUARENTA Y TRES Y MEDUIO ORIENTE 2115</v>
      </c>
      <c r="D7914" s="6" t="str">
        <f ca="1">IFERROR(__xludf.DUMMYFUNCTION("""COMPUTED_VALUE"""),"TALCA")</f>
        <v>TALCA</v>
      </c>
    </row>
    <row r="7915" spans="1:4">
      <c r="A7915" s="7">
        <f ca="1">IFERROR(__xludf.DUMMYFUNCTION("""COMPUTED_VALUE"""),44671)</f>
        <v>44671</v>
      </c>
      <c r="B7915" s="6" t="str">
        <f ca="1">IFERROR(__xludf.DUMMYFUNCTION("""COMPUTED_VALUE"""),"-35.41170,-71.642029")</f>
        <v>-35.41170,-71.642029</v>
      </c>
      <c r="C7915" s="6" t="str">
        <f ca="1">IFERROR(__xludf.DUMMYFUNCTION("""COMPUTED_VALUE"""),"PA DOCE Y MEDIO ORIENTE C 2669 LOTE DON SEBASTIAN")</f>
        <v>PA DOCE Y MEDIO ORIENTE C 2669 LOTE DON SEBASTIAN</v>
      </c>
      <c r="D7915" s="6" t="str">
        <f ca="1">IFERROR(__xludf.DUMMYFUNCTION("""COMPUTED_VALUE"""),"TALCA")</f>
        <v>TALCA</v>
      </c>
    </row>
    <row r="7916" spans="1:4">
      <c r="A7916" s="7">
        <f ca="1">IFERROR(__xludf.DUMMYFUNCTION("""COMPUTED_VALUE"""),44671)</f>
        <v>44671</v>
      </c>
      <c r="B7916" s="8" t="str">
        <f ca="1">IFERROR(__xludf.DUMMYFUNCTION("""COMPUTED_VALUE"""),"-33.877161,-70.744662")</f>
        <v>-33.877161,-70.744662</v>
      </c>
      <c r="C7916" s="6" t="str">
        <f ca="1">IFERROR(__xludf.DUMMYFUNCTION("""COMPUTED_VALUE"""),"EL PORVENIR SITIO 4 ")</f>
        <v xml:space="preserve">EL PORVENIR SITIO 4 </v>
      </c>
      <c r="D7916" s="6" t="str">
        <f ca="1">IFERROR(__xludf.DUMMYFUNCTION("""COMPUTED_VALUE"""),"PAINE")</f>
        <v>PAINE</v>
      </c>
    </row>
    <row r="7917" spans="1:4">
      <c r="A7917" s="7">
        <f ca="1">IFERROR(__xludf.DUMMYFUNCTION("""COMPUTED_VALUE"""),44671)</f>
        <v>44671</v>
      </c>
      <c r="B7917" s="8" t="str">
        <f ca="1">IFERROR(__xludf.DUMMYFUNCTION("""COMPUTED_VALUE"""),"-33.840601,-70.803591")</f>
        <v>-33.840601,-70.803591</v>
      </c>
      <c r="C7917" s="6" t="str">
        <f ca="1">IFERROR(__xludf.DUMMYFUNCTION("""COMPUTED_VALUE"""),"PARCELA 14 VINCULO ")</f>
        <v xml:space="preserve">PARCELA 14 VINCULO </v>
      </c>
      <c r="D7917" s="6" t="str">
        <f ca="1">IFERROR(__xludf.DUMMYFUNCTION("""COMPUTED_VALUE"""),"PAINE")</f>
        <v>PAINE</v>
      </c>
    </row>
    <row r="7918" spans="1:4">
      <c r="A7918" s="7">
        <f ca="1">IFERROR(__xludf.DUMMYFUNCTION("""COMPUTED_VALUE"""),44671)</f>
        <v>44671</v>
      </c>
      <c r="B7918" s="8" t="str">
        <f ca="1">IFERROR(__xludf.DUMMYFUNCTION("""COMPUTED_VALUE"""),"-33.682684,-71.227466")</f>
        <v>-33.682684,-71.227466</v>
      </c>
      <c r="C7918" s="6" t="str">
        <f ca="1">IFERROR(__xludf.DUMMYFUNCTION("""COMPUTED_VALUE"""),"TODOS LOS SANTOS 1689")</f>
        <v>TODOS LOS SANTOS 1689</v>
      </c>
      <c r="D7918" s="6" t="str">
        <f ca="1">IFERROR(__xludf.DUMMYFUNCTION("""COMPUTED_VALUE"""),"MELIPILLA")</f>
        <v>MELIPILLA</v>
      </c>
    </row>
    <row r="7919" spans="1:4">
      <c r="A7919" s="7">
        <f ca="1">IFERROR(__xludf.DUMMYFUNCTION("""COMPUTED_VALUE"""),44671)</f>
        <v>44671</v>
      </c>
      <c r="B7919" s="6" t="str">
        <f ca="1">IFERROR(__xludf.DUMMYFUNCTION("""COMPUTED_VALUE"""),"-33.822060,-70.739758")</f>
        <v>-33.822060,-70.739758</v>
      </c>
      <c r="C7919" s="6" t="str">
        <f ca="1">IFERROR(__xludf.DUMMYFUNCTION("""COMPUTED_VALUE"""),"PJE. CINCO 17545")</f>
        <v>PJE. CINCO 17545</v>
      </c>
      <c r="D7919" s="6" t="str">
        <f ca="1">IFERROR(__xludf.DUMMYFUNCTION("""COMPUTED_VALUE"""),"PAINE")</f>
        <v>PAINE</v>
      </c>
    </row>
    <row r="7920" spans="1:4">
      <c r="A7920" s="7">
        <f ca="1">IFERROR(__xludf.DUMMYFUNCTION("""COMPUTED_VALUE"""),44671)</f>
        <v>44671</v>
      </c>
      <c r="B7920" s="6" t="str">
        <f ca="1">IFERROR(__xludf.DUMMYFUNCTION("""COMPUTED_VALUE"""),"-33.873471,-70.877137")</f>
        <v>-33.873471,-70.877137</v>
      </c>
      <c r="C7920" s="6" t="str">
        <f ca="1">IFERROR(__xludf.DUMMYFUNCTION("""COMPUTED_VALUE"""),"MIGUEL LETELIER ST 5")</f>
        <v>MIGUEL LETELIER ST 5</v>
      </c>
      <c r="D7920" s="6" t="str">
        <f ca="1">IFERROR(__xludf.DUMMYFUNCTION("""COMPUTED_VALUE"""),"PAINE")</f>
        <v>PAINE</v>
      </c>
    </row>
    <row r="7921" spans="1:4">
      <c r="A7921" s="7">
        <f ca="1">IFERROR(__xludf.DUMMYFUNCTION("""COMPUTED_VALUE"""),44671)</f>
        <v>44671</v>
      </c>
      <c r="B7921" s="6" t="str">
        <f ca="1">IFERROR(__xludf.DUMMYFUNCTION("""COMPUTED_VALUE"""),"-33.815749,-70.739630")</f>
        <v>-33.815749,-70.739630</v>
      </c>
      <c r="C7921" s="6" t="str">
        <f ca="1">IFERROR(__xludf.DUMMYFUNCTION("""COMPUTED_VALUE"""),"PJE. SAULO 1203")</f>
        <v>PJE. SAULO 1203</v>
      </c>
      <c r="D7921" s="6" t="str">
        <f ca="1">IFERROR(__xludf.DUMMYFUNCTION("""COMPUTED_VALUE"""),"PAINE")</f>
        <v>PAINE</v>
      </c>
    </row>
    <row r="7922" spans="1:4">
      <c r="A7922" s="7">
        <f ca="1">IFERROR(__xludf.DUMMYFUNCTION("""COMPUTED_VALUE"""),44671)</f>
        <v>44671</v>
      </c>
      <c r="B7922" s="6" t="str">
        <f ca="1">IFERROR(__xludf.DUMMYFUNCTION("""COMPUTED_VALUE"""),"-33.815929,-70.739740")</f>
        <v>-33.815929,-70.739740</v>
      </c>
      <c r="C7922" s="6" t="str">
        <f ca="1">IFERROR(__xludf.DUMMYFUNCTION("""COMPUTED_VALUE"""),"PJE. SAULO 1217")</f>
        <v>PJE. SAULO 1217</v>
      </c>
      <c r="D7922" s="6" t="str">
        <f ca="1">IFERROR(__xludf.DUMMYFUNCTION("""COMPUTED_VALUE"""),"PAINE")</f>
        <v>PAINE</v>
      </c>
    </row>
    <row r="7923" spans="1:4">
      <c r="A7923" s="7">
        <f ca="1">IFERROR(__xludf.DUMMYFUNCTION("""COMPUTED_VALUE"""),44671)</f>
        <v>44671</v>
      </c>
      <c r="B7923" s="6" t="str">
        <f ca="1">IFERROR(__xludf.DUMMYFUNCTION("""COMPUTED_VALUE"""),"-33.868512,-70.725841")</f>
        <v>-33.868512,-70.725841</v>
      </c>
      <c r="C7923" s="6" t="str">
        <f ca="1">IFERROR(__xludf.DUMMYFUNCTION("""COMPUTED_VALUE"""),"CAMINO CHADA PARC 10")</f>
        <v>CAMINO CHADA PARC 10</v>
      </c>
      <c r="D7923" s="6" t="str">
        <f ca="1">IFERROR(__xludf.DUMMYFUNCTION("""COMPUTED_VALUE"""),"PAINE")</f>
        <v>PAINE</v>
      </c>
    </row>
    <row r="7924" spans="1:4">
      <c r="A7924" s="7">
        <f ca="1">IFERROR(__xludf.DUMMYFUNCTION("""COMPUTED_VALUE"""),44671)</f>
        <v>44671</v>
      </c>
      <c r="B7924" s="6" t="str">
        <f ca="1">IFERROR(__xludf.DUMMYFUNCTION("""COMPUTED_VALUE"""),"-33.868234,-70.725362")</f>
        <v>-33.868234,-70.725362</v>
      </c>
      <c r="C7924" s="6" t="str">
        <f ca="1">IFERROR(__xludf.DUMMYFUNCTION("""COMPUTED_VALUE"""),"CAMINO CHADA 110 LOTE 3")</f>
        <v>CAMINO CHADA 110 LOTE 3</v>
      </c>
      <c r="D7924" s="6" t="str">
        <f ca="1">IFERROR(__xludf.DUMMYFUNCTION("""COMPUTED_VALUE"""),"PAINE")</f>
        <v>PAINE</v>
      </c>
    </row>
    <row r="7925" spans="1:4">
      <c r="A7925" s="7">
        <f ca="1">IFERROR(__xludf.DUMMYFUNCTION("""COMPUTED_VALUE"""),44672)</f>
        <v>44672</v>
      </c>
      <c r="B7925" s="8" t="str">
        <f ca="1">IFERROR(__xludf.DUMMYFUNCTION("""COMPUTED_VALUE"""),"-33.6084901 -70.8752035")</f>
        <v>-33.6084901 -70.8752035</v>
      </c>
      <c r="C7925" s="6" t="str">
        <f ca="1">IFERROR(__xludf.DUMMYFUNCTION("""COMPUTED_VALUE"""),"LOS ALAMOS 1814")</f>
        <v>LOS ALAMOS 1814</v>
      </c>
      <c r="D7925" s="6" t="str">
        <f ca="1">IFERROR(__xludf.DUMMYFUNCTION("""COMPUTED_VALUE"""),"PEÑAFLOR")</f>
        <v>PEÑAFLOR</v>
      </c>
    </row>
    <row r="7926" spans="1:4">
      <c r="A7926" s="7">
        <f ca="1">IFERROR(__xludf.DUMMYFUNCTION("""COMPUTED_VALUE"""),44672)</f>
        <v>44672</v>
      </c>
      <c r="B7926" s="8" t="str">
        <f ca="1">IFERROR(__xludf.DUMMYFUNCTION("""COMPUTED_VALUE"""),"-33.731762-70.908970")</f>
        <v>-33.731762-70.908970</v>
      </c>
      <c r="C7926" s="6" t="str">
        <f ca="1">IFERROR(__xludf.DUMMYFUNCTION("""COMPUTED_VALUE"""),"LOS PALTOS 65")</f>
        <v>LOS PALTOS 65</v>
      </c>
      <c r="D7926" s="6" t="str">
        <f ca="1">IFERROR(__xludf.DUMMYFUNCTION("""COMPUTED_VALUE"""),"ISLA DE MAIPO")</f>
        <v>ISLA DE MAIPO</v>
      </c>
    </row>
    <row r="7927" spans="1:4">
      <c r="A7927" s="7">
        <f ca="1">IFERROR(__xludf.DUMMYFUNCTION("""COMPUTED_VALUE"""),44672)</f>
        <v>44672</v>
      </c>
      <c r="B7927" s="8" t="str">
        <f ca="1">IFERROR(__xludf.DUMMYFUNCTION("""COMPUTED_VALUE"""),"-33.733144-70.906912")</f>
        <v>-33.733144-70.906912</v>
      </c>
      <c r="C7927" s="6" t="str">
        <f ca="1">IFERROR(__xludf.DUMMYFUNCTION("""COMPUTED_VALUE"""),"EL MANZANO 1170")</f>
        <v>EL MANZANO 1170</v>
      </c>
      <c r="D7927" s="6" t="str">
        <f ca="1">IFERROR(__xludf.DUMMYFUNCTION("""COMPUTED_VALUE"""),"ISLA DE MAIPO")</f>
        <v>ISLA DE MAIPO</v>
      </c>
    </row>
    <row r="7928" spans="1:4">
      <c r="A7928" s="7">
        <f ca="1">IFERROR(__xludf.DUMMYFUNCTION("""COMPUTED_VALUE"""),44672)</f>
        <v>44672</v>
      </c>
      <c r="B7928" s="8" t="str">
        <f ca="1">IFERROR(__xludf.DUMMYFUNCTION("""COMPUTED_VALUE"""),"-33.730663-70.985089")</f>
        <v>-33.730663-70.985089</v>
      </c>
      <c r="C7928" s="6" t="str">
        <f ca="1">IFERROR(__xludf.DUMMYFUNCTION("""COMPUTED_VALUE"""),"SAN ANTONIO  51")</f>
        <v>SAN ANTONIO  51</v>
      </c>
      <c r="D7928" s="6" t="str">
        <f ca="1">IFERROR(__xludf.DUMMYFUNCTION("""COMPUTED_VALUE"""),"ISLA DE MAIPO")</f>
        <v>ISLA DE MAIPO</v>
      </c>
    </row>
    <row r="7929" spans="1:4">
      <c r="A7929" s="7">
        <f ca="1">IFERROR(__xludf.DUMMYFUNCTION("""COMPUTED_VALUE"""),44672)</f>
        <v>44672</v>
      </c>
      <c r="B7929" s="8" t="str">
        <f ca="1">IFERROR(__xludf.DUMMYFUNCTION("""COMPUTED_VALUE"""),"-33.721277-70.7369")</f>
        <v>-33.721277-70.7369</v>
      </c>
      <c r="C7929" s="6" t="str">
        <f ca="1">IFERROR(__xludf.DUMMYFUNCTION("""COMPUTED_VALUE"""),"PASAJE DIECINUEVE 26")</f>
        <v>PASAJE DIECINUEVE 26</v>
      </c>
      <c r="D7929" s="6" t="str">
        <f ca="1">IFERROR(__xludf.DUMMYFUNCTION("""COMPUTED_VALUE"""),"BUIN")</f>
        <v>BUIN</v>
      </c>
    </row>
    <row r="7930" spans="1:4">
      <c r="A7930" s="7">
        <f ca="1">IFERROR(__xludf.DUMMYFUNCTION("""COMPUTED_VALUE"""),44672)</f>
        <v>44672</v>
      </c>
      <c r="B7930" s="8" t="str">
        <f ca="1">IFERROR(__xludf.DUMMYFUNCTION("""COMPUTED_VALUE"""),"-33.819658-70.740543")</f>
        <v>-33.819658-70.740543</v>
      </c>
      <c r="C7930" s="6" t="str">
        <f ca="1">IFERROR(__xludf.DUMMYFUNCTION("""COMPUTED_VALUE"""),"DIEGO DE ALMAGRO 219")</f>
        <v>DIEGO DE ALMAGRO 219</v>
      </c>
      <c r="D7930" s="6" t="str">
        <f ca="1">IFERROR(__xludf.DUMMYFUNCTION("""COMPUTED_VALUE"""),"PAINE")</f>
        <v>PAINE</v>
      </c>
    </row>
    <row r="7931" spans="1:4">
      <c r="A7931" s="7">
        <f ca="1">IFERROR(__xludf.DUMMYFUNCTION("""COMPUTED_VALUE"""),44672)</f>
        <v>44672</v>
      </c>
      <c r="B7931" s="8" t="str">
        <f ca="1">IFERROR(__xludf.DUMMYFUNCTION("""COMPUTED_VALUE"""),"-33.843836-70.828824")</f>
        <v>-33.843836-70.828824</v>
      </c>
      <c r="C7931" s="6" t="str">
        <f ca="1">IFERROR(__xludf.DUMMYFUNCTION("""COMPUTED_VALUE"""),"VINCULO  PERMANENTE S/N")</f>
        <v>VINCULO  PERMANENTE S/N</v>
      </c>
      <c r="D7931" s="6" t="str">
        <f ca="1">IFERROR(__xludf.DUMMYFUNCTION("""COMPUTED_VALUE"""),"PAINE")</f>
        <v>PAINE</v>
      </c>
    </row>
    <row r="7932" spans="1:4">
      <c r="A7932" s="7">
        <f ca="1">IFERROR(__xludf.DUMMYFUNCTION("""COMPUTED_VALUE"""),44672)</f>
        <v>44672</v>
      </c>
      <c r="B7932" s="6" t="str">
        <f ca="1">IFERROR(__xludf.DUMMYFUNCTION("""COMPUTED_VALUE"""),"-33.688703-71.003031")</f>
        <v>-33.688703-71.003031</v>
      </c>
      <c r="C7932" s="6" t="str">
        <f ca="1">IFERROR(__xludf.DUMMYFUNCTION("""COMPUTED_VALUE"""),"LLOPEO 303")</f>
        <v>LLOPEO 303</v>
      </c>
      <c r="D7932" s="6" t="str">
        <f ca="1">IFERROR(__xludf.DUMMYFUNCTION("""COMPUTED_VALUE"""),"EL MONTE")</f>
        <v>EL MONTE</v>
      </c>
    </row>
    <row r="7933" spans="1:4">
      <c r="A7933" s="7">
        <f ca="1">IFERROR(__xludf.DUMMYFUNCTION("""COMPUTED_VALUE"""),44672)</f>
        <v>44672</v>
      </c>
      <c r="B7933" s="6" t="str">
        <f ca="1">IFERROR(__xludf.DUMMYFUNCTION("""COMPUTED_VALUE"""),"-33.688255-71.002867")</f>
        <v>-33.688255-71.002867</v>
      </c>
      <c r="C7933" s="6" t="str">
        <f ca="1">IFERROR(__xludf.DUMMYFUNCTION("""COMPUTED_VALUE"""),"LOS LIBERTADORES 811")</f>
        <v>LOS LIBERTADORES 811</v>
      </c>
      <c r="D7933" s="6" t="str">
        <f ca="1">IFERROR(__xludf.DUMMYFUNCTION("""COMPUTED_VALUE"""),"EL MONTE")</f>
        <v>EL MONTE</v>
      </c>
    </row>
    <row r="7934" spans="1:4">
      <c r="A7934" s="7">
        <f ca="1">IFERROR(__xludf.DUMMYFUNCTION("""COMPUTED_VALUE"""),44672)</f>
        <v>44672</v>
      </c>
      <c r="B7934" s="6" t="str">
        <f ca="1">IFERROR(__xludf.DUMMYFUNCTION("""COMPUTED_VALUE"""),"-33.649605-70.351120")</f>
        <v>-33.649605-70.351120</v>
      </c>
      <c r="C7934" s="6" t="str">
        <f ca="1">IFERROR(__xludf.DUMMYFUNCTION("""COMPUTED_VALUE"""),"CAMINO PUBLICO S/N")</f>
        <v>CAMINO PUBLICO S/N</v>
      </c>
      <c r="D7934" s="6" t="str">
        <f ca="1">IFERROR(__xludf.DUMMYFUNCTION("""COMPUTED_VALUE"""),"SAN JOSE DE MAIPO")</f>
        <v>SAN JOSE DE MAIPO</v>
      </c>
    </row>
    <row r="7935" spans="1:4">
      <c r="A7935" s="7">
        <f ca="1">IFERROR(__xludf.DUMMYFUNCTION("""COMPUTED_VALUE"""),44672)</f>
        <v>44672</v>
      </c>
      <c r="B7935" s="6" t="str">
        <f ca="1">IFERROR(__xludf.DUMMYFUNCTION("""COMPUTED_VALUE"""),"-33.649785-70.351150")</f>
        <v>-33.649785-70.351150</v>
      </c>
      <c r="C7935" s="6" t="str">
        <f ca="1">IFERROR(__xludf.DUMMYFUNCTION("""COMPUTED_VALUE"""),"CAMINO PUBLICO S/N")</f>
        <v>CAMINO PUBLICO S/N</v>
      </c>
      <c r="D7935" s="6" t="str">
        <f ca="1">IFERROR(__xludf.DUMMYFUNCTION("""COMPUTED_VALUE"""),"SAN JOSE DE MAIPO")</f>
        <v>SAN JOSE DE MAIPO</v>
      </c>
    </row>
    <row r="7936" spans="1:4">
      <c r="A7936" s="7">
        <f ca="1">IFERROR(__xludf.DUMMYFUNCTION("""COMPUTED_VALUE"""),44672)</f>
        <v>44672</v>
      </c>
      <c r="B7936" s="6" t="str">
        <f ca="1">IFERROR(__xludf.DUMMYFUNCTION("""COMPUTED_VALUE"""),"-33.628495-70.349300")</f>
        <v>-33.628495-70.349300</v>
      </c>
      <c r="C7936" s="6" t="str">
        <f ca="1">IFERROR(__xludf.DUMMYFUNCTION("""COMPUTED_VALUE"""),"AV. EL ESFUERZO 18458")</f>
        <v>AV. EL ESFUERZO 18458</v>
      </c>
      <c r="D7936" s="6" t="str">
        <f ca="1">IFERROR(__xludf.DUMMYFUNCTION("""COMPUTED_VALUE"""),"SAN JOSE DE MAIPO")</f>
        <v>SAN JOSE DE MAIPO</v>
      </c>
    </row>
    <row r="7937" spans="1:4">
      <c r="A7937" s="7">
        <f ca="1">IFERROR(__xludf.DUMMYFUNCTION("""COMPUTED_VALUE"""),44672)</f>
        <v>44672</v>
      </c>
      <c r="B7937" s="8" t="str">
        <f ca="1">IFERROR(__xludf.DUMMYFUNCTION("""COMPUTED_VALUE"""),"-33.629020,-70.576292")</f>
        <v>-33.629020,-70.576292</v>
      </c>
      <c r="C7937" s="6" t="str">
        <f ca="1">IFERROR(__xludf.DUMMYFUNCTION("""COMPUTED_VALUE"""),"CACHAPOAL 73")</f>
        <v>CACHAPOAL 73</v>
      </c>
      <c r="D7937" s="6" t="str">
        <f ca="1">IFERROR(__xludf.DUMMYFUNCTION("""COMPUTED_VALUE"""),"PIRQUE")</f>
        <v>PIRQUE</v>
      </c>
    </row>
    <row r="7938" spans="1:4">
      <c r="A7938" s="7">
        <f ca="1">IFERROR(__xludf.DUMMYFUNCTION("""COMPUTED_VALUE"""),44672)</f>
        <v>44672</v>
      </c>
      <c r="B7938" s="6" t="str">
        <f ca="1">IFERROR(__xludf.DUMMYFUNCTION("""COMPUTED_VALUE"""),"-33.752144,-70.888116")</f>
        <v>-33.752144,-70.888116</v>
      </c>
      <c r="C7938" s="6" t="str">
        <f ca="1">IFERROR(__xludf.DUMMYFUNCTION("""COMPUTED_VALUE"""),"LOS ANDES 671")</f>
        <v>LOS ANDES 671</v>
      </c>
      <c r="D7938" s="6" t="str">
        <f ca="1">IFERROR(__xludf.DUMMYFUNCTION("""COMPUTED_VALUE"""),"ISLA DE MAIPO")</f>
        <v>ISLA DE MAIPO</v>
      </c>
    </row>
    <row r="7939" spans="1:4">
      <c r="A7939" s="7">
        <f ca="1">IFERROR(__xludf.DUMMYFUNCTION("""COMPUTED_VALUE"""),44672)</f>
        <v>44672</v>
      </c>
      <c r="B7939" s="6" t="str">
        <f ca="1">IFERROR(__xludf.DUMMYFUNCTION("""COMPUTED_VALUE"""),"-33.749111,-70920655")</f>
        <v>-33.749111,-70920655</v>
      </c>
      <c r="C7939" s="6" t="str">
        <f ca="1">IFERROR(__xludf.DUMMYFUNCTION("""COMPUTED_VALUE"""),"LOS MUNOCES  154 -LOTE 9")</f>
        <v>LOS MUNOCES  154 -LOTE 9</v>
      </c>
      <c r="D7939" s="6" t="str">
        <f ca="1">IFERROR(__xludf.DUMMYFUNCTION("""COMPUTED_VALUE"""),"ISLA DE MAIPO")</f>
        <v>ISLA DE MAIPO</v>
      </c>
    </row>
    <row r="7940" spans="1:4">
      <c r="A7940" s="7">
        <f ca="1">IFERROR(__xludf.DUMMYFUNCTION("""COMPUTED_VALUE"""),44672)</f>
        <v>44672</v>
      </c>
      <c r="B7940" s="6" t="str">
        <f ca="1">IFERROR(__xludf.DUMMYFUNCTION("""COMPUTED_VALUE"""),"-33.749263.-70.920577")</f>
        <v>-33.749263.-70.920577</v>
      </c>
      <c r="C7940" s="6" t="str">
        <f ca="1">IFERROR(__xludf.DUMMYFUNCTION("""COMPUTED_VALUE"""),"LOS MUNOCES 154")</f>
        <v>LOS MUNOCES 154</v>
      </c>
      <c r="D7940" s="6" t="str">
        <f ca="1">IFERROR(__xludf.DUMMYFUNCTION("""COMPUTED_VALUE"""),"ISLA DE MAIPO")</f>
        <v>ISLA DE MAIPO</v>
      </c>
    </row>
    <row r="7941" spans="1:4">
      <c r="A7941" s="7">
        <f ca="1">IFERROR(__xludf.DUMMYFUNCTION("""COMPUTED_VALUE"""),44672)</f>
        <v>44672</v>
      </c>
      <c r="B7941" s="6" t="str">
        <f ca="1">IFERROR(__xludf.DUMMYFUNCTION("""COMPUTED_VALUE"""),"-35.432617,-71.6341598")</f>
        <v>-35.432617,-71.6341598</v>
      </c>
      <c r="C7941" s="6" t="str">
        <f ca="1">IFERROR(__xludf.DUMMYFUNCTION("""COMPUTED_VALUE"""),"PASAJE DOS Y MEDIO SUR 3108")</f>
        <v>PASAJE DOS Y MEDIO SUR 3108</v>
      </c>
      <c r="D7941" s="6" t="str">
        <f ca="1">IFERROR(__xludf.DUMMYFUNCTION("""COMPUTED_VALUE"""),"TALCA")</f>
        <v>TALCA</v>
      </c>
    </row>
    <row r="7942" spans="1:4">
      <c r="A7942" s="7">
        <f ca="1">IFERROR(__xludf.DUMMYFUNCTION("""COMPUTED_VALUE"""),44672)</f>
        <v>44672</v>
      </c>
      <c r="B7942" s="6" t="str">
        <f ca="1">IFERROR(__xludf.DUMMYFUNCTION("""COMPUTED_VALUE"""),"-35.447601.-71.627007")</f>
        <v>-35.447601.-71.627007</v>
      </c>
      <c r="C7942" s="6" t="str">
        <f ca="1">IFERROR(__xludf.DUMMYFUNCTION("""COMPUTED_VALUE"""),"TREINTA Y TRES Y MEDIO  ORIENTE A 258")</f>
        <v>TREINTA Y TRES Y MEDIO  ORIENTE A 258</v>
      </c>
      <c r="D7942" s="6" t="str">
        <f ca="1">IFERROR(__xludf.DUMMYFUNCTION("""COMPUTED_VALUE"""),"TALCA")</f>
        <v>TALCA</v>
      </c>
    </row>
    <row r="7943" spans="1:4">
      <c r="A7943" s="7">
        <f ca="1">IFERROR(__xludf.DUMMYFUNCTION("""COMPUTED_VALUE"""),44672)</f>
        <v>44672</v>
      </c>
      <c r="B7943" s="6" t="str">
        <f ca="1">IFERROR(__xludf.DUMMYFUNCTION("""COMPUTED_VALUE"""),"-35.437698.-71.631935")</f>
        <v>-35.437698.-71.631935</v>
      </c>
      <c r="C7943" s="6" t="str">
        <f ca="1">IFERROR(__xludf.DUMMYFUNCTION("""COMPUTED_VALUE"""),"CINCO Y MEDIO  SUR 2978")</f>
        <v>CINCO Y MEDIO  SUR 2978</v>
      </c>
      <c r="D7943" s="6" t="str">
        <f ca="1">IFERROR(__xludf.DUMMYFUNCTION("""COMPUTED_VALUE"""),"TALCA")</f>
        <v>TALCA</v>
      </c>
    </row>
    <row r="7944" spans="1:4">
      <c r="A7944" s="7">
        <f ca="1">IFERROR(__xludf.DUMMYFUNCTION("""COMPUTED_VALUE"""),44672)</f>
        <v>44672</v>
      </c>
      <c r="B7944" s="6" t="str">
        <f ca="1">IFERROR(__xludf.DUMMYFUNCTION("""COMPUTED_VALUE"""),"-35.431607,-71.63259")</f>
        <v>-35.431607,-71.63259</v>
      </c>
      <c r="C7944" s="6" t="str">
        <f ca="1">IFERROR(__xludf.DUMMYFUNCTION("""COMPUTED_VALUE"""),"PASAJE UNO SUR A 3143")</f>
        <v>PASAJE UNO SUR A 3143</v>
      </c>
      <c r="D7944" s="6" t="str">
        <f ca="1">IFERROR(__xludf.DUMMYFUNCTION("""COMPUTED_VALUE"""),"TALCA")</f>
        <v>TALCA</v>
      </c>
    </row>
    <row r="7945" spans="1:4">
      <c r="A7945" s="7">
        <f ca="1">IFERROR(__xludf.DUMMYFUNCTION("""COMPUTED_VALUE"""),44672)</f>
        <v>44672</v>
      </c>
      <c r="B7945" s="6" t="str">
        <f ca="1">IFERROR(__xludf.DUMMYFUNCTION("""COMPUTED_VALUE"""),"-35.452534.-71.674187")</f>
        <v>-35.452534.-71.674187</v>
      </c>
      <c r="C7945" s="6" t="str">
        <f ca="1">IFERROR(__xludf.DUMMYFUNCTION("""COMPUTED_VALUE"""),"TREINTA Y TRES SUR 664")</f>
        <v>TREINTA Y TRES SUR 664</v>
      </c>
      <c r="D7945" s="6" t="str">
        <f ca="1">IFERROR(__xludf.DUMMYFUNCTION("""COMPUTED_VALUE"""),"TALCA")</f>
        <v>TALCA</v>
      </c>
    </row>
    <row r="7946" spans="1:4">
      <c r="A7946" s="7">
        <f ca="1">IFERROR(__xludf.DUMMYFUNCTION("""COMPUTED_VALUE"""),44672)</f>
        <v>44672</v>
      </c>
      <c r="B7946" s="6" t="str">
        <f ca="1">IFERROR(__xludf.DUMMYFUNCTION("""COMPUTED_VALUE"""),"-35.427985,-71.6311731")</f>
        <v>-35.427985,-71.6311731</v>
      </c>
      <c r="C7946" s="6" t="str">
        <f ca="1">IFERROR(__xludf.DUMMYFUNCTION("""COMPUTED_VALUE"""),"PASAJE TRES Y MEDIO NORTE 3157")</f>
        <v>PASAJE TRES Y MEDIO NORTE 3157</v>
      </c>
      <c r="D7946" s="6" t="str">
        <f ca="1">IFERROR(__xludf.DUMMYFUNCTION("""COMPUTED_VALUE"""),"TALCA")</f>
        <v>TALCA</v>
      </c>
    </row>
    <row r="7947" spans="1:4">
      <c r="A7947" s="7">
        <f ca="1">IFERROR(__xludf.DUMMYFUNCTION("""COMPUTED_VALUE"""),44672)</f>
        <v>44672</v>
      </c>
      <c r="B7947" s="8" t="str">
        <f ca="1">IFERROR(__xludf.DUMMYFUNCTION("""COMPUTED_VALUE"""),"-33.877299,-70.744363")</f>
        <v>-33.877299,-70.744363</v>
      </c>
      <c r="C7947" s="6" t="str">
        <f ca="1">IFERROR(__xludf.DUMMYFUNCTION("""COMPUTED_VALUE"""),"EL PORVENIR 4 ")</f>
        <v xml:space="preserve">EL PORVENIR 4 </v>
      </c>
      <c r="D7947" s="6" t="str">
        <f ca="1">IFERROR(__xludf.DUMMYFUNCTION("""COMPUTED_VALUE"""),"PAINE")</f>
        <v>PAINE</v>
      </c>
    </row>
    <row r="7948" spans="1:4">
      <c r="A7948" s="7">
        <f ca="1">IFERROR(__xludf.DUMMYFUNCTION("""COMPUTED_VALUE"""),44672)</f>
        <v>44672</v>
      </c>
      <c r="B7948" s="8" t="str">
        <f ca="1">IFERROR(__xludf.DUMMYFUNCTION("""COMPUTED_VALUE"""),"-33.866550,-70.749111")</f>
        <v>-33.866550,-70.749111</v>
      </c>
      <c r="C7948" s="6" t="str">
        <f ca="1">IFERROR(__xludf.DUMMYFUNCTION("""COMPUTED_VALUE"""),"VICTORIA GONZALEZ 1")</f>
        <v>VICTORIA GONZALEZ 1</v>
      </c>
      <c r="D7948" s="6" t="str">
        <f ca="1">IFERROR(__xludf.DUMMYFUNCTION("""COMPUTED_VALUE"""),"PAINE")</f>
        <v>PAINE</v>
      </c>
    </row>
    <row r="7949" spans="1:4">
      <c r="A7949" s="7">
        <f ca="1">IFERROR(__xludf.DUMMYFUNCTION("""COMPUTED_VALUE"""),44672)</f>
        <v>44672</v>
      </c>
      <c r="B7949" s="8" t="str">
        <f ca="1">IFERROR(__xludf.DUMMYFUNCTION("""COMPUTED_VALUE"""),"-33.818934,-70.739291")</f>
        <v>-33.818934,-70.739291</v>
      </c>
      <c r="C7949" s="6" t="str">
        <f ca="1">IFERROR(__xludf.DUMMYFUNCTION("""COMPUTED_VALUE"""),"MAITENCILLO 316")</f>
        <v>MAITENCILLO 316</v>
      </c>
      <c r="D7949" s="6" t="str">
        <f ca="1">IFERROR(__xludf.DUMMYFUNCTION("""COMPUTED_VALUE"""),"PAINE")</f>
        <v>PAINE</v>
      </c>
    </row>
    <row r="7950" spans="1:4">
      <c r="A7950" s="7">
        <f ca="1">IFERROR(__xludf.DUMMYFUNCTION("""COMPUTED_VALUE"""),44672)</f>
        <v>44672</v>
      </c>
      <c r="B7950" s="8" t="str">
        <f ca="1">IFERROR(__xludf.DUMMYFUNCTION("""COMPUTED_VALUE"""),"-33.735684,-70.736582")</f>
        <v>-33.735684,-70.736582</v>
      </c>
      <c r="C7950" s="6" t="str">
        <f ca="1">IFERROR(__xludf.DUMMYFUNCTION("""COMPUTED_VALUE"""),"MAIPU 50 ")</f>
        <v xml:space="preserve">MAIPU 50 </v>
      </c>
      <c r="D7950" s="6" t="str">
        <f ca="1">IFERROR(__xludf.DUMMYFUNCTION("""COMPUTED_VALUE"""),"BUIN")</f>
        <v>BUIN</v>
      </c>
    </row>
    <row r="7951" spans="1:4">
      <c r="A7951" s="7">
        <f ca="1">IFERROR(__xludf.DUMMYFUNCTION("""COMPUTED_VALUE"""),44672)</f>
        <v>44672</v>
      </c>
      <c r="B7951" s="6" t="str">
        <f ca="1">IFERROR(__xludf.DUMMYFUNCTION("""COMPUTED_VALUE"""),"-33.880765,-70.720346")</f>
        <v>-33.880765,-70.720346</v>
      </c>
      <c r="C7951" s="6" t="str">
        <f ca="1">IFERROR(__xludf.DUMMYFUNCTION("""COMPUTED_VALUE"""),"CO. EL SAUCE PC. 171 1A")</f>
        <v>CO. EL SAUCE PC. 171 1A</v>
      </c>
      <c r="D7951" s="6" t="str">
        <f ca="1">IFERROR(__xludf.DUMMYFUNCTION("""COMPUTED_VALUE"""),"PAINE")</f>
        <v>PAINE</v>
      </c>
    </row>
    <row r="7952" spans="1:4">
      <c r="A7952" s="7">
        <f ca="1">IFERROR(__xludf.DUMMYFUNCTION("""COMPUTED_VALUE"""),44672)</f>
        <v>44672</v>
      </c>
      <c r="B7952" s="6" t="str">
        <f ca="1">IFERROR(__xludf.DUMMYFUNCTION("""COMPUTED_VALUE"""),"-33.803117,-70.717103")</f>
        <v>-33.803117,-70.717103</v>
      </c>
      <c r="C7952" s="6" t="str">
        <f ca="1">IFERROR(__xludf.DUMMYFUNCTION("""COMPUTED_VALUE"""),"SAN JUAN DE DIOS 219 CASA U")</f>
        <v>SAN JUAN DE DIOS 219 CASA U</v>
      </c>
      <c r="D7952" s="6" t="str">
        <f ca="1">IFERROR(__xludf.DUMMYFUNCTION("""COMPUTED_VALUE"""),"PAINE")</f>
        <v>PAINE</v>
      </c>
    </row>
    <row r="7953" spans="1:4">
      <c r="A7953" s="7">
        <f ca="1">IFERROR(__xludf.DUMMYFUNCTION("""COMPUTED_VALUE"""),44672)</f>
        <v>44672</v>
      </c>
      <c r="B7953" s="6" t="str">
        <f ca="1">IFERROR(__xludf.DUMMYFUNCTION("""COMPUTED_VALUE"""),"-33.800226,-70.773219")</f>
        <v>-33.800226,-70.773219</v>
      </c>
      <c r="C7953" s="6" t="str">
        <f ca="1">IFERROR(__xludf.DUMMYFUNCTION("""COMPUTED_VALUE"""),"AV. VILUCO 2917")</f>
        <v>AV. VILUCO 2917</v>
      </c>
      <c r="D7953" s="6" t="str">
        <f ca="1">IFERROR(__xludf.DUMMYFUNCTION("""COMPUTED_VALUE"""),"BUIN")</f>
        <v>BUIN</v>
      </c>
    </row>
    <row r="7954" spans="1:4">
      <c r="A7954" s="7">
        <f ca="1">IFERROR(__xludf.DUMMYFUNCTION("""COMPUTED_VALUE"""),44672)</f>
        <v>44672</v>
      </c>
      <c r="B7954" s="6" t="str">
        <f ca="1">IFERROR(__xludf.DUMMYFUNCTION("""COMPUTED_VALUE"""),"-33.8555460,-70.7409926")</f>
        <v>-33.8555460,-70.7409926</v>
      </c>
      <c r="C7954" s="6" t="str">
        <f ca="1">IFERROR(__xludf.DUMMYFUNCTION("""COMPUTED_VALUE"""),"AV. ROMERO PARCELA 29")</f>
        <v>AV. ROMERO PARCELA 29</v>
      </c>
      <c r="D7954" s="6" t="str">
        <f ca="1">IFERROR(__xludf.DUMMYFUNCTION("""COMPUTED_VALUE"""),"PAINE")</f>
        <v>PAINE</v>
      </c>
    </row>
    <row r="7955" spans="1:4">
      <c r="A7955" s="7">
        <f ca="1">IFERROR(__xludf.DUMMYFUNCTION("""COMPUTED_VALUE"""),44672)</f>
        <v>44672</v>
      </c>
      <c r="B7955" s="6" t="str">
        <f ca="1">IFERROR(__xludf.DUMMYFUNCTION("""COMPUTED_VALUE"""),"-33.856087,-70.740978")</f>
        <v>-33.856087,-70.740978</v>
      </c>
      <c r="C7955" s="6" t="str">
        <f ca="1">IFERROR(__xludf.DUMMYFUNCTION("""COMPUTED_VALUE"""),"AV. ROMERO PARCELA 29")</f>
        <v>AV. ROMERO PARCELA 29</v>
      </c>
      <c r="D7955" s="6" t="str">
        <f ca="1">IFERROR(__xludf.DUMMYFUNCTION("""COMPUTED_VALUE"""),"PAINE")</f>
        <v>PAINE</v>
      </c>
    </row>
    <row r="7956" spans="1:4">
      <c r="A7956" s="7">
        <f ca="1">IFERROR(__xludf.DUMMYFUNCTION("""COMPUTED_VALUE"""),44672)</f>
        <v>44672</v>
      </c>
      <c r="B7956" s="6" t="str">
        <f ca="1">IFERROR(__xludf.DUMMYFUNCTION("""COMPUTED_VALUE"""),"-33.813291,-70.225612")</f>
        <v>-33.813291,-70.225612</v>
      </c>
      <c r="C7956" s="6" t="str">
        <f ca="1">IFERROR(__xludf.DUMMYFUNCTION("""COMPUTED_VALUE"""),"AV. DIECIOCHO 1291")</f>
        <v>AV. DIECIOCHO 1291</v>
      </c>
      <c r="D7956" s="6" t="str">
        <f ca="1">IFERROR(__xludf.DUMMYFUNCTION("""COMPUTED_VALUE"""),"PAINE")</f>
        <v>PAINE</v>
      </c>
    </row>
    <row r="7957" spans="1:4">
      <c r="A7957" s="7">
        <f ca="1">IFERROR(__xludf.DUMMYFUNCTION("""COMPUTED_VALUE"""),44673)</f>
        <v>44673</v>
      </c>
      <c r="B7957" s="8" t="str">
        <f ca="1">IFERROR(__xludf.DUMMYFUNCTION("""COMPUTED_VALUE"""),"-33.868083-70.851820")</f>
        <v>-33.868083-70.851820</v>
      </c>
      <c r="C7957" s="6" t="str">
        <f ca="1">IFERROR(__xludf.DUMMYFUNCTION("""COMPUTED_VALUE"""),"HUITICALAN  15B")</f>
        <v>HUITICALAN  15B</v>
      </c>
      <c r="D7957" s="6" t="str">
        <f ca="1">IFERROR(__xludf.DUMMYFUNCTION("""COMPUTED_VALUE"""),"PAINE")</f>
        <v>PAINE</v>
      </c>
    </row>
    <row r="7958" spans="1:4">
      <c r="A7958" s="7">
        <f ca="1">IFERROR(__xludf.DUMMYFUNCTION("""COMPUTED_VALUE"""),44673)</f>
        <v>44673</v>
      </c>
      <c r="B7958" s="8" t="str">
        <f ca="1">IFERROR(__xludf.DUMMYFUNCTION("""COMPUTED_VALUE"""),"-33.868420-70.852150")</f>
        <v>-33.868420-70.852150</v>
      </c>
      <c r="C7958" s="6" t="str">
        <f ca="1">IFERROR(__xludf.DUMMYFUNCTION("""COMPUTED_VALUE"""),"HAITIANA 15")</f>
        <v>HAITIANA 15</v>
      </c>
      <c r="D7958" s="6" t="str">
        <f ca="1">IFERROR(__xludf.DUMMYFUNCTION("""COMPUTED_VALUE"""),"PAINE")</f>
        <v>PAINE</v>
      </c>
    </row>
    <row r="7959" spans="1:4">
      <c r="A7959" s="7">
        <f ca="1">IFERROR(__xludf.DUMMYFUNCTION("""COMPUTED_VALUE"""),44673)</f>
        <v>44673</v>
      </c>
      <c r="B7959" s="8" t="str">
        <f ca="1">IFERROR(__xludf.DUMMYFUNCTION("""COMPUTED_VALUE"""),"-33.731766-70.908576")</f>
        <v>-33.731766-70.908576</v>
      </c>
      <c r="C7959" s="6" t="str">
        <f ca="1">IFERROR(__xludf.DUMMYFUNCTION("""COMPUTED_VALUE"""),"EL GUINDO 60")</f>
        <v>EL GUINDO 60</v>
      </c>
      <c r="D7959" s="6" t="str">
        <f ca="1">IFERROR(__xludf.DUMMYFUNCTION("""COMPUTED_VALUE"""),"ISLA DE MAIPO")</f>
        <v>ISLA DE MAIPO</v>
      </c>
    </row>
    <row r="7960" spans="1:4">
      <c r="A7960" s="7">
        <f ca="1">IFERROR(__xludf.DUMMYFUNCTION("""COMPUTED_VALUE"""),44673)</f>
        <v>44673</v>
      </c>
      <c r="B7960" s="8" t="str">
        <f ca="1">IFERROR(__xludf.DUMMYFUNCTION("""COMPUTED_VALUE"""),"-33.731766-70.908576")</f>
        <v>-33.731766-70.908576</v>
      </c>
      <c r="C7960" s="6" t="str">
        <f ca="1">IFERROR(__xludf.DUMMYFUNCTION("""COMPUTED_VALUE"""),"EL GUINDO 60")</f>
        <v>EL GUINDO 60</v>
      </c>
      <c r="D7960" s="6" t="str">
        <f ca="1">IFERROR(__xludf.DUMMYFUNCTION("""COMPUTED_VALUE"""),"ISLA DE MAIPO")</f>
        <v>ISLA DE MAIPO</v>
      </c>
    </row>
    <row r="7961" spans="1:4">
      <c r="A7961" s="7">
        <f ca="1">IFERROR(__xludf.DUMMYFUNCTION("""COMPUTED_VALUE"""),44673)</f>
        <v>44673</v>
      </c>
      <c r="B7961" s="8" t="str">
        <f ca="1">IFERROR(__xludf.DUMMYFUNCTION("""COMPUTED_VALUE"""),"-33.745728-70.868897")</f>
        <v>-33.745728-70.868897</v>
      </c>
      <c r="C7961" s="6" t="str">
        <f ca="1">IFERROR(__xludf.DUMMYFUNCTION("""COMPUTED_VALUE"""),"HUGO CARVALAN 284")</f>
        <v>HUGO CARVALAN 284</v>
      </c>
      <c r="D7961" s="6" t="str">
        <f ca="1">IFERROR(__xludf.DUMMYFUNCTION("""COMPUTED_VALUE"""),"ISLA DE MAIPO")</f>
        <v>ISLA DE MAIPO</v>
      </c>
    </row>
    <row r="7962" spans="1:4">
      <c r="A7962" s="7">
        <f ca="1">IFERROR(__xludf.DUMMYFUNCTION("""COMPUTED_VALUE"""),44673)</f>
        <v>44673</v>
      </c>
      <c r="B7962" s="8" t="str">
        <f ca="1">IFERROR(__xludf.DUMMYFUNCTION("""COMPUTED_VALUE"""),"-33.747729-70.869760")</f>
        <v>-33.747729-70.869760</v>
      </c>
      <c r="C7962" s="6" t="str">
        <f ca="1">IFERROR(__xludf.DUMMYFUNCTION("""COMPUTED_VALUE"""),"LA VENDIMIA 116")</f>
        <v>LA VENDIMIA 116</v>
      </c>
      <c r="D7962" s="6" t="str">
        <f ca="1">IFERROR(__xludf.DUMMYFUNCTION("""COMPUTED_VALUE"""),"ISLA DE MAIPO")</f>
        <v>ISLA DE MAIPO</v>
      </c>
    </row>
    <row r="7963" spans="1:4">
      <c r="A7963" s="7">
        <f ca="1">IFERROR(__xludf.DUMMYFUNCTION("""COMPUTED_VALUE"""),44673)</f>
        <v>44673</v>
      </c>
      <c r="B7963" s="8" t="str">
        <f ca="1">IFERROR(__xludf.DUMMYFUNCTION("""COMPUTED_VALUE"""),"-33.590610-71.227711")</f>
        <v>-33.590610-71.227711</v>
      </c>
      <c r="C7963" s="6" t="str">
        <f ca="1">IFERROR(__xludf.DUMMYFUNCTION("""COMPUTED_VALUE"""),"LOS BOLSOS S/N PARCELA 56 SAN JOSE")</f>
        <v>LOS BOLSOS S/N PARCELA 56 SAN JOSE</v>
      </c>
      <c r="D7963" s="6" t="str">
        <f ca="1">IFERROR(__xludf.DUMMYFUNCTION("""COMPUTED_VALUE"""),"MELIPILLA")</f>
        <v>MELIPILLA</v>
      </c>
    </row>
    <row r="7964" spans="1:4">
      <c r="A7964" s="7">
        <f ca="1">IFERROR(__xludf.DUMMYFUNCTION("""COMPUTED_VALUE"""),44673)</f>
        <v>44673</v>
      </c>
      <c r="B7964" s="8" t="str">
        <f ca="1">IFERROR(__xludf.DUMMYFUNCTION("""COMPUTED_VALUE"""),"-33.842646-70.637791")</f>
        <v>-33.842646-70.637791</v>
      </c>
      <c r="C7964" s="6" t="str">
        <f ca="1">IFERROR(__xludf.DUMMYFUNCTION("""COMPUTED_VALUE"""),"PDRE HURTADO SITIO 4 HUELQUEN")</f>
        <v>PDRE HURTADO SITIO 4 HUELQUEN</v>
      </c>
      <c r="D7964" s="6" t="str">
        <f ca="1">IFERROR(__xludf.DUMMYFUNCTION("""COMPUTED_VALUE"""),"PAINE")</f>
        <v>PAINE</v>
      </c>
    </row>
    <row r="7965" spans="1:4">
      <c r="A7965" s="7">
        <f ca="1">IFERROR(__xludf.DUMMYFUNCTION("""COMPUTED_VALUE"""),44673)</f>
        <v>44673</v>
      </c>
      <c r="B7965" s="8" t="str">
        <f ca="1">IFERROR(__xludf.DUMMYFUNCTION("""COMPUTED_VALUE"""),"-33.182614,-70.653718")</f>
        <v>-33.182614,-70.653718</v>
      </c>
      <c r="C7965" s="6" t="str">
        <f ca="1">IFERROR(__xludf.DUMMYFUNCTION("""COMPUTED_VALUE"""),"COLLINS 280")</f>
        <v>COLLINS 280</v>
      </c>
      <c r="D7965" s="6" t="str">
        <f ca="1">IFERROR(__xludf.DUMMYFUNCTION("""COMPUTED_VALUE"""),"COLINA")</f>
        <v>COLINA</v>
      </c>
    </row>
    <row r="7966" spans="1:4">
      <c r="A7966" s="7">
        <f ca="1">IFERROR(__xludf.DUMMYFUNCTION("""COMPUTED_VALUE"""),44673)</f>
        <v>44673</v>
      </c>
      <c r="B7966" s="8" t="str">
        <f ca="1">IFERROR(__xludf.DUMMYFUNCTION("""COMPUTED_VALUE"""),"-33.200228,-70.702681")</f>
        <v>-33.200228,-70.702681</v>
      </c>
      <c r="C7966" s="6" t="str">
        <f ca="1">IFERROR(__xludf.DUMMYFUNCTION("""COMPUTED_VALUE"""),"EDUARDO BARRIOS 2008")</f>
        <v>EDUARDO BARRIOS 2008</v>
      </c>
      <c r="D7966" s="6" t="str">
        <f ca="1">IFERROR(__xludf.DUMMYFUNCTION("""COMPUTED_VALUE"""),"COLINA")</f>
        <v>COLINA</v>
      </c>
    </row>
    <row r="7967" spans="1:4">
      <c r="A7967" s="7">
        <f ca="1">IFERROR(__xludf.DUMMYFUNCTION("""COMPUTED_VALUE"""),44673)</f>
        <v>44673</v>
      </c>
      <c r="B7967" s="8" t="str">
        <f ca="1">IFERROR(__xludf.DUMMYFUNCTION("""COMPUTED_VALUE"""),"-33.214270,-70.682171")</f>
        <v>-33.214270,-70.682171</v>
      </c>
      <c r="C7967" s="6" t="str">
        <f ca="1">IFERROR(__xludf.DUMMYFUNCTION("""COMPUTED_VALUE"""),"EL RODEO 1057")</f>
        <v>EL RODEO 1057</v>
      </c>
      <c r="D7967" s="6" t="str">
        <f ca="1">IFERROR(__xludf.DUMMYFUNCTION("""COMPUTED_VALUE"""),"COLINA")</f>
        <v>COLINA</v>
      </c>
    </row>
    <row r="7968" spans="1:4">
      <c r="A7968" s="7">
        <f ca="1">IFERROR(__xludf.DUMMYFUNCTION("""COMPUTED_VALUE"""),44673)</f>
        <v>44673</v>
      </c>
      <c r="B7968" s="8" t="str">
        <f ca="1">IFERROR(__xludf.DUMMYFUNCTION("""COMPUTED_VALUE"""),"-33.658794,-70.633164")</f>
        <v>-33.658794,-70.633164</v>
      </c>
      <c r="C7968" s="6" t="str">
        <f ca="1">IFERROR(__xludf.DUMMYFUNCTION("""COMPUTED_VALUE"""),"SAN VICENTE PARC.55")</f>
        <v>SAN VICENTE PARC.55</v>
      </c>
      <c r="D7968" s="6" t="str">
        <f ca="1">IFERROR(__xludf.DUMMYFUNCTION("""COMPUTED_VALUE"""),"PIRQUE")</f>
        <v>PIRQUE</v>
      </c>
    </row>
    <row r="7969" spans="1:4">
      <c r="A7969" s="7">
        <f ca="1">IFERROR(__xludf.DUMMYFUNCTION("""COMPUTED_VALUE"""),44673)</f>
        <v>44673</v>
      </c>
      <c r="B7969" s="8" t="str">
        <f ca="1">IFERROR(__xludf.DUMMYFUNCTION("""COMPUTED_VALUE"""),"-33.658794,-70.633164")</f>
        <v>-33.658794,-70.633164</v>
      </c>
      <c r="C7969" s="6" t="str">
        <f ca="1">IFERROR(__xludf.DUMMYFUNCTION("""COMPUTED_VALUE"""),"SAN VICENTE PARC.55")</f>
        <v>SAN VICENTE PARC.55</v>
      </c>
      <c r="D7969" s="6" t="str">
        <f ca="1">IFERROR(__xludf.DUMMYFUNCTION("""COMPUTED_VALUE"""),"PIRQUE")</f>
        <v>PIRQUE</v>
      </c>
    </row>
    <row r="7970" spans="1:4">
      <c r="A7970" s="7">
        <f ca="1">IFERROR(__xludf.DUMMYFUNCTION("""COMPUTED_VALUE"""),44673)</f>
        <v>44673</v>
      </c>
      <c r="B7970" s="6" t="str">
        <f ca="1">IFERROR(__xludf.DUMMYFUNCTION("""COMPUTED_VALUE"""),"-33.741654,-70.903633")</f>
        <v>-33.741654,-70.903633</v>
      </c>
      <c r="C7970" s="6" t="str">
        <f ca="1">IFERROR(__xludf.DUMMYFUNCTION("""COMPUTED_VALUE"""),"JAIME GUZMAN 1280")</f>
        <v>JAIME GUZMAN 1280</v>
      </c>
      <c r="D7970" s="6" t="str">
        <f ca="1">IFERROR(__xludf.DUMMYFUNCTION("""COMPUTED_VALUE"""),"ISLA DE MAIPO")</f>
        <v>ISLA DE MAIPO</v>
      </c>
    </row>
    <row r="7971" spans="1:4">
      <c r="A7971" s="7">
        <f ca="1">IFERROR(__xludf.DUMMYFUNCTION("""COMPUTED_VALUE"""),44673)</f>
        <v>44673</v>
      </c>
      <c r="B7971" s="6" t="str">
        <f ca="1">IFERROR(__xludf.DUMMYFUNCTION("""COMPUTED_VALUE"""),"-33.733974,-70.865966")</f>
        <v>-33.733974,-70.865966</v>
      </c>
      <c r="C7971" s="6" t="str">
        <f ca="1">IFERROR(__xludf.DUMMYFUNCTION("""COMPUTED_VALUE"""),"EL MAITEN 713")</f>
        <v>EL MAITEN 713</v>
      </c>
      <c r="D7971" s="6" t="str">
        <f ca="1">IFERROR(__xludf.DUMMYFUNCTION("""COMPUTED_VALUE"""),"ISLA DE MAIPO")</f>
        <v>ISLA DE MAIPO</v>
      </c>
    </row>
    <row r="7972" spans="1:4">
      <c r="A7972" s="7">
        <f ca="1">IFERROR(__xludf.DUMMYFUNCTION("""COMPUTED_VALUE"""),44673)</f>
        <v>44673</v>
      </c>
      <c r="B7972" s="6" t="str">
        <f ca="1">IFERROR(__xludf.DUMMYFUNCTION("""COMPUTED_VALUE"""),"-33.849476,-70.765968")</f>
        <v>-33.849476,-70.765968</v>
      </c>
      <c r="C7972" s="6" t="str">
        <f ca="1">IFERROR(__xludf.DUMMYFUNCTION("""COMPUTED_VALUE"""),"LA TURBINA 6")</f>
        <v>LA TURBINA 6</v>
      </c>
      <c r="D7972" s="6" t="str">
        <f ca="1">IFERROR(__xludf.DUMMYFUNCTION("""COMPUTED_VALUE"""),"PAINE")</f>
        <v>PAINE</v>
      </c>
    </row>
    <row r="7973" spans="1:4">
      <c r="A7973" s="7">
        <f ca="1">IFERROR(__xludf.DUMMYFUNCTION("""COMPUTED_VALUE"""),44673)</f>
        <v>44673</v>
      </c>
      <c r="B7973" s="6" t="str">
        <f ca="1">IFERROR(__xludf.DUMMYFUNCTION("""COMPUTED_VALUE"""),"-33.849464,-70.766071")</f>
        <v>-33.849464,-70.766071</v>
      </c>
      <c r="C7973" s="6" t="str">
        <f ca="1">IFERROR(__xludf.DUMMYFUNCTION("""COMPUTED_VALUE"""),"LA TURBINA 13")</f>
        <v>LA TURBINA 13</v>
      </c>
      <c r="D7973" s="6" t="str">
        <f ca="1">IFERROR(__xludf.DUMMYFUNCTION("""COMPUTED_VALUE"""),"PAINE")</f>
        <v>PAINE</v>
      </c>
    </row>
    <row r="7974" spans="1:4">
      <c r="A7974" s="7">
        <f ca="1">IFERROR(__xludf.DUMMYFUNCTION("""COMPUTED_VALUE"""),44673)</f>
        <v>44673</v>
      </c>
      <c r="B7974" s="6" t="str">
        <f ca="1">IFERROR(__xludf.DUMMYFUNCTION("""COMPUTED_VALUE"""),"-33.806178,-70.756758")</f>
        <v>-33.806178,-70.756758</v>
      </c>
      <c r="C7974" s="6" t="str">
        <f ca="1">IFERROR(__xludf.DUMMYFUNCTION("""COMPUTED_VALUE"""),"OCHO PONIENTE 535")</f>
        <v>OCHO PONIENTE 535</v>
      </c>
      <c r="D7974" s="6" t="str">
        <f ca="1">IFERROR(__xludf.DUMMYFUNCTION("""COMPUTED_VALUE"""),"BUIN")</f>
        <v>BUIN</v>
      </c>
    </row>
    <row r="7975" spans="1:4">
      <c r="A7975" s="7">
        <f ca="1">IFERROR(__xludf.DUMMYFUNCTION("""COMPUTED_VALUE"""),44673)</f>
        <v>44673</v>
      </c>
      <c r="B7975" s="6" t="str">
        <f ca="1">IFERROR(__xludf.DUMMYFUNCTION("""COMPUTED_VALUE"""),"-33.814031,-70.739635")</f>
        <v>-33.814031,-70.739635</v>
      </c>
      <c r="C7975" s="6" t="str">
        <f ca="1">IFERROR(__xludf.DUMMYFUNCTION("""COMPUTED_VALUE"""),"LAS RETINAS 1038")</f>
        <v>LAS RETINAS 1038</v>
      </c>
      <c r="D7975" s="6" t="str">
        <f ca="1">IFERROR(__xludf.DUMMYFUNCTION("""COMPUTED_VALUE"""),"PAINE")</f>
        <v>PAINE</v>
      </c>
    </row>
    <row r="7976" spans="1:4">
      <c r="A7976" s="7">
        <f ca="1">IFERROR(__xludf.DUMMYFUNCTION("""COMPUTED_VALUE"""),44673)</f>
        <v>44673</v>
      </c>
      <c r="B7976" s="6" t="str">
        <f ca="1">IFERROR(__xludf.DUMMYFUNCTION("""COMPUTED_VALUE"""),"-33.813796,-70.736706")</f>
        <v>-33.813796,-70.736706</v>
      </c>
      <c r="C7976" s="6" t="str">
        <f ca="1">IFERROR(__xludf.DUMMYFUNCTION("""COMPUTED_VALUE"""),"PASAJE UNO 585")</f>
        <v>PASAJE UNO 585</v>
      </c>
      <c r="D7976" s="6" t="str">
        <f ca="1">IFERROR(__xludf.DUMMYFUNCTION("""COMPUTED_VALUE"""),"PAINE")</f>
        <v>PAINE</v>
      </c>
    </row>
    <row r="7977" spans="1:4">
      <c r="A7977" s="7">
        <f ca="1">IFERROR(__xludf.DUMMYFUNCTION("""COMPUTED_VALUE"""),44674)</f>
        <v>44674</v>
      </c>
      <c r="B7977" s="6" t="str">
        <f ca="1">IFERROR(__xludf.DUMMYFUNCTION("""COMPUTED_VALUE"""),"-33.607433-70.863743")</f>
        <v>-33.607433-70.863743</v>
      </c>
      <c r="C7977" s="6" t="str">
        <f ca="1">IFERROR(__xludf.DUMMYFUNCTION("""COMPUTED_VALUE"""),"BARROS ARANA 232")</f>
        <v>BARROS ARANA 232</v>
      </c>
      <c r="D7977" s="6" t="str">
        <f ca="1">IFERROR(__xludf.DUMMYFUNCTION("""COMPUTED_VALUE"""),"PEÑAFLOR")</f>
        <v>PEÑAFLOR</v>
      </c>
    </row>
    <row r="7978" spans="1:4">
      <c r="A7978" s="7">
        <f ca="1">IFERROR(__xludf.DUMMYFUNCTION("""COMPUTED_VALUE"""),44674)</f>
        <v>44674</v>
      </c>
      <c r="B7978" s="8" t="str">
        <f ca="1">IFERROR(__xludf.DUMMYFUNCTION("""COMPUTED_VALUE"""),"-33.286570,-70.680847")</f>
        <v>-33.286570,-70.680847</v>
      </c>
      <c r="C7978" s="6" t="str">
        <f ca="1">IFERROR(__xludf.DUMMYFUNCTION("""COMPUTED_VALUE"""),"EL ALBA 1,1F")</f>
        <v>EL ALBA 1,1F</v>
      </c>
      <c r="D7978" s="6" t="str">
        <f ca="1">IFERROR(__xludf.DUMMYFUNCTION("""COMPUTED_VALUE"""),"COLINA")</f>
        <v>COLINA</v>
      </c>
    </row>
    <row r="7979" spans="1:4">
      <c r="A7979" s="7">
        <f ca="1">IFERROR(__xludf.DUMMYFUNCTION("""COMPUTED_VALUE"""),44674)</f>
        <v>44674</v>
      </c>
      <c r="B7979" s="8" t="str">
        <f ca="1">IFERROR(__xludf.DUMMYFUNCTION("""COMPUTED_VALUE"""),"-33.286579,-70.680847")</f>
        <v>-33.286579,-70.680847</v>
      </c>
      <c r="C7979" s="6" t="str">
        <f ca="1">IFERROR(__xludf.DUMMYFUNCTION("""COMPUTED_VALUE"""),"EL ALBA 1,1F")</f>
        <v>EL ALBA 1,1F</v>
      </c>
      <c r="D7979" s="6" t="str">
        <f ca="1">IFERROR(__xludf.DUMMYFUNCTION("""COMPUTED_VALUE"""),"COLINA")</f>
        <v>COLINA</v>
      </c>
    </row>
    <row r="7980" spans="1:4">
      <c r="A7980" s="7">
        <f ca="1">IFERROR(__xludf.DUMMYFUNCTION("""COMPUTED_VALUE"""),44674)</f>
        <v>44674</v>
      </c>
      <c r="B7980" s="6" t="str">
        <f ca="1">IFERROR(__xludf.DUMMYFUNCTION("""COMPUTED_VALUE"""),"-33.870293,-70.853138")</f>
        <v>-33.870293,-70.853138</v>
      </c>
      <c r="C7980" s="6" t="str">
        <f ca="1">IFERROR(__xludf.DUMMYFUNCTION("""COMPUTED_VALUE"""),"CO INTERIOR PARCELA 5")</f>
        <v>CO INTERIOR PARCELA 5</v>
      </c>
      <c r="D7980" s="6" t="str">
        <f ca="1">IFERROR(__xludf.DUMMYFUNCTION("""COMPUTED_VALUE"""),"PAINE")</f>
        <v>PAINE</v>
      </c>
    </row>
    <row r="7981" spans="1:4">
      <c r="A7981" s="7">
        <f ca="1">IFERROR(__xludf.DUMMYFUNCTION("""COMPUTED_VALUE"""),44674)</f>
        <v>44674</v>
      </c>
      <c r="B7981" s="6" t="str">
        <f ca="1">IFERROR(__xludf.DUMMYFUNCTION("""COMPUTED_VALUE"""),"-33.8564578,-70.7416937")</f>
        <v>-33.8564578,-70.7416937</v>
      </c>
      <c r="C7981" s="6" t="str">
        <f ca="1">IFERROR(__xludf.DUMMYFUNCTION("""COMPUTED_VALUE"""),"AV. ROMERO ESQUINA INTERIOR PARCELA 130")</f>
        <v>AV. ROMERO ESQUINA INTERIOR PARCELA 130</v>
      </c>
      <c r="D7981" s="6" t="str">
        <f ca="1">IFERROR(__xludf.DUMMYFUNCTION("""COMPUTED_VALUE"""),"PAINE")</f>
        <v>PAINE</v>
      </c>
    </row>
    <row r="7982" spans="1:4">
      <c r="A7982" s="7">
        <f ca="1">IFERROR(__xludf.DUMMYFUNCTION("""COMPUTED_VALUE"""),44674)</f>
        <v>44674</v>
      </c>
      <c r="B7982" s="6" t="str">
        <f ca="1">IFERROR(__xludf.DUMMYFUNCTION("""COMPUTED_VALUE"""),"-33.826427,-70.767238")</f>
        <v>-33.826427,-70.767238</v>
      </c>
      <c r="C7982" s="6" t="str">
        <f ca="1">IFERROR(__xludf.DUMMYFUNCTION("""COMPUTED_VALUE"""),"COLONIAS DE PAINE 22B")</f>
        <v>COLONIAS DE PAINE 22B</v>
      </c>
      <c r="D7982" s="6" t="str">
        <f ca="1">IFERROR(__xludf.DUMMYFUNCTION("""COMPUTED_VALUE"""),"PAINE")</f>
        <v>PAINE</v>
      </c>
    </row>
    <row r="7983" spans="1:4">
      <c r="A7983" s="7">
        <f ca="1">IFERROR(__xludf.DUMMYFUNCTION("""COMPUTED_VALUE"""),44674)</f>
        <v>44674</v>
      </c>
      <c r="B7983" s="6" t="str">
        <f ca="1">IFERROR(__xludf.DUMMYFUNCTION("""COMPUTED_VALUE"""),"-33.852482,-70.766259")</f>
        <v>-33.852482,-70.766259</v>
      </c>
      <c r="C7983" s="6" t="str">
        <f ca="1">IFERROR(__xludf.DUMMYFUNCTION("""COMPUTED_VALUE"""),"PASAJE UNO 368")</f>
        <v>PASAJE UNO 368</v>
      </c>
      <c r="D7983" s="6" t="str">
        <f ca="1">IFERROR(__xludf.DUMMYFUNCTION("""COMPUTED_VALUE"""),"PAINE")</f>
        <v>PAINE</v>
      </c>
    </row>
    <row r="7984" spans="1:4">
      <c r="A7984" s="7">
        <f ca="1">IFERROR(__xludf.DUMMYFUNCTION("""COMPUTED_VALUE"""),44676)</f>
        <v>44676</v>
      </c>
      <c r="B7984" s="8" t="str">
        <f ca="1">IFERROR(__xludf.DUMMYFUNCTION("""COMPUTED_VALUE"""),"-33.847170-70.634804")</f>
        <v>-33.847170-70.634804</v>
      </c>
      <c r="C7984" s="6" t="str">
        <f ca="1">IFERROR(__xludf.DUMMYFUNCTION("""COMPUTED_VALUE"""),"EL CARDONALl ALTO SITIO  1")</f>
        <v>EL CARDONALl ALTO SITIO  1</v>
      </c>
      <c r="D7984" s="6" t="str">
        <f ca="1">IFERROR(__xludf.DUMMYFUNCTION("""COMPUTED_VALUE"""),"PAINE")</f>
        <v>PAINE</v>
      </c>
    </row>
    <row r="7985" spans="1:4">
      <c r="A7985" s="7">
        <f ca="1">IFERROR(__xludf.DUMMYFUNCTION("""COMPUTED_VALUE"""),44676)</f>
        <v>44676</v>
      </c>
      <c r="B7985" s="8" t="str">
        <f ca="1">IFERROR(__xludf.DUMMYFUNCTION("""COMPUTED_VALUE"""),"-33.627645-70.538702")</f>
        <v>-33.627645-70.538702</v>
      </c>
      <c r="C7985" s="6" t="str">
        <f ca="1">IFERROR(__xludf.DUMMYFUNCTION("""COMPUTED_VALUE"""),"LAGO DEL SUR 3650 ")</f>
        <v xml:space="preserve">LAGO DEL SUR 3650 </v>
      </c>
      <c r="D7985" s="6" t="str">
        <f ca="1">IFERROR(__xludf.DUMMYFUNCTION("""COMPUTED_VALUE"""),"PIRQUE")</f>
        <v>PIRQUE</v>
      </c>
    </row>
    <row r="7986" spans="1:4">
      <c r="A7986" s="7">
        <f ca="1">IFERROR(__xludf.DUMMYFUNCTION("""COMPUTED_VALUE"""),44676)</f>
        <v>44676</v>
      </c>
      <c r="B7986" s="8" t="str">
        <f ca="1">IFERROR(__xludf.DUMMYFUNCTION("""COMPUTED_VALUE"""),"-33.88610-70.659032")</f>
        <v>-33.88610-70.659032</v>
      </c>
      <c r="C7986" s="6" t="str">
        <f ca="1">IFERROR(__xludf.DUMMYFUNCTION("""COMPUTED_VALUE"""),"LAS LILAS 20")</f>
        <v>LAS LILAS 20</v>
      </c>
      <c r="D7986" s="6" t="str">
        <f ca="1">IFERROR(__xludf.DUMMYFUNCTION("""COMPUTED_VALUE"""),"PAINE")</f>
        <v>PAINE</v>
      </c>
    </row>
    <row r="7987" spans="1:4">
      <c r="A7987" s="7">
        <f ca="1">IFERROR(__xludf.DUMMYFUNCTION("""COMPUTED_VALUE"""),44676)</f>
        <v>44676</v>
      </c>
      <c r="B7987" s="8" t="str">
        <f ca="1">IFERROR(__xludf.DUMMYFUNCTION("""COMPUTED_VALUE"""),"-33.8249583-70.646743")</f>
        <v>-33.8249583-70.646743</v>
      </c>
      <c r="C7987" s="6" t="str">
        <f ca="1">IFERROR(__xludf.DUMMYFUNCTION("""COMPUTED_VALUE"""),"ESTRELLA 11 LOTE 7")</f>
        <v>ESTRELLA 11 LOTE 7</v>
      </c>
      <c r="D7987" s="6" t="str">
        <f ca="1">IFERROR(__xludf.DUMMYFUNCTION("""COMPUTED_VALUE"""),"PAINE")</f>
        <v>PAINE</v>
      </c>
    </row>
    <row r="7988" spans="1:4">
      <c r="A7988" s="7">
        <f ca="1">IFERROR(__xludf.DUMMYFUNCTION("""COMPUTED_VALUE"""),44676)</f>
        <v>44676</v>
      </c>
      <c r="B7988" s="8" t="str">
        <f ca="1">IFERROR(__xludf.DUMMYFUNCTION("""COMPUTED_VALUE"""),"-33.901954-70.743097")</f>
        <v>-33.901954-70.743097</v>
      </c>
      <c r="C7988" s="6" t="str">
        <f ca="1">IFERROR(__xludf.DUMMYFUNCTION("""COMPUTED_VALUE"""),"PARCELA S/N AGUILA SUR")</f>
        <v>PARCELA S/N AGUILA SUR</v>
      </c>
      <c r="D7988" s="6" t="str">
        <f ca="1">IFERROR(__xludf.DUMMYFUNCTION("""COMPUTED_VALUE"""),"PAINE")</f>
        <v>PAINE</v>
      </c>
    </row>
    <row r="7989" spans="1:4">
      <c r="A7989" s="7">
        <f ca="1">IFERROR(__xludf.DUMMYFUNCTION("""COMPUTED_VALUE"""),44676)</f>
        <v>44676</v>
      </c>
      <c r="B7989" s="8" t="str">
        <f ca="1">IFERROR(__xludf.DUMMYFUNCTION("""COMPUTED_VALUE"""),"-33.912730-70.760321")</f>
        <v>-33.912730-70.760321</v>
      </c>
      <c r="C7989" s="6" t="str">
        <f ca="1">IFERROR(__xludf.DUMMYFUNCTION("""COMPUTED_VALUE"""),"PARCELA S/N AGUILA SUR 4 CASA 3")</f>
        <v>PARCELA S/N AGUILA SUR 4 CASA 3</v>
      </c>
      <c r="D7989" s="6" t="str">
        <f ca="1">IFERROR(__xludf.DUMMYFUNCTION("""COMPUTED_VALUE"""),"PAINE")</f>
        <v>PAINE</v>
      </c>
    </row>
    <row r="7990" spans="1:4">
      <c r="A7990" s="7">
        <f ca="1">IFERROR(__xludf.DUMMYFUNCTION("""COMPUTED_VALUE"""),44676)</f>
        <v>44676</v>
      </c>
      <c r="B7990" s="8" t="str">
        <f ca="1">IFERROR(__xludf.DUMMYFUNCTION("""COMPUTED_VALUE"""),"-33.634552-71.234854")</f>
        <v>-33.634552-71.234854</v>
      </c>
      <c r="C7990" s="6" t="str">
        <f ca="1">IFERROR(__xludf.DUMMYFUNCTION("""COMPUTED_VALUE"""),"RUMAY 7 LOTE 4")</f>
        <v>RUMAY 7 LOTE 4</v>
      </c>
      <c r="D7990" s="6" t="str">
        <f ca="1">IFERROR(__xludf.DUMMYFUNCTION("""COMPUTED_VALUE"""),"MELIPILLA")</f>
        <v>MELIPILLA</v>
      </c>
    </row>
    <row r="7991" spans="1:4">
      <c r="A7991" s="7">
        <f ca="1">IFERROR(__xludf.DUMMYFUNCTION("""COMPUTED_VALUE"""),44676)</f>
        <v>44676</v>
      </c>
      <c r="B7991" s="6" t="str">
        <f ca="1">IFERROR(__xludf.DUMMYFUNCTION("""COMPUTED_VALUE"""),"-33.606135-70.876640")</f>
        <v>-33.606135-70.876640</v>
      </c>
      <c r="C7991" s="6" t="str">
        <f ca="1">IFERROR(__xludf.DUMMYFUNCTION("""COMPUTED_VALUE"""),"LOS ABEDULES 765")</f>
        <v>LOS ABEDULES 765</v>
      </c>
      <c r="D7991" s="6" t="str">
        <f ca="1">IFERROR(__xludf.DUMMYFUNCTION("""COMPUTED_VALUE"""),"PEÑAFLOR")</f>
        <v>PEÑAFLOR</v>
      </c>
    </row>
    <row r="7992" spans="1:4">
      <c r="A7992" s="7">
        <f ca="1">IFERROR(__xludf.DUMMYFUNCTION("""COMPUTED_VALUE"""),44676)</f>
        <v>44676</v>
      </c>
      <c r="B7992" s="6" t="str">
        <f ca="1">IFERROR(__xludf.DUMMYFUNCTION("""COMPUTED_VALUE"""),"-33.596005-70.874280")</f>
        <v>-33.596005-70.874280</v>
      </c>
      <c r="C7992" s="6" t="str">
        <f ca="1">IFERROR(__xludf.DUMMYFUNCTION("""COMPUTED_VALUE"""),"PAJARITOS 2258")</f>
        <v>PAJARITOS 2258</v>
      </c>
      <c r="D7992" s="6" t="str">
        <f ca="1">IFERROR(__xludf.DUMMYFUNCTION("""COMPUTED_VALUE"""),"PEÑAFLOR")</f>
        <v>PEÑAFLOR</v>
      </c>
    </row>
    <row r="7993" spans="1:4">
      <c r="A7993" s="7">
        <f ca="1">IFERROR(__xludf.DUMMYFUNCTION("""COMPUTED_VALUE"""),44676)</f>
        <v>44676</v>
      </c>
      <c r="B7993" s="6" t="str">
        <f ca="1">IFERROR(__xludf.DUMMYFUNCTION("""COMPUTED_VALUE"""),"-33.671704-71.206378")</f>
        <v>-33.671704-71.206378</v>
      </c>
      <c r="C7993" s="6" t="str">
        <f ca="1">IFERROR(__xludf.DUMMYFUNCTION("""COMPUTED_VALUE"""),"OSTOLAZAS S/N CV16")</f>
        <v>OSTOLAZAS S/N CV16</v>
      </c>
      <c r="D7993" s="6" t="str">
        <f ca="1">IFERROR(__xludf.DUMMYFUNCTION("""COMPUTED_VALUE"""),"MELIPILLA")</f>
        <v>MELIPILLA</v>
      </c>
    </row>
    <row r="7994" spans="1:4">
      <c r="A7994" s="7">
        <f ca="1">IFERROR(__xludf.DUMMYFUNCTION("""COMPUTED_VALUE"""),44676)</f>
        <v>44676</v>
      </c>
      <c r="B7994" s="6" t="str">
        <f ca="1">IFERROR(__xludf.DUMMYFUNCTION("""COMPUTED_VALUE"""),"-33.678407-71.233089")</f>
        <v>-33.678407-71.233089</v>
      </c>
      <c r="C7994" s="6" t="str">
        <f ca="1">IFERROR(__xludf.DUMMYFUNCTION("""COMPUTED_VALUE"""),"OBISPO GUILLERMO VERA  2115")</f>
        <v>OBISPO GUILLERMO VERA  2115</v>
      </c>
      <c r="D7994" s="6" t="str">
        <f ca="1">IFERROR(__xludf.DUMMYFUNCTION("""COMPUTED_VALUE"""),"MELIPILLA")</f>
        <v>MELIPILLA</v>
      </c>
    </row>
    <row r="7995" spans="1:4">
      <c r="A7995" s="7">
        <f ca="1">IFERROR(__xludf.DUMMYFUNCTION("""COMPUTED_VALUE"""),44676)</f>
        <v>44676</v>
      </c>
      <c r="B7995" s="6" t="str">
        <f ca="1">IFERROR(__xludf.DUMMYFUNCTION("""COMPUTED_VALUE"""),"-33.678407-71.233089")</f>
        <v>-33.678407-71.233089</v>
      </c>
      <c r="C7995" s="6" t="str">
        <f ca="1">IFERROR(__xludf.DUMMYFUNCTION("""COMPUTED_VALUE"""),"OBISPO GUILLERMO VERA  2115")</f>
        <v>OBISPO GUILLERMO VERA  2115</v>
      </c>
      <c r="D7995" s="6" t="str">
        <f ca="1">IFERROR(__xludf.DUMMYFUNCTION("""COMPUTED_VALUE"""),"MELIPILLA")</f>
        <v>MELIPILLA</v>
      </c>
    </row>
    <row r="7996" spans="1:4">
      <c r="A7996" s="7">
        <f ca="1">IFERROR(__xludf.DUMMYFUNCTION("""COMPUTED_VALUE"""),44676)</f>
        <v>44676</v>
      </c>
      <c r="B7996" s="6" t="str">
        <f ca="1">IFERROR(__xludf.DUMMYFUNCTION("""COMPUTED_VALUE"""),"-33.607281-70.894446")</f>
        <v>-33.607281-70.894446</v>
      </c>
      <c r="C7996" s="6" t="str">
        <f ca="1">IFERROR(__xludf.DUMMYFUNCTION("""COMPUTED_VALUE"""),"VEINTE DE AGOSTO 417")</f>
        <v>VEINTE DE AGOSTO 417</v>
      </c>
      <c r="D7996" s="6" t="str">
        <f ca="1">IFERROR(__xludf.DUMMYFUNCTION("""COMPUTED_VALUE"""),"PEÑAFLOR")</f>
        <v>PEÑAFLOR</v>
      </c>
    </row>
    <row r="7997" spans="1:4">
      <c r="A7997" s="7">
        <f ca="1">IFERROR(__xludf.DUMMYFUNCTION("""COMPUTED_VALUE"""),44676)</f>
        <v>44676</v>
      </c>
      <c r="B7997" s="6" t="str">
        <f ca="1">IFERROR(__xludf.DUMMYFUNCTION("""COMPUTED_VALUE"""),"-33.619928-70.864685")</f>
        <v>-33.619928-70.864685</v>
      </c>
      <c r="C7997" s="6" t="str">
        <f ca="1">IFERROR(__xludf.DUMMYFUNCTION("""COMPUTED_VALUE"""),"BALMACEDA 2160")</f>
        <v>BALMACEDA 2160</v>
      </c>
      <c r="D7997" s="6" t="str">
        <f ca="1">IFERROR(__xludf.DUMMYFUNCTION("""COMPUTED_VALUE"""),"PEÑAFLOR")</f>
        <v>PEÑAFLOR</v>
      </c>
    </row>
    <row r="7998" spans="1:4">
      <c r="A7998" s="7">
        <f ca="1">IFERROR(__xludf.DUMMYFUNCTION("""COMPUTED_VALUE"""),44676)</f>
        <v>44676</v>
      </c>
      <c r="B7998" s="8" t="str">
        <f ca="1">IFERROR(__xludf.DUMMYFUNCTION("""COMPUTED_VALUE"""),"-33.190095,-70.663439")</f>
        <v>-33.190095,-70.663439</v>
      </c>
      <c r="C7998" s="6" t="str">
        <f ca="1">IFERROR(__xludf.DUMMYFUNCTION("""COMPUTED_VALUE"""),"LAS AZUCENAS 1961")</f>
        <v>LAS AZUCENAS 1961</v>
      </c>
      <c r="D7998" s="6" t="str">
        <f ca="1">IFERROR(__xludf.DUMMYFUNCTION("""COMPUTED_VALUE"""),"COLINA")</f>
        <v>COLINA</v>
      </c>
    </row>
    <row r="7999" spans="1:4">
      <c r="A7999" s="7">
        <f ca="1">IFERROR(__xludf.DUMMYFUNCTION("""COMPUTED_VALUE"""),44676)</f>
        <v>44676</v>
      </c>
      <c r="B7999" s="8" t="str">
        <f ca="1">IFERROR(__xludf.DUMMYFUNCTION("""COMPUTED_VALUE"""),"-33.201114,-70.681234")</f>
        <v>-33.201114,-70.681234</v>
      </c>
      <c r="C7999" s="6" t="str">
        <f ca="1">IFERROR(__xludf.DUMMYFUNCTION("""COMPUTED_VALUE"""),"NUEVA COLINA 0289 V.LOS AGAPANTOS")</f>
        <v>NUEVA COLINA 0289 V.LOS AGAPANTOS</v>
      </c>
      <c r="D7999" s="6" t="str">
        <f ca="1">IFERROR(__xludf.DUMMYFUNCTION("""COMPUTED_VALUE"""),"COLINA")</f>
        <v>COLINA</v>
      </c>
    </row>
    <row r="8000" spans="1:4">
      <c r="A8000" s="7">
        <f ca="1">IFERROR(__xludf.DUMMYFUNCTION("""COMPUTED_VALUE"""),44676)</f>
        <v>44676</v>
      </c>
      <c r="B8000" s="6" t="str">
        <f ca="1">IFERROR(__xludf.DUMMYFUNCTION("""COMPUTED_VALUE"""),"-33.816614,-70.754375")</f>
        <v>-33.816614,-70.754375</v>
      </c>
      <c r="C8000" s="6" t="str">
        <f ca="1">IFERROR(__xludf.DUMMYFUNCTION("""COMPUTED_VALUE"""),"DIEZ PONIENTE 257")</f>
        <v>DIEZ PONIENTE 257</v>
      </c>
      <c r="D8000" s="6" t="str">
        <f ca="1">IFERROR(__xludf.DUMMYFUNCTION("""COMPUTED_VALUE"""),"PAINE")</f>
        <v>PAINE</v>
      </c>
    </row>
    <row r="8001" spans="1:4">
      <c r="A8001" s="7">
        <f ca="1">IFERROR(__xludf.DUMMYFUNCTION("""COMPUTED_VALUE"""),44676)</f>
        <v>44676</v>
      </c>
      <c r="B8001" s="6" t="str">
        <f ca="1">IFERROR(__xludf.DUMMYFUNCTION("""COMPUTED_VALUE"""),"-33.736561,-71.019346")</f>
        <v>-33.736561,-71.019346</v>
      </c>
      <c r="C8001" s="6" t="str">
        <f ca="1">IFERROR(__xludf.DUMMYFUNCTION("""COMPUTED_VALUE"""),"LAS OCACUIAS 45")</f>
        <v>LAS OCACUIAS 45</v>
      </c>
      <c r="D8001" s="6" t="str">
        <f ca="1">IFERROR(__xludf.DUMMYFUNCTION("""COMPUTED_VALUE"""),"ISLA DE MAIPO")</f>
        <v>ISLA DE MAIPO</v>
      </c>
    </row>
    <row r="8002" spans="1:4">
      <c r="A8002" s="7">
        <f ca="1">IFERROR(__xludf.DUMMYFUNCTION("""COMPUTED_VALUE"""),44676)</f>
        <v>44676</v>
      </c>
      <c r="B8002" s="6" t="str">
        <f ca="1">IFERROR(__xludf.DUMMYFUNCTION("""COMPUTED_VALUE"""),"-33.871324,-70.738103")</f>
        <v>-33.871324,-70.738103</v>
      </c>
      <c r="C8002" s="6" t="str">
        <f ca="1">IFERROR(__xludf.DUMMYFUNCTION("""COMPUTED_VALUE"""),"COLONIA KENNEDY PC 138")</f>
        <v>COLONIA KENNEDY PC 138</v>
      </c>
      <c r="D8002" s="6" t="str">
        <f ca="1">IFERROR(__xludf.DUMMYFUNCTION("""COMPUTED_VALUE"""),"PAINE")</f>
        <v>PAINE</v>
      </c>
    </row>
    <row r="8003" spans="1:4">
      <c r="A8003" s="7">
        <f ca="1">IFERROR(__xludf.DUMMYFUNCTION("""COMPUTED_VALUE"""),44676)</f>
        <v>44676</v>
      </c>
      <c r="B8003" s="8" t="str">
        <f ca="1">IFERROR(__xludf.DUMMYFUNCTION("""COMPUTED_VALUE"""),"-33.802248,-71.301887")</f>
        <v>-33.802248,-71.301887</v>
      </c>
      <c r="C8003" s="6" t="str">
        <f ca="1">IFERROR(__xludf.DUMMYFUNCTION("""COMPUTED_VALUE"""),"PARCELA 196 POPETA ")</f>
        <v xml:space="preserve">PARCELA 196 POPETA </v>
      </c>
      <c r="D8003" s="6" t="str">
        <f ca="1">IFERROR(__xludf.DUMMYFUNCTION("""COMPUTED_VALUE"""),"MELIPILLA")</f>
        <v>MELIPILLA</v>
      </c>
    </row>
    <row r="8004" spans="1:4">
      <c r="A8004" s="7">
        <f ca="1">IFERROR(__xludf.DUMMYFUNCTION("""COMPUTED_VALUE"""),44676)</f>
        <v>44676</v>
      </c>
      <c r="B8004" s="8" t="str">
        <f ca="1">IFERROR(__xludf.DUMMYFUNCTION("""COMPUTED_VALUE"""),"-33.761694,-70.737984")</f>
        <v>-33.761694,-70.737984</v>
      </c>
      <c r="C8004" s="6" t="str">
        <f ca="1">IFERROR(__xludf.DUMMYFUNCTION("""COMPUTED_VALUE"""),"LOS CLAVELES 229")</f>
        <v>LOS CLAVELES 229</v>
      </c>
      <c r="D8004" s="6" t="str">
        <f ca="1">IFERROR(__xludf.DUMMYFUNCTION("""COMPUTED_VALUE"""),"BUIN")</f>
        <v>BUIN</v>
      </c>
    </row>
    <row r="8005" spans="1:4">
      <c r="A8005" s="7">
        <f ca="1">IFERROR(__xludf.DUMMYFUNCTION("""COMPUTED_VALUE"""),44676)</f>
        <v>44676</v>
      </c>
      <c r="B8005" s="8" t="str">
        <f ca="1">IFERROR(__xludf.DUMMYFUNCTION("""COMPUTED_VALUE"""),"-33.761594,-70.738202")</f>
        <v>-33.761594,-70.738202</v>
      </c>
      <c r="C8005" s="6" t="str">
        <f ca="1">IFERROR(__xludf.DUMMYFUNCTION("""COMPUTED_VALUE"""),"LOS CLAVELES 212")</f>
        <v>LOS CLAVELES 212</v>
      </c>
      <c r="D8005" s="6" t="str">
        <f ca="1">IFERROR(__xludf.DUMMYFUNCTION("""COMPUTED_VALUE"""),"BUIN")</f>
        <v>BUIN</v>
      </c>
    </row>
    <row r="8006" spans="1:4">
      <c r="A8006" s="7">
        <f ca="1">IFERROR(__xludf.DUMMYFUNCTION("""COMPUTED_VALUE"""),44676)</f>
        <v>44676</v>
      </c>
      <c r="B8006" s="8" t="str">
        <f ca="1">IFERROR(__xludf.DUMMYFUNCTION("""COMPUTED_VALUE"""),"-33.667249,-71.337694")</f>
        <v>-33.667249,-71.337694</v>
      </c>
      <c r="C8006" s="6" t="str">
        <f ca="1">IFERROR(__xludf.DUMMYFUNCTION("""COMPUTED_VALUE"""),"PUANGUE S/N MELIPILLA ")</f>
        <v xml:space="preserve">PUANGUE S/N MELIPILLA </v>
      </c>
      <c r="D8006" s="6" t="str">
        <f ca="1">IFERROR(__xludf.DUMMYFUNCTION("""COMPUTED_VALUE"""),"MELIPILLA")</f>
        <v>MELIPILLA</v>
      </c>
    </row>
    <row r="8007" spans="1:4">
      <c r="A8007" s="7">
        <f ca="1">IFERROR(__xludf.DUMMYFUNCTION("""COMPUTED_VALUE"""),44676)</f>
        <v>44676</v>
      </c>
      <c r="B8007" s="6" t="str">
        <f ca="1">IFERROR(__xludf.DUMMYFUNCTION("""COMPUTED_VALUE"""),"-33.805525,-70.737948")</f>
        <v>-33.805525,-70.737948</v>
      </c>
      <c r="C8007" s="6" t="str">
        <f ca="1">IFERROR(__xludf.DUMMYFUNCTION("""COMPUTED_VALUE"""),"PEPE FUENTES 246")</f>
        <v>PEPE FUENTES 246</v>
      </c>
      <c r="D8007" s="6" t="str">
        <f ca="1">IFERROR(__xludf.DUMMYFUNCTION("""COMPUTED_VALUE"""),"PAINE")</f>
        <v>PAINE</v>
      </c>
    </row>
    <row r="8008" spans="1:4">
      <c r="A8008" s="7">
        <f ca="1">IFERROR(__xludf.DUMMYFUNCTION("""COMPUTED_VALUE"""),44676)</f>
        <v>44676</v>
      </c>
      <c r="B8008" s="6" t="str">
        <f ca="1">IFERROR(__xludf.DUMMYFUNCTION("""COMPUTED_VALUE"""),"-33.807112,-70.738227")</f>
        <v>-33.807112,-70.738227</v>
      </c>
      <c r="C8008" s="6" t="str">
        <f ca="1">IFERROR(__xludf.DUMMYFUNCTION("""COMPUTED_VALUE"""),"SAN JOSE 3")</f>
        <v>SAN JOSE 3</v>
      </c>
      <c r="D8008" s="6" t="str">
        <f ca="1">IFERROR(__xludf.DUMMYFUNCTION("""COMPUTED_VALUE"""),"PAINE")</f>
        <v>PAINE</v>
      </c>
    </row>
    <row r="8009" spans="1:4">
      <c r="A8009" s="7">
        <f ca="1">IFERROR(__xludf.DUMMYFUNCTION("""COMPUTED_VALUE"""),44676)</f>
        <v>44676</v>
      </c>
      <c r="B8009" s="6" t="str">
        <f ca="1">IFERROR(__xludf.DUMMYFUNCTION("""COMPUTED_VALUE"""),"-33.890244,-70.716570")</f>
        <v>-33.890244,-70.716570</v>
      </c>
      <c r="C8009" s="6" t="str">
        <f ca="1">IFERROR(__xludf.DUMMYFUNCTION("""COMPUTED_VALUE"""),"LAS VERTIENTES 512-4")</f>
        <v>LAS VERTIENTES 512-4</v>
      </c>
      <c r="D8009" s="6" t="str">
        <f ca="1">IFERROR(__xludf.DUMMYFUNCTION("""COMPUTED_VALUE"""),"PAINE")</f>
        <v>PAINE</v>
      </c>
    </row>
    <row r="8010" spans="1:4">
      <c r="A8010" s="7">
        <f ca="1">IFERROR(__xludf.DUMMYFUNCTION("""COMPUTED_VALUE"""),44676)</f>
        <v>44676</v>
      </c>
      <c r="B8010" s="6" t="str">
        <f ca="1">IFERROR(__xludf.DUMMYFUNCTION("""COMPUTED_VALUE"""),"-33.890244,-70.716570")</f>
        <v>-33.890244,-70.716570</v>
      </c>
      <c r="C8010" s="6" t="str">
        <f ca="1">IFERROR(__xludf.DUMMYFUNCTION("""COMPUTED_VALUE"""),"LAS VERTIENTES 512 A")</f>
        <v>LAS VERTIENTES 512 A</v>
      </c>
      <c r="D8010" s="6" t="str">
        <f ca="1">IFERROR(__xludf.DUMMYFUNCTION("""COMPUTED_VALUE"""),"PAINE")</f>
        <v>PAINE</v>
      </c>
    </row>
    <row r="8011" spans="1:4">
      <c r="A8011" s="7">
        <f ca="1">IFERROR(__xludf.DUMMYFUNCTION("""COMPUTED_VALUE"""),44676)</f>
        <v>44676</v>
      </c>
      <c r="B8011" s="6" t="str">
        <f ca="1">IFERROR(__xludf.DUMMYFUNCTION("""COMPUTED_VALUE"""),"-33.890244,-70.716570")</f>
        <v>-33.890244,-70.716570</v>
      </c>
      <c r="C8011" s="6" t="str">
        <f ca="1">IFERROR(__xludf.DUMMYFUNCTION("""COMPUTED_VALUE"""),"LAS VERTIENTES 512")</f>
        <v>LAS VERTIENTES 512</v>
      </c>
      <c r="D8011" s="6" t="str">
        <f ca="1">IFERROR(__xludf.DUMMYFUNCTION("""COMPUTED_VALUE"""),"PAINE")</f>
        <v>PAINE</v>
      </c>
    </row>
    <row r="8012" spans="1:4">
      <c r="A8012" s="7">
        <f ca="1">IFERROR(__xludf.DUMMYFUNCTION("""COMPUTED_VALUE"""),44676)</f>
        <v>44676</v>
      </c>
      <c r="B8012" s="6" t="str">
        <f ca="1">IFERROR(__xludf.DUMMYFUNCTION("""COMPUTED_VALUE"""),"-33.8039784,-70.7145618")</f>
        <v>-33.8039784,-70.7145618</v>
      </c>
      <c r="C8012" s="6" t="str">
        <f ca="1">IFERROR(__xludf.DUMMYFUNCTION("""COMPUTED_VALUE"""),"PASAJE SEIS 321")</f>
        <v>PASAJE SEIS 321</v>
      </c>
      <c r="D8012" s="6" t="str">
        <f ca="1">IFERROR(__xludf.DUMMYFUNCTION("""COMPUTED_VALUE"""),"PAINE")</f>
        <v>PAINE</v>
      </c>
    </row>
    <row r="8013" spans="1:4">
      <c r="A8013" s="7">
        <f ca="1">IFERROR(__xludf.DUMMYFUNCTION("""COMPUTED_VALUE"""),44676)</f>
        <v>44676</v>
      </c>
      <c r="B8013" s="6" t="str">
        <f ca="1">IFERROR(__xludf.DUMMYFUNCTION("""COMPUTED_VALUE"""),"-33.8028968,-70.7153549")</f>
        <v>-33.8028968,-70.7153549</v>
      </c>
      <c r="C8013" s="6" t="str">
        <f ca="1">IFERROR(__xludf.DUMMYFUNCTION("""COMPUTED_VALUE"""),"JAIME GUZMAN 2134")</f>
        <v>JAIME GUZMAN 2134</v>
      </c>
      <c r="D8013" s="6" t="str">
        <f ca="1">IFERROR(__xludf.DUMMYFUNCTION("""COMPUTED_VALUE"""),"PAINE")</f>
        <v>PAINE</v>
      </c>
    </row>
    <row r="8014" spans="1:4">
      <c r="A8014" s="7">
        <f ca="1">IFERROR(__xludf.DUMMYFUNCTION("""COMPUTED_VALUE"""),44677)</f>
        <v>44677</v>
      </c>
      <c r="B8014" s="8" t="str">
        <f ca="1">IFERROR(__xludf.DUMMYFUNCTION("""COMPUTED_VALUE"""),"-33.745646-70.895920")</f>
        <v>-33.745646-70.895920</v>
      </c>
      <c r="C8014" s="6" t="str">
        <f ca="1">IFERROR(__xludf.DUMMYFUNCTION("""COMPUTED_VALUE""")," LOS COPIHUES 1479")</f>
        <v xml:space="preserve"> LOS COPIHUES 1479</v>
      </c>
      <c r="D8014" s="6" t="str">
        <f ca="1">IFERROR(__xludf.DUMMYFUNCTION("""COMPUTED_VALUE"""),"ISLA DE MAIPO")</f>
        <v>ISLA DE MAIPO</v>
      </c>
    </row>
    <row r="8015" spans="1:4">
      <c r="A8015" s="7">
        <f ca="1">IFERROR(__xludf.DUMMYFUNCTION("""COMPUTED_VALUE"""),44677)</f>
        <v>44677</v>
      </c>
      <c r="B8015" s="8" t="str">
        <f ca="1">IFERROR(__xludf.DUMMYFUNCTION("""COMPUTED_VALUE"""),"-33.7500492-70.9001038")</f>
        <v>-33.7500492-70.9001038</v>
      </c>
      <c r="C8015" s="6" t="str">
        <f ca="1">IFERROR(__xludf.DUMMYFUNCTION("""COMPUTED_VALUE""")," EL TATIO 196")</f>
        <v xml:space="preserve"> EL TATIO 196</v>
      </c>
      <c r="D8015" s="6" t="str">
        <f ca="1">IFERROR(__xludf.DUMMYFUNCTION("""COMPUTED_VALUE"""),"ISLA DE MAIPO")</f>
        <v>ISLA DE MAIPO</v>
      </c>
    </row>
    <row r="8016" spans="1:4">
      <c r="A8016" s="7">
        <f ca="1">IFERROR(__xludf.DUMMYFUNCTION("""COMPUTED_VALUE"""),44677)</f>
        <v>44677</v>
      </c>
      <c r="B8016" s="8" t="str">
        <f ca="1">IFERROR(__xludf.DUMMYFUNCTION("""COMPUTED_VALUE"""),"-33.8131794-70.7459207")</f>
        <v>-33.8131794-70.7459207</v>
      </c>
      <c r="C8016" s="6" t="str">
        <f ca="1">IFERROR(__xludf.DUMMYFUNCTION("""COMPUTED_VALUE""")," AV. PDTE PRIETO 232")</f>
        <v xml:space="preserve"> AV. PDTE PRIETO 232</v>
      </c>
      <c r="D8016" s="6" t="str">
        <f ca="1">IFERROR(__xludf.DUMMYFUNCTION("""COMPUTED_VALUE"""),"PAINE")</f>
        <v>PAINE</v>
      </c>
    </row>
    <row r="8017" spans="1:4">
      <c r="A8017" s="7">
        <f ca="1">IFERROR(__xludf.DUMMYFUNCTION("""COMPUTED_VALUE"""),44677)</f>
        <v>44677</v>
      </c>
      <c r="B8017" s="8" t="str">
        <f ca="1">IFERROR(__xludf.DUMMYFUNCTION("""COMPUTED_VALUE"""),"-33.6364625-70.7126742")</f>
        <v>-33.6364625-70.7126742</v>
      </c>
      <c r="C8017" s="6" t="str">
        <f ca="1">IFERROR(__xludf.DUMMYFUNCTION("""COMPUTED_VALUE""")," ALBERTO FIGUEROA 989")</f>
        <v xml:space="preserve"> ALBERTO FIGUEROA 989</v>
      </c>
      <c r="D8017" s="6" t="str">
        <f ca="1">IFERROR(__xludf.DUMMYFUNCTION("""COMPUTED_VALUE"""),"PAINE")</f>
        <v>PAINE</v>
      </c>
    </row>
    <row r="8018" spans="1:4">
      <c r="A8018" s="7">
        <f ca="1">IFERROR(__xludf.DUMMYFUNCTION("""COMPUTED_VALUE"""),44677)</f>
        <v>44677</v>
      </c>
      <c r="B8018" s="8" t="str">
        <f ca="1">IFERROR(__xludf.DUMMYFUNCTION("""COMPUTED_VALUE"""),"-33.6823719-71.0456292")</f>
        <v>-33.6823719-71.0456292</v>
      </c>
      <c r="C8018" s="6" t="str">
        <f ca="1">IFERROR(__xludf.DUMMYFUNCTION("""COMPUTED_VALUE""")," EL PAICO ALTO S/N")</f>
        <v xml:space="preserve"> EL PAICO ALTO S/N</v>
      </c>
      <c r="D8018" s="6" t="str">
        <f ca="1">IFERROR(__xludf.DUMMYFUNCTION("""COMPUTED_VALUE"""),"EL MONTE")</f>
        <v>EL MONTE</v>
      </c>
    </row>
    <row r="8019" spans="1:4">
      <c r="A8019" s="7">
        <f ca="1">IFERROR(__xludf.DUMMYFUNCTION("""COMPUTED_VALUE"""),44677)</f>
        <v>44677</v>
      </c>
      <c r="B8019" s="8" t="str">
        <f ca="1">IFERROR(__xludf.DUMMYFUNCTION("""COMPUTED_VALUE"""),"-33.7344918-70.8655632")</f>
        <v>-33.7344918-70.8655632</v>
      </c>
      <c r="C8019" s="6" t="str">
        <f ca="1">IFERROR(__xludf.DUMMYFUNCTION("""COMPUTED_VALUE"""),"BRISAS DEL MAIPO 4382")</f>
        <v>BRISAS DEL MAIPO 4382</v>
      </c>
      <c r="D8019" s="6" t="str">
        <f ca="1">IFERROR(__xludf.DUMMYFUNCTION("""COMPUTED_VALUE"""),"ISLA DE MAIPO")</f>
        <v>ISLA DE MAIPO</v>
      </c>
    </row>
    <row r="8020" spans="1:4">
      <c r="A8020" s="7">
        <f ca="1">IFERROR(__xludf.DUMMYFUNCTION("""COMPUTED_VALUE"""),44677)</f>
        <v>44677</v>
      </c>
      <c r="B8020" s="8" t="str">
        <f ca="1">IFERROR(__xludf.DUMMYFUNCTION("""COMPUTED_VALUE"""),"-33.8478721,70.7887675")</f>
        <v>-33.8478721,70.7887675</v>
      </c>
      <c r="C8020" s="6" t="str">
        <f ca="1">IFERROR(__xludf.DUMMYFUNCTION("""COMPUTED_VALUE"""),"PARCELACION MANUEL RODRIGUEZ 19")</f>
        <v>PARCELACION MANUEL RODRIGUEZ 19</v>
      </c>
      <c r="D8020" s="6" t="str">
        <f ca="1">IFERROR(__xludf.DUMMYFUNCTION("""COMPUTED_VALUE"""),"PAINE")</f>
        <v>PAINE</v>
      </c>
    </row>
    <row r="8021" spans="1:4">
      <c r="A8021" s="7">
        <f ca="1">IFERROR(__xludf.DUMMYFUNCTION("""COMPUTED_VALUE"""),44677)</f>
        <v>44677</v>
      </c>
      <c r="B8021" s="8" t="str">
        <f ca="1">IFERROR(__xludf.DUMMYFUNCTION("""COMPUTED_VALUE"""),"-33.8479217-70.6433765")</f>
        <v>-33.8479217-70.6433765</v>
      </c>
      <c r="C8021" s="6" t="str">
        <f ca="1">IFERROR(__xludf.DUMMYFUNCTION("""COMPUTED_VALUE""")," EL CARDONAL ALTO SITIO 10 HUELQUEN ")</f>
        <v xml:space="preserve"> EL CARDONAL ALTO SITIO 10 HUELQUEN </v>
      </c>
      <c r="D8021" s="6" t="str">
        <f ca="1">IFERROR(__xludf.DUMMYFUNCTION("""COMPUTED_VALUE"""),"PAINE")</f>
        <v>PAINE</v>
      </c>
    </row>
    <row r="8022" spans="1:4">
      <c r="A8022" s="7">
        <f ca="1">IFERROR(__xludf.DUMMYFUNCTION("""COMPUTED_VALUE"""),44677)</f>
        <v>44677</v>
      </c>
      <c r="B8022" s="8" t="str">
        <f ca="1">IFERROR(__xludf.DUMMYFUNCTION("""COMPUTED_VALUE"""),"-33.7437671-70.8676509")</f>
        <v>-33.7437671-70.8676509</v>
      </c>
      <c r="C8022" s="6" t="str">
        <f ca="1">IFERROR(__xludf.DUMMYFUNCTION("""COMPUTED_VALUE"""),"JOSE MACIEL ZUÑIGA  285")</f>
        <v>JOSE MACIEL ZUÑIGA  285</v>
      </c>
      <c r="D8022" s="6" t="str">
        <f ca="1">IFERROR(__xludf.DUMMYFUNCTION("""COMPUTED_VALUE"""),"ISLA DE MAIPO")</f>
        <v>ISLA DE MAIPO</v>
      </c>
    </row>
    <row r="8023" spans="1:4">
      <c r="A8023" s="7">
        <f ca="1">IFERROR(__xludf.DUMMYFUNCTION("""COMPUTED_VALUE"""),44677)</f>
        <v>44677</v>
      </c>
      <c r="B8023" s="8" t="str">
        <f ca="1">IFERROR(__xludf.DUMMYFUNCTION("""COMPUTED_VALUE"""),"-33.7401353-70.8678106")</f>
        <v>-33.7401353-70.8678106</v>
      </c>
      <c r="C8023" s="6" t="str">
        <f ca="1">IFERROR(__xludf.DUMMYFUNCTION("""COMPUTED_VALUE"""),"SAN ANTONIO 3126")</f>
        <v>SAN ANTONIO 3126</v>
      </c>
      <c r="D8023" s="6" t="str">
        <f ca="1">IFERROR(__xludf.DUMMYFUNCTION("""COMPUTED_VALUE"""),"ISLA DE MAIPO")</f>
        <v>ISLA DE MAIPO</v>
      </c>
    </row>
    <row r="8024" spans="1:4">
      <c r="A8024" s="7">
        <f ca="1">IFERROR(__xludf.DUMMYFUNCTION("""COMPUTED_VALUE"""),44677)</f>
        <v>44677</v>
      </c>
      <c r="B8024" s="8" t="str">
        <f ca="1">IFERROR(__xludf.DUMMYFUNCTION("""COMPUTED_VALUE"""),"-33.7399-70.8681163")</f>
        <v>-33.7399-70.8681163</v>
      </c>
      <c r="C8024" s="6" t="str">
        <f ca="1">IFERROR(__xludf.DUMMYFUNCTION("""COMPUTED_VALUE"""),"SAN LUIS  3906")</f>
        <v>SAN LUIS  3906</v>
      </c>
      <c r="D8024" s="6" t="str">
        <f ca="1">IFERROR(__xludf.DUMMYFUNCTION("""COMPUTED_VALUE"""),"ISLA DE MAIPO")</f>
        <v>ISLA DE MAIPO</v>
      </c>
    </row>
    <row r="8025" spans="1:4">
      <c r="A8025" s="7">
        <f ca="1">IFERROR(__xludf.DUMMYFUNCTION("""COMPUTED_VALUE"""),44677)</f>
        <v>44677</v>
      </c>
      <c r="B8025" s="6" t="str">
        <f ca="1">IFERROR(__xludf.DUMMYFUNCTION("""COMPUTED_VALUE"""),"-33.730654-70.687173")</f>
        <v>-33.730654-70.687173</v>
      </c>
      <c r="C8025" s="6" t="str">
        <f ca="1">IFERROR(__xludf.DUMMYFUNCTION("""COMPUTED_VALUE"""),"EL ARPA 251")</f>
        <v>EL ARPA 251</v>
      </c>
      <c r="D8025" s="6" t="str">
        <f ca="1">IFERROR(__xludf.DUMMYFUNCTION("""COMPUTED_VALUE"""),"BUIN")</f>
        <v>BUIN</v>
      </c>
    </row>
    <row r="8026" spans="1:4">
      <c r="A8026" s="7">
        <f ca="1">IFERROR(__xludf.DUMMYFUNCTION("""COMPUTED_VALUE"""),44677)</f>
        <v>44677</v>
      </c>
      <c r="B8026" s="6" t="str">
        <f ca="1">IFERROR(__xludf.DUMMYFUNCTION("""COMPUTED_VALUE"""),"-33.730654-70.687173")</f>
        <v>-33.730654-70.687173</v>
      </c>
      <c r="C8026" s="6" t="str">
        <f ca="1">IFERROR(__xludf.DUMMYFUNCTION("""COMPUTED_VALUE"""),"EL ARPA 251")</f>
        <v>EL ARPA 251</v>
      </c>
      <c r="D8026" s="6" t="str">
        <f ca="1">IFERROR(__xludf.DUMMYFUNCTION("""COMPUTED_VALUE"""),"BUIN")</f>
        <v>BUIN</v>
      </c>
    </row>
    <row r="8027" spans="1:4">
      <c r="A8027" s="7">
        <f ca="1">IFERROR(__xludf.DUMMYFUNCTION("""COMPUTED_VALUE"""),44677)</f>
        <v>44677</v>
      </c>
      <c r="B8027" s="6" t="str">
        <f ca="1">IFERROR(__xludf.DUMMYFUNCTION("""COMPUTED_VALUE"""),"-33.62779-70.35920")</f>
        <v>-33.62779-70.35920</v>
      </c>
      <c r="C8027" s="6" t="str">
        <f ca="1">IFERROR(__xludf.DUMMYFUNCTION("""COMPUTED_VALUE"""),"AV. EL ESFUERZO 18659")</f>
        <v>AV. EL ESFUERZO 18659</v>
      </c>
      <c r="D8027" s="6" t="str">
        <f ca="1">IFERROR(__xludf.DUMMYFUNCTION("""COMPUTED_VALUE"""),"SAN JOSE DE MAIPO")</f>
        <v>SAN JOSE DE MAIPO</v>
      </c>
    </row>
    <row r="8028" spans="1:4">
      <c r="A8028" s="7">
        <f ca="1">IFERROR(__xludf.DUMMYFUNCTION("""COMPUTED_VALUE"""),44677)</f>
        <v>44677</v>
      </c>
      <c r="B8028" s="6" t="str">
        <f ca="1">IFERROR(__xludf.DUMMYFUNCTION("""COMPUTED_VALUE"""),"-33.58276-70.39949")</f>
        <v>-33.58276-70.39949</v>
      </c>
      <c r="C8028" s="6" t="str">
        <f ca="1">IFERROR(__xludf.DUMMYFUNCTION("""COMPUTED_VALUE"""),"CAMINO PUBLICO S/N")</f>
        <v>CAMINO PUBLICO S/N</v>
      </c>
      <c r="D8028" s="6" t="str">
        <f ca="1">IFERROR(__xludf.DUMMYFUNCTION("""COMPUTED_VALUE"""),"SAN JOSE DE MAIPO")</f>
        <v>SAN JOSE DE MAIPO</v>
      </c>
    </row>
    <row r="8029" spans="1:4">
      <c r="A8029" s="7">
        <f ca="1">IFERROR(__xludf.DUMMYFUNCTION("""COMPUTED_VALUE"""),44677)</f>
        <v>44677</v>
      </c>
      <c r="B8029" s="6" t="str">
        <f ca="1">IFERROR(__xludf.DUMMYFUNCTION("""COMPUTED_VALUE"""),"-33.677714-71.203765")</f>
        <v>-33.677714-71.203765</v>
      </c>
      <c r="C8029" s="6" t="str">
        <f ca="1">IFERROR(__xludf.DUMMYFUNCTION("""COMPUTED_VALUE"""),"JOSE ARIAS 140")</f>
        <v>JOSE ARIAS 140</v>
      </c>
      <c r="D8029" s="6" t="str">
        <f ca="1">IFERROR(__xludf.DUMMYFUNCTION("""COMPUTED_VALUE"""),"MELIPILLA")</f>
        <v>MELIPILLA</v>
      </c>
    </row>
    <row r="8030" spans="1:4">
      <c r="A8030" s="7">
        <f ca="1">IFERROR(__xludf.DUMMYFUNCTION("""COMPUTED_VALUE"""),44677)</f>
        <v>44677</v>
      </c>
      <c r="B8030" s="6" t="str">
        <f ca="1">IFERROR(__xludf.DUMMYFUNCTION("""COMPUTED_VALUE"""),"-33.676757-71.203926")</f>
        <v>-33.676757-71.203926</v>
      </c>
      <c r="C8030" s="6" t="str">
        <f ca="1">IFERROR(__xludf.DUMMYFUNCTION("""COMPUTED_VALUE"""),"JOSE ARIAS 141")</f>
        <v>JOSE ARIAS 141</v>
      </c>
      <c r="D8030" s="6" t="str">
        <f ca="1">IFERROR(__xludf.DUMMYFUNCTION("""COMPUTED_VALUE"""),"MELIPILLA")</f>
        <v>MELIPILLA</v>
      </c>
    </row>
    <row r="8031" spans="1:4">
      <c r="A8031" s="7">
        <f ca="1">IFERROR(__xludf.DUMMYFUNCTION("""COMPUTED_VALUE"""),44677)</f>
        <v>44677</v>
      </c>
      <c r="B8031" s="6" t="str">
        <f ca="1">IFERROR(__xludf.DUMMYFUNCTION("""COMPUTED_VALUE"""),"-33.678034-71.203980")</f>
        <v>-33.678034-71.203980</v>
      </c>
      <c r="C8031" s="6" t="str">
        <f ca="1">IFERROR(__xludf.DUMMYFUNCTION("""COMPUTED_VALUE"""),"FLORENCIO ASTUDILLO 140")</f>
        <v>FLORENCIO ASTUDILLO 140</v>
      </c>
      <c r="D8031" s="6" t="str">
        <f ca="1">IFERROR(__xludf.DUMMYFUNCTION("""COMPUTED_VALUE"""),"MELIPILLA")</f>
        <v>MELIPILLA</v>
      </c>
    </row>
    <row r="8032" spans="1:4">
      <c r="A8032" s="7">
        <f ca="1">IFERROR(__xludf.DUMMYFUNCTION("""COMPUTED_VALUE"""),44677)</f>
        <v>44677</v>
      </c>
      <c r="B8032" s="8" t="str">
        <f ca="1">IFERROR(__xludf.DUMMYFUNCTION("""COMPUTED_VALUE"""),"-33.724968,-70.541033")</f>
        <v>-33.724968,-70.541033</v>
      </c>
      <c r="C8032" s="6" t="str">
        <f ca="1">IFERROR(__xludf.DUMMYFUNCTION("""COMPUTED_VALUE"""),"LOS CEREZOS 80-B")</f>
        <v>LOS CEREZOS 80-B</v>
      </c>
      <c r="D8032" s="6" t="str">
        <f ca="1">IFERROR(__xludf.DUMMYFUNCTION("""COMPUTED_VALUE"""),"PIRQUE")</f>
        <v>PIRQUE</v>
      </c>
    </row>
    <row r="8033" spans="1:4">
      <c r="A8033" s="7">
        <f ca="1">IFERROR(__xludf.DUMMYFUNCTION("""COMPUTED_VALUE"""),44677)</f>
        <v>44677</v>
      </c>
      <c r="B8033" s="6" t="str">
        <f ca="1">IFERROR(__xludf.DUMMYFUNCTION("""COMPUTED_VALUE"""),"-33.756328,-70.893220")</f>
        <v>-33.756328,-70.893220</v>
      </c>
      <c r="C8033" s="6" t="str">
        <f ca="1">IFERROR(__xludf.DUMMYFUNCTION("""COMPUTED_VALUE"""),"PRIMAVERA SUR 175")</f>
        <v>PRIMAVERA SUR 175</v>
      </c>
      <c r="D8033" s="6" t="str">
        <f ca="1">IFERROR(__xludf.DUMMYFUNCTION("""COMPUTED_VALUE"""),"ISLA DE MAIPO")</f>
        <v>ISLA DE MAIPO</v>
      </c>
    </row>
    <row r="8034" spans="1:4">
      <c r="A8034" s="7">
        <f ca="1">IFERROR(__xludf.DUMMYFUNCTION("""COMPUTED_VALUE"""),44677)</f>
        <v>44677</v>
      </c>
      <c r="B8034" s="6" t="str">
        <f ca="1">IFERROR(__xludf.DUMMYFUNCTION("""COMPUTED_VALUE"""),"-33.751904,-70.888618")</f>
        <v>-33.751904,-70.888618</v>
      </c>
      <c r="C8034" s="6" t="str">
        <f ca="1">IFERROR(__xludf.DUMMYFUNCTION("""COMPUTED_VALUE"""),"REICHEA 623")</f>
        <v>REICHEA 623</v>
      </c>
      <c r="D8034" s="6" t="str">
        <f ca="1">IFERROR(__xludf.DUMMYFUNCTION("""COMPUTED_VALUE"""),"ISLA DE MAIPO")</f>
        <v>ISLA DE MAIPO</v>
      </c>
    </row>
    <row r="8035" spans="1:4">
      <c r="A8035" s="7">
        <f ca="1">IFERROR(__xludf.DUMMYFUNCTION("""COMPUTED_VALUE"""),44677)</f>
        <v>44677</v>
      </c>
      <c r="B8035" s="6" t="str">
        <f ca="1">IFERROR(__xludf.DUMMYFUNCTION("""COMPUTED_VALUE"""),"-33.698478,-70.725467")</f>
        <v>-33.698478,-70.725467</v>
      </c>
      <c r="C8035" s="6" t="str">
        <f ca="1">IFERROR(__xludf.DUMMYFUNCTION("""COMPUTED_VALUE"""),"RUTA 5 SUR 3153")</f>
        <v>RUTA 5 SUR 3153</v>
      </c>
      <c r="D8035" s="6" t="str">
        <f ca="1">IFERROR(__xludf.DUMMYFUNCTION("""COMPUTED_VALUE"""),"BUIN")</f>
        <v>BUIN</v>
      </c>
    </row>
    <row r="8036" spans="1:4">
      <c r="A8036" s="7">
        <f ca="1">IFERROR(__xludf.DUMMYFUNCTION("""COMPUTED_VALUE"""),44677)</f>
        <v>44677</v>
      </c>
      <c r="B8036" s="6" t="str">
        <f ca="1">IFERROR(__xludf.DUMMYFUNCTION("""COMPUTED_VALUE"""),"-33.738691,-70.739821")</f>
        <v>-33.738691,-70.739821</v>
      </c>
      <c r="C8036" s="6" t="str">
        <f ca="1">IFERROR(__xludf.DUMMYFUNCTION("""COMPUTED_VALUE"""),"ANIBAL PINTO 747")</f>
        <v>ANIBAL PINTO 747</v>
      </c>
      <c r="D8036" s="6" t="str">
        <f ca="1">IFERROR(__xludf.DUMMYFUNCTION("""COMPUTED_VALUE"""),"BUIN")</f>
        <v>BUIN</v>
      </c>
    </row>
    <row r="8037" spans="1:4">
      <c r="A8037" s="7">
        <f ca="1">IFERROR(__xludf.DUMMYFUNCTION("""COMPUTED_VALUE"""),44677)</f>
        <v>44677</v>
      </c>
      <c r="B8037" s="8" t="str">
        <f ca="1">IFERROR(__xludf.DUMMYFUNCTION("""COMPUTED_VALUE"""),"-33.541151,-71.228038")</f>
        <v>-33.541151,-71.228038</v>
      </c>
      <c r="C8037" s="6" t="str">
        <f ca="1">IFERROR(__xludf.DUMMYFUNCTION("""COMPUTED_VALUE"""),"CHOROMBO BAJO PARCELA 33B")</f>
        <v>CHOROMBO BAJO PARCELA 33B</v>
      </c>
      <c r="D8037" s="6" t="str">
        <f ca="1">IFERROR(__xludf.DUMMYFUNCTION("""COMPUTED_VALUE"""),"MELIPILLA")</f>
        <v>MELIPILLA</v>
      </c>
    </row>
    <row r="8038" spans="1:4">
      <c r="A8038" s="7">
        <f ca="1">IFERROR(__xludf.DUMMYFUNCTION("""COMPUTED_VALUE"""),44677)</f>
        <v>44677</v>
      </c>
      <c r="B8038" s="8" t="str">
        <f ca="1">IFERROR(__xludf.DUMMYFUNCTION("""COMPUTED_VALUE"""),"-33.675004,-71.212734")</f>
        <v>-33.675004,-71.212734</v>
      </c>
      <c r="C8038" s="6" t="str">
        <f ca="1">IFERROR(__xludf.DUMMYFUNCTION("""COMPUTED_VALUE"""),"CAMPO LINDO S/N")</f>
        <v>CAMPO LINDO S/N</v>
      </c>
      <c r="D8038" s="6" t="str">
        <f ca="1">IFERROR(__xludf.DUMMYFUNCTION("""COMPUTED_VALUE"""),"MELIPILLA")</f>
        <v>MELIPILLA</v>
      </c>
    </row>
    <row r="8039" spans="1:4">
      <c r="A8039" s="7">
        <f ca="1">IFERROR(__xludf.DUMMYFUNCTION("""COMPUTED_VALUE"""),44677)</f>
        <v>44677</v>
      </c>
      <c r="B8039" s="8" t="str">
        <f ca="1">IFERROR(__xludf.DUMMYFUNCTION("""COMPUTED_VALUE"""),"-33.804747,-70.727354")</f>
        <v>-33.804747,-70.727354</v>
      </c>
      <c r="C8039" s="6" t="str">
        <f ca="1">IFERROR(__xludf.DUMMYFUNCTION("""COMPUTED_VALUE"""),"RIO COMBARBALA 821")</f>
        <v>RIO COMBARBALA 821</v>
      </c>
      <c r="D8039" s="6" t="str">
        <f ca="1">IFERROR(__xludf.DUMMYFUNCTION("""COMPUTED_VALUE"""),"PAINE")</f>
        <v>PAINE</v>
      </c>
    </row>
    <row r="8040" spans="1:4">
      <c r="A8040" s="7">
        <f ca="1">IFERROR(__xludf.DUMMYFUNCTION("""COMPUTED_VALUE"""),44677)</f>
        <v>44677</v>
      </c>
      <c r="B8040" s="8" t="str">
        <f ca="1">IFERROR(__xludf.DUMMYFUNCTION("""COMPUTED_VALUE"""),"-33.804683,-70.728723")</f>
        <v>-33.804683,-70.728723</v>
      </c>
      <c r="C8040" s="6" t="str">
        <f ca="1">IFERROR(__xludf.DUMMYFUNCTION("""COMPUTED_VALUE"""),"PRESIDENTE RIESCO 5561")</f>
        <v>PRESIDENTE RIESCO 5561</v>
      </c>
      <c r="D8040" s="6" t="str">
        <f ca="1">IFERROR(__xludf.DUMMYFUNCTION("""COMPUTED_VALUE"""),"PAINE")</f>
        <v>PAINE</v>
      </c>
    </row>
    <row r="8041" spans="1:4">
      <c r="A8041" s="7">
        <f ca="1">IFERROR(__xludf.DUMMYFUNCTION("""COMPUTED_VALUE"""),44677)</f>
        <v>44677</v>
      </c>
      <c r="B8041" s="6" t="str">
        <f ca="1">IFERROR(__xludf.DUMMYFUNCTION("""COMPUTED_VALUE"""),"-33.800286,-70.773228")</f>
        <v>-33.800286,-70.773228</v>
      </c>
      <c r="C8041" s="6" t="str">
        <f ca="1">IFERROR(__xludf.DUMMYFUNCTION("""COMPUTED_VALUE"""),"CALLE VILUCO PARC. EL RECUERDO ST 28")</f>
        <v>CALLE VILUCO PARC. EL RECUERDO ST 28</v>
      </c>
      <c r="D8041" s="6" t="str">
        <f ca="1">IFERROR(__xludf.DUMMYFUNCTION("""COMPUTED_VALUE"""),"BUIN")</f>
        <v>BUIN</v>
      </c>
    </row>
    <row r="8042" spans="1:4">
      <c r="A8042" s="7">
        <f ca="1">IFERROR(__xludf.DUMMYFUNCTION("""COMPUTED_VALUE"""),44677)</f>
        <v>44677</v>
      </c>
      <c r="B8042" s="6" t="str">
        <f ca="1">IFERROR(__xludf.DUMMYFUNCTION("""COMPUTED_VALUE"""),"-33.866441,-70.879972")</f>
        <v>-33.866441,-70.879972</v>
      </c>
      <c r="C8042" s="6" t="str">
        <f ca="1">IFERROR(__xludf.DUMMYFUNCTION("""COMPUTED_VALUE"""),"EL PERAL S/N")</f>
        <v>EL PERAL S/N</v>
      </c>
      <c r="D8042" s="6" t="str">
        <f ca="1">IFERROR(__xludf.DUMMYFUNCTION("""COMPUTED_VALUE"""),"PAINE")</f>
        <v>PAINE</v>
      </c>
    </row>
    <row r="8043" spans="1:4">
      <c r="A8043" s="7">
        <f ca="1">IFERROR(__xludf.DUMMYFUNCTION("""COMPUTED_VALUE"""),44677)</f>
        <v>44677</v>
      </c>
      <c r="B8043" s="6" t="str">
        <f ca="1">IFERROR(__xludf.DUMMYFUNCTION("""COMPUTED_VALUE"""),"-33.858683,-70.742624")</f>
        <v>-33.858683,-70.742624</v>
      </c>
      <c r="C8043" s="6" t="str">
        <f ca="1">IFERROR(__xludf.DUMMYFUNCTION("""COMPUTED_VALUE"""),"COLONIA KENNEDY 135")</f>
        <v>COLONIA KENNEDY 135</v>
      </c>
      <c r="D8043" s="6" t="str">
        <f ca="1">IFERROR(__xludf.DUMMYFUNCTION("""COMPUTED_VALUE"""),"PAINE")</f>
        <v>PAINE</v>
      </c>
    </row>
    <row r="8044" spans="1:4">
      <c r="A8044" s="7">
        <f ca="1">IFERROR(__xludf.DUMMYFUNCTION("""COMPUTED_VALUE"""),44677)</f>
        <v>44677</v>
      </c>
      <c r="B8044" s="6" t="str">
        <f ca="1">IFERROR(__xludf.DUMMYFUNCTION("""COMPUTED_VALUE"""),"-33.814368,-70.735788")</f>
        <v>-33.814368,-70.735788</v>
      </c>
      <c r="C8044" s="6" t="str">
        <f ca="1">IFERROR(__xludf.DUMMYFUNCTION("""COMPUTED_VALUE"""),"PEREZ CANTO 641")</f>
        <v>PEREZ CANTO 641</v>
      </c>
      <c r="D8044" s="6" t="str">
        <f ca="1">IFERROR(__xludf.DUMMYFUNCTION("""COMPUTED_VALUE"""),"PAINE")</f>
        <v>PAINE</v>
      </c>
    </row>
    <row r="8045" spans="1:4">
      <c r="A8045" s="7">
        <f ca="1">IFERROR(__xludf.DUMMYFUNCTION("""COMPUTED_VALUE"""),44677)</f>
        <v>44677</v>
      </c>
      <c r="B8045" s="6" t="str">
        <f ca="1">IFERROR(__xludf.DUMMYFUNCTION("""COMPUTED_VALUE"""),"-33.834951,-70.698255")</f>
        <v>-33.834951,-70.698255</v>
      </c>
      <c r="C8045" s="6" t="str">
        <f ca="1">IFERROR(__xludf.DUMMYFUNCTION("""COMPUTED_VALUE"""),"SANTA ROSA SITIO 27")</f>
        <v>SANTA ROSA SITIO 27</v>
      </c>
      <c r="D8045" s="6" t="str">
        <f ca="1">IFERROR(__xludf.DUMMYFUNCTION("""COMPUTED_VALUE"""),"PAINE")</f>
        <v>PAINE</v>
      </c>
    </row>
    <row r="8046" spans="1:4">
      <c r="A8046" s="7">
        <f ca="1">IFERROR(__xludf.DUMMYFUNCTION("""COMPUTED_VALUE"""),44678)</f>
        <v>44678</v>
      </c>
      <c r="B8046" s="8" t="str">
        <f ca="1">IFERROR(__xludf.DUMMYFUNCTION("""COMPUTED_VALUE"""),"-33.7336492-70.983866")</f>
        <v>-33.7336492-70.983866</v>
      </c>
      <c r="C8046" s="6" t="str">
        <f ca="1">IFERROR(__xludf.DUMMYFUNCTION("""COMPUTED_VALUE"""),"SAN ANTONIO 7389")</f>
        <v>SAN ANTONIO 7389</v>
      </c>
      <c r="D8046" s="6" t="str">
        <f ca="1">IFERROR(__xludf.DUMMYFUNCTION("""COMPUTED_VALUE"""),"ISLA DE MAIPO")</f>
        <v>ISLA DE MAIPO</v>
      </c>
    </row>
    <row r="8047" spans="1:4">
      <c r="A8047" s="7">
        <f ca="1">IFERROR(__xludf.DUMMYFUNCTION("""COMPUTED_VALUE"""),44678)</f>
        <v>44678</v>
      </c>
      <c r="B8047" s="8" t="str">
        <f ca="1">IFERROR(__xludf.DUMMYFUNCTION("""COMPUTED_VALUE"""),"-33.7286543-70.9154169")</f>
        <v>-33.7286543-70.9154169</v>
      </c>
      <c r="C8047" s="6" t="str">
        <f ca="1">IFERROR(__xludf.DUMMYFUNCTION("""COMPUTED_VALUE"""),"GACITUA 116")</f>
        <v>GACITUA 116</v>
      </c>
      <c r="D8047" s="6" t="str">
        <f ca="1">IFERROR(__xludf.DUMMYFUNCTION("""COMPUTED_VALUE"""),"ISLA DE MAIPO")</f>
        <v>ISLA DE MAIPO</v>
      </c>
    </row>
    <row r="8048" spans="1:4">
      <c r="A8048" s="7">
        <f ca="1">IFERROR(__xludf.DUMMYFUNCTION("""COMPUTED_VALUE"""),44678)</f>
        <v>44678</v>
      </c>
      <c r="B8048" s="8" t="str">
        <f ca="1">IFERROR(__xludf.DUMMYFUNCTION("""COMPUTED_VALUE"""),"-33.8047745, -70.7325207")</f>
        <v>-33.8047745, -70.7325207</v>
      </c>
      <c r="C8048" s="6" t="str">
        <f ca="1">IFERROR(__xludf.DUMMYFUNCTION("""COMPUTED_VALUE""")," PSJE LOS QUILLAYES 111")</f>
        <v xml:space="preserve"> PSJE LOS QUILLAYES 111</v>
      </c>
      <c r="D8048" s="6" t="str">
        <f ca="1">IFERROR(__xludf.DUMMYFUNCTION("""COMPUTED_VALUE"""),"PAINE")</f>
        <v>PAINE</v>
      </c>
    </row>
    <row r="8049" spans="1:4">
      <c r="A8049" s="7">
        <f ca="1">IFERROR(__xludf.DUMMYFUNCTION("""COMPUTED_VALUE"""),44678)</f>
        <v>44678</v>
      </c>
      <c r="B8049" s="8" t="str">
        <f ca="1">IFERROR(__xludf.DUMMYFUNCTION("""COMPUTED_VALUE"""),"-33.8142785, -70.7382636")</f>
        <v>-33.8142785, -70.7382636</v>
      </c>
      <c r="C8049" s="6" t="str">
        <f ca="1">IFERROR(__xludf.DUMMYFUNCTION("""COMPUTED_VALUE"""),"PSJE TREINTA DE OCTUBRE 1035")</f>
        <v>PSJE TREINTA DE OCTUBRE 1035</v>
      </c>
      <c r="D8049" s="6" t="str">
        <f ca="1">IFERROR(__xludf.DUMMYFUNCTION("""COMPUTED_VALUE"""),"PAINE")</f>
        <v>PAINE</v>
      </c>
    </row>
    <row r="8050" spans="1:4">
      <c r="A8050" s="7">
        <f ca="1">IFERROR(__xludf.DUMMYFUNCTION("""COMPUTED_VALUE"""),44678)</f>
        <v>44678</v>
      </c>
      <c r="B8050" s="8" t="str">
        <f ca="1">IFERROR(__xludf.DUMMYFUNCTION("""COMPUTED_VALUE"""),"-33.7854321-70.8867463")</f>
        <v>-33.7854321-70.8867463</v>
      </c>
      <c r="C8050" s="6" t="str">
        <f ca="1">IFERROR(__xludf.DUMMYFUNCTION("""COMPUTED_VALUE"""),"ROMERO 1895")</f>
        <v>ROMERO 1895</v>
      </c>
      <c r="D8050" s="6" t="str">
        <f ca="1">IFERROR(__xludf.DUMMYFUNCTION("""COMPUTED_VALUE"""),"ISLA DE MAIPO")</f>
        <v>ISLA DE MAIPO</v>
      </c>
    </row>
    <row r="8051" spans="1:4">
      <c r="A8051" s="7">
        <f ca="1">IFERROR(__xludf.DUMMYFUNCTION("""COMPUTED_VALUE"""),44678)</f>
        <v>44678</v>
      </c>
      <c r="B8051" s="8" t="str">
        <f ca="1">IFERROR(__xludf.DUMMYFUNCTION("""COMPUTED_VALUE"""),"-33.5948183-70.3765133")</f>
        <v>-33.5948183-70.3765133</v>
      </c>
      <c r="C8051" s="6" t="str">
        <f ca="1">IFERROR(__xludf.DUMMYFUNCTION("""COMPUTED_VALUE"""),"EL COLORADO 51")</f>
        <v>EL COLORADO 51</v>
      </c>
      <c r="D8051" s="6" t="str">
        <f ca="1">IFERROR(__xludf.DUMMYFUNCTION("""COMPUTED_VALUE"""),"SAN JOSE DE MAIPO")</f>
        <v>SAN JOSE DE MAIPO</v>
      </c>
    </row>
    <row r="8052" spans="1:4">
      <c r="A8052" s="7">
        <f ca="1">IFERROR(__xludf.DUMMYFUNCTION("""COMPUTED_VALUE"""),44678)</f>
        <v>44678</v>
      </c>
      <c r="B8052" s="8" t="str">
        <f ca="1">IFERROR(__xludf.DUMMYFUNCTION("""COMPUTED_VALUE"""),"-33.8720074, -70.7313905")</f>
        <v>-33.8720074, -70.7313905</v>
      </c>
      <c r="C8052" s="6" t="str">
        <f ca="1">IFERROR(__xludf.DUMMYFUNCTION("""COMPUTED_VALUE"""),"PASAJE SUR CASA 25")</f>
        <v>PASAJE SUR CASA 25</v>
      </c>
      <c r="D8052" s="6" t="str">
        <f ca="1">IFERROR(__xludf.DUMMYFUNCTION("""COMPUTED_VALUE"""),"PAINE")</f>
        <v>PAINE</v>
      </c>
    </row>
    <row r="8053" spans="1:4">
      <c r="A8053" s="7">
        <f ca="1">IFERROR(__xludf.DUMMYFUNCTION("""COMPUTED_VALUE"""),44678)</f>
        <v>44678</v>
      </c>
      <c r="B8053" s="6" t="str">
        <f ca="1">IFERROR(__xludf.DUMMYFUNCTION("""COMPUTED_VALUE"""),"-33.58710-70.39123")</f>
        <v>-33.58710-70.39123</v>
      </c>
      <c r="C8053" s="6" t="str">
        <f ca="1">IFERROR(__xludf.DUMMYFUNCTION("""COMPUTED_VALUE"""),"CAMINO AL VOLCAN 11423")</f>
        <v>CAMINO AL VOLCAN 11423</v>
      </c>
      <c r="D8053" s="6" t="str">
        <f ca="1">IFERROR(__xludf.DUMMYFUNCTION("""COMPUTED_VALUE"""),"SAN JOSE DE MAIPO")</f>
        <v>SAN JOSE DE MAIPO</v>
      </c>
    </row>
    <row r="8054" spans="1:4">
      <c r="A8054" s="7">
        <f ca="1">IFERROR(__xludf.DUMMYFUNCTION("""COMPUTED_VALUE"""),44678)</f>
        <v>44678</v>
      </c>
      <c r="B8054" s="8" t="str">
        <f ca="1">IFERROR(__xludf.DUMMYFUNCTION("""COMPUTED_VALUE"""),"-33.720080,-70.561106")</f>
        <v>-33.720080,-70.561106</v>
      </c>
      <c r="C8054" s="6" t="str">
        <f ca="1">IFERROR(__xludf.DUMMYFUNCTION("""COMPUTED_VALUE"""),"CALLE ALAMEDA 131")</f>
        <v>CALLE ALAMEDA 131</v>
      </c>
      <c r="D8054" s="6" t="str">
        <f ca="1">IFERROR(__xludf.DUMMYFUNCTION("""COMPUTED_VALUE"""),"PIRQUE")</f>
        <v>PIRQUE</v>
      </c>
    </row>
    <row r="8055" spans="1:4">
      <c r="A8055" s="7">
        <f ca="1">IFERROR(__xludf.DUMMYFUNCTION("""COMPUTED_VALUE"""),44678)</f>
        <v>44678</v>
      </c>
      <c r="B8055" s="8" t="str">
        <f ca="1">IFERROR(__xludf.DUMMYFUNCTION("""COMPUTED_VALUE"""),"-33.720568,-70.559523")</f>
        <v>-33.720568,-70.559523</v>
      </c>
      <c r="C8055" s="6" t="str">
        <f ca="1">IFERROR(__xludf.DUMMYFUNCTION("""COMPUTED_VALUE"""),"CAMINO LA ALAMEDA 131")</f>
        <v>CAMINO LA ALAMEDA 131</v>
      </c>
      <c r="D8055" s="6" t="str">
        <f ca="1">IFERROR(__xludf.DUMMYFUNCTION("""COMPUTED_VALUE"""),"PIRQUE")</f>
        <v>PIRQUE</v>
      </c>
    </row>
    <row r="8056" spans="1:4">
      <c r="A8056" s="7">
        <f ca="1">IFERROR(__xludf.DUMMYFUNCTION("""COMPUTED_VALUE"""),44678)</f>
        <v>44678</v>
      </c>
      <c r="B8056" s="6" t="str">
        <f ca="1">IFERROR(__xludf.DUMMYFUNCTION("""COMPUTED_VALUE"""),"-33.753910,-70.912369")</f>
        <v>-33.753910,-70.912369</v>
      </c>
      <c r="C8056" s="6" t="str">
        <f ca="1">IFERROR(__xludf.DUMMYFUNCTION("""COMPUTED_VALUE"""),"ACEVEDO 436")</f>
        <v>ACEVEDO 436</v>
      </c>
      <c r="D8056" s="6" t="str">
        <f ca="1">IFERROR(__xludf.DUMMYFUNCTION("""COMPUTED_VALUE"""),"ISLA DE MAIPO")</f>
        <v>ISLA DE MAIPO</v>
      </c>
    </row>
    <row r="8057" spans="1:4">
      <c r="A8057" s="7">
        <f ca="1">IFERROR(__xludf.DUMMYFUNCTION("""COMPUTED_VALUE"""),44678)</f>
        <v>44678</v>
      </c>
      <c r="B8057" s="6" t="str">
        <f ca="1">IFERROR(__xludf.DUMMYFUNCTION("""COMPUTED_VALUE"""),"-33.783552,-70.889274")</f>
        <v>-33.783552,-70.889274</v>
      </c>
      <c r="C8057" s="6" t="str">
        <f ca="1">IFERROR(__xludf.DUMMYFUNCTION("""COMPUTED_VALUE"""),"JUAN FRANCISCO 614")</f>
        <v>JUAN FRANCISCO 614</v>
      </c>
      <c r="D8057" s="6" t="str">
        <f ca="1">IFERROR(__xludf.DUMMYFUNCTION("""COMPUTED_VALUE"""),"ISLA DE MAIPO")</f>
        <v>ISLA DE MAIPO</v>
      </c>
    </row>
    <row r="8058" spans="1:4">
      <c r="A8058" s="7">
        <f ca="1">IFERROR(__xludf.DUMMYFUNCTION("""COMPUTED_VALUE"""),44678)</f>
        <v>44678</v>
      </c>
      <c r="B8058" s="6" t="str">
        <f ca="1">IFERROR(__xludf.DUMMYFUNCTION("""COMPUTED_VALUE"""),"-33.750488,-70.920919")</f>
        <v>-33.750488,-70.920919</v>
      </c>
      <c r="C8058" s="6" t="str">
        <f ca="1">IFERROR(__xludf.DUMMYFUNCTION("""COMPUTED_VALUE"""),"LOS MUÑOCES 254")</f>
        <v>LOS MUÑOCES 254</v>
      </c>
      <c r="D8058" s="6" t="str">
        <f ca="1">IFERROR(__xludf.DUMMYFUNCTION("""COMPUTED_VALUE"""),"ISLA DE MAIPO")</f>
        <v>ISLA DE MAIPO</v>
      </c>
    </row>
    <row r="8059" spans="1:4">
      <c r="A8059" s="7">
        <f ca="1">IFERROR(__xludf.DUMMYFUNCTION("""COMPUTED_VALUE"""),44678)</f>
        <v>44678</v>
      </c>
      <c r="B8059" s="6" t="str">
        <f ca="1">IFERROR(__xludf.DUMMYFUNCTION("""COMPUTED_VALUE"""),"-33.785521,-70.888866")</f>
        <v>-33.785521,-70.888866</v>
      </c>
      <c r="C8059" s="6" t="str">
        <f ca="1">IFERROR(__xludf.DUMMYFUNCTION("""COMPUTED_VALUE"""),"SAN MARTIN 617")</f>
        <v>SAN MARTIN 617</v>
      </c>
      <c r="D8059" s="6" t="str">
        <f ca="1">IFERROR(__xludf.DUMMYFUNCTION("""COMPUTED_VALUE"""),"ISLA DE MAIPO")</f>
        <v>ISLA DE MAIPO</v>
      </c>
    </row>
    <row r="8060" spans="1:4">
      <c r="A8060" s="7">
        <f ca="1">IFERROR(__xludf.DUMMYFUNCTION("""COMPUTED_VALUE"""),44678)</f>
        <v>44678</v>
      </c>
      <c r="B8060" s="8" t="str">
        <f ca="1">IFERROR(__xludf.DUMMYFUNCTION("""COMPUTED_VALUE"""),"-33.8165940,-70.715839")</f>
        <v>-33.8165940,-70.715839</v>
      </c>
      <c r="C8060" s="6" t="str">
        <f ca="1">IFERROR(__xludf.DUMMYFUNCTION("""COMPUTED_VALUE"""),"PAULA JARAQUEMADA 7 ")</f>
        <v xml:space="preserve">PAULA JARAQUEMADA 7 </v>
      </c>
      <c r="D8060" s="6" t="str">
        <f ca="1">IFERROR(__xludf.DUMMYFUNCTION("""COMPUTED_VALUE"""),"PAINE")</f>
        <v>PAINE</v>
      </c>
    </row>
    <row r="8061" spans="1:4">
      <c r="A8061" s="7">
        <f ca="1">IFERROR(__xludf.DUMMYFUNCTION("""COMPUTED_VALUE"""),44678)</f>
        <v>44678</v>
      </c>
      <c r="B8061" s="8" t="str">
        <f ca="1">IFERROR(__xludf.DUMMYFUNCTION("""COMPUTED_VALUE"""),"-33.820573,-70.737209")</f>
        <v>-33.820573,-70.737209</v>
      </c>
      <c r="C8061" s="6" t="str">
        <f ca="1">IFERROR(__xludf.DUMMYFUNCTION("""COMPUTED_VALUE"""),"PARQUE NACIONAL CUCAO 1574")</f>
        <v>PARQUE NACIONAL CUCAO 1574</v>
      </c>
      <c r="D8061" s="6" t="str">
        <f ca="1">IFERROR(__xludf.DUMMYFUNCTION("""COMPUTED_VALUE"""),"PAINE")</f>
        <v>PAINE</v>
      </c>
    </row>
    <row r="8062" spans="1:4">
      <c r="A8062" s="7">
        <f ca="1">IFERROR(__xludf.DUMMYFUNCTION("""COMPUTED_VALUE"""),44678)</f>
        <v>44678</v>
      </c>
      <c r="B8062" s="8" t="str">
        <f ca="1">IFERROR(__xludf.DUMMYFUNCTION("""COMPUTED_VALUE"""),"-33.582986,-70.818980")</f>
        <v>-33.582986,-70.818980</v>
      </c>
      <c r="C8062" s="6" t="str">
        <f ca="1">IFERROR(__xludf.DUMMYFUNCTION("""COMPUTED_VALUE"""),"LAS ARAUCARIAS 64")</f>
        <v>LAS ARAUCARIAS 64</v>
      </c>
      <c r="D8062" s="6" t="str">
        <f ca="1">IFERROR(__xludf.DUMMYFUNCTION("""COMPUTED_VALUE"""),"PADRE HURTADO")</f>
        <v>PADRE HURTADO</v>
      </c>
    </row>
    <row r="8063" spans="1:4">
      <c r="A8063" s="7">
        <f ca="1">IFERROR(__xludf.DUMMYFUNCTION("""COMPUTED_VALUE"""),44678)</f>
        <v>44678</v>
      </c>
      <c r="B8063" s="6" t="str">
        <f ca="1">IFERROR(__xludf.DUMMYFUNCTION("""COMPUTED_VALUE"""),"-33.873386,-70.877202")</f>
        <v>-33.873386,-70.877202</v>
      </c>
      <c r="C8063" s="6" t="str">
        <f ca="1">IFERROR(__xludf.DUMMYFUNCTION("""COMPUTED_VALUE"""),"MIGUEL LETELIER SITIO 5")</f>
        <v>MIGUEL LETELIER SITIO 5</v>
      </c>
      <c r="D8063" s="6" t="str">
        <f ca="1">IFERROR(__xludf.DUMMYFUNCTION("""COMPUTED_VALUE"""),"PAINE")</f>
        <v>PAINE</v>
      </c>
    </row>
    <row r="8064" spans="1:4">
      <c r="A8064" s="7">
        <f ca="1">IFERROR(__xludf.DUMMYFUNCTION("""COMPUTED_VALUE"""),44678)</f>
        <v>44678</v>
      </c>
      <c r="B8064" s="6" t="str">
        <f ca="1">IFERROR(__xludf.DUMMYFUNCTION("""COMPUTED_VALUE"""),"-33.806413,-70.725743")</f>
        <v>-33.806413,-70.725743</v>
      </c>
      <c r="C8064" s="6" t="str">
        <f ca="1">IFERROR(__xludf.DUMMYFUNCTION("""COMPUTED_VALUE"""),"CALLE ALEGRE 20")</f>
        <v>CALLE ALEGRE 20</v>
      </c>
      <c r="D8064" s="6" t="str">
        <f ca="1">IFERROR(__xludf.DUMMYFUNCTION("""COMPUTED_VALUE"""),"PAINE")</f>
        <v>PAINE</v>
      </c>
    </row>
    <row r="8065" spans="1:4">
      <c r="A8065" s="7">
        <f ca="1">IFERROR(__xludf.DUMMYFUNCTION("""COMPUTED_VALUE"""),44678)</f>
        <v>44678</v>
      </c>
      <c r="B8065" s="6" t="str">
        <f ca="1">IFERROR(__xludf.DUMMYFUNCTION("""COMPUTED_VALUE"""),"-33.807745,-70.732485")</f>
        <v>-33.807745,-70.732485</v>
      </c>
      <c r="C8065" s="6" t="str">
        <f ca="1">IFERROR(__xludf.DUMMYFUNCTION("""COMPUTED_VALUE"""),"DIECIOCHO DE SEPTIEMBRE 662")</f>
        <v>DIECIOCHO DE SEPTIEMBRE 662</v>
      </c>
      <c r="D8065" s="6" t="str">
        <f ca="1">IFERROR(__xludf.DUMMYFUNCTION("""COMPUTED_VALUE"""),"PAINE")</f>
        <v>PAINE</v>
      </c>
    </row>
    <row r="8066" spans="1:4">
      <c r="A8066" s="7">
        <f ca="1">IFERROR(__xludf.DUMMYFUNCTION("""COMPUTED_VALUE"""),44678)</f>
        <v>44678</v>
      </c>
      <c r="B8066" s="6" t="str">
        <f ca="1">IFERROR(__xludf.DUMMYFUNCTION("""COMPUTED_VALUE"""),"-33.853191,-70.734363")</f>
        <v>-33.853191,-70.734363</v>
      </c>
      <c r="C8066" s="6" t="str">
        <f ca="1">IFERROR(__xludf.DUMMYFUNCTION("""COMPUTED_VALUE"""),"LAS ROSAS 41")</f>
        <v>LAS ROSAS 41</v>
      </c>
      <c r="D8066" s="6" t="str">
        <f ca="1">IFERROR(__xludf.DUMMYFUNCTION("""COMPUTED_VALUE"""),"PAINE")</f>
        <v>PAINE</v>
      </c>
    </row>
    <row r="8067" spans="1:4">
      <c r="A8067" s="7">
        <f ca="1">IFERROR(__xludf.DUMMYFUNCTION("""COMPUTED_VALUE"""),44678)</f>
        <v>44678</v>
      </c>
      <c r="B8067" s="6" t="str">
        <f ca="1">IFERROR(__xludf.DUMMYFUNCTION("""COMPUTED_VALUE"""),"-33.818891,-70.742687")</f>
        <v>-33.818891,-70.742687</v>
      </c>
      <c r="C8067" s="6" t="str">
        <f ca="1">IFERROR(__xludf.DUMMYFUNCTION("""COMPUTED_VALUE"""),"DIEGO DE ALMAGRO 95")</f>
        <v>DIEGO DE ALMAGRO 95</v>
      </c>
      <c r="D8067" s="6" t="str">
        <f ca="1">IFERROR(__xludf.DUMMYFUNCTION("""COMPUTED_VALUE"""),"PAINE")</f>
        <v>PAINE</v>
      </c>
    </row>
    <row r="8068" spans="1:4">
      <c r="A8068" s="7">
        <f ca="1">IFERROR(__xludf.DUMMYFUNCTION("""COMPUTED_VALUE"""),44678)</f>
        <v>44678</v>
      </c>
      <c r="B8068" s="6" t="str">
        <f ca="1">IFERROR(__xludf.DUMMYFUNCTION("""COMPUTED_VALUE"""),"-33.817912,-70.741089")</f>
        <v>-33.817912,-70.741089</v>
      </c>
      <c r="C8068" s="6" t="str">
        <f ca="1">IFERROR(__xludf.DUMMYFUNCTION("""COMPUTED_VALUE"""),"ARRECIFE 1411")</f>
        <v>ARRECIFE 1411</v>
      </c>
      <c r="D8068" s="6" t="str">
        <f ca="1">IFERROR(__xludf.DUMMYFUNCTION("""COMPUTED_VALUE"""),"PAINE")</f>
        <v>PAINE</v>
      </c>
    </row>
    <row r="8069" spans="1:4">
      <c r="A8069" s="7">
        <f ca="1">IFERROR(__xludf.DUMMYFUNCTION("""COMPUTED_VALUE"""),44679)</f>
        <v>44679</v>
      </c>
      <c r="B8069" s="8" t="str">
        <f ca="1">IFERROR(__xludf.DUMMYFUNCTION("""COMPUTED_VALUE"""),"-33.8221992, -70.9526077")</f>
        <v>-33.8221992, -70.9526077</v>
      </c>
      <c r="C8069" s="6" t="str">
        <f ca="1">IFERROR(__xludf.DUMMYFUNCTION("""COMPUTED_VALUE"""),"RESERVA CORA RANGUE PARCELA 34")</f>
        <v>RESERVA CORA RANGUE PARCELA 34</v>
      </c>
      <c r="D8069" s="6" t="str">
        <f ca="1">IFERROR(__xludf.DUMMYFUNCTION("""COMPUTED_VALUE"""),"PAINE")</f>
        <v>PAINE</v>
      </c>
    </row>
    <row r="8070" spans="1:4">
      <c r="A8070" s="7">
        <f ca="1">IFERROR(__xludf.DUMMYFUNCTION("""COMPUTED_VALUE"""),44679)</f>
        <v>44679</v>
      </c>
      <c r="B8070" s="8" t="str">
        <f ca="1">IFERROR(__xludf.DUMMYFUNCTION("""COMPUTED_VALUE"""),"-33.7252483, -70.8621233")</f>
        <v>-33.7252483, -70.8621233</v>
      </c>
      <c r="C8070" s="6" t="str">
        <f ca="1">IFERROR(__xludf.DUMMYFUNCTION("""COMPUTED_VALUE"""),"LA PARCELA S/N")</f>
        <v>LA PARCELA S/N</v>
      </c>
      <c r="D8070" s="6" t="str">
        <f ca="1">IFERROR(__xludf.DUMMYFUNCTION("""COMPUTED_VALUE"""),"ISLA DE MAIPO")</f>
        <v>ISLA DE MAIPO</v>
      </c>
    </row>
    <row r="8071" spans="1:4">
      <c r="A8071" s="7">
        <f ca="1">IFERROR(__xludf.DUMMYFUNCTION("""COMPUTED_VALUE"""),44679)</f>
        <v>44679</v>
      </c>
      <c r="B8071" s="8" t="str">
        <f ca="1">IFERROR(__xludf.DUMMYFUNCTION("""COMPUTED_VALUE"""),"-33.7495233, -70.7342367")</f>
        <v>-33.7495233, -70.7342367</v>
      </c>
      <c r="C8071" s="6" t="str">
        <f ca="1">IFERROR(__xludf.DUMMYFUNCTION("""COMPUTED_VALUE"""),"LOS ROSALES 0111")</f>
        <v>LOS ROSALES 0111</v>
      </c>
      <c r="D8071" s="6" t="str">
        <f ca="1">IFERROR(__xludf.DUMMYFUNCTION("""COMPUTED_VALUE"""),"BUIN")</f>
        <v>BUIN</v>
      </c>
    </row>
    <row r="8072" spans="1:4">
      <c r="A8072" s="7">
        <f ca="1">IFERROR(__xludf.DUMMYFUNCTION("""COMPUTED_VALUE"""),44679)</f>
        <v>44679</v>
      </c>
      <c r="B8072" s="8" t="str">
        <f ca="1">IFERROR(__xludf.DUMMYFUNCTION("""COMPUTED_VALUE"""),"-33.8224683, -70.9524483")</f>
        <v>-33.8224683, -70.9524483</v>
      </c>
      <c r="C8072" s="6" t="str">
        <f ca="1">IFERROR(__xludf.DUMMYFUNCTION("""COMPUTED_VALUE"""),"RESERVA CORA SIN NUMERO PARCELA 42")</f>
        <v>RESERVA CORA SIN NUMERO PARCELA 42</v>
      </c>
      <c r="D8072" s="6" t="str">
        <f ca="1">IFERROR(__xludf.DUMMYFUNCTION("""COMPUTED_VALUE"""),"PAINE")</f>
        <v>PAINE</v>
      </c>
    </row>
    <row r="8073" spans="1:4">
      <c r="A8073" s="7">
        <f ca="1">IFERROR(__xludf.DUMMYFUNCTION("""COMPUTED_VALUE"""),44679)</f>
        <v>44679</v>
      </c>
      <c r="B8073" s="8" t="str">
        <f ca="1">IFERROR(__xludf.DUMMYFUNCTION("""COMPUTED_VALUE"""),"-33.7467262, -70.8670857")</f>
        <v>-33.7467262, -70.8670857</v>
      </c>
      <c r="C8073" s="6" t="str">
        <f ca="1">IFERROR(__xludf.DUMMYFUNCTION("""COMPUTED_VALUE"""),"MARIO BARTOLUCCI 100")</f>
        <v>MARIO BARTOLUCCI 100</v>
      </c>
      <c r="D8073" s="6" t="str">
        <f ca="1">IFERROR(__xludf.DUMMYFUNCTION("""COMPUTED_VALUE"""),"ISLA DE MAIPO")</f>
        <v>ISLA DE MAIPO</v>
      </c>
    </row>
    <row r="8074" spans="1:4">
      <c r="A8074" s="7">
        <f ca="1">IFERROR(__xludf.DUMMYFUNCTION("""COMPUTED_VALUE"""),44679)</f>
        <v>44679</v>
      </c>
      <c r="B8074" s="8" t="str">
        <f ca="1">IFERROR(__xludf.DUMMYFUNCTION("""COMPUTED_VALUE"""),"-33.744428, -70.8691054")</f>
        <v>-33.744428, -70.8691054</v>
      </c>
      <c r="C8074" s="6" t="str">
        <f ca="1">IFERROR(__xludf.DUMMYFUNCTION("""COMPUTED_VALUE"""),"SARA RODRIGUEZ ADESMO 360")</f>
        <v>SARA RODRIGUEZ ADESMO 360</v>
      </c>
      <c r="D8074" s="6" t="str">
        <f ca="1">IFERROR(__xludf.DUMMYFUNCTION("""COMPUTED_VALUE"""),"ISLA DE MAIPO")</f>
        <v>ISLA DE MAIPO</v>
      </c>
    </row>
    <row r="8075" spans="1:4">
      <c r="A8075" s="7">
        <f ca="1">IFERROR(__xludf.DUMMYFUNCTION("""COMPUTED_VALUE"""),44679)</f>
        <v>44679</v>
      </c>
      <c r="B8075" s="6" t="str">
        <f ca="1">IFERROR(__xludf.DUMMYFUNCTION("""COMPUTED_VALUE"""),"-33.64982-70.35084")</f>
        <v>-33.64982-70.35084</v>
      </c>
      <c r="C8075" s="6" t="str">
        <f ca="1">IFERROR(__xludf.DUMMYFUNCTION("""COMPUTED_VALUE"""),"CAMINO AL VOLCAN 20776")</f>
        <v>CAMINO AL VOLCAN 20776</v>
      </c>
      <c r="D8075" s="6" t="str">
        <f ca="1">IFERROR(__xludf.DUMMYFUNCTION("""COMPUTED_VALUE"""),"SAN JOSE DE MAIPO")</f>
        <v>SAN JOSE DE MAIPO</v>
      </c>
    </row>
    <row r="8076" spans="1:4">
      <c r="A8076" s="7">
        <f ca="1">IFERROR(__xludf.DUMMYFUNCTION("""COMPUTED_VALUE"""),44679)</f>
        <v>44679</v>
      </c>
      <c r="B8076" s="6" t="str">
        <f ca="1">IFERROR(__xludf.DUMMYFUNCTION("""COMPUTED_VALUE"""),"-33.634915-70.35068")</f>
        <v>-33.634915-70.35068</v>
      </c>
      <c r="C8076" s="6" t="str">
        <f ca="1">IFERROR(__xludf.DUMMYFUNCTION("""COMPUTED_VALUE"""),"AV. EL ESFUERZO 19063")</f>
        <v>AV. EL ESFUERZO 19063</v>
      </c>
      <c r="D8076" s="6" t="str">
        <f ca="1">IFERROR(__xludf.DUMMYFUNCTION("""COMPUTED_VALUE"""),"SAN JOSE DE MAIPO")</f>
        <v>SAN JOSE DE MAIPO</v>
      </c>
    </row>
    <row r="8077" spans="1:4">
      <c r="A8077" s="7">
        <f ca="1">IFERROR(__xludf.DUMMYFUNCTION("""COMPUTED_VALUE"""),44679)</f>
        <v>44679</v>
      </c>
      <c r="B8077" s="6" t="str">
        <f ca="1">IFERROR(__xludf.DUMMYFUNCTION("""COMPUTED_VALUE"""),"-33.814089-70.739702")</f>
        <v>-33.814089-70.739702</v>
      </c>
      <c r="C8077" s="6" t="str">
        <f ca="1">IFERROR(__xludf.DUMMYFUNCTION("""COMPUTED_VALUE"""),"PEREZ CANTO 378")</f>
        <v>PEREZ CANTO 378</v>
      </c>
      <c r="D8077" s="6" t="str">
        <f ca="1">IFERROR(__xludf.DUMMYFUNCTION("""COMPUTED_VALUE"""),"PAINE")</f>
        <v>PAINE</v>
      </c>
    </row>
    <row r="8078" spans="1:4">
      <c r="A8078" s="7">
        <f ca="1">IFERROR(__xludf.DUMMYFUNCTION("""COMPUTED_VALUE"""),44679)</f>
        <v>44679</v>
      </c>
      <c r="B8078" s="6" t="str">
        <f ca="1">IFERROR(__xludf.DUMMYFUNCTION("""COMPUTED_VALUE"""),"-33.813614-70.740396")</f>
        <v>-33.813614-70.740396</v>
      </c>
      <c r="C8078" s="6" t="str">
        <f ca="1">IFERROR(__xludf.DUMMYFUNCTION("""COMPUTED_VALUE"""),"PEREZ CANTO 338")</f>
        <v>PEREZ CANTO 338</v>
      </c>
      <c r="D8078" s="6" t="str">
        <f ca="1">IFERROR(__xludf.DUMMYFUNCTION("""COMPUTED_VALUE"""),"PAINE")</f>
        <v>PAINE</v>
      </c>
    </row>
    <row r="8079" spans="1:4">
      <c r="A8079" s="7">
        <f ca="1">IFERROR(__xludf.DUMMYFUNCTION("""COMPUTED_VALUE"""),44679)</f>
        <v>44679</v>
      </c>
      <c r="B8079" s="6" t="str">
        <f ca="1">IFERROR(__xludf.DUMMYFUNCTION("""COMPUTED_VALUE"""),"-33.677418-71.180011")</f>
        <v>-33.677418-71.180011</v>
      </c>
      <c r="C8079" s="6" t="str">
        <f ca="1">IFERROR(__xludf.DUMMYFUNCTION("""COMPUTED_VALUE"""),"JOSE ARIAS 171")</f>
        <v>JOSE ARIAS 171</v>
      </c>
      <c r="D8079" s="6" t="str">
        <f ca="1">IFERROR(__xludf.DUMMYFUNCTION("""COMPUTED_VALUE"""),"MELIPILLA")</f>
        <v>MELIPILLA</v>
      </c>
    </row>
    <row r="8080" spans="1:4">
      <c r="A8080" s="7">
        <f ca="1">IFERROR(__xludf.DUMMYFUNCTION("""COMPUTED_VALUE"""),44679)</f>
        <v>44679</v>
      </c>
      <c r="B8080" s="6" t="str">
        <f ca="1">IFERROR(__xludf.DUMMYFUNCTION("""COMPUTED_VALUE"""),"-33.665432-71.112621")</f>
        <v>-33.665432-71.112621</v>
      </c>
      <c r="C8080" s="6" t="str">
        <f ca="1">IFERROR(__xludf.DUMMYFUNCTION("""COMPUTED_VALUE"""),"FLORENCIO ASTUDILLO 0141")</f>
        <v>FLORENCIO ASTUDILLO 0141</v>
      </c>
      <c r="D8080" s="6" t="str">
        <f ca="1">IFERROR(__xludf.DUMMYFUNCTION("""COMPUTED_VALUE"""),"MELIPILLA")</f>
        <v>MELIPILLA</v>
      </c>
    </row>
    <row r="8081" spans="1:4">
      <c r="A8081" s="7">
        <f ca="1">IFERROR(__xludf.DUMMYFUNCTION("""COMPUTED_VALUE"""),44679)</f>
        <v>44679</v>
      </c>
      <c r="B8081" s="6" t="str">
        <f ca="1">IFERROR(__xludf.DUMMYFUNCTION("""COMPUTED_VALUE"""),"-33.675415-71.561210")</f>
        <v>-33.675415-71.561210</v>
      </c>
      <c r="C8081" s="6" t="str">
        <f ca="1">IFERROR(__xludf.DUMMYFUNCTION("""COMPUTED_VALUE"""),"P ERASMO CARRASCO 220")</f>
        <v>P ERASMO CARRASCO 220</v>
      </c>
      <c r="D8081" s="6" t="str">
        <f ca="1">IFERROR(__xludf.DUMMYFUNCTION("""COMPUTED_VALUE"""),"MELIPILLA")</f>
        <v>MELIPILLA</v>
      </c>
    </row>
    <row r="8082" spans="1:4">
      <c r="A8082" s="7">
        <f ca="1">IFERROR(__xludf.DUMMYFUNCTION("""COMPUTED_VALUE"""),44679)</f>
        <v>44679</v>
      </c>
      <c r="B8082" s="6" t="str">
        <f ca="1">IFERROR(__xludf.DUMMYFUNCTION("""COMPUTED_VALUE"""),"-33.571451-71.202210")</f>
        <v>-33.571451-71.202210</v>
      </c>
      <c r="C8082" s="6" t="str">
        <f ca="1">IFERROR(__xludf.DUMMYFUNCTION("""COMPUTED_VALUE"""),"LAS CARRERAS 625")</f>
        <v>LAS CARRERAS 625</v>
      </c>
      <c r="D8082" s="6" t="str">
        <f ca="1">IFERROR(__xludf.DUMMYFUNCTION("""COMPUTED_VALUE"""),"MELIPILLA")</f>
        <v>MELIPILLA</v>
      </c>
    </row>
    <row r="8083" spans="1:4">
      <c r="A8083" s="7">
        <f ca="1">IFERROR(__xludf.DUMMYFUNCTION("""COMPUTED_VALUE"""),44679)</f>
        <v>44679</v>
      </c>
      <c r="B8083" s="8" t="str">
        <f ca="1">IFERROR(__xludf.DUMMYFUNCTION("""COMPUTED_VALUE"""),"-33.723114,-70.556013W")</f>
        <v>-33.723114,-70.556013W</v>
      </c>
      <c r="C8083" s="6" t="str">
        <f ca="1">IFERROR(__xludf.DUMMYFUNCTION("""COMPUTED_VALUE"""),"LOS CORRALEROS 31")</f>
        <v>LOS CORRALEROS 31</v>
      </c>
      <c r="D8083" s="6" t="str">
        <f ca="1">IFERROR(__xludf.DUMMYFUNCTION("""COMPUTED_VALUE"""),"PIRQUE")</f>
        <v>PIRQUE</v>
      </c>
    </row>
    <row r="8084" spans="1:4">
      <c r="A8084" s="7">
        <f ca="1">IFERROR(__xludf.DUMMYFUNCTION("""COMPUTED_VALUE"""),44679)</f>
        <v>44679</v>
      </c>
      <c r="B8084" s="8" t="str">
        <f ca="1">IFERROR(__xludf.DUMMYFUNCTION("""COMPUTED_VALUE"""),"-33.717622,-70.565352")</f>
        <v>-33.717622,-70.565352</v>
      </c>
      <c r="C8084" s="6" t="str">
        <f ca="1">IFERROR(__xludf.DUMMYFUNCTION("""COMPUTED_VALUE"""),"CAMINO LAS ENCINAS 135")</f>
        <v>CAMINO LAS ENCINAS 135</v>
      </c>
      <c r="D8084" s="6" t="str">
        <f ca="1">IFERROR(__xludf.DUMMYFUNCTION("""COMPUTED_VALUE"""),"PIRQUE")</f>
        <v>PIRQUE</v>
      </c>
    </row>
    <row r="8085" spans="1:4">
      <c r="A8085" s="7">
        <f ca="1">IFERROR(__xludf.DUMMYFUNCTION("""COMPUTED_VALUE"""),44679)</f>
        <v>44679</v>
      </c>
      <c r="B8085" s="8" t="str">
        <f ca="1">IFERROR(__xludf.DUMMYFUNCTION("""COMPUTED_VALUE"""),"-33.239536,-70.737926")</f>
        <v>-33.239536,-70.737926</v>
      </c>
      <c r="C8085" s="6" t="str">
        <f ca="1">IFERROR(__xludf.DUMMYFUNCTION("""COMPUTED_VALUE"""),"STA MARTA S/N")</f>
        <v>STA MARTA S/N</v>
      </c>
      <c r="D8085" s="6" t="str">
        <f ca="1">IFERROR(__xludf.DUMMYFUNCTION("""COMPUTED_VALUE"""),"COLINA")</f>
        <v>COLINA</v>
      </c>
    </row>
    <row r="8086" spans="1:4">
      <c r="A8086" s="7">
        <f ca="1">IFERROR(__xludf.DUMMYFUNCTION("""COMPUTED_VALUE"""),44679)</f>
        <v>44679</v>
      </c>
      <c r="B8086" s="6" t="str">
        <f ca="1">IFERROR(__xludf.DUMMYFUNCTION("""COMPUTED_VALUE"""),"-33.756555,-70.916742")</f>
        <v>-33.756555,-70.916742</v>
      </c>
      <c r="C8086" s="6" t="str">
        <f ca="1">IFERROR(__xludf.DUMMYFUNCTION("""COMPUTED_VALUE"""),"ACEVEDO 759")</f>
        <v>ACEVEDO 759</v>
      </c>
      <c r="D8086" s="6" t="str">
        <f ca="1">IFERROR(__xludf.DUMMYFUNCTION("""COMPUTED_VALUE"""),"ISLA DE MAIPO")</f>
        <v>ISLA DE MAIPO</v>
      </c>
    </row>
    <row r="8087" spans="1:4">
      <c r="A8087" s="7">
        <f ca="1">IFERROR(__xludf.DUMMYFUNCTION("""COMPUTED_VALUE"""),44679)</f>
        <v>44679</v>
      </c>
      <c r="B8087" s="6" t="str">
        <f ca="1">IFERROR(__xludf.DUMMYFUNCTION("""COMPUTED_VALUE"""),"-33.754559,-70.913944")</f>
        <v>-33.754559,-70.913944</v>
      </c>
      <c r="C8087" s="6" t="str">
        <f ca="1">IFERROR(__xludf.DUMMYFUNCTION("""COMPUTED_VALUE"""),"ACEVEDO 445 L 3")</f>
        <v>ACEVEDO 445 L 3</v>
      </c>
      <c r="D8087" s="6" t="str">
        <f ca="1">IFERROR(__xludf.DUMMYFUNCTION("""COMPUTED_VALUE"""),"ISLA DE MAIPO")</f>
        <v>ISLA DE MAIPO</v>
      </c>
    </row>
    <row r="8088" spans="1:4">
      <c r="A8088" s="7">
        <f ca="1">IFERROR(__xludf.DUMMYFUNCTION("""COMPUTED_VALUE"""),44679)</f>
        <v>44679</v>
      </c>
      <c r="B8088" s="6" t="str">
        <f ca="1">IFERROR(__xludf.DUMMYFUNCTION("""COMPUTED_VALUE"""),"-33.851755,-71.199427")</f>
        <v>-33.851755,-71.199427</v>
      </c>
      <c r="C8088" s="6" t="str">
        <f ca="1">IFERROR(__xludf.DUMMYFUNCTION("""COMPUTED_VALUE"""),"MELIPILLA SECTOR ALTOS DE POPETA 30A")</f>
        <v>MELIPILLA SECTOR ALTOS DE POPETA 30A</v>
      </c>
      <c r="D8088" s="6" t="str">
        <f ca="1">IFERROR(__xludf.DUMMYFUNCTION("""COMPUTED_VALUE"""),"MELIPILLA")</f>
        <v>MELIPILLA</v>
      </c>
    </row>
    <row r="8089" spans="1:4">
      <c r="A8089" s="7">
        <f ca="1">IFERROR(__xludf.DUMMYFUNCTION("""COMPUTED_VALUE"""),44679)</f>
        <v>44679</v>
      </c>
      <c r="B8089" s="8" t="str">
        <f ca="1">IFERROR(__xludf.DUMMYFUNCTION("""COMPUTED_VALUE"""),"-33.844667,-70.370903")</f>
        <v>-33.844667,-70.370903</v>
      </c>
      <c r="C8089" s="6" t="str">
        <f ca="1">IFERROR(__xludf.DUMMYFUNCTION("""COMPUTED_VALUE"""),"LOS MAITENES S/N ")</f>
        <v xml:space="preserve">LOS MAITENES S/N </v>
      </c>
      <c r="D8089" s="6" t="str">
        <f ca="1">IFERROR(__xludf.DUMMYFUNCTION("""COMPUTED_VALUE"""),"MELIPILLA")</f>
        <v>MELIPILLA</v>
      </c>
    </row>
    <row r="8090" spans="1:4">
      <c r="A8090" s="7">
        <f ca="1">IFERROR(__xludf.DUMMYFUNCTION("""COMPUTED_VALUE"""),44679)</f>
        <v>44679</v>
      </c>
      <c r="B8090" s="8" t="str">
        <f ca="1">IFERROR(__xludf.DUMMYFUNCTION("""COMPUTED_VALUE"""),"-33.670274,-70.946084")</f>
        <v>-33.670274,-70.946084</v>
      </c>
      <c r="C8090" s="6" t="str">
        <f ca="1">IFERROR(__xludf.DUMMYFUNCTION("""COMPUTED_VALUE"""),"CAMINO VIEJO 1625")</f>
        <v>CAMINO VIEJO 1625</v>
      </c>
      <c r="D8090" s="6" t="str">
        <f ca="1">IFERROR(__xludf.DUMMYFUNCTION("""COMPUTED_VALUE"""),"TALAGANTE")</f>
        <v>TALAGANTE</v>
      </c>
    </row>
    <row r="8091" spans="1:4">
      <c r="A8091" s="7">
        <f ca="1">IFERROR(__xludf.DUMMYFUNCTION("""COMPUTED_VALUE"""),44679)</f>
        <v>44679</v>
      </c>
      <c r="B8091" s="8" t="str">
        <f ca="1">IFERROR(__xludf.DUMMYFUNCTION("""COMPUTED_VALUE"""),"-33.818155,-70.741836")</f>
        <v>-33.818155,-70.741836</v>
      </c>
      <c r="C8091" s="6" t="str">
        <f ca="1">IFERROR(__xludf.DUMMYFUNCTION("""COMPUTED_VALUE"""),"SAN VICENTE 1186")</f>
        <v>SAN VICENTE 1186</v>
      </c>
      <c r="D8091" s="6" t="str">
        <f ca="1">IFERROR(__xludf.DUMMYFUNCTION("""COMPUTED_VALUE"""),"PAINE")</f>
        <v>PAINE</v>
      </c>
    </row>
    <row r="8092" spans="1:4">
      <c r="A8092" s="7">
        <f ca="1">IFERROR(__xludf.DUMMYFUNCTION("""COMPUTED_VALUE"""),44679)</f>
        <v>44679</v>
      </c>
      <c r="B8092" s="8" t="str">
        <f ca="1">IFERROR(__xludf.DUMMYFUNCTION("""COMPUTED_VALUE"""),"-33.773846,-71.125484")</f>
        <v>-33.773846,-71.125484</v>
      </c>
      <c r="C8092" s="6" t="str">
        <f ca="1">IFERROR(__xludf.DUMMYFUNCTION("""COMPUTED_VALUE"""),"SAN CARLOS DE CHOLQUI S/N")</f>
        <v>SAN CARLOS DE CHOLQUI S/N</v>
      </c>
      <c r="D8092" s="6" t="str">
        <f ca="1">IFERROR(__xludf.DUMMYFUNCTION("""COMPUTED_VALUE"""),"MELIPILLA")</f>
        <v>MELIPILLA</v>
      </c>
    </row>
    <row r="8093" spans="1:4">
      <c r="A8093" s="7">
        <f ca="1">IFERROR(__xludf.DUMMYFUNCTION("""COMPUTED_VALUE"""),44679)</f>
        <v>44679</v>
      </c>
      <c r="B8093" s="8" t="str">
        <f ca="1">IFERROR(__xludf.DUMMYFUNCTION("""COMPUTED_VALUE"""),"-33.72880,-70.749190")</f>
        <v>-33.72880,-70.749190</v>
      </c>
      <c r="C8093" s="6" t="str">
        <f ca="1">IFERROR(__xludf.DUMMYFUNCTION("""COMPUTED_VALUE"""),"LAS MAGNOLIAS 974")</f>
        <v>LAS MAGNOLIAS 974</v>
      </c>
      <c r="D8093" s="6" t="str">
        <f ca="1">IFERROR(__xludf.DUMMYFUNCTION("""COMPUTED_VALUE"""),"BUIN")</f>
        <v>BUIN</v>
      </c>
    </row>
    <row r="8094" spans="1:4">
      <c r="A8094" s="7">
        <f ca="1">IFERROR(__xludf.DUMMYFUNCTION("""COMPUTED_VALUE"""),44679)</f>
        <v>44679</v>
      </c>
      <c r="B8094" s="6" t="str">
        <f ca="1">IFERROR(__xludf.DUMMYFUNCTION("""COMPUTED_VALUE"""),"-33.810884,-70.738515")</f>
        <v>-33.810884,-70.738515</v>
      </c>
      <c r="C8094" s="6" t="str">
        <f ca="1">IFERROR(__xludf.DUMMYFUNCTION("""COMPUTED_VALUE"""),"CUATRO ORIENTE 764")</f>
        <v>CUATRO ORIENTE 764</v>
      </c>
      <c r="D8094" s="6" t="str">
        <f ca="1">IFERROR(__xludf.DUMMYFUNCTION("""COMPUTED_VALUE"""),"PAINE")</f>
        <v>PAINE</v>
      </c>
    </row>
    <row r="8095" spans="1:4">
      <c r="A8095" s="7">
        <f ca="1">IFERROR(__xludf.DUMMYFUNCTION("""COMPUTED_VALUE"""),44679)</f>
        <v>44679</v>
      </c>
      <c r="B8095" s="6" t="str">
        <f ca="1">IFERROR(__xludf.DUMMYFUNCTION("""COMPUTED_VALUE"""),"-33.813183,-70.735026")</f>
        <v>-33.813183,-70.735026</v>
      </c>
      <c r="C8095" s="6" t="str">
        <f ca="1">IFERROR(__xludf.DUMMYFUNCTION("""COMPUTED_VALUE"""),"LOS CEDROS 737")</f>
        <v>LOS CEDROS 737</v>
      </c>
      <c r="D8095" s="6" t="str">
        <f ca="1">IFERROR(__xludf.DUMMYFUNCTION("""COMPUTED_VALUE"""),"PAINE")</f>
        <v>PAINE</v>
      </c>
    </row>
    <row r="8096" spans="1:4">
      <c r="A8096" s="7">
        <f ca="1">IFERROR(__xludf.DUMMYFUNCTION("""COMPUTED_VALUE"""),44679)</f>
        <v>44679</v>
      </c>
      <c r="B8096" s="6" t="str">
        <f ca="1">IFERROR(__xludf.DUMMYFUNCTION("""COMPUTED_VALUE"""),"-33.866148,-70.749585")</f>
        <v>-33.866148,-70.749585</v>
      </c>
      <c r="C8096" s="6" t="str">
        <f ca="1">IFERROR(__xludf.DUMMYFUNCTION("""COMPUTED_VALUE"""),"MANZ. D SITIO 9 SALUD HOSPITAL")</f>
        <v>MANZ. D SITIO 9 SALUD HOSPITAL</v>
      </c>
      <c r="D8096" s="6" t="str">
        <f ca="1">IFERROR(__xludf.DUMMYFUNCTION("""COMPUTED_VALUE"""),"PAINE")</f>
        <v>PAINE</v>
      </c>
    </row>
    <row r="8097" spans="1:4">
      <c r="A8097" s="7">
        <f ca="1">IFERROR(__xludf.DUMMYFUNCTION("""COMPUTED_VALUE"""),44679)</f>
        <v>44679</v>
      </c>
      <c r="B8097" s="6" t="str">
        <f ca="1">IFERROR(__xludf.DUMMYFUNCTION("""COMPUTED_VALUE"""),"-33.866280,-70.749530")</f>
        <v>-33.866280,-70.749530</v>
      </c>
      <c r="C8097" s="6" t="str">
        <f ca="1">IFERROR(__xludf.DUMMYFUNCTION("""COMPUTED_VALUE"""),"MANZ. D SITIO 9 SALUD HOSPITAL")</f>
        <v>MANZ. D SITIO 9 SALUD HOSPITAL</v>
      </c>
      <c r="D8097" s="6" t="str">
        <f ca="1">IFERROR(__xludf.DUMMYFUNCTION("""COMPUTED_VALUE"""),"PAINE")</f>
        <v>PAINE</v>
      </c>
    </row>
    <row r="8098" spans="1:4">
      <c r="A8098" s="7">
        <f ca="1">IFERROR(__xludf.DUMMYFUNCTION("""COMPUTED_VALUE"""),44679)</f>
        <v>44679</v>
      </c>
      <c r="B8098" s="6" t="str">
        <f ca="1">IFERROR(__xludf.DUMMYFUNCTION("""COMPUTED_VALUE"""),"-33.869678,-70.704223")</f>
        <v>-33.869678,-70.704223</v>
      </c>
      <c r="C8098" s="6" t="str">
        <f ca="1">IFERROR(__xludf.DUMMYFUNCTION("""COMPUTED_VALUE"""),"AV. ROMERO PARCELA 84")</f>
        <v>AV. ROMERO PARCELA 84</v>
      </c>
      <c r="D8098" s="6" t="str">
        <f ca="1">IFERROR(__xludf.DUMMYFUNCTION("""COMPUTED_VALUE"""),"PAINE")</f>
        <v>PAINE</v>
      </c>
    </row>
    <row r="8099" spans="1:4">
      <c r="A8099" s="7">
        <f ca="1">IFERROR(__xludf.DUMMYFUNCTION("""COMPUTED_VALUE"""),44679)</f>
        <v>44679</v>
      </c>
      <c r="B8099" s="6" t="str">
        <f ca="1">IFERROR(__xludf.DUMMYFUNCTION("""COMPUTED_VALUE"""),"-33.872095,-70.731341")</f>
        <v>-33.872095,-70.731341</v>
      </c>
      <c r="C8099" s="6" t="str">
        <f ca="1">IFERROR(__xludf.DUMMYFUNCTION("""COMPUTED_VALUE"""),"LAS ACACIAS 148")</f>
        <v>LAS ACACIAS 148</v>
      </c>
      <c r="D8099" s="6" t="str">
        <f ca="1">IFERROR(__xludf.DUMMYFUNCTION("""COMPUTED_VALUE"""),"PAINE")</f>
        <v>PAINE</v>
      </c>
    </row>
    <row r="8100" spans="1:4">
      <c r="A8100" s="7">
        <f ca="1">IFERROR(__xludf.DUMMYFUNCTION("""COMPUTED_VALUE"""),44679)</f>
        <v>44679</v>
      </c>
      <c r="B8100" s="6" t="str">
        <f ca="1">IFERROR(__xludf.DUMMYFUNCTION("""COMPUTED_VALUE"""),"-33.8535714,-70.7270504")</f>
        <v>-33.8535714,-70.7270504</v>
      </c>
      <c r="C8100" s="6" t="str">
        <f ca="1">IFERROR(__xludf.DUMMYFUNCTION("""COMPUTED_VALUE"""),"LA ARMONIA 58")</f>
        <v>LA ARMONIA 58</v>
      </c>
      <c r="D8100" s="6" t="str">
        <f ca="1">IFERROR(__xludf.DUMMYFUNCTION("""COMPUTED_VALUE"""),"PAINE")</f>
        <v>PAINE</v>
      </c>
    </row>
    <row r="8101" spans="1:4">
      <c r="A8101" s="7">
        <f ca="1">IFERROR(__xludf.DUMMYFUNCTION("""COMPUTED_VALUE"""),44679)</f>
        <v>44679</v>
      </c>
      <c r="B8101" s="6" t="str">
        <f ca="1">IFERROR(__xludf.DUMMYFUNCTION("""COMPUTED_VALUE"""),"-33.8092600,-70.7306700")</f>
        <v>-33.8092600,-70.7306700</v>
      </c>
      <c r="C8101" s="6" t="str">
        <f ca="1">IFERROR(__xludf.DUMMYFUNCTION("""COMPUTED_VALUE"""),"DEL VILLAR 421")</f>
        <v>DEL VILLAR 421</v>
      </c>
      <c r="D8101" s="6" t="str">
        <f ca="1">IFERROR(__xludf.DUMMYFUNCTION("""COMPUTED_VALUE"""),"PAINE")</f>
        <v>PAINE</v>
      </c>
    </row>
    <row r="8102" spans="1:4">
      <c r="A8102" s="7">
        <f ca="1">IFERROR(__xludf.DUMMYFUNCTION("""COMPUTED_VALUE"""),44679)</f>
        <v>44679</v>
      </c>
      <c r="B8102" s="6" t="str">
        <f ca="1">IFERROR(__xludf.DUMMYFUNCTION("""COMPUTED_VALUE"""),"-33.8039784,-70.7145618")</f>
        <v>-33.8039784,-70.7145618</v>
      </c>
      <c r="C8102" s="6" t="str">
        <f ca="1">IFERROR(__xludf.DUMMYFUNCTION("""COMPUTED_VALUE"""),"PASAJE SEIS 328")</f>
        <v>PASAJE SEIS 328</v>
      </c>
      <c r="D8102" s="6" t="str">
        <f ca="1">IFERROR(__xludf.DUMMYFUNCTION("""COMPUTED_VALUE"""),"PAINE")</f>
        <v>PAINE</v>
      </c>
    </row>
    <row r="8103" spans="1:4">
      <c r="A8103" s="7">
        <f ca="1">IFERROR(__xludf.DUMMYFUNCTION("""COMPUTED_VALUE"""),44680)</f>
        <v>44680</v>
      </c>
      <c r="B8103" s="8" t="str">
        <f ca="1">IFERROR(__xludf.DUMMYFUNCTION("""COMPUTED_VALUE"""),"-33.8422311, -70.6378947")</f>
        <v>-33.8422311, -70.6378947</v>
      </c>
      <c r="C8103" s="6" t="str">
        <f ca="1">IFERROR(__xludf.DUMMYFUNCTION("""COMPUTED_VALUE"""),"SAN FRANCISCO DE HUELQUEN")</f>
        <v>SAN FRANCISCO DE HUELQUEN</v>
      </c>
      <c r="D8103" s="6" t="str">
        <f ca="1">IFERROR(__xludf.DUMMYFUNCTION("""COMPUTED_VALUE"""),"PAINE")</f>
        <v>PAINE</v>
      </c>
    </row>
    <row r="8104" spans="1:4">
      <c r="A8104" s="7">
        <f ca="1">IFERROR(__xludf.DUMMYFUNCTION("""COMPUTED_VALUE"""),44680)</f>
        <v>44680</v>
      </c>
      <c r="B8104" s="8" t="str">
        <f ca="1">IFERROR(__xludf.DUMMYFUNCTION("""COMPUTED_VALUE"""),"-33.7233774, -70.738309")</f>
        <v>-33.7233774, -70.738309</v>
      </c>
      <c r="C8104" s="6" t="str">
        <f ca="1">IFERROR(__xludf.DUMMYFUNCTION("""COMPUTED_VALUE"""),"PASAJE CUATRO 15")</f>
        <v>PASAJE CUATRO 15</v>
      </c>
      <c r="D8104" s="6" t="str">
        <f ca="1">IFERROR(__xludf.DUMMYFUNCTION("""COMPUTED_VALUE"""),"BUIN")</f>
        <v>BUIN</v>
      </c>
    </row>
    <row r="8105" spans="1:4">
      <c r="A8105" s="7">
        <f ca="1">IFERROR(__xludf.DUMMYFUNCTION("""COMPUTED_VALUE"""),44680)</f>
        <v>44680</v>
      </c>
      <c r="B8105" s="8" t="str">
        <f ca="1">IFERROR(__xludf.DUMMYFUNCTION("""COMPUTED_VALUE"""),"-33.5971166, -71.2194891")</f>
        <v>-33.5971166, -71.2194891</v>
      </c>
      <c r="C8105" s="6" t="str">
        <f ca="1">IFERROR(__xludf.DUMMYFUNCTION("""COMPUTED_VALUE"""),"BALLENA S/N")</f>
        <v>BALLENA S/N</v>
      </c>
      <c r="D8105" s="6" t="str">
        <f ca="1">IFERROR(__xludf.DUMMYFUNCTION("""COMPUTED_VALUE"""),"MELIPILLA")</f>
        <v>MELIPILLA</v>
      </c>
    </row>
    <row r="8106" spans="1:4">
      <c r="A8106" s="7">
        <f ca="1">IFERROR(__xludf.DUMMYFUNCTION("""COMPUTED_VALUE"""),44680)</f>
        <v>44680</v>
      </c>
      <c r="B8106" s="8" t="str">
        <f ca="1">IFERROR(__xludf.DUMMYFUNCTION("""COMPUTED_VALUE"""),"-33.7294845, -70.7719768")</f>
        <v>-33.7294845, -70.7719768</v>
      </c>
      <c r="C8106" s="6" t="str">
        <f ca="1">IFERROR(__xludf.DUMMYFUNCTION("""COMPUTED_VALUE"""),"ALBILIO MEDIA 2873")</f>
        <v>ALBILIO MEDIA 2873</v>
      </c>
      <c r="D8106" s="6" t="str">
        <f ca="1">IFERROR(__xludf.DUMMYFUNCTION("""COMPUTED_VALUE"""),"BUIN")</f>
        <v>BUIN</v>
      </c>
    </row>
    <row r="8107" spans="1:4">
      <c r="A8107" s="7">
        <f ca="1">IFERROR(__xludf.DUMMYFUNCTION("""COMPUTED_VALUE"""),44680)</f>
        <v>44680</v>
      </c>
      <c r="B8107" s="8" t="str">
        <f ca="1">IFERROR(__xludf.DUMMYFUNCTION("""COMPUTED_VALUE"""),"-33.6695174, -70.6659006")</f>
        <v>-33.6695174, -70.6659006</v>
      </c>
      <c r="C8107" s="6" t="str">
        <f ca="1">IFERROR(__xludf.DUMMYFUNCTION("""COMPUTED_VALUE"""),"CAMINO LOS MORROS 6D")</f>
        <v>CAMINO LOS MORROS 6D</v>
      </c>
      <c r="D8107" s="6" t="str">
        <f ca="1">IFERROR(__xludf.DUMMYFUNCTION("""COMPUTED_VALUE"""),"BUIN")</f>
        <v>BUIN</v>
      </c>
    </row>
    <row r="8108" spans="1:4">
      <c r="A8108" s="7">
        <f ca="1">IFERROR(__xludf.DUMMYFUNCTION("""COMPUTED_VALUE"""),44680)</f>
        <v>44680</v>
      </c>
      <c r="B8108" s="6" t="str">
        <f ca="1">IFERROR(__xludf.DUMMYFUNCTION("""COMPUTED_VALUE"""),"-33.72105-70.54670")</f>
        <v>-33.72105-70.54670</v>
      </c>
      <c r="C8108" s="6" t="str">
        <f ca="1">IFERROR(__xludf.DUMMYFUNCTION("""COMPUTED_VALUE"""),"CAMINO LA ESCUELA S/N")</f>
        <v>CAMINO LA ESCUELA S/N</v>
      </c>
      <c r="D8108" s="6" t="str">
        <f ca="1">IFERROR(__xludf.DUMMYFUNCTION("""COMPUTED_VALUE"""),"PIRQUE")</f>
        <v>PIRQUE</v>
      </c>
    </row>
    <row r="8109" spans="1:4">
      <c r="A8109" s="7">
        <f ca="1">IFERROR(__xludf.DUMMYFUNCTION("""COMPUTED_VALUE"""),44680)</f>
        <v>44680</v>
      </c>
      <c r="B8109" s="6" t="str">
        <f ca="1">IFERROR(__xludf.DUMMYFUNCTION("""COMPUTED_VALUE"""),"-33.588245-70.875990")</f>
        <v>-33.588245-70.875990</v>
      </c>
      <c r="C8109" s="6" t="str">
        <f ca="1">IFERROR(__xludf.DUMMYFUNCTION("""COMPUTED_VALUE"""),"LAS ACACIAS 3767")</f>
        <v>LAS ACACIAS 3767</v>
      </c>
      <c r="D8109" s="6" t="str">
        <f ca="1">IFERROR(__xludf.DUMMYFUNCTION("""COMPUTED_VALUE"""),"PEÑAFLOR")</f>
        <v>PEÑAFLOR</v>
      </c>
    </row>
    <row r="8110" spans="1:4">
      <c r="A8110" s="7">
        <f ca="1">IFERROR(__xludf.DUMMYFUNCTION("""COMPUTED_VALUE"""),44680)</f>
        <v>44680</v>
      </c>
      <c r="B8110" s="6" t="str">
        <f ca="1">IFERROR(__xludf.DUMMYFUNCTION("""COMPUTED_VALUE"""),"-33.594645-70.868600")</f>
        <v>-33.594645-70.868600</v>
      </c>
      <c r="C8110" s="6" t="str">
        <f ca="1">IFERROR(__xludf.DUMMYFUNCTION("""COMPUTED_VALUE"""),"LOS PAJARITOS 2575")</f>
        <v>LOS PAJARITOS 2575</v>
      </c>
      <c r="D8110" s="6" t="str">
        <f ca="1">IFERROR(__xludf.DUMMYFUNCTION("""COMPUTED_VALUE"""),"PEÑAFLOR")</f>
        <v>PEÑAFLOR</v>
      </c>
    </row>
    <row r="8111" spans="1:4">
      <c r="A8111" s="7">
        <f ca="1">IFERROR(__xludf.DUMMYFUNCTION("""COMPUTED_VALUE"""),44680)</f>
        <v>44680</v>
      </c>
      <c r="B8111" s="6" t="str">
        <f ca="1">IFERROR(__xludf.DUMMYFUNCTION("""COMPUTED_VALUE"""),"-33.70962-70.577240")</f>
        <v>-33.70962-70.577240</v>
      </c>
      <c r="C8111" s="6" t="str">
        <f ca="1">IFERROR(__xludf.DUMMYFUNCTION("""COMPUTED_VALUE"""),"LOS QUIYALLES 5 B")</f>
        <v>LOS QUIYALLES 5 B</v>
      </c>
      <c r="D8111" s="6" t="str">
        <f ca="1">IFERROR(__xludf.DUMMYFUNCTION("""COMPUTED_VALUE"""),"PIRQUE")</f>
        <v>PIRQUE</v>
      </c>
    </row>
    <row r="8112" spans="1:4">
      <c r="A8112" s="7">
        <f ca="1">IFERROR(__xludf.DUMMYFUNCTION("""COMPUTED_VALUE"""),44680)</f>
        <v>44680</v>
      </c>
      <c r="B8112" s="8" t="str">
        <f ca="1">IFERROR(__xludf.DUMMYFUNCTION("""COMPUTED_VALUE"""),"-33.181675,-70.667671")</f>
        <v>-33.181675,-70.667671</v>
      </c>
      <c r="C8112" s="6" t="str">
        <f ca="1">IFERROR(__xludf.DUMMYFUNCTION("""COMPUTED_VALUE"""),"EDUARDO BARRIO")</f>
        <v>EDUARDO BARRIO</v>
      </c>
      <c r="D8112" s="6" t="str">
        <f ca="1">IFERROR(__xludf.DUMMYFUNCTION("""COMPUTED_VALUE"""),"COLINA")</f>
        <v>COLINA</v>
      </c>
    </row>
    <row r="8113" spans="1:4">
      <c r="A8113" s="7">
        <f ca="1">IFERROR(__xludf.DUMMYFUNCTION("""COMPUTED_VALUE"""),44680)</f>
        <v>44680</v>
      </c>
      <c r="B8113" s="8" t="str">
        <f ca="1">IFERROR(__xludf.DUMMYFUNCTION("""COMPUTED_VALUE"""),"-33.67635,-70.581180")</f>
        <v>-33.67635,-70.581180</v>
      </c>
      <c r="C8113" s="6" t="str">
        <f ca="1">IFERROR(__xludf.DUMMYFUNCTION("""COMPUTED_VALUE"""),"AV LAS MARGARITAS 1228")</f>
        <v>AV LAS MARGARITAS 1228</v>
      </c>
      <c r="D8113" s="6" t="str">
        <f ca="1">IFERROR(__xludf.DUMMYFUNCTION("""COMPUTED_VALUE"""),"PIRQUE")</f>
        <v>PIRQUE</v>
      </c>
    </row>
    <row r="8114" spans="1:4">
      <c r="A8114" s="7">
        <f ca="1">IFERROR(__xludf.DUMMYFUNCTION("""COMPUTED_VALUE"""),44680)</f>
        <v>44680</v>
      </c>
      <c r="B8114" s="8" t="str">
        <f ca="1">IFERROR(__xludf.DUMMYFUNCTION("""COMPUTED_VALUE"""),"-33.710736,-70.555108")</f>
        <v>-33.710736,-70.555108</v>
      </c>
      <c r="C8114" s="6" t="str">
        <f ca="1">IFERROR(__xludf.DUMMYFUNCTION("""COMPUTED_VALUE"""),"CALLE NUEVA 43 A")</f>
        <v>CALLE NUEVA 43 A</v>
      </c>
      <c r="D8114" s="6" t="str">
        <f ca="1">IFERROR(__xludf.DUMMYFUNCTION("""COMPUTED_VALUE"""),"PIRQUE")</f>
        <v>PIRQUE</v>
      </c>
    </row>
    <row r="8115" spans="1:4">
      <c r="A8115" s="7">
        <f ca="1">IFERROR(__xludf.DUMMYFUNCTION("""COMPUTED_VALUE"""),44680)</f>
        <v>44680</v>
      </c>
      <c r="B8115" s="6" t="str">
        <f ca="1">IFERROR(__xludf.DUMMYFUNCTION("""COMPUTED_VALUE"""),"-33.750016,-70.900165")</f>
        <v>-33.750016,-70.900165</v>
      </c>
      <c r="C8115" s="6" t="str">
        <f ca="1">IFERROR(__xludf.DUMMYFUNCTION("""COMPUTED_VALUE"""),"PA VIVA CHILE 933")</f>
        <v>PA VIVA CHILE 933</v>
      </c>
      <c r="D8115" s="6" t="str">
        <f ca="1">IFERROR(__xludf.DUMMYFUNCTION("""COMPUTED_VALUE"""),"ISLA DE MAIPO")</f>
        <v>ISLA DE MAIPO</v>
      </c>
    </row>
    <row r="8116" spans="1:4">
      <c r="A8116" s="7">
        <f ca="1">IFERROR(__xludf.DUMMYFUNCTION("""COMPUTED_VALUE"""),44680)</f>
        <v>44680</v>
      </c>
      <c r="B8116" s="6" t="str">
        <f ca="1">IFERROR(__xludf.DUMMYFUNCTION("""COMPUTED_VALUE"""),"-33.862161,-70.720111")</f>
        <v>-33.862161,-70.720111</v>
      </c>
      <c r="C8116" s="6" t="str">
        <f ca="1">IFERROR(__xludf.DUMMYFUNCTION("""COMPUTED_VALUE"""),"AV ROMERO P 101 LOTE A3 C KENNEDY")</f>
        <v>AV ROMERO P 101 LOTE A3 C KENNEDY</v>
      </c>
      <c r="D8116" s="6" t="str">
        <f ca="1">IFERROR(__xludf.DUMMYFUNCTION("""COMPUTED_VALUE"""),"PAINE")</f>
        <v>PAINE</v>
      </c>
    </row>
    <row r="8117" spans="1:4">
      <c r="A8117" s="7">
        <f ca="1">IFERROR(__xludf.DUMMYFUNCTION("""COMPUTED_VALUE"""),44680)</f>
        <v>44680</v>
      </c>
      <c r="B8117" s="8" t="str">
        <f ca="1">IFERROR(__xludf.DUMMYFUNCTION("""COMPUTED_VALUE"""),"-33.759768,-70.746281")</f>
        <v>-33.759768,-70.746281</v>
      </c>
      <c r="C8117" s="6" t="str">
        <f ca="1">IFERROR(__xludf.DUMMYFUNCTION("""COMPUTED_VALUE"""),"CERVERA PARCELA 9 LINDEROS ")</f>
        <v xml:space="preserve">CERVERA PARCELA 9 LINDEROS </v>
      </c>
      <c r="D8117" s="6" t="str">
        <f ca="1">IFERROR(__xludf.DUMMYFUNCTION("""COMPUTED_VALUE"""),"BUIN")</f>
        <v>BUIN</v>
      </c>
    </row>
    <row r="8118" spans="1:4">
      <c r="A8118" s="7">
        <f ca="1">IFERROR(__xludf.DUMMYFUNCTION("""COMPUTED_VALUE"""),44680)</f>
        <v>44680</v>
      </c>
      <c r="B8118" s="8" t="str">
        <f ca="1">IFERROR(__xludf.DUMMYFUNCTION("""COMPUTED_VALUE"""),"-33.794616,-70.735857")</f>
        <v>-33.794616,-70.735857</v>
      </c>
      <c r="C8118" s="6" t="str">
        <f ca="1">IFERROR(__xludf.DUMMYFUNCTION("""COMPUTED_VALUE"""),"LAS ACACIAS 327")</f>
        <v>LAS ACACIAS 327</v>
      </c>
      <c r="D8118" s="6" t="str">
        <f ca="1">IFERROR(__xludf.DUMMYFUNCTION("""COMPUTED_VALUE"""),"PAINE")</f>
        <v>PAINE</v>
      </c>
    </row>
    <row r="8119" spans="1:4">
      <c r="A8119" s="7">
        <f ca="1">IFERROR(__xludf.DUMMYFUNCTION("""COMPUTED_VALUE"""),44680)</f>
        <v>44680</v>
      </c>
      <c r="B8119" s="8" t="str">
        <f ca="1">IFERROR(__xludf.DUMMYFUNCTION("""COMPUTED_VALUE"""),"-33.794616,-70.735858")</f>
        <v>-33.794616,-70.735858</v>
      </c>
      <c r="C8119" s="6" t="str">
        <f ca="1">IFERROR(__xludf.DUMMYFUNCTION("""COMPUTED_VALUE"""),"LAS ACACIAS 328")</f>
        <v>LAS ACACIAS 328</v>
      </c>
      <c r="D8119" s="6" t="str">
        <f ca="1">IFERROR(__xludf.DUMMYFUNCTION("""COMPUTED_VALUE"""),"PAINE")</f>
        <v>PAINE</v>
      </c>
    </row>
    <row r="8120" spans="1:4">
      <c r="A8120" s="7">
        <f ca="1">IFERROR(__xludf.DUMMYFUNCTION("""COMPUTED_VALUE"""),44680)</f>
        <v>44680</v>
      </c>
      <c r="B8120" s="8" t="str">
        <f ca="1">IFERROR(__xludf.DUMMYFUNCTION("""COMPUTED_VALUE"""),"-33.759768,-70.746281")</f>
        <v>-33.759768,-70.746281</v>
      </c>
      <c r="C8120" s="6" t="str">
        <f ca="1">IFERROR(__xludf.DUMMYFUNCTION("""COMPUTED_VALUE"""),"CERVERA PARCELA 9 LINDEROS ")</f>
        <v xml:space="preserve">CERVERA PARCELA 9 LINDEROS </v>
      </c>
      <c r="D8120" s="6" t="str">
        <f ca="1">IFERROR(__xludf.DUMMYFUNCTION("""COMPUTED_VALUE"""),"BUIN")</f>
        <v>BUIN</v>
      </c>
    </row>
    <row r="8121" spans="1:4">
      <c r="A8121" s="7">
        <f ca="1">IFERROR(__xludf.DUMMYFUNCTION("""COMPUTED_VALUE"""),44680)</f>
        <v>44680</v>
      </c>
      <c r="B8121" s="6" t="str">
        <f ca="1">IFERROR(__xludf.DUMMYFUNCTION("""COMPUTED_VALUE"""),"-33.813647,-70.737807")</f>
        <v>-33.813647,-70.737807</v>
      </c>
      <c r="C8121" s="6" t="str">
        <f ca="1">IFERROR(__xludf.DUMMYFUNCTION("""COMPUTED_VALUE"""),"GALVARINO 499")</f>
        <v>GALVARINO 499</v>
      </c>
      <c r="D8121" s="6" t="str">
        <f ca="1">IFERROR(__xludf.DUMMYFUNCTION("""COMPUTED_VALUE"""),"PAINE")</f>
        <v>PAINE</v>
      </c>
    </row>
    <row r="8122" spans="1:4">
      <c r="A8122" s="7">
        <f ca="1">IFERROR(__xludf.DUMMYFUNCTION("""COMPUTED_VALUE"""),44680)</f>
        <v>44680</v>
      </c>
      <c r="B8122" s="6" t="str">
        <f ca="1">IFERROR(__xludf.DUMMYFUNCTION("""COMPUTED_VALUE"""),"-33.873321,-70.877290")</f>
        <v>-33.873321,-70.877290</v>
      </c>
      <c r="C8122" s="6" t="str">
        <f ca="1">IFERROR(__xludf.DUMMYFUNCTION("""COMPUTED_VALUE"""),"MIGUEL LETELIER ST 5")</f>
        <v>MIGUEL LETELIER ST 5</v>
      </c>
      <c r="D8122" s="6" t="str">
        <f ca="1">IFERROR(__xludf.DUMMYFUNCTION("""COMPUTED_VALUE"""),"PAINE")</f>
        <v>PAINE</v>
      </c>
    </row>
    <row r="8123" spans="1:4">
      <c r="A8123" s="7">
        <f ca="1">IFERROR(__xludf.DUMMYFUNCTION("""COMPUTED_VALUE"""),44680)</f>
        <v>44680</v>
      </c>
      <c r="B8123" s="6" t="str">
        <f ca="1">IFERROR(__xludf.DUMMYFUNCTION("""COMPUTED_VALUE"""),"-33.805111,-70.715028")</f>
        <v>-33.805111,-70.715028</v>
      </c>
      <c r="C8123" s="6" t="str">
        <f ca="1">IFERROR(__xludf.DUMMYFUNCTION("""COMPUTED_VALUE"""),"DIECIOCHO DE SEPTIEMBRE 2035")</f>
        <v>DIECIOCHO DE SEPTIEMBRE 2035</v>
      </c>
      <c r="D8123" s="6" t="str">
        <f ca="1">IFERROR(__xludf.DUMMYFUNCTION("""COMPUTED_VALUE"""),"PAINE")</f>
        <v>PAINE</v>
      </c>
    </row>
    <row r="8124" spans="1:4">
      <c r="A8124" s="7">
        <f ca="1">IFERROR(__xludf.DUMMYFUNCTION("""COMPUTED_VALUE"""),44680)</f>
        <v>44680</v>
      </c>
      <c r="B8124" s="6" t="str">
        <f ca="1">IFERROR(__xludf.DUMMYFUNCTION("""COMPUTED_VALUE"""),"-33.873612,-70.741058")</f>
        <v>-33.873612,-70.741058</v>
      </c>
      <c r="C8124" s="6" t="str">
        <f ca="1">IFERROR(__xludf.DUMMYFUNCTION("""COMPUTED_VALUE"""),"LAS BODEGAS SUR HUERTO 6")</f>
        <v>LAS BODEGAS SUR HUERTO 6</v>
      </c>
      <c r="D8124" s="6" t="str">
        <f ca="1">IFERROR(__xludf.DUMMYFUNCTION("""COMPUTED_VALUE"""),"PAINE")</f>
        <v>PAINE</v>
      </c>
    </row>
    <row r="8125" spans="1:4">
      <c r="A8125" s="7">
        <f ca="1">IFERROR(__xludf.DUMMYFUNCTION("""COMPUTED_VALUE"""),44680)</f>
        <v>44680</v>
      </c>
      <c r="B8125" s="6" t="str">
        <f ca="1">IFERROR(__xludf.DUMMYFUNCTION("""COMPUTED_VALUE"""),"-33.8053556,-70.7390807")</f>
        <v>-33.8053556,-70.7390807</v>
      </c>
      <c r="C8125" s="6" t="str">
        <f ca="1">IFERROR(__xludf.DUMMYFUNCTION("""COMPUTED_VALUE"""),"ACCESO1 178")</f>
        <v>ACCESO1 178</v>
      </c>
      <c r="D8125" s="6" t="str">
        <f ca="1">IFERROR(__xludf.DUMMYFUNCTION("""COMPUTED_VALUE"""),"PAINE")</f>
        <v>PAINE</v>
      </c>
    </row>
    <row r="8126" spans="1:4">
      <c r="A8126" s="7">
        <f ca="1">IFERROR(__xludf.DUMMYFUNCTION("""COMPUTED_VALUE"""),44680)</f>
        <v>44680</v>
      </c>
      <c r="B8126" s="6" t="str">
        <f ca="1">IFERROR(__xludf.DUMMYFUNCTION("""COMPUTED_VALUE"""),"-33.7979399,-70.6810800")</f>
        <v>-33.7979399,-70.6810800</v>
      </c>
      <c r="C8126" s="6" t="str">
        <f ca="1">IFERROR(__xludf.DUMMYFUNCTION("""COMPUTED_VALUE"""),"COÑARIPE 63")</f>
        <v>COÑARIPE 63</v>
      </c>
      <c r="D8126" s="6" t="str">
        <f ca="1">IFERROR(__xludf.DUMMYFUNCTION("""COMPUTED_VALUE"""),"PAINE")</f>
        <v>PAINE</v>
      </c>
    </row>
    <row r="8127" spans="1:4">
      <c r="A8127" s="7">
        <f ca="1">IFERROR(__xludf.DUMMYFUNCTION("""COMPUTED_VALUE"""),44680)</f>
        <v>44680</v>
      </c>
      <c r="B8127" s="6" t="str">
        <f ca="1">IFERROR(__xludf.DUMMYFUNCTION("""COMPUTED_VALUE"""),"-33.817900,-70.738974")</f>
        <v>-33.817900,-70.738974</v>
      </c>
      <c r="C8127" s="6" t="str">
        <f ca="1">IFERROR(__xludf.DUMMYFUNCTION("""COMPUTED_VALUE"""),"ALGARROBO 322")</f>
        <v>ALGARROBO 322</v>
      </c>
      <c r="D8127" s="6" t="str">
        <f ca="1">IFERROR(__xludf.DUMMYFUNCTION("""COMPUTED_VALUE"""),"PAINE")</f>
        <v>PAINE</v>
      </c>
    </row>
    <row r="8128" spans="1:4">
      <c r="A8128" s="7">
        <f ca="1">IFERROR(__xludf.DUMMYFUNCTION("""COMPUTED_VALUE"""),44680)</f>
        <v>44680</v>
      </c>
      <c r="B8128" s="6" t="str">
        <f ca="1">IFERROR(__xludf.DUMMYFUNCTION("""COMPUTED_VALUE"""),"-33.8555460,-70.7409926")</f>
        <v>-33.8555460,-70.7409926</v>
      </c>
      <c r="C8128" s="6" t="str">
        <f ca="1">IFERROR(__xludf.DUMMYFUNCTION("""COMPUTED_VALUE"""),"AV. ROMERO PARCELA 29")</f>
        <v>AV. ROMERO PARCELA 29</v>
      </c>
      <c r="D8128" s="6" t="str">
        <f ca="1">IFERROR(__xludf.DUMMYFUNCTION("""COMPUTED_VALUE"""),"PAINE")</f>
        <v>PAINE</v>
      </c>
    </row>
    <row r="8129" spans="1:4">
      <c r="A8129" s="7">
        <f ca="1">IFERROR(__xludf.DUMMYFUNCTION("""COMPUTED_VALUE"""),44680)</f>
        <v>44680</v>
      </c>
      <c r="B8129" s="6" t="str">
        <f ca="1">IFERROR(__xludf.DUMMYFUNCTION("""COMPUTED_VALUE"""),"-33.819220,-70.740427")</f>
        <v>-33.819220,-70.740427</v>
      </c>
      <c r="C8129" s="6" t="str">
        <f ca="1">IFERROR(__xludf.DUMMYFUNCTION("""COMPUTED_VALUE"""),"ANTILLAS 1510")</f>
        <v>ANTILLAS 1510</v>
      </c>
      <c r="D8129" s="6" t="str">
        <f ca="1">IFERROR(__xludf.DUMMYFUNCTION("""COMPUTED_VALUE"""),"PAINE")</f>
        <v>PAINE</v>
      </c>
    </row>
    <row r="8130" spans="1:4">
      <c r="A8130" s="7">
        <f ca="1">IFERROR(__xludf.DUMMYFUNCTION("""COMPUTED_VALUE"""),44681)</f>
        <v>44681</v>
      </c>
      <c r="B8130" s="6" t="str">
        <f ca="1">IFERROR(__xludf.DUMMYFUNCTION("""COMPUTED_VALUE"""),"-33.813445-70.740468")</f>
        <v>-33.813445-70.740468</v>
      </c>
      <c r="C8130" s="6" t="str">
        <f ca="1">IFERROR(__xludf.DUMMYFUNCTION("""COMPUTED_VALUE"""),"LOS PENSAMIENTOS 920")</f>
        <v>LOS PENSAMIENTOS 920</v>
      </c>
      <c r="D8130" s="6" t="str">
        <f ca="1">IFERROR(__xludf.DUMMYFUNCTION("""COMPUTED_VALUE"""),"PAINE")</f>
        <v>PAINE</v>
      </c>
    </row>
    <row r="8131" spans="1:4">
      <c r="A8131" s="7">
        <f ca="1">IFERROR(__xludf.DUMMYFUNCTION("""COMPUTED_VALUE"""),44681)</f>
        <v>44681</v>
      </c>
      <c r="B8131" s="6" t="str">
        <f ca="1">IFERROR(__xludf.DUMMYFUNCTION("""COMPUTED_VALUE"""),"-33.813295-70.739188")</f>
        <v>-33.813295-70.739188</v>
      </c>
      <c r="C8131" s="6" t="str">
        <f ca="1">IFERROR(__xludf.DUMMYFUNCTION("""COMPUTED_VALUE"""),"PJE LOS LIRIOS 923")</f>
        <v>PJE LOS LIRIOS 923</v>
      </c>
      <c r="D8131" s="6" t="str">
        <f ca="1">IFERROR(__xludf.DUMMYFUNCTION("""COMPUTED_VALUE"""),"PAINE")</f>
        <v>PAINE</v>
      </c>
    </row>
    <row r="8132" spans="1:4">
      <c r="A8132" s="7">
        <f ca="1">IFERROR(__xludf.DUMMYFUNCTION("""COMPUTED_VALUE"""),44681)</f>
        <v>44681</v>
      </c>
      <c r="B8132" s="6" t="str">
        <f ca="1">IFERROR(__xludf.DUMMYFUNCTION("""COMPUTED_VALUE"""),"-33.814256-70.740400")</f>
        <v>-33.814256-70.740400</v>
      </c>
      <c r="C8132" s="6" t="str">
        <f ca="1">IFERROR(__xludf.DUMMYFUNCTION("""COMPUTED_VALUE"""),"PEREZ CANTO 342")</f>
        <v>PEREZ CANTO 342</v>
      </c>
      <c r="D8132" s="6" t="str">
        <f ca="1">IFERROR(__xludf.DUMMYFUNCTION("""COMPUTED_VALUE"""),"PAINE")</f>
        <v>PAINE</v>
      </c>
    </row>
    <row r="8133" spans="1:4">
      <c r="A8133" s="7">
        <f ca="1">IFERROR(__xludf.DUMMYFUNCTION("""COMPUTED_VALUE"""),44681)</f>
        <v>44681</v>
      </c>
      <c r="B8133" s="6" t="str">
        <f ca="1">IFERROR(__xludf.DUMMYFUNCTION("""COMPUTED_VALUE"""),"-33.817400-70.739040")</f>
        <v>-33.817400-70.739040</v>
      </c>
      <c r="C8133" s="6" t="str">
        <f ca="1">IFERROR(__xludf.DUMMYFUNCTION("""COMPUTED_VALUE"""),"PJE MIRASOL 1350")</f>
        <v>PJE MIRASOL 1350</v>
      </c>
      <c r="D8133" s="6" t="str">
        <f ca="1">IFERROR(__xludf.DUMMYFUNCTION("""COMPUTED_VALUE"""),"PAINE")</f>
        <v>PAINE</v>
      </c>
    </row>
    <row r="8134" spans="1:4">
      <c r="A8134" s="7">
        <f ca="1">IFERROR(__xludf.DUMMYFUNCTION("""COMPUTED_VALUE"""),44681)</f>
        <v>44681</v>
      </c>
      <c r="B8134" s="6" t="str">
        <f ca="1">IFERROR(__xludf.DUMMYFUNCTION("""COMPUTED_VALUE"""),"-33.619962-70.864780")</f>
        <v>-33.619962-70.864780</v>
      </c>
      <c r="C8134" s="6" t="str">
        <f ca="1">IFERROR(__xludf.DUMMYFUNCTION("""COMPUTED_VALUE"""),"BALMACEDA 2160")</f>
        <v>BALMACEDA 2160</v>
      </c>
      <c r="D8134" s="6" t="str">
        <f ca="1">IFERROR(__xludf.DUMMYFUNCTION("""COMPUTED_VALUE"""),"PEÑAFLOR")</f>
        <v>PEÑAFLOR</v>
      </c>
    </row>
    <row r="8135" spans="1:4">
      <c r="A8135" s="7">
        <f ca="1">IFERROR(__xludf.DUMMYFUNCTION("""COMPUTED_VALUE"""),44681)</f>
        <v>44681</v>
      </c>
      <c r="B8135" s="6" t="str">
        <f ca="1">IFERROR(__xludf.DUMMYFUNCTION("""COMPUTED_VALUE"""),"-33.687732,_71.017525")</f>
        <v>-33.687732,_71.017525</v>
      </c>
      <c r="C8135" s="6" t="str">
        <f ca="1">IFERROR(__xludf.DUMMYFUNCTION("""COMPUTED_VALUE"""),"POMARITO 233 L T2")</f>
        <v>POMARITO 233 L T2</v>
      </c>
      <c r="D8135" s="6" t="str">
        <f ca="1">IFERROR(__xludf.DUMMYFUNCTION("""COMPUTED_VALUE"""),"EL MONTE")</f>
        <v>EL MONTE</v>
      </c>
    </row>
    <row r="8136" spans="1:4">
      <c r="A8136" s="7">
        <f ca="1">IFERROR(__xludf.DUMMYFUNCTION("""COMPUTED_VALUE"""),44681)</f>
        <v>44681</v>
      </c>
      <c r="B8136" s="6" t="str">
        <f ca="1">IFERROR(__xludf.DUMMYFUNCTION("""COMPUTED_VALUE"""),"-33.608543,-70.871968")</f>
        <v>-33.608543,-70.871968</v>
      </c>
      <c r="C8136" s="6" t="str">
        <f ca="1">IFERROR(__xludf.DUMMYFUNCTION("""COMPUTED_VALUE"""),"MAULE 1370")</f>
        <v>MAULE 1370</v>
      </c>
      <c r="D8136" s="6" t="str">
        <f ca="1">IFERROR(__xludf.DUMMYFUNCTION("""COMPUTED_VALUE"""),"PEÑAFLOR")</f>
        <v>PEÑAFLOR</v>
      </c>
    </row>
    <row r="8137" spans="1:4">
      <c r="A8137" s="7">
        <f ca="1">IFERROR(__xludf.DUMMYFUNCTION("""COMPUTED_VALUE"""),44683)</f>
        <v>44683</v>
      </c>
      <c r="B8137" s="8" t="str">
        <f ca="1">IFERROR(__xludf.DUMMYFUNCTION("""COMPUTED_VALUE"""),"-33.8048028, -70.7323052")</f>
        <v>-33.8048028, -70.7323052</v>
      </c>
      <c r="C8137" s="6" t="str">
        <f ca="1">IFERROR(__xludf.DUMMYFUNCTION("""COMPUTED_VALUE"""),"ANDRE NAVARRETE 529")</f>
        <v>ANDRE NAVARRETE 529</v>
      </c>
      <c r="D8137" s="6" t="str">
        <f ca="1">IFERROR(__xludf.DUMMYFUNCTION("""COMPUTED_VALUE"""),"PAINE")</f>
        <v>PAINE</v>
      </c>
    </row>
    <row r="8138" spans="1:4">
      <c r="A8138" s="7">
        <f ca="1">IFERROR(__xludf.DUMMYFUNCTION("""COMPUTED_VALUE"""),44683)</f>
        <v>44683</v>
      </c>
      <c r="B8138" s="8" t="str">
        <f ca="1">IFERROR(__xludf.DUMMYFUNCTION("""COMPUTED_VALUE"""),"-33.8295424, -70.7760974")</f>
        <v>-33.8295424, -70.7760974</v>
      </c>
      <c r="C8138" s="6" t="str">
        <f ca="1">IFERROR(__xludf.DUMMYFUNCTION("""COMPUTED_VALUE"""),"JUAN ANTONIO RIOS 71")</f>
        <v>JUAN ANTONIO RIOS 71</v>
      </c>
      <c r="D8138" s="6" t="str">
        <f ca="1">IFERROR(__xludf.DUMMYFUNCTION("""COMPUTED_VALUE"""),"PAINE")</f>
        <v>PAINE</v>
      </c>
    </row>
    <row r="8139" spans="1:4">
      <c r="A8139" s="7">
        <f ca="1">IFERROR(__xludf.DUMMYFUNCTION("""COMPUTED_VALUE"""),44683)</f>
        <v>44683</v>
      </c>
      <c r="B8139" s="8" t="str">
        <f ca="1">IFERROR(__xludf.DUMMYFUNCTION("""COMPUTED_VALUE"""),"-33.85673, -70.7553167")</f>
        <v>-33.85673, -70.7553167</v>
      </c>
      <c r="C8139" s="6" t="str">
        <f ca="1">IFERROR(__xludf.DUMMYFUNCTION("""COMPUTED_VALUE"""),"LOS ATOMOS 227")</f>
        <v>LOS ATOMOS 227</v>
      </c>
      <c r="D8139" s="6" t="str">
        <f ca="1">IFERROR(__xludf.DUMMYFUNCTION("""COMPUTED_VALUE"""),"PAINE")</f>
        <v>PAINE</v>
      </c>
    </row>
    <row r="8140" spans="1:4">
      <c r="A8140" s="7">
        <f ca="1">IFERROR(__xludf.DUMMYFUNCTION("""COMPUTED_VALUE"""),44683)</f>
        <v>44683</v>
      </c>
      <c r="B8140" s="6" t="str">
        <f ca="1">IFERROR(__xludf.DUMMYFUNCTION("""COMPUTED_VALUE"""),"-33.678517-71.206035")</f>
        <v>-33.678517-71.206035</v>
      </c>
      <c r="C8140" s="6" t="str">
        <f ca="1">IFERROR(__xludf.DUMMYFUNCTION("""COMPUTED_VALUE"""),"FRANCISCO CONTRERAS 92")</f>
        <v>FRANCISCO CONTRERAS 92</v>
      </c>
      <c r="D8140" s="6" t="str">
        <f ca="1">IFERROR(__xludf.DUMMYFUNCTION("""COMPUTED_VALUE"""),"MELIPILLA")</f>
        <v>MELIPILLA</v>
      </c>
    </row>
    <row r="8141" spans="1:4">
      <c r="A8141" s="7">
        <f ca="1">IFERROR(__xludf.DUMMYFUNCTION("""COMPUTED_VALUE"""),44683)</f>
        <v>44683</v>
      </c>
      <c r="B8141" s="8" t="str">
        <f ca="1">IFERROR(__xludf.DUMMYFUNCTION("""COMPUTED_VALUE"""),"-33.707222,-70.562152")</f>
        <v>-33.707222,-70.562152</v>
      </c>
      <c r="C8141" s="6" t="str">
        <f ca="1">IFERROR(__xludf.DUMMYFUNCTION("""COMPUTED_VALUE"""),"CALLE NUEVA 35C")</f>
        <v>CALLE NUEVA 35C</v>
      </c>
      <c r="D8141" s="6" t="str">
        <f ca="1">IFERROR(__xludf.DUMMYFUNCTION("""COMPUTED_VALUE"""),"PIRQUE")</f>
        <v>PIRQUE</v>
      </c>
    </row>
    <row r="8142" spans="1:4">
      <c r="A8142" s="7">
        <f ca="1">IFERROR(__xludf.DUMMYFUNCTION("""COMPUTED_VALUE"""),44683)</f>
        <v>44683</v>
      </c>
      <c r="B8142" s="6" t="str">
        <f ca="1">IFERROR(__xludf.DUMMYFUNCTION("""COMPUTED_VALUE"""),"-33.753144,-71.193921")</f>
        <v>-33.753144,-71.193921</v>
      </c>
      <c r="C8142" s="6" t="str">
        <f ca="1">IFERROR(__xludf.DUMMYFUNCTION("""COMPUTED_VALUE"""),"PRINCIPAL S/N")</f>
        <v>PRINCIPAL S/N</v>
      </c>
      <c r="D8142" s="6" t="str">
        <f ca="1">IFERROR(__xludf.DUMMYFUNCTION("""COMPUTED_VALUE"""),"SAN PEDRO")</f>
        <v>SAN PEDRO</v>
      </c>
    </row>
    <row r="8143" spans="1:4">
      <c r="A8143" s="7">
        <f ca="1">IFERROR(__xludf.DUMMYFUNCTION("""COMPUTED_VALUE"""),44683)</f>
        <v>44683</v>
      </c>
      <c r="B8143" s="6" t="str">
        <f ca="1">IFERROR(__xludf.DUMMYFUNCTION("""COMPUTED_VALUE"""),"-33.784822,-70.885564")</f>
        <v>-33.784822,-70.885564</v>
      </c>
      <c r="C8143" s="6" t="str">
        <f ca="1">IFERROR(__xludf.DUMMYFUNCTION("""COMPUTED_VALUE"""),"LIBERTAD 1800")</f>
        <v>LIBERTAD 1800</v>
      </c>
      <c r="D8143" s="6" t="str">
        <f ca="1">IFERROR(__xludf.DUMMYFUNCTION("""COMPUTED_VALUE"""),"ISLA DE MAIPO")</f>
        <v>ISLA DE MAIPO</v>
      </c>
    </row>
    <row r="8144" spans="1:4">
      <c r="A8144" s="7">
        <f ca="1">IFERROR(__xludf.DUMMYFUNCTION("""COMPUTED_VALUE"""),44683)</f>
        <v>44683</v>
      </c>
      <c r="B8144" s="8" t="str">
        <f ca="1">IFERROR(__xludf.DUMMYFUNCTION("""COMPUTED_VALUE"""),"-34.034746,-71.094831")</f>
        <v>-34.034746,-71.094831</v>
      </c>
      <c r="C8144" s="6" t="str">
        <f ca="1">IFERROR(__xludf.DUMMYFUNCTION("""COMPUTED_VALUE"""),"EL MOLINO 770")</f>
        <v>EL MOLINO 770</v>
      </c>
      <c r="D8144" s="6" t="str">
        <f ca="1">IFERROR(__xludf.DUMMYFUNCTION("""COMPUTED_VALUE"""),"ALHUÉ")</f>
        <v>ALHUÉ</v>
      </c>
    </row>
    <row r="8145" spans="1:4">
      <c r="A8145" s="7">
        <f ca="1">IFERROR(__xludf.DUMMYFUNCTION("""COMPUTED_VALUE"""),44683)</f>
        <v>44683</v>
      </c>
      <c r="B8145" s="8" t="str">
        <f ca="1">IFERROR(__xludf.DUMMYFUNCTION("""COMPUTED_VALUE"""),"-33.805174,-70.730111")</f>
        <v>-33.805174,-70.730111</v>
      </c>
      <c r="C8145" s="6" t="str">
        <f ca="1">IFERROR(__xludf.DUMMYFUNCTION("""COMPUTED_VALUE"""),"RIO CAMARONES 136")</f>
        <v>RIO CAMARONES 136</v>
      </c>
      <c r="D8145" s="6" t="str">
        <f ca="1">IFERROR(__xludf.DUMMYFUNCTION("""COMPUTED_VALUE"""),"PAINE")</f>
        <v>PAINE</v>
      </c>
    </row>
    <row r="8146" spans="1:4">
      <c r="A8146" s="7">
        <f ca="1">IFERROR(__xludf.DUMMYFUNCTION("""COMPUTED_VALUE"""),44683)</f>
        <v>44683</v>
      </c>
      <c r="B8146" s="8" t="str">
        <f ca="1">IFERROR(__xludf.DUMMYFUNCTION("""COMPUTED_VALUE"""),"-33.6863260,-70.563161")</f>
        <v>-33.6863260,-70.563161</v>
      </c>
      <c r="C8146" s="6" t="str">
        <f ca="1">IFERROR(__xludf.DUMMYFUNCTION("""COMPUTED_VALUE"""),"LA NOGALAD S/N")</f>
        <v>LA NOGALAD S/N</v>
      </c>
      <c r="D8146" s="6" t="str">
        <f ca="1">IFERROR(__xludf.DUMMYFUNCTION("""COMPUTED_VALUE"""),"PIRQUE")</f>
        <v>PIRQUE</v>
      </c>
    </row>
    <row r="8147" spans="1:4">
      <c r="A8147" s="7">
        <f ca="1">IFERROR(__xludf.DUMMYFUNCTION("""COMPUTED_VALUE"""),44683)</f>
        <v>44683</v>
      </c>
      <c r="B8147" s="8" t="str">
        <f ca="1">IFERROR(__xludf.DUMMYFUNCTION("""COMPUTED_VALUE"""),"-33.776061,-71-126628")</f>
        <v>-33.776061,-71-126628</v>
      </c>
      <c r="C8147" s="6" t="str">
        <f ca="1">IFERROR(__xludf.DUMMYFUNCTION("""COMPUTED_VALUE"""),"SAN CARLOS DE CHOLQUI S/N")</f>
        <v>SAN CARLOS DE CHOLQUI S/N</v>
      </c>
      <c r="D8147" s="6" t="str">
        <f ca="1">IFERROR(__xludf.DUMMYFUNCTION("""COMPUTED_VALUE"""),"MELIPILLA")</f>
        <v>MELIPILLA</v>
      </c>
    </row>
    <row r="8148" spans="1:4">
      <c r="A8148" s="7">
        <f ca="1">IFERROR(__xludf.DUMMYFUNCTION("""COMPUTED_VALUE"""),44683)</f>
        <v>44683</v>
      </c>
      <c r="B8148" s="6" t="str">
        <f ca="1">IFERROR(__xludf.DUMMYFUNCTION("""COMPUTED_VALUE"""),"-33.8516491,-70.767282")</f>
        <v>-33.8516491,-70.767282</v>
      </c>
      <c r="C8148" s="6" t="str">
        <f ca="1">IFERROR(__xludf.DUMMYFUNCTION("""COMPUTED_VALUE"""),"NUEVA OCHO 0309")</f>
        <v>NUEVA OCHO 0309</v>
      </c>
      <c r="D8148" s="6" t="str">
        <f ca="1">IFERROR(__xludf.DUMMYFUNCTION("""COMPUTED_VALUE"""),"PAINE")</f>
        <v>PAINE</v>
      </c>
    </row>
    <row r="8149" spans="1:4">
      <c r="A8149" s="7">
        <f ca="1">IFERROR(__xludf.DUMMYFUNCTION("""COMPUTED_VALUE"""),44683)</f>
        <v>44683</v>
      </c>
      <c r="B8149" s="6" t="str">
        <f ca="1">IFERROR(__xludf.DUMMYFUNCTION("""COMPUTED_VALUE"""),"-33.806633,-70.736052")</f>
        <v>-33.806633,-70.736052</v>
      </c>
      <c r="C8149" s="6" t="str">
        <f ca="1">IFERROR(__xludf.DUMMYFUNCTION("""COMPUTED_VALUE"""),"ISLA NUEVA 385")</f>
        <v>ISLA NUEVA 385</v>
      </c>
      <c r="D8149" s="6" t="str">
        <f ca="1">IFERROR(__xludf.DUMMYFUNCTION("""COMPUTED_VALUE"""),"PAINE")</f>
        <v>PAINE</v>
      </c>
    </row>
    <row r="8150" spans="1:4">
      <c r="A8150" s="7">
        <f ca="1">IFERROR(__xludf.DUMMYFUNCTION("""COMPUTED_VALUE"""),44683)</f>
        <v>44683</v>
      </c>
      <c r="B8150" s="6" t="str">
        <f ca="1">IFERROR(__xludf.DUMMYFUNCTION("""COMPUTED_VALUE"""),"-33.877061,-70.713065")</f>
        <v>-33.877061,-70.713065</v>
      </c>
      <c r="C8150" s="6" t="str">
        <f ca="1">IFERROR(__xludf.DUMMYFUNCTION("""COMPUTED_VALUE"""),"LAS VERTIENTES 182")</f>
        <v>LAS VERTIENTES 182</v>
      </c>
      <c r="D8150" s="6" t="str">
        <f ca="1">IFERROR(__xludf.DUMMYFUNCTION("""COMPUTED_VALUE"""),"PAINE")</f>
        <v>PAINE</v>
      </c>
    </row>
    <row r="8151" spans="1:4">
      <c r="A8151" s="7">
        <f ca="1">IFERROR(__xludf.DUMMYFUNCTION("""COMPUTED_VALUE"""),44683)</f>
        <v>44683</v>
      </c>
      <c r="B8151" s="6" t="str">
        <f ca="1">IFERROR(__xludf.DUMMYFUNCTION("""COMPUTED_VALUE"""),"-33.877061,-70.713065")</f>
        <v>-33.877061,-70.713065</v>
      </c>
      <c r="C8151" s="6" t="str">
        <f ca="1">IFERROR(__xludf.DUMMYFUNCTION("""COMPUTED_VALUE"""),"LAS VERTIENTES 182")</f>
        <v>LAS VERTIENTES 182</v>
      </c>
      <c r="D8151" s="6" t="str">
        <f ca="1">IFERROR(__xludf.DUMMYFUNCTION("""COMPUTED_VALUE"""),"PAINE")</f>
        <v>PAINE</v>
      </c>
    </row>
    <row r="8152" spans="1:4">
      <c r="A8152" s="7">
        <f ca="1">IFERROR(__xludf.DUMMYFUNCTION("""COMPUTED_VALUE"""),44684)</f>
        <v>44684</v>
      </c>
      <c r="B8152" s="8" t="str">
        <f ca="1">IFERROR(__xludf.DUMMYFUNCTION("""COMPUTED_VALUE"""),"-33.7362191, -71.0195646")</f>
        <v>-33.7362191, -71.0195646</v>
      </c>
      <c r="C8152" s="6" t="str">
        <f ca="1">IFERROR(__xludf.DUMMYFUNCTION("""COMPUTED_VALUE"""),"SAN ANTONIO DE NALTAGUA SITIO 45")</f>
        <v>SAN ANTONIO DE NALTAGUA SITIO 45</v>
      </c>
      <c r="D8152" s="6" t="str">
        <f ca="1">IFERROR(__xludf.DUMMYFUNCTION("""COMPUTED_VALUE"""),"ISLA DE MAIPO")</f>
        <v>ISLA DE MAIPO</v>
      </c>
    </row>
    <row r="8153" spans="1:4">
      <c r="A8153" s="7">
        <f ca="1">IFERROR(__xludf.DUMMYFUNCTION("""COMPUTED_VALUE"""),44684)</f>
        <v>44684</v>
      </c>
      <c r="B8153" s="8" t="str">
        <f ca="1">IFERROR(__xludf.DUMMYFUNCTION("""COMPUTED_VALUE"""),"-33.730098, -70.910534")</f>
        <v>-33.730098, -70.910534</v>
      </c>
      <c r="C8153" s="6" t="str">
        <f ca="1">IFERROR(__xludf.DUMMYFUNCTION("""COMPUTED_VALUE"""),"GACITUA 553")</f>
        <v>GACITUA 553</v>
      </c>
      <c r="D8153" s="6" t="str">
        <f ca="1">IFERROR(__xludf.DUMMYFUNCTION("""COMPUTED_VALUE"""),"ISLA DE MAIPO")</f>
        <v>ISLA DE MAIPO</v>
      </c>
    </row>
    <row r="8154" spans="1:4">
      <c r="A8154" s="7">
        <f ca="1">IFERROR(__xludf.DUMMYFUNCTION("""COMPUTED_VALUE"""),44684)</f>
        <v>44684</v>
      </c>
      <c r="B8154" s="8" t="str">
        <f ca="1">IFERROR(__xludf.DUMMYFUNCTION("""COMPUTED_VALUE"""),"-33.6936464, -70.9277443")</f>
        <v>-33.6936464, -70.9277443</v>
      </c>
      <c r="C8154" s="6" t="str">
        <f ca="1">IFERROR(__xludf.DUMMYFUNCTION("""COMPUTED_VALUE"""),"FUNDO MIRAFLORES S/N")</f>
        <v>FUNDO MIRAFLORES S/N</v>
      </c>
      <c r="D8154" s="6" t="str">
        <f ca="1">IFERROR(__xludf.DUMMYFUNCTION("""COMPUTED_VALUE"""),"ISLA DE MAIPO")</f>
        <v>ISLA DE MAIPO</v>
      </c>
    </row>
    <row r="8155" spans="1:4">
      <c r="A8155" s="7">
        <f ca="1">IFERROR(__xludf.DUMMYFUNCTION("""COMPUTED_VALUE"""),44684)</f>
        <v>44684</v>
      </c>
      <c r="B8155" s="8" t="str">
        <f ca="1">IFERROR(__xludf.DUMMYFUNCTION("""COMPUTED_VALUE"""),"-33.5606448, -70.6527676")</f>
        <v>-33.5606448, -70.6527676</v>
      </c>
      <c r="C8155" s="6" t="str">
        <f ca="1">IFERROR(__xludf.DUMMYFUNCTION("""COMPUTED_VALUE"""),"CAMINO EL SCORIAL S/N")</f>
        <v>CAMINO EL SCORIAL S/N</v>
      </c>
      <c r="D8155" s="6" t="str">
        <f ca="1">IFERROR(__xludf.DUMMYFUNCTION("""COMPUTED_VALUE"""),"PAINE")</f>
        <v>PAINE</v>
      </c>
    </row>
    <row r="8156" spans="1:4">
      <c r="A8156" s="7">
        <f ca="1">IFERROR(__xludf.DUMMYFUNCTION("""COMPUTED_VALUE"""),44684)</f>
        <v>44684</v>
      </c>
      <c r="B8156" s="6" t="str">
        <f ca="1">IFERROR(__xludf.DUMMYFUNCTION("""COMPUTED_VALUE"""),"-33.887185-70.717720")</f>
        <v>-33.887185-70.717720</v>
      </c>
      <c r="C8156" s="6" t="str">
        <f ca="1">IFERROR(__xludf.DUMMYFUNCTION("""COMPUTED_VALUE"""),"SIN CALLE S/N")</f>
        <v>SIN CALLE S/N</v>
      </c>
      <c r="D8156" s="6" t="str">
        <f ca="1">IFERROR(__xludf.DUMMYFUNCTION("""COMPUTED_VALUE"""),"PAINE")</f>
        <v>PAINE</v>
      </c>
    </row>
    <row r="8157" spans="1:4">
      <c r="A8157" s="7">
        <f ca="1">IFERROR(__xludf.DUMMYFUNCTION("""COMPUTED_VALUE"""),44684)</f>
        <v>44684</v>
      </c>
      <c r="B8157" s="6" t="str">
        <f ca="1">IFERROR(__xludf.DUMMYFUNCTION("""COMPUTED_VALUE"""),"-33.642225-70.35120")</f>
        <v>-33.642225-70.35120</v>
      </c>
      <c r="C8157" s="6" t="str">
        <f ca="1">IFERROR(__xludf.DUMMYFUNCTION("""COMPUTED_VALUE"""),"AV. EL CERRO 19938")</f>
        <v>AV. EL CERRO 19938</v>
      </c>
      <c r="D8157" s="6" t="str">
        <f ca="1">IFERROR(__xludf.DUMMYFUNCTION("""COMPUTED_VALUE"""),"SAN JOSE DE MAIPO")</f>
        <v>SAN JOSE DE MAIPO</v>
      </c>
    </row>
    <row r="8158" spans="1:4">
      <c r="A8158" s="7">
        <f ca="1">IFERROR(__xludf.DUMMYFUNCTION("""COMPUTED_VALUE"""),44684)</f>
        <v>44684</v>
      </c>
      <c r="B8158" s="6" t="str">
        <f ca="1">IFERROR(__xludf.DUMMYFUNCTION("""COMPUTED_VALUE"""),"-33.608335-70.349080")</f>
        <v>-33.608335-70.349080</v>
      </c>
      <c r="C8158" s="6" t="str">
        <f ca="1">IFERROR(__xludf.DUMMYFUNCTION("""COMPUTED_VALUE"""),"CAMINO AL VOLCAN 16071")</f>
        <v>CAMINO AL VOLCAN 16071</v>
      </c>
      <c r="D8158" s="6" t="str">
        <f ca="1">IFERROR(__xludf.DUMMYFUNCTION("""COMPUTED_VALUE"""),"SAN JOSE DE MAIPO")</f>
        <v>SAN JOSE DE MAIPO</v>
      </c>
    </row>
    <row r="8159" spans="1:4">
      <c r="A8159" s="7">
        <f ca="1">IFERROR(__xludf.DUMMYFUNCTION("""COMPUTED_VALUE"""),44684)</f>
        <v>44684</v>
      </c>
      <c r="B8159" s="8" t="str">
        <f ca="1">IFERROR(__xludf.DUMMYFUNCTION("""COMPUTED_VALUE"""),"-33.617650,-70.522596")</f>
        <v>-33.617650,-70.522596</v>
      </c>
      <c r="C8159" s="6" t="str">
        <f ca="1">IFERROR(__xludf.DUMMYFUNCTION("""COMPUTED_VALUE"""),"RAMON SUBERCOSEUX 5200-C")</f>
        <v>RAMON SUBERCOSEUX 5200-C</v>
      </c>
      <c r="D8159" s="6" t="str">
        <f ca="1">IFERROR(__xludf.DUMMYFUNCTION("""COMPUTED_VALUE"""),"PIRQUE")</f>
        <v>PIRQUE</v>
      </c>
    </row>
    <row r="8160" spans="1:4">
      <c r="A8160" s="7">
        <f ca="1">IFERROR(__xludf.DUMMYFUNCTION("""COMPUTED_VALUE"""),44684)</f>
        <v>44684</v>
      </c>
      <c r="B8160" s="8" t="str">
        <f ca="1">IFERROR(__xludf.DUMMYFUNCTION("""COMPUTED_VALUE"""),"-33.617650,-70.522596")</f>
        <v>-33.617650,-70.522596</v>
      </c>
      <c r="C8160" s="6" t="str">
        <f ca="1">IFERROR(__xludf.DUMMYFUNCTION("""COMPUTED_VALUE"""),"LLOPEO 0128")</f>
        <v>LLOPEO 0128</v>
      </c>
      <c r="D8160" s="6" t="str">
        <f ca="1">IFERROR(__xludf.DUMMYFUNCTION("""COMPUTED_VALUE"""),"EL MONTE")</f>
        <v>EL MONTE</v>
      </c>
    </row>
    <row r="8161" spans="1:4">
      <c r="A8161" s="7">
        <f ca="1">IFERROR(__xludf.DUMMYFUNCTION("""COMPUTED_VALUE"""),44684)</f>
        <v>44684</v>
      </c>
      <c r="B8161" s="8" t="str">
        <f ca="1">IFERROR(__xludf.DUMMYFUNCTION("""COMPUTED_VALUE"""),"-33.708964,-70.557574")</f>
        <v>-33.708964,-70.557574</v>
      </c>
      <c r="C8161" s="6" t="str">
        <f ca="1">IFERROR(__xludf.DUMMYFUNCTION("""COMPUTED_VALUE"""),"CALLE NUEVA 40B")</f>
        <v>CALLE NUEVA 40B</v>
      </c>
      <c r="D8161" s="6" t="str">
        <f ca="1">IFERROR(__xludf.DUMMYFUNCTION("""COMPUTED_VALUE"""),"PIRQUE")</f>
        <v>PIRQUE</v>
      </c>
    </row>
    <row r="8162" spans="1:4">
      <c r="A8162" s="7">
        <f ca="1">IFERROR(__xludf.DUMMYFUNCTION("""COMPUTED_VALUE"""),44684)</f>
        <v>44684</v>
      </c>
      <c r="B8162" s="8" t="str">
        <f ca="1">IFERROR(__xludf.DUMMYFUNCTION("""COMPUTED_VALUE"""),"-33.706681,-70.562705")</f>
        <v>-33.706681,-70.562705</v>
      </c>
      <c r="C8162" s="6" t="str">
        <f ca="1">IFERROR(__xludf.DUMMYFUNCTION("""COMPUTED_VALUE"""),"CALLE NUEVA 34C")</f>
        <v>CALLE NUEVA 34C</v>
      </c>
      <c r="D8162" s="6" t="str">
        <f ca="1">IFERROR(__xludf.DUMMYFUNCTION("""COMPUTED_VALUE"""),"PIRQUE")</f>
        <v>PIRQUE</v>
      </c>
    </row>
    <row r="8163" spans="1:4">
      <c r="A8163" s="7">
        <f ca="1">IFERROR(__xludf.DUMMYFUNCTION("""COMPUTED_VALUE"""),44684)</f>
        <v>44684</v>
      </c>
      <c r="B8163" s="8" t="str">
        <f ca="1">IFERROR(__xludf.DUMMYFUNCTION("""COMPUTED_VALUE"""),"-33.198847,-70.649091")</f>
        <v>-33.198847,-70.649091</v>
      </c>
      <c r="C8163" s="6" t="str">
        <f ca="1">IFERROR(__xludf.DUMMYFUNCTION("""COMPUTED_VALUE"""),"EL MOLINO 106-52")</f>
        <v>EL MOLINO 106-52</v>
      </c>
      <c r="D8163" s="6" t="str">
        <f ca="1">IFERROR(__xludf.DUMMYFUNCTION("""COMPUTED_VALUE"""),"COLINA")</f>
        <v>COLINA</v>
      </c>
    </row>
    <row r="8164" spans="1:4">
      <c r="A8164" s="7">
        <f ca="1">IFERROR(__xludf.DUMMYFUNCTION("""COMPUTED_VALUE"""),44684)</f>
        <v>44684</v>
      </c>
      <c r="B8164" s="6" t="str">
        <f ca="1">IFERROR(__xludf.DUMMYFUNCTION("""COMPUTED_VALUE"""),"-33.755869,-70.893180")</f>
        <v>-33.755869,-70.893180</v>
      </c>
      <c r="C8164" s="6" t="str">
        <f ca="1">IFERROR(__xludf.DUMMYFUNCTION("""COMPUTED_VALUE"""),"PRIMAVERA NORTE 182")</f>
        <v>PRIMAVERA NORTE 182</v>
      </c>
      <c r="D8164" s="6" t="str">
        <f ca="1">IFERROR(__xludf.DUMMYFUNCTION("""COMPUTED_VALUE"""),"ISLA DE MAIPO")</f>
        <v>ISLA DE MAIPO</v>
      </c>
    </row>
    <row r="8165" spans="1:4">
      <c r="A8165" s="7">
        <f ca="1">IFERROR(__xludf.DUMMYFUNCTION("""COMPUTED_VALUE"""),44684)</f>
        <v>44684</v>
      </c>
      <c r="B8165" s="8" t="str">
        <f ca="1">IFERROR(__xludf.DUMMYFUNCTION("""COMPUTED_VALUE"""),"-33.586570,-70.771910")</f>
        <v>-33.586570,-70.771910</v>
      </c>
      <c r="C8165" s="6" t="str">
        <f ca="1">IFERROR(__xludf.DUMMYFUNCTION("""COMPUTED_VALUE"""),"LO ERMITA 12")</f>
        <v>LO ERMITA 12</v>
      </c>
      <c r="D8165" s="6" t="str">
        <f ca="1">IFERROR(__xludf.DUMMYFUNCTION("""COMPUTED_VALUE"""),"CALERA DE TANGO")</f>
        <v>CALERA DE TANGO</v>
      </c>
    </row>
    <row r="8166" spans="1:4">
      <c r="A8166" s="7">
        <f ca="1">IFERROR(__xludf.DUMMYFUNCTION("""COMPUTED_VALUE"""),44684)</f>
        <v>44684</v>
      </c>
      <c r="B8166" s="8" t="str">
        <f ca="1">IFERROR(__xludf.DUMMYFUNCTION("""COMPUTED_VALUE"""),"-33.759768,-70.746281")</f>
        <v>-33.759768,-70.746281</v>
      </c>
      <c r="C8166" s="6" t="str">
        <f ca="1">IFERROR(__xludf.DUMMYFUNCTION("""COMPUTED_VALUE"""),"CERVERA PARCELA 9 LINDEROS ")</f>
        <v xml:space="preserve">CERVERA PARCELA 9 LINDEROS </v>
      </c>
      <c r="D8166" s="6" t="str">
        <f ca="1">IFERROR(__xludf.DUMMYFUNCTION("""COMPUTED_VALUE"""),"BUIN")</f>
        <v>BUIN</v>
      </c>
    </row>
    <row r="8167" spans="1:4">
      <c r="A8167" s="7">
        <f ca="1">IFERROR(__xludf.DUMMYFUNCTION("""COMPUTED_VALUE"""),44684)</f>
        <v>44684</v>
      </c>
      <c r="B8167" s="8" t="str">
        <f ca="1">IFERROR(__xludf.DUMMYFUNCTION("""COMPUTED_VALUE"""),"-33.766846,-70.723085")</f>
        <v>-33.766846,-70.723085</v>
      </c>
      <c r="C8167" s="6" t="str">
        <f ca="1">IFERROR(__xludf.DUMMYFUNCTION("""COMPUTED_VALUE"""),"CALLE 11 DE SEPTIEMBRE")</f>
        <v>CALLE 11 DE SEPTIEMBRE</v>
      </c>
      <c r="D8167" s="6" t="str">
        <f ca="1">IFERROR(__xludf.DUMMYFUNCTION("""COMPUTED_VALUE"""),"BUIN")</f>
        <v>BUIN</v>
      </c>
    </row>
    <row r="8168" spans="1:4">
      <c r="A8168" s="7">
        <f ca="1">IFERROR(__xludf.DUMMYFUNCTION("""COMPUTED_VALUE"""),44684)</f>
        <v>44684</v>
      </c>
      <c r="B8168" s="8" t="str">
        <f ca="1">IFERROR(__xludf.DUMMYFUNCTION("""COMPUTED_VALUE"""),"-33.586570,-70.771910")</f>
        <v>-33.586570,-70.771910</v>
      </c>
      <c r="C8168" s="6" t="str">
        <f ca="1">IFERROR(__xludf.DUMMYFUNCTION("""COMPUTED_VALUE"""),"LO ERMITA 12")</f>
        <v>LO ERMITA 12</v>
      </c>
      <c r="D8168" s="6" t="str">
        <f ca="1">IFERROR(__xludf.DUMMYFUNCTION("""COMPUTED_VALUE"""),"CALERA DE TANGO")</f>
        <v>CALERA DE TANGO</v>
      </c>
    </row>
    <row r="8169" spans="1:4">
      <c r="A8169" s="7">
        <f ca="1">IFERROR(__xludf.DUMMYFUNCTION("""COMPUTED_VALUE"""),44684)</f>
        <v>44684</v>
      </c>
      <c r="B8169" s="6" t="str">
        <f ca="1">IFERROR(__xludf.DUMMYFUNCTION("""COMPUTED_VALUE"""),"-33.851031,-70.942735")</f>
        <v>-33.851031,-70.942735</v>
      </c>
      <c r="C8169" s="6" t="str">
        <f ca="1">IFERROR(__xludf.DUMMYFUNCTION("""COMPUTED_VALUE"""),"SOR TERESA DE LOS ANDES 12")</f>
        <v>SOR TERESA DE LOS ANDES 12</v>
      </c>
      <c r="D8169" s="6" t="str">
        <f ca="1">IFERROR(__xludf.DUMMYFUNCTION("""COMPUTED_VALUE"""),"PAINE")</f>
        <v>PAINE</v>
      </c>
    </row>
    <row r="8170" spans="1:4">
      <c r="A8170" s="7">
        <f ca="1">IFERROR(__xludf.DUMMYFUNCTION("""COMPUTED_VALUE"""),44684)</f>
        <v>44684</v>
      </c>
      <c r="B8170" s="6" t="str">
        <f ca="1">IFERROR(__xludf.DUMMYFUNCTION("""COMPUTED_VALUE"""),"-33.898772,-70.661465")</f>
        <v>-33.898772,-70.661465</v>
      </c>
      <c r="C8170" s="6" t="str">
        <f ca="1">IFERROR(__xludf.DUMMYFUNCTION("""COMPUTED_VALUE"""),"CALLE LAS LILAS 44")</f>
        <v>CALLE LAS LILAS 44</v>
      </c>
      <c r="D8170" s="6" t="str">
        <f ca="1">IFERROR(__xludf.DUMMYFUNCTION("""COMPUTED_VALUE"""),"PAINE")</f>
        <v>PAINE</v>
      </c>
    </row>
    <row r="8171" spans="1:4">
      <c r="A8171" s="7">
        <f ca="1">IFERROR(__xludf.DUMMYFUNCTION("""COMPUTED_VALUE"""),44684)</f>
        <v>44684</v>
      </c>
      <c r="B8171" s="6" t="str">
        <f ca="1">IFERROR(__xludf.DUMMYFUNCTION("""COMPUTED_VALUE"""),"-33.271599,-70.833711")</f>
        <v>-33.271599,-70.833711</v>
      </c>
      <c r="C8171" s="6" t="str">
        <f ca="1">IFERROR(__xludf.DUMMYFUNCTION("""COMPUTED_VALUE"""),"STA. INES PARC 5 SIT 42")</f>
        <v>STA. INES PARC 5 SIT 42</v>
      </c>
      <c r="D8171" s="6" t="str">
        <f ca="1">IFERROR(__xludf.DUMMYFUNCTION("""COMPUTED_VALUE"""),"LAMPA")</f>
        <v>LAMPA</v>
      </c>
    </row>
    <row r="8172" spans="1:4">
      <c r="A8172" s="7">
        <f ca="1">IFERROR(__xludf.DUMMYFUNCTION("""COMPUTED_VALUE"""),44684)</f>
        <v>44684</v>
      </c>
      <c r="B8172" s="6" t="str">
        <f ca="1">IFERROR(__xludf.DUMMYFUNCTION("""COMPUTED_VALUE"""),"-33.813056,-70.739005")</f>
        <v>-33.813056,-70.739005</v>
      </c>
      <c r="C8172" s="6" t="str">
        <f ca="1">IFERROR(__xludf.DUMMYFUNCTION("""COMPUTED_VALUE"""),"IGNACIO CARRERA PINTO 395")</f>
        <v>IGNACIO CARRERA PINTO 395</v>
      </c>
      <c r="D8172" s="6" t="str">
        <f ca="1">IFERROR(__xludf.DUMMYFUNCTION("""COMPUTED_VALUE"""),"PAINE")</f>
        <v>PAINE</v>
      </c>
    </row>
    <row r="8173" spans="1:4">
      <c r="A8173" s="7">
        <f ca="1">IFERROR(__xludf.DUMMYFUNCTION("""COMPUTED_VALUE"""),44684)</f>
        <v>44684</v>
      </c>
      <c r="B8173" s="6" t="str">
        <f ca="1">IFERROR(__xludf.DUMMYFUNCTION("""COMPUTED_VALUE"""),"-33.813522,-70.736636")</f>
        <v>-33.813522,-70.736636</v>
      </c>
      <c r="C8173" s="6" t="str">
        <f ca="1">IFERROR(__xludf.DUMMYFUNCTION("""COMPUTED_VALUE"""),"PASAJE TRES 969")</f>
        <v>PASAJE TRES 969</v>
      </c>
      <c r="D8173" s="6" t="str">
        <f ca="1">IFERROR(__xludf.DUMMYFUNCTION("""COMPUTED_VALUE"""),"PAINE")</f>
        <v>PAINE</v>
      </c>
    </row>
    <row r="8174" spans="1:4">
      <c r="A8174" s="7">
        <f ca="1">IFERROR(__xludf.DUMMYFUNCTION("""COMPUTED_VALUE"""),44685)</f>
        <v>44685</v>
      </c>
      <c r="B8174" s="6" t="str">
        <f ca="1">IFERROR(__xludf.DUMMYFUNCTION("""COMPUTED_VALUE"""),"-33.825128-70.732404")</f>
        <v>-33.825128-70.732404</v>
      </c>
      <c r="C8174" s="6" t="str">
        <f ca="1">IFERROR(__xludf.DUMMYFUNCTION("""COMPUTED_VALUE"""),"ALBERTO FIGUEROA 905")</f>
        <v>ALBERTO FIGUEROA 905</v>
      </c>
      <c r="D8174" s="6" t="str">
        <f ca="1">IFERROR(__xludf.DUMMYFUNCTION("""COMPUTED_VALUE"""),"PAINE")</f>
        <v>PAINE</v>
      </c>
    </row>
    <row r="8175" spans="1:4">
      <c r="A8175" s="7">
        <f ca="1">IFERROR(__xludf.DUMMYFUNCTION("""COMPUTED_VALUE"""),44685)</f>
        <v>44685</v>
      </c>
      <c r="B8175" s="6" t="str">
        <f ca="1">IFERROR(__xludf.DUMMYFUNCTION("""COMPUTED_VALUE"""),"-33.825138-70.732704")</f>
        <v>-33.825138-70.732704</v>
      </c>
      <c r="C8175" s="6" t="str">
        <f ca="1">IFERROR(__xludf.DUMMYFUNCTION("""COMPUTED_VALUE"""),"ALBERTO FIGUEROA 925")</f>
        <v>ALBERTO FIGUEROA 925</v>
      </c>
      <c r="D8175" s="6" t="str">
        <f ca="1">IFERROR(__xludf.DUMMYFUNCTION("""COMPUTED_VALUE"""),"PAINE")</f>
        <v>PAINE</v>
      </c>
    </row>
    <row r="8176" spans="1:4">
      <c r="A8176" s="7">
        <f ca="1">IFERROR(__xludf.DUMMYFUNCTION("""COMPUTED_VALUE"""),44685)</f>
        <v>44685</v>
      </c>
      <c r="B8176" s="6" t="str">
        <f ca="1">IFERROR(__xludf.DUMMYFUNCTION("""COMPUTED_VALUE"""),"-33.824603-70.731431")</f>
        <v>-33.824603-70.731431</v>
      </c>
      <c r="C8176" s="6" t="str">
        <f ca="1">IFERROR(__xludf.DUMMYFUNCTION("""COMPUTED_VALUE"""),"PJE ELIAS SANCHEZ ORTUZAR 1844")</f>
        <v>PJE ELIAS SANCHEZ ORTUZAR 1844</v>
      </c>
      <c r="D8176" s="6" t="str">
        <f ca="1">IFERROR(__xludf.DUMMYFUNCTION("""COMPUTED_VALUE"""),"PAINE")</f>
        <v>PAINE</v>
      </c>
    </row>
    <row r="8177" spans="1:4">
      <c r="A8177" s="7">
        <f ca="1">IFERROR(__xludf.DUMMYFUNCTION("""COMPUTED_VALUE"""),44685)</f>
        <v>44685</v>
      </c>
      <c r="B8177" s="6" t="str">
        <f ca="1">IFERROR(__xludf.DUMMYFUNCTION("""COMPUTED_VALUE"""),"-33.812788-70.737925")</f>
        <v>-33.812788-70.737925</v>
      </c>
      <c r="C8177" s="6" t="str">
        <f ca="1">IFERROR(__xludf.DUMMYFUNCTION("""COMPUTED_VALUE"""),"CAUPOLICAN 922")</f>
        <v>CAUPOLICAN 922</v>
      </c>
      <c r="D8177" s="6" t="str">
        <f ca="1">IFERROR(__xludf.DUMMYFUNCTION("""COMPUTED_VALUE"""),"PAINE")</f>
        <v>PAINE</v>
      </c>
    </row>
    <row r="8178" spans="1:4">
      <c r="A8178" s="7">
        <f ca="1">IFERROR(__xludf.DUMMYFUNCTION("""COMPUTED_VALUE"""),44685)</f>
        <v>44685</v>
      </c>
      <c r="B8178" s="6" t="str">
        <f ca="1">IFERROR(__xludf.DUMMYFUNCTION("""COMPUTED_VALUE"""),"-33.73241-70.30961")</f>
        <v>-33.73241-70.30961</v>
      </c>
      <c r="C8178" s="6" t="str">
        <f ca="1">IFERROR(__xludf.DUMMYFUNCTION("""COMPUTED_VALUE"""),"CAMINO AL VOLCAN 30971")</f>
        <v>CAMINO AL VOLCAN 30971</v>
      </c>
      <c r="D8178" s="6" t="str">
        <f ca="1">IFERROR(__xludf.DUMMYFUNCTION("""COMPUTED_VALUE"""),"SAN JOSE DE MAIPO")</f>
        <v>SAN JOSE DE MAIPO</v>
      </c>
    </row>
    <row r="8179" spans="1:4">
      <c r="A8179" s="7">
        <f ca="1">IFERROR(__xludf.DUMMYFUNCTION("""COMPUTED_VALUE"""),44685)</f>
        <v>44685</v>
      </c>
      <c r="B8179" s="6" t="str">
        <f ca="1">IFERROR(__xludf.DUMMYFUNCTION("""COMPUTED_VALUE"""),"-33.590435-70.853190")</f>
        <v>-33.590435-70.853190</v>
      </c>
      <c r="C8179" s="6" t="str">
        <f ca="1">IFERROR(__xludf.DUMMYFUNCTION("""COMPUTED_VALUE"""),"AV PAJARITOS 11 B")</f>
        <v>AV PAJARITOS 11 B</v>
      </c>
      <c r="D8179" s="6" t="str">
        <f ca="1">IFERROR(__xludf.DUMMYFUNCTION("""COMPUTED_VALUE"""),"PEÑAFLOR")</f>
        <v>PEÑAFLOR</v>
      </c>
    </row>
    <row r="8180" spans="1:4">
      <c r="A8180" s="7">
        <f ca="1">IFERROR(__xludf.DUMMYFUNCTION("""COMPUTED_VALUE"""),44685)</f>
        <v>44685</v>
      </c>
      <c r="B8180" s="6" t="str">
        <f ca="1">IFERROR(__xludf.DUMMYFUNCTION("""COMPUTED_VALUE"""),"-33.590835-70.852780")</f>
        <v>-33.590835-70.852780</v>
      </c>
      <c r="C8180" s="6" t="str">
        <f ca="1">IFERROR(__xludf.DUMMYFUNCTION("""COMPUTED_VALUE"""),"PAJARITO INTERIOR P10")</f>
        <v>PAJARITO INTERIOR P10</v>
      </c>
      <c r="D8180" s="6" t="str">
        <f ca="1">IFERROR(__xludf.DUMMYFUNCTION("""COMPUTED_VALUE"""),"PEÑAFLOR")</f>
        <v>PEÑAFLOR</v>
      </c>
    </row>
    <row r="8181" spans="1:4">
      <c r="A8181" s="7">
        <f ca="1">IFERROR(__xludf.DUMMYFUNCTION("""COMPUTED_VALUE"""),44685)</f>
        <v>44685</v>
      </c>
      <c r="B8181" s="6" t="str">
        <f ca="1">IFERROR(__xludf.DUMMYFUNCTION("""COMPUTED_VALUE"""),"-33.63692-70.35684")</f>
        <v>-33.63692-70.35684</v>
      </c>
      <c r="C8181" s="6" t="str">
        <f ca="1">IFERROR(__xludf.DUMMYFUNCTION("""COMPUTED_VALUE"""),"PJE C NORTE 522")</f>
        <v>PJE C NORTE 522</v>
      </c>
      <c r="D8181" s="6" t="str">
        <f ca="1">IFERROR(__xludf.DUMMYFUNCTION("""COMPUTED_VALUE"""),"SAN JOSE DE MAIPO")</f>
        <v>SAN JOSE DE MAIPO</v>
      </c>
    </row>
    <row r="8182" spans="1:4">
      <c r="A8182" s="7">
        <f ca="1">IFERROR(__xludf.DUMMYFUNCTION("""COMPUTED_VALUE"""),44685)</f>
        <v>44685</v>
      </c>
      <c r="B8182" s="8" t="str">
        <f ca="1">IFERROR(__xludf.DUMMYFUNCTION("""COMPUTED_VALUE"""),"-33.689073,-71.032645")</f>
        <v>-33.689073,-71.032645</v>
      </c>
      <c r="C8182" s="6" t="str">
        <f ca="1">IFERROR(__xludf.DUMMYFUNCTION("""COMPUTED_VALUE"""),"PASAJE SURINAME 097 B")</f>
        <v>PASAJE SURINAME 097 B</v>
      </c>
      <c r="D8182" s="6" t="str">
        <f ca="1">IFERROR(__xludf.DUMMYFUNCTION("""COMPUTED_VALUE"""),"EL MONTE")</f>
        <v>EL MONTE</v>
      </c>
    </row>
    <row r="8183" spans="1:4">
      <c r="A8183" s="7">
        <f ca="1">IFERROR(__xludf.DUMMYFUNCTION("""COMPUTED_VALUE"""),44685)</f>
        <v>44685</v>
      </c>
      <c r="B8183" s="8" t="str">
        <f ca="1">IFERROR(__xludf.DUMMYFUNCTION("""COMPUTED_VALUE"""),"-33.689073,-71.032645")</f>
        <v>-33.689073,-71.032645</v>
      </c>
      <c r="C8183" s="6" t="str">
        <f ca="1">IFERROR(__xludf.DUMMYFUNCTION("""COMPUTED_VALUE"""),"PASAJE SURINAME 097 B")</f>
        <v>PASAJE SURINAME 097 B</v>
      </c>
      <c r="D8183" s="6" t="str">
        <f ca="1">IFERROR(__xludf.DUMMYFUNCTION("""COMPUTED_VALUE"""),"EL MONTE")</f>
        <v>EL MONTE</v>
      </c>
    </row>
    <row r="8184" spans="1:4">
      <c r="A8184" s="7">
        <f ca="1">IFERROR(__xludf.DUMMYFUNCTION("""COMPUTED_VALUE"""),44685)</f>
        <v>44685</v>
      </c>
      <c r="B8184" s="8" t="str">
        <f ca="1">IFERROR(__xludf.DUMMYFUNCTION("""COMPUTED_VALUE"""),"-33.759778,-70.738417")</f>
        <v>-33.759778,-70.738417</v>
      </c>
      <c r="C8184" s="6" t="str">
        <f ca="1">IFERROR(__xludf.DUMMYFUNCTION("""COMPUTED_VALUE"""),"EL ALBA 2759")</f>
        <v>EL ALBA 2759</v>
      </c>
      <c r="D8184" s="6" t="str">
        <f ca="1">IFERROR(__xludf.DUMMYFUNCTION("""COMPUTED_VALUE"""),"BUIN")</f>
        <v>BUIN</v>
      </c>
    </row>
    <row r="8185" spans="1:4">
      <c r="A8185" s="7">
        <f ca="1">IFERROR(__xludf.DUMMYFUNCTION("""COMPUTED_VALUE"""),44685)</f>
        <v>44685</v>
      </c>
      <c r="B8185" s="8" t="str">
        <f ca="1">IFERROR(__xludf.DUMMYFUNCTION("""COMPUTED_VALUE"""),"-33.639015,-71.192705")</f>
        <v>-33.639015,-71.192705</v>
      </c>
      <c r="C8185" s="6" t="str">
        <f ca="1">IFERROR(__xludf.DUMMYFUNCTION("""COMPUTED_VALUE"""),"EL TRANSITO 28")</f>
        <v>EL TRANSITO 28</v>
      </c>
      <c r="D8185" s="6" t="str">
        <f ca="1">IFERROR(__xludf.DUMMYFUNCTION("""COMPUTED_VALUE"""),"MELIPILLA")</f>
        <v>MELIPILLA</v>
      </c>
    </row>
    <row r="8186" spans="1:4">
      <c r="A8186" s="7">
        <f ca="1">IFERROR(__xludf.DUMMYFUNCTION("""COMPUTED_VALUE"""),44685)</f>
        <v>44685</v>
      </c>
      <c r="B8186" s="8" t="str">
        <f ca="1">IFERROR(__xludf.DUMMYFUNCTION("""COMPUTED_VALUE"""),"-33.739192,-71.224122")</f>
        <v>-33.739192,-71.224122</v>
      </c>
      <c r="C8186" s="6" t="str">
        <f ca="1">IFERROR(__xludf.DUMMYFUNCTION("""COMPUTED_VALUE"""),"ISLA DE CHOCALAN RUTA G90")</f>
        <v>ISLA DE CHOCALAN RUTA G90</v>
      </c>
      <c r="D8186" s="6" t="str">
        <f ca="1">IFERROR(__xludf.DUMMYFUNCTION("""COMPUTED_VALUE"""),"MELIPILLA")</f>
        <v>MELIPILLA</v>
      </c>
    </row>
    <row r="8187" spans="1:4">
      <c r="A8187" s="7">
        <f ca="1">IFERROR(__xludf.DUMMYFUNCTION("""COMPUTED_VALUE"""),44685)</f>
        <v>44685</v>
      </c>
      <c r="B8187" s="8" t="str">
        <f ca="1">IFERROR(__xludf.DUMMYFUNCTION("""COMPUTED_VALUE"""),"-33.759778,-70.738417")</f>
        <v>-33.759778,-70.738417</v>
      </c>
      <c r="C8187" s="6" t="str">
        <f ca="1">IFERROR(__xludf.DUMMYFUNCTION("""COMPUTED_VALUE"""),"EL ALBA 2759")</f>
        <v>EL ALBA 2759</v>
      </c>
      <c r="D8187" s="6" t="str">
        <f ca="1">IFERROR(__xludf.DUMMYFUNCTION("""COMPUTED_VALUE"""),"BUIN")</f>
        <v>BUIN</v>
      </c>
    </row>
    <row r="8188" spans="1:4">
      <c r="A8188" s="7">
        <f ca="1">IFERROR(__xludf.DUMMYFUNCTION("""COMPUTED_VALUE"""),44685)</f>
        <v>44685</v>
      </c>
      <c r="B8188" s="6" t="str">
        <f ca="1">IFERROR(__xludf.DUMMYFUNCTION("""COMPUTED_VALUE"""),"-33.812996,-70.738751")</f>
        <v>-33.812996,-70.738751</v>
      </c>
      <c r="C8188" s="6" t="str">
        <f ca="1">IFERROR(__xludf.DUMMYFUNCTION("""COMPUTED_VALUE"""),"IGNACIO CARRERA PINTO 402")</f>
        <v>IGNACIO CARRERA PINTO 402</v>
      </c>
      <c r="D8188" s="6" t="str">
        <f ca="1">IFERROR(__xludf.DUMMYFUNCTION("""COMPUTED_VALUE"""),"PAINE")</f>
        <v>PAINE</v>
      </c>
    </row>
    <row r="8189" spans="1:4">
      <c r="A8189" s="7">
        <f ca="1">IFERROR(__xludf.DUMMYFUNCTION("""COMPUTED_VALUE"""),44685)</f>
        <v>44685</v>
      </c>
      <c r="B8189" s="6" t="str">
        <f ca="1">IFERROR(__xludf.DUMMYFUNCTION("""COMPUTED_VALUE"""),"-33.8639655,-70.7501996")</f>
        <v>-33.8639655,-70.7501996</v>
      </c>
      <c r="C8189" s="6" t="str">
        <f ca="1">IFERROR(__xludf.DUMMYFUNCTION("""COMPUTED_VALUE"""),"LAS ACACIAS 1186")</f>
        <v>LAS ACACIAS 1186</v>
      </c>
      <c r="D8189" s="6" t="str">
        <f ca="1">IFERROR(__xludf.DUMMYFUNCTION("""COMPUTED_VALUE"""),"PAINE")</f>
        <v>PAINE</v>
      </c>
    </row>
    <row r="8190" spans="1:4">
      <c r="A8190" s="7">
        <f ca="1">IFERROR(__xludf.DUMMYFUNCTION("""COMPUTED_VALUE"""),44685)</f>
        <v>44685</v>
      </c>
      <c r="B8190" s="6" t="str">
        <f ca="1">IFERROR(__xludf.DUMMYFUNCTION("""COMPUTED_VALUE"""),"-33.8748895,-70.7437731")</f>
        <v>-33.8748895,-70.7437731</v>
      </c>
      <c r="C8190" s="6" t="str">
        <f ca="1">IFERROR(__xludf.DUMMYFUNCTION("""COMPUTED_VALUE"""),"DIEGO PORTALES SUR 27")</f>
        <v>DIEGO PORTALES SUR 27</v>
      </c>
      <c r="D8190" s="6" t="str">
        <f ca="1">IFERROR(__xludf.DUMMYFUNCTION("""COMPUTED_VALUE"""),"PAINE")</f>
        <v>PAINE</v>
      </c>
    </row>
    <row r="8191" spans="1:4">
      <c r="A8191" s="7">
        <f ca="1">IFERROR(__xludf.DUMMYFUNCTION("""COMPUTED_VALUE"""),44685)</f>
        <v>44685</v>
      </c>
      <c r="B8191" s="6" t="str">
        <f ca="1">IFERROR(__xludf.DUMMYFUNCTION("""COMPUTED_VALUE"""),"-33.8746346,-70.7436621")</f>
        <v>-33.8746346,-70.7436621</v>
      </c>
      <c r="C8191" s="6" t="str">
        <f ca="1">IFERROR(__xludf.DUMMYFUNCTION("""COMPUTED_VALUE"""),"DIEGO PORTALES 27A")</f>
        <v>DIEGO PORTALES 27A</v>
      </c>
      <c r="D8191" s="6" t="str">
        <f ca="1">IFERROR(__xludf.DUMMYFUNCTION("""COMPUTED_VALUE"""),"PAINE")</f>
        <v>PAINE</v>
      </c>
    </row>
    <row r="8192" spans="1:4">
      <c r="A8192" s="7">
        <f ca="1">IFERROR(__xludf.DUMMYFUNCTION("""COMPUTED_VALUE"""),44685)</f>
        <v>44685</v>
      </c>
      <c r="B8192" s="6" t="str">
        <f ca="1">IFERROR(__xludf.DUMMYFUNCTION("""COMPUTED_VALUE"""),"-33.814502,-70.736321")</f>
        <v>-33.814502,-70.736321</v>
      </c>
      <c r="C8192" s="6" t="str">
        <f ca="1">IFERROR(__xludf.DUMMYFUNCTION("""COMPUTED_VALUE"""),"BUIN 1030")</f>
        <v>BUIN 1030</v>
      </c>
      <c r="D8192" s="6" t="str">
        <f ca="1">IFERROR(__xludf.DUMMYFUNCTION("""COMPUTED_VALUE"""),"PAINE")</f>
        <v>PAINE</v>
      </c>
    </row>
    <row r="8193" spans="1:4">
      <c r="A8193" s="7">
        <f ca="1">IFERROR(__xludf.DUMMYFUNCTION("""COMPUTED_VALUE"""),44685)</f>
        <v>44685</v>
      </c>
      <c r="B8193" s="6" t="str">
        <f ca="1">IFERROR(__xludf.DUMMYFUNCTION("""COMPUTED_VALUE"""),"-33.813949,-70.736048")</f>
        <v>-33.813949,-70.736048</v>
      </c>
      <c r="C8193" s="6" t="str">
        <f ca="1">IFERROR(__xludf.DUMMYFUNCTION("""COMPUTED_VALUE"""),"BUIN 982")</f>
        <v>BUIN 982</v>
      </c>
      <c r="D8193" s="6" t="str">
        <f ca="1">IFERROR(__xludf.DUMMYFUNCTION("""COMPUTED_VALUE"""),"PAINE")</f>
        <v>PAINE</v>
      </c>
    </row>
    <row r="8194" spans="1:4">
      <c r="A8194" s="7">
        <f ca="1">IFERROR(__xludf.DUMMYFUNCTION("""COMPUTED_VALUE"""),44686)</f>
        <v>44686</v>
      </c>
      <c r="B8194" s="8" t="str">
        <f ca="1">IFERROR(__xludf.DUMMYFUNCTION("""COMPUTED_VALUE"""),"-33.4381821, -70.5990382")</f>
        <v>-33.4381821, -70.5990382</v>
      </c>
      <c r="C8194" s="6" t="str">
        <f ca="1">IFERROR(__xludf.DUMMYFUNCTION("""COMPUTED_VALUE"""),"CAMINO PADRE HURTADO 35")</f>
        <v>CAMINO PADRE HURTADO 35</v>
      </c>
      <c r="D8194" s="6" t="str">
        <f ca="1">IFERROR(__xludf.DUMMYFUNCTION("""COMPUTED_VALUE"""),"PAINE")</f>
        <v>PAINE</v>
      </c>
    </row>
    <row r="8195" spans="1:4">
      <c r="A8195" s="7">
        <f ca="1">IFERROR(__xludf.DUMMYFUNCTION("""COMPUTED_VALUE"""),44686)</f>
        <v>44686</v>
      </c>
      <c r="B8195" s="8" t="str">
        <f ca="1">IFERROR(__xludf.DUMMYFUNCTION("""COMPUTED_VALUE"""),"-33.8173169, -70.741907")</f>
        <v>-33.8173169, -70.741907</v>
      </c>
      <c r="C8195" s="6" t="str">
        <f ca="1">IFERROR(__xludf.DUMMYFUNCTION("""COMPUTED_VALUE"""),"CALLE UNO 1104")</f>
        <v>CALLE UNO 1104</v>
      </c>
      <c r="D8195" s="6" t="str">
        <f ca="1">IFERROR(__xludf.DUMMYFUNCTION("""COMPUTED_VALUE"""),"PAINE")</f>
        <v>PAINE</v>
      </c>
    </row>
    <row r="8196" spans="1:4">
      <c r="A8196" s="7">
        <f ca="1">IFERROR(__xludf.DUMMYFUNCTION("""COMPUTED_VALUE"""),44686)</f>
        <v>44686</v>
      </c>
      <c r="B8196" s="6" t="str">
        <f ca="1">IFERROR(__xludf.DUMMYFUNCTION("""COMPUTED_VALUE"""),"-33.72708-70.53832")</f>
        <v>-33.72708-70.53832</v>
      </c>
      <c r="C8196" s="6" t="str">
        <f ca="1">IFERROR(__xludf.DUMMYFUNCTION("""COMPUTED_VALUE"""),"CALLE LA ESCUELA 93")</f>
        <v>CALLE LA ESCUELA 93</v>
      </c>
      <c r="D8196" s="6" t="str">
        <f ca="1">IFERROR(__xludf.DUMMYFUNCTION("""COMPUTED_VALUE"""),"PIRQUE")</f>
        <v>PIRQUE</v>
      </c>
    </row>
    <row r="8197" spans="1:4">
      <c r="A8197" s="7">
        <f ca="1">IFERROR(__xludf.DUMMYFUNCTION("""COMPUTED_VALUE"""),44686)</f>
        <v>44686</v>
      </c>
      <c r="B8197" s="6" t="str">
        <f ca="1">IFERROR(__xludf.DUMMYFUNCTION("""COMPUTED_VALUE"""),"-33.706225-70.539140")</f>
        <v>-33.706225-70.539140</v>
      </c>
      <c r="C8197" s="6" t="str">
        <f ca="1">IFERROR(__xludf.DUMMYFUNCTION("""COMPUTED_VALUE"""),"ORILLA DEL RIO S/N")</f>
        <v>ORILLA DEL RIO S/N</v>
      </c>
      <c r="D8197" s="6" t="str">
        <f ca="1">IFERROR(__xludf.DUMMYFUNCTION("""COMPUTED_VALUE"""),"PIRQUE")</f>
        <v>PIRQUE</v>
      </c>
    </row>
    <row r="8198" spans="1:4">
      <c r="A8198" s="7">
        <f ca="1">IFERROR(__xludf.DUMMYFUNCTION("""COMPUTED_VALUE"""),44686)</f>
        <v>44686</v>
      </c>
      <c r="B8198" s="6" t="str">
        <f ca="1">IFERROR(__xludf.DUMMYFUNCTION("""COMPUTED_VALUE"""),"-33.569978-70.807500")</f>
        <v>-33.569978-70.807500</v>
      </c>
      <c r="C8198" s="6" t="str">
        <f ca="1">IFERROR(__xludf.DUMMYFUNCTION("""COMPUTED_VALUE"""),"LIMA 567")</f>
        <v>LIMA 567</v>
      </c>
      <c r="D8198" s="6" t="str">
        <f ca="1">IFERROR(__xludf.DUMMYFUNCTION("""COMPUTED_VALUE"""),"PADRE HURTADO")</f>
        <v>PADRE HURTADO</v>
      </c>
    </row>
    <row r="8199" spans="1:4">
      <c r="A8199" s="7">
        <f ca="1">IFERROR(__xludf.DUMMYFUNCTION("""COMPUTED_VALUE"""),44686)</f>
        <v>44686</v>
      </c>
      <c r="B8199" s="8" t="str">
        <f ca="1">IFERROR(__xludf.DUMMYFUNCTION("""COMPUTED_VALUE"""),"-33.691134,-70.577497")</f>
        <v>-33.691134,-70.577497</v>
      </c>
      <c r="C8199" s="6" t="str">
        <f ca="1">IFERROR(__xludf.DUMMYFUNCTION("""COMPUTED_VALUE"""),"los bandurrios sitio 5 lote g")</f>
        <v>los bandurrios sitio 5 lote g</v>
      </c>
      <c r="D8199" s="6" t="str">
        <f ca="1">IFERROR(__xludf.DUMMYFUNCTION("""COMPUTED_VALUE"""),"PIRQUE")</f>
        <v>PIRQUE</v>
      </c>
    </row>
    <row r="8200" spans="1:4">
      <c r="A8200" s="7">
        <f ca="1">IFERROR(__xludf.DUMMYFUNCTION("""COMPUTED_VALUE"""),44686)</f>
        <v>44686</v>
      </c>
      <c r="B8200" s="8" t="str">
        <f ca="1">IFERROR(__xludf.DUMMYFUNCTION("""COMPUTED_VALUE"""),"-33.689738,-70.577043")</f>
        <v>-33.689738,-70.577043</v>
      </c>
      <c r="C8200" s="6" t="str">
        <f ca="1">IFERROR(__xludf.DUMMYFUNCTION("""COMPUTED_VALUE"""),"CAMINO LA MEDIA LUNA")</f>
        <v>CAMINO LA MEDIA LUNA</v>
      </c>
      <c r="D8200" s="6" t="str">
        <f ca="1">IFERROR(__xludf.DUMMYFUNCTION("""COMPUTED_VALUE"""),"PIRQUE")</f>
        <v>PIRQUE</v>
      </c>
    </row>
    <row r="8201" spans="1:4">
      <c r="A8201" s="7">
        <f ca="1">IFERROR(__xludf.DUMMYFUNCTION("""COMPUTED_VALUE"""),44686)</f>
        <v>44686</v>
      </c>
      <c r="B8201" s="8" t="str">
        <f ca="1">IFERROR(__xludf.DUMMYFUNCTION("""COMPUTED_VALUE"""),"-33.650841,-70.569641")</f>
        <v>-33.650841,-70.569641</v>
      </c>
      <c r="C8201" s="6" t="str">
        <f ca="1">IFERROR(__xludf.DUMMYFUNCTION("""COMPUTED_VALUE"""),"GABRIELA MISTRAL 352")</f>
        <v>GABRIELA MISTRAL 352</v>
      </c>
      <c r="D8201" s="6" t="str">
        <f ca="1">IFERROR(__xludf.DUMMYFUNCTION("""COMPUTED_VALUE"""),"PIRQUE")</f>
        <v>PIRQUE</v>
      </c>
    </row>
    <row r="8202" spans="1:4">
      <c r="A8202" s="7">
        <f ca="1">IFERROR(__xludf.DUMMYFUNCTION("""COMPUTED_VALUE"""),44686)</f>
        <v>44686</v>
      </c>
      <c r="B8202" s="8" t="str">
        <f ca="1">IFERROR(__xludf.DUMMYFUNCTION("""COMPUTED_VALUE"""),"-33.714842,-70.550369")</f>
        <v>-33.714842,-70.550369</v>
      </c>
      <c r="C8202" s="6" t="str">
        <f ca="1">IFERROR(__xludf.DUMMYFUNCTION("""COMPUTED_VALUE"""),"CAM. EL CHALICO 56 D")</f>
        <v>CAM. EL CHALICO 56 D</v>
      </c>
      <c r="D8202" s="6" t="str">
        <f ca="1">IFERROR(__xludf.DUMMYFUNCTION("""COMPUTED_VALUE"""),"PIRQUE")</f>
        <v>PIRQUE</v>
      </c>
    </row>
    <row r="8203" spans="1:4">
      <c r="A8203" s="7">
        <f ca="1">IFERROR(__xludf.DUMMYFUNCTION("""COMPUTED_VALUE"""),44686)</f>
        <v>44686</v>
      </c>
      <c r="B8203" s="6" t="str">
        <f ca="1">IFERROR(__xludf.DUMMYFUNCTION("""COMPUTED_VALUE"""),"-33.749299,-70.923012")</f>
        <v>-33.749299,-70.923012</v>
      </c>
      <c r="C8203" s="6" t="str">
        <f ca="1">IFERROR(__xludf.DUMMYFUNCTION("""COMPUTED_VALUE"""),"FLORIAN 246")</f>
        <v>FLORIAN 246</v>
      </c>
      <c r="D8203" s="6" t="str">
        <f ca="1">IFERROR(__xludf.DUMMYFUNCTION("""COMPUTED_VALUE"""),"ISLA DE MAIPO")</f>
        <v>ISLA DE MAIPO</v>
      </c>
    </row>
    <row r="8204" spans="1:4">
      <c r="A8204" s="7">
        <f ca="1">IFERROR(__xludf.DUMMYFUNCTION("""COMPUTED_VALUE"""),44686)</f>
        <v>44686</v>
      </c>
      <c r="B8204" s="6" t="str">
        <f ca="1">IFERROR(__xludf.DUMMYFUNCTION("""COMPUTED_VALUE"""),"-33.796621,-70.775880")</f>
        <v>-33.796621,-70.775880</v>
      </c>
      <c r="C8204" s="6" t="str">
        <f ca="1">IFERROR(__xludf.DUMMYFUNCTION("""COMPUTED_VALUE"""),"PA  LOS SILOS 027 VILUCO ")</f>
        <v xml:space="preserve">PA  LOS SILOS 027 VILUCO </v>
      </c>
      <c r="D8204" s="6" t="str">
        <f ca="1">IFERROR(__xludf.DUMMYFUNCTION("""COMPUTED_VALUE"""),"BUIN")</f>
        <v>BUIN</v>
      </c>
    </row>
    <row r="8205" spans="1:4">
      <c r="A8205" s="7">
        <f ca="1">IFERROR(__xludf.DUMMYFUNCTION("""COMPUTED_VALUE"""),44686)</f>
        <v>44686</v>
      </c>
      <c r="B8205" s="6" t="str">
        <f ca="1">IFERROR(__xludf.DUMMYFUNCTION("""COMPUTED_VALUE"""),"-33.814539,-70.846756")</f>
        <v>-33.814539,-70.846756</v>
      </c>
      <c r="C8205" s="6" t="str">
        <f ca="1">IFERROR(__xludf.DUMMYFUNCTION("""COMPUTED_VALUE"""),"CO  CAMPUSANO LAS PATAGUAS 8619 PC 28")</f>
        <v>CO  CAMPUSANO LAS PATAGUAS 8619 PC 28</v>
      </c>
      <c r="D8205" s="6" t="str">
        <f ca="1">IFERROR(__xludf.DUMMYFUNCTION("""COMPUTED_VALUE"""),"BUIN")</f>
        <v>BUIN</v>
      </c>
    </row>
    <row r="8206" spans="1:4">
      <c r="A8206" s="7">
        <f ca="1">IFERROR(__xludf.DUMMYFUNCTION("""COMPUTED_VALUE"""),44686)</f>
        <v>44686</v>
      </c>
      <c r="B8206" s="6" t="str">
        <f ca="1">IFERROR(__xludf.DUMMYFUNCTION("""COMPUTED_VALUE"""),"-33.729637,-70.990711")</f>
        <v>-33.729637,-70.990711</v>
      </c>
      <c r="C8206" s="6" t="str">
        <f ca="1">IFERROR(__xludf.DUMMYFUNCTION("""COMPUTED_VALUE"""),"COYHAIQUE 345")</f>
        <v>COYHAIQUE 345</v>
      </c>
      <c r="D8206" s="6" t="str">
        <f ca="1">IFERROR(__xludf.DUMMYFUNCTION("""COMPUTED_VALUE"""),"ISLA DE MAIPO")</f>
        <v>ISLA DE MAIPO</v>
      </c>
    </row>
    <row r="8207" spans="1:4">
      <c r="A8207" s="7">
        <f ca="1">IFERROR(__xludf.DUMMYFUNCTION("""COMPUTED_VALUE"""),44686)</f>
        <v>44686</v>
      </c>
      <c r="B8207" s="8" t="str">
        <f ca="1">IFERROR(__xludf.DUMMYFUNCTION("""COMPUTED_VALUE"""),"-33.630404,-70.767133")</f>
        <v>-33.630404,-70.767133</v>
      </c>
      <c r="C8207" s="6" t="str">
        <f ca="1">IFERROR(__xludf.DUMMYFUNCTION("""COMPUTED_VALUE"""),"EL CARMEN ROL 9-11")</f>
        <v>EL CARMEN ROL 9-11</v>
      </c>
      <c r="D8207" s="6" t="str">
        <f ca="1">IFERROR(__xludf.DUMMYFUNCTION("""COMPUTED_VALUE"""),"CALERA DE TANGO")</f>
        <v>CALERA DE TANGO</v>
      </c>
    </row>
    <row r="8208" spans="1:4">
      <c r="A8208" s="7">
        <f ca="1">IFERROR(__xludf.DUMMYFUNCTION("""COMPUTED_VALUE"""),44686)</f>
        <v>44686</v>
      </c>
      <c r="B8208" s="8" t="str">
        <f ca="1">IFERROR(__xludf.DUMMYFUNCTION("""COMPUTED_VALUE"""),"-33.768593,-71.246942")</f>
        <v>-33.768593,-71.246942</v>
      </c>
      <c r="C8208" s="6" t="str">
        <f ca="1">IFERROR(__xludf.DUMMYFUNCTION("""COMPUTED_VALUE"""),"PARCELA 1E CULIPRAN")</f>
        <v>PARCELA 1E CULIPRAN</v>
      </c>
      <c r="D8208" s="6" t="str">
        <f ca="1">IFERROR(__xludf.DUMMYFUNCTION("""COMPUTED_VALUE"""),"MELIPILLA")</f>
        <v>MELIPILLA</v>
      </c>
    </row>
    <row r="8209" spans="1:4">
      <c r="A8209" s="7">
        <f ca="1">IFERROR(__xludf.DUMMYFUNCTION("""COMPUTED_VALUE"""),44686)</f>
        <v>44686</v>
      </c>
      <c r="B8209" s="6" t="str">
        <f ca="1">IFERROR(__xludf.DUMMYFUNCTION("""COMPUTED_VALUE"""),"-33.803204,-70.717006")</f>
        <v>-33.803204,-70.717006</v>
      </c>
      <c r="C8209" s="6" t="str">
        <f ca="1">IFERROR(__xludf.DUMMYFUNCTION("""COMPUTED_VALUE"""),"COND LOS LAURELES 290 CASA V")</f>
        <v>COND LOS LAURELES 290 CASA V</v>
      </c>
      <c r="D8209" s="6" t="str">
        <f ca="1">IFERROR(__xludf.DUMMYFUNCTION("""COMPUTED_VALUE"""),"PAINE")</f>
        <v>PAINE</v>
      </c>
    </row>
    <row r="8210" spans="1:4">
      <c r="A8210" s="7">
        <f ca="1">IFERROR(__xludf.DUMMYFUNCTION("""COMPUTED_VALUE"""),44686)</f>
        <v>44686</v>
      </c>
      <c r="B8210" s="6" t="str">
        <f ca="1">IFERROR(__xludf.DUMMYFUNCTION("""COMPUTED_VALUE"""),"-33.889223,-70.724806")</f>
        <v>-33.889223,-70.724806</v>
      </c>
      <c r="C8210" s="6" t="str">
        <f ca="1">IFERROR(__xludf.DUMMYFUNCTION("""COMPUTED_VALUE"""),"CALLE S/N PARC 61 COLONIAS DE PAINE")</f>
        <v>CALLE S/N PARC 61 COLONIAS DE PAINE</v>
      </c>
      <c r="D8210" s="6" t="str">
        <f ca="1">IFERROR(__xludf.DUMMYFUNCTION("""COMPUTED_VALUE"""),"PAINE")</f>
        <v>PAINE</v>
      </c>
    </row>
    <row r="8211" spans="1:4">
      <c r="A8211" s="7">
        <f ca="1">IFERROR(__xludf.DUMMYFUNCTION("""COMPUTED_VALUE"""),44686)</f>
        <v>44686</v>
      </c>
      <c r="B8211" s="6" t="str">
        <f ca="1">IFERROR(__xludf.DUMMYFUNCTION("""COMPUTED_VALUE"""),"-33.749431,-70.732281")</f>
        <v>-33.749431,-70.732281</v>
      </c>
      <c r="C8211" s="6" t="str">
        <f ca="1">IFERROR(__xludf.DUMMYFUNCTION("""COMPUTED_VALUE"""),"LOS ROBLES 0278")</f>
        <v>LOS ROBLES 0278</v>
      </c>
      <c r="D8211" s="6" t="str">
        <f ca="1">IFERROR(__xludf.DUMMYFUNCTION("""COMPUTED_VALUE"""),"BUIN")</f>
        <v>BUIN</v>
      </c>
    </row>
    <row r="8212" spans="1:4">
      <c r="A8212" s="7">
        <f ca="1">IFERROR(__xludf.DUMMYFUNCTION("""COMPUTED_VALUE"""),44686)</f>
        <v>44686</v>
      </c>
      <c r="B8212" s="6" t="str">
        <f ca="1">IFERROR(__xludf.DUMMYFUNCTION("""COMPUTED_VALUE"""),"-33.8776055,-70.7444350")</f>
        <v>-33.8776055,-70.7444350</v>
      </c>
      <c r="C8212" s="6" t="str">
        <f ca="1">IFERROR(__xludf.DUMMYFUNCTION("""COMPUTED_VALUE"""),"EL PORVENIR 10A")</f>
        <v>EL PORVENIR 10A</v>
      </c>
      <c r="D8212" s="6" t="str">
        <f ca="1">IFERROR(__xludf.DUMMYFUNCTION("""COMPUTED_VALUE"""),"PAINE")</f>
        <v>PAINE</v>
      </c>
    </row>
    <row r="8213" spans="1:4">
      <c r="A8213" s="7">
        <f ca="1">IFERROR(__xludf.DUMMYFUNCTION("""COMPUTED_VALUE"""),44686)</f>
        <v>44686</v>
      </c>
      <c r="B8213" s="6" t="str">
        <f ca="1">IFERROR(__xludf.DUMMYFUNCTION("""COMPUTED_VALUE"""),"-33.8776055,-70.7444350")</f>
        <v>-33.8776055,-70.7444350</v>
      </c>
      <c r="C8213" s="6" t="str">
        <f ca="1">IFERROR(__xludf.DUMMYFUNCTION("""COMPUTED_VALUE"""),"EL PORVENIR 10B")</f>
        <v>EL PORVENIR 10B</v>
      </c>
      <c r="D8213" s="6" t="str">
        <f ca="1">IFERROR(__xludf.DUMMYFUNCTION("""COMPUTED_VALUE"""),"PAINE")</f>
        <v>PAINE</v>
      </c>
    </row>
    <row r="8214" spans="1:4">
      <c r="A8214" s="7">
        <f ca="1">IFERROR(__xludf.DUMMYFUNCTION("""COMPUTED_VALUE"""),44686)</f>
        <v>44686</v>
      </c>
      <c r="B8214" s="6" t="str">
        <f ca="1">IFERROR(__xludf.DUMMYFUNCTION("""COMPUTED_VALUE"""),"-33.8776055,-70.7444350")</f>
        <v>-33.8776055,-70.7444350</v>
      </c>
      <c r="C8214" s="6" t="str">
        <f ca="1">IFERROR(__xludf.DUMMYFUNCTION("""COMPUTED_VALUE"""),"EL PORVENIR 10C")</f>
        <v>EL PORVENIR 10C</v>
      </c>
      <c r="D8214" s="6" t="str">
        <f ca="1">IFERROR(__xludf.DUMMYFUNCTION("""COMPUTED_VALUE"""),"PAINE")</f>
        <v>PAINE</v>
      </c>
    </row>
    <row r="8215" spans="1:4">
      <c r="A8215" s="7">
        <f ca="1">IFERROR(__xludf.DUMMYFUNCTION("""COMPUTED_VALUE"""),44686)</f>
        <v>44686</v>
      </c>
      <c r="B8215" s="6" t="str">
        <f ca="1">IFERROR(__xludf.DUMMYFUNCTION("""COMPUTED_VALUE"""),"-33.855792,-70.741098")</f>
        <v>-33.855792,-70.741098</v>
      </c>
      <c r="C8215" s="6" t="str">
        <f ca="1">IFERROR(__xludf.DUMMYFUNCTION("""COMPUTED_VALUE"""),"AV. ROMERO PARCELA 29")</f>
        <v>AV. ROMERO PARCELA 29</v>
      </c>
      <c r="D8215" s="6" t="str">
        <f ca="1">IFERROR(__xludf.DUMMYFUNCTION("""COMPUTED_VALUE"""),"PAINE")</f>
        <v>PAINE</v>
      </c>
    </row>
    <row r="8216" spans="1:4">
      <c r="A8216" s="7">
        <f ca="1">IFERROR(__xludf.DUMMYFUNCTION("""COMPUTED_VALUE"""),44686)</f>
        <v>44686</v>
      </c>
      <c r="B8216" s="6" t="str">
        <f ca="1">IFERROR(__xludf.DUMMYFUNCTION("""COMPUTED_VALUE"""),"-33.857693,-70.740542")</f>
        <v>-33.857693,-70.740542</v>
      </c>
      <c r="C8216" s="6" t="str">
        <f ca="1">IFERROR(__xludf.DUMMYFUNCTION("""COMPUTED_VALUE"""),"EL ROMERO 130")</f>
        <v>EL ROMERO 130</v>
      </c>
      <c r="D8216" s="6" t="str">
        <f ca="1">IFERROR(__xludf.DUMMYFUNCTION("""COMPUTED_VALUE"""),"PAINE")</f>
        <v>PAINE</v>
      </c>
    </row>
    <row r="8217" spans="1:4">
      <c r="A8217" s="7">
        <f ca="1">IFERROR(__xludf.DUMMYFUNCTION("""COMPUTED_VALUE"""),44686)</f>
        <v>44686</v>
      </c>
      <c r="B8217" s="6" t="str">
        <f ca="1">IFERROR(__xludf.DUMMYFUNCTION("""COMPUTED_VALUE"""),"-33.859263,-70.741300")</f>
        <v>-33.859263,-70.741300</v>
      </c>
      <c r="C8217" s="6" t="str">
        <f ca="1">IFERROR(__xludf.DUMMYFUNCTION("""COMPUTED_VALUE"""),"UNION NORTE 131")</f>
        <v>UNION NORTE 131</v>
      </c>
      <c r="D8217" s="6" t="str">
        <f ca="1">IFERROR(__xludf.DUMMYFUNCTION("""COMPUTED_VALUE"""),"PAINE")</f>
        <v>PAINE</v>
      </c>
    </row>
    <row r="8218" spans="1:4">
      <c r="A8218" s="7">
        <f ca="1">IFERROR(__xludf.DUMMYFUNCTION("""COMPUTED_VALUE"""),44687)</f>
        <v>44687</v>
      </c>
      <c r="B8218" s="8" t="str">
        <f ca="1">IFERROR(__xludf.DUMMYFUNCTION("""COMPUTED_VALUE"""),"-33.7445792, -70.8708031")</f>
        <v>-33.7445792, -70.8708031</v>
      </c>
      <c r="C8218" s="6" t="str">
        <f ca="1">IFERROR(__xludf.DUMMYFUNCTION("""COMPUTED_VALUE"""),"PASAJE DOS 452")</f>
        <v>PASAJE DOS 452</v>
      </c>
      <c r="D8218" s="6" t="str">
        <f ca="1">IFERROR(__xludf.DUMMYFUNCTION("""COMPUTED_VALUE"""),"ISLA DE MAIPO")</f>
        <v>ISLA DE MAIPO</v>
      </c>
    </row>
    <row r="8219" spans="1:4">
      <c r="A8219" s="7">
        <f ca="1">IFERROR(__xludf.DUMMYFUNCTION("""COMPUTED_VALUE"""),44687)</f>
        <v>44687</v>
      </c>
      <c r="B8219" s="8" t="str">
        <f ca="1">IFERROR(__xludf.DUMMYFUNCTION("""COMPUTED_VALUE"""),"-33.6652256, -70.9148715")</f>
        <v>-33.6652256, -70.9148715</v>
      </c>
      <c r="C8219" s="6" t="str">
        <f ca="1">IFERROR(__xludf.DUMMYFUNCTION("""COMPUTED_VALUE"""),"BENEDICTO AGUADO HOCES 157")</f>
        <v>BENEDICTO AGUADO HOCES 157</v>
      </c>
      <c r="D8219" s="6" t="str">
        <f ca="1">IFERROR(__xludf.DUMMYFUNCTION("""COMPUTED_VALUE"""),"TALAGANTE")</f>
        <v>TALAGANTE</v>
      </c>
    </row>
    <row r="8220" spans="1:4">
      <c r="A8220" s="7">
        <f ca="1">IFERROR(__xludf.DUMMYFUNCTION("""COMPUTED_VALUE"""),44687)</f>
        <v>44687</v>
      </c>
      <c r="B8220" s="6" t="str">
        <f ca="1">IFERROR(__xludf.DUMMYFUNCTION("""COMPUTED_VALUE"""),"-33.802955-70.727350")</f>
        <v>-33.802955-70.727350</v>
      </c>
      <c r="C8220" s="6" t="str">
        <f ca="1">IFERROR(__xludf.DUMMYFUNCTION("""COMPUTED_VALUE"""),"GUSTAVO MARTINEZ VERA 41")</f>
        <v>GUSTAVO MARTINEZ VERA 41</v>
      </c>
      <c r="D8220" s="6" t="str">
        <f ca="1">IFERROR(__xludf.DUMMYFUNCTION("""COMPUTED_VALUE"""),"PAINE")</f>
        <v>PAINE</v>
      </c>
    </row>
    <row r="8221" spans="1:4">
      <c r="A8221" s="7">
        <f ca="1">IFERROR(__xludf.DUMMYFUNCTION("""COMPUTED_VALUE"""),44687)</f>
        <v>44687</v>
      </c>
      <c r="B8221" s="8" t="str">
        <f ca="1">IFERROR(__xludf.DUMMYFUNCTION("""COMPUTED_VALUE"""),"-33.708528,-70.527062")</f>
        <v>-33.708528,-70.527062</v>
      </c>
      <c r="C8221" s="6" t="str">
        <f ca="1">IFERROR(__xludf.DUMMYFUNCTION("""COMPUTED_VALUE"""),"ORILLA DEL RIO 173")</f>
        <v>ORILLA DEL RIO 173</v>
      </c>
      <c r="D8221" s="6" t="str">
        <f ca="1">IFERROR(__xludf.DUMMYFUNCTION("""COMPUTED_VALUE"""),"PIRQUE")</f>
        <v>PIRQUE</v>
      </c>
    </row>
    <row r="8222" spans="1:4">
      <c r="A8222" s="7">
        <f ca="1">IFERROR(__xludf.DUMMYFUNCTION("""COMPUTED_VALUE"""),44687)</f>
        <v>44687</v>
      </c>
      <c r="B8222" s="6" t="str">
        <f ca="1">IFERROR(__xludf.DUMMYFUNCTION("""COMPUTED_VALUE"""),"-33.785323,-70.887790")</f>
        <v>-33.785323,-70.887790</v>
      </c>
      <c r="C8222" s="6" t="str">
        <f ca="1">IFERROR(__xludf.DUMMYFUNCTION("""COMPUTED_VALUE"""),"SAN MARTIRIAN 747 B ")</f>
        <v xml:space="preserve">SAN MARTIRIAN 747 B </v>
      </c>
      <c r="D8222" s="6" t="str">
        <f ca="1">IFERROR(__xludf.DUMMYFUNCTION("""COMPUTED_VALUE"""),"ISLA DE MAIPO")</f>
        <v>ISLA DE MAIPO</v>
      </c>
    </row>
    <row r="8223" spans="1:4">
      <c r="A8223" s="7">
        <f ca="1">IFERROR(__xludf.DUMMYFUNCTION("""COMPUTED_VALUE"""),44687)</f>
        <v>44687</v>
      </c>
      <c r="B8223" s="8" t="str">
        <f ca="1">IFERROR(__xludf.DUMMYFUNCTION("""COMPUTED_VALUE"""),"-33.689599,-70.702974")</f>
        <v>-33.689599,-70.702974</v>
      </c>
      <c r="C8223" s="6" t="str">
        <f ca="1">IFERROR(__xludf.DUMMYFUNCTION("""COMPUTED_VALUE"""),"EL RECUERDO N 28 ")</f>
        <v xml:space="preserve">EL RECUERDO N 28 </v>
      </c>
      <c r="D8223" s="6" t="str">
        <f ca="1">IFERROR(__xludf.DUMMYFUNCTION("""COMPUTED_VALUE"""),"BUIN")</f>
        <v>BUIN</v>
      </c>
    </row>
    <row r="8224" spans="1:4">
      <c r="A8224" s="7">
        <f ca="1">IFERROR(__xludf.DUMMYFUNCTION("""COMPUTED_VALUE"""),44687)</f>
        <v>44687</v>
      </c>
      <c r="B8224" s="8" t="str">
        <f ca="1">IFERROR(__xludf.DUMMYFUNCTION("""COMPUTED_VALUE"""),"-33.700103,-70.981048")</f>
        <v>-33.700103,-70.981048</v>
      </c>
      <c r="C8224" s="6" t="str">
        <f ca="1">IFERROR(__xludf.DUMMYFUNCTION("""COMPUTED_VALUE"""),"DOÑA JAVIERA 12")</f>
        <v>DOÑA JAVIERA 12</v>
      </c>
      <c r="D8224" s="6" t="str">
        <f ca="1">IFERROR(__xludf.DUMMYFUNCTION("""COMPUTED_VALUE"""),"TALAGANTE")</f>
        <v>TALAGANTE</v>
      </c>
    </row>
    <row r="8225" spans="1:4">
      <c r="A8225" s="7">
        <f ca="1">IFERROR(__xludf.DUMMYFUNCTION("""COMPUTED_VALUE"""),44687)</f>
        <v>44687</v>
      </c>
      <c r="B8225" s="8" t="str">
        <f ca="1">IFERROR(__xludf.DUMMYFUNCTION("""COMPUTED_VALUE"""),"-33.688252,-71.233527")</f>
        <v>-33.688252,-71.233527</v>
      </c>
      <c r="C8225" s="6" t="str">
        <f ca="1">IFERROR(__xludf.DUMMYFUNCTION("""COMPUTED_VALUE"""),"LAS LOMAS A930")</f>
        <v>LAS LOMAS A930</v>
      </c>
      <c r="D8225" s="6" t="str">
        <f ca="1">IFERROR(__xludf.DUMMYFUNCTION("""COMPUTED_VALUE"""),"MELIPILLA")</f>
        <v>MELIPILLA</v>
      </c>
    </row>
    <row r="8226" spans="1:4">
      <c r="A8226" s="7">
        <f ca="1">IFERROR(__xludf.DUMMYFUNCTION("""COMPUTED_VALUE"""),44687)</f>
        <v>44687</v>
      </c>
      <c r="B8226" s="6" t="str">
        <f ca="1">IFERROR(__xludf.DUMMYFUNCTION("""COMPUTED_VALUE"""),"-33.806210,-70.756766")</f>
        <v>-33.806210,-70.756766</v>
      </c>
      <c r="C8226" s="6" t="str">
        <f ca="1">IFERROR(__xludf.DUMMYFUNCTION("""COMPUTED_VALUE"""),"OCHO PONIENTE 535 VILUCO PC 5 LT3")</f>
        <v>OCHO PONIENTE 535 VILUCO PC 5 LT3</v>
      </c>
      <c r="D8226" s="6" t="str">
        <f ca="1">IFERROR(__xludf.DUMMYFUNCTION("""COMPUTED_VALUE"""),"BUIN")</f>
        <v>BUIN</v>
      </c>
    </row>
    <row r="8227" spans="1:4">
      <c r="A8227" s="7">
        <f ca="1">IFERROR(__xludf.DUMMYFUNCTION("""COMPUTED_VALUE"""),44687)</f>
        <v>44687</v>
      </c>
      <c r="B8227" s="6" t="str">
        <f ca="1">IFERROR(__xludf.DUMMYFUNCTION("""COMPUTED_VALUE"""),"-33.720182,-70.737845")</f>
        <v>-33.720182,-70.737845</v>
      </c>
      <c r="C8227" s="6" t="str">
        <f ca="1">IFERROR(__xludf.DUMMYFUNCTION("""COMPUTED_VALUE"""),"PJE JUAN LUIS SAN FUENTES 674")</f>
        <v>PJE JUAN LUIS SAN FUENTES 674</v>
      </c>
      <c r="D8227" s="6" t="str">
        <f ca="1">IFERROR(__xludf.DUMMYFUNCTION("""COMPUTED_VALUE"""),"BUIN")</f>
        <v>BUIN</v>
      </c>
    </row>
    <row r="8228" spans="1:4">
      <c r="A8228" s="7">
        <f ca="1">IFERROR(__xludf.DUMMYFUNCTION("""COMPUTED_VALUE"""),44687)</f>
        <v>44687</v>
      </c>
      <c r="B8228" s="6" t="str">
        <f ca="1">IFERROR(__xludf.DUMMYFUNCTION("""COMPUTED_VALUE"""),"-33.689598,-70.703464")</f>
        <v>-33.689598,-70.703464</v>
      </c>
      <c r="C8228" s="6" t="str">
        <f ca="1">IFERROR(__xludf.DUMMYFUNCTION("""COMPUTED_VALUE"""),"EL RECURSO 28")</f>
        <v>EL RECURSO 28</v>
      </c>
      <c r="D8228" s="6" t="str">
        <f ca="1">IFERROR(__xludf.DUMMYFUNCTION("""COMPUTED_VALUE"""),"BUIN")</f>
        <v>BUIN</v>
      </c>
    </row>
    <row r="8229" spans="1:4">
      <c r="A8229" s="7">
        <f ca="1">IFERROR(__xludf.DUMMYFUNCTION("""COMPUTED_VALUE"""),44687)</f>
        <v>44687</v>
      </c>
      <c r="B8229" s="6" t="str">
        <f ca="1">IFERROR(__xludf.DUMMYFUNCTION("""COMPUTED_VALUE"""),"-33.8664309,-70.7449076")</f>
        <v>-33.8664309,-70.7449076</v>
      </c>
      <c r="C8229" s="6" t="str">
        <f ca="1">IFERROR(__xludf.DUMMYFUNCTION("""COMPUTED_VALUE"""),"LAS BODEGAS 15")</f>
        <v>LAS BODEGAS 15</v>
      </c>
      <c r="D8229" s="6" t="str">
        <f ca="1">IFERROR(__xludf.DUMMYFUNCTION("""COMPUTED_VALUE"""),"PAINE")</f>
        <v>PAINE</v>
      </c>
    </row>
    <row r="8230" spans="1:4">
      <c r="A8230" s="7">
        <f ca="1">IFERROR(__xludf.DUMMYFUNCTION("""COMPUTED_VALUE"""),44687)</f>
        <v>44687</v>
      </c>
      <c r="B8230" s="6" t="str">
        <f ca="1">IFERROR(__xludf.DUMMYFUNCTION("""COMPUTED_VALUE"""),"-33.859263,-70.741300")</f>
        <v>-33.859263,-70.741300</v>
      </c>
      <c r="C8230" s="6" t="str">
        <f ca="1">IFERROR(__xludf.DUMMYFUNCTION("""COMPUTED_VALUE"""),"UNION NORTE 131")</f>
        <v>UNION NORTE 131</v>
      </c>
      <c r="D8230" s="6" t="str">
        <f ca="1">IFERROR(__xludf.DUMMYFUNCTION("""COMPUTED_VALUE"""),"PAINE")</f>
        <v>PAINE</v>
      </c>
    </row>
    <row r="8231" spans="1:4">
      <c r="A8231" s="7">
        <f ca="1">IFERROR(__xludf.DUMMYFUNCTION("""COMPUTED_VALUE"""),44687)</f>
        <v>44687</v>
      </c>
      <c r="B8231" s="6" t="str">
        <f ca="1">IFERROR(__xludf.DUMMYFUNCTION("""COMPUTED_VALUE"""),"-33.854678,-70.733130")</f>
        <v>-33.854678,-70.733130</v>
      </c>
      <c r="C8231" s="6" t="str">
        <f ca="1">IFERROR(__xludf.DUMMYFUNCTION("""COMPUTED_VALUE"""),"LAS ROSAS 46B")</f>
        <v>LAS ROSAS 46B</v>
      </c>
      <c r="D8231" s="6" t="str">
        <f ca="1">IFERROR(__xludf.DUMMYFUNCTION("""COMPUTED_VALUE"""),"PAINE")</f>
        <v>PAINE</v>
      </c>
    </row>
    <row r="8232" spans="1:4">
      <c r="A8232" s="7">
        <f ca="1">IFERROR(__xludf.DUMMYFUNCTION("""COMPUTED_VALUE"""),44687)</f>
        <v>44687</v>
      </c>
      <c r="B8232" s="6" t="str">
        <f ca="1">IFERROR(__xludf.DUMMYFUNCTION("""COMPUTED_VALUE"""),"-33.854678,-70.733130")</f>
        <v>-33.854678,-70.733130</v>
      </c>
      <c r="C8232" s="6" t="str">
        <f ca="1">IFERROR(__xludf.DUMMYFUNCTION("""COMPUTED_VALUE"""),"LAS ROSAS 46B")</f>
        <v>LAS ROSAS 46B</v>
      </c>
      <c r="D8232" s="6" t="str">
        <f ca="1">IFERROR(__xludf.DUMMYFUNCTION("""COMPUTED_VALUE"""),"PAINE")</f>
        <v>PAINE</v>
      </c>
    </row>
    <row r="8233" spans="1:4">
      <c r="A8233" s="7">
        <f ca="1">IFERROR(__xludf.DUMMYFUNCTION("""COMPUTED_VALUE"""),44687)</f>
        <v>44687</v>
      </c>
      <c r="B8233" s="6" t="str">
        <f ca="1">IFERROR(__xludf.DUMMYFUNCTION("""COMPUTED_VALUE"""),"-33.873435,-70.7438998")</f>
        <v>-33.873435,-70.7438998</v>
      </c>
      <c r="C8233" s="6" t="str">
        <f ca="1">IFERROR(__xludf.DUMMYFUNCTION("""COMPUTED_VALUE"""),"DIEGO PORTALES 25")</f>
        <v>DIEGO PORTALES 25</v>
      </c>
      <c r="D8233" s="6" t="str">
        <f ca="1">IFERROR(__xludf.DUMMYFUNCTION("""COMPUTED_VALUE"""),"PAINE")</f>
        <v>PAINE</v>
      </c>
    </row>
    <row r="8234" spans="1:4">
      <c r="A8234" s="7">
        <f ca="1">IFERROR(__xludf.DUMMYFUNCTION("""COMPUTED_VALUE"""),44688)</f>
        <v>44688</v>
      </c>
      <c r="B8234" s="6" t="str">
        <f ca="1">IFERROR(__xludf.DUMMYFUNCTION("""COMPUTED_VALUE"""),"-33.413111-71.156114")</f>
        <v>-33.413111-71.156114</v>
      </c>
      <c r="C8234" s="6" t="str">
        <f ca="1">IFERROR(__xludf.DUMMYFUNCTION("""COMPUTED_VALUE"""),"ONOFRE JARA 260")</f>
        <v>ONOFRE JARA 260</v>
      </c>
      <c r="D8234" s="6" t="str">
        <f ca="1">IFERROR(__xludf.DUMMYFUNCTION("""COMPUTED_VALUE"""),"CURACAVI")</f>
        <v>CURACAVI</v>
      </c>
    </row>
    <row r="8235" spans="1:4">
      <c r="A8235" s="7">
        <f ca="1">IFERROR(__xludf.DUMMYFUNCTION("""COMPUTED_VALUE"""),44688)</f>
        <v>44688</v>
      </c>
      <c r="B8235" s="6" t="str">
        <f ca="1">IFERROR(__xludf.DUMMYFUNCTION("""COMPUTED_VALUE"""),"-33.472774-71.118167")</f>
        <v>-33.472774-71.118167</v>
      </c>
      <c r="C8235" s="6" t="str">
        <f ca="1">IFERROR(__xludf.DUMMYFUNCTION("""COMPUTED_VALUE"""),"PJE SANTA ROSA SITIO 14")</f>
        <v>PJE SANTA ROSA SITIO 14</v>
      </c>
      <c r="D8235" s="6" t="str">
        <f ca="1">IFERROR(__xludf.DUMMYFUNCTION("""COMPUTED_VALUE"""),"MARIA PINTO")</f>
        <v>MARIA PINTO</v>
      </c>
    </row>
    <row r="8236" spans="1:4">
      <c r="A8236" s="7">
        <f ca="1">IFERROR(__xludf.DUMMYFUNCTION("""COMPUTED_VALUE"""),44688)</f>
        <v>44688</v>
      </c>
      <c r="B8236" s="6" t="str">
        <f ca="1">IFERROR(__xludf.DUMMYFUNCTION("""COMPUTED_VALUE"""),"-33.754071,-70.888531")</f>
        <v>-33.754071,-70.888531</v>
      </c>
      <c r="C8236" s="6" t="str">
        <f ca="1">IFERROR(__xludf.DUMMYFUNCTION("""COMPUTED_VALUE"""),"LLARETAS 511")</f>
        <v>LLARETAS 511</v>
      </c>
      <c r="D8236" s="6" t="str">
        <f ca="1">IFERROR(__xludf.DUMMYFUNCTION("""COMPUTED_VALUE"""),"ISLA DE MAIPO")</f>
        <v>ISLA DE MAIPO</v>
      </c>
    </row>
    <row r="8237" spans="1:4">
      <c r="A8237" s="7">
        <f ca="1">IFERROR(__xludf.DUMMYFUNCTION("""COMPUTED_VALUE"""),44690)</f>
        <v>44690</v>
      </c>
      <c r="B8237" s="8" t="str">
        <f ca="1">IFERROR(__xludf.DUMMYFUNCTION("""COMPUTED_VALUE"""),"-33.3876852, -70.5789951")</f>
        <v>-33.3876852, -70.5789951</v>
      </c>
      <c r="C8237" s="6" t="str">
        <f ca="1">IFERROR(__xludf.DUMMYFUNCTION("""COMPUTED_VALUE"""),"CAMINO EL ESCORIAL S/N")</f>
        <v>CAMINO EL ESCORIAL S/N</v>
      </c>
      <c r="D8237" s="6" t="str">
        <f ca="1">IFERROR(__xludf.DUMMYFUNCTION("""COMPUTED_VALUE"""),"PAINE")</f>
        <v>PAINE</v>
      </c>
    </row>
    <row r="8238" spans="1:4">
      <c r="A8238" s="7">
        <f ca="1">IFERROR(__xludf.DUMMYFUNCTION("""COMPUTED_VALUE"""),44690)</f>
        <v>44690</v>
      </c>
      <c r="B8238" s="8" t="str">
        <f ca="1">IFERROR(__xludf.DUMMYFUNCTION("""COMPUTED_VALUE"""),"-33.7459963, -70.8953305")</f>
        <v>-33.7459963, -70.8953305</v>
      </c>
      <c r="C8238" s="6" t="str">
        <f ca="1">IFERROR(__xludf.DUMMYFUNCTION("""COMPUTED_VALUE"""),"ARMIJO 1447")</f>
        <v>ARMIJO 1447</v>
      </c>
      <c r="D8238" s="6" t="str">
        <f ca="1">IFERROR(__xludf.DUMMYFUNCTION("""COMPUTED_VALUE"""),"ISLA DE MAIPO")</f>
        <v>ISLA DE MAIPO</v>
      </c>
    </row>
    <row r="8239" spans="1:4">
      <c r="A8239" s="7">
        <f ca="1">IFERROR(__xludf.DUMMYFUNCTION("""COMPUTED_VALUE"""),44690)</f>
        <v>44690</v>
      </c>
      <c r="B8239" s="8" t="str">
        <f ca="1">IFERROR(__xludf.DUMMYFUNCTION("""COMPUTED_VALUE"""),"-33.8178969, -70.7417401")</f>
        <v>-33.8178969, -70.7417401</v>
      </c>
      <c r="C8239" s="6" t="str">
        <f ca="1">IFERROR(__xludf.DUMMYFUNCTION("""COMPUTED_VALUE"""),"PASAJE 3 1160")</f>
        <v>PASAJE 3 1160</v>
      </c>
      <c r="D8239" s="6" t="str">
        <f ca="1">IFERROR(__xludf.DUMMYFUNCTION("""COMPUTED_VALUE"""),"PAINE")</f>
        <v>PAINE</v>
      </c>
    </row>
    <row r="8240" spans="1:4">
      <c r="A8240" s="7">
        <f ca="1">IFERROR(__xludf.DUMMYFUNCTION("""COMPUTED_VALUE"""),44690)</f>
        <v>44690</v>
      </c>
      <c r="B8240" s="8" t="str">
        <f ca="1">IFERROR(__xludf.DUMMYFUNCTION("""COMPUTED_VALUE"""),"-33.7777391, -71.3537038")</f>
        <v>-33.7777391, -71.3537038</v>
      </c>
      <c r="C8240" s="6" t="str">
        <f ca="1">IFERROR(__xludf.DUMMYFUNCTION("""COMPUTED_VALUE"""),"SAN VALENTIN S/N")</f>
        <v>SAN VALENTIN S/N</v>
      </c>
      <c r="D8240" s="6" t="str">
        <f ca="1">IFERROR(__xludf.DUMMYFUNCTION("""COMPUTED_VALUE"""),"MELIPILLA")</f>
        <v>MELIPILLA</v>
      </c>
    </row>
    <row r="8241" spans="1:4">
      <c r="A8241" s="7">
        <f ca="1">IFERROR(__xludf.DUMMYFUNCTION("""COMPUTED_VALUE"""),44690)</f>
        <v>44690</v>
      </c>
      <c r="B8241" s="8" t="str">
        <f ca="1">IFERROR(__xludf.DUMMYFUNCTION("""COMPUTED_VALUE"""),"-33.8178302, -70.7414618")</f>
        <v>-33.8178302, -70.7414618</v>
      </c>
      <c r="C8241" s="6" t="str">
        <f ca="1">IFERROR(__xludf.DUMMYFUNCTION("""COMPUTED_VALUE"""),"PASAJE TRES 1154")</f>
        <v>PASAJE TRES 1154</v>
      </c>
      <c r="D8241" s="6" t="str">
        <f ca="1">IFERROR(__xludf.DUMMYFUNCTION("""COMPUTED_VALUE"""),"PAINE")</f>
        <v>PAINE</v>
      </c>
    </row>
    <row r="8242" spans="1:4">
      <c r="A8242" s="7">
        <f ca="1">IFERROR(__xludf.DUMMYFUNCTION("""COMPUTED_VALUE"""),44690)</f>
        <v>44690</v>
      </c>
      <c r="B8242" s="8" t="str">
        <f ca="1">IFERROR(__xludf.DUMMYFUNCTION("""COMPUTED_VALUE"""),"-33.7503155, -70.6746863")</f>
        <v>-33.7503155, -70.6746863</v>
      </c>
      <c r="C8242" s="6" t="str">
        <f ca="1">IFERROR(__xludf.DUMMYFUNCTION("""COMPUTED_VALUE"""),"CRUZ DEL SUR 16 JAHUEL")</f>
        <v>CRUZ DEL SUR 16 JAHUEL</v>
      </c>
      <c r="D8242" s="6" t="str">
        <f ca="1">IFERROR(__xludf.DUMMYFUNCTION("""COMPUTED_VALUE"""),"BUIN")</f>
        <v>BUIN</v>
      </c>
    </row>
    <row r="8243" spans="1:4">
      <c r="A8243" s="7">
        <f ca="1">IFERROR(__xludf.DUMMYFUNCTION("""COMPUTED_VALUE"""),44690)</f>
        <v>44690</v>
      </c>
      <c r="B8243" s="8" t="str">
        <f ca="1">IFERROR(__xludf.DUMMYFUNCTION("""COMPUTED_VALUE"""),"-33.8042017, -70.7166917")</f>
        <v>-33.8042017, -70.7166917</v>
      </c>
      <c r="C8243" s="6" t="str">
        <f ca="1">IFERROR(__xludf.DUMMYFUNCTION("""COMPUTED_VALUE"""),"LOS CANELOS 1886")</f>
        <v>LOS CANELOS 1886</v>
      </c>
      <c r="D8243" s="6" t="str">
        <f ca="1">IFERROR(__xludf.DUMMYFUNCTION("""COMPUTED_VALUE"""),"PAINE")</f>
        <v>PAINE</v>
      </c>
    </row>
    <row r="8244" spans="1:4">
      <c r="A8244" s="7">
        <f ca="1">IFERROR(__xludf.DUMMYFUNCTION("""COMPUTED_VALUE"""),44690)</f>
        <v>44690</v>
      </c>
      <c r="B8244" s="8" t="str">
        <f ca="1">IFERROR(__xludf.DUMMYFUNCTION("""COMPUTED_VALUE"""),"-33.5456022, -70.7082922")</f>
        <v>-33.5456022, -70.7082922</v>
      </c>
      <c r="C8244" s="6" t="str">
        <f ca="1">IFERROR(__xludf.DUMMYFUNCTION("""COMPUTED_VALUE"""),"24 DE ABRIL 73A")</f>
        <v>24 DE ABRIL 73A</v>
      </c>
      <c r="D8244" s="6" t="str">
        <f ca="1">IFERROR(__xludf.DUMMYFUNCTION("""COMPUTED_VALUE"""),"PAINE")</f>
        <v>PAINE</v>
      </c>
    </row>
    <row r="8245" spans="1:4">
      <c r="A8245" s="7">
        <f ca="1">IFERROR(__xludf.DUMMYFUNCTION("""COMPUTED_VALUE"""),44690)</f>
        <v>44690</v>
      </c>
      <c r="B8245" s="8" t="str">
        <f ca="1">IFERROR(__xludf.DUMMYFUNCTION("""COMPUTED_VALUE"""),"-33.6837109, -71.101509")</f>
        <v>-33.6837109, -71.101509</v>
      </c>
      <c r="C8245" s="6" t="str">
        <f ca="1">IFERROR(__xludf.DUMMYFUNCTION("""COMPUTED_VALUE"""),"EL CRISTO DE CHINGUE PARCELA 19")</f>
        <v>EL CRISTO DE CHINGUE PARCELA 19</v>
      </c>
      <c r="D8245" s="6" t="str">
        <f ca="1">IFERROR(__xludf.DUMMYFUNCTION("""COMPUTED_VALUE"""),"EL MONTE")</f>
        <v>EL MONTE</v>
      </c>
    </row>
    <row r="8246" spans="1:4">
      <c r="A8246" s="7">
        <f ca="1">IFERROR(__xludf.DUMMYFUNCTION("""COMPUTED_VALUE"""),44690)</f>
        <v>44690</v>
      </c>
      <c r="B8246" s="8" t="str">
        <f ca="1">IFERROR(__xludf.DUMMYFUNCTION("""COMPUTED_VALUE"""),"-33.6171872, -70.630014")</f>
        <v>-33.6171872, -70.630014</v>
      </c>
      <c r="C8246" s="6" t="str">
        <f ca="1">IFERROR(__xludf.DUMMYFUNCTION("""COMPUTED_VALUE"""),"SAN MARTIN 722")</f>
        <v>SAN MARTIN 722</v>
      </c>
      <c r="D8246" s="6" t="str">
        <f ca="1">IFERROR(__xludf.DUMMYFUNCTION("""COMPUTED_VALUE"""),"ISLA DE MAIPO")</f>
        <v>ISLA DE MAIPO</v>
      </c>
    </row>
    <row r="8247" spans="1:4">
      <c r="A8247" s="7">
        <f ca="1">IFERROR(__xludf.DUMMYFUNCTION("""COMPUTED_VALUE"""),44690)</f>
        <v>44690</v>
      </c>
      <c r="B8247" s="8" t="str">
        <f ca="1">IFERROR(__xludf.DUMMYFUNCTION("""COMPUTED_VALUE"""),"-33.6171976, -70.6300047")</f>
        <v>-33.6171976, -70.6300047</v>
      </c>
      <c r="C8247" s="6" t="str">
        <f ca="1">IFERROR(__xludf.DUMMYFUNCTION("""COMPUTED_VALUE"""),"LAS GUIAS 5050")</f>
        <v>LAS GUIAS 5050</v>
      </c>
      <c r="D8247" s="6" t="str">
        <f ca="1">IFERROR(__xludf.DUMMYFUNCTION("""COMPUTED_VALUE"""),"ISLA DE MAIPO")</f>
        <v>ISLA DE MAIPO</v>
      </c>
    </row>
    <row r="8248" spans="1:4">
      <c r="A8248" s="7">
        <f ca="1">IFERROR(__xludf.DUMMYFUNCTION("""COMPUTED_VALUE"""),44690)</f>
        <v>44690</v>
      </c>
      <c r="B8248" s="8" t="str">
        <f ca="1">IFERROR(__xludf.DUMMYFUNCTION("""COMPUTED_VALUE"""),"-33.6174045, -70.6299194")</f>
        <v>-33.6174045, -70.6299194</v>
      </c>
      <c r="C8248" s="6" t="str">
        <f ca="1">IFERROR(__xludf.DUMMYFUNCTION("""COMPUTED_VALUE"""),"VILLASECA 371")</f>
        <v>VILLASECA 371</v>
      </c>
      <c r="D8248" s="6" t="str">
        <f ca="1">IFERROR(__xludf.DUMMYFUNCTION("""COMPUTED_VALUE"""),"BUIN")</f>
        <v>BUIN</v>
      </c>
    </row>
    <row r="8249" spans="1:4">
      <c r="A8249" s="7">
        <f ca="1">IFERROR(__xludf.DUMMYFUNCTION("""COMPUTED_VALUE"""),44690)</f>
        <v>44690</v>
      </c>
      <c r="B8249" s="8" t="str">
        <f ca="1">IFERROR(__xludf.DUMMYFUNCTION("""COMPUTED_VALUE"""),"-33.6171841, -70.6300174")</f>
        <v>-33.6171841, -70.6300174</v>
      </c>
      <c r="C8249" s="6" t="str">
        <f ca="1">IFERROR(__xludf.DUMMYFUNCTION("""COMPUTED_VALUE"""),"TRES NORTE 679")</f>
        <v>TRES NORTE 679</v>
      </c>
      <c r="D8249" s="6" t="str">
        <f ca="1">IFERROR(__xludf.DUMMYFUNCTION("""COMPUTED_VALUE"""),"CURACAVI")</f>
        <v>CURACAVI</v>
      </c>
    </row>
    <row r="8250" spans="1:4">
      <c r="A8250" s="7">
        <f ca="1">IFERROR(__xludf.DUMMYFUNCTION("""COMPUTED_VALUE"""),44690)</f>
        <v>44690</v>
      </c>
      <c r="B8250" s="8" t="str">
        <f ca="1">IFERROR(__xludf.DUMMYFUNCTION("""COMPUTED_VALUE"""),"-33.6171841, -70.6300174")</f>
        <v>-33.6171841, -70.6300174</v>
      </c>
      <c r="C8250" s="6" t="str">
        <f ca="1">IFERROR(__xludf.DUMMYFUNCTION("""COMPUTED_VALUE"""),"MALALHUE S/N")</f>
        <v>MALALHUE S/N</v>
      </c>
      <c r="D8250" s="6" t="str">
        <f ca="1">IFERROR(__xludf.DUMMYFUNCTION("""COMPUTED_VALUE"""),"MARIA PINTO")</f>
        <v>MARIA PINTO</v>
      </c>
    </row>
    <row r="8251" spans="1:4">
      <c r="A8251" s="7">
        <f ca="1">IFERROR(__xludf.DUMMYFUNCTION("""COMPUTED_VALUE"""),44690)</f>
        <v>44690</v>
      </c>
      <c r="B8251" s="6" t="str">
        <f ca="1">IFERROR(__xludf.DUMMYFUNCTION("""COMPUTED_VALUE"""),"-33.819967-70.739582")</f>
        <v>-33.819967-70.739582</v>
      </c>
      <c r="C8251" s="6" t="str">
        <f ca="1">IFERROR(__xludf.DUMMYFUNCTION("""COMPUTED_VALUE"""),"ARGENTINA 1581")</f>
        <v>ARGENTINA 1581</v>
      </c>
      <c r="D8251" s="6" t="str">
        <f ca="1">IFERROR(__xludf.DUMMYFUNCTION("""COMPUTED_VALUE"""),"PAINE")</f>
        <v>PAINE</v>
      </c>
    </row>
    <row r="8252" spans="1:4">
      <c r="A8252" s="7">
        <f ca="1">IFERROR(__xludf.DUMMYFUNCTION("""COMPUTED_VALUE"""),44690)</f>
        <v>44690</v>
      </c>
      <c r="B8252" s="6" t="str">
        <f ca="1">IFERROR(__xludf.DUMMYFUNCTION("""COMPUTED_VALUE"""),"-33.813155-70.730530")</f>
        <v>-33.813155-70.730530</v>
      </c>
      <c r="C8252" s="6" t="str">
        <f ca="1">IFERROR(__xludf.DUMMYFUNCTION("""COMPUTED_VALUE"""),"YAIMA 860")</f>
        <v>YAIMA 860</v>
      </c>
      <c r="D8252" s="6" t="str">
        <f ca="1">IFERROR(__xludf.DUMMYFUNCTION("""COMPUTED_VALUE"""),"PAINE")</f>
        <v>PAINE</v>
      </c>
    </row>
    <row r="8253" spans="1:4">
      <c r="A8253" s="7">
        <f ca="1">IFERROR(__xludf.DUMMYFUNCTION("""COMPUTED_VALUE"""),44690)</f>
        <v>44690</v>
      </c>
      <c r="B8253" s="6" t="str">
        <f ca="1">IFERROR(__xludf.DUMMYFUNCTION("""COMPUTED_VALUE"""),"-33.889963,-70.714273")</f>
        <v>-33.889963,-70.714273</v>
      </c>
      <c r="C8253" s="6" t="str">
        <f ca="1">IFERROR(__xludf.DUMMYFUNCTION("""COMPUTED_VALUE"""),"PARCELA 206 CAMINO MEDIA LUNA ")</f>
        <v xml:space="preserve">PARCELA 206 CAMINO MEDIA LUNA </v>
      </c>
      <c r="D8253" s="6" t="str">
        <f ca="1">IFERROR(__xludf.DUMMYFUNCTION("""COMPUTED_VALUE"""),"PAINE")</f>
        <v>PAINE</v>
      </c>
    </row>
    <row r="8254" spans="1:4">
      <c r="A8254" s="7">
        <f ca="1">IFERROR(__xludf.DUMMYFUNCTION("""COMPUTED_VALUE"""),44690)</f>
        <v>44690</v>
      </c>
      <c r="B8254" s="8"/>
      <c r="C8254" s="6" t="str">
        <f ca="1">IFERROR(__xludf.DUMMYFUNCTION("""COMPUTED_VALUE"""),"PASAJE CUATRO 99 ")</f>
        <v xml:space="preserve">PASAJE CUATRO 99 </v>
      </c>
      <c r="D8254" s="6" t="str">
        <f ca="1">IFERROR(__xludf.DUMMYFUNCTION("""COMPUTED_VALUE"""),"PAINE")</f>
        <v>PAINE</v>
      </c>
    </row>
    <row r="8255" spans="1:4">
      <c r="A8255" s="7">
        <f ca="1">IFERROR(__xludf.DUMMYFUNCTION("""COMPUTED_VALUE"""),44690)</f>
        <v>44690</v>
      </c>
      <c r="B8255" s="8" t="str">
        <f ca="1">IFERROR(__xludf.DUMMYFUNCTION("""COMPUTED_VALUE"""),"-33.734954,-70.776486")</f>
        <v>-33.734954,-70.776486</v>
      </c>
      <c r="C8255" s="6" t="str">
        <f ca="1">IFERROR(__xludf.DUMMYFUNCTION("""COMPUTED_VALUE"""),"PA EL PERCHERON VILLA EL PROGESO ")</f>
        <v xml:space="preserve">PA EL PERCHERON VILLA EL PROGESO </v>
      </c>
      <c r="D8255" s="6" t="str">
        <f ca="1">IFERROR(__xludf.DUMMYFUNCTION("""COMPUTED_VALUE"""),"BUIN")</f>
        <v>BUIN</v>
      </c>
    </row>
    <row r="8256" spans="1:4">
      <c r="A8256" s="7">
        <f ca="1">IFERROR(__xludf.DUMMYFUNCTION("""COMPUTED_VALUE"""),44690)</f>
        <v>44690</v>
      </c>
      <c r="B8256" s="6" t="str">
        <f ca="1">IFERROR(__xludf.DUMMYFUNCTION("""COMPUTED_VALUE"""),"-33.744405,-70.749917")</f>
        <v>-33.744405,-70.749917</v>
      </c>
      <c r="C8256" s="6" t="str">
        <f ca="1">IFERROR(__xludf.DUMMYFUNCTION("""COMPUTED_VALUE"""),"VILLASECA 805")</f>
        <v>VILLASECA 805</v>
      </c>
      <c r="D8256" s="6" t="str">
        <f ca="1">IFERROR(__xludf.DUMMYFUNCTION("""COMPUTED_VALUE"""),"BUIN")</f>
        <v>BUIN</v>
      </c>
    </row>
    <row r="8257" spans="1:4">
      <c r="A8257" s="7">
        <f ca="1">IFERROR(__xludf.DUMMYFUNCTION("""COMPUTED_VALUE"""),44690)</f>
        <v>44690</v>
      </c>
      <c r="B8257" s="6" t="str">
        <f ca="1">IFERROR(__xludf.DUMMYFUNCTION("""COMPUTED_VALUE"""),"-33.793926,-70.796011")</f>
        <v>-33.793926,-70.796011</v>
      </c>
      <c r="C8257" s="6" t="str">
        <f ca="1">IFERROR(__xludf.DUMMYFUNCTION("""COMPUTED_VALUE"""),"LAS VERTIENTES 1560")</f>
        <v>LAS VERTIENTES 1560</v>
      </c>
      <c r="D8257" s="6" t="str">
        <f ca="1">IFERROR(__xludf.DUMMYFUNCTION("""COMPUTED_VALUE"""),"BUIN")</f>
        <v>BUIN</v>
      </c>
    </row>
    <row r="8258" spans="1:4">
      <c r="A8258" s="7">
        <f ca="1">IFERROR(__xludf.DUMMYFUNCTION("""COMPUTED_VALUE"""),44690)</f>
        <v>44690</v>
      </c>
      <c r="B8258" s="6" t="str">
        <f ca="1">IFERROR(__xludf.DUMMYFUNCTION("""COMPUTED_VALUE"""),"-33.813720,-70.736742")</f>
        <v>-33.813720,-70.736742</v>
      </c>
      <c r="C8258" s="6" t="str">
        <f ca="1">IFERROR(__xludf.DUMMYFUNCTION("""COMPUTED_VALUE"""),"PASAJE UNO 575")</f>
        <v>PASAJE UNO 575</v>
      </c>
      <c r="D8258" s="6" t="str">
        <f ca="1">IFERROR(__xludf.DUMMYFUNCTION("""COMPUTED_VALUE"""),"PAINE")</f>
        <v>PAINE</v>
      </c>
    </row>
    <row r="8259" spans="1:4">
      <c r="A8259" s="7">
        <f ca="1">IFERROR(__xludf.DUMMYFUNCTION("""COMPUTED_VALUE"""),44690)</f>
        <v>44690</v>
      </c>
      <c r="B8259" s="6" t="str">
        <f ca="1">IFERROR(__xludf.DUMMYFUNCTION("""COMPUTED_VALUE"""),"-33.813726,-70.736555")</f>
        <v>-33.813726,-70.736555</v>
      </c>
      <c r="C8259" s="6" t="str">
        <f ca="1">IFERROR(__xludf.DUMMYFUNCTION("""COMPUTED_VALUE"""),"PASAJE UNO 590")</f>
        <v>PASAJE UNO 590</v>
      </c>
      <c r="D8259" s="6" t="str">
        <f ca="1">IFERROR(__xludf.DUMMYFUNCTION("""COMPUTED_VALUE"""),"PAINE")</f>
        <v>PAINE</v>
      </c>
    </row>
    <row r="8260" spans="1:4">
      <c r="A8260" s="7">
        <f ca="1">IFERROR(__xludf.DUMMYFUNCTION("""COMPUTED_VALUE"""),44690)</f>
        <v>44690</v>
      </c>
      <c r="B8260" s="6" t="str">
        <f ca="1">IFERROR(__xludf.DUMMYFUNCTION("""COMPUTED_VALUE"""),"-33.818576,-70.738973")</f>
        <v>-33.818576,-70.738973</v>
      </c>
      <c r="C8260" s="6" t="str">
        <f ca="1">IFERROR(__xludf.DUMMYFUNCTION("""COMPUTED_VALUE"""),"EL TABO 1423")</f>
        <v>EL TABO 1423</v>
      </c>
      <c r="D8260" s="6" t="str">
        <f ca="1">IFERROR(__xludf.DUMMYFUNCTION("""COMPUTED_VALUE"""),"PAINE")</f>
        <v>PAINE</v>
      </c>
    </row>
    <row r="8261" spans="1:4">
      <c r="A8261" s="7">
        <f ca="1">IFERROR(__xludf.DUMMYFUNCTION("""COMPUTED_VALUE"""),44691)</f>
        <v>44691</v>
      </c>
      <c r="B8261" s="8" t="str">
        <f ca="1">IFERROR(__xludf.DUMMYFUNCTION("""COMPUTED_VALUE"""),"-33.8291583, -70.644265")</f>
        <v>-33.8291583, -70.644265</v>
      </c>
      <c r="C8261" s="6" t="str">
        <f ca="1">IFERROR(__xludf.DUMMYFUNCTION("""COMPUTED_VALUE"""),"SANTA FILOMENA 8")</f>
        <v>SANTA FILOMENA 8</v>
      </c>
      <c r="D8261" s="6" t="str">
        <f ca="1">IFERROR(__xludf.DUMMYFUNCTION("""COMPUTED_VALUE"""),"PAINE")</f>
        <v>PAINE</v>
      </c>
    </row>
    <row r="8262" spans="1:4">
      <c r="A8262" s="7">
        <f ca="1">IFERROR(__xludf.DUMMYFUNCTION("""COMPUTED_VALUE"""),44691)</f>
        <v>44691</v>
      </c>
      <c r="B8262" s="8" t="str">
        <f ca="1">IFERROR(__xludf.DUMMYFUNCTION("""COMPUTED_VALUE"""),"-33.4489073, -70.5629577")</f>
        <v>-33.4489073, -70.5629577</v>
      </c>
      <c r="C8262" s="6" t="str">
        <f ca="1">IFERROR(__xludf.DUMMYFUNCTION("""COMPUTED_VALUE"""),"CARDONAL ALTO 10 HUELQUEN")</f>
        <v>CARDONAL ALTO 10 HUELQUEN</v>
      </c>
      <c r="D8262" s="6" t="str">
        <f ca="1">IFERROR(__xludf.DUMMYFUNCTION("""COMPUTED_VALUE"""),"PAINE")</f>
        <v>PAINE</v>
      </c>
    </row>
    <row r="8263" spans="1:4">
      <c r="A8263" s="7">
        <f ca="1">IFERROR(__xludf.DUMMYFUNCTION("""COMPUTED_VALUE"""),44691)</f>
        <v>44691</v>
      </c>
      <c r="B8263" s="8" t="str">
        <f ca="1">IFERROR(__xludf.DUMMYFUNCTION("""COMPUTED_VALUE"""),"-33.8292232, -70.6439448")</f>
        <v>-33.8292232, -70.6439448</v>
      </c>
      <c r="C8263" s="6" t="str">
        <f ca="1">IFERROR(__xludf.DUMMYFUNCTION("""COMPUTED_VALUE"""),"SANTA FILOMENA 8")</f>
        <v>SANTA FILOMENA 8</v>
      </c>
      <c r="D8263" s="6" t="str">
        <f ca="1">IFERROR(__xludf.DUMMYFUNCTION("""COMPUTED_VALUE"""),"PAINE")</f>
        <v>PAINE</v>
      </c>
    </row>
    <row r="8264" spans="1:4">
      <c r="A8264" s="7">
        <f ca="1">IFERROR(__xludf.DUMMYFUNCTION("""COMPUTED_VALUE"""),44691)</f>
        <v>44691</v>
      </c>
      <c r="B8264" s="8" t="str">
        <f ca="1">IFERROR(__xludf.DUMMYFUNCTION("""COMPUTED_VALUE"""),"-33.8537049, -70.6334518")</f>
        <v>-33.8537049, -70.6334518</v>
      </c>
      <c r="C8264" s="6" t="str">
        <f ca="1">IFERROR(__xludf.DUMMYFUNCTION("""COMPUTED_VALUE"""),"PARCELA EL ESCORIAL 9 HUELQUEN")</f>
        <v>PARCELA EL ESCORIAL 9 HUELQUEN</v>
      </c>
      <c r="D8264" s="6" t="str">
        <f ca="1">IFERROR(__xludf.DUMMYFUNCTION("""COMPUTED_VALUE"""),"PAINE")</f>
        <v>PAINE</v>
      </c>
    </row>
    <row r="8265" spans="1:4">
      <c r="A8265" s="7">
        <f ca="1">IFERROR(__xludf.DUMMYFUNCTION("""COMPUTED_VALUE"""),44691)</f>
        <v>44691</v>
      </c>
      <c r="B8265" s="6" t="str">
        <f ca="1">IFERROR(__xludf.DUMMYFUNCTION("""COMPUTED_VALUE"""),"-33.407763-71.148959")</f>
        <v>-33.407763-71.148959</v>
      </c>
      <c r="C8265" s="6" t="str">
        <f ca="1">IFERROR(__xludf.DUMMYFUNCTION("""COMPUTED_VALUE"""),"EL VIÑADOR 149")</f>
        <v>EL VIÑADOR 149</v>
      </c>
      <c r="D8265" s="6" t="str">
        <f ca="1">IFERROR(__xludf.DUMMYFUNCTION("""COMPUTED_VALUE"""),"CURACAVI")</f>
        <v>CURACAVI</v>
      </c>
    </row>
    <row r="8266" spans="1:4">
      <c r="A8266" s="7">
        <f ca="1">IFERROR(__xludf.DUMMYFUNCTION("""COMPUTED_VALUE"""),44691)</f>
        <v>44691</v>
      </c>
      <c r="B8266" s="6" t="str">
        <f ca="1">IFERROR(__xludf.DUMMYFUNCTION("""COMPUTED_VALUE"""),"-33.686587-71.002904")</f>
        <v>-33.686587-71.002904</v>
      </c>
      <c r="C8266" s="6" t="str">
        <f ca="1">IFERROR(__xludf.DUMMYFUNCTION("""COMPUTED_VALUE"""),"LOS LIBERTADORES 811 A")</f>
        <v>LOS LIBERTADORES 811 A</v>
      </c>
      <c r="D8266" s="6" t="str">
        <f ca="1">IFERROR(__xludf.DUMMYFUNCTION("""COMPUTED_VALUE"""),"EL MONTE")</f>
        <v>EL MONTE</v>
      </c>
    </row>
    <row r="8267" spans="1:4">
      <c r="A8267" s="7">
        <f ca="1">IFERROR(__xludf.DUMMYFUNCTION("""COMPUTED_VALUE"""),44691)</f>
        <v>44691</v>
      </c>
      <c r="B8267" s="6" t="str">
        <f ca="1">IFERROR(__xludf.DUMMYFUNCTION("""COMPUTED_VALUE"""),"-33.679974-71.203824")</f>
        <v>-33.679974-71.203824</v>
      </c>
      <c r="C8267" s="6" t="str">
        <f ca="1">IFERROR(__xludf.DUMMYFUNCTION("""COMPUTED_VALUE"""),"DOCTOR HUMBERTO JARA 104")</f>
        <v>DOCTOR HUMBERTO JARA 104</v>
      </c>
      <c r="D8267" s="6" t="str">
        <f ca="1">IFERROR(__xludf.DUMMYFUNCTION("""COMPUTED_VALUE"""),"MELIPILLA")</f>
        <v>MELIPILLA</v>
      </c>
    </row>
    <row r="8268" spans="1:4">
      <c r="A8268" s="7">
        <f ca="1">IFERROR(__xludf.DUMMYFUNCTION("""COMPUTED_VALUE"""),44691)</f>
        <v>44691</v>
      </c>
      <c r="B8268" s="8" t="str">
        <f ca="1">IFERROR(__xludf.DUMMYFUNCTION("""COMPUTED_VALUE"""),"-33.695497,-70.602360")</f>
        <v>-33.695497,-70.602360</v>
      </c>
      <c r="C8268" s="6" t="str">
        <f ca="1">IFERROR(__xludf.DUMMYFUNCTION("""COMPUTED_VALUE"""),"LAS ACACIAS 11186")</f>
        <v>LAS ACACIAS 11186</v>
      </c>
      <c r="D8268" s="6" t="str">
        <f ca="1">IFERROR(__xludf.DUMMYFUNCTION("""COMPUTED_VALUE"""),"PIRQUE")</f>
        <v>PIRQUE</v>
      </c>
    </row>
    <row r="8269" spans="1:4">
      <c r="A8269" s="7">
        <f ca="1">IFERROR(__xludf.DUMMYFUNCTION("""COMPUTED_VALUE"""),44691)</f>
        <v>44691</v>
      </c>
      <c r="B8269" s="8" t="str">
        <f ca="1">IFERROR(__xludf.DUMMYFUNCTION("""COMPUTED_VALUE"""),"-33.706546,-71.045748")</f>
        <v>-33.706546,-71.045748</v>
      </c>
      <c r="C8269" s="6" t="str">
        <f ca="1">IFERROR(__xludf.DUMMYFUNCTION("""COMPUTED_VALUE"""),"CALLE LA REAL PARCELA 30")</f>
        <v>CALLE LA REAL PARCELA 30</v>
      </c>
      <c r="D8269" s="6" t="str">
        <f ca="1">IFERROR(__xludf.DUMMYFUNCTION("""COMPUTED_VALUE"""),"EL MONTE")</f>
        <v>EL MONTE</v>
      </c>
    </row>
    <row r="8270" spans="1:4">
      <c r="A8270" s="7">
        <f ca="1">IFERROR(__xludf.DUMMYFUNCTION("""COMPUTED_VALUE"""),44691)</f>
        <v>44691</v>
      </c>
      <c r="B8270" s="8" t="str">
        <f ca="1">IFERROR(__xludf.DUMMYFUNCTION("""COMPUTED_VALUE"""),"-33.721719,-70.554576")</f>
        <v>-33.721719,-70.554576</v>
      </c>
      <c r="C8270" s="6" t="str">
        <f ca="1">IFERROR(__xludf.DUMMYFUNCTION("""COMPUTED_VALUE"""),"LA ALAMEDA P. NAVARRETE112")</f>
        <v>LA ALAMEDA P. NAVARRETE112</v>
      </c>
      <c r="D8270" s="6" t="str">
        <f ca="1">IFERROR(__xludf.DUMMYFUNCTION("""COMPUTED_VALUE"""),"PIRQUE")</f>
        <v>PIRQUE</v>
      </c>
    </row>
    <row r="8271" spans="1:4">
      <c r="A8271" s="7">
        <f ca="1">IFERROR(__xludf.DUMMYFUNCTION("""COMPUTED_VALUE"""),44691)</f>
        <v>44691</v>
      </c>
      <c r="B8271" s="8" t="str">
        <f ca="1">IFERROR(__xludf.DUMMYFUNCTION("""COMPUTED_VALUE"""),"-33.660606,-70.602015")</f>
        <v>-33.660606,-70.602015</v>
      </c>
      <c r="C8271" s="6" t="str">
        <f ca="1">IFERROR(__xludf.DUMMYFUNCTION("""COMPUTED_VALUE"""),"LOS SILOS,LOS CIPRESES 7")</f>
        <v>LOS SILOS,LOS CIPRESES 7</v>
      </c>
      <c r="D8271" s="6" t="str">
        <f ca="1">IFERROR(__xludf.DUMMYFUNCTION("""COMPUTED_VALUE"""),"PIRQUE")</f>
        <v>PIRQUE</v>
      </c>
    </row>
    <row r="8272" spans="1:4">
      <c r="A8272" s="7">
        <f ca="1">IFERROR(__xludf.DUMMYFUNCTION("""COMPUTED_VALUE"""),44691)</f>
        <v>44691</v>
      </c>
      <c r="B8272" s="8" t="str">
        <f ca="1">IFERROR(__xludf.DUMMYFUNCTION("""COMPUTED_VALUE"""),"-33.660606,-70.602015")</f>
        <v>-33.660606,-70.602015</v>
      </c>
      <c r="C8272" s="6" t="str">
        <f ca="1">IFERROR(__xludf.DUMMYFUNCTION("""COMPUTED_VALUE"""),"LOS SILOS,LOS CIPRESES 7")</f>
        <v>LOS SILOS,LOS CIPRESES 7</v>
      </c>
      <c r="D8272" s="6" t="str">
        <f ca="1">IFERROR(__xludf.DUMMYFUNCTION("""COMPUTED_VALUE"""),"PIRQUE")</f>
        <v>PIRQUE</v>
      </c>
    </row>
    <row r="8273" spans="1:4">
      <c r="A8273" s="7">
        <f ca="1">IFERROR(__xludf.DUMMYFUNCTION("""COMPUTED_VALUE"""),44691)</f>
        <v>44691</v>
      </c>
      <c r="B8273" s="8" t="str">
        <f ca="1">IFERROR(__xludf.DUMMYFUNCTION("""COMPUTED_VALUE"""),"-33.726391,-70.984539")</f>
        <v>-33.726391,-70.984539</v>
      </c>
      <c r="C8273" s="6" t="str">
        <f ca="1">IFERROR(__xludf.DUMMYFUNCTION("""COMPUTED_VALUE"""),"SAN ANTONIO NALTAHUA 7140 PC.21")</f>
        <v>SAN ANTONIO NALTAHUA 7140 PC.21</v>
      </c>
      <c r="D8273" s="6" t="str">
        <f ca="1">IFERROR(__xludf.DUMMYFUNCTION("""COMPUTED_VALUE"""),"ISLA DE MAIPO")</f>
        <v>ISLA DE MAIPO</v>
      </c>
    </row>
    <row r="8274" spans="1:4">
      <c r="A8274" s="7">
        <f ca="1">IFERROR(__xludf.DUMMYFUNCTION("""COMPUTED_VALUE"""),44691)</f>
        <v>44691</v>
      </c>
      <c r="B8274" s="8" t="str">
        <f ca="1">IFERROR(__xludf.DUMMYFUNCTION("""COMPUTED_VALUE"""),"-33.723224,-70.985838")</f>
        <v>-33.723224,-70.985838</v>
      </c>
      <c r="C8274" s="6" t="str">
        <f ca="1">IFERROR(__xludf.DUMMYFUNCTION("""COMPUTED_VALUE"""),"VILLARICA 53")</f>
        <v>VILLARICA 53</v>
      </c>
      <c r="D8274" s="6" t="str">
        <f ca="1">IFERROR(__xludf.DUMMYFUNCTION("""COMPUTED_VALUE"""),"ISLA DE MAIPO")</f>
        <v>ISLA DE MAIPO</v>
      </c>
    </row>
    <row r="8275" spans="1:4">
      <c r="A8275" s="7">
        <f ca="1">IFERROR(__xludf.DUMMYFUNCTION("""COMPUTED_VALUE"""),44691)</f>
        <v>44691</v>
      </c>
      <c r="B8275" s="6" t="str">
        <f ca="1">IFERROR(__xludf.DUMMYFUNCTION("""COMPUTED_VALUE"""),"-33.708699,-70.848377")</f>
        <v>-33.708699,-70.848377</v>
      </c>
      <c r="C8275" s="6" t="str">
        <f ca="1">IFERROR(__xludf.DUMMYFUNCTION("""COMPUTED_VALUE"""),"LOS ACACIOS 681")</f>
        <v>LOS ACACIOS 681</v>
      </c>
      <c r="D8275" s="6" t="str">
        <f ca="1">IFERROR(__xludf.DUMMYFUNCTION("""COMPUTED_VALUE"""),"TALAGANTE")</f>
        <v>TALAGANTE</v>
      </c>
    </row>
    <row r="8276" spans="1:4">
      <c r="A8276" s="7">
        <f ca="1">IFERROR(__xludf.DUMMYFUNCTION("""COMPUTED_VALUE"""),44691)</f>
        <v>44691</v>
      </c>
      <c r="B8276" s="6" t="str">
        <f ca="1">IFERROR(__xludf.DUMMYFUNCTION("""COMPUTED_VALUE"""),"-33.708060,-70.850072")</f>
        <v>-33.708060,-70.850072</v>
      </c>
      <c r="C8276" s="6" t="str">
        <f ca="1">IFERROR(__xludf.DUMMYFUNCTION("""COMPUTED_VALUE"""),"LOS ACACIOS 681")</f>
        <v>LOS ACACIOS 681</v>
      </c>
      <c r="D8276" s="6" t="str">
        <f ca="1">IFERROR(__xludf.DUMMYFUNCTION("""COMPUTED_VALUE"""),"TALAGANTE")</f>
        <v>TALAGANTE</v>
      </c>
    </row>
    <row r="8277" spans="1:4">
      <c r="A8277" s="7">
        <f ca="1">IFERROR(__xludf.DUMMYFUNCTION("""COMPUTED_VALUE"""),44691)</f>
        <v>44691</v>
      </c>
      <c r="B8277" s="6" t="str">
        <f ca="1">IFERROR(__xludf.DUMMYFUNCTION("""COMPUTED_VALUE"""),"-33.784593,-70.885987")</f>
        <v>-33.784593,-70.885987</v>
      </c>
      <c r="C8277" s="6" t="str">
        <f ca="1">IFERROR(__xludf.DUMMYFUNCTION("""COMPUTED_VALUE"""),"LAS MERCEDES S/N")</f>
        <v>LAS MERCEDES S/N</v>
      </c>
      <c r="D8277" s="6" t="str">
        <f ca="1">IFERROR(__xludf.DUMMYFUNCTION("""COMPUTED_VALUE"""),"ISLA DE MAIPO")</f>
        <v>ISLA DE MAIPO</v>
      </c>
    </row>
    <row r="8278" spans="1:4">
      <c r="A8278" s="7">
        <f ca="1">IFERROR(__xludf.DUMMYFUNCTION("""COMPUTED_VALUE"""),44691)</f>
        <v>44691</v>
      </c>
      <c r="B8278" s="8" t="str">
        <f ca="1">IFERROR(__xludf.DUMMYFUNCTION("""COMPUTED_VALUE"""),"-33.679289,-70.671465")</f>
        <v>-33.679289,-70.671465</v>
      </c>
      <c r="C8278" s="6" t="str">
        <f ca="1">IFERROR(__xludf.DUMMYFUNCTION("""COMPUTED_VALUE"""),"CALLEJON SANTA JULIA SITIO 10 A")</f>
        <v>CALLEJON SANTA JULIA SITIO 10 A</v>
      </c>
      <c r="D8278" s="6" t="str">
        <f ca="1">IFERROR(__xludf.DUMMYFUNCTION("""COMPUTED_VALUE"""),"BUIN")</f>
        <v>BUIN</v>
      </c>
    </row>
    <row r="8279" spans="1:4">
      <c r="A8279" s="7">
        <f ca="1">IFERROR(__xludf.DUMMYFUNCTION("""COMPUTED_VALUE"""),44691)</f>
        <v>44691</v>
      </c>
      <c r="B8279" s="8" t="str">
        <f ca="1">IFERROR(__xludf.DUMMYFUNCTION("""COMPUTED_VALUE"""),"-33.807580,-70.857664")</f>
        <v>-33.807580,-70.857664</v>
      </c>
      <c r="C8279" s="6" t="str">
        <f ca="1">IFERROR(__xludf.DUMMYFUNCTION("""COMPUTED_VALUE"""),"AVENIDA CHILE 612")</f>
        <v>AVENIDA CHILE 612</v>
      </c>
      <c r="D8279" s="6" t="str">
        <f ca="1">IFERROR(__xludf.DUMMYFUNCTION("""COMPUTED_VALUE"""),"BUIN")</f>
        <v>BUIN</v>
      </c>
    </row>
    <row r="8280" spans="1:4">
      <c r="A8280" s="7">
        <f ca="1">IFERROR(__xludf.DUMMYFUNCTION("""COMPUTED_VALUE"""),44691)</f>
        <v>44691</v>
      </c>
      <c r="B8280" s="8" t="str">
        <f ca="1">IFERROR(__xludf.DUMMYFUNCTION("""COMPUTED_VALUE"""),"-33.802776,-70.758885")</f>
        <v>-33.802776,-70.758885</v>
      </c>
      <c r="C8280" s="6" t="str">
        <f ca="1">IFERROR(__xludf.DUMMYFUNCTION("""COMPUTED_VALUE"""),"8 PONIENTE PASAJE LUCERO ")</f>
        <v xml:space="preserve">8 PONIENTE PASAJE LUCERO </v>
      </c>
      <c r="D8280" s="6" t="str">
        <f ca="1">IFERROR(__xludf.DUMMYFUNCTION("""COMPUTED_VALUE"""),"BUIN")</f>
        <v>BUIN</v>
      </c>
    </row>
    <row r="8281" spans="1:4">
      <c r="A8281" s="7">
        <f ca="1">IFERROR(__xludf.DUMMYFUNCTION("""COMPUTED_VALUE"""),44691)</f>
        <v>44691</v>
      </c>
      <c r="B8281" s="6" t="str">
        <f ca="1">IFERROR(__xludf.DUMMYFUNCTION("""COMPUTED_VALUE"""),"-33.715889,-70.741350")</f>
        <v>-33.715889,-70.741350</v>
      </c>
      <c r="C8281" s="6" t="str">
        <f ca="1">IFERROR(__xludf.DUMMYFUNCTION("""COMPUTED_VALUE"""),"LA MARCHA 1325")</f>
        <v>LA MARCHA 1325</v>
      </c>
      <c r="D8281" s="6" t="str">
        <f ca="1">IFERROR(__xludf.DUMMYFUNCTION("""COMPUTED_VALUE"""),"BUIN")</f>
        <v>BUIN</v>
      </c>
    </row>
    <row r="8282" spans="1:4">
      <c r="A8282" s="7">
        <f ca="1">IFERROR(__xludf.DUMMYFUNCTION("""COMPUTED_VALUE"""),44691)</f>
        <v>44691</v>
      </c>
      <c r="B8282" s="6" t="str">
        <f ca="1">IFERROR(__xludf.DUMMYFUNCTION("""COMPUTED_VALUE"""),"-33.851609,-70.766955")</f>
        <v>-33.851609,-70.766955</v>
      </c>
      <c r="C8282" s="6" t="str">
        <f ca="1">IFERROR(__xludf.DUMMYFUNCTION("""COMPUTED_VALUE"""),"PJE CUATRO 320")</f>
        <v>PJE CUATRO 320</v>
      </c>
      <c r="D8282" s="6" t="str">
        <f ca="1">IFERROR(__xludf.DUMMYFUNCTION("""COMPUTED_VALUE"""),"PAINE")</f>
        <v>PAINE</v>
      </c>
    </row>
    <row r="8283" spans="1:4">
      <c r="A8283" s="7">
        <f ca="1">IFERROR(__xludf.DUMMYFUNCTION("""COMPUTED_VALUE"""),44691)</f>
        <v>44691</v>
      </c>
      <c r="B8283" s="6" t="str">
        <f ca="1">IFERROR(__xludf.DUMMYFUNCTION("""COMPUTED_VALUE"""),"-33.849805,-70.764866")</f>
        <v>-33.849805,-70.764866</v>
      </c>
      <c r="C8283" s="6" t="str">
        <f ca="1">IFERROR(__xludf.DUMMYFUNCTION("""COMPUTED_VALUE"""),"LAS CAMELIAS 11")</f>
        <v>LAS CAMELIAS 11</v>
      </c>
      <c r="D8283" s="6" t="str">
        <f ca="1">IFERROR(__xludf.DUMMYFUNCTION("""COMPUTED_VALUE"""),"PAINE")</f>
        <v>PAINE</v>
      </c>
    </row>
    <row r="8284" spans="1:4">
      <c r="A8284" s="7">
        <f ca="1">IFERROR(__xludf.DUMMYFUNCTION("""COMPUTED_VALUE"""),44691)</f>
        <v>44691</v>
      </c>
      <c r="B8284" s="6" t="str">
        <f ca="1">IFERROR(__xludf.DUMMYFUNCTION("""COMPUTED_VALUE"""),"-33.818389,-70.716239")</f>
        <v>-33.818389,-70.716239</v>
      </c>
      <c r="C8284" s="6" t="str">
        <f ca="1">IFERROR(__xludf.DUMMYFUNCTION("""COMPUTED_VALUE"""),"JARA QUEMADA 56")</f>
        <v>JARA QUEMADA 56</v>
      </c>
      <c r="D8284" s="6" t="str">
        <f ca="1">IFERROR(__xludf.DUMMYFUNCTION("""COMPUTED_VALUE"""),"PAINE")</f>
        <v>PAINE</v>
      </c>
    </row>
    <row r="8285" spans="1:4">
      <c r="A8285" s="7">
        <f ca="1">IFERROR(__xludf.DUMMYFUNCTION("""COMPUTED_VALUE"""),44691)</f>
        <v>44691</v>
      </c>
      <c r="B8285" s="6" t="str">
        <f ca="1">IFERROR(__xludf.DUMMYFUNCTION("""COMPUTED_VALUE"""),"-33.802581,-70.715371")</f>
        <v>-33.802581,-70.715371</v>
      </c>
      <c r="C8285" s="6" t="str">
        <f ca="1">IFERROR(__xludf.DUMMYFUNCTION("""COMPUTED_VALUE"""),"JAIME GUZMAN 2109")</f>
        <v>JAIME GUZMAN 2109</v>
      </c>
      <c r="D8285" s="6" t="str">
        <f ca="1">IFERROR(__xludf.DUMMYFUNCTION("""COMPUTED_VALUE"""),"PAINE")</f>
        <v>PAINE</v>
      </c>
    </row>
    <row r="8286" spans="1:4">
      <c r="A8286" s="7">
        <f ca="1">IFERROR(__xludf.DUMMYFUNCTION("""COMPUTED_VALUE"""),44691)</f>
        <v>44691</v>
      </c>
      <c r="B8286" s="6" t="str">
        <f ca="1">IFERROR(__xludf.DUMMYFUNCTION("""COMPUTED_VALUE"""),"-33.803942,-70.740033")</f>
        <v>-33.803942,-70.740033</v>
      </c>
      <c r="C8286" s="6" t="str">
        <f ca="1">IFERROR(__xludf.DUMMYFUNCTION("""COMPUTED_VALUE"""),"PASAJE A 125")</f>
        <v>PASAJE A 125</v>
      </c>
      <c r="D8286" s="6" t="str">
        <f ca="1">IFERROR(__xludf.DUMMYFUNCTION("""COMPUTED_VALUE"""),"PAINE")</f>
        <v>PAINE</v>
      </c>
    </row>
    <row r="8287" spans="1:4">
      <c r="A8287" s="7">
        <f ca="1">IFERROR(__xludf.DUMMYFUNCTION("""COMPUTED_VALUE"""),44691)</f>
        <v>44691</v>
      </c>
      <c r="B8287" s="6" t="str">
        <f ca="1">IFERROR(__xludf.DUMMYFUNCTION("""COMPUTED_VALUE"""),"-33.803789,-70.714279")</f>
        <v>-33.803789,-70.714279</v>
      </c>
      <c r="C8287" s="6" t="str">
        <f ca="1">IFERROR(__xludf.DUMMYFUNCTION("""COMPUTED_VALUE"""),"CALLE UNO 2086")</f>
        <v>CALLE UNO 2086</v>
      </c>
      <c r="D8287" s="6" t="str">
        <f ca="1">IFERROR(__xludf.DUMMYFUNCTION("""COMPUTED_VALUE"""),"PAINE")</f>
        <v>PAINE</v>
      </c>
    </row>
    <row r="8288" spans="1:4">
      <c r="A8288" s="7">
        <f ca="1">IFERROR(__xludf.DUMMYFUNCTION("""COMPUTED_VALUE"""),44691)</f>
        <v>44691</v>
      </c>
      <c r="B8288" s="6" t="str">
        <f ca="1">IFERROR(__xludf.DUMMYFUNCTION("""COMPUTED_VALUE"""),"-33.818166,-70.739091")</f>
        <v>-33.818166,-70.739091</v>
      </c>
      <c r="C8288" s="6" t="str">
        <f ca="1">IFERROR(__xludf.DUMMYFUNCTION("""COMPUTED_VALUE"""),"EL TABO 1398")</f>
        <v>EL TABO 1398</v>
      </c>
      <c r="D8288" s="6" t="str">
        <f ca="1">IFERROR(__xludf.DUMMYFUNCTION("""COMPUTED_VALUE"""),"PAINE")</f>
        <v>PAINE</v>
      </c>
    </row>
    <row r="8289" spans="1:4">
      <c r="A8289" s="7">
        <f ca="1">IFERROR(__xludf.DUMMYFUNCTION("""COMPUTED_VALUE"""),44692)</f>
        <v>44692</v>
      </c>
      <c r="B8289" s="8" t="str">
        <f ca="1">IFERROR(__xludf.DUMMYFUNCTION("""COMPUTED_VALUE"""),"-33.7440119, -71.1636507")</f>
        <v>-33.7440119, -71.1636507</v>
      </c>
      <c r="C8289" s="6" t="str">
        <f ca="1">IFERROR(__xludf.DUMMYFUNCTION("""COMPUTED_VALUE"""),"CARMEN BAJO 23")</f>
        <v>CARMEN BAJO 23</v>
      </c>
      <c r="D8289" s="6" t="str">
        <f ca="1">IFERROR(__xludf.DUMMYFUNCTION("""COMPUTED_VALUE"""),"MELIPILLA")</f>
        <v>MELIPILLA</v>
      </c>
    </row>
    <row r="8290" spans="1:4">
      <c r="A8290" s="7">
        <f ca="1">IFERROR(__xludf.DUMMYFUNCTION("""COMPUTED_VALUE"""),44692)</f>
        <v>44692</v>
      </c>
      <c r="B8290" s="8" t="str">
        <f ca="1">IFERROR(__xludf.DUMMYFUNCTION("""COMPUTED_VALUE"""),"-33.8382867, -70.6433633")</f>
        <v>-33.8382867, -70.6433633</v>
      </c>
      <c r="C8290" s="6" t="str">
        <f ca="1">IFERROR(__xludf.DUMMYFUNCTION("""COMPUTED_VALUE"""),"MARTA CULITRIN S/N")</f>
        <v>MARTA CULITRIN S/N</v>
      </c>
      <c r="D8290" s="6" t="str">
        <f ca="1">IFERROR(__xludf.DUMMYFUNCTION("""COMPUTED_VALUE"""),"PAINE")</f>
        <v>PAINE</v>
      </c>
    </row>
    <row r="8291" spans="1:4">
      <c r="A8291" s="7">
        <f ca="1">IFERROR(__xludf.DUMMYFUNCTION("""COMPUTED_VALUE"""),44692)</f>
        <v>44692</v>
      </c>
      <c r="B8291" s="8" t="str">
        <f ca="1">IFERROR(__xludf.DUMMYFUNCTION("""COMPUTED_VALUE"""),"-33.859409, -70.7295243")</f>
        <v>-33.859409, -70.7295243</v>
      </c>
      <c r="C8291" s="6" t="str">
        <f ca="1">IFERROR(__xludf.DUMMYFUNCTION("""COMPUTED_VALUE"""),"ROMERO 57")</f>
        <v>ROMERO 57</v>
      </c>
      <c r="D8291" s="6" t="str">
        <f ca="1">IFERROR(__xludf.DUMMYFUNCTION("""COMPUTED_VALUE"""),"PAINE")</f>
        <v>PAINE</v>
      </c>
    </row>
    <row r="8292" spans="1:4">
      <c r="A8292" s="7">
        <f ca="1">IFERROR(__xludf.DUMMYFUNCTION("""COMPUTED_VALUE"""),44692)</f>
        <v>44692</v>
      </c>
      <c r="B8292" s="8" t="str">
        <f ca="1">IFERROR(__xludf.DUMMYFUNCTION("""COMPUTED_VALUE"""),"-33.7321835, -70.908112")</f>
        <v>-33.7321835, -70.908112</v>
      </c>
      <c r="C8292" s="6" t="str">
        <f ca="1">IFERROR(__xludf.DUMMYFUNCTION("""COMPUTED_VALUE"""),"EL OLIVO 65")</f>
        <v>EL OLIVO 65</v>
      </c>
      <c r="D8292" s="6" t="str">
        <f ca="1">IFERROR(__xludf.DUMMYFUNCTION("""COMPUTED_VALUE"""),"ISLA DE MAIPO")</f>
        <v>ISLA DE MAIPO</v>
      </c>
    </row>
    <row r="8293" spans="1:4">
      <c r="A8293" s="7">
        <f ca="1">IFERROR(__xludf.DUMMYFUNCTION("""COMPUTED_VALUE"""),44692)</f>
        <v>44692</v>
      </c>
      <c r="B8293" s="8" t="str">
        <f ca="1">IFERROR(__xludf.DUMMYFUNCTION("""COMPUTED_VALUE"""),"-33.8397831, -70.6388159")</f>
        <v>-33.8397831, -70.6388159</v>
      </c>
      <c r="C8293" s="6" t="str">
        <f ca="1">IFERROR(__xludf.DUMMYFUNCTION("""COMPUTED_VALUE"""),"HUELQUEN SITIO W")</f>
        <v>HUELQUEN SITIO W</v>
      </c>
      <c r="D8293" s="6" t="str">
        <f ca="1">IFERROR(__xludf.DUMMYFUNCTION("""COMPUTED_VALUE"""),"PAINE")</f>
        <v>PAINE</v>
      </c>
    </row>
    <row r="8294" spans="1:4">
      <c r="A8294" s="7">
        <f ca="1">IFERROR(__xludf.DUMMYFUNCTION("""COMPUTED_VALUE"""),44692)</f>
        <v>44692</v>
      </c>
      <c r="B8294" s="8" t="str">
        <f ca="1">IFERROR(__xludf.DUMMYFUNCTION("""COMPUTED_VALUE"""),"-33.8330596, -70.6422397")</f>
        <v>-33.8330596, -70.6422397</v>
      </c>
      <c r="C8294" s="6" t="str">
        <f ca="1">IFERROR(__xludf.DUMMYFUNCTION("""COMPUTED_VALUE"""),"LOS NARANJO 32")</f>
        <v>LOS NARANJO 32</v>
      </c>
      <c r="D8294" s="6" t="str">
        <f ca="1">IFERROR(__xludf.DUMMYFUNCTION("""COMPUTED_VALUE"""),"PAINE")</f>
        <v>PAINE</v>
      </c>
    </row>
    <row r="8295" spans="1:4">
      <c r="A8295" s="7">
        <f ca="1">IFERROR(__xludf.DUMMYFUNCTION("""COMPUTED_VALUE"""),44692)</f>
        <v>44692</v>
      </c>
      <c r="B8295" s="8" t="str">
        <f ca="1">IFERROR(__xludf.DUMMYFUNCTION("""COMPUTED_VALUE"""),"-33.6673847, -70.6642825")</f>
        <v>-33.6673847, -70.6642825</v>
      </c>
      <c r="C8295" s="6" t="str">
        <f ca="1">IFERROR(__xludf.DUMMYFUNCTION("""COMPUTED_VALUE"""),"LOS MORROS 7620")</f>
        <v>LOS MORROS 7620</v>
      </c>
      <c r="D8295" s="6" t="str">
        <f ca="1">IFERROR(__xludf.DUMMYFUNCTION("""COMPUTED_VALUE"""),"BUIN")</f>
        <v>BUIN</v>
      </c>
    </row>
    <row r="8296" spans="1:4">
      <c r="A8296" s="7">
        <f ca="1">IFERROR(__xludf.DUMMYFUNCTION("""COMPUTED_VALUE"""),44692)</f>
        <v>44692</v>
      </c>
      <c r="B8296" s="8" t="str">
        <f ca="1">IFERROR(__xludf.DUMMYFUNCTION("""COMPUTED_VALUE"""),"-33.436891, -70.5912067")</f>
        <v>-33.436891, -70.5912067</v>
      </c>
      <c r="C8296" s="6" t="str">
        <f ca="1">IFERROR(__xludf.DUMMYFUNCTION("""COMPUTED_VALUE"""),"LOS MORROS 7620")</f>
        <v>LOS MORROS 7620</v>
      </c>
      <c r="D8296" s="6" t="str">
        <f ca="1">IFERROR(__xludf.DUMMYFUNCTION("""COMPUTED_VALUE"""),"BUIN")</f>
        <v>BUIN</v>
      </c>
    </row>
    <row r="8297" spans="1:4">
      <c r="A8297" s="7">
        <f ca="1">IFERROR(__xludf.DUMMYFUNCTION("""COMPUTED_VALUE"""),44692)</f>
        <v>44692</v>
      </c>
      <c r="B8297" s="6" t="str">
        <f ca="1">IFERROR(__xludf.DUMMYFUNCTION("""COMPUTED_VALUE"""),"-33.601645-70.896390")</f>
        <v>-33.601645-70.896390</v>
      </c>
      <c r="C8297" s="6" t="str">
        <f ca="1">IFERROR(__xludf.DUMMYFUNCTION("""COMPUTED_VALUE"""),"CONCORDIA 0651")</f>
        <v>CONCORDIA 0651</v>
      </c>
      <c r="D8297" s="6" t="str">
        <f ca="1">IFERROR(__xludf.DUMMYFUNCTION("""COMPUTED_VALUE"""),"PEÑAFLOR")</f>
        <v>PEÑAFLOR</v>
      </c>
    </row>
    <row r="8298" spans="1:4">
      <c r="A8298" s="7">
        <f ca="1">IFERROR(__xludf.DUMMYFUNCTION("""COMPUTED_VALUE"""),44692)</f>
        <v>44692</v>
      </c>
      <c r="B8298" s="6" t="str">
        <f ca="1">IFERROR(__xludf.DUMMYFUNCTION("""COMPUTED_VALUE"""),"-33.786614-70.785562")</f>
        <v>-33.786614-70.785562</v>
      </c>
      <c r="C8298" s="6" t="str">
        <f ca="1">IFERROR(__xludf.DUMMYFUNCTION("""COMPUTED_VALUE"""),"AV. VILUCO 5003")</f>
        <v>AV. VILUCO 5003</v>
      </c>
      <c r="D8298" s="6" t="str">
        <f ca="1">IFERROR(__xludf.DUMMYFUNCTION("""COMPUTED_VALUE"""),"BUIN")</f>
        <v>BUIN</v>
      </c>
    </row>
    <row r="8299" spans="1:4">
      <c r="A8299" s="7">
        <f ca="1">IFERROR(__xludf.DUMMYFUNCTION("""COMPUTED_VALUE"""),44692)</f>
        <v>44692</v>
      </c>
      <c r="B8299" s="6" t="str">
        <f ca="1">IFERROR(__xludf.DUMMYFUNCTION("""COMPUTED_VALUE"""),"-33.816052-70.746122")</f>
        <v>-33.816052-70.746122</v>
      </c>
      <c r="C8299" s="6" t="str">
        <f ca="1">IFERROR(__xludf.DUMMYFUNCTION("""COMPUTED_VALUE"""),"SERRANO 266")</f>
        <v>SERRANO 266</v>
      </c>
      <c r="D8299" s="6" t="str">
        <f ca="1">IFERROR(__xludf.DUMMYFUNCTION("""COMPUTED_VALUE"""),"PAINE")</f>
        <v>PAINE</v>
      </c>
    </row>
    <row r="8300" spans="1:4">
      <c r="A8300" s="7">
        <f ca="1">IFERROR(__xludf.DUMMYFUNCTION("""COMPUTED_VALUE"""),44692)</f>
        <v>44692</v>
      </c>
      <c r="B8300" s="8" t="str">
        <f ca="1">IFERROR(__xludf.DUMMYFUNCTION("""COMPUTED_VALUE"""),"-33.707085,-70.562250")</f>
        <v>-33.707085,-70.562250</v>
      </c>
      <c r="C8300" s="6" t="str">
        <f ca="1">IFERROR(__xludf.DUMMYFUNCTION("""COMPUTED_VALUE"""),"PRINCIPAL 35 D")</f>
        <v>PRINCIPAL 35 D</v>
      </c>
      <c r="D8300" s="6" t="str">
        <f ca="1">IFERROR(__xludf.DUMMYFUNCTION("""COMPUTED_VALUE"""),"PIRQUE")</f>
        <v>PIRQUE</v>
      </c>
    </row>
    <row r="8301" spans="1:4">
      <c r="A8301" s="7">
        <f ca="1">IFERROR(__xludf.DUMMYFUNCTION("""COMPUTED_VALUE"""),44692)</f>
        <v>44692</v>
      </c>
      <c r="B8301" s="8" t="str">
        <f ca="1">IFERROR(__xludf.DUMMYFUNCTION("""COMPUTED_VALUE"""),"-33.706989,-70.562471")</f>
        <v>-33.706989,-70.562471</v>
      </c>
      <c r="C8301" s="6" t="str">
        <f ca="1">IFERROR(__xludf.DUMMYFUNCTION("""COMPUTED_VALUE"""),"EL PRINCIPAL 35")</f>
        <v>EL PRINCIPAL 35</v>
      </c>
      <c r="D8301" s="6" t="str">
        <f ca="1">IFERROR(__xludf.DUMMYFUNCTION("""COMPUTED_VALUE"""),"PIRQUE")</f>
        <v>PIRQUE</v>
      </c>
    </row>
    <row r="8302" spans="1:4">
      <c r="A8302" s="7">
        <f ca="1">IFERROR(__xludf.DUMMYFUNCTION("""COMPUTED_VALUE"""),44692)</f>
        <v>44692</v>
      </c>
      <c r="B8302" s="6" t="str">
        <f ca="1">IFERROR(__xludf.DUMMYFUNCTION("""COMPUTED_VALUE"""),"-33.727800,-70.915048")</f>
        <v>-33.727800,-70.915048</v>
      </c>
      <c r="C8302" s="6" t="str">
        <f ca="1">IFERROR(__xludf.DUMMYFUNCTION("""COMPUTED_VALUE"""),"PA ESTERO GACITUA 119")</f>
        <v>PA ESTERO GACITUA 119</v>
      </c>
      <c r="D8302" s="6" t="str">
        <f ca="1">IFERROR(__xludf.DUMMYFUNCTION("""COMPUTED_VALUE"""),"ISLA DE MAIPO")</f>
        <v>ISLA DE MAIPO</v>
      </c>
    </row>
    <row r="8303" spans="1:4">
      <c r="A8303" s="7">
        <f ca="1">IFERROR(__xludf.DUMMYFUNCTION("""COMPUTED_VALUE"""),44692)</f>
        <v>44692</v>
      </c>
      <c r="B8303" s="8" t="str">
        <f ca="1">IFERROR(__xludf.DUMMYFUNCTION("""COMPUTED_VALUE"""),"-33.798779,-70.682975")</f>
        <v>-33.798779,-70.682975</v>
      </c>
      <c r="C8303" s="6" t="str">
        <f ca="1">IFERROR(__xludf.DUMMYFUNCTION("""COMPUTED_VALUE"""),"24 ABRIL SITIO 93 ")</f>
        <v xml:space="preserve">24 ABRIL SITIO 93 </v>
      </c>
      <c r="D8303" s="6" t="str">
        <f ca="1">IFERROR(__xludf.DUMMYFUNCTION("""COMPUTED_VALUE"""),"PAINE")</f>
        <v>PAINE</v>
      </c>
    </row>
    <row r="8304" spans="1:4">
      <c r="A8304" s="7">
        <f ca="1">IFERROR(__xludf.DUMMYFUNCTION("""COMPUTED_VALUE"""),44692)</f>
        <v>44692</v>
      </c>
      <c r="B8304" s="8" t="str">
        <f ca="1">IFERROR(__xludf.DUMMYFUNCTION("""COMPUTED_VALUE"""),"-33.735055,-70.683785")</f>
        <v>-33.735055,-70.683785</v>
      </c>
      <c r="C8304" s="6" t="str">
        <f ca="1">IFERROR(__xludf.DUMMYFUNCTION("""COMPUTED_VALUE"""),"EL MOLINO PASAJE HERNANDEZ 21")</f>
        <v>EL MOLINO PASAJE HERNANDEZ 21</v>
      </c>
      <c r="D8304" s="6" t="str">
        <f ca="1">IFERROR(__xludf.DUMMYFUNCTION("""COMPUTED_VALUE"""),"BUIN")</f>
        <v>BUIN</v>
      </c>
    </row>
    <row r="8305" spans="1:4">
      <c r="A8305" s="7">
        <f ca="1">IFERROR(__xludf.DUMMYFUNCTION("""COMPUTED_VALUE"""),44692)</f>
        <v>44692</v>
      </c>
      <c r="B8305" s="8" t="str">
        <f ca="1">IFERROR(__xludf.DUMMYFUNCTION("""COMPUTED_VALUE"""),"-33.740213,-70.692223")</f>
        <v>-33.740213,-70.692223</v>
      </c>
      <c r="C8305" s="6" t="str">
        <f ca="1">IFERROR(__xludf.DUMMYFUNCTION("""COMPUTED_VALUE"""),"TENIENTE MERINO PARCELA 9")</f>
        <v>TENIENTE MERINO PARCELA 9</v>
      </c>
      <c r="D8305" s="6" t="str">
        <f ca="1">IFERROR(__xludf.DUMMYFUNCTION("""COMPUTED_VALUE"""),"BUIN")</f>
        <v>BUIN</v>
      </c>
    </row>
    <row r="8306" spans="1:4">
      <c r="A8306" s="7">
        <f ca="1">IFERROR(__xludf.DUMMYFUNCTION("""COMPUTED_VALUE"""),44692)</f>
        <v>44692</v>
      </c>
      <c r="B8306" s="6" t="str">
        <f ca="1">IFERROR(__xludf.DUMMYFUNCTION("""COMPUTED_VALUE"""),"-33.823310,-70.731524")</f>
        <v>-33.823310,-70.731524</v>
      </c>
      <c r="C8306" s="6" t="str">
        <f ca="1">IFERROR(__xludf.DUMMYFUNCTION("""COMPUTED_VALUE"""),"CARLOS CONTRERAS B. 940")</f>
        <v>CARLOS CONTRERAS B. 940</v>
      </c>
      <c r="D8306" s="6" t="str">
        <f ca="1">IFERROR(__xludf.DUMMYFUNCTION("""COMPUTED_VALUE"""),"PAINE")</f>
        <v>PAINE</v>
      </c>
    </row>
    <row r="8307" spans="1:4">
      <c r="A8307" s="7">
        <f ca="1">IFERROR(__xludf.DUMMYFUNCTION("""COMPUTED_VALUE"""),44692)</f>
        <v>44692</v>
      </c>
      <c r="B8307" s="6" t="str">
        <f ca="1">IFERROR(__xludf.DUMMYFUNCTION("""COMPUTED_VALUE"""),"-33.808933,-70.760863")</f>
        <v>-33.808933,-70.760863</v>
      </c>
      <c r="C8307" s="6" t="str">
        <f ca="1">IFERROR(__xludf.DUMMYFUNCTION("""COMPUTED_VALUE"""),"STA VICTORIA DE VILUCO 1421")</f>
        <v>STA VICTORIA DE VILUCO 1421</v>
      </c>
      <c r="D8307" s="6" t="str">
        <f ca="1">IFERROR(__xludf.DUMMYFUNCTION("""COMPUTED_VALUE"""),"BUIN")</f>
        <v>BUIN</v>
      </c>
    </row>
    <row r="8308" spans="1:4">
      <c r="A8308" s="7">
        <f ca="1">IFERROR(__xludf.DUMMYFUNCTION("""COMPUTED_VALUE"""),44692)</f>
        <v>44692</v>
      </c>
      <c r="B8308" s="6" t="str">
        <f ca="1">IFERROR(__xludf.DUMMYFUNCTION("""COMPUTED_VALUE"""),"-33.809079,-70.761280")</f>
        <v>-33.809079,-70.761280</v>
      </c>
      <c r="C8308" s="6" t="str">
        <f ca="1">IFERROR(__xludf.DUMMYFUNCTION("""COMPUTED_VALUE"""),"STA VICTORIA DE VILUCO 1421")</f>
        <v>STA VICTORIA DE VILUCO 1421</v>
      </c>
      <c r="D8308" s="6" t="str">
        <f ca="1">IFERROR(__xludf.DUMMYFUNCTION("""COMPUTED_VALUE"""),"BUIN")</f>
        <v>BUIN</v>
      </c>
    </row>
    <row r="8309" spans="1:4">
      <c r="A8309" s="7">
        <f ca="1">IFERROR(__xludf.DUMMYFUNCTION("""COMPUTED_VALUE"""),44693)</f>
        <v>44693</v>
      </c>
      <c r="B8309" s="8" t="str">
        <f ca="1">IFERROR(__xludf.DUMMYFUNCTION("""COMPUTED_VALUE"""),"-33.859594, -70.7299746")</f>
        <v>-33.859594, -70.7299746</v>
      </c>
      <c r="C8309" s="6" t="str">
        <f ca="1">IFERROR(__xludf.DUMMYFUNCTION("""COMPUTED_VALUE"""),"ROMERO 57")</f>
        <v>ROMERO 57</v>
      </c>
      <c r="D8309" s="6" t="str">
        <f ca="1">IFERROR(__xludf.DUMMYFUNCTION("""COMPUTED_VALUE"""),"PAINE")</f>
        <v>PAINE</v>
      </c>
    </row>
    <row r="8310" spans="1:4">
      <c r="A8310" s="7">
        <f ca="1">IFERROR(__xludf.DUMMYFUNCTION("""COMPUTED_VALUE"""),44693)</f>
        <v>44693</v>
      </c>
      <c r="B8310" s="8" t="str">
        <f ca="1">IFERROR(__xludf.DUMMYFUNCTION("""COMPUTED_VALUE"""),"-33.8033998, -70.8006355")</f>
        <v>-33.8033998, -70.8006355</v>
      </c>
      <c r="C8310" s="6" t="str">
        <f ca="1">IFERROR(__xludf.DUMMYFUNCTION("""COMPUTED_VALUE"""),"SANTA FILOMENA 2089")</f>
        <v>SANTA FILOMENA 2089</v>
      </c>
      <c r="D8310" s="6" t="str">
        <f ca="1">IFERROR(__xludf.DUMMYFUNCTION("""COMPUTED_VALUE"""),"BUIN")</f>
        <v>BUIN</v>
      </c>
    </row>
    <row r="8311" spans="1:4">
      <c r="A8311" s="7">
        <f ca="1">IFERROR(__xludf.DUMMYFUNCTION("""COMPUTED_VALUE"""),44693)</f>
        <v>44693</v>
      </c>
      <c r="B8311" s="8" t="str">
        <f ca="1">IFERROR(__xludf.DUMMYFUNCTION("""COMPUTED_VALUE"""),"-33.8598065, -70.7490924")</f>
        <v>-33.8598065, -70.7490924</v>
      </c>
      <c r="C8311" s="6" t="str">
        <f ca="1">IFERROR(__xludf.DUMMYFUNCTION("""COMPUTED_VALUE"""),"LOS ALAMOS 89 B6")</f>
        <v>LOS ALAMOS 89 B6</v>
      </c>
      <c r="D8311" s="6" t="str">
        <f ca="1">IFERROR(__xludf.DUMMYFUNCTION("""COMPUTED_VALUE"""),"PAINE")</f>
        <v>PAINE</v>
      </c>
    </row>
    <row r="8312" spans="1:4">
      <c r="A8312" s="7">
        <f ca="1">IFERROR(__xludf.DUMMYFUNCTION("""COMPUTED_VALUE"""),44693)</f>
        <v>44693</v>
      </c>
      <c r="B8312" s="8" t="str">
        <f ca="1">IFERROR(__xludf.DUMMYFUNCTION("""COMPUTED_VALUE"""),"-33.8467865, -70.6352786")</f>
        <v>-33.8467865, -70.6352786</v>
      </c>
      <c r="C8312" s="6" t="str">
        <f ca="1">IFERROR(__xludf.DUMMYFUNCTION("""COMPUTED_VALUE"""),"CARDONAL ALTO 2")</f>
        <v>CARDONAL ALTO 2</v>
      </c>
      <c r="D8312" s="6" t="str">
        <f ca="1">IFERROR(__xludf.DUMMYFUNCTION("""COMPUTED_VALUE"""),"PAINE")</f>
        <v>PAINE</v>
      </c>
    </row>
    <row r="8313" spans="1:4">
      <c r="A8313" s="7">
        <f ca="1">IFERROR(__xludf.DUMMYFUNCTION("""COMPUTED_VALUE"""),44693)</f>
        <v>44693</v>
      </c>
      <c r="B8313" s="6" t="str">
        <f ca="1">IFERROR(__xludf.DUMMYFUNCTION("""COMPUTED_VALUE"""),"-33.437412-71.032978")</f>
        <v>-33.437412-71.032978</v>
      </c>
      <c r="C8313" s="6" t="str">
        <f ca="1">IFERROR(__xludf.DUMMYFUNCTION("""COMPUTED_VALUE"""),"UNION SAN JOSE LT 14 D")</f>
        <v>UNION SAN JOSE LT 14 D</v>
      </c>
      <c r="D8313" s="6" t="str">
        <f ca="1">IFERROR(__xludf.DUMMYFUNCTION("""COMPUTED_VALUE"""),"CURACAVI")</f>
        <v>CURACAVI</v>
      </c>
    </row>
    <row r="8314" spans="1:4">
      <c r="A8314" s="7">
        <f ca="1">IFERROR(__xludf.DUMMYFUNCTION("""COMPUTED_VALUE"""),44693)</f>
        <v>44693</v>
      </c>
      <c r="B8314" s="6" t="str">
        <f ca="1">IFERROR(__xludf.DUMMYFUNCTION("""COMPUTED_VALUE"""),"-33.406591-71.136281")</f>
        <v>-33.406591-71.136281</v>
      </c>
      <c r="C8314" s="6" t="str">
        <f ca="1">IFERROR(__xludf.DUMMYFUNCTION("""COMPUTED_VALUE"""),"LIDIA SILVA MCVEY 250")</f>
        <v>LIDIA SILVA MCVEY 250</v>
      </c>
      <c r="D8314" s="6" t="str">
        <f ca="1">IFERROR(__xludf.DUMMYFUNCTION("""COMPUTED_VALUE"""),"CURACAVI")</f>
        <v>CURACAVI</v>
      </c>
    </row>
    <row r="8315" spans="1:4">
      <c r="A8315" s="7">
        <f ca="1">IFERROR(__xludf.DUMMYFUNCTION("""COMPUTED_VALUE"""),44693)</f>
        <v>44693</v>
      </c>
      <c r="B8315" s="6" t="str">
        <f ca="1">IFERROR(__xludf.DUMMYFUNCTION("""COMPUTED_VALUE"""),"-33.609276-70.831594")</f>
        <v>-33.609276-70.831594</v>
      </c>
      <c r="C8315" s="6" t="str">
        <f ca="1">IFERROR(__xludf.DUMMYFUNCTION("""COMPUTED_VALUE"""),"MANUEL CASTILLO 1990")</f>
        <v>MANUEL CASTILLO 1990</v>
      </c>
      <c r="D8315" s="6" t="str">
        <f ca="1">IFERROR(__xludf.DUMMYFUNCTION("""COMPUTED_VALUE"""),"PEÑAFLOR")</f>
        <v>PEÑAFLOR</v>
      </c>
    </row>
    <row r="8316" spans="1:4">
      <c r="A8316" s="7">
        <f ca="1">IFERROR(__xludf.DUMMYFUNCTION("""COMPUTED_VALUE"""),44693)</f>
        <v>44693</v>
      </c>
      <c r="B8316" s="6" t="str">
        <f ca="1">IFERROR(__xludf.DUMMYFUNCTION("""COMPUTED_VALUE"""),"-33.399277-71.124862")</f>
        <v>-33.399277-71.124862</v>
      </c>
      <c r="C8316" s="6" t="str">
        <f ca="1">IFERROR(__xludf.DUMMYFUNCTION("""COMPUTED_VALUE"""),"PJE ANA CRUCHAGA 271")</f>
        <v>PJE ANA CRUCHAGA 271</v>
      </c>
      <c r="D8316" s="6" t="str">
        <f ca="1">IFERROR(__xludf.DUMMYFUNCTION("""COMPUTED_VALUE"""),"CURACAVI")</f>
        <v>CURACAVI</v>
      </c>
    </row>
    <row r="8317" spans="1:4">
      <c r="A8317" s="7">
        <f ca="1">IFERROR(__xludf.DUMMYFUNCTION("""COMPUTED_VALUE"""),44693)</f>
        <v>44693</v>
      </c>
      <c r="B8317" s="6" t="str">
        <f ca="1">IFERROR(__xludf.DUMMYFUNCTION("""COMPUTED_VALUE"""),"-33.679955-71.218472")</f>
        <v>-33.679955-71.218472</v>
      </c>
      <c r="C8317" s="6" t="str">
        <f ca="1">IFERROR(__xludf.DUMMYFUNCTION("""COMPUTED_VALUE"""),"VICUÑA MACKENNA 859")</f>
        <v>VICUÑA MACKENNA 859</v>
      </c>
      <c r="D8317" s="6" t="str">
        <f ca="1">IFERROR(__xludf.DUMMYFUNCTION("""COMPUTED_VALUE"""),"MELIPILLA")</f>
        <v>MELIPILLA</v>
      </c>
    </row>
    <row r="8318" spans="1:4">
      <c r="A8318" s="7">
        <f ca="1">IFERROR(__xludf.DUMMYFUNCTION("""COMPUTED_VALUE"""),44693)</f>
        <v>44693</v>
      </c>
      <c r="B8318" s="6" t="str">
        <f ca="1">IFERROR(__xludf.DUMMYFUNCTION("""COMPUTED_VALUE"""),"-33.679955-71.218472")</f>
        <v>-33.679955-71.218472</v>
      </c>
      <c r="C8318" s="6" t="str">
        <f ca="1">IFERROR(__xludf.DUMMYFUNCTION("""COMPUTED_VALUE"""),"VICUÑA MACKENNA 859")</f>
        <v>VICUÑA MACKENNA 859</v>
      </c>
      <c r="D8318" s="6" t="str">
        <f ca="1">IFERROR(__xludf.DUMMYFUNCTION("""COMPUTED_VALUE"""),"MELIPILLA")</f>
        <v>MELIPILLA</v>
      </c>
    </row>
    <row r="8319" spans="1:4">
      <c r="A8319" s="7">
        <f ca="1">IFERROR(__xludf.DUMMYFUNCTION("""COMPUTED_VALUE"""),44693)</f>
        <v>44693</v>
      </c>
      <c r="B8319" s="8" t="str">
        <f ca="1">IFERROR(__xludf.DUMMYFUNCTION("""COMPUTED_VALUE"""),"-33.735060,-70.556847")</f>
        <v>-33.735060,-70.556847</v>
      </c>
      <c r="C8319" s="6" t="str">
        <f ca="1">IFERROR(__xludf.DUMMYFUNCTION("""COMPUTED_VALUE"""),"CAM. LOS CORRALES INTERIOR 29C")</f>
        <v>CAM. LOS CORRALES INTERIOR 29C</v>
      </c>
      <c r="D8319" s="6" t="str">
        <f ca="1">IFERROR(__xludf.DUMMYFUNCTION("""COMPUTED_VALUE"""),"PIRQUE")</f>
        <v>PIRQUE</v>
      </c>
    </row>
    <row r="8320" spans="1:4">
      <c r="A8320" s="7">
        <f ca="1">IFERROR(__xludf.DUMMYFUNCTION("""COMPUTED_VALUE"""),44693)</f>
        <v>44693</v>
      </c>
      <c r="B8320" s="8" t="str">
        <f ca="1">IFERROR(__xludf.DUMMYFUNCTION("""COMPUTED_VALUE"""),"-33.735060,-70.556847")</f>
        <v>-33.735060,-70.556847</v>
      </c>
      <c r="C8320" s="6" t="str">
        <f ca="1">IFERROR(__xludf.DUMMYFUNCTION("""COMPUTED_VALUE"""),"CAM. LOS CORRALES INTERIOR 29C")</f>
        <v>CAM. LOS CORRALES INTERIOR 29C</v>
      </c>
      <c r="D8320" s="6" t="str">
        <f ca="1">IFERROR(__xludf.DUMMYFUNCTION("""COMPUTED_VALUE"""),"PIRQUE")</f>
        <v>PIRQUE</v>
      </c>
    </row>
    <row r="8321" spans="1:4">
      <c r="A8321" s="7">
        <f ca="1">IFERROR(__xludf.DUMMYFUNCTION("""COMPUTED_VALUE"""),44693)</f>
        <v>44693</v>
      </c>
      <c r="B8321" s="6" t="str">
        <f ca="1">IFERROR(__xludf.DUMMYFUNCTION("""COMPUTED_VALUE"""),"-33.881891,-71.384679")</f>
        <v>-33.881891,-71.384679</v>
      </c>
      <c r="C8321" s="6" t="str">
        <f ca="1">IFERROR(__xludf.DUMMYFUNCTION("""COMPUTED_VALUE"""),"RUTA G-60 S/N")</f>
        <v>RUTA G-60 S/N</v>
      </c>
      <c r="D8321" s="6" t="str">
        <f ca="1">IFERROR(__xludf.DUMMYFUNCTION("""COMPUTED_VALUE"""),"SAN PEDRO")</f>
        <v>SAN PEDRO</v>
      </c>
    </row>
    <row r="8322" spans="1:4">
      <c r="A8322" s="7">
        <f ca="1">IFERROR(__xludf.DUMMYFUNCTION("""COMPUTED_VALUE"""),44693)</f>
        <v>44693</v>
      </c>
      <c r="B8322" s="6" t="str">
        <f ca="1">IFERROR(__xludf.DUMMYFUNCTION("""COMPUTED_VALUE"""),"-33.735248,-70.860953")</f>
        <v>-33.735248,-70.860953</v>
      </c>
      <c r="C8322" s="6" t="str">
        <f ca="1">IFERROR(__xludf.DUMMYFUNCTION("""COMPUTED_VALUE"""),"PA CANAL HERRERANO 218")</f>
        <v>PA CANAL HERRERANO 218</v>
      </c>
      <c r="D8322" s="6" t="str">
        <f ca="1">IFERROR(__xludf.DUMMYFUNCTION("""COMPUTED_VALUE"""),"ISLA DE MAIPO")</f>
        <v>ISLA DE MAIPO</v>
      </c>
    </row>
    <row r="8323" spans="1:4">
      <c r="A8323" s="7">
        <f ca="1">IFERROR(__xludf.DUMMYFUNCTION("""COMPUTED_VALUE"""),44693)</f>
        <v>44693</v>
      </c>
      <c r="B8323" s="6" t="str">
        <f ca="1">IFERROR(__xludf.DUMMYFUNCTION("""COMPUTED_VALUE"""),"-33.889963,-70.724273")</f>
        <v>-33.889963,-70.724273</v>
      </c>
      <c r="C8323" s="6" t="str">
        <f ca="1">IFERROR(__xludf.DUMMYFUNCTION("""COMPUTED_VALUE"""),"SIN CALLE S/N C KENNEDY SECT 4 HOS PARC 206")</f>
        <v>SIN CALLE S/N C KENNEDY SECT 4 HOS PARC 206</v>
      </c>
      <c r="D8323" s="6" t="str">
        <f ca="1">IFERROR(__xludf.DUMMYFUNCTION("""COMPUTED_VALUE"""),"PAINE")</f>
        <v>PAINE</v>
      </c>
    </row>
    <row r="8324" spans="1:4">
      <c r="A8324" s="7">
        <f ca="1">IFERROR(__xludf.DUMMYFUNCTION("""COMPUTED_VALUE"""),44693)</f>
        <v>44693</v>
      </c>
      <c r="B8324" s="8" t="str">
        <f ca="1">IFERROR(__xludf.DUMMYFUNCTION("""COMPUTED_VALUE"""),"-33.876954,-70.744574")</f>
        <v>-33.876954,-70.744574</v>
      </c>
      <c r="C8324" s="6" t="str">
        <f ca="1">IFERROR(__xludf.DUMMYFUNCTION("""COMPUTED_VALUE"""),"EL PORVENIR SITIO 4 ")</f>
        <v xml:space="preserve">EL PORVENIR SITIO 4 </v>
      </c>
      <c r="D8324" s="6" t="str">
        <f ca="1">IFERROR(__xludf.DUMMYFUNCTION("""COMPUTED_VALUE"""),"PAINE")</f>
        <v>PAINE</v>
      </c>
    </row>
    <row r="8325" spans="1:4">
      <c r="A8325" s="7">
        <f ca="1">IFERROR(__xludf.DUMMYFUNCTION("""COMPUTED_VALUE"""),44693)</f>
        <v>44693</v>
      </c>
      <c r="B8325" s="6" t="str">
        <f ca="1">IFERROR(__xludf.DUMMYFUNCTION("""COMPUTED_VALUE"""),"-33.733551,-70.776344")</f>
        <v>-33.733551,-70.776344</v>
      </c>
      <c r="C8325" s="6" t="str">
        <f ca="1">IFERROR(__xludf.DUMMYFUNCTION("""COMPUTED_VALUE"""),"PJE EL PERCHERON 302")</f>
        <v>PJE EL PERCHERON 302</v>
      </c>
      <c r="D8325" s="6" t="str">
        <f ca="1">IFERROR(__xludf.DUMMYFUNCTION("""COMPUTED_VALUE"""),"BUIN")</f>
        <v>BUIN</v>
      </c>
    </row>
    <row r="8326" spans="1:4">
      <c r="A8326" s="7">
        <f ca="1">IFERROR(__xludf.DUMMYFUNCTION("""COMPUTED_VALUE"""),44693)</f>
        <v>44693</v>
      </c>
      <c r="B8326" s="6" t="str">
        <f ca="1">IFERROR(__xludf.DUMMYFUNCTION("""COMPUTED_VALUE"""),"-33.878009,-70.741583")</f>
        <v>-33.878009,-70.741583</v>
      </c>
      <c r="C8326" s="6" t="str">
        <f ca="1">IFERROR(__xludf.DUMMYFUNCTION("""COMPUTED_VALUE"""),"LAS MULAS CASA 2 PARC 222")</f>
        <v>LAS MULAS CASA 2 PARC 222</v>
      </c>
      <c r="D8326" s="6" t="str">
        <f ca="1">IFERROR(__xludf.DUMMYFUNCTION("""COMPUTED_VALUE"""),"PAINE")</f>
        <v>PAINE</v>
      </c>
    </row>
    <row r="8327" spans="1:4">
      <c r="A8327" s="7">
        <f ca="1">IFERROR(__xludf.DUMMYFUNCTION("""COMPUTED_VALUE"""),44693)</f>
        <v>44693</v>
      </c>
      <c r="B8327" s="6" t="str">
        <f ca="1">IFERROR(__xludf.DUMMYFUNCTION("""COMPUTED_VALUE"""),"-33.740875,-70.741851")</f>
        <v>-33.740875,-70.741851</v>
      </c>
      <c r="C8327" s="6" t="str">
        <f ca="1">IFERROR(__xludf.DUMMYFUNCTION("""COMPUTED_VALUE"""),"VIOLETA QUEVEDO 981")</f>
        <v>VIOLETA QUEVEDO 981</v>
      </c>
      <c r="D8327" s="6" t="str">
        <f ca="1">IFERROR(__xludf.DUMMYFUNCTION("""COMPUTED_VALUE"""),"BUIN")</f>
        <v>BUIN</v>
      </c>
    </row>
    <row r="8328" spans="1:4">
      <c r="A8328" s="7">
        <f ca="1">IFERROR(__xludf.DUMMYFUNCTION("""COMPUTED_VALUE"""),44693)</f>
        <v>44693</v>
      </c>
      <c r="B8328" s="6" t="str">
        <f ca="1">IFERROR(__xludf.DUMMYFUNCTION("""COMPUTED_VALUE"""),"-33.914035,-70.730988")</f>
        <v>-33.914035,-70.730988</v>
      </c>
      <c r="C8328" s="6" t="str">
        <f ca="1">IFERROR(__xludf.DUMMYFUNCTION("""COMPUTED_VALUE"""),"AGUILA SUR 57 LT 4")</f>
        <v>AGUILA SUR 57 LT 4</v>
      </c>
      <c r="D8328" s="6" t="str">
        <f ca="1">IFERROR(__xludf.DUMMYFUNCTION("""COMPUTED_VALUE"""),"PAINE")</f>
        <v>PAINE</v>
      </c>
    </row>
    <row r="8329" spans="1:4">
      <c r="A8329" s="7">
        <f ca="1">IFERROR(__xludf.DUMMYFUNCTION("""COMPUTED_VALUE"""),44693)</f>
        <v>44693</v>
      </c>
      <c r="B8329" s="6" t="str">
        <f ca="1">IFERROR(__xludf.DUMMYFUNCTION("""COMPUTED_VALUE"""),"-33.813960,-70.737189")</f>
        <v>-33.813960,-70.737189</v>
      </c>
      <c r="C8329" s="6" t="str">
        <f ca="1">IFERROR(__xludf.DUMMYFUNCTION("""COMPUTED_VALUE"""),"BERNARDO O´HIGGINS 996")</f>
        <v>BERNARDO O´HIGGINS 996</v>
      </c>
      <c r="D8329" s="6" t="str">
        <f ca="1">IFERROR(__xludf.DUMMYFUNCTION("""COMPUTED_VALUE"""),"PAINE")</f>
        <v>PAINE</v>
      </c>
    </row>
    <row r="8330" spans="1:4">
      <c r="A8330" s="7">
        <f ca="1">IFERROR(__xludf.DUMMYFUNCTION("""COMPUTED_VALUE"""),44693)</f>
        <v>44693</v>
      </c>
      <c r="B8330" s="6" t="str">
        <f ca="1">IFERROR(__xludf.DUMMYFUNCTION("""COMPUTED_VALUE"""),"-33.814185,-70.736291")</f>
        <v>-33.814185,-70.736291</v>
      </c>
      <c r="C8330" s="6" t="str">
        <f ca="1">IFERROR(__xludf.DUMMYFUNCTION("""COMPUTED_VALUE"""),"PEREZ CANTO 616")</f>
        <v>PEREZ CANTO 616</v>
      </c>
      <c r="D8330" s="6" t="str">
        <f ca="1">IFERROR(__xludf.DUMMYFUNCTION("""COMPUTED_VALUE"""),"PAINE")</f>
        <v>PAINE</v>
      </c>
    </row>
    <row r="8331" spans="1:4">
      <c r="A8331" s="7">
        <f ca="1">IFERROR(__xludf.DUMMYFUNCTION("""COMPUTED_VALUE"""),44693)</f>
        <v>44693</v>
      </c>
      <c r="B8331" s="6" t="str">
        <f ca="1">IFERROR(__xludf.DUMMYFUNCTION("""COMPUTED_VALUE"""),"-33.8772990,-70.7452386")</f>
        <v>-33.8772990,-70.7452386</v>
      </c>
      <c r="C8331" s="6" t="str">
        <f ca="1">IFERROR(__xludf.DUMMYFUNCTION("""COMPUTED_VALUE"""),"LAS MULAS LOTE C")</f>
        <v>LAS MULAS LOTE C</v>
      </c>
      <c r="D8331" s="6" t="str">
        <f ca="1">IFERROR(__xludf.DUMMYFUNCTION("""COMPUTED_VALUE"""),"PAINE")</f>
        <v>PAINE</v>
      </c>
    </row>
    <row r="8332" spans="1:4">
      <c r="A8332" s="7">
        <f ca="1">IFERROR(__xludf.DUMMYFUNCTION("""COMPUTED_VALUE"""),44693)</f>
        <v>44693</v>
      </c>
      <c r="B8332" s="6" t="str">
        <f ca="1">IFERROR(__xludf.DUMMYFUNCTION("""COMPUTED_VALUE"""),"-33.8813349,-70.7424135")</f>
        <v>-33.8813349,-70.7424135</v>
      </c>
      <c r="C8332" s="6" t="str">
        <f ca="1">IFERROR(__xludf.DUMMYFUNCTION("""COMPUTED_VALUE"""),"LAS MULAS 33")</f>
        <v>LAS MULAS 33</v>
      </c>
      <c r="D8332" s="6" t="str">
        <f ca="1">IFERROR(__xludf.DUMMYFUNCTION("""COMPUTED_VALUE"""),"PAINE")</f>
        <v>PAINE</v>
      </c>
    </row>
    <row r="8333" spans="1:4">
      <c r="A8333" s="7">
        <f ca="1">IFERROR(__xludf.DUMMYFUNCTION("""COMPUTED_VALUE"""),44693)</f>
        <v>44693</v>
      </c>
      <c r="B8333" s="6" t="str">
        <f ca="1">IFERROR(__xludf.DUMMYFUNCTION("""COMPUTED_VALUE"""),"-33.8631611,-70.7320202")</f>
        <v>-33.8631611,-70.7320202</v>
      </c>
      <c r="C8333" s="6" t="str">
        <f ca="1">IFERROR(__xludf.DUMMYFUNCTION("""COMPUTED_VALUE"""),"LAS ACACIAS 121 B")</f>
        <v>LAS ACACIAS 121 B</v>
      </c>
      <c r="D8333" s="6" t="str">
        <f ca="1">IFERROR(__xludf.DUMMYFUNCTION("""COMPUTED_VALUE"""),"PAINE")</f>
        <v>PAINE</v>
      </c>
    </row>
    <row r="8334" spans="1:4">
      <c r="A8334" s="7">
        <f ca="1">IFERROR(__xludf.DUMMYFUNCTION("""COMPUTED_VALUE"""),44694)</f>
        <v>44694</v>
      </c>
      <c r="B8334" s="8" t="str">
        <f ca="1">IFERROR(__xludf.DUMMYFUNCTION("""COMPUTED_VALUE"""),"-33.8054637, -70.7317326")</f>
        <v>-33.8054637, -70.7317326</v>
      </c>
      <c r="C8334" s="6" t="str">
        <f ca="1">IFERROR(__xludf.DUMMYFUNCTION("""COMPUTED_VALUE"""),"DEL VILLAR 154")</f>
        <v>DEL VILLAR 154</v>
      </c>
      <c r="D8334" s="6" t="str">
        <f ca="1">IFERROR(__xludf.DUMMYFUNCTION("""COMPUTED_VALUE"""),"PAINE")</f>
        <v>PAINE</v>
      </c>
    </row>
    <row r="8335" spans="1:4">
      <c r="A8335" s="7">
        <f ca="1">IFERROR(__xludf.DUMMYFUNCTION("""COMPUTED_VALUE"""),44694)</f>
        <v>44694</v>
      </c>
      <c r="B8335" s="8" t="str">
        <f ca="1">IFERROR(__xludf.DUMMYFUNCTION("""COMPUTED_VALUE"""),"-33.8336361, -70.649522")</f>
        <v>-33.8336361, -70.649522</v>
      </c>
      <c r="C8335" s="6" t="str">
        <f ca="1">IFERROR(__xludf.DUMMYFUNCTION("""COMPUTED_VALUE"""),"PARCELA LOS MAITENES 26 HUELQUEN")</f>
        <v>PARCELA LOS MAITENES 26 HUELQUEN</v>
      </c>
      <c r="D8335" s="6" t="str">
        <f ca="1">IFERROR(__xludf.DUMMYFUNCTION("""COMPUTED_VALUE"""),"PAINE")</f>
        <v>PAINE</v>
      </c>
    </row>
    <row r="8336" spans="1:4">
      <c r="A8336" s="7">
        <f ca="1">IFERROR(__xludf.DUMMYFUNCTION("""COMPUTED_VALUE"""),44694)</f>
        <v>44694</v>
      </c>
      <c r="B8336" s="8" t="str">
        <f ca="1">IFERROR(__xludf.DUMMYFUNCTION("""COMPUTED_VALUE"""),"-33.8053554, -70.733171")</f>
        <v>-33.8053554, -70.733171</v>
      </c>
      <c r="C8336" s="6" t="str">
        <f ca="1">IFERROR(__xludf.DUMMYFUNCTION("""COMPUTED_VALUE"""),"EL ARRAYAN 133")</f>
        <v>EL ARRAYAN 133</v>
      </c>
      <c r="D8336" s="6" t="str">
        <f ca="1">IFERROR(__xludf.DUMMYFUNCTION("""COMPUTED_VALUE"""),"PAINE")</f>
        <v>PAINE</v>
      </c>
    </row>
    <row r="8337" spans="1:4">
      <c r="A8337" s="7">
        <f ca="1">IFERROR(__xludf.DUMMYFUNCTION("""COMPUTED_VALUE"""),44694)</f>
        <v>44694</v>
      </c>
      <c r="B8337" s="8" t="str">
        <f ca="1">IFERROR(__xludf.DUMMYFUNCTION("""COMPUTED_VALUE"""),"-33.8112948, -70.7326711")</f>
        <v>-33.8112948, -70.7326711</v>
      </c>
      <c r="C8337" s="6" t="str">
        <f ca="1">IFERROR(__xludf.DUMMYFUNCTION("""COMPUTED_VALUE"""),"DIOGENES CARVAJAL 699")</f>
        <v>DIOGENES CARVAJAL 699</v>
      </c>
      <c r="D8337" s="6" t="str">
        <f ca="1">IFERROR(__xludf.DUMMYFUNCTION("""COMPUTED_VALUE"""),"PAINE")</f>
        <v>PAINE</v>
      </c>
    </row>
    <row r="8338" spans="1:4">
      <c r="A8338" s="7">
        <f ca="1">IFERROR(__xludf.DUMMYFUNCTION("""COMPUTED_VALUE"""),44694)</f>
        <v>44694</v>
      </c>
      <c r="B8338" s="6" t="str">
        <f ca="1">IFERROR(__xludf.DUMMYFUNCTION("""COMPUTED_VALUE"""),"-33.679563-71.218313")</f>
        <v>-33.679563-71.218313</v>
      </c>
      <c r="C8338" s="6" t="str">
        <f ca="1">IFERROR(__xludf.DUMMYFUNCTION("""COMPUTED_VALUE"""),"OSTALAZAS 337")</f>
        <v>OSTALAZAS 337</v>
      </c>
      <c r="D8338" s="6" t="str">
        <f ca="1">IFERROR(__xludf.DUMMYFUNCTION("""COMPUTED_VALUE"""),"MELIPILLA")</f>
        <v>MELIPILLA</v>
      </c>
    </row>
    <row r="8339" spans="1:4">
      <c r="A8339" s="7">
        <f ca="1">IFERROR(__xludf.DUMMYFUNCTION("""COMPUTED_VALUE"""),44694)</f>
        <v>44694</v>
      </c>
      <c r="B8339" s="8" t="str">
        <f ca="1">IFERROR(__xludf.DUMMYFUNCTION("""COMPUTED_VALUE"""),"-33.710921,-70.551318")</f>
        <v>-33.710921,-70.551318</v>
      </c>
      <c r="C8339" s="6" t="str">
        <f ca="1">IFERROR(__xludf.DUMMYFUNCTION("""COMPUTED_VALUE"""),"EL PRINCIPAL 47C")</f>
        <v>EL PRINCIPAL 47C</v>
      </c>
      <c r="D8339" s="6" t="str">
        <f ca="1">IFERROR(__xludf.DUMMYFUNCTION("""COMPUTED_VALUE"""),"PIRQUE")</f>
        <v>PIRQUE</v>
      </c>
    </row>
    <row r="8340" spans="1:4">
      <c r="A8340" s="7">
        <f ca="1">IFERROR(__xludf.DUMMYFUNCTION("""COMPUTED_VALUE"""),44694)</f>
        <v>44694</v>
      </c>
      <c r="B8340" s="6" t="str">
        <f ca="1">IFERROR(__xludf.DUMMYFUNCTION("""COMPUTED_VALUE"""),"-33.630203,-71.253287")</f>
        <v>-33.630203,-71.253287</v>
      </c>
      <c r="C8340" s="6" t="str">
        <f ca="1">IFERROR(__xludf.DUMMYFUNCTION("""COMPUTED_VALUE"""),"VILLA ALEGRE S/N ")</f>
        <v xml:space="preserve">VILLA ALEGRE S/N </v>
      </c>
      <c r="D8340" s="6" t="str">
        <f ca="1">IFERROR(__xludf.DUMMYFUNCTION("""COMPUTED_VALUE"""),"MELIPILLA")</f>
        <v>MELIPILLA</v>
      </c>
    </row>
    <row r="8341" spans="1:4">
      <c r="A8341" s="7">
        <f ca="1">IFERROR(__xludf.DUMMYFUNCTION("""COMPUTED_VALUE"""),44694)</f>
        <v>44694</v>
      </c>
      <c r="B8341" s="6" t="str">
        <f ca="1">IFERROR(__xludf.DUMMYFUNCTION("""COMPUTED_VALUE"""),"-33.740087,-70.864652")</f>
        <v>-33.740087,-70.864652</v>
      </c>
      <c r="C8341" s="6" t="str">
        <f ca="1">IFERROR(__xludf.DUMMYFUNCTION("""COMPUTED_VALUE"""),"PASAJE DOS 4052")</f>
        <v>PASAJE DOS 4052</v>
      </c>
      <c r="D8341" s="6" t="str">
        <f ca="1">IFERROR(__xludf.DUMMYFUNCTION("""COMPUTED_VALUE"""),"ISLA DE MAIPO")</f>
        <v>ISLA DE MAIPO</v>
      </c>
    </row>
    <row r="8342" spans="1:4">
      <c r="A8342" s="7">
        <f ca="1">IFERROR(__xludf.DUMMYFUNCTION("""COMPUTED_VALUE"""),44694)</f>
        <v>44694</v>
      </c>
      <c r="B8342" s="8" t="str">
        <f ca="1">IFERROR(__xludf.DUMMYFUNCTION("""COMPUTED_VALUE"""),"-33.797123,-70.654535")</f>
        <v>-33.797123,-70.654535</v>
      </c>
      <c r="C8342" s="6" t="str">
        <f ca="1">IFERROR(__xludf.DUMMYFUNCTION("""COMPUTED_VALUE"""),"CAMINO PADRE HURTADO SITIO 64")</f>
        <v>CAMINO PADRE HURTADO SITIO 64</v>
      </c>
      <c r="D8342" s="6" t="str">
        <f ca="1">IFERROR(__xludf.DUMMYFUNCTION("""COMPUTED_VALUE"""),"PAINE")</f>
        <v>PAINE</v>
      </c>
    </row>
    <row r="8343" spans="1:4">
      <c r="A8343" s="7">
        <f ca="1">IFERROR(__xludf.DUMMYFUNCTION("""COMPUTED_VALUE"""),44694)</f>
        <v>44694</v>
      </c>
      <c r="B8343" s="8" t="str">
        <f ca="1">IFERROR(__xludf.DUMMYFUNCTION("""COMPUTED_VALUE"""),"-33.539639,-71.229286")</f>
        <v>-33.539639,-71.229286</v>
      </c>
      <c r="C8343" s="6" t="str">
        <f ca="1">IFERROR(__xludf.DUMMYFUNCTION("""COMPUTED_VALUE"""),"PARCELA SANTA AURORA MARIA PINTO ")</f>
        <v xml:space="preserve">PARCELA SANTA AURORA MARIA PINTO </v>
      </c>
      <c r="D8343" s="6" t="str">
        <f ca="1">IFERROR(__xludf.DUMMYFUNCTION("""COMPUTED_VALUE"""),"MELIPILLA")</f>
        <v>MELIPILLA</v>
      </c>
    </row>
    <row r="8344" spans="1:4">
      <c r="A8344" s="7">
        <f ca="1">IFERROR(__xludf.DUMMYFUNCTION("""COMPUTED_VALUE"""),44694)</f>
        <v>44694</v>
      </c>
      <c r="B8344" s="8" t="str">
        <f ca="1">IFERROR(__xludf.DUMMYFUNCTION("""COMPUTED_VALUE"""),"-33.789306,-71.283923")</f>
        <v>-33.789306,-71.283923</v>
      </c>
      <c r="C8344" s="6" t="str">
        <f ca="1">IFERROR(__xludf.DUMMYFUNCTION("""COMPUTED_VALUE"""),"CAMINO VIEJO SITIO 7")</f>
        <v>CAMINO VIEJO SITIO 7</v>
      </c>
      <c r="D8344" s="6" t="str">
        <f ca="1">IFERROR(__xludf.DUMMYFUNCTION("""COMPUTED_VALUE"""),"MELIPILLA")</f>
        <v>MELIPILLA</v>
      </c>
    </row>
    <row r="8345" spans="1:4">
      <c r="A8345" s="7">
        <f ca="1">IFERROR(__xludf.DUMMYFUNCTION("""COMPUTED_VALUE"""),44694)</f>
        <v>44694</v>
      </c>
      <c r="B8345" s="8" t="str">
        <f ca="1">IFERROR(__xludf.DUMMYFUNCTION("""COMPUTED_VALUE"""),"-33.876525,-70.732102")</f>
        <v>-33.876525,-70.732102</v>
      </c>
      <c r="C8345" s="6" t="str">
        <f ca="1">IFERROR(__xludf.DUMMYFUNCTION("""COMPUTED_VALUE"""),"EL PORVENIR 4 HOSPITAL C")</f>
        <v>EL PORVENIR 4 HOSPITAL C</v>
      </c>
      <c r="D8345" s="6" t="str">
        <f ca="1">IFERROR(__xludf.DUMMYFUNCTION("""COMPUTED_VALUE"""),"PAINE")</f>
        <v>PAINE</v>
      </c>
    </row>
    <row r="8346" spans="1:4">
      <c r="A8346" s="7">
        <f ca="1">IFERROR(__xludf.DUMMYFUNCTION("""COMPUTED_VALUE"""),44694)</f>
        <v>44694</v>
      </c>
      <c r="B8346" s="6" t="str">
        <f ca="1">IFERROR(__xludf.DUMMYFUNCTION("""COMPUTED_VALUE"""),"-33.827565,-70.639674")</f>
        <v>-33.827565,-70.639674</v>
      </c>
      <c r="C8346" s="6" t="str">
        <f ca="1">IFERROR(__xludf.DUMMYFUNCTION("""COMPUTED_VALUE"""),"RINCONADA DE HUELQUEN SITIO 4A")</f>
        <v>RINCONADA DE HUELQUEN SITIO 4A</v>
      </c>
      <c r="D8346" s="6" t="str">
        <f ca="1">IFERROR(__xludf.DUMMYFUNCTION("""COMPUTED_VALUE"""),"PAINE")</f>
        <v>PAINE</v>
      </c>
    </row>
    <row r="8347" spans="1:4">
      <c r="A8347" s="7">
        <f ca="1">IFERROR(__xludf.DUMMYFUNCTION("""COMPUTED_VALUE"""),44694)</f>
        <v>44694</v>
      </c>
      <c r="B8347" s="6" t="str">
        <f ca="1">IFERROR(__xludf.DUMMYFUNCTION("""COMPUTED_VALUE"""),"-33.714649,-70.740238")</f>
        <v>-33.714649,-70.740238</v>
      </c>
      <c r="C8347" s="6" t="str">
        <f ca="1">IFERROR(__xludf.DUMMYFUNCTION("""COMPUTED_VALUE"""),"PJE. UNION ESPERANZA 234")</f>
        <v>PJE. UNION ESPERANZA 234</v>
      </c>
      <c r="D8347" s="6" t="str">
        <f ca="1">IFERROR(__xludf.DUMMYFUNCTION("""COMPUTED_VALUE"""),"BUIN")</f>
        <v>BUIN</v>
      </c>
    </row>
    <row r="8348" spans="1:4">
      <c r="A8348" s="7">
        <f ca="1">IFERROR(__xludf.DUMMYFUNCTION("""COMPUTED_VALUE"""),44694)</f>
        <v>44694</v>
      </c>
      <c r="B8348" s="6" t="str">
        <f ca="1">IFERROR(__xludf.DUMMYFUNCTION("""COMPUTED_VALUE"""),"-33.724010,-70.773135")</f>
        <v>-33.724010,-70.773135</v>
      </c>
      <c r="C8348" s="6" t="str">
        <f ca="1">IFERROR(__xludf.DUMMYFUNCTION("""COMPUTED_VALUE"""),"PJE MADRE MARIANA SOTO 511")</f>
        <v>PJE MADRE MARIANA SOTO 511</v>
      </c>
      <c r="D8348" s="6" t="str">
        <f ca="1">IFERROR(__xludf.DUMMYFUNCTION("""COMPUTED_VALUE"""),"BUIN")</f>
        <v>BUIN</v>
      </c>
    </row>
    <row r="8349" spans="1:4">
      <c r="A8349" s="7">
        <f ca="1">IFERROR(__xludf.DUMMYFUNCTION("""COMPUTED_VALUE"""),44694)</f>
        <v>44694</v>
      </c>
      <c r="B8349" s="6" t="str">
        <f ca="1">IFERROR(__xludf.DUMMYFUNCTION("""COMPUTED_VALUE"""),"-33.813662,-70.736450")</f>
        <v>-33.813662,-70.736450</v>
      </c>
      <c r="C8349" s="6" t="str">
        <f ca="1">IFERROR(__xludf.DUMMYFUNCTION("""COMPUTED_VALUE"""),"PASAJE TRES 972")</f>
        <v>PASAJE TRES 972</v>
      </c>
      <c r="D8349" s="6" t="str">
        <f ca="1">IFERROR(__xludf.DUMMYFUNCTION("""COMPUTED_VALUE"""),"PAINE")</f>
        <v>PAINE</v>
      </c>
    </row>
    <row r="8350" spans="1:4">
      <c r="A8350" s="7">
        <f ca="1">IFERROR(__xludf.DUMMYFUNCTION("""COMPUTED_VALUE"""),44694)</f>
        <v>44694</v>
      </c>
      <c r="B8350" s="6" t="str">
        <f ca="1">IFERROR(__xludf.DUMMYFUNCTION("""COMPUTED_VALUE"""),"-33.812324,-70.738916")</f>
        <v>-33.812324,-70.738916</v>
      </c>
      <c r="C8350" s="6" t="str">
        <f ca="1">IFERROR(__xludf.DUMMYFUNCTION("""COMPUTED_VALUE"""),"PRINCIPAL 336")</f>
        <v>PRINCIPAL 336</v>
      </c>
      <c r="D8350" s="6" t="str">
        <f ca="1">IFERROR(__xludf.DUMMYFUNCTION("""COMPUTED_VALUE"""),"PAINE")</f>
        <v>PAINE</v>
      </c>
    </row>
    <row r="8351" spans="1:4">
      <c r="A8351" s="7">
        <f ca="1">IFERROR(__xludf.DUMMYFUNCTION("""COMPUTED_VALUE"""),44694)</f>
        <v>44694</v>
      </c>
      <c r="B8351" s="6" t="str">
        <f ca="1">IFERROR(__xludf.DUMMYFUNCTION("""COMPUTED_VALUE"""),"-33.8515914,-70.9467559")</f>
        <v>-33.8515914,-70.9467559</v>
      </c>
      <c r="C8351" s="6" t="str">
        <f ca="1">IFERROR(__xludf.DUMMYFUNCTION("""COMPUTED_VALUE"""),"LA CAPILLA PARCELA 5")</f>
        <v>LA CAPILLA PARCELA 5</v>
      </c>
      <c r="D8351" s="6" t="str">
        <f ca="1">IFERROR(__xludf.DUMMYFUNCTION("""COMPUTED_VALUE"""),"PAINE")</f>
        <v>PAINE</v>
      </c>
    </row>
    <row r="8352" spans="1:4">
      <c r="A8352" s="7">
        <f ca="1">IFERROR(__xludf.DUMMYFUNCTION("""COMPUTED_VALUE"""),44694)</f>
        <v>44694</v>
      </c>
      <c r="B8352" s="6" t="str">
        <f ca="1">IFERROR(__xludf.DUMMYFUNCTION("""COMPUTED_VALUE"""),"-33.8161750,-70.9704439")</f>
        <v>-33.8161750,-70.9704439</v>
      </c>
      <c r="C8352" s="6" t="str">
        <f ca="1">IFERROR(__xludf.DUMMYFUNCTION("""COMPUTED_VALUE"""),"BOSQUE DE ACULEO PARCELA 21")</f>
        <v>BOSQUE DE ACULEO PARCELA 21</v>
      </c>
      <c r="D8352" s="6" t="str">
        <f ca="1">IFERROR(__xludf.DUMMYFUNCTION("""COMPUTED_VALUE"""),"PAINE")</f>
        <v>PAINE</v>
      </c>
    </row>
    <row r="8353" spans="1:4">
      <c r="A8353" s="7">
        <f ca="1">IFERROR(__xludf.DUMMYFUNCTION("""COMPUTED_VALUE"""),44695)</f>
        <v>44695</v>
      </c>
      <c r="B8353" s="6" t="str">
        <f ca="1">IFERROR(__xludf.DUMMYFUNCTION("""COMPUTED_VALUE"""),"-33.410803-71.150662")</f>
        <v>-33.410803-71.150662</v>
      </c>
      <c r="C8353" s="6" t="str">
        <f ca="1">IFERROR(__xludf.DUMMYFUNCTION("""COMPUTED_VALUE"""),"AV. OHIGGINS 202")</f>
        <v>AV. OHIGGINS 202</v>
      </c>
      <c r="D8353" s="6" t="str">
        <f ca="1">IFERROR(__xludf.DUMMYFUNCTION("""COMPUTED_VALUE"""),"CURACAVI")</f>
        <v>CURACAVI</v>
      </c>
    </row>
    <row r="8354" spans="1:4">
      <c r="A8354" s="7">
        <f ca="1">IFERROR(__xludf.DUMMYFUNCTION("""COMPUTED_VALUE"""),44695)</f>
        <v>44695</v>
      </c>
      <c r="B8354" s="6" t="str">
        <f ca="1">IFERROR(__xludf.DUMMYFUNCTION("""COMPUTED_VALUE"""),"-33.422176-71.139080")</f>
        <v>-33.422176-71.139080</v>
      </c>
      <c r="C8354" s="6" t="str">
        <f ca="1">IFERROR(__xludf.DUMMYFUNCTION("""COMPUTED_VALUE"""),"LO AGUILA SUR PARC 27")</f>
        <v>LO AGUILA SUR PARC 27</v>
      </c>
      <c r="D8354" s="6" t="str">
        <f ca="1">IFERROR(__xludf.DUMMYFUNCTION("""COMPUTED_VALUE"""),"CURACAVI")</f>
        <v>CURACAVI</v>
      </c>
    </row>
    <row r="8355" spans="1:4">
      <c r="A8355" s="7">
        <f ca="1">IFERROR(__xludf.DUMMYFUNCTION("""COMPUTED_VALUE"""),44695)</f>
        <v>44695</v>
      </c>
      <c r="B8355" s="8" t="str">
        <f ca="1">IFERROR(__xludf.DUMMYFUNCTION("""COMPUTED_VALUE"""),"-33.674136,-70.975721")</f>
        <v>-33.674136,-70.975721</v>
      </c>
      <c r="C8355" s="6" t="str">
        <f ca="1">IFERROR(__xludf.DUMMYFUNCTION("""COMPUTED_VALUE"""),"BUTALMAPU 844")</f>
        <v>BUTALMAPU 844</v>
      </c>
      <c r="D8355" s="6" t="str">
        <f ca="1">IFERROR(__xludf.DUMMYFUNCTION("""COMPUTED_VALUE"""),"EL MONTE")</f>
        <v>EL MONTE</v>
      </c>
    </row>
    <row r="8356" spans="1:4">
      <c r="A8356" s="7">
        <f ca="1">IFERROR(__xludf.DUMMYFUNCTION("""COMPUTED_VALUE"""),44695)</f>
        <v>44695</v>
      </c>
      <c r="B8356" s="6" t="str">
        <f ca="1">IFERROR(__xludf.DUMMYFUNCTION("""COMPUTED_VALUE"""),"-33.796030,-71.205634")</f>
        <v>-33.796030,-71.205634</v>
      </c>
      <c r="C8356" s="6" t="str">
        <f ca="1">IFERROR(__xludf.DUMMYFUNCTION("""COMPUTED_VALUE"""),"LOS ALMENDRO PC 52-09")</f>
        <v>LOS ALMENDRO PC 52-09</v>
      </c>
      <c r="D8356" s="6" t="str">
        <f ca="1">IFERROR(__xludf.DUMMYFUNCTION("""COMPUTED_VALUE"""),"MELIPILLA")</f>
        <v>MELIPILLA</v>
      </c>
    </row>
    <row r="8357" spans="1:4">
      <c r="A8357" s="7">
        <f ca="1">IFERROR(__xludf.DUMMYFUNCTION("""COMPUTED_VALUE"""),44695)</f>
        <v>44695</v>
      </c>
      <c r="B8357" s="6" t="str">
        <f ca="1">IFERROR(__xludf.DUMMYFUNCTION("""COMPUTED_VALUE"""),"-33.869811,-70.724243")</f>
        <v>-33.869811,-70.724243</v>
      </c>
      <c r="C8357" s="6" t="str">
        <f ca="1">IFERROR(__xludf.DUMMYFUNCTION("""COMPUTED_VALUE"""),"CO CHADA PARCE 109 PARCELACION COLONIA")</f>
        <v>CO CHADA PARCE 109 PARCELACION COLONIA</v>
      </c>
      <c r="D8357" s="6" t="str">
        <f ca="1">IFERROR(__xludf.DUMMYFUNCTION("""COMPUTED_VALUE"""),"PAINE")</f>
        <v>PAINE</v>
      </c>
    </row>
    <row r="8358" spans="1:4">
      <c r="A8358" s="7">
        <f ca="1">IFERROR(__xludf.DUMMYFUNCTION("""COMPUTED_VALUE"""),44695)</f>
        <v>44695</v>
      </c>
      <c r="B8358" s="6" t="str">
        <f ca="1">IFERROR(__xludf.DUMMYFUNCTION("""COMPUTED_VALUE"""),"-33.802956,-70.854297")</f>
        <v>-33.802956,-70.854297</v>
      </c>
      <c r="C8358" s="6" t="str">
        <f ca="1">IFERROR(__xludf.DUMMYFUNCTION("""COMPUTED_VALUE"""),"AV. CHILE 47")</f>
        <v>AV. CHILE 47</v>
      </c>
      <c r="D8358" s="6" t="str">
        <f ca="1">IFERROR(__xludf.DUMMYFUNCTION("""COMPUTED_VALUE"""),"BUIN")</f>
        <v>BUIN</v>
      </c>
    </row>
    <row r="8359" spans="1:4">
      <c r="A8359" s="7">
        <f ca="1">IFERROR(__xludf.DUMMYFUNCTION("""COMPUTED_VALUE"""),44695)</f>
        <v>44695</v>
      </c>
      <c r="B8359" s="6" t="str">
        <f ca="1">IFERROR(__xludf.DUMMYFUNCTION("""COMPUTED_VALUE"""),"-33.814333,-70.852322")</f>
        <v>-33.814333,-70.852322</v>
      </c>
      <c r="C8359" s="6" t="str">
        <f ca="1">IFERROR(__xludf.DUMMYFUNCTION("""COMPUTED_VALUE"""),"LAS PATAGUAS PC28 ST6")</f>
        <v>LAS PATAGUAS PC28 ST6</v>
      </c>
      <c r="D8359" s="6" t="str">
        <f ca="1">IFERROR(__xludf.DUMMYFUNCTION("""COMPUTED_VALUE"""),"BUIN")</f>
        <v>BUIN</v>
      </c>
    </row>
    <row r="8360" spans="1:4">
      <c r="A8360" s="7">
        <f ca="1">IFERROR(__xludf.DUMMYFUNCTION("""COMPUTED_VALUE"""),44696)</f>
        <v>44696</v>
      </c>
      <c r="B8360" s="6" t="str">
        <f ca="1">IFERROR(__xludf.DUMMYFUNCTION("""COMPUTED_VALUE"""),"-33.581511-70.808202")</f>
        <v>-33.581511-70.808202</v>
      </c>
      <c r="C8360" s="6" t="str">
        <f ca="1">IFERROR(__xludf.DUMMYFUNCTION("""COMPUTED_VALUE"""),"PJE RAYEN 2636")</f>
        <v>PJE RAYEN 2636</v>
      </c>
      <c r="D8360" s="6" t="str">
        <f ca="1">IFERROR(__xludf.DUMMYFUNCTION("""COMPUTED_VALUE"""),"PADRE HURTADO")</f>
        <v>PADRE HURTADO</v>
      </c>
    </row>
    <row r="8361" spans="1:4">
      <c r="A8361" s="7">
        <f ca="1">IFERROR(__xludf.DUMMYFUNCTION("""COMPUTED_VALUE"""),44697)</f>
        <v>44697</v>
      </c>
      <c r="B8361" s="8" t="str">
        <f ca="1">IFERROR(__xludf.DUMMYFUNCTION("""COMPUTED_VALUE"""),"-33.6171654, -70.6300061")</f>
        <v>-33.6171654, -70.6300061</v>
      </c>
      <c r="C8361" s="6" t="str">
        <f ca="1">IFERROR(__xludf.DUMMYFUNCTION("""COMPUTED_VALUE"""),"EL PAPAGAYO 7650")</f>
        <v>EL PAPAGAYO 7650</v>
      </c>
      <c r="D8361" s="6" t="str">
        <f ca="1">IFERROR(__xludf.DUMMYFUNCTION("""COMPUTED_VALUE"""),"TALAGANTE")</f>
        <v>TALAGANTE</v>
      </c>
    </row>
    <row r="8362" spans="1:4">
      <c r="A8362" s="7">
        <f ca="1">IFERROR(__xludf.DUMMYFUNCTION("""COMPUTED_VALUE"""),44697)</f>
        <v>44697</v>
      </c>
      <c r="B8362" s="6" t="str">
        <f ca="1">IFERROR(__xludf.DUMMYFUNCTION("""COMPUTED_VALUE"""),"-33.561072-70.817860")</f>
        <v>-33.561072-70.817860</v>
      </c>
      <c r="C8362" s="6" t="str">
        <f ca="1">IFERROR(__xludf.DUMMYFUNCTION("""COMPUTED_VALUE"""),"PRESIDENTE IBAÑEZ 2001")</f>
        <v>PRESIDENTE IBAÑEZ 2001</v>
      </c>
      <c r="D8362" s="6" t="str">
        <f ca="1">IFERROR(__xludf.DUMMYFUNCTION("""COMPUTED_VALUE"""),"PADRE HURTADO")</f>
        <v>PADRE HURTADO</v>
      </c>
    </row>
    <row r="8363" spans="1:4">
      <c r="A8363" s="7">
        <f ca="1">IFERROR(__xludf.DUMMYFUNCTION("""COMPUTED_VALUE"""),44697)</f>
        <v>44697</v>
      </c>
      <c r="B8363" s="6" t="str">
        <f ca="1">IFERROR(__xludf.DUMMYFUNCTION("""COMPUTED_VALUE"""),"-33.7179-70.7446")</f>
        <v>-33.7179-70.7446</v>
      </c>
      <c r="C8363" s="6" t="str">
        <f ca="1">IFERROR(__xludf.DUMMYFUNCTION("""COMPUTED_VALUE"""),"LIMITE URBANO 461")</f>
        <v>LIMITE URBANO 461</v>
      </c>
      <c r="D8363" s="6" t="str">
        <f ca="1">IFERROR(__xludf.DUMMYFUNCTION("""COMPUTED_VALUE"""),"BUIN")</f>
        <v>BUIN</v>
      </c>
    </row>
    <row r="8364" spans="1:4">
      <c r="A8364" s="7">
        <f ca="1">IFERROR(__xludf.DUMMYFUNCTION("""COMPUTED_VALUE"""),44697)</f>
        <v>44697</v>
      </c>
      <c r="B8364" s="6" t="str">
        <f ca="1">IFERROR(__xludf.DUMMYFUNCTION("""COMPUTED_VALUE"""),"-33.7277-70.7711")</f>
        <v>-33.7277-70.7711</v>
      </c>
      <c r="C8364" s="6" t="str">
        <f ca="1">IFERROR(__xludf.DUMMYFUNCTION("""COMPUTED_VALUE"""),"ENRIQUE CHACON MUÑOZ 2914")</f>
        <v>ENRIQUE CHACON MUÑOZ 2914</v>
      </c>
      <c r="D8364" s="6" t="str">
        <f ca="1">IFERROR(__xludf.DUMMYFUNCTION("""COMPUTED_VALUE"""),"BUIN")</f>
        <v>BUIN</v>
      </c>
    </row>
    <row r="8365" spans="1:4">
      <c r="A8365" s="7">
        <f ca="1">IFERROR(__xludf.DUMMYFUNCTION("""COMPUTED_VALUE"""),44697)</f>
        <v>44697</v>
      </c>
      <c r="B8365" s="6" t="str">
        <f ca="1">IFERROR(__xludf.DUMMYFUNCTION("""COMPUTED_VALUE"""),"-33.64033-70.35132")</f>
        <v>-33.64033-70.35132</v>
      </c>
      <c r="C8365" s="6" t="str">
        <f ca="1">IFERROR(__xludf.DUMMYFUNCTION("""COMPUTED_VALUE"""),"CALLE DEL CERRO S/N")</f>
        <v>CALLE DEL CERRO S/N</v>
      </c>
      <c r="D8365" s="6" t="str">
        <f ca="1">IFERROR(__xludf.DUMMYFUNCTION("""COMPUTED_VALUE"""),"SAN JOSE DE MAIPO")</f>
        <v>SAN JOSE DE MAIPO</v>
      </c>
    </row>
    <row r="8366" spans="1:4">
      <c r="A8366" s="7">
        <f ca="1">IFERROR(__xludf.DUMMYFUNCTION("""COMPUTED_VALUE"""),44697)</f>
        <v>44697</v>
      </c>
      <c r="B8366" s="6" t="str">
        <f ca="1">IFERROR(__xludf.DUMMYFUNCTION("""COMPUTED_VALUE"""),"-33.63628-70.34827")</f>
        <v>-33.63628-70.34827</v>
      </c>
      <c r="C8366" s="6" t="str">
        <f ca="1">IFERROR(__xludf.DUMMYFUNCTION("""COMPUTED_VALUE"""),"AV. CEMENTERIO 19204")</f>
        <v>AV. CEMENTERIO 19204</v>
      </c>
      <c r="D8366" s="6" t="str">
        <f ca="1">IFERROR(__xludf.DUMMYFUNCTION("""COMPUTED_VALUE"""),"SAN JOSE DE MAIPO")</f>
        <v>SAN JOSE DE MAIPO</v>
      </c>
    </row>
    <row r="8367" spans="1:4">
      <c r="A8367" s="7">
        <f ca="1">IFERROR(__xludf.DUMMYFUNCTION("""COMPUTED_VALUE"""),44697)</f>
        <v>44697</v>
      </c>
      <c r="B8367" s="6" t="str">
        <f ca="1">IFERROR(__xludf.DUMMYFUNCTION("""COMPUTED_VALUE"""),"-33.63698-70.355780")</f>
        <v>-33.63698-70.355780</v>
      </c>
      <c r="C8367" s="6" t="str">
        <f ca="1">IFERROR(__xludf.DUMMYFUNCTION("""COMPUTED_VALUE"""),"CALLE B 467")</f>
        <v>CALLE B 467</v>
      </c>
      <c r="D8367" s="6" t="str">
        <f ca="1">IFERROR(__xludf.DUMMYFUNCTION("""COMPUTED_VALUE"""),"SAN JOSE DE MAIPO")</f>
        <v>SAN JOSE DE MAIPO</v>
      </c>
    </row>
    <row r="8368" spans="1:4">
      <c r="A8368" s="7">
        <f ca="1">IFERROR(__xludf.DUMMYFUNCTION("""COMPUTED_VALUE"""),44697)</f>
        <v>44697</v>
      </c>
      <c r="B8368" s="6" t="str">
        <f ca="1">IFERROR(__xludf.DUMMYFUNCTION("""COMPUTED_VALUE"""),"-33.58711-70.39108")</f>
        <v>-33.58711-70.39108</v>
      </c>
      <c r="C8368" s="6" t="str">
        <f ca="1">IFERROR(__xludf.DUMMYFUNCTION("""COMPUTED_VALUE"""),"CAMINO AL VOLCAN 11423")</f>
        <v>CAMINO AL VOLCAN 11423</v>
      </c>
      <c r="D8368" s="6" t="str">
        <f ca="1">IFERROR(__xludf.DUMMYFUNCTION("""COMPUTED_VALUE"""),"SAN JOSE DE MAIPO")</f>
        <v>SAN JOSE DE MAIPO</v>
      </c>
    </row>
    <row r="8369" spans="1:4">
      <c r="A8369" s="7">
        <f ca="1">IFERROR(__xludf.DUMMYFUNCTION("""COMPUTED_VALUE"""),44697)</f>
        <v>44697</v>
      </c>
      <c r="B8369" s="6" t="str">
        <f ca="1">IFERROR(__xludf.DUMMYFUNCTION("""COMPUTED_VALUE"""),"-33.400838-71.176186")</f>
        <v>-33.400838-71.176186</v>
      </c>
      <c r="C8369" s="6" t="str">
        <f ca="1">IFERROR(__xludf.DUMMYFUNCTION("""COMPUTED_VALUE"""),"EX HACIENDA CURACAVI 92")</f>
        <v>EX HACIENDA CURACAVI 92</v>
      </c>
      <c r="D8369" s="6" t="str">
        <f ca="1">IFERROR(__xludf.DUMMYFUNCTION("""COMPUTED_VALUE"""),"CURACAVI")</f>
        <v>CURACAVI</v>
      </c>
    </row>
    <row r="8370" spans="1:4">
      <c r="A8370" s="7">
        <f ca="1">IFERROR(__xludf.DUMMYFUNCTION("""COMPUTED_VALUE"""),44697)</f>
        <v>44697</v>
      </c>
      <c r="B8370" s="6" t="str">
        <f ca="1">IFERROR(__xludf.DUMMYFUNCTION("""COMPUTED_VALUE"""),"-33.412043-71.150381")</f>
        <v>-33.412043-71.150381</v>
      </c>
      <c r="C8370" s="6" t="str">
        <f ca="1">IFERROR(__xludf.DUMMYFUNCTION("""COMPUTED_VALUE"""),"AV. AMBROSIO OHIGGINS 128")</f>
        <v>AV. AMBROSIO OHIGGINS 128</v>
      </c>
      <c r="D8370" s="6" t="str">
        <f ca="1">IFERROR(__xludf.DUMMYFUNCTION("""COMPUTED_VALUE"""),"CURACAVI")</f>
        <v>CURACAVI</v>
      </c>
    </row>
    <row r="8371" spans="1:4">
      <c r="A8371" s="7">
        <f ca="1">IFERROR(__xludf.DUMMYFUNCTION("""COMPUTED_VALUE"""),44697)</f>
        <v>44697</v>
      </c>
      <c r="B8371" s="8" t="str">
        <f ca="1">IFERROR(__xludf.DUMMYFUNCTION("""COMPUTED_VALUE"""),"-33.711634,-70.551566")</f>
        <v>-33.711634,-70.551566</v>
      </c>
      <c r="C8371" s="6" t="str">
        <f ca="1">IFERROR(__xludf.DUMMYFUNCTION("""COMPUTED_VALUE"""),"EL CHALACO 48A")</f>
        <v>EL CHALACO 48A</v>
      </c>
      <c r="D8371" s="6" t="str">
        <f ca="1">IFERROR(__xludf.DUMMYFUNCTION("""COMPUTED_VALUE"""),"PIRQUE")</f>
        <v>PIRQUE</v>
      </c>
    </row>
    <row r="8372" spans="1:4">
      <c r="A8372" s="7">
        <f ca="1">IFERROR(__xludf.DUMMYFUNCTION("""COMPUTED_VALUE"""),44697)</f>
        <v>44697</v>
      </c>
      <c r="B8372" s="8" t="str">
        <f ca="1">IFERROR(__xludf.DUMMYFUNCTION("""COMPUTED_VALUE"""),"-33.720680,-70.554374")</f>
        <v>-33.720680,-70.554374</v>
      </c>
      <c r="C8372" s="6" t="str">
        <f ca="1">IFERROR(__xludf.DUMMYFUNCTION("""COMPUTED_VALUE"""),"PJE. NAVARRETE 118")</f>
        <v>PJE. NAVARRETE 118</v>
      </c>
      <c r="D8372" s="6" t="str">
        <f ca="1">IFERROR(__xludf.DUMMYFUNCTION("""COMPUTED_VALUE"""),"PIRQUE")</f>
        <v>PIRQUE</v>
      </c>
    </row>
    <row r="8373" spans="1:4">
      <c r="A8373" s="7">
        <f ca="1">IFERROR(__xludf.DUMMYFUNCTION("""COMPUTED_VALUE"""),44697)</f>
        <v>44697</v>
      </c>
      <c r="B8373" s="8" t="str">
        <f ca="1">IFERROR(__xludf.DUMMYFUNCTION("""COMPUTED_VALUE"""),"-33.689999,-70.583222")</f>
        <v>-33.689999,-70.583222</v>
      </c>
      <c r="C8373" s="6" t="str">
        <f ca="1">IFERROR(__xludf.DUMMYFUNCTION("""COMPUTED_VALUE"""),"CALLE LOS QUILLAYES SITIO 3")</f>
        <v>CALLE LOS QUILLAYES SITIO 3</v>
      </c>
      <c r="D8373" s="6" t="str">
        <f ca="1">IFERROR(__xludf.DUMMYFUNCTION("""COMPUTED_VALUE"""),"PIRQUE")</f>
        <v>PIRQUE</v>
      </c>
    </row>
    <row r="8374" spans="1:4">
      <c r="A8374" s="7">
        <f ca="1">IFERROR(__xludf.DUMMYFUNCTION("""COMPUTED_VALUE"""),44697)</f>
        <v>44697</v>
      </c>
      <c r="B8374" s="6" t="str">
        <f ca="1">IFERROR(__xludf.DUMMYFUNCTION("""COMPUTED_VALUE"""),"-33.757583,-70.914349")</f>
        <v>-33.757583,-70.914349</v>
      </c>
      <c r="C8374" s="6" t="str">
        <f ca="1">IFERROR(__xludf.DUMMYFUNCTION("""COMPUTED_VALUE"""),"ACEVEDO 612 ")</f>
        <v xml:space="preserve">ACEVEDO 612 </v>
      </c>
      <c r="D8374" s="6" t="str">
        <f ca="1">IFERROR(__xludf.DUMMYFUNCTION("""COMPUTED_VALUE"""),"ISLA DE MAIPO")</f>
        <v>ISLA DE MAIPO</v>
      </c>
    </row>
    <row r="8375" spans="1:4">
      <c r="A8375" s="7">
        <f ca="1">IFERROR(__xludf.DUMMYFUNCTION("""COMPUTED_VALUE"""),44697)</f>
        <v>44697</v>
      </c>
      <c r="B8375" s="6" t="str">
        <f ca="1">IFERROR(__xludf.DUMMYFUNCTION("""COMPUTED_VALUE"""),"-33.788448,-70.783968")</f>
        <v>-33.788448,-70.783968</v>
      </c>
      <c r="C8375" s="6" t="str">
        <f ca="1">IFERROR(__xludf.DUMMYFUNCTION("""COMPUTED_VALUE"""),"CAMINO PAINE 5115")</f>
        <v>CAMINO PAINE 5115</v>
      </c>
      <c r="D8375" s="6" t="str">
        <f ca="1">IFERROR(__xludf.DUMMYFUNCTION("""COMPUTED_VALUE"""),"PAINE")</f>
        <v>PAINE</v>
      </c>
    </row>
    <row r="8376" spans="1:4">
      <c r="A8376" s="7">
        <f ca="1">IFERROR(__xludf.DUMMYFUNCTION("""COMPUTED_VALUE"""),44697)</f>
        <v>44697</v>
      </c>
      <c r="B8376" s="6" t="str">
        <f ca="1">IFERROR(__xludf.DUMMYFUNCTION("""COMPUTED_VALUE"""),"-33.753626,-70.888653")</f>
        <v>-33.753626,-70.888653</v>
      </c>
      <c r="C8376" s="6" t="str">
        <f ca="1">IFERROR(__xludf.DUMMYFUNCTION("""COMPUTED_VALUE"""),"MICHAY 484")</f>
        <v>MICHAY 484</v>
      </c>
      <c r="D8376" s="6" t="str">
        <f ca="1">IFERROR(__xludf.DUMMYFUNCTION("""COMPUTED_VALUE"""),"ISLA DE MAIPO")</f>
        <v>ISLA DE MAIPO</v>
      </c>
    </row>
    <row r="8377" spans="1:4">
      <c r="A8377" s="7">
        <f ca="1">IFERROR(__xludf.DUMMYFUNCTION("""COMPUTED_VALUE"""),44697)</f>
        <v>44697</v>
      </c>
      <c r="B8377" s="6" t="str">
        <f ca="1">IFERROR(__xludf.DUMMYFUNCTION("""COMPUTED_VALUE"""),"-33.763320,-70.905587")</f>
        <v>-33.763320,-70.905587</v>
      </c>
      <c r="C8377" s="6" t="str">
        <f ca="1">IFERROR(__xludf.DUMMYFUNCTION("""COMPUTED_VALUE"""),"LO ZUÑIGA 241")</f>
        <v>LO ZUÑIGA 241</v>
      </c>
      <c r="D8377" s="6" t="str">
        <f ca="1">IFERROR(__xludf.DUMMYFUNCTION("""COMPUTED_VALUE"""),"ISLA DE MAIPO")</f>
        <v>ISLA DE MAIPO</v>
      </c>
    </row>
    <row r="8378" spans="1:4">
      <c r="A8378" s="7">
        <f ca="1">IFERROR(__xludf.DUMMYFUNCTION("""COMPUTED_VALUE"""),44697)</f>
        <v>44697</v>
      </c>
      <c r="B8378" s="8" t="str">
        <f ca="1">IFERROR(__xludf.DUMMYFUNCTION("""COMPUTED_VALUE"""),"-33.221981,-70.837011")</f>
        <v>-33.221981,-70.837011</v>
      </c>
      <c r="C8378" s="6" t="str">
        <f ca="1">IFERROR(__xludf.DUMMYFUNCTION("""COMPUTED_VALUE"""),"CAMINO INTERIOR LOTE 5 PARCELA 8")</f>
        <v>CAMINO INTERIOR LOTE 5 PARCELA 8</v>
      </c>
      <c r="D8378" s="6" t="str">
        <f ca="1">IFERROR(__xludf.DUMMYFUNCTION("""COMPUTED_VALUE"""),"LAMPA")</f>
        <v>LAMPA</v>
      </c>
    </row>
    <row r="8379" spans="1:4">
      <c r="A8379" s="7">
        <f ca="1">IFERROR(__xludf.DUMMYFUNCTION("""COMPUTED_VALUE"""),44697)</f>
        <v>44697</v>
      </c>
      <c r="B8379" s="8" t="str">
        <f ca="1">IFERROR(__xludf.DUMMYFUNCTION("""COMPUTED_VALUE"""),"-34.031973,-71.103723")</f>
        <v>-34.031973,-71.103723</v>
      </c>
      <c r="C8379" s="6" t="str">
        <f ca="1">IFERROR(__xludf.DUMMYFUNCTION("""COMPUTED_VALUE"""),"VICTORIA S/N")</f>
        <v>VICTORIA S/N</v>
      </c>
      <c r="D8379" s="6" t="str">
        <f ca="1">IFERROR(__xludf.DUMMYFUNCTION("""COMPUTED_VALUE"""),"ALHUÉ")</f>
        <v>ALHUÉ</v>
      </c>
    </row>
    <row r="8380" spans="1:4">
      <c r="A8380" s="7">
        <f ca="1">IFERROR(__xludf.DUMMYFUNCTION("""COMPUTED_VALUE"""),44697)</f>
        <v>44697</v>
      </c>
      <c r="B8380" s="8" t="str">
        <f ca="1">IFERROR(__xludf.DUMMYFUNCTION("""COMPUTED_VALUE"""),"-33.651279,-71.148025")</f>
        <v>-33.651279,-71.148025</v>
      </c>
      <c r="C8380" s="6" t="str">
        <f ca="1">IFERROR(__xludf.DUMMYFUNCTION("""COMPUTED_VALUE"""),"POMAIRE PASAJE FRESIA 70")</f>
        <v>POMAIRE PASAJE FRESIA 70</v>
      </c>
      <c r="D8380" s="6" t="str">
        <f ca="1">IFERROR(__xludf.DUMMYFUNCTION("""COMPUTED_VALUE"""),"MELIPILLA")</f>
        <v>MELIPILLA</v>
      </c>
    </row>
    <row r="8381" spans="1:4">
      <c r="A8381" s="7">
        <f ca="1">IFERROR(__xludf.DUMMYFUNCTION("""COMPUTED_VALUE"""),44697)</f>
        <v>44697</v>
      </c>
      <c r="B8381" s="8" t="str">
        <f ca="1">IFERROR(__xludf.DUMMYFUNCTION("""COMPUTED_VALUE"""),"-33.796305,-70.680834")</f>
        <v>-33.796305,-70.680834</v>
      </c>
      <c r="C8381" s="6" t="str">
        <f ca="1">IFERROR(__xludf.DUMMYFUNCTION("""COMPUTED_VALUE"""),"24 DE ABRIL CASA 2")</f>
        <v>24 DE ABRIL CASA 2</v>
      </c>
      <c r="D8381" s="6" t="str">
        <f ca="1">IFERROR(__xludf.DUMMYFUNCTION("""COMPUTED_VALUE"""),"PAINE")</f>
        <v>PAINE</v>
      </c>
    </row>
    <row r="8382" spans="1:4">
      <c r="A8382" s="7">
        <f ca="1">IFERROR(__xludf.DUMMYFUNCTION("""COMPUTED_VALUE"""),44697)</f>
        <v>44697</v>
      </c>
      <c r="B8382" s="6" t="str">
        <f ca="1">IFERROR(__xludf.DUMMYFUNCTION("""COMPUTED_VALUE"""),"-33.812405,-70.729732")</f>
        <v>-33.812405,-70.729732</v>
      </c>
      <c r="C8382" s="6" t="str">
        <f ca="1">IFERROR(__xludf.DUMMYFUNCTION("""COMPUTED_VALUE"""),"PASAJE LLANCOLEN 897")</f>
        <v>PASAJE LLANCOLEN 897</v>
      </c>
      <c r="D8382" s="6" t="str">
        <f ca="1">IFERROR(__xludf.DUMMYFUNCTION("""COMPUTED_VALUE"""),"PAINE")</f>
        <v>PAINE</v>
      </c>
    </row>
    <row r="8383" spans="1:4">
      <c r="A8383" s="7">
        <f ca="1">IFERROR(__xludf.DUMMYFUNCTION("""COMPUTED_VALUE"""),44697)</f>
        <v>44697</v>
      </c>
      <c r="B8383" s="6" t="str">
        <f ca="1">IFERROR(__xludf.DUMMYFUNCTION("""COMPUTED_VALUE"""),"-33.8044432,-70.7336505")</f>
        <v>-33.8044432,-70.7336505</v>
      </c>
      <c r="C8383" s="6" t="str">
        <f ca="1">IFERROR(__xludf.DUMMYFUNCTION("""COMPUTED_VALUE"""),"LOS ESPINOS 460")</f>
        <v>LOS ESPINOS 460</v>
      </c>
      <c r="D8383" s="6" t="str">
        <f ca="1">IFERROR(__xludf.DUMMYFUNCTION("""COMPUTED_VALUE"""),"PAINE")</f>
        <v>PAINE</v>
      </c>
    </row>
    <row r="8384" spans="1:4">
      <c r="A8384" s="7">
        <f ca="1">IFERROR(__xludf.DUMMYFUNCTION("""COMPUTED_VALUE"""),44697)</f>
        <v>44697</v>
      </c>
      <c r="B8384" s="6" t="str">
        <f ca="1">IFERROR(__xludf.DUMMYFUNCTION("""COMPUTED_VALUE"""),"-33.8702558,-70.7243662")</f>
        <v>-33.8702558,-70.7243662</v>
      </c>
      <c r="C8384" s="6" t="str">
        <f ca="1">IFERROR(__xludf.DUMMYFUNCTION("""COMPUTED_VALUE"""),"CAMINO CHADA 109")</f>
        <v>CAMINO CHADA 109</v>
      </c>
      <c r="D8384" s="6" t="str">
        <f ca="1">IFERROR(__xludf.DUMMYFUNCTION("""COMPUTED_VALUE"""),"PAINE")</f>
        <v>PAINE</v>
      </c>
    </row>
    <row r="8385" spans="1:4">
      <c r="A8385" s="7">
        <f ca="1">IFERROR(__xludf.DUMMYFUNCTION("""COMPUTED_VALUE"""),44698)</f>
        <v>44698</v>
      </c>
      <c r="B8385" s="8" t="str">
        <f ca="1">IFERROR(__xludf.DUMMYFUNCTION("""COMPUTED_VALUE"""),"-33.7328991, -70.9086817")</f>
        <v>-33.7328991, -70.9086817</v>
      </c>
      <c r="C8385" s="6" t="str">
        <f ca="1">IFERROR(__xludf.DUMMYFUNCTION("""COMPUTED_VALUE"""),"LA HIGUERA 1000")</f>
        <v>LA HIGUERA 1000</v>
      </c>
      <c r="D8385" s="6" t="str">
        <f ca="1">IFERROR(__xludf.DUMMYFUNCTION("""COMPUTED_VALUE"""),"ISLA DE MAIPO")</f>
        <v>ISLA DE MAIPO</v>
      </c>
    </row>
    <row r="8386" spans="1:4">
      <c r="A8386" s="7">
        <f ca="1">IFERROR(__xludf.DUMMYFUNCTION("""COMPUTED_VALUE"""),44698)</f>
        <v>44698</v>
      </c>
      <c r="B8386" s="8" t="str">
        <f ca="1">IFERROR(__xludf.DUMMYFUNCTION("""COMPUTED_VALUE"""),"-33.7360165, -70.9133241")</f>
        <v>-33.7360165, -70.9133241</v>
      </c>
      <c r="C8386" s="6" t="str">
        <f ca="1">IFERROR(__xludf.DUMMYFUNCTION("""COMPUTED_VALUE"""),"SAN LUIS 61")</f>
        <v>SAN LUIS 61</v>
      </c>
      <c r="D8386" s="6" t="str">
        <f ca="1">IFERROR(__xludf.DUMMYFUNCTION("""COMPUTED_VALUE"""),"ISLA DE MAIPO")</f>
        <v>ISLA DE MAIPO</v>
      </c>
    </row>
    <row r="8387" spans="1:4">
      <c r="A8387" s="7">
        <f ca="1">IFERROR(__xludf.DUMMYFUNCTION("""COMPUTED_VALUE"""),44698)</f>
        <v>44698</v>
      </c>
      <c r="B8387" s="8" t="str">
        <f ca="1">IFERROR(__xludf.DUMMYFUNCTION("""COMPUTED_VALUE"""),"-33.8344767, -70.6980761")</f>
        <v>-33.8344767, -70.6980761</v>
      </c>
      <c r="C8387" s="6" t="str">
        <f ca="1">IFERROR(__xludf.DUMMYFUNCTION("""COMPUTED_VALUE"""),"CAMINO SAN MIGUEL 27")</f>
        <v>CAMINO SAN MIGUEL 27</v>
      </c>
      <c r="D8387" s="6" t="str">
        <f ca="1">IFERROR(__xludf.DUMMYFUNCTION("""COMPUTED_VALUE"""),"PAINE")</f>
        <v>PAINE</v>
      </c>
    </row>
    <row r="8388" spans="1:4">
      <c r="A8388" s="7">
        <f ca="1">IFERROR(__xludf.DUMMYFUNCTION("""COMPUTED_VALUE"""),44698)</f>
        <v>44698</v>
      </c>
      <c r="B8388" s="8" t="str">
        <f ca="1">IFERROR(__xludf.DUMMYFUNCTION("""COMPUTED_VALUE"""),"-33.7328991, -70.9086817")</f>
        <v>-33.7328991, -70.9086817</v>
      </c>
      <c r="C8388" s="6" t="str">
        <f ca="1">IFERROR(__xludf.DUMMYFUNCTION("""COMPUTED_VALUE"""),"PAULA JARAQUEMADA 287")</f>
        <v>PAULA JARAQUEMADA 287</v>
      </c>
      <c r="D8388" s="6" t="str">
        <f ca="1">IFERROR(__xludf.DUMMYFUNCTION("""COMPUTED_VALUE"""),"BUIN")</f>
        <v>BUIN</v>
      </c>
    </row>
    <row r="8389" spans="1:4">
      <c r="A8389" s="7">
        <f ca="1">IFERROR(__xludf.DUMMYFUNCTION("""COMPUTED_VALUE"""),44698)</f>
        <v>44698</v>
      </c>
      <c r="B8389" s="8" t="str">
        <f ca="1">IFERROR(__xludf.DUMMYFUNCTION("""COMPUTED_VALUE"""),"-33.6551924, -70.9263892")</f>
        <v>-33.6551924, -70.9263892</v>
      </c>
      <c r="C8389" s="6" t="str">
        <f ca="1">IFERROR(__xludf.DUMMYFUNCTION("""COMPUTED_VALUE"""),"LOS JARDINES 480")</f>
        <v>LOS JARDINES 480</v>
      </c>
      <c r="D8389" s="6" t="str">
        <f ca="1">IFERROR(__xludf.DUMMYFUNCTION("""COMPUTED_VALUE"""),"TALAGANTE")</f>
        <v>TALAGANTE</v>
      </c>
    </row>
    <row r="8390" spans="1:4">
      <c r="A8390" s="7">
        <f ca="1">IFERROR(__xludf.DUMMYFUNCTION("""COMPUTED_VALUE"""),44698)</f>
        <v>44698</v>
      </c>
      <c r="B8390" s="8" t="str">
        <f ca="1">IFERROR(__xludf.DUMMYFUNCTION("""COMPUTED_VALUE"""),"-33.847285, -70.637935")</f>
        <v>-33.847285, -70.637935</v>
      </c>
      <c r="C8390" s="6" t="str">
        <f ca="1">IFERROR(__xludf.DUMMYFUNCTION("""COMPUTED_VALUE"""),"CARDONAL ALTO 5")</f>
        <v>CARDONAL ALTO 5</v>
      </c>
      <c r="D8390" s="6" t="str">
        <f ca="1">IFERROR(__xludf.DUMMYFUNCTION("""COMPUTED_VALUE"""),"PAINE")</f>
        <v>PAINE</v>
      </c>
    </row>
    <row r="8391" spans="1:4">
      <c r="A8391" s="7">
        <f ca="1">IFERROR(__xludf.DUMMYFUNCTION("""COMPUTED_VALUE"""),44698)</f>
        <v>44698</v>
      </c>
      <c r="B8391" s="8" t="str">
        <f ca="1">IFERROR(__xludf.DUMMYFUNCTION("""COMPUTED_VALUE"""),"-33.841257, -70.6417407")</f>
        <v>-33.841257, -70.6417407</v>
      </c>
      <c r="C8391" s="6" t="str">
        <f ca="1">IFERROR(__xludf.DUMMYFUNCTION("""COMPUTED_VALUE"""),"PARCELA LA VICTORIA SITIO A")</f>
        <v>PARCELA LA VICTORIA SITIO A</v>
      </c>
      <c r="D8391" s="6" t="str">
        <f ca="1">IFERROR(__xludf.DUMMYFUNCTION("""COMPUTED_VALUE"""),"PAINE")</f>
        <v>PAINE</v>
      </c>
    </row>
    <row r="8392" spans="1:4">
      <c r="A8392" s="7">
        <f ca="1">IFERROR(__xludf.DUMMYFUNCTION("""COMPUTED_VALUE"""),44698)</f>
        <v>44698</v>
      </c>
      <c r="B8392" s="8" t="str">
        <f ca="1">IFERROR(__xludf.DUMMYFUNCTION("""COMPUTED_VALUE"""),"-33.8412712, -70.6417783")</f>
        <v>-33.8412712, -70.6417783</v>
      </c>
      <c r="C8392" s="6" t="str">
        <f ca="1">IFERROR(__xludf.DUMMYFUNCTION("""COMPUTED_VALUE"""),"PARCELA LA VICTORIA SITIO A")</f>
        <v>PARCELA LA VICTORIA SITIO A</v>
      </c>
      <c r="D8392" s="6" t="str">
        <f ca="1">IFERROR(__xludf.DUMMYFUNCTION("""COMPUTED_VALUE"""),"PAINE")</f>
        <v>PAINE</v>
      </c>
    </row>
    <row r="8393" spans="1:4">
      <c r="A8393" s="7">
        <f ca="1">IFERROR(__xludf.DUMMYFUNCTION("""COMPUTED_VALUE"""),44698)</f>
        <v>44698</v>
      </c>
      <c r="B8393" s="6" t="str">
        <f ca="1">IFERROR(__xludf.DUMMYFUNCTION("""COMPUTED_VALUE"""),"-33.72156-70.32836")</f>
        <v>-33.72156-70.32836</v>
      </c>
      <c r="C8393" s="6" t="str">
        <f ca="1">IFERROR(__xludf.DUMMYFUNCTION("""COMPUTED_VALUE"""),"CAMINO AL MELOCOTON S/N")</f>
        <v>CAMINO AL MELOCOTON S/N</v>
      </c>
      <c r="D8393" s="6" t="str">
        <f ca="1">IFERROR(__xludf.DUMMYFUNCTION("""COMPUTED_VALUE"""),"SAN JOSE DE MAIPO")</f>
        <v>SAN JOSE DE MAIPO</v>
      </c>
    </row>
    <row r="8394" spans="1:4">
      <c r="A8394" s="7">
        <f ca="1">IFERROR(__xludf.DUMMYFUNCTION("""COMPUTED_VALUE"""),44698)</f>
        <v>44698</v>
      </c>
      <c r="B8394" s="6" t="str">
        <f ca="1">IFERROR(__xludf.DUMMYFUNCTION("""COMPUTED_VALUE"""),"-33.63885-70.34781")</f>
        <v>-33.63885-70.34781</v>
      </c>
      <c r="C8394" s="6" t="str">
        <f ca="1">IFERROR(__xludf.DUMMYFUNCTION("""COMPUTED_VALUE"""),"AV. CEMENTERIO 19503")</f>
        <v>AV. CEMENTERIO 19503</v>
      </c>
      <c r="D8394" s="6" t="str">
        <f ca="1">IFERROR(__xludf.DUMMYFUNCTION("""COMPUTED_VALUE"""),"SAN JOSE DE MAIPO")</f>
        <v>SAN JOSE DE MAIPO</v>
      </c>
    </row>
    <row r="8395" spans="1:4">
      <c r="A8395" s="7">
        <f ca="1">IFERROR(__xludf.DUMMYFUNCTION("""COMPUTED_VALUE"""),44698)</f>
        <v>44698</v>
      </c>
      <c r="B8395" s="6" t="str">
        <f ca="1">IFERROR(__xludf.DUMMYFUNCTION("""COMPUTED_VALUE"""),"-33.62957-70.35100")</f>
        <v>-33.62957-70.35100</v>
      </c>
      <c r="C8395" s="6" t="str">
        <f ca="1">IFERROR(__xludf.DUMMYFUNCTION("""COMPUTED_VALUE"""),"AV. EL ESFUERZO 18577")</f>
        <v>AV. EL ESFUERZO 18577</v>
      </c>
      <c r="D8395" s="6" t="str">
        <f ca="1">IFERROR(__xludf.DUMMYFUNCTION("""COMPUTED_VALUE"""),"SAN JOSE DE MAIPO")</f>
        <v>SAN JOSE DE MAIPO</v>
      </c>
    </row>
    <row r="8396" spans="1:4">
      <c r="A8396" s="7">
        <f ca="1">IFERROR(__xludf.DUMMYFUNCTION("""COMPUTED_VALUE"""),44698)</f>
        <v>44698</v>
      </c>
      <c r="B8396" s="6" t="str">
        <f ca="1">IFERROR(__xludf.DUMMYFUNCTION("""COMPUTED_VALUE"""),"-33.81420-70.73567")</f>
        <v>-33.81420-70.73567</v>
      </c>
      <c r="C8396" s="6" t="str">
        <f ca="1">IFERROR(__xludf.DUMMYFUNCTION("""COMPUTED_VALUE"""),"PEREZ CANTO 642")</f>
        <v>PEREZ CANTO 642</v>
      </c>
      <c r="D8396" s="6" t="str">
        <f ca="1">IFERROR(__xludf.DUMMYFUNCTION("""COMPUTED_VALUE"""),"PAINE")</f>
        <v>PAINE</v>
      </c>
    </row>
    <row r="8397" spans="1:4">
      <c r="A8397" s="7">
        <f ca="1">IFERROR(__xludf.DUMMYFUNCTION("""COMPUTED_VALUE"""),44698)</f>
        <v>44698</v>
      </c>
      <c r="B8397" s="6" t="str">
        <f ca="1">IFERROR(__xludf.DUMMYFUNCTION("""COMPUTED_VALUE"""),"-33.691343-71.227518")</f>
        <v>-33.691343-71.227518</v>
      </c>
      <c r="C8397" s="6" t="str">
        <f ca="1">IFERROR(__xludf.DUMMYFUNCTION("""COMPUTED_VALUE"""),"EL CERRO 1329")</f>
        <v>EL CERRO 1329</v>
      </c>
      <c r="D8397" s="6" t="str">
        <f ca="1">IFERROR(__xludf.DUMMYFUNCTION("""COMPUTED_VALUE"""),"MELIPILLA")</f>
        <v>MELIPILLA</v>
      </c>
    </row>
    <row r="8398" spans="1:4">
      <c r="A8398" s="7">
        <f ca="1">IFERROR(__xludf.DUMMYFUNCTION("""COMPUTED_VALUE"""),44698)</f>
        <v>44698</v>
      </c>
      <c r="B8398" s="6" t="str">
        <f ca="1">IFERROR(__xludf.DUMMYFUNCTION("""COMPUTED_VALUE"""),"-33.644001-71.216424")</f>
        <v>-33.644001-71.216424</v>
      </c>
      <c r="C8398" s="6" t="str">
        <f ca="1">IFERROR(__xludf.DUMMYFUNCTION("""COMPUTED_VALUE"""),"LOS CARRERA 625")</f>
        <v>LOS CARRERA 625</v>
      </c>
      <c r="D8398" s="6" t="str">
        <f ca="1">IFERROR(__xludf.DUMMYFUNCTION("""COMPUTED_VALUE"""),"MELIPILLA")</f>
        <v>MELIPILLA</v>
      </c>
    </row>
    <row r="8399" spans="1:4">
      <c r="A8399" s="7">
        <f ca="1">IFERROR(__xludf.DUMMYFUNCTION("""COMPUTED_VALUE"""),44698)</f>
        <v>44698</v>
      </c>
      <c r="B8399" s="6" t="str">
        <f ca="1">IFERROR(__xludf.DUMMYFUNCTION("""COMPUTED_VALUE"""),"-33.691343-71.227518")</f>
        <v>-33.691343-71.227518</v>
      </c>
      <c r="C8399" s="6" t="str">
        <f ca="1">IFERROR(__xludf.DUMMYFUNCTION("""COMPUTED_VALUE"""),"EL CERRO 1329")</f>
        <v>EL CERRO 1329</v>
      </c>
      <c r="D8399" s="6" t="str">
        <f ca="1">IFERROR(__xludf.DUMMYFUNCTION("""COMPUTED_VALUE"""),"MELIPILLA")</f>
        <v>MELIPILLA</v>
      </c>
    </row>
    <row r="8400" spans="1:4">
      <c r="A8400" s="7">
        <f ca="1">IFERROR(__xludf.DUMMYFUNCTION("""COMPUTED_VALUE"""),44698)</f>
        <v>44698</v>
      </c>
      <c r="B8400" s="6" t="str">
        <f ca="1">IFERROR(__xludf.DUMMYFUNCTION("""COMPUTED_VALUE"""),"-33.664344-71.219392")</f>
        <v>-33.664344-71.219392</v>
      </c>
      <c r="C8400" s="6" t="str">
        <f ca="1">IFERROR(__xludf.DUMMYFUNCTION("""COMPUTED_VALUE"""),"VALPARAISO 1165")</f>
        <v>VALPARAISO 1165</v>
      </c>
      <c r="D8400" s="6" t="str">
        <f ca="1">IFERROR(__xludf.DUMMYFUNCTION("""COMPUTED_VALUE"""),"MELIPILLA")</f>
        <v>MELIPILLA</v>
      </c>
    </row>
    <row r="8401" spans="1:4">
      <c r="A8401" s="7">
        <f ca="1">IFERROR(__xludf.DUMMYFUNCTION("""COMPUTED_VALUE"""),44698)</f>
        <v>44698</v>
      </c>
      <c r="B8401" s="6" t="str">
        <f ca="1">IFERROR(__xludf.DUMMYFUNCTION("""COMPUTED_VALUE"""),"-33.664344-71.219392")</f>
        <v>-33.664344-71.219392</v>
      </c>
      <c r="C8401" s="6" t="str">
        <f ca="1">IFERROR(__xludf.DUMMYFUNCTION("""COMPUTED_VALUE"""),"VALPARAISO 1165")</f>
        <v>VALPARAISO 1165</v>
      </c>
      <c r="D8401" s="6" t="str">
        <f ca="1">IFERROR(__xludf.DUMMYFUNCTION("""COMPUTED_VALUE"""),"MELIPILLA")</f>
        <v>MELIPILLA</v>
      </c>
    </row>
    <row r="8402" spans="1:4">
      <c r="A8402" s="7">
        <f ca="1">IFERROR(__xludf.DUMMYFUNCTION("""COMPUTED_VALUE"""),44698)</f>
        <v>44698</v>
      </c>
      <c r="B8402" s="6" t="str">
        <f ca="1">IFERROR(__xludf.DUMMYFUNCTION("""COMPUTED_VALUE"""),"-33.680281-71.204142")</f>
        <v>-33.680281-71.204142</v>
      </c>
      <c r="C8402" s="6" t="str">
        <f ca="1">IFERROR(__xludf.DUMMYFUNCTION("""COMPUTED_VALUE"""),"PJE DOCTOR HUMBERTO JARA 96")</f>
        <v>PJE DOCTOR HUMBERTO JARA 96</v>
      </c>
      <c r="D8402" s="6" t="str">
        <f ca="1">IFERROR(__xludf.DUMMYFUNCTION("""COMPUTED_VALUE"""),"MELIPILLA")</f>
        <v>MELIPILLA</v>
      </c>
    </row>
    <row r="8403" spans="1:4">
      <c r="A8403" s="7">
        <f ca="1">IFERROR(__xludf.DUMMYFUNCTION("""COMPUTED_VALUE"""),44698)</f>
        <v>44698</v>
      </c>
      <c r="B8403" s="8" t="str">
        <f ca="1">IFERROR(__xludf.DUMMYFUNCTION("""COMPUTED_VALUE"""),"-33.723493,-70.541906")</f>
        <v>-33.723493,-70.541906</v>
      </c>
      <c r="C8403" s="6" t="str">
        <f ca="1">IFERROR(__xludf.DUMMYFUNCTION("""COMPUTED_VALUE"""),"LOS MAGNELIOS 47")</f>
        <v>LOS MAGNELIOS 47</v>
      </c>
      <c r="D8403" s="6" t="str">
        <f ca="1">IFERROR(__xludf.DUMMYFUNCTION("""COMPUTED_VALUE"""),"PIRQUE")</f>
        <v>PIRQUE</v>
      </c>
    </row>
    <row r="8404" spans="1:4">
      <c r="A8404" s="7">
        <f ca="1">IFERROR(__xludf.DUMMYFUNCTION("""COMPUTED_VALUE"""),44698)</f>
        <v>44698</v>
      </c>
      <c r="B8404" s="8" t="str">
        <f ca="1">IFERROR(__xludf.DUMMYFUNCTION("""COMPUTED_VALUE"""),"-33.709631,-70.531686")</f>
        <v>-33.709631,-70.531686</v>
      </c>
      <c r="C8404" s="6" t="str">
        <f ca="1">IFERROR(__xludf.DUMMYFUNCTION("""COMPUTED_VALUE"""),"ORILLA DEL RIO PARADERO 11")</f>
        <v>ORILLA DEL RIO PARADERO 11</v>
      </c>
      <c r="D8404" s="6" t="str">
        <f ca="1">IFERROR(__xludf.DUMMYFUNCTION("""COMPUTED_VALUE"""),"PIRQUE")</f>
        <v>PIRQUE</v>
      </c>
    </row>
    <row r="8405" spans="1:4">
      <c r="A8405" s="7">
        <f ca="1">IFERROR(__xludf.DUMMYFUNCTION("""COMPUTED_VALUE"""),44698)</f>
        <v>44698</v>
      </c>
      <c r="B8405" s="8" t="str">
        <f ca="1">IFERROR(__xludf.DUMMYFUNCTION("""COMPUTED_VALUE"""),"-33.628479,-70.546995")</f>
        <v>-33.628479,-70.546995</v>
      </c>
      <c r="C8405" s="6" t="str">
        <f ca="1">IFERROR(__xludf.DUMMYFUNCTION("""COMPUTED_VALUE"""),"OSCAR OZUA 2955")</f>
        <v>OSCAR OZUA 2955</v>
      </c>
      <c r="D8405" s="6" t="str">
        <f ca="1">IFERROR(__xludf.DUMMYFUNCTION("""COMPUTED_VALUE"""),"PIRQUE")</f>
        <v>PIRQUE</v>
      </c>
    </row>
    <row r="8406" spans="1:4">
      <c r="A8406" s="7">
        <f ca="1">IFERROR(__xludf.DUMMYFUNCTION("""COMPUTED_VALUE"""),44698)</f>
        <v>44698</v>
      </c>
      <c r="B8406" s="6" t="str">
        <f ca="1">IFERROR(__xludf.DUMMYFUNCTION("""COMPUTED_VALUE"""),"-33.748858,-70.894618")</f>
        <v>-33.748858,-70.894618</v>
      </c>
      <c r="C8406" s="6" t="str">
        <f ca="1">IFERROR(__xludf.DUMMYFUNCTION("""COMPUTED_VALUE"""),"MENBRILLAR 025")</f>
        <v>MENBRILLAR 025</v>
      </c>
      <c r="D8406" s="6" t="str">
        <f ca="1">IFERROR(__xludf.DUMMYFUNCTION("""COMPUTED_VALUE"""),"ISLA DE MAIPO")</f>
        <v>ISLA DE MAIPO</v>
      </c>
    </row>
    <row r="8407" spans="1:4">
      <c r="A8407" s="7">
        <f ca="1">IFERROR(__xludf.DUMMYFUNCTION("""COMPUTED_VALUE"""),44698)</f>
        <v>44698</v>
      </c>
      <c r="B8407" s="6" t="str">
        <f ca="1">IFERROR(__xludf.DUMMYFUNCTION("""COMPUTED_VALUE"""),"-33.684651,-71.026438")</f>
        <v>-33.684651,-71.026438</v>
      </c>
      <c r="C8407" s="6" t="str">
        <f ca="1">IFERROR(__xludf.DUMMYFUNCTION("""COMPUTED_VALUE"""),"PASAJE LAGO NELTUME 242")</f>
        <v>PASAJE LAGO NELTUME 242</v>
      </c>
      <c r="D8407" s="6" t="str">
        <f ca="1">IFERROR(__xludf.DUMMYFUNCTION("""COMPUTED_VALUE"""),"EL MONTE")</f>
        <v>EL MONTE</v>
      </c>
    </row>
    <row r="8408" spans="1:4">
      <c r="A8408" s="7">
        <f ca="1">IFERROR(__xludf.DUMMYFUNCTION("""COMPUTED_VALUE"""),44698)</f>
        <v>44698</v>
      </c>
      <c r="B8408" s="8" t="str">
        <f ca="1">IFERROR(__xludf.DUMMYFUNCTION("""COMPUTED_VALUE"""),"-33.815152,-70.737773")</f>
        <v>-33.815152,-70.737773</v>
      </c>
      <c r="C8408" s="6" t="str">
        <f ca="1">IFERROR(__xludf.DUMMYFUNCTION("""COMPUTED_VALUE"""),"O'HIGGINS 1101")</f>
        <v>O'HIGGINS 1101</v>
      </c>
      <c r="D8408" s="6" t="str">
        <f ca="1">IFERROR(__xludf.DUMMYFUNCTION("""COMPUTED_VALUE"""),"PAINE")</f>
        <v>PAINE</v>
      </c>
    </row>
    <row r="8409" spans="1:4">
      <c r="A8409" s="7">
        <f ca="1">IFERROR(__xludf.DUMMYFUNCTION("""COMPUTED_VALUE"""),44698)</f>
        <v>44698</v>
      </c>
      <c r="B8409" s="8" t="str">
        <f ca="1">IFERROR(__xludf.DUMMYFUNCTION("""COMPUTED_VALUE"""),"-33.604666,-70.898775")</f>
        <v>-33.604666,-70.898775</v>
      </c>
      <c r="C8409" s="6" t="str">
        <f ca="1">IFERROR(__xludf.DUMMYFUNCTION("""COMPUTED_VALUE"""),"DAMIAN NAVARRO 272")</f>
        <v>DAMIAN NAVARRO 272</v>
      </c>
      <c r="D8409" s="6" t="str">
        <f ca="1">IFERROR(__xludf.DUMMYFUNCTION("""COMPUTED_VALUE"""),"PEÑAFLOR")</f>
        <v>PEÑAFLOR</v>
      </c>
    </row>
    <row r="8410" spans="1:4">
      <c r="A8410" s="7">
        <f ca="1">IFERROR(__xludf.DUMMYFUNCTION("""COMPUTED_VALUE"""),44698)</f>
        <v>44698</v>
      </c>
      <c r="B8410" s="8" t="str">
        <f ca="1">IFERROR(__xludf.DUMMYFUNCTION("""COMPUTED_VALUE"""),"-33.491782,-71.172374")</f>
        <v>-33.491782,-71.172374</v>
      </c>
      <c r="C8410" s="6" t="str">
        <f ca="1">IFERROR(__xludf.DUMMYFUNCTION("""COMPUTED_VALUE"""),"LAS MERCEDEZ S/N")</f>
        <v>LAS MERCEDEZ S/N</v>
      </c>
      <c r="D8410" s="6" t="str">
        <f ca="1">IFERROR(__xludf.DUMMYFUNCTION("""COMPUTED_VALUE"""),"MELIPILLA")</f>
        <v>MELIPILLA</v>
      </c>
    </row>
    <row r="8411" spans="1:4">
      <c r="A8411" s="7">
        <f ca="1">IFERROR(__xludf.DUMMYFUNCTION("""COMPUTED_VALUE"""),44698)</f>
        <v>44698</v>
      </c>
      <c r="B8411" s="8" t="str">
        <f ca="1">IFERROR(__xludf.DUMMYFUNCTION("""COMPUTED_VALUE"""),"-33.79854,-70.683100")</f>
        <v>-33.79854,-70.683100</v>
      </c>
      <c r="C8411" s="6" t="str">
        <f ca="1">IFERROR(__xludf.DUMMYFUNCTION("""COMPUTED_VALUE"""),"CALLE 24 DE ABRIL")</f>
        <v>CALLE 24 DE ABRIL</v>
      </c>
      <c r="D8411" s="6" t="str">
        <f ca="1">IFERROR(__xludf.DUMMYFUNCTION("""COMPUTED_VALUE"""),"PAINE")</f>
        <v>PAINE</v>
      </c>
    </row>
    <row r="8412" spans="1:4">
      <c r="A8412" s="7">
        <f ca="1">IFERROR(__xludf.DUMMYFUNCTION("""COMPUTED_VALUE"""),44698)</f>
        <v>44698</v>
      </c>
      <c r="B8412" s="6" t="str">
        <f ca="1">IFERROR(__xludf.DUMMYFUNCTION("""COMPUTED_VALUE"""),"-33.737040,-70.678641")</f>
        <v>-33.737040,-70.678641</v>
      </c>
      <c r="C8412" s="6" t="str">
        <f ca="1">IFERROR(__xludf.DUMMYFUNCTION("""COMPUTED_VALUE"""),"LOS ESPINOS 222")</f>
        <v>LOS ESPINOS 222</v>
      </c>
      <c r="D8412" s="6" t="str">
        <f ca="1">IFERROR(__xludf.DUMMYFUNCTION("""COMPUTED_VALUE"""),"BUIN")</f>
        <v>BUIN</v>
      </c>
    </row>
    <row r="8413" spans="1:4">
      <c r="A8413" s="7">
        <f ca="1">IFERROR(__xludf.DUMMYFUNCTION("""COMPUTED_VALUE"""),44698)</f>
        <v>44698</v>
      </c>
      <c r="B8413" s="6" t="str">
        <f ca="1">IFERROR(__xludf.DUMMYFUNCTION("""COMPUTED_VALUE"""),"-33.745094,-70.869186")</f>
        <v>-33.745094,-70.869186</v>
      </c>
      <c r="C8413" s="6" t="str">
        <f ca="1">IFERROR(__xludf.DUMMYFUNCTION("""COMPUTED_VALUE"""),"PADRE SERGIO CORREA 340")</f>
        <v>PADRE SERGIO CORREA 340</v>
      </c>
      <c r="D8413" s="6" t="str">
        <f ca="1">IFERROR(__xludf.DUMMYFUNCTION("""COMPUTED_VALUE"""),"ISLA DE MAIPO")</f>
        <v>ISLA DE MAIPO</v>
      </c>
    </row>
    <row r="8414" spans="1:4">
      <c r="A8414" s="7">
        <f ca="1">IFERROR(__xludf.DUMMYFUNCTION("""COMPUTED_VALUE"""),44698)</f>
        <v>44698</v>
      </c>
      <c r="B8414" s="6" t="str">
        <f ca="1">IFERROR(__xludf.DUMMYFUNCTION("""COMPUTED_VALUE"""),"-33.811945,-70.738116")</f>
        <v>-33.811945,-70.738116</v>
      </c>
      <c r="C8414" s="6" t="str">
        <f ca="1">IFERROR(__xludf.DUMMYFUNCTION("""COMPUTED_VALUE"""),"PELANTARO 445")</f>
        <v>PELANTARO 445</v>
      </c>
      <c r="D8414" s="6" t="str">
        <f ca="1">IFERROR(__xludf.DUMMYFUNCTION("""COMPUTED_VALUE"""),"PAINE")</f>
        <v>PAINE</v>
      </c>
    </row>
    <row r="8415" spans="1:4">
      <c r="A8415" s="7">
        <f ca="1">IFERROR(__xludf.DUMMYFUNCTION("""COMPUTED_VALUE"""),44698)</f>
        <v>44698</v>
      </c>
      <c r="B8415" s="6" t="str">
        <f ca="1">IFERROR(__xludf.DUMMYFUNCTION("""COMPUTED_VALUE"""),"-33.813684,-70.736793")</f>
        <v>-33.813684,-70.736793</v>
      </c>
      <c r="C8415" s="6" t="str">
        <f ca="1">IFERROR(__xludf.DUMMYFUNCTION("""COMPUTED_VALUE"""),"PASAJE UNO 578")</f>
        <v>PASAJE UNO 578</v>
      </c>
      <c r="D8415" s="6" t="str">
        <f ca="1">IFERROR(__xludf.DUMMYFUNCTION("""COMPUTED_VALUE"""),"PAINE")</f>
        <v>PAINE</v>
      </c>
    </row>
    <row r="8416" spans="1:4">
      <c r="A8416" s="7">
        <f ca="1">IFERROR(__xludf.DUMMYFUNCTION("""COMPUTED_VALUE"""),44698)</f>
        <v>44698</v>
      </c>
      <c r="B8416" s="6" t="str">
        <f ca="1">IFERROR(__xludf.DUMMYFUNCTION("""COMPUTED_VALUE"""),"-33.6516016,-70.5730201")</f>
        <v>-33.6516016,-70.5730201</v>
      </c>
      <c r="C8416" s="6" t="str">
        <f ca="1">IFERROR(__xludf.DUMMYFUNCTION("""COMPUTED_VALUE"""),"EL LLANO 19")</f>
        <v>EL LLANO 19</v>
      </c>
      <c r="D8416" s="6" t="str">
        <f ca="1">IFERROR(__xludf.DUMMYFUNCTION("""COMPUTED_VALUE"""),"PIRQUE")</f>
        <v>PIRQUE</v>
      </c>
    </row>
    <row r="8417" spans="1:4">
      <c r="A8417" s="7">
        <f ca="1">IFERROR(__xludf.DUMMYFUNCTION("""COMPUTED_VALUE"""),44699)</f>
        <v>44699</v>
      </c>
      <c r="B8417" s="8" t="str">
        <f ca="1">IFERROR(__xludf.DUMMYFUNCTION("""COMPUTED_VALUE"""),"-33.8016096, -70.7076343")</f>
        <v>-33.8016096, -70.7076343</v>
      </c>
      <c r="C8417" s="6" t="str">
        <f ca="1">IFERROR(__xludf.DUMMYFUNCTION("""COMPUTED_VALUE"""),"EL CARDENAL HUELQUE 9")</f>
        <v>EL CARDENAL HUELQUE 9</v>
      </c>
      <c r="D8417" s="6" t="str">
        <f ca="1">IFERROR(__xludf.DUMMYFUNCTION("""COMPUTED_VALUE"""),"PAINE")</f>
        <v>PAINE</v>
      </c>
    </row>
    <row r="8418" spans="1:4">
      <c r="A8418" s="7">
        <f ca="1">IFERROR(__xludf.DUMMYFUNCTION("""COMPUTED_VALUE"""),44699)</f>
        <v>44699</v>
      </c>
      <c r="B8418" s="8" t="str">
        <f ca="1">IFERROR(__xludf.DUMMYFUNCTION("""COMPUTED_VALUE"""),"-33.8411396, -70.6416229")</f>
        <v>-33.8411396, -70.6416229</v>
      </c>
      <c r="C8418" s="6" t="str">
        <f ca="1">IFERROR(__xludf.DUMMYFUNCTION("""COMPUTED_VALUE"""),"VICTORIA CAMPESINA A")</f>
        <v>VICTORIA CAMPESINA A</v>
      </c>
      <c r="D8418" s="6" t="str">
        <f ca="1">IFERROR(__xludf.DUMMYFUNCTION("""COMPUTED_VALUE"""),"PAINE")</f>
        <v>PAINE</v>
      </c>
    </row>
    <row r="8419" spans="1:4">
      <c r="A8419" s="7">
        <f ca="1">IFERROR(__xludf.DUMMYFUNCTION("""COMPUTED_VALUE"""),44699)</f>
        <v>44699</v>
      </c>
      <c r="B8419" s="8" t="str">
        <f ca="1">IFERROR(__xludf.DUMMYFUNCTION("""COMPUTED_VALUE"""),"-33.7376283, -70.7432333")</f>
        <v>-33.7376283, -70.7432333</v>
      </c>
      <c r="C8419" s="6" t="str">
        <f ca="1">IFERROR(__xludf.DUMMYFUNCTION("""COMPUTED_VALUE"""),"AV PRESIDENTE KENNEDY 786")</f>
        <v>AV PRESIDENTE KENNEDY 786</v>
      </c>
      <c r="D8419" s="6" t="str">
        <f ca="1">IFERROR(__xludf.DUMMYFUNCTION("""COMPUTED_VALUE"""),"BUIN")</f>
        <v>BUIN</v>
      </c>
    </row>
    <row r="8420" spans="1:4">
      <c r="A8420" s="7">
        <f ca="1">IFERROR(__xludf.DUMMYFUNCTION("""COMPUTED_VALUE"""),44699)</f>
        <v>44699</v>
      </c>
      <c r="B8420" s="8" t="str">
        <f ca="1">IFERROR(__xludf.DUMMYFUNCTION("""COMPUTED_VALUE"""),"-33.8411639, -70.6414465")</f>
        <v>-33.8411639, -70.6414465</v>
      </c>
      <c r="C8420" s="6" t="str">
        <f ca="1">IFERROR(__xludf.DUMMYFUNCTION("""COMPUTED_VALUE"""),"VICTORIA CAMPESINA SITIO 1A")</f>
        <v>VICTORIA CAMPESINA SITIO 1A</v>
      </c>
      <c r="D8420" s="6" t="str">
        <f ca="1">IFERROR(__xludf.DUMMYFUNCTION("""COMPUTED_VALUE"""),"PAINE")</f>
        <v>PAINE</v>
      </c>
    </row>
    <row r="8421" spans="1:4">
      <c r="A8421" s="7">
        <f ca="1">IFERROR(__xludf.DUMMYFUNCTION("""COMPUTED_VALUE"""),44699)</f>
        <v>44699</v>
      </c>
      <c r="B8421" s="6" t="str">
        <f ca="1">IFERROR(__xludf.DUMMYFUNCTION("""COMPUTED_VALUE"""),"-33.819675-70.742900")</f>
        <v>-33.819675-70.742900</v>
      </c>
      <c r="C8421" s="6" t="str">
        <f ca="1">IFERROR(__xludf.DUMMYFUNCTION("""COMPUTED_VALUE"""),"PJE ALBERTO KRUMM 1576")</f>
        <v>PJE ALBERTO KRUMM 1576</v>
      </c>
      <c r="D8421" s="6" t="str">
        <f ca="1">IFERROR(__xludf.DUMMYFUNCTION("""COMPUTED_VALUE"""),"PAINE")</f>
        <v>PAINE</v>
      </c>
    </row>
    <row r="8422" spans="1:4">
      <c r="A8422" s="7">
        <f ca="1">IFERROR(__xludf.DUMMYFUNCTION("""COMPUTED_VALUE"""),44699)</f>
        <v>44699</v>
      </c>
      <c r="B8422" s="6" t="str">
        <f ca="1">IFERROR(__xludf.DUMMYFUNCTION("""COMPUTED_VALUE"""),"-33.883675-70.714940")</f>
        <v>-33.883675-70.714940</v>
      </c>
      <c r="C8422" s="6" t="str">
        <f ca="1">IFERROR(__xludf.DUMMYFUNCTION("""COMPUTED_VALUE"""),"LAS VERTIENTES LOTE 2 PARC 189")</f>
        <v>LAS VERTIENTES LOTE 2 PARC 189</v>
      </c>
      <c r="D8422" s="6" t="str">
        <f ca="1">IFERROR(__xludf.DUMMYFUNCTION("""COMPUTED_VALUE"""),"BUIN")</f>
        <v>BUIN</v>
      </c>
    </row>
    <row r="8423" spans="1:4">
      <c r="A8423" s="7">
        <f ca="1">IFERROR(__xludf.DUMMYFUNCTION("""COMPUTED_VALUE"""),44699)</f>
        <v>44699</v>
      </c>
      <c r="B8423" s="6" t="str">
        <f ca="1">IFERROR(__xludf.DUMMYFUNCTION("""COMPUTED_VALUE"""),"-33.72318-70.55577")</f>
        <v>-33.72318-70.55577</v>
      </c>
      <c r="C8423" s="6" t="str">
        <f ca="1">IFERROR(__xludf.DUMMYFUNCTION("""COMPUTED_VALUE"""),"ALAMEDA 119")</f>
        <v>ALAMEDA 119</v>
      </c>
      <c r="D8423" s="6" t="str">
        <f ca="1">IFERROR(__xludf.DUMMYFUNCTION("""COMPUTED_VALUE"""),"PIRQUE")</f>
        <v>PIRQUE</v>
      </c>
    </row>
    <row r="8424" spans="1:4">
      <c r="A8424" s="7">
        <f ca="1">IFERROR(__xludf.DUMMYFUNCTION("""COMPUTED_VALUE"""),44699)</f>
        <v>44699</v>
      </c>
      <c r="B8424" s="6" t="str">
        <f ca="1">IFERROR(__xludf.DUMMYFUNCTION("""COMPUTED_VALUE"""),"-33.651295-70.572500")</f>
        <v>-33.651295-70.572500</v>
      </c>
      <c r="C8424" s="6" t="str">
        <f ca="1">IFERROR(__xludf.DUMMYFUNCTION("""COMPUTED_VALUE"""),"PABLO NERUDA 92")</f>
        <v>PABLO NERUDA 92</v>
      </c>
      <c r="D8424" s="6" t="str">
        <f ca="1">IFERROR(__xludf.DUMMYFUNCTION("""COMPUTED_VALUE"""),"PIRQUE")</f>
        <v>PIRQUE</v>
      </c>
    </row>
    <row r="8425" spans="1:4">
      <c r="A8425" s="7">
        <f ca="1">IFERROR(__xludf.DUMMYFUNCTION("""COMPUTED_VALUE"""),44699)</f>
        <v>44699</v>
      </c>
      <c r="B8425" s="6" t="str">
        <f ca="1">IFERROR(__xludf.DUMMYFUNCTION("""COMPUTED_VALUE"""),"-33.813746-70.739706")</f>
        <v>-33.813746-70.739706</v>
      </c>
      <c r="C8425" s="6" t="str">
        <f ca="1">IFERROR(__xludf.DUMMYFUNCTION("""COMPUTED_VALUE"""),"PJE LOS LIRIOS 919")</f>
        <v>PJE LOS LIRIOS 919</v>
      </c>
      <c r="D8425" s="6" t="str">
        <f ca="1">IFERROR(__xludf.DUMMYFUNCTION("""COMPUTED_VALUE"""),"PAINE")</f>
        <v>PAINE</v>
      </c>
    </row>
    <row r="8426" spans="1:4">
      <c r="A8426" s="7">
        <f ca="1">IFERROR(__xludf.DUMMYFUNCTION("""COMPUTED_VALUE"""),44699)</f>
        <v>44699</v>
      </c>
      <c r="B8426" s="6" t="str">
        <f ca="1">IFERROR(__xludf.DUMMYFUNCTION("""COMPUTED_VALUE"""),"-33.813616-70.738771")</f>
        <v>-33.813616-70.738771</v>
      </c>
      <c r="C8426" s="6" t="str">
        <f ca="1">IFERROR(__xludf.DUMMYFUNCTION("""COMPUTED_VALUE"""),"PJE LOS LIRIOS 911")</f>
        <v>PJE LOS LIRIOS 911</v>
      </c>
      <c r="D8426" s="6" t="str">
        <f ca="1">IFERROR(__xludf.DUMMYFUNCTION("""COMPUTED_VALUE"""),"PAINE")</f>
        <v>PAINE</v>
      </c>
    </row>
    <row r="8427" spans="1:4">
      <c r="A8427" s="7">
        <f ca="1">IFERROR(__xludf.DUMMYFUNCTION("""COMPUTED_VALUE"""),44699)</f>
        <v>44699</v>
      </c>
      <c r="B8427" s="6" t="str">
        <f ca="1">IFERROR(__xludf.DUMMYFUNCTION("""COMPUTED_VALUE"""),"-33.845028-70.765252")</f>
        <v>-33.845028-70.765252</v>
      </c>
      <c r="C8427" s="6" t="str">
        <f ca="1">IFERROR(__xludf.DUMMYFUNCTION("""COMPUTED_VALUE"""),"LAS CAMELIAS SITIO 21")</f>
        <v>LAS CAMELIAS SITIO 21</v>
      </c>
      <c r="D8427" s="6" t="str">
        <f ca="1">IFERROR(__xludf.DUMMYFUNCTION("""COMPUTED_VALUE"""),"PAINE")</f>
        <v>PAINE</v>
      </c>
    </row>
    <row r="8428" spans="1:4">
      <c r="A8428" s="7">
        <f ca="1">IFERROR(__xludf.DUMMYFUNCTION("""COMPUTED_VALUE"""),44699)</f>
        <v>44699</v>
      </c>
      <c r="B8428" s="6" t="str">
        <f ca="1">IFERROR(__xludf.DUMMYFUNCTION("""COMPUTED_VALUE"""),"-33.804617-70.732196")</f>
        <v>-33.804617-70.732196</v>
      </c>
      <c r="C8428" s="6" t="str">
        <f ca="1">IFERROR(__xludf.DUMMYFUNCTION("""COMPUTED_VALUE"""),"AV. DEL VILLAR 98")</f>
        <v>AV. DEL VILLAR 98</v>
      </c>
      <c r="D8428" s="6" t="str">
        <f ca="1">IFERROR(__xludf.DUMMYFUNCTION("""COMPUTED_VALUE"""),"PAINE")</f>
        <v>PAINE</v>
      </c>
    </row>
    <row r="8429" spans="1:4">
      <c r="A8429" s="7">
        <f ca="1">IFERROR(__xludf.DUMMYFUNCTION("""COMPUTED_VALUE"""),44699)</f>
        <v>44699</v>
      </c>
      <c r="B8429" s="6" t="str">
        <f ca="1">IFERROR(__xludf.DUMMYFUNCTION("""COMPUTED_VALUE"""),"-33.6046-70.8941")</f>
        <v>-33.6046-70.8941</v>
      </c>
      <c r="C8429" s="6" t="str">
        <f ca="1">IFERROR(__xludf.DUMMYFUNCTION("""COMPUTED_VALUE"""),"AVIEMBA 106")</f>
        <v>AVIEMBA 106</v>
      </c>
      <c r="D8429" s="6" t="str">
        <f ca="1">IFERROR(__xludf.DUMMYFUNCTION("""COMPUTED_VALUE"""),"PEÑAFLOR")</f>
        <v>PEÑAFLOR</v>
      </c>
    </row>
    <row r="8430" spans="1:4">
      <c r="A8430" s="7">
        <f ca="1">IFERROR(__xludf.DUMMYFUNCTION("""COMPUTED_VALUE"""),44699)</f>
        <v>44699</v>
      </c>
      <c r="B8430" s="8" t="str">
        <f ca="1">IFERROR(__xludf.DUMMYFUNCTION("""COMPUTED_VALUE"""),"-33.719420,-70.552368")</f>
        <v>-33.719420,-70.552368</v>
      </c>
      <c r="C8430" s="6" t="str">
        <f ca="1">IFERROR(__xludf.DUMMYFUNCTION("""COMPUTED_VALUE"""),"ALAMEDA 115")</f>
        <v>ALAMEDA 115</v>
      </c>
      <c r="D8430" s="6" t="str">
        <f ca="1">IFERROR(__xludf.DUMMYFUNCTION("""COMPUTED_VALUE"""),"PIRQUE")</f>
        <v>PIRQUE</v>
      </c>
    </row>
    <row r="8431" spans="1:4">
      <c r="A8431" s="7">
        <f ca="1">IFERROR(__xludf.DUMMYFUNCTION("""COMPUTED_VALUE"""),44699)</f>
        <v>44699</v>
      </c>
      <c r="B8431" s="8" t="str">
        <f ca="1">IFERROR(__xludf.DUMMYFUNCTION("""COMPUTED_VALUE"""),"-33.714866,-70.550065")</f>
        <v>-33.714866,-70.550065</v>
      </c>
      <c r="C8431" s="6" t="str">
        <f ca="1">IFERROR(__xludf.DUMMYFUNCTION("""COMPUTED_VALUE"""),"EL CHALACO 56G")</f>
        <v>EL CHALACO 56G</v>
      </c>
      <c r="D8431" s="6" t="str">
        <f ca="1">IFERROR(__xludf.DUMMYFUNCTION("""COMPUTED_VALUE"""),"PIRQUE")</f>
        <v>PIRQUE</v>
      </c>
    </row>
    <row r="8432" spans="1:4">
      <c r="A8432" s="7">
        <f ca="1">IFERROR(__xludf.DUMMYFUNCTION("""COMPUTED_VALUE"""),44699)</f>
        <v>44699</v>
      </c>
      <c r="B8432" s="8" t="str">
        <f ca="1">IFERROR(__xludf.DUMMYFUNCTION("""COMPUTED_VALUE"""),"-33.7318096,-70.5548088")</f>
        <v>-33.7318096,-70.5548088</v>
      </c>
      <c r="C8432" s="6" t="str">
        <f ca="1">IFERROR(__xludf.DUMMYFUNCTION("""COMPUTED_VALUE"""),"LOS CORRALES 92-A")</f>
        <v>LOS CORRALES 92-A</v>
      </c>
      <c r="D8432" s="6" t="str">
        <f ca="1">IFERROR(__xludf.DUMMYFUNCTION("""COMPUTED_VALUE"""),"PIRQUE")</f>
        <v>PIRQUE</v>
      </c>
    </row>
    <row r="8433" spans="1:4">
      <c r="A8433" s="7">
        <f ca="1">IFERROR(__xludf.DUMMYFUNCTION("""COMPUTED_VALUE"""),44699)</f>
        <v>44699</v>
      </c>
      <c r="B8433" s="8" t="str">
        <f ca="1">IFERROR(__xludf.DUMMYFUNCTION("""COMPUTED_VALUE"""),"-33.725666,-70.577961")</f>
        <v>-33.725666,-70.577961</v>
      </c>
      <c r="C8433" s="6" t="str">
        <f ca="1">IFERROR(__xludf.DUMMYFUNCTION("""COMPUTED_VALUE"""),"EL LITROL 37-B")</f>
        <v>EL LITROL 37-B</v>
      </c>
      <c r="D8433" s="6" t="str">
        <f ca="1">IFERROR(__xludf.DUMMYFUNCTION("""COMPUTED_VALUE"""),"PIRQUE")</f>
        <v>PIRQUE</v>
      </c>
    </row>
    <row r="8434" spans="1:4">
      <c r="A8434" s="7">
        <f ca="1">IFERROR(__xludf.DUMMYFUNCTION("""COMPUTED_VALUE"""),44699)</f>
        <v>44699</v>
      </c>
      <c r="B8434" s="8" t="str">
        <f ca="1">IFERROR(__xludf.DUMMYFUNCTION("""COMPUTED_VALUE"""),"-33.602583,-70784445")</f>
        <v>-33.602583,-70784445</v>
      </c>
      <c r="C8434" s="6" t="str">
        <f ca="1">IFERROR(__xludf.DUMMYFUNCTION("""COMPUTED_VALUE"""),"FILOMENA P26")</f>
        <v>FILOMENA P26</v>
      </c>
      <c r="D8434" s="6" t="str">
        <f ca="1">IFERROR(__xludf.DUMMYFUNCTION("""COMPUTED_VALUE"""),"CALERA DE TANGO")</f>
        <v>CALERA DE TANGO</v>
      </c>
    </row>
    <row r="8435" spans="1:4">
      <c r="A8435" s="7">
        <f ca="1">IFERROR(__xludf.DUMMYFUNCTION("""COMPUTED_VALUE"""),44699)</f>
        <v>44699</v>
      </c>
      <c r="B8435" s="8" t="str">
        <f ca="1">IFERROR(__xludf.DUMMYFUNCTION("""COMPUTED_VALUE"""),"-33.602583,-70784445")</f>
        <v>-33.602583,-70784445</v>
      </c>
      <c r="C8435" s="6" t="str">
        <f ca="1">IFERROR(__xludf.DUMMYFUNCTION("""COMPUTED_VALUE"""),"FILOMENA P26")</f>
        <v>FILOMENA P26</v>
      </c>
      <c r="D8435" s="6" t="str">
        <f ca="1">IFERROR(__xludf.DUMMYFUNCTION("""COMPUTED_VALUE"""),"CALERA DE TANGO")</f>
        <v>CALERA DE TANGO</v>
      </c>
    </row>
    <row r="8436" spans="1:4">
      <c r="A8436" s="7">
        <f ca="1">IFERROR(__xludf.DUMMYFUNCTION("""COMPUTED_VALUE"""),44699)</f>
        <v>44699</v>
      </c>
      <c r="B8436" s="6" t="str">
        <f ca="1">IFERROR(__xludf.DUMMYFUNCTION("""COMPUTED_VALUE"""),"-33.311922.-70.833857")</f>
        <v>-33.311922.-70.833857</v>
      </c>
      <c r="C8436" s="6" t="str">
        <f ca="1">IFERROR(__xludf.DUMMYFUNCTION("""COMPUTED_VALUE"""),"CAMINI SERVIDUMBRE S/N LOTE 2 79")</f>
        <v>CAMINI SERVIDUMBRE S/N LOTE 2 79</v>
      </c>
      <c r="D8436" s="6" t="str">
        <f ca="1">IFERROR(__xludf.DUMMYFUNCTION("""COMPUTED_VALUE"""),"LAMPA")</f>
        <v>LAMPA</v>
      </c>
    </row>
    <row r="8437" spans="1:4">
      <c r="A8437" s="7">
        <f ca="1">IFERROR(__xludf.DUMMYFUNCTION("""COMPUTED_VALUE"""),44699)</f>
        <v>44699</v>
      </c>
      <c r="B8437" s="6" t="str">
        <f ca="1">IFERROR(__xludf.DUMMYFUNCTION("""COMPUTED_VALUE"""),"-33.311922.-70.833857")</f>
        <v>-33.311922.-70.833857</v>
      </c>
      <c r="C8437" s="6" t="str">
        <f ca="1">IFERROR(__xludf.DUMMYFUNCTION("""COMPUTED_VALUE"""),"CAMINI SERVIDUMBRE S/N LOTE 2 79")</f>
        <v>CAMINI SERVIDUMBRE S/N LOTE 2 79</v>
      </c>
      <c r="D8437" s="6" t="str">
        <f ca="1">IFERROR(__xludf.DUMMYFUNCTION("""COMPUTED_VALUE"""),"LAMPA")</f>
        <v>LAMPA</v>
      </c>
    </row>
    <row r="8438" spans="1:4">
      <c r="A8438" s="7">
        <f ca="1">IFERROR(__xludf.DUMMYFUNCTION("""COMPUTED_VALUE"""),44699)</f>
        <v>44699</v>
      </c>
      <c r="B8438" s="6" t="str">
        <f ca="1">IFERROR(__xludf.DUMMYFUNCTION("""COMPUTED_VALUE"""),"-33.878418,-70.741645")</f>
        <v>-33.878418,-70.741645</v>
      </c>
      <c r="C8438" s="6" t="str">
        <f ca="1">IFERROR(__xludf.DUMMYFUNCTION("""COMPUTED_VALUE"""),"LAS MULAS S/N CASA2 PARC 222")</f>
        <v>LAS MULAS S/N CASA2 PARC 222</v>
      </c>
      <c r="D8438" s="6" t="str">
        <f ca="1">IFERROR(__xludf.DUMMYFUNCTION("""COMPUTED_VALUE"""),"PAINE")</f>
        <v>PAINE</v>
      </c>
    </row>
    <row r="8439" spans="1:4">
      <c r="A8439" s="7">
        <f ca="1">IFERROR(__xludf.DUMMYFUNCTION("""COMPUTED_VALUE"""),44699)</f>
        <v>44699</v>
      </c>
      <c r="B8439" s="6" t="str">
        <f ca="1">IFERROR(__xludf.DUMMYFUNCTION("""COMPUTED_VALUE"""),"-33.878976,-70.742070")</f>
        <v>-33.878976,-70.742070</v>
      </c>
      <c r="C8439" s="6" t="str">
        <f ca="1">IFERROR(__xludf.DUMMYFUNCTION("""COMPUTED_VALUE"""),"LAS MULAS 24 HOSPITAL")</f>
        <v>LAS MULAS 24 HOSPITAL</v>
      </c>
      <c r="D8439" s="6" t="str">
        <f ca="1">IFERROR(__xludf.DUMMYFUNCTION("""COMPUTED_VALUE"""),"PAINE")</f>
        <v>PAINE</v>
      </c>
    </row>
    <row r="8440" spans="1:4">
      <c r="A8440" s="7">
        <f ca="1">IFERROR(__xludf.DUMMYFUNCTION("""COMPUTED_VALUE"""),44699)</f>
        <v>44699</v>
      </c>
      <c r="B8440" s="6" t="str">
        <f ca="1">IFERROR(__xludf.DUMMYFUNCTION("""COMPUTED_VALUE"""),"-33.813955,-70.736458")</f>
        <v>-33.813955,-70.736458</v>
      </c>
      <c r="C8440" s="6" t="str">
        <f ca="1">IFERROR(__xludf.DUMMYFUNCTION("""COMPUTED_VALUE"""),"PASAJE TRES 984")</f>
        <v>PASAJE TRES 984</v>
      </c>
      <c r="D8440" s="6" t="str">
        <f ca="1">IFERROR(__xludf.DUMMYFUNCTION("""COMPUTED_VALUE"""),"PAINE")</f>
        <v>PAINE</v>
      </c>
    </row>
    <row r="8441" spans="1:4">
      <c r="A8441" s="7">
        <f ca="1">IFERROR(__xludf.DUMMYFUNCTION("""COMPUTED_VALUE"""),44699)</f>
        <v>44699</v>
      </c>
      <c r="B8441" s="6" t="str">
        <f ca="1">IFERROR(__xludf.DUMMYFUNCTION("""COMPUTED_VALUE"""),"-33.804773,-70.728482")</f>
        <v>-33.804773,-70.728482</v>
      </c>
      <c r="C8441" s="6" t="str">
        <f ca="1">IFERROR(__xludf.DUMMYFUNCTION("""COMPUTED_VALUE"""),"RIO YELCHO 125")</f>
        <v>RIO YELCHO 125</v>
      </c>
      <c r="D8441" s="6" t="str">
        <f ca="1">IFERROR(__xludf.DUMMYFUNCTION("""COMPUTED_VALUE"""),"PAINE")</f>
        <v>PAINE</v>
      </c>
    </row>
    <row r="8442" spans="1:4">
      <c r="A8442" s="7">
        <f ca="1">IFERROR(__xludf.DUMMYFUNCTION("""COMPUTED_VALUE"""),44699)</f>
        <v>44699</v>
      </c>
      <c r="B8442" s="6" t="str">
        <f ca="1">IFERROR(__xludf.DUMMYFUNCTION("""COMPUTED_VALUE"""),"-33.8253325,-70.7326561")</f>
        <v>-33.8253325,-70.7326561</v>
      </c>
      <c r="C8442" s="6" t="str">
        <f ca="1">IFERROR(__xludf.DUMMYFUNCTION("""COMPUTED_VALUE"""),"ALBERTO FIGUEROA 909")</f>
        <v>ALBERTO FIGUEROA 909</v>
      </c>
      <c r="D8442" s="6" t="str">
        <f ca="1">IFERROR(__xludf.DUMMYFUNCTION("""COMPUTED_VALUE"""),"PAINE")</f>
        <v>PAINE</v>
      </c>
    </row>
    <row r="8443" spans="1:4">
      <c r="A8443" s="7">
        <f ca="1">IFERROR(__xludf.DUMMYFUNCTION("""COMPUTED_VALUE"""),44699)</f>
        <v>44699</v>
      </c>
      <c r="B8443" s="6" t="str">
        <f ca="1">IFERROR(__xludf.DUMMYFUNCTION("""COMPUTED_VALUE"""),"-33.6392943,-70.5819061")</f>
        <v>-33.6392943,-70.5819061</v>
      </c>
      <c r="C8443" s="6" t="str">
        <f ca="1">IFERROR(__xludf.DUMMYFUNCTION("""COMPUTED_VALUE"""),"VIRGINIA SUBERCASEAUX 901")</f>
        <v>VIRGINIA SUBERCASEAUX 901</v>
      </c>
      <c r="D8443" s="6" t="str">
        <f ca="1">IFERROR(__xludf.DUMMYFUNCTION("""COMPUTED_VALUE"""),"PIRQUE")</f>
        <v>PIRQUE</v>
      </c>
    </row>
    <row r="8444" spans="1:4">
      <c r="A8444" s="7">
        <f ca="1">IFERROR(__xludf.DUMMYFUNCTION("""COMPUTED_VALUE"""),44699)</f>
        <v>44699</v>
      </c>
      <c r="B8444" s="6" t="str">
        <f ca="1">IFERROR(__xludf.DUMMYFUNCTION("""COMPUTED_VALUE"""),"-33.7052945,-70.5637546")</f>
        <v>-33.7052945,-70.5637546</v>
      </c>
      <c r="C8444" s="6" t="str">
        <f ca="1">IFERROR(__xludf.DUMMYFUNCTION("""COMPUTED_VALUE"""),"EL PRINCIPAL 24")</f>
        <v>EL PRINCIPAL 24</v>
      </c>
      <c r="D8444" s="6" t="str">
        <f ca="1">IFERROR(__xludf.DUMMYFUNCTION("""COMPUTED_VALUE"""),"PIRQUE")</f>
        <v>PIRQUE</v>
      </c>
    </row>
    <row r="8445" spans="1:4">
      <c r="A8445" s="7">
        <f ca="1">IFERROR(__xludf.DUMMYFUNCTION("""COMPUTED_VALUE"""),44700)</f>
        <v>44700</v>
      </c>
      <c r="B8445" s="8" t="str">
        <f ca="1">IFERROR(__xludf.DUMMYFUNCTION("""COMPUTED_VALUE"""),"-33.8099529, -70.8768407")</f>
        <v>-33.8099529, -70.8768407</v>
      </c>
      <c r="C8445" s="6" t="str">
        <f ca="1">IFERROR(__xludf.DUMMYFUNCTION("""COMPUTED_VALUE"""),"PERALILLO 2 ")</f>
        <v xml:space="preserve">PERALILLO 2 </v>
      </c>
      <c r="D8445" s="6" t="str">
        <f ca="1">IFERROR(__xludf.DUMMYFUNCTION("""COMPUTED_VALUE"""),"PAINE")</f>
        <v>PAINE</v>
      </c>
    </row>
    <row r="8446" spans="1:4">
      <c r="A8446" s="7">
        <f ca="1">IFERROR(__xludf.DUMMYFUNCTION("""COMPUTED_VALUE"""),44700)</f>
        <v>44700</v>
      </c>
      <c r="B8446" s="8" t="str">
        <f ca="1">IFERROR(__xludf.DUMMYFUNCTION("""COMPUTED_VALUE"""),"-33.8411639, -70.6414465")</f>
        <v>-33.8411639, -70.6414465</v>
      </c>
      <c r="C8446" s="6" t="str">
        <f ca="1">IFERROR(__xludf.DUMMYFUNCTION("""COMPUTED_VALUE"""),"SAN ROBERTO SITIO 2")</f>
        <v>SAN ROBERTO SITIO 2</v>
      </c>
      <c r="D8446" s="6" t="str">
        <f ca="1">IFERROR(__xludf.DUMMYFUNCTION("""COMPUTED_VALUE"""),"PAINE")</f>
        <v>PAINE</v>
      </c>
    </row>
    <row r="8447" spans="1:4">
      <c r="A8447" s="7">
        <f ca="1">IFERROR(__xludf.DUMMYFUNCTION("""COMPUTED_VALUE"""),44700)</f>
        <v>44700</v>
      </c>
      <c r="B8447" s="8" t="str">
        <f ca="1">IFERROR(__xludf.DUMMYFUNCTION("""COMPUTED_VALUE"""),"-33.8116912, -70.8795244")</f>
        <v>-33.8116912, -70.8795244</v>
      </c>
      <c r="C8447" s="6" t="str">
        <f ca="1">IFERROR(__xludf.DUMMYFUNCTION("""COMPUTED_VALUE"""),"EL ALANO 1A")</f>
        <v>EL ALANO 1A</v>
      </c>
      <c r="D8447" s="6" t="str">
        <f ca="1">IFERROR(__xludf.DUMMYFUNCTION("""COMPUTED_VALUE"""),"PAINE")</f>
        <v>PAINE</v>
      </c>
    </row>
    <row r="8448" spans="1:4">
      <c r="A8448" s="7">
        <f ca="1">IFERROR(__xludf.DUMMYFUNCTION("""COMPUTED_VALUE"""),44700)</f>
        <v>44700</v>
      </c>
      <c r="B8448" s="8" t="str">
        <f ca="1">IFERROR(__xludf.DUMMYFUNCTION("""COMPUTED_VALUE"""),"-33.8358624, -70.8228095")</f>
        <v>-33.8358624, -70.8228095</v>
      </c>
      <c r="C8448" s="6" t="str">
        <f ca="1">IFERROR(__xludf.DUMMYFUNCTION("""COMPUTED_VALUE"""),"VINCULO PUENTE PAINE")</f>
        <v>VINCULO PUENTE PAINE</v>
      </c>
      <c r="D8448" s="6" t="str">
        <f ca="1">IFERROR(__xludf.DUMMYFUNCTION("""COMPUTED_VALUE"""),"PAINE")</f>
        <v>PAINE</v>
      </c>
    </row>
    <row r="8449" spans="1:4">
      <c r="A8449" s="7">
        <f ca="1">IFERROR(__xludf.DUMMYFUNCTION("""COMPUTED_VALUE"""),44700)</f>
        <v>44700</v>
      </c>
      <c r="B8449" s="8" t="str">
        <f ca="1">IFERROR(__xludf.DUMMYFUNCTION("""COMPUTED_VALUE"""),"-33.8113081, -70.8636704")</f>
        <v>-33.8113081, -70.8636704</v>
      </c>
      <c r="C8449" s="6" t="str">
        <f ca="1">IFERROR(__xludf.DUMMYFUNCTION("""COMPUTED_VALUE"""),"MANUEL RODRIGUEZ 393")</f>
        <v>MANUEL RODRIGUEZ 393</v>
      </c>
      <c r="D8449" s="6" t="str">
        <f ca="1">IFERROR(__xludf.DUMMYFUNCTION("""COMPUTED_VALUE"""),"PAINE")</f>
        <v>PAINE</v>
      </c>
    </row>
    <row r="8450" spans="1:4">
      <c r="A8450" s="7">
        <f ca="1">IFERROR(__xludf.DUMMYFUNCTION("""COMPUTED_VALUE"""),44700)</f>
        <v>44700</v>
      </c>
      <c r="B8450" s="6" t="str">
        <f ca="1">IFERROR(__xludf.DUMMYFUNCTION("""COMPUTED_VALUE"""),"-33.823109-70.730189")</f>
        <v>-33.823109-70.730189</v>
      </c>
      <c r="C8450" s="6" t="str">
        <f ca="1">IFERROR(__xludf.DUMMYFUNCTION("""COMPUTED_VALUE"""),"MARGARITA CATALAN JIMENEZ 1740")</f>
        <v>MARGARITA CATALAN JIMENEZ 1740</v>
      </c>
      <c r="D8450" s="6" t="str">
        <f ca="1">IFERROR(__xludf.DUMMYFUNCTION("""COMPUTED_VALUE"""),"PAINE")</f>
        <v>PAINE</v>
      </c>
    </row>
    <row r="8451" spans="1:4">
      <c r="A8451" s="7">
        <f ca="1">IFERROR(__xludf.DUMMYFUNCTION("""COMPUTED_VALUE"""),44700)</f>
        <v>44700</v>
      </c>
      <c r="B8451" s="6" t="str">
        <f ca="1">IFERROR(__xludf.DUMMYFUNCTION("""COMPUTED_VALUE"""),"-33.823345-70.730378")</f>
        <v>-33.823345-70.730378</v>
      </c>
      <c r="C8451" s="6" t="str">
        <f ca="1">IFERROR(__xludf.DUMMYFUNCTION("""COMPUTED_VALUE"""),"MARGARITA CATALAN JIMENEZ 1748")</f>
        <v>MARGARITA CATALAN JIMENEZ 1748</v>
      </c>
      <c r="D8451" s="6" t="str">
        <f ca="1">IFERROR(__xludf.DUMMYFUNCTION("""COMPUTED_VALUE"""),"PAINE")</f>
        <v>PAINE</v>
      </c>
    </row>
    <row r="8452" spans="1:4">
      <c r="A8452" s="7">
        <f ca="1">IFERROR(__xludf.DUMMYFUNCTION("""COMPUTED_VALUE"""),44700)</f>
        <v>44700</v>
      </c>
      <c r="B8452" s="6" t="str">
        <f ca="1">IFERROR(__xludf.DUMMYFUNCTION("""COMPUTED_VALUE"""),"-33.385875-71.036750")</f>
        <v>-33.385875-71.036750</v>
      </c>
      <c r="C8452" s="6" t="str">
        <f ca="1">IFERROR(__xludf.DUMMYFUNCTION("""COMPUTED_VALUE"""),"RUTA 68 KM36,8 SN")</f>
        <v>RUTA 68 KM36,8 SN</v>
      </c>
      <c r="D8452" s="6" t="str">
        <f ca="1">IFERROR(__xludf.DUMMYFUNCTION("""COMPUTED_VALUE"""),"CURACAVI")</f>
        <v>CURACAVI</v>
      </c>
    </row>
    <row r="8453" spans="1:4">
      <c r="A8453" s="7">
        <f ca="1">IFERROR(__xludf.DUMMYFUNCTION("""COMPUTED_VALUE"""),44700)</f>
        <v>44700</v>
      </c>
      <c r="B8453" s="6" t="str">
        <f ca="1">IFERROR(__xludf.DUMMYFUNCTION("""COMPUTED_VALUE"""),"-33.39582-71.125680")</f>
        <v>-33.39582-71.125680</v>
      </c>
      <c r="C8453" s="6" t="str">
        <f ca="1">IFERROR(__xludf.DUMMYFUNCTION("""COMPUTED_VALUE"""),"LUIS CRUCHAGA  S/N")</f>
        <v>LUIS CRUCHAGA  S/N</v>
      </c>
      <c r="D8453" s="6" t="str">
        <f ca="1">IFERROR(__xludf.DUMMYFUNCTION("""COMPUTED_VALUE"""),"CURACAVI")</f>
        <v>CURACAVI</v>
      </c>
    </row>
    <row r="8454" spans="1:4">
      <c r="A8454" s="7">
        <f ca="1">IFERROR(__xludf.DUMMYFUNCTION("""COMPUTED_VALUE"""),44700)</f>
        <v>44700</v>
      </c>
      <c r="B8454" s="6" t="str">
        <f ca="1">IFERROR(__xludf.DUMMYFUNCTION("""COMPUTED_VALUE"""),"-33.405572-71.129852")</f>
        <v>-33.405572-71.129852</v>
      </c>
      <c r="C8454" s="6" t="str">
        <f ca="1">IFERROR(__xludf.DUMMYFUNCTION("""COMPUTED_VALUE"""),"PJE LA ANUNCIACION 1857")</f>
        <v>PJE LA ANUNCIACION 1857</v>
      </c>
      <c r="D8454" s="6" t="str">
        <f ca="1">IFERROR(__xludf.DUMMYFUNCTION("""COMPUTED_VALUE"""),"CURACAVI")</f>
        <v>CURACAVI</v>
      </c>
    </row>
    <row r="8455" spans="1:4">
      <c r="A8455" s="7">
        <f ca="1">IFERROR(__xludf.DUMMYFUNCTION("""COMPUTED_VALUE"""),44700)</f>
        <v>44700</v>
      </c>
      <c r="B8455" s="6" t="str">
        <f ca="1">IFERROR(__xludf.DUMMYFUNCTION("""COMPUTED_VALUE"""),"-33.392905-71.120154")</f>
        <v>-33.392905-71.120154</v>
      </c>
      <c r="C8455" s="6" t="str">
        <f ca="1">IFERROR(__xludf.DUMMYFUNCTION("""COMPUTED_VALUE"""),"JEHOVA JIREH 1196")</f>
        <v>JEHOVA JIREH 1196</v>
      </c>
      <c r="D8455" s="6" t="str">
        <f ca="1">IFERROR(__xludf.DUMMYFUNCTION("""COMPUTED_VALUE"""),"CURACAVI")</f>
        <v>CURACAVI</v>
      </c>
    </row>
    <row r="8456" spans="1:4">
      <c r="A8456" s="7">
        <f ca="1">IFERROR(__xludf.DUMMYFUNCTION("""COMPUTED_VALUE"""),44700)</f>
        <v>44700</v>
      </c>
      <c r="B8456" s="6" t="str">
        <f ca="1">IFERROR(__xludf.DUMMYFUNCTION("""COMPUTED_VALUE"""),"-33.8642.70.8532")</f>
        <v>-33.8642.70.8532</v>
      </c>
      <c r="C8456" s="6" t="str">
        <f ca="1">IFERROR(__xludf.DUMMYFUNCTION("""COMPUTED_VALUE"""),"EL MANZANITO PARC 18")</f>
        <v>EL MANZANITO PARC 18</v>
      </c>
      <c r="D8456" s="6" t="str">
        <f ca="1">IFERROR(__xludf.DUMMYFUNCTION("""COMPUTED_VALUE"""),"PAINE")</f>
        <v>PAINE</v>
      </c>
    </row>
    <row r="8457" spans="1:4">
      <c r="A8457" s="7">
        <f ca="1">IFERROR(__xludf.DUMMYFUNCTION("""COMPUTED_VALUE"""),44700)</f>
        <v>44700</v>
      </c>
      <c r="B8457" s="6" t="str">
        <f ca="1">IFERROR(__xludf.DUMMYFUNCTION("""COMPUTED_VALUE"""),"-33.8693-70.8503")</f>
        <v>-33.8693-70.8503</v>
      </c>
      <c r="C8457" s="6" t="str">
        <f ca="1">IFERROR(__xludf.DUMMYFUNCTION("""COMPUTED_VALUE"""),"EL MANZANITO PARC 18 A-1")</f>
        <v>EL MANZANITO PARC 18 A-1</v>
      </c>
      <c r="D8457" s="6" t="str">
        <f ca="1">IFERROR(__xludf.DUMMYFUNCTION("""COMPUTED_VALUE"""),"PAINE")</f>
        <v>PAINE</v>
      </c>
    </row>
    <row r="8458" spans="1:4">
      <c r="A8458" s="7">
        <f ca="1">IFERROR(__xludf.DUMMYFUNCTION("""COMPUTED_VALUE"""),44700)</f>
        <v>44700</v>
      </c>
      <c r="B8458" s="6" t="str">
        <f ca="1">IFERROR(__xludf.DUMMYFUNCTION("""COMPUTED_VALUE"""),"-33.71695-70.331100")</f>
        <v>-33.71695-70.331100</v>
      </c>
      <c r="C8458" s="6" t="str">
        <f ca="1">IFERROR(__xludf.DUMMYFUNCTION("""COMPUTED_VALUE"""),"CAMINO PUBLICO S/N")</f>
        <v>CAMINO PUBLICO S/N</v>
      </c>
      <c r="D8458" s="6" t="str">
        <f ca="1">IFERROR(__xludf.DUMMYFUNCTION("""COMPUTED_VALUE"""),"SAN JOSE DE MAIPO")</f>
        <v>SAN JOSE DE MAIPO</v>
      </c>
    </row>
    <row r="8459" spans="1:4">
      <c r="A8459" s="7">
        <f ca="1">IFERROR(__xludf.DUMMYFUNCTION("""COMPUTED_VALUE"""),44700)</f>
        <v>44700</v>
      </c>
      <c r="B8459" s="8" t="str">
        <f ca="1">IFERROR(__xludf.DUMMYFUNCTION("""COMPUTED_VALUE"""),"-33.726016,-70.555297")</f>
        <v>-33.726016,-70.555297</v>
      </c>
      <c r="C8459" s="6" t="str">
        <f ca="1">IFERROR(__xludf.DUMMYFUNCTION("""COMPUTED_VALUE"""),"LOS CORRALES 97 LOTE 4")</f>
        <v>LOS CORRALES 97 LOTE 4</v>
      </c>
      <c r="D8459" s="6" t="str">
        <f ca="1">IFERROR(__xludf.DUMMYFUNCTION("""COMPUTED_VALUE"""),"PIRQUE")</f>
        <v>PIRQUE</v>
      </c>
    </row>
    <row r="8460" spans="1:4">
      <c r="A8460" s="7">
        <f ca="1">IFERROR(__xludf.DUMMYFUNCTION("""COMPUTED_VALUE"""),44700)</f>
        <v>44700</v>
      </c>
      <c r="B8460" s="8" t="str">
        <f ca="1">IFERROR(__xludf.DUMMYFUNCTION("""COMPUTED_VALUE"""),"-33.717875,-70.564399")</f>
        <v>-33.717875,-70.564399</v>
      </c>
      <c r="C8460" s="6" t="str">
        <f ca="1">IFERROR(__xludf.DUMMYFUNCTION("""COMPUTED_VALUE"""),"CERRILLOS 135")</f>
        <v>CERRILLOS 135</v>
      </c>
      <c r="D8460" s="6" t="str">
        <f ca="1">IFERROR(__xludf.DUMMYFUNCTION("""COMPUTED_VALUE"""),"PIRQUE")</f>
        <v>PIRQUE</v>
      </c>
    </row>
    <row r="8461" spans="1:4">
      <c r="A8461" s="7">
        <f ca="1">IFERROR(__xludf.DUMMYFUNCTION("""COMPUTED_VALUE"""),44700)</f>
        <v>44700</v>
      </c>
      <c r="B8461" s="8" t="str">
        <f ca="1">IFERROR(__xludf.DUMMYFUNCTION("""COMPUTED_VALUE"""),"-33.627330,-70.547239")</f>
        <v>-33.627330,-70.547239</v>
      </c>
      <c r="C8461" s="6" t="str">
        <f ca="1">IFERROR(__xludf.DUMMYFUNCTION("""COMPUTED_VALUE"""),"OSCAR AZUA 2968")</f>
        <v>OSCAR AZUA 2968</v>
      </c>
      <c r="D8461" s="6" t="str">
        <f ca="1">IFERROR(__xludf.DUMMYFUNCTION("""COMPUTED_VALUE"""),"PIRQUE")</f>
        <v>PIRQUE</v>
      </c>
    </row>
    <row r="8462" spans="1:4">
      <c r="A8462" s="7">
        <f ca="1">IFERROR(__xludf.DUMMYFUNCTION("""COMPUTED_VALUE"""),44700)</f>
        <v>44700</v>
      </c>
      <c r="B8462" s="8" t="str">
        <f ca="1">IFERROR(__xludf.DUMMYFUNCTION("""COMPUTED_VALUE"""),"-33.715960,-70.5782171")</f>
        <v>-33.715960,-70.5782171</v>
      </c>
      <c r="C8462" s="6" t="str">
        <f ca="1">IFERROR(__xludf.DUMMYFUNCTION("""COMPUTED_VALUE"""),"RINCONADA EL PRINCIPAL PARC 75")</f>
        <v>RINCONADA EL PRINCIPAL PARC 75</v>
      </c>
      <c r="D8462" s="6" t="str">
        <f ca="1">IFERROR(__xludf.DUMMYFUNCTION("""COMPUTED_VALUE"""),"PIRQUE")</f>
        <v>PIRQUE</v>
      </c>
    </row>
    <row r="8463" spans="1:4">
      <c r="A8463" s="7">
        <f ca="1">IFERROR(__xludf.DUMMYFUNCTION("""COMPUTED_VALUE"""),44700)</f>
        <v>44700</v>
      </c>
      <c r="B8463" s="6" t="str">
        <f ca="1">IFERROR(__xludf.DUMMYFUNCTION("""COMPUTED_VALUE"""),"-33.611931,-70.484807")</f>
        <v>-33.611931,-70.484807</v>
      </c>
      <c r="C8463" s="6" t="str">
        <f ca="1">IFERROR(__xludf.DUMMYFUNCTION("""COMPUTED_VALUE"""),"SAN JUAN DE PIRQUE S/N LOTE 5")</f>
        <v>SAN JUAN DE PIRQUE S/N LOTE 5</v>
      </c>
      <c r="D8463" s="6" t="str">
        <f ca="1">IFERROR(__xludf.DUMMYFUNCTION("""COMPUTED_VALUE"""),"PIRQUE")</f>
        <v>PIRQUE</v>
      </c>
    </row>
    <row r="8464" spans="1:4">
      <c r="A8464" s="7">
        <f ca="1">IFERROR(__xludf.DUMMYFUNCTION("""COMPUTED_VALUE"""),44700)</f>
        <v>44700</v>
      </c>
      <c r="B8464" s="6" t="str">
        <f ca="1">IFERROR(__xludf.DUMMYFUNCTION("""COMPUTED_VALUE"""),"-33.611931,-70.484807")</f>
        <v>-33.611931,-70.484807</v>
      </c>
      <c r="C8464" s="6" t="str">
        <f ca="1">IFERROR(__xludf.DUMMYFUNCTION("""COMPUTED_VALUE"""),"SAN JUAN DE PIRQUE S/N LOTE 6")</f>
        <v>SAN JUAN DE PIRQUE S/N LOTE 6</v>
      </c>
      <c r="D8464" s="6" t="str">
        <f ca="1">IFERROR(__xludf.DUMMYFUNCTION("""COMPUTED_VALUE"""),"PIRQUE")</f>
        <v>PIRQUE</v>
      </c>
    </row>
    <row r="8465" spans="1:4">
      <c r="A8465" s="7">
        <f ca="1">IFERROR(__xludf.DUMMYFUNCTION("""COMPUTED_VALUE"""),44700)</f>
        <v>44700</v>
      </c>
      <c r="B8465" s="6" t="str">
        <f ca="1">IFERROR(__xludf.DUMMYFUNCTION("""COMPUTED_VALUE"""),"-33.625966,-71.230310")</f>
        <v>-33.625966,-71.230310</v>
      </c>
      <c r="C8465" s="6" t="str">
        <f ca="1">IFERROR(__xludf.DUMMYFUNCTION("""COMPUTED_VALUE"""),"SECTOR RUMAY ALTO S/N")</f>
        <v>SECTOR RUMAY ALTO S/N</v>
      </c>
      <c r="D8465" s="6" t="str">
        <f ca="1">IFERROR(__xludf.DUMMYFUNCTION("""COMPUTED_VALUE"""),"MELIPILLA")</f>
        <v>MELIPILLA</v>
      </c>
    </row>
    <row r="8466" spans="1:4">
      <c r="A8466" s="7">
        <f ca="1">IFERROR(__xludf.DUMMYFUNCTION("""COMPUTED_VALUE"""),44700)</f>
        <v>44700</v>
      </c>
      <c r="B8466" s="8" t="str">
        <f ca="1">IFERROR(__xludf.DUMMYFUNCTION("""COMPUTED_VALUE"""),"-33.803128,-70.681495")</f>
        <v>-33.803128,-70.681495</v>
      </c>
      <c r="C8466" s="6" t="str">
        <f ca="1">IFERROR(__xludf.DUMMYFUNCTION("""COMPUTED_VALUE"""),"CALLE 24 DE ABRIL 73")</f>
        <v>CALLE 24 DE ABRIL 73</v>
      </c>
      <c r="D8466" s="6" t="str">
        <f ca="1">IFERROR(__xludf.DUMMYFUNCTION("""COMPUTED_VALUE"""),"PAINE")</f>
        <v>PAINE</v>
      </c>
    </row>
    <row r="8467" spans="1:4">
      <c r="A8467" s="7">
        <f ca="1">IFERROR(__xludf.DUMMYFUNCTION("""COMPUTED_VALUE"""),44700)</f>
        <v>44700</v>
      </c>
      <c r="B8467" s="8" t="str">
        <f ca="1">IFERROR(__xludf.DUMMYFUNCTION("""COMPUTED_VALUE"""),"-33.807168,-70.738525")</f>
        <v>-33.807168,-70.738525</v>
      </c>
      <c r="C8467" s="6" t="str">
        <f ca="1">IFERROR(__xludf.DUMMYFUNCTION("""COMPUTED_VALUE"""),"SAN JOSE 328")</f>
        <v>SAN JOSE 328</v>
      </c>
      <c r="D8467" s="6" t="str">
        <f ca="1">IFERROR(__xludf.DUMMYFUNCTION("""COMPUTED_VALUE"""),"PAINE")</f>
        <v>PAINE</v>
      </c>
    </row>
    <row r="8468" spans="1:4">
      <c r="A8468" s="7">
        <f ca="1">IFERROR(__xludf.DUMMYFUNCTION("""COMPUTED_VALUE"""),44700)</f>
        <v>44700</v>
      </c>
      <c r="B8468" s="8" t="str">
        <f ca="1">IFERROR(__xludf.DUMMYFUNCTION("""COMPUTED_VALUE"""),"-33.279155,-70.870552")</f>
        <v>-33.279155,-70.870552</v>
      </c>
      <c r="C8468" s="6" t="str">
        <f ca="1">IFERROR(__xludf.DUMMYFUNCTION("""COMPUTED_VALUE"""),"PASAJE PIFILKA 1482")</f>
        <v>PASAJE PIFILKA 1482</v>
      </c>
      <c r="D8468" s="6" t="str">
        <f ca="1">IFERROR(__xludf.DUMMYFUNCTION("""COMPUTED_VALUE"""),"LAMPA")</f>
        <v>LAMPA</v>
      </c>
    </row>
    <row r="8469" spans="1:4">
      <c r="A8469" s="7">
        <f ca="1">IFERROR(__xludf.DUMMYFUNCTION("""COMPUTED_VALUE"""),44700)</f>
        <v>44700</v>
      </c>
      <c r="B8469" s="8" t="str">
        <f ca="1">IFERROR(__xludf.DUMMYFUNCTION("""COMPUTED_VALUE"""),"-33.279155,-70.870552")</f>
        <v>-33.279155,-70.870552</v>
      </c>
      <c r="C8469" s="6" t="str">
        <f ca="1">IFERROR(__xludf.DUMMYFUNCTION("""COMPUTED_VALUE"""),"PASAJE PIFILKA 1482")</f>
        <v>PASAJE PIFILKA 1482</v>
      </c>
      <c r="D8469" s="6" t="str">
        <f ca="1">IFERROR(__xludf.DUMMYFUNCTION("""COMPUTED_VALUE"""),"LAMPA")</f>
        <v>LAMPA</v>
      </c>
    </row>
    <row r="8470" spans="1:4">
      <c r="A8470" s="7">
        <f ca="1">IFERROR(__xludf.DUMMYFUNCTION("""COMPUTED_VALUE"""),44700)</f>
        <v>44700</v>
      </c>
      <c r="B8470" s="6" t="str">
        <f ca="1">IFERROR(__xludf.DUMMYFUNCTION("""COMPUTED_VALUE"""),"-33.697153,-70.711105")</f>
        <v>-33.697153,-70.711105</v>
      </c>
      <c r="C8470" s="6" t="str">
        <f ca="1">IFERROR(__xludf.DUMMYFUNCTION("""COMPUTED_VALUE"""),"LOS SAEZ 25")</f>
        <v>LOS SAEZ 25</v>
      </c>
      <c r="D8470" s="6" t="str">
        <f ca="1">IFERROR(__xludf.DUMMYFUNCTION("""COMPUTED_VALUE"""),"BUIN")</f>
        <v>BUIN</v>
      </c>
    </row>
    <row r="8471" spans="1:4">
      <c r="A8471" s="7">
        <f ca="1">IFERROR(__xludf.DUMMYFUNCTION("""COMPUTED_VALUE"""),44700)</f>
        <v>44700</v>
      </c>
      <c r="B8471" s="6" t="str">
        <f ca="1">IFERROR(__xludf.DUMMYFUNCTION("""COMPUTED_VALUE"""),"-33.734360,-70.757919")</f>
        <v>-33.734360,-70.757919</v>
      </c>
      <c r="C8471" s="6" t="str">
        <f ca="1">IFERROR(__xludf.DUMMYFUNCTION("""COMPUTED_VALUE"""),"LO SALINAS 1719")</f>
        <v>LO SALINAS 1719</v>
      </c>
      <c r="D8471" s="6" t="str">
        <f ca="1">IFERROR(__xludf.DUMMYFUNCTION("""COMPUTED_VALUE"""),"BUIN")</f>
        <v>BUIN</v>
      </c>
    </row>
    <row r="8472" spans="1:4">
      <c r="A8472" s="7">
        <f ca="1">IFERROR(__xludf.DUMMYFUNCTION("""COMPUTED_VALUE"""),44700)</f>
        <v>44700</v>
      </c>
      <c r="B8472" s="6" t="str">
        <f ca="1">IFERROR(__xludf.DUMMYFUNCTION("""COMPUTED_VALUE"""),"-33.8558428,-70.7592001")</f>
        <v>-33.8558428,-70.7592001</v>
      </c>
      <c r="C8472" s="6" t="str">
        <f ca="1">IFERROR(__xludf.DUMMYFUNCTION("""COMPUTED_VALUE"""),"DARIO PAVEZ 232")</f>
        <v>DARIO PAVEZ 232</v>
      </c>
      <c r="D8472" s="6" t="str">
        <f ca="1">IFERROR(__xludf.DUMMYFUNCTION("""COMPUTED_VALUE"""),"PAINE")</f>
        <v>PAINE</v>
      </c>
    </row>
    <row r="8473" spans="1:4">
      <c r="A8473" s="7">
        <f ca="1">IFERROR(__xludf.DUMMYFUNCTION("""COMPUTED_VALUE"""),44701)</f>
        <v>44701</v>
      </c>
      <c r="B8473" s="8" t="str">
        <f ca="1">IFERROR(__xludf.DUMMYFUNCTION("""COMPUTED_VALUE"""),"-33.8032462, -70.6816901")</f>
        <v>-33.8032462, -70.6816901</v>
      </c>
      <c r="C8473" s="6" t="str">
        <f ca="1">IFERROR(__xludf.DUMMYFUNCTION("""COMPUTED_VALUE"""),"24 DE ABRIL 73G")</f>
        <v>24 DE ABRIL 73G</v>
      </c>
      <c r="D8473" s="6" t="str">
        <f ca="1">IFERROR(__xludf.DUMMYFUNCTION("""COMPUTED_VALUE"""),"PAINE")</f>
        <v>PAINE</v>
      </c>
    </row>
    <row r="8474" spans="1:4">
      <c r="A8474" s="7">
        <f ca="1">IFERROR(__xludf.DUMMYFUNCTION("""COMPUTED_VALUE"""),44701)</f>
        <v>44701</v>
      </c>
      <c r="B8474" s="8" t="str">
        <f ca="1">IFERROR(__xludf.DUMMYFUNCTION("""COMPUTED_VALUE"""),"-33.8358624, -70.8228095")</f>
        <v>-33.8358624, -70.8228095</v>
      </c>
      <c r="C8474" s="6" t="str">
        <f ca="1">IFERROR(__xludf.DUMMYFUNCTION("""COMPUTED_VALUE"""),"PADRE HURTADO SITIO 1 EL CARDONAL")</f>
        <v>PADRE HURTADO SITIO 1 EL CARDONAL</v>
      </c>
      <c r="D8474" s="6" t="str">
        <f ca="1">IFERROR(__xludf.DUMMYFUNCTION("""COMPUTED_VALUE"""),"PAINE")</f>
        <v>PAINE</v>
      </c>
    </row>
    <row r="8475" spans="1:4">
      <c r="A8475" s="7">
        <f ca="1">IFERROR(__xludf.DUMMYFUNCTION("""COMPUTED_VALUE"""),44701)</f>
        <v>44701</v>
      </c>
      <c r="B8475" s="8" t="str">
        <f ca="1">IFERROR(__xludf.DUMMYFUNCTION("""COMPUTED_VALUE"""),"-33.8586308, -70.6156775")</f>
        <v>-33.8586308, -70.6156775</v>
      </c>
      <c r="C8475" s="6" t="str">
        <f ca="1">IFERROR(__xludf.DUMMYFUNCTION("""COMPUTED_VALUE"""),"EL ESCORIAL 40")</f>
        <v>EL ESCORIAL 40</v>
      </c>
      <c r="D8475" s="6" t="str">
        <f ca="1">IFERROR(__xludf.DUMMYFUNCTION("""COMPUTED_VALUE"""),"PAINE")</f>
        <v>PAINE</v>
      </c>
    </row>
    <row r="8476" spans="1:4">
      <c r="A8476" s="7">
        <f ca="1">IFERROR(__xludf.DUMMYFUNCTION("""COMPUTED_VALUE"""),44701)</f>
        <v>44701</v>
      </c>
      <c r="B8476" s="8" t="str">
        <f ca="1">IFERROR(__xludf.DUMMYFUNCTION("""COMPUTED_VALUE"""),"-33.7354844, -70.86034")</f>
        <v>-33.7354844, -70.86034</v>
      </c>
      <c r="C8476" s="6" t="str">
        <f ca="1">IFERROR(__xludf.DUMMYFUNCTION("""COMPUTED_VALUE"""),"SAN PATRICIO 148")</f>
        <v>SAN PATRICIO 148</v>
      </c>
      <c r="D8476" s="6" t="str">
        <f ca="1">IFERROR(__xludf.DUMMYFUNCTION("""COMPUTED_VALUE"""),"ISLA DE MAIPO")</f>
        <v>ISLA DE MAIPO</v>
      </c>
    </row>
    <row r="8477" spans="1:4">
      <c r="A8477" s="7">
        <f ca="1">IFERROR(__xludf.DUMMYFUNCTION("""COMPUTED_VALUE"""),44701)</f>
        <v>44701</v>
      </c>
      <c r="B8477" s="6" t="str">
        <f ca="1">IFERROR(__xludf.DUMMYFUNCTION("""COMPUTED_VALUE"""),"-33.737075-70.762880")</f>
        <v>-33.737075-70.762880</v>
      </c>
      <c r="C8477" s="6" t="str">
        <f ca="1">IFERROR(__xludf.DUMMYFUNCTION("""COMPUTED_VALUE"""),"PJE AMADOR SANCHEZ 130")</f>
        <v>PJE AMADOR SANCHEZ 130</v>
      </c>
      <c r="D8477" s="6" t="str">
        <f ca="1">IFERROR(__xludf.DUMMYFUNCTION("""COMPUTED_VALUE"""),"BUIN")</f>
        <v>BUIN</v>
      </c>
    </row>
    <row r="8478" spans="1:4">
      <c r="A8478" s="7">
        <f ca="1">IFERROR(__xludf.DUMMYFUNCTION("""COMPUTED_VALUE"""),44701)</f>
        <v>44701</v>
      </c>
      <c r="B8478" s="6" t="str">
        <f ca="1">IFERROR(__xludf.DUMMYFUNCTION("""COMPUTED_VALUE"""),"-33.720435-70.547450")</f>
        <v>-33.720435-70.547450</v>
      </c>
      <c r="C8478" s="6" t="str">
        <f ca="1">IFERROR(__xludf.DUMMYFUNCTION("""COMPUTED_VALUE"""),"EL PRINCIPAL S/N PARCELA 13")</f>
        <v>EL PRINCIPAL S/N PARCELA 13</v>
      </c>
      <c r="D8478" s="6" t="str">
        <f ca="1">IFERROR(__xludf.DUMMYFUNCTION("""COMPUTED_VALUE"""),"PIRQUE")</f>
        <v>PIRQUE</v>
      </c>
    </row>
    <row r="8479" spans="1:4">
      <c r="A8479" s="7">
        <f ca="1">IFERROR(__xludf.DUMMYFUNCTION("""COMPUTED_VALUE"""),44701)</f>
        <v>44701</v>
      </c>
      <c r="B8479" s="8" t="str">
        <f ca="1">IFERROR(__xludf.DUMMYFUNCTION("""COMPUTED_VALUE"""),"-33.714951,-70.550916")</f>
        <v>-33.714951,-70.550916</v>
      </c>
      <c r="C8479" s="6" t="str">
        <f ca="1">IFERROR(__xludf.DUMMYFUNCTION("""COMPUTED_VALUE"""),"CALLE CHALACO 56B PRINCIPAL")</f>
        <v>CALLE CHALACO 56B PRINCIPAL</v>
      </c>
      <c r="D8479" s="6" t="str">
        <f ca="1">IFERROR(__xludf.DUMMYFUNCTION("""COMPUTED_VALUE"""),"PIRQUE")</f>
        <v>PIRQUE</v>
      </c>
    </row>
    <row r="8480" spans="1:4">
      <c r="A8480" s="7">
        <f ca="1">IFERROR(__xludf.DUMMYFUNCTION("""COMPUTED_VALUE"""),44701)</f>
        <v>44701</v>
      </c>
      <c r="B8480" s="8" t="str">
        <f ca="1">IFERROR(__xludf.DUMMYFUNCTION("""COMPUTED_VALUE"""),"-33.711596,-70.550240")</f>
        <v>-33.711596,-70.550240</v>
      </c>
      <c r="C8480" s="6" t="str">
        <f ca="1">IFERROR(__xludf.DUMMYFUNCTION("""COMPUTED_VALUE"""),"EL PRINCIPAL SAN MANUEL")</f>
        <v>EL PRINCIPAL SAN MANUEL</v>
      </c>
      <c r="D8480" s="6" t="str">
        <f ca="1">IFERROR(__xludf.DUMMYFUNCTION("""COMPUTED_VALUE"""),"PIRQUE")</f>
        <v>PIRQUE</v>
      </c>
    </row>
    <row r="8481" spans="1:4">
      <c r="A8481" s="7">
        <f ca="1">IFERROR(__xludf.DUMMYFUNCTION("""COMPUTED_VALUE"""),44701)</f>
        <v>44701</v>
      </c>
      <c r="B8481" s="8" t="str">
        <f ca="1">IFERROR(__xludf.DUMMYFUNCTION("""COMPUTED_VALUE"""),"-33.673247,-70.583939")</f>
        <v>-33.673247,-70.583939</v>
      </c>
      <c r="C8481" s="6" t="str">
        <f ca="1">IFERROR(__xludf.DUMMYFUNCTION("""COMPUTED_VALUE"""),"SAN LUIS LOTE A-1")</f>
        <v>SAN LUIS LOTE A-1</v>
      </c>
      <c r="D8481" s="6" t="str">
        <f ca="1">IFERROR(__xludf.DUMMYFUNCTION("""COMPUTED_VALUE"""),"PIRQUE")</f>
        <v>PIRQUE</v>
      </c>
    </row>
    <row r="8482" spans="1:4">
      <c r="A8482" s="7">
        <f ca="1">IFERROR(__xludf.DUMMYFUNCTION("""COMPUTED_VALUE"""),44701)</f>
        <v>44701</v>
      </c>
      <c r="B8482" s="6" t="str">
        <f ca="1">IFERROR(__xludf.DUMMYFUNCTION("""COMPUTED_VALUE"""),"-33.634463,-71.227312")</f>
        <v>-33.634463,-71.227312</v>
      </c>
      <c r="C8482" s="6" t="str">
        <f ca="1">IFERROR(__xludf.DUMMYFUNCTION("""COMPUTED_VALUE"""),"RUMAY S/N ")</f>
        <v xml:space="preserve">RUMAY S/N </v>
      </c>
      <c r="D8482" s="6" t="str">
        <f ca="1">IFERROR(__xludf.DUMMYFUNCTION("""COMPUTED_VALUE"""),"MELIPILLA")</f>
        <v>MELIPILLA</v>
      </c>
    </row>
    <row r="8483" spans="1:4">
      <c r="A8483" s="7">
        <f ca="1">IFERROR(__xludf.DUMMYFUNCTION("""COMPUTED_VALUE"""),44701)</f>
        <v>44701</v>
      </c>
      <c r="B8483" s="6" t="str">
        <f ca="1">IFERROR(__xludf.DUMMYFUNCTION("""COMPUTED_VALUE"""),"-33.753674,-70.888577")</f>
        <v>-33.753674,-70.888577</v>
      </c>
      <c r="C8483" s="6" t="str">
        <f ca="1">IFERROR(__xludf.DUMMYFUNCTION("""COMPUTED_VALUE"""),"MICHAY 472")</f>
        <v>MICHAY 472</v>
      </c>
      <c r="D8483" s="6" t="str">
        <f ca="1">IFERROR(__xludf.DUMMYFUNCTION("""COMPUTED_VALUE"""),"ISLA DE MAIPO")</f>
        <v>ISLA DE MAIPO</v>
      </c>
    </row>
    <row r="8484" spans="1:4">
      <c r="A8484" s="7">
        <f ca="1">IFERROR(__xludf.DUMMYFUNCTION("""COMPUTED_VALUE"""),44701)</f>
        <v>44701</v>
      </c>
      <c r="B8484" s="6" t="str">
        <f ca="1">IFERROR(__xludf.DUMMYFUNCTION("""COMPUTED_VALUE"""),"-33.866680,-70.744397")</f>
        <v>-33.866680,-70.744397</v>
      </c>
      <c r="C8484" s="6" t="str">
        <f ca="1">IFERROR(__xludf.DUMMYFUNCTION("""COMPUTED_VALUE"""),"BORDGASSITIO 15")</f>
        <v>BORDGASSITIO 15</v>
      </c>
      <c r="D8484" s="6" t="str">
        <f ca="1">IFERROR(__xludf.DUMMYFUNCTION("""COMPUTED_VALUE"""),"PAINE")</f>
        <v>PAINE</v>
      </c>
    </row>
    <row r="8485" spans="1:4">
      <c r="A8485" s="7">
        <f ca="1">IFERROR(__xludf.DUMMYFUNCTION("""COMPUTED_VALUE"""),44701)</f>
        <v>44701</v>
      </c>
      <c r="B8485" s="8" t="str">
        <f ca="1">IFERROR(__xludf.DUMMYFUNCTION("""COMPUTED_VALUE"""),"-33.665165,-71.313991")</f>
        <v>-33.665165,-71.313991</v>
      </c>
      <c r="C8485" s="6" t="str">
        <f ca="1">IFERROR(__xludf.DUMMYFUNCTION("""COMPUTED_VALUE"""),"VILLA YAZIGI S/N")</f>
        <v>VILLA YAZIGI S/N</v>
      </c>
      <c r="D8485" s="6" t="str">
        <f ca="1">IFERROR(__xludf.DUMMYFUNCTION("""COMPUTED_VALUE"""),"MELIPILLA")</f>
        <v>MELIPILLA</v>
      </c>
    </row>
    <row r="8486" spans="1:4">
      <c r="A8486" s="7">
        <f ca="1">IFERROR(__xludf.DUMMYFUNCTION("""COMPUTED_VALUE"""),44701)</f>
        <v>44701</v>
      </c>
      <c r="B8486" s="8" t="str">
        <f ca="1">IFERROR(__xludf.DUMMYFUNCTION("""COMPUTED_VALUE"""),"-33.652652,-71.230606")</f>
        <v>-33.652652,-71.230606</v>
      </c>
      <c r="C8486" s="6" t="str">
        <f ca="1">IFERROR(__xludf.DUMMYFUNCTION("""COMPUTED_VALUE"""),"LA PRIMAVERA S/N ")</f>
        <v xml:space="preserve">LA PRIMAVERA S/N </v>
      </c>
      <c r="D8486" s="6" t="str">
        <f ca="1">IFERROR(__xludf.DUMMYFUNCTION("""COMPUTED_VALUE"""),"MELIPILLA")</f>
        <v>MELIPILLA</v>
      </c>
    </row>
    <row r="8487" spans="1:4">
      <c r="A8487" s="7">
        <f ca="1">IFERROR(__xludf.DUMMYFUNCTION("""COMPUTED_VALUE"""),44701)</f>
        <v>44701</v>
      </c>
      <c r="B8487" s="8" t="str">
        <f ca="1">IFERROR(__xludf.DUMMYFUNCTION("""COMPUTED_VALUE"""),"-33.884856,-70.735078")</f>
        <v>-33.884856,-70.735078</v>
      </c>
      <c r="C8487" s="6" t="str">
        <f ca="1">IFERROR(__xludf.DUMMYFUNCTION("""COMPUTED_VALUE"""),"SITIO A 1 199 CAMINO MEDIA LUNA ")</f>
        <v xml:space="preserve">SITIO A 1 199 CAMINO MEDIA LUNA </v>
      </c>
      <c r="D8487" s="6" t="str">
        <f ca="1">IFERROR(__xludf.DUMMYFUNCTION("""COMPUTED_VALUE"""),"PAINE")</f>
        <v>PAINE</v>
      </c>
    </row>
    <row r="8488" spans="1:4">
      <c r="A8488" s="7">
        <f ca="1">IFERROR(__xludf.DUMMYFUNCTION("""COMPUTED_VALUE"""),44701)</f>
        <v>44701</v>
      </c>
      <c r="B8488" s="8" t="str">
        <f ca="1">IFERROR(__xludf.DUMMYFUNCTION("""COMPUTED_VALUE"""),"-33.834100,-70.645116")</f>
        <v>-33.834100,-70.645116</v>
      </c>
      <c r="C8488" s="6" t="str">
        <f ca="1">IFERROR(__xludf.DUMMYFUNCTION("""COMPUTED_VALUE"""),"SANTA TERESA SITIO 27")</f>
        <v>SANTA TERESA SITIO 27</v>
      </c>
      <c r="D8488" s="6" t="str">
        <f ca="1">IFERROR(__xludf.DUMMYFUNCTION("""COMPUTED_VALUE"""),"PAINE")</f>
        <v>PAINE</v>
      </c>
    </row>
    <row r="8489" spans="1:4">
      <c r="A8489" s="7">
        <f ca="1">IFERROR(__xludf.DUMMYFUNCTION("""COMPUTED_VALUE"""),44701)</f>
        <v>44701</v>
      </c>
      <c r="B8489" s="6" t="str">
        <f ca="1">IFERROR(__xludf.DUMMYFUNCTION("""COMPUTED_VALUE"""),"-33.859014,-70.849505")</f>
        <v>-33.859014,-70.849505</v>
      </c>
      <c r="C8489" s="6" t="str">
        <f ca="1">IFERROR(__xludf.DUMMYFUNCTION("""COMPUTED_VALUE"""),"EL MANZANITO 15")</f>
        <v>EL MANZANITO 15</v>
      </c>
      <c r="D8489" s="6" t="str">
        <f ca="1">IFERROR(__xludf.DUMMYFUNCTION("""COMPUTED_VALUE"""),"PAINE")</f>
        <v>PAINE</v>
      </c>
    </row>
    <row r="8490" spans="1:4">
      <c r="A8490" s="7">
        <f ca="1">IFERROR(__xludf.DUMMYFUNCTION("""COMPUTED_VALUE"""),44701)</f>
        <v>44701</v>
      </c>
      <c r="B8490" s="6" t="str">
        <f ca="1">IFERROR(__xludf.DUMMYFUNCTION("""COMPUTED_VALUE"""),"-33.8734350,-70.7438998")</f>
        <v>-33.8734350,-70.7438998</v>
      </c>
      <c r="C8490" s="6" t="str">
        <f ca="1">IFERROR(__xludf.DUMMYFUNCTION("""COMPUTED_VALUE"""),"DIEGO PORTALES 25B")</f>
        <v>DIEGO PORTALES 25B</v>
      </c>
      <c r="D8490" s="6" t="str">
        <f ca="1">IFERROR(__xludf.DUMMYFUNCTION("""COMPUTED_VALUE"""),"PAINE")</f>
        <v>PAINE</v>
      </c>
    </row>
    <row r="8491" spans="1:4">
      <c r="A8491" s="7">
        <f ca="1">IFERROR(__xludf.DUMMYFUNCTION("""COMPUTED_VALUE"""),44701)</f>
        <v>44701</v>
      </c>
      <c r="B8491" s="6" t="str">
        <f ca="1">IFERROR(__xludf.DUMMYFUNCTION("""COMPUTED_VALUE"""),"-33.804718,-70.728581")</f>
        <v>-33.804718,-70.728581</v>
      </c>
      <c r="C8491" s="6" t="str">
        <f ca="1">IFERROR(__xludf.DUMMYFUNCTION("""COMPUTED_VALUE"""),"RIO YELCHO 129")</f>
        <v>RIO YELCHO 129</v>
      </c>
      <c r="D8491" s="6" t="str">
        <f ca="1">IFERROR(__xludf.DUMMYFUNCTION("""COMPUTED_VALUE"""),"PAINE")</f>
        <v>PAINE</v>
      </c>
    </row>
    <row r="8492" spans="1:4">
      <c r="A8492" s="7">
        <f ca="1">IFERROR(__xludf.DUMMYFUNCTION("""COMPUTED_VALUE"""),44701)</f>
        <v>44701</v>
      </c>
      <c r="B8492" s="6" t="str">
        <f ca="1">IFERROR(__xludf.DUMMYFUNCTION("""COMPUTED_VALUE"""),"-33.873364,-70.894047")</f>
        <v>-33.873364,-70.894047</v>
      </c>
      <c r="C8492" s="6" t="str">
        <f ca="1">IFERROR(__xludf.DUMMYFUNCTION("""COMPUTED_VALUE"""),"C. MARINA SAN FRANCISCO 901")</f>
        <v>C. MARINA SAN FRANCISCO 901</v>
      </c>
      <c r="D8492" s="6" t="str">
        <f ca="1">IFERROR(__xludf.DUMMYFUNCTION("""COMPUTED_VALUE"""),"PAINE")</f>
        <v>PAINE</v>
      </c>
    </row>
    <row r="8493" spans="1:4">
      <c r="A8493" s="7">
        <f ca="1">IFERROR(__xludf.DUMMYFUNCTION("""COMPUTED_VALUE"""),44702)</f>
        <v>44702</v>
      </c>
      <c r="B8493" s="8" t="str">
        <f ca="1">IFERROR(__xludf.DUMMYFUNCTION("""COMPUTED_VALUE"""),"-33.727401,-70.554574")</f>
        <v>-33.727401,-70.554574</v>
      </c>
      <c r="C8493" s="6" t="str">
        <f ca="1">IFERROR(__xludf.DUMMYFUNCTION("""COMPUTED_VALUE"""),"LOS CORRALES 97")</f>
        <v>LOS CORRALES 97</v>
      </c>
      <c r="D8493" s="6" t="str">
        <f ca="1">IFERROR(__xludf.DUMMYFUNCTION("""COMPUTED_VALUE"""),"PIRQUE")</f>
        <v>PIRQUE</v>
      </c>
    </row>
    <row r="8494" spans="1:4">
      <c r="A8494" s="7">
        <f ca="1">IFERROR(__xludf.DUMMYFUNCTION("""COMPUTED_VALUE"""),44702)</f>
        <v>44702</v>
      </c>
      <c r="B8494" s="8" t="str">
        <f ca="1">IFERROR(__xludf.DUMMYFUNCTION("""COMPUTED_VALUE"""),"-33.719834,-70.551170")</f>
        <v>-33.719834,-70.551170</v>
      </c>
      <c r="C8494" s="6" t="str">
        <f ca="1">IFERROR(__xludf.DUMMYFUNCTION("""COMPUTED_VALUE"""),"EL CHALACO 67")</f>
        <v>EL CHALACO 67</v>
      </c>
      <c r="D8494" s="6" t="str">
        <f ca="1">IFERROR(__xludf.DUMMYFUNCTION("""COMPUTED_VALUE"""),"PIRQUE")</f>
        <v>PIRQUE</v>
      </c>
    </row>
    <row r="8495" spans="1:4">
      <c r="A8495" s="7">
        <f ca="1">IFERROR(__xludf.DUMMYFUNCTION("""COMPUTED_VALUE"""),44702)</f>
        <v>44702</v>
      </c>
      <c r="B8495" s="6" t="str">
        <f ca="1">IFERROR(__xludf.DUMMYFUNCTION("""COMPUTED_VALUE"""),"-33.873364,-70.894048")</f>
        <v>-33.873364,-70.894048</v>
      </c>
      <c r="C8495" s="6" t="str">
        <f ca="1">IFERROR(__xludf.DUMMYFUNCTION("""COMPUTED_VALUE"""),"C. MARINA SAN FRANCISCO 901")</f>
        <v>C. MARINA SAN FRANCISCO 901</v>
      </c>
      <c r="D8495" s="6" t="str">
        <f ca="1">IFERROR(__xludf.DUMMYFUNCTION("""COMPUTED_VALUE"""),"PAINE")</f>
        <v>PAINE</v>
      </c>
    </row>
    <row r="8496" spans="1:4">
      <c r="A8496" s="7">
        <f ca="1">IFERROR(__xludf.DUMMYFUNCTION("""COMPUTED_VALUE"""),44703)</f>
        <v>44703</v>
      </c>
      <c r="B8496" s="8" t="str">
        <f ca="1">IFERROR(__xludf.DUMMYFUNCTION("""COMPUTED_VALUE"""),"-33.716130,-70.551312")</f>
        <v>-33.716130,-70.551312</v>
      </c>
      <c r="C8496" s="6" t="str">
        <f ca="1">IFERROR(__xludf.DUMMYFUNCTION("""COMPUTED_VALUE"""),"EL CHALACO 66B ")</f>
        <v xml:space="preserve">EL CHALACO 66B </v>
      </c>
      <c r="D8496" s="6" t="str">
        <f ca="1">IFERROR(__xludf.DUMMYFUNCTION("""COMPUTED_VALUE"""),"PIRQUE")</f>
        <v>PIRQUE</v>
      </c>
    </row>
    <row r="8497" spans="1:4">
      <c r="A8497" s="7">
        <f ca="1">IFERROR(__xludf.DUMMYFUNCTION("""COMPUTED_VALUE"""),44704)</f>
        <v>44704</v>
      </c>
      <c r="B8497" s="8" t="str">
        <f ca="1">IFERROR(__xludf.DUMMYFUNCTION("""COMPUTED_VALUE"""),"-33.8313426, -70.7521537")</f>
        <v>-33.8313426, -70.7521537</v>
      </c>
      <c r="C8497" s="6" t="str">
        <f ca="1">IFERROR(__xludf.DUMMYFUNCTION("""COMPUTED_VALUE"""),"HIJUELA LARGA 35")</f>
        <v>HIJUELA LARGA 35</v>
      </c>
      <c r="D8497" s="6" t="str">
        <f ca="1">IFERROR(__xludf.DUMMYFUNCTION("""COMPUTED_VALUE"""),"PAINE")</f>
        <v>PAINE</v>
      </c>
    </row>
    <row r="8498" spans="1:4">
      <c r="A8498" s="7">
        <f ca="1">IFERROR(__xludf.DUMMYFUNCTION("""COMPUTED_VALUE"""),44704)</f>
        <v>44704</v>
      </c>
      <c r="B8498" s="8" t="str">
        <f ca="1">IFERROR(__xludf.DUMMYFUNCTION("""COMPUTED_VALUE"""),"-33.735397, -70.8617779")</f>
        <v>-33.735397, -70.8617779</v>
      </c>
      <c r="C8498" s="6" t="str">
        <f ca="1">IFERROR(__xludf.DUMMYFUNCTION("""COMPUTED_VALUE"""),"RÍO MAIPO 4466")</f>
        <v>RÍO MAIPO 4466</v>
      </c>
      <c r="D8498" s="6" t="str">
        <f ca="1">IFERROR(__xludf.DUMMYFUNCTION("""COMPUTED_VALUE"""),"ISLA DE MAIPO")</f>
        <v>ISLA DE MAIPO</v>
      </c>
    </row>
    <row r="8499" spans="1:4">
      <c r="A8499" s="7">
        <f ca="1">IFERROR(__xludf.DUMMYFUNCTION("""COMPUTED_VALUE"""),44704)</f>
        <v>44704</v>
      </c>
      <c r="B8499" s="8" t="str">
        <f ca="1">IFERROR(__xludf.DUMMYFUNCTION("""COMPUTED_VALUE"""),"-33.8708183, -70.8819433")</f>
        <v>-33.8708183, -70.8819433</v>
      </c>
      <c r="C8499" s="6" t="str">
        <f ca="1">IFERROR(__xludf.DUMMYFUNCTION("""COMPUTED_VALUE"""),"ROSARIO VIAL 30")</f>
        <v>ROSARIO VIAL 30</v>
      </c>
      <c r="D8499" s="6" t="str">
        <f ca="1">IFERROR(__xludf.DUMMYFUNCTION("""COMPUTED_VALUE"""),"PAINE")</f>
        <v>PAINE</v>
      </c>
    </row>
    <row r="8500" spans="1:4">
      <c r="A8500" s="7">
        <f ca="1">IFERROR(__xludf.DUMMYFUNCTION("""COMPUTED_VALUE"""),44704)</f>
        <v>44704</v>
      </c>
      <c r="B8500" s="8" t="str">
        <f ca="1">IFERROR(__xludf.DUMMYFUNCTION("""COMPUTED_VALUE"""),"-33,709.640,-70.526861")</f>
        <v>-33,709.640,-70.526861</v>
      </c>
      <c r="C8500" s="6" t="str">
        <f ca="1">IFERROR(__xludf.DUMMYFUNCTION("""COMPUTED_VALUE"""),"ORILLA DEL RIO 173A")</f>
        <v>ORILLA DEL RIO 173A</v>
      </c>
      <c r="D8500" s="6" t="str">
        <f ca="1">IFERROR(__xludf.DUMMYFUNCTION("""COMPUTED_VALUE"""),"PIRQUE")</f>
        <v>PIRQUE</v>
      </c>
    </row>
    <row r="8501" spans="1:4">
      <c r="A8501" s="7">
        <f ca="1">IFERROR(__xludf.DUMMYFUNCTION("""COMPUTED_VALUE"""),44704)</f>
        <v>44704</v>
      </c>
      <c r="B8501" s="8" t="str">
        <f ca="1">IFERROR(__xludf.DUMMYFUNCTION("""COMPUTED_VALUE"""),"-33.698529,-70.566470")</f>
        <v>-33.698529,-70.566470</v>
      </c>
      <c r="C8501" s="6" t="str">
        <f ca="1">IFERROR(__xludf.DUMMYFUNCTION("""COMPUTED_VALUE"""),"PJE. LOS OLMOS 941")</f>
        <v>PJE. LOS OLMOS 941</v>
      </c>
      <c r="D8501" s="6" t="str">
        <f ca="1">IFERROR(__xludf.DUMMYFUNCTION("""COMPUTED_VALUE"""),"PIRQUE")</f>
        <v>PIRQUE</v>
      </c>
    </row>
    <row r="8502" spans="1:4">
      <c r="A8502" s="7">
        <f ca="1">IFERROR(__xludf.DUMMYFUNCTION("""COMPUTED_VALUE"""),44704)</f>
        <v>44704</v>
      </c>
      <c r="B8502" s="8" t="str">
        <f ca="1">IFERROR(__xludf.DUMMYFUNCTION("""COMPUTED_VALUE"""),"-33.718346,-70.557136")</f>
        <v>-33.718346,-70.557136</v>
      </c>
      <c r="C8502" s="6" t="str">
        <f ca="1">IFERROR(__xludf.DUMMYFUNCTION("""COMPUTED_VALUE"""),"LA ALAMEDA 124")</f>
        <v>LA ALAMEDA 124</v>
      </c>
      <c r="D8502" s="6" t="str">
        <f ca="1">IFERROR(__xludf.DUMMYFUNCTION("""COMPUTED_VALUE"""),"PIRQUE")</f>
        <v>PIRQUE</v>
      </c>
    </row>
    <row r="8503" spans="1:4">
      <c r="A8503" s="7">
        <f ca="1">IFERROR(__xludf.DUMMYFUNCTION("""COMPUTED_VALUE"""),44704)</f>
        <v>44704</v>
      </c>
      <c r="B8503" s="6" t="str">
        <f ca="1">IFERROR(__xludf.DUMMYFUNCTION("""COMPUTED_VALUE"""),"-33.696697,-70.673698")</f>
        <v>-33.696697,-70.673698</v>
      </c>
      <c r="C8503" s="6" t="str">
        <f ca="1">IFERROR(__xludf.DUMMYFUNCTION("""COMPUTED_VALUE"""),"CO PADRE HURTADO 4240")</f>
        <v>CO PADRE HURTADO 4240</v>
      </c>
      <c r="D8503" s="6" t="str">
        <f ca="1">IFERROR(__xludf.DUMMYFUNCTION("""COMPUTED_VALUE"""),"BUIN")</f>
        <v>BUIN</v>
      </c>
    </row>
    <row r="8504" spans="1:4">
      <c r="A8504" s="7">
        <f ca="1">IFERROR(__xludf.DUMMYFUNCTION("""COMPUTED_VALUE"""),44704)</f>
        <v>44704</v>
      </c>
      <c r="B8504" s="6" t="str">
        <f ca="1">IFERROR(__xludf.DUMMYFUNCTION("""COMPUTED_VALUE"""),"-33.624566,-71.267944")</f>
        <v>-33.624566,-71.267944</v>
      </c>
      <c r="C8504" s="6" t="str">
        <f ca="1">IFERROR(__xludf.DUMMYFUNCTION("""COMPUTED_VALUE"""),"CAMPO LINDO S/N PARC 5 VILLA ALEGRE")</f>
        <v>CAMPO LINDO S/N PARC 5 VILLA ALEGRE</v>
      </c>
      <c r="D8504" s="6" t="str">
        <f ca="1">IFERROR(__xludf.DUMMYFUNCTION("""COMPUTED_VALUE"""),"MELIPILLA")</f>
        <v>MELIPILLA</v>
      </c>
    </row>
    <row r="8505" spans="1:4">
      <c r="A8505" s="7">
        <f ca="1">IFERROR(__xludf.DUMMYFUNCTION("""COMPUTED_VALUE"""),44704)</f>
        <v>44704</v>
      </c>
      <c r="B8505" s="8" t="str">
        <f ca="1">IFERROR(__xludf.DUMMYFUNCTION("""COMPUTED_VALUE"""),"-33.355598,-70.530162")</f>
        <v>-33.355598,-70.530162</v>
      </c>
      <c r="C8505" s="6" t="str">
        <f ca="1">IFERROR(__xludf.DUMMYFUNCTION("""COMPUTED_VALUE"""),"DOCE DE SEPTIEMBRE 2852")</f>
        <v>DOCE DE SEPTIEMBRE 2852</v>
      </c>
      <c r="D8505" s="6" t="str">
        <f ca="1">IFERROR(__xludf.DUMMYFUNCTION("""COMPUTED_VALUE"""),"PEÑAFLOR")</f>
        <v>PEÑAFLOR</v>
      </c>
    </row>
    <row r="8506" spans="1:4">
      <c r="A8506" s="7">
        <f ca="1">IFERROR(__xludf.DUMMYFUNCTION("""COMPUTED_VALUE"""),44704)</f>
        <v>44704</v>
      </c>
      <c r="B8506" s="6" t="str">
        <f ca="1">IFERROR(__xludf.DUMMYFUNCTION("""COMPUTED_VALUE"""),"-33.868623,-70.915854")</f>
        <v>-33.868623,-70.915854</v>
      </c>
      <c r="C8506" s="6" t="str">
        <f ca="1">IFERROR(__xludf.DUMMYFUNCTION("""COMPUTED_VALUE"""),"PLAYA CARTAGENA SITIO26")</f>
        <v>PLAYA CARTAGENA SITIO26</v>
      </c>
      <c r="D8506" s="6" t="str">
        <f ca="1">IFERROR(__xludf.DUMMYFUNCTION("""COMPUTED_VALUE"""),"PAINE")</f>
        <v>PAINE</v>
      </c>
    </row>
    <row r="8507" spans="1:4">
      <c r="A8507" s="7">
        <f ca="1">IFERROR(__xludf.DUMMYFUNCTION("""COMPUTED_VALUE"""),44704)</f>
        <v>44704</v>
      </c>
      <c r="B8507" s="6" t="str">
        <f ca="1">IFERROR(__xludf.DUMMYFUNCTION("""COMPUTED_VALUE"""),"-33.819951,-70.734687")</f>
        <v>-33.819951,-70.734687</v>
      </c>
      <c r="C8507" s="6" t="str">
        <f ca="1">IFERROR(__xludf.DUMMYFUNCTION("""COMPUTED_VALUE"""),"LOS COPIHUE 1476")</f>
        <v>LOS COPIHUE 1476</v>
      </c>
      <c r="D8507" s="6" t="str">
        <f ca="1">IFERROR(__xludf.DUMMYFUNCTION("""COMPUTED_VALUE"""),"PAINE")</f>
        <v>PAINE</v>
      </c>
    </row>
    <row r="8508" spans="1:4">
      <c r="A8508" s="7">
        <f ca="1">IFERROR(__xludf.DUMMYFUNCTION("""COMPUTED_VALUE"""),44704)</f>
        <v>44704</v>
      </c>
      <c r="B8508" s="6" t="str">
        <f ca="1">IFERROR(__xludf.DUMMYFUNCTION("""COMPUTED_VALUE"""),"-33.811825,-70.736775")</f>
        <v>-33.811825,-70.736775</v>
      </c>
      <c r="C8508" s="6" t="str">
        <f ca="1">IFERROR(__xludf.DUMMYFUNCTION("""COMPUTED_VALUE"""),"BERNARDO O'HIGGINS 806")</f>
        <v>BERNARDO O'HIGGINS 806</v>
      </c>
      <c r="D8508" s="6" t="str">
        <f ca="1">IFERROR(__xludf.DUMMYFUNCTION("""COMPUTED_VALUE"""),"PAINE")</f>
        <v>PAINE</v>
      </c>
    </row>
    <row r="8509" spans="1:4">
      <c r="A8509" s="7">
        <f ca="1">IFERROR(__xludf.DUMMYFUNCTION("""COMPUTED_VALUE"""),44705)</f>
        <v>44705</v>
      </c>
      <c r="B8509" s="8" t="str">
        <f ca="1">IFERROR(__xludf.DUMMYFUNCTION("""COMPUTED_VALUE"""),"-33.6078282, -70.3494556")</f>
        <v>-33.6078282, -70.3494556</v>
      </c>
      <c r="C8509" s="6" t="str">
        <f ca="1">IFERROR(__xludf.DUMMYFUNCTION("""COMPUTED_VALUE"""),"EL VOLCAN 16007")</f>
        <v>EL VOLCAN 16007</v>
      </c>
      <c r="D8509" s="6" t="str">
        <f ca="1">IFERROR(__xludf.DUMMYFUNCTION("""COMPUTED_VALUE"""),"SAN JOSE DE MAIPO")</f>
        <v>SAN JOSE DE MAIPO</v>
      </c>
    </row>
    <row r="8510" spans="1:4">
      <c r="A8510" s="7">
        <f ca="1">IFERROR(__xludf.DUMMYFUNCTION("""COMPUTED_VALUE"""),44705)</f>
        <v>44705</v>
      </c>
      <c r="B8510" s="8" t="str">
        <f ca="1">IFERROR(__xludf.DUMMYFUNCTION("""COMPUTED_VALUE"""),"-33.7315989, -70.5539786")</f>
        <v>-33.7315989, -70.5539786</v>
      </c>
      <c r="C8510" s="6" t="str">
        <f ca="1">IFERROR(__xludf.DUMMYFUNCTION("""COMPUTED_VALUE"""),"LOS GALLINEROS SITIO 92B")</f>
        <v>LOS GALLINEROS SITIO 92B</v>
      </c>
      <c r="D8510" s="6" t="str">
        <f ca="1">IFERROR(__xludf.DUMMYFUNCTION("""COMPUTED_VALUE"""),"PIRQUE")</f>
        <v>PIRQUE</v>
      </c>
    </row>
    <row r="8511" spans="1:4">
      <c r="A8511" s="7">
        <f ca="1">IFERROR(__xludf.DUMMYFUNCTION("""COMPUTED_VALUE"""),44705)</f>
        <v>44705</v>
      </c>
      <c r="B8511" s="8" t="str">
        <f ca="1">IFERROR(__xludf.DUMMYFUNCTION("""COMPUTED_VALUE"""),"-33.7315989, -70.5539786")</f>
        <v>-33.7315989, -70.5539786</v>
      </c>
      <c r="C8511" s="6" t="str">
        <f ca="1">IFERROR(__xludf.DUMMYFUNCTION("""COMPUTED_VALUE"""),"LOS GALLINEROS SITIO 92B")</f>
        <v>LOS GALLINEROS SITIO 92B</v>
      </c>
      <c r="D8511" s="6" t="str">
        <f ca="1">IFERROR(__xludf.DUMMYFUNCTION("""COMPUTED_VALUE"""),"PIRQUE")</f>
        <v>PIRQUE</v>
      </c>
    </row>
    <row r="8512" spans="1:4">
      <c r="A8512" s="7">
        <f ca="1">IFERROR(__xludf.DUMMYFUNCTION("""COMPUTED_VALUE"""),44705)</f>
        <v>44705</v>
      </c>
      <c r="B8512" s="8" t="str">
        <f ca="1">IFERROR(__xludf.DUMMYFUNCTION("""COMPUTED_VALUE"""),"-33.579899, -70.45579")</f>
        <v>-33.579899, -70.45579</v>
      </c>
      <c r="C8512" s="6" t="str">
        <f ca="1">IFERROR(__xludf.DUMMYFUNCTION("""COMPUTED_VALUE"""),"LOS QUILPUE")</f>
        <v>LOS QUILPUE</v>
      </c>
      <c r="D8512" s="6" t="str">
        <f ca="1">IFERROR(__xludf.DUMMYFUNCTION("""COMPUTED_VALUE"""),"SAN JOSE DE MAIPO")</f>
        <v>SAN JOSE DE MAIPO</v>
      </c>
    </row>
    <row r="8513" spans="1:4">
      <c r="A8513" s="7">
        <f ca="1">IFERROR(__xludf.DUMMYFUNCTION("""COMPUTED_VALUE"""),44705)</f>
        <v>44705</v>
      </c>
      <c r="B8513" s="6" t="str">
        <f ca="1">IFERROR(__xludf.DUMMYFUNCTION("""COMPUTED_VALUE"""),"-33.813716-70.735652")</f>
        <v>-33.813716-70.735652</v>
      </c>
      <c r="C8513" s="6" t="str">
        <f ca="1">IFERROR(__xludf.DUMMYFUNCTION("""COMPUTED_VALUE"""),"PJE CUATRO 680")</f>
        <v>PJE CUATRO 680</v>
      </c>
      <c r="D8513" s="6" t="str">
        <f ca="1">IFERROR(__xludf.DUMMYFUNCTION("""COMPUTED_VALUE"""),"PAINE")</f>
        <v>PAINE</v>
      </c>
    </row>
    <row r="8514" spans="1:4">
      <c r="A8514" s="7">
        <f ca="1">IFERROR(__xludf.DUMMYFUNCTION("""COMPUTED_VALUE"""),44705)</f>
        <v>44705</v>
      </c>
      <c r="B8514" s="6" t="str">
        <f ca="1">IFERROR(__xludf.DUMMYFUNCTION("""COMPUTED_VALUE"""),"-33.880095-70.721740")</f>
        <v>-33.880095-70.721740</v>
      </c>
      <c r="C8514" s="6" t="str">
        <f ca="1">IFERROR(__xludf.DUMMYFUNCTION("""COMPUTED_VALUE"""),"COLONIAS KENNEDY S/N")</f>
        <v>COLONIAS KENNEDY S/N</v>
      </c>
      <c r="D8514" s="6" t="str">
        <f ca="1">IFERROR(__xludf.DUMMYFUNCTION("""COMPUTED_VALUE"""),"PAINE")</f>
        <v>PAINE</v>
      </c>
    </row>
    <row r="8515" spans="1:4">
      <c r="A8515" s="7">
        <f ca="1">IFERROR(__xludf.DUMMYFUNCTION("""COMPUTED_VALUE"""),44705)</f>
        <v>44705</v>
      </c>
      <c r="B8515" s="8" t="str">
        <f ca="1">IFERROR(__xludf.DUMMYFUNCTION("""COMPUTED_VALUE"""),"-33.681322,-70.583479")</f>
        <v>-33.681322,-70.583479</v>
      </c>
      <c r="C8515" s="6" t="str">
        <f ca="1">IFERROR(__xludf.DUMMYFUNCTION("""COMPUTED_VALUE"""),"CAMINO MACUL 2")</f>
        <v>CAMINO MACUL 2</v>
      </c>
      <c r="D8515" s="6" t="str">
        <f ca="1">IFERROR(__xludf.DUMMYFUNCTION("""COMPUTED_VALUE"""),"PIRQUE")</f>
        <v>PIRQUE</v>
      </c>
    </row>
    <row r="8516" spans="1:4">
      <c r="A8516" s="7">
        <f ca="1">IFERROR(__xludf.DUMMYFUNCTION("""COMPUTED_VALUE"""),44705)</f>
        <v>44705</v>
      </c>
      <c r="B8516" s="8" t="str">
        <f ca="1">IFERROR(__xludf.DUMMYFUNCTION("""COMPUTED_VALUE"""),"-33.681322,-70.583479")</f>
        <v>-33.681322,-70.583479</v>
      </c>
      <c r="C8516" s="6" t="str">
        <f ca="1">IFERROR(__xludf.DUMMYFUNCTION("""COMPUTED_VALUE"""),"CAMINO MACUL 2")</f>
        <v>CAMINO MACUL 2</v>
      </c>
      <c r="D8516" s="6" t="str">
        <f ca="1">IFERROR(__xludf.DUMMYFUNCTION("""COMPUTED_VALUE"""),"PIRQUE")</f>
        <v>PIRQUE</v>
      </c>
    </row>
    <row r="8517" spans="1:4">
      <c r="A8517" s="7">
        <f ca="1">IFERROR(__xludf.DUMMYFUNCTION("""COMPUTED_VALUE"""),44705)</f>
        <v>44705</v>
      </c>
      <c r="B8517" s="8" t="str">
        <f ca="1">IFERROR(__xludf.DUMMYFUNCTION("""COMPUTED_VALUE"""),"-33.762490,-70.724830")</f>
        <v>-33.762490,-70.724830</v>
      </c>
      <c r="C8517" s="6" t="str">
        <f ca="1">IFERROR(__xludf.DUMMYFUNCTION("""COMPUTED_VALUE"""),"LINDEROS 19")</f>
        <v>LINDEROS 19</v>
      </c>
      <c r="D8517" s="6" t="str">
        <f ca="1">IFERROR(__xludf.DUMMYFUNCTION("""COMPUTED_VALUE"""),"BUIN")</f>
        <v>BUIN</v>
      </c>
    </row>
    <row r="8518" spans="1:4">
      <c r="A8518" s="7">
        <f ca="1">IFERROR(__xludf.DUMMYFUNCTION("""COMPUTED_VALUE"""),44705)</f>
        <v>44705</v>
      </c>
      <c r="B8518" s="6" t="str">
        <f ca="1">IFERROR(__xludf.DUMMYFUNCTION("""COMPUTED_VALUE"""),"-33.882740.-70.724845")</f>
        <v>-33.882740.-70.724845</v>
      </c>
      <c r="C8518" s="6" t="str">
        <f ca="1">IFERROR(__xludf.DUMMYFUNCTION("""COMPUTED_VALUE"""),"EL SAUCE PC 196  LOTE 21")</f>
        <v>EL SAUCE PC 196  LOTE 21</v>
      </c>
      <c r="D8518" s="6" t="str">
        <f ca="1">IFERROR(__xludf.DUMMYFUNCTION("""COMPUTED_VALUE"""),"PAINE")</f>
        <v>PAINE</v>
      </c>
    </row>
    <row r="8519" spans="1:4">
      <c r="A8519" s="7">
        <f ca="1">IFERROR(__xludf.DUMMYFUNCTION("""COMPUTED_VALUE"""),44705)</f>
        <v>44705</v>
      </c>
      <c r="B8519" s="8" t="str">
        <f ca="1">IFERROR(__xludf.DUMMYFUNCTION("""COMPUTED_VALUE"""),"-33.610744,-70.875906")</f>
        <v>-33.610744,-70.875906</v>
      </c>
      <c r="C8519" s="6" t="str">
        <f ca="1">IFERROR(__xludf.DUMMYFUNCTION("""COMPUTED_VALUE"""),"VICUÑA MACKENA 1594 A")</f>
        <v>VICUÑA MACKENA 1594 A</v>
      </c>
      <c r="D8519" s="6" t="str">
        <f ca="1">IFERROR(__xludf.DUMMYFUNCTION("""COMPUTED_VALUE"""),"PEÑAFLOR")</f>
        <v>PEÑAFLOR</v>
      </c>
    </row>
    <row r="8520" spans="1:4">
      <c r="A8520" s="7">
        <f ca="1">IFERROR(__xludf.DUMMYFUNCTION("""COMPUTED_VALUE"""),44705)</f>
        <v>44705</v>
      </c>
      <c r="B8520" s="8" t="str">
        <f ca="1">IFERROR(__xludf.DUMMYFUNCTION("""COMPUTED_VALUE"""),"-33.677593,-70.976336")</f>
        <v>-33.677593,-70.976336</v>
      </c>
      <c r="C8520" s="6" t="str">
        <f ca="1">IFERROR(__xludf.DUMMYFUNCTION("""COMPUTED_VALUE"""),"BENAVENTE 110")</f>
        <v>BENAVENTE 110</v>
      </c>
      <c r="D8520" s="6" t="str">
        <f ca="1">IFERROR(__xludf.DUMMYFUNCTION("""COMPUTED_VALUE"""),"EL MONTE")</f>
        <v>EL MONTE</v>
      </c>
    </row>
    <row r="8521" spans="1:4">
      <c r="A8521" s="7">
        <f ca="1">IFERROR(__xludf.DUMMYFUNCTION("""COMPUTED_VALUE"""),44705)</f>
        <v>44705</v>
      </c>
      <c r="B8521" s="6" t="str">
        <f ca="1">IFERROR(__xludf.DUMMYFUNCTION("""COMPUTED_VALUE"""),"-33.745772,-70.190876")</f>
        <v>-33.745772,-70.190876</v>
      </c>
      <c r="C8521" s="6" t="str">
        <f ca="1">IFERROR(__xludf.DUMMYFUNCTION("""COMPUTED_VALUE"""),"CALLE BULNES S/N")</f>
        <v>CALLE BULNES S/N</v>
      </c>
      <c r="D8521" s="6" t="str">
        <f ca="1">IFERROR(__xludf.DUMMYFUNCTION("""COMPUTED_VALUE"""),"MELIPILLA")</f>
        <v>MELIPILLA</v>
      </c>
    </row>
    <row r="8522" spans="1:4">
      <c r="A8522" s="7">
        <f ca="1">IFERROR(__xludf.DUMMYFUNCTION("""COMPUTED_VALUE"""),44705)</f>
        <v>44705</v>
      </c>
      <c r="B8522" s="6" t="str">
        <f ca="1">IFERROR(__xludf.DUMMYFUNCTION("""COMPUTED_VALUE"""),"-33.764947,-70.872808")</f>
        <v>-33.764947,-70.872808</v>
      </c>
      <c r="C8522" s="6" t="str">
        <f ca="1">IFERROR(__xludf.DUMMYFUNCTION("""COMPUTED_VALUE"""),"LA BALLICA 2793")</f>
        <v>LA BALLICA 2793</v>
      </c>
      <c r="D8522" s="6" t="str">
        <f ca="1">IFERROR(__xludf.DUMMYFUNCTION("""COMPUTED_VALUE"""),"ISLA DE MAIPO")</f>
        <v>ISLA DE MAIPO</v>
      </c>
    </row>
    <row r="8523" spans="1:4">
      <c r="A8523" s="7">
        <f ca="1">IFERROR(__xludf.DUMMYFUNCTION("""COMPUTED_VALUE"""),44705)</f>
        <v>44705</v>
      </c>
      <c r="B8523" s="6" t="str">
        <f ca="1">IFERROR(__xludf.DUMMYFUNCTION("""COMPUTED_VALUE"""),"-33.820227,-70.737570")</f>
        <v>-33.820227,-70.737570</v>
      </c>
      <c r="C8523" s="6" t="str">
        <f ca="1">IFERROR(__xludf.DUMMYFUNCTION("""COMPUTED_VALUE"""),"BUIN 1554")</f>
        <v>BUIN 1554</v>
      </c>
      <c r="D8523" s="6" t="str">
        <f ca="1">IFERROR(__xludf.DUMMYFUNCTION("""COMPUTED_VALUE"""),"PAINE")</f>
        <v>PAINE</v>
      </c>
    </row>
    <row r="8524" spans="1:4">
      <c r="A8524" s="7">
        <f ca="1">IFERROR(__xludf.DUMMYFUNCTION("""COMPUTED_VALUE"""),44706)</f>
        <v>44706</v>
      </c>
      <c r="B8524" s="8" t="str">
        <f ca="1">IFERROR(__xludf.DUMMYFUNCTION("""COMPUTED_VALUE"""),"-33.8708183, -70.8819433")</f>
        <v>-33.8708183, -70.8819433</v>
      </c>
      <c r="C8524" s="6" t="str">
        <f ca="1">IFERROR(__xludf.DUMMYFUNCTION("""COMPUTED_VALUE"""),"EL MANZANITO 22")</f>
        <v>EL MANZANITO 22</v>
      </c>
      <c r="D8524" s="6" t="str">
        <f ca="1">IFERROR(__xludf.DUMMYFUNCTION("""COMPUTED_VALUE"""),"PAINE")</f>
        <v>PAINE</v>
      </c>
    </row>
    <row r="8525" spans="1:4">
      <c r="A8525" s="7">
        <f ca="1">IFERROR(__xludf.DUMMYFUNCTION("""COMPUTED_VALUE"""),44706)</f>
        <v>44706</v>
      </c>
      <c r="B8525" s="8" t="str">
        <f ca="1">IFERROR(__xludf.DUMMYFUNCTION("""COMPUTED_VALUE"""),"-33.7856817, -70.6583323")</f>
        <v>-33.7856817, -70.6583323</v>
      </c>
      <c r="C8525" s="6" t="str">
        <f ca="1">IFERROR(__xludf.DUMMYFUNCTION("""COMPUTED_VALUE"""),"PARITA GONZALEZ 30")</f>
        <v>PARITA GONZALEZ 30</v>
      </c>
      <c r="D8525" s="6" t="str">
        <f ca="1">IFERROR(__xludf.DUMMYFUNCTION("""COMPUTED_VALUE"""),"BUIN")</f>
        <v>BUIN</v>
      </c>
    </row>
    <row r="8526" spans="1:4">
      <c r="A8526" s="7">
        <f ca="1">IFERROR(__xludf.DUMMYFUNCTION("""COMPUTED_VALUE"""),44706)</f>
        <v>44706</v>
      </c>
      <c r="B8526" s="8" t="str">
        <f ca="1">IFERROR(__xludf.DUMMYFUNCTION("""COMPUTED_VALUE"""),"-33.4173743, -71.0398474")</f>
        <v>-33.4173743, -71.0398474</v>
      </c>
      <c r="C8526" s="6" t="str">
        <f ca="1">IFERROR(__xludf.DUMMYFUNCTION("""COMPUTED_VALUE"""),"UNION SAN JOSE 33")</f>
        <v>UNION SAN JOSE 33</v>
      </c>
      <c r="D8526" s="6" t="str">
        <f ca="1">IFERROR(__xludf.DUMMYFUNCTION("""COMPUTED_VALUE"""),"CURACAVI")</f>
        <v>CURACAVI</v>
      </c>
    </row>
    <row r="8527" spans="1:4">
      <c r="A8527" s="7">
        <f ca="1">IFERROR(__xludf.DUMMYFUNCTION("""COMPUTED_VALUE"""),44706)</f>
        <v>44706</v>
      </c>
      <c r="B8527" s="8" t="str">
        <f ca="1">IFERROR(__xludf.DUMMYFUNCTION("""COMPUTED_VALUE"""),"-33.4861674, -71.0837611")</f>
        <v>-33.4861674, -71.0837611</v>
      </c>
      <c r="C8527" s="6" t="str">
        <f ca="1">IFERROR(__xludf.DUMMYFUNCTION("""COMPUTED_VALUE"""),"UNION SAN JOSE 33")</f>
        <v>UNION SAN JOSE 33</v>
      </c>
      <c r="D8527" s="6" t="str">
        <f ca="1">IFERROR(__xludf.DUMMYFUNCTION("""COMPUTED_VALUE"""),"CURACAVI")</f>
        <v>CURACAVI</v>
      </c>
    </row>
    <row r="8528" spans="1:4">
      <c r="A8528" s="7">
        <f ca="1">IFERROR(__xludf.DUMMYFUNCTION("""COMPUTED_VALUE"""),44706)</f>
        <v>44706</v>
      </c>
      <c r="B8528" s="8" t="str">
        <f ca="1">IFERROR(__xludf.DUMMYFUNCTION("""COMPUTED_VALUE"""),"-33.8252362, -70.644776")</f>
        <v>-33.8252362, -70.644776</v>
      </c>
      <c r="C8528" s="6" t="str">
        <f ca="1">IFERROR(__xludf.DUMMYFUNCTION("""COMPUTED_VALUE"""),"VICTORIA CAMPESINA PARCELA 4")</f>
        <v>VICTORIA CAMPESINA PARCELA 4</v>
      </c>
      <c r="D8528" s="6" t="str">
        <f ca="1">IFERROR(__xludf.DUMMYFUNCTION("""COMPUTED_VALUE"""),"PAINE")</f>
        <v>PAINE</v>
      </c>
    </row>
    <row r="8529" spans="1:4">
      <c r="A8529" s="7">
        <f ca="1">IFERROR(__xludf.DUMMYFUNCTION("""COMPUTED_VALUE"""),44706)</f>
        <v>44706</v>
      </c>
      <c r="B8529" s="8" t="str">
        <f ca="1">IFERROR(__xludf.DUMMYFUNCTION("""COMPUTED_VALUE"""),"-33.8252362, -70.644776")</f>
        <v>-33.8252362, -70.644776</v>
      </c>
      <c r="C8529" s="6" t="str">
        <f ca="1">IFERROR(__xludf.DUMMYFUNCTION("""COMPUTED_VALUE"""),"VICTORIA CAMPESINA PARCELA 4")</f>
        <v>VICTORIA CAMPESINA PARCELA 4</v>
      </c>
      <c r="D8529" s="6" t="str">
        <f ca="1">IFERROR(__xludf.DUMMYFUNCTION("""COMPUTED_VALUE"""),"PAINE")</f>
        <v>PAINE</v>
      </c>
    </row>
    <row r="8530" spans="1:4">
      <c r="A8530" s="7">
        <f ca="1">IFERROR(__xludf.DUMMYFUNCTION("""COMPUTED_VALUE"""),44706)</f>
        <v>44706</v>
      </c>
      <c r="B8530" s="8" t="str">
        <f ca="1">IFERROR(__xludf.DUMMYFUNCTION("""COMPUTED_VALUE"""),"-33.8708183, -70.8819433")</f>
        <v>-33.8708183, -70.8819433</v>
      </c>
      <c r="C8530" s="6" t="str">
        <f ca="1">IFERROR(__xludf.DUMMYFUNCTION("""COMPUTED_VALUE"""),"LAS LILAS 20")</f>
        <v>LAS LILAS 20</v>
      </c>
      <c r="D8530" s="6" t="str">
        <f ca="1">IFERROR(__xludf.DUMMYFUNCTION("""COMPUTED_VALUE"""),"PAINE")</f>
        <v>PAINE</v>
      </c>
    </row>
    <row r="8531" spans="1:4">
      <c r="A8531" s="7">
        <f ca="1">IFERROR(__xludf.DUMMYFUNCTION("""COMPUTED_VALUE"""),44706)</f>
        <v>44706</v>
      </c>
      <c r="B8531" s="6" t="str">
        <f ca="1">IFERROR(__xludf.DUMMYFUNCTION("""COMPUTED_VALUE"""),"-33.409047-71.141683")</f>
        <v>-33.409047-71.141683</v>
      </c>
      <c r="C8531" s="6" t="str">
        <f ca="1">IFERROR(__xludf.DUMMYFUNCTION("""COMPUTED_VALUE"""),"LO AGUILA 169")</f>
        <v>LO AGUILA 169</v>
      </c>
      <c r="D8531" s="6" t="str">
        <f ca="1">IFERROR(__xludf.DUMMYFUNCTION("""COMPUTED_VALUE"""),"CURACAVI")</f>
        <v>CURACAVI</v>
      </c>
    </row>
    <row r="8532" spans="1:4">
      <c r="A8532" s="7">
        <f ca="1">IFERROR(__xludf.DUMMYFUNCTION("""COMPUTED_VALUE"""),44706)</f>
        <v>44706</v>
      </c>
      <c r="B8532" s="6" t="str">
        <f ca="1">IFERROR(__xludf.DUMMYFUNCTION("""COMPUTED_VALUE"""),"-33.385976-71.126272")</f>
        <v>-33.385976-71.126272</v>
      </c>
      <c r="C8532" s="6" t="str">
        <f ca="1">IFERROR(__xludf.DUMMYFUNCTION("""COMPUTED_VALUE"""),"CUYUNCAVI PARC 2")</f>
        <v>CUYUNCAVI PARC 2</v>
      </c>
      <c r="D8532" s="6" t="str">
        <f ca="1">IFERROR(__xludf.DUMMYFUNCTION("""COMPUTED_VALUE"""),"CURACAVI")</f>
        <v>CURACAVI</v>
      </c>
    </row>
    <row r="8533" spans="1:4">
      <c r="A8533" s="7">
        <f ca="1">IFERROR(__xludf.DUMMYFUNCTION("""COMPUTED_VALUE"""),44706)</f>
        <v>44706</v>
      </c>
      <c r="B8533" s="6" t="str">
        <f ca="1">IFERROR(__xludf.DUMMYFUNCTION("""COMPUTED_VALUE"""),"-33.578435-70.980530")</f>
        <v>-33.578435-70.980530</v>
      </c>
      <c r="C8533" s="6" t="str">
        <f ca="1">IFERROR(__xludf.DUMMYFUNCTION("""COMPUTED_VALUE"""),"EL PIMIENTO SITIO 8")</f>
        <v>EL PIMIENTO SITIO 8</v>
      </c>
      <c r="D8533" s="6" t="str">
        <f ca="1">IFERROR(__xludf.DUMMYFUNCTION("""COMPUTED_VALUE"""),"MELIPILLA")</f>
        <v>MELIPILLA</v>
      </c>
    </row>
    <row r="8534" spans="1:4">
      <c r="A8534" s="7">
        <f ca="1">IFERROR(__xludf.DUMMYFUNCTION("""COMPUTED_VALUE"""),44706)</f>
        <v>44706</v>
      </c>
      <c r="B8534" s="6" t="str">
        <f ca="1">IFERROR(__xludf.DUMMYFUNCTION("""COMPUTED_VALUE"""),"-33.608385-70.869010")</f>
        <v>-33.608385-70.869010</v>
      </c>
      <c r="C8534" s="6" t="str">
        <f ca="1">IFERROR(__xludf.DUMMYFUNCTION("""COMPUTED_VALUE"""),"VEINTIUNO DE MAYO 1164")</f>
        <v>VEINTIUNO DE MAYO 1164</v>
      </c>
      <c r="D8534" s="6" t="str">
        <f ca="1">IFERROR(__xludf.DUMMYFUNCTION("""COMPUTED_VALUE"""),"PEÑAFLOR")</f>
        <v>PEÑAFLOR</v>
      </c>
    </row>
    <row r="8535" spans="1:4">
      <c r="A8535" s="7">
        <f ca="1">IFERROR(__xludf.DUMMYFUNCTION("""COMPUTED_VALUE"""),44706)</f>
        <v>44706</v>
      </c>
      <c r="B8535" s="6" t="str">
        <f ca="1">IFERROR(__xludf.DUMMYFUNCTION("""COMPUTED_VALUE"""),"-33.600415-70.872570")</f>
        <v>-33.600415-70.872570</v>
      </c>
      <c r="C8535" s="6" t="str">
        <f ca="1">IFERROR(__xludf.DUMMYFUNCTION("""COMPUTED_VALUE"""),"JUAN FRANCISCO GONZALEZ 1975")</f>
        <v>JUAN FRANCISCO GONZALEZ 1975</v>
      </c>
      <c r="D8535" s="6" t="str">
        <f ca="1">IFERROR(__xludf.DUMMYFUNCTION("""COMPUTED_VALUE"""),"PEÑAFLOR")</f>
        <v>PEÑAFLOR</v>
      </c>
    </row>
    <row r="8536" spans="1:4">
      <c r="A8536" s="7">
        <f ca="1">IFERROR(__xludf.DUMMYFUNCTION("""COMPUTED_VALUE"""),44706)</f>
        <v>44706</v>
      </c>
      <c r="B8536" s="6" t="str">
        <f ca="1">IFERROR(__xludf.DUMMYFUNCTION("""COMPUTED_VALUE"""),"-33.829595-70.774630")</f>
        <v>-33.829595-70.774630</v>
      </c>
      <c r="C8536" s="6" t="str">
        <f ca="1">IFERROR(__xludf.DUMMYFUNCTION("""COMPUTED_VALUE"""),"JUAN ANTONIO RIOS S/N")</f>
        <v>JUAN ANTONIO RIOS S/N</v>
      </c>
      <c r="D8536" s="6" t="str">
        <f ca="1">IFERROR(__xludf.DUMMYFUNCTION("""COMPUTED_VALUE"""),"PAINE")</f>
        <v>PAINE</v>
      </c>
    </row>
    <row r="8537" spans="1:4">
      <c r="A8537" s="7">
        <f ca="1">IFERROR(__xludf.DUMMYFUNCTION("""COMPUTED_VALUE"""),44706)</f>
        <v>44706</v>
      </c>
      <c r="B8537" s="6" t="str">
        <f ca="1">IFERROR(__xludf.DUMMYFUNCTION("""COMPUTED_VALUE"""),"-33.809272-70.728864")</f>
        <v>-33.809272-70.728864</v>
      </c>
      <c r="C8537" s="6" t="str">
        <f ca="1">IFERROR(__xludf.DUMMYFUNCTION("""COMPUTED_VALUE"""),"CALLE CORONEL 980")</f>
        <v>CALLE CORONEL 980</v>
      </c>
      <c r="D8537" s="6" t="str">
        <f ca="1">IFERROR(__xludf.DUMMYFUNCTION("""COMPUTED_VALUE"""),"PAINE")</f>
        <v>PAINE</v>
      </c>
    </row>
    <row r="8538" spans="1:4">
      <c r="A8538" s="7">
        <f ca="1">IFERROR(__xludf.DUMMYFUNCTION("""COMPUTED_VALUE"""),44706)</f>
        <v>44706</v>
      </c>
      <c r="B8538" s="6" t="str">
        <f ca="1">IFERROR(__xludf.DUMMYFUNCTION("""COMPUTED_VALUE"""),"-33.699245-70.331080")</f>
        <v>-33.699245-70.331080</v>
      </c>
      <c r="C8538" s="6" t="str">
        <f ca="1">IFERROR(__xludf.DUMMYFUNCTION("""COMPUTED_VALUE"""),"LOS ALAMOS 216")</f>
        <v>LOS ALAMOS 216</v>
      </c>
      <c r="D8538" s="6" t="str">
        <f ca="1">IFERROR(__xludf.DUMMYFUNCTION("""COMPUTED_VALUE"""),"SAN JOSE DE MAIPO")</f>
        <v>SAN JOSE DE MAIPO</v>
      </c>
    </row>
    <row r="8539" spans="1:4">
      <c r="A8539" s="7">
        <f ca="1">IFERROR(__xludf.DUMMYFUNCTION("""COMPUTED_VALUE"""),44706)</f>
        <v>44706</v>
      </c>
      <c r="B8539" s="6" t="str">
        <f ca="1">IFERROR(__xludf.DUMMYFUNCTION("""COMPUTED_VALUE"""),"-33.7271-70.7729")</f>
        <v>-33.7271-70.7729</v>
      </c>
      <c r="C8539" s="6" t="str">
        <f ca="1">IFERROR(__xludf.DUMMYFUNCTION("""COMPUTED_VALUE"""),"LLAIMA 394")</f>
        <v>LLAIMA 394</v>
      </c>
      <c r="D8539" s="6" t="str">
        <f ca="1">IFERROR(__xludf.DUMMYFUNCTION("""COMPUTED_VALUE"""),"BUIN")</f>
        <v>BUIN</v>
      </c>
    </row>
    <row r="8540" spans="1:4">
      <c r="A8540" s="7">
        <f ca="1">IFERROR(__xludf.DUMMYFUNCTION("""COMPUTED_VALUE"""),44706)</f>
        <v>44706</v>
      </c>
      <c r="B8540" s="6" t="str">
        <f ca="1">IFERROR(__xludf.DUMMYFUNCTION("""COMPUTED_VALUE"""),"-33.7270-70.7731")</f>
        <v>-33.7270-70.7731</v>
      </c>
      <c r="C8540" s="6" t="str">
        <f ca="1">IFERROR(__xludf.DUMMYFUNCTION("""COMPUTED_VALUE"""),"LLAIMA 390")</f>
        <v>LLAIMA 390</v>
      </c>
      <c r="D8540" s="6" t="str">
        <f ca="1">IFERROR(__xludf.DUMMYFUNCTION("""COMPUTED_VALUE"""),"BUIN")</f>
        <v>BUIN</v>
      </c>
    </row>
    <row r="8541" spans="1:4">
      <c r="A8541" s="7">
        <f ca="1">IFERROR(__xludf.DUMMYFUNCTION("""COMPUTED_VALUE"""),44706)</f>
        <v>44706</v>
      </c>
      <c r="B8541" s="6" t="str">
        <f ca="1">IFERROR(__xludf.DUMMYFUNCTION("""COMPUTED_VALUE"""),"-33.816835-70.738249")</f>
        <v>-33.816835-70.738249</v>
      </c>
      <c r="C8541" s="6" t="str">
        <f ca="1">IFERROR(__xludf.DUMMYFUNCTION("""COMPUTED_VALUE"""),"FRANCISCO DE AGUIRRE 216")</f>
        <v>FRANCISCO DE AGUIRRE 216</v>
      </c>
      <c r="D8541" s="6" t="str">
        <f ca="1">IFERROR(__xludf.DUMMYFUNCTION("""COMPUTED_VALUE"""),"PAINE")</f>
        <v>PAINE</v>
      </c>
    </row>
    <row r="8542" spans="1:4">
      <c r="A8542" s="7">
        <f ca="1">IFERROR(__xludf.DUMMYFUNCTION("""COMPUTED_VALUE"""),44706)</f>
        <v>44706</v>
      </c>
      <c r="B8542" s="6" t="str">
        <f ca="1">IFERROR(__xludf.DUMMYFUNCTION("""COMPUTED_VALUE"""),"-33.803746-70.731653")</f>
        <v>-33.803746-70.731653</v>
      </c>
      <c r="C8542" s="6" t="str">
        <f ca="1">IFERROR(__xludf.DUMMYFUNCTION("""COMPUTED_VALUE"""),"JUAN NUÑEZ VARGAS 39")</f>
        <v>JUAN NUÑEZ VARGAS 39</v>
      </c>
      <c r="D8542" s="6" t="str">
        <f ca="1">IFERROR(__xludf.DUMMYFUNCTION("""COMPUTED_VALUE"""),"PAINE")</f>
        <v>PAINE</v>
      </c>
    </row>
    <row r="8543" spans="1:4">
      <c r="A8543" s="7">
        <f ca="1">IFERROR(__xludf.DUMMYFUNCTION("""COMPUTED_VALUE"""),44706)</f>
        <v>44706</v>
      </c>
      <c r="B8543" s="6" t="str">
        <f ca="1">IFERROR(__xludf.DUMMYFUNCTION("""COMPUTED_VALUE"""),"-33.781856-70.789847")</f>
        <v>-33.781856-70.789847</v>
      </c>
      <c r="C8543" s="6" t="str">
        <f ca="1">IFERROR(__xludf.DUMMYFUNCTION("""COMPUTED_VALUE"""),"SAN ANDRES 24")</f>
        <v>SAN ANDRES 24</v>
      </c>
      <c r="D8543" s="6" t="str">
        <f ca="1">IFERROR(__xludf.DUMMYFUNCTION("""COMPUTED_VALUE"""),"PAINE")</f>
        <v>PAINE</v>
      </c>
    </row>
    <row r="8544" spans="1:4">
      <c r="A8544" s="7">
        <f ca="1">IFERROR(__xludf.DUMMYFUNCTION("""COMPUTED_VALUE"""),44706)</f>
        <v>44706</v>
      </c>
      <c r="B8544" s="6" t="str">
        <f ca="1">IFERROR(__xludf.DUMMYFUNCTION("""COMPUTED_VALUE"""),"-33.394072-71.123260")</f>
        <v>-33.394072-71.123260</v>
      </c>
      <c r="C8544" s="6" t="str">
        <f ca="1">IFERROR(__xludf.DUMMYFUNCTION("""COMPUTED_VALUE"""),"JAVIERA CARRERA 2173")</f>
        <v>JAVIERA CARRERA 2173</v>
      </c>
      <c r="D8544" s="6" t="str">
        <f ca="1">IFERROR(__xludf.DUMMYFUNCTION("""COMPUTED_VALUE"""),"CURACAVI")</f>
        <v>CURACAVI</v>
      </c>
    </row>
    <row r="8545" spans="1:4">
      <c r="A8545" s="7">
        <f ca="1">IFERROR(__xludf.DUMMYFUNCTION("""COMPUTED_VALUE"""),44706)</f>
        <v>44706</v>
      </c>
      <c r="B8545" s="6" t="str">
        <f ca="1">IFERROR(__xludf.DUMMYFUNCTION("""COMPUTED_VALUE"""),"-33.400929-71.060986")</f>
        <v>-33.400929-71.060986</v>
      </c>
      <c r="C8545" s="6" t="str">
        <f ca="1">IFERROR(__xludf.DUMMYFUNCTION("""COMPUTED_VALUE"""),"UNION MIRAFLORES 2")</f>
        <v>UNION MIRAFLORES 2</v>
      </c>
      <c r="D8545" s="6" t="str">
        <f ca="1">IFERROR(__xludf.DUMMYFUNCTION("""COMPUTED_VALUE"""),"CURACAVI")</f>
        <v>CURACAVI</v>
      </c>
    </row>
    <row r="8546" spans="1:4">
      <c r="A8546" s="7">
        <f ca="1">IFERROR(__xludf.DUMMYFUNCTION("""COMPUTED_VALUE"""),44706)</f>
        <v>44706</v>
      </c>
      <c r="B8546" s="6" t="str">
        <f ca="1">IFERROR(__xludf.DUMMYFUNCTION("""COMPUTED_VALUE"""),"-33.851670-70.943005")</f>
        <v>-33.851670-70.943005</v>
      </c>
      <c r="C8546" s="6" t="str">
        <f ca="1">IFERROR(__xludf.DUMMYFUNCTION("""COMPUTED_VALUE"""),"RESERVA CORA 41 LOTE 3")</f>
        <v>RESERVA CORA 41 LOTE 3</v>
      </c>
      <c r="D8546" s="6" t="str">
        <f ca="1">IFERROR(__xludf.DUMMYFUNCTION("""COMPUTED_VALUE"""),"PAINE")</f>
        <v>PAINE</v>
      </c>
    </row>
    <row r="8547" spans="1:4">
      <c r="A8547" s="7">
        <f ca="1">IFERROR(__xludf.DUMMYFUNCTION("""COMPUTED_VALUE"""),44706)</f>
        <v>44706</v>
      </c>
      <c r="B8547" s="6" t="str">
        <f ca="1">IFERROR(__xludf.DUMMYFUNCTION("""COMPUTED_VALUE"""),"-33.854803-70.837738")</f>
        <v>-33.854803-70.837738</v>
      </c>
      <c r="C8547" s="6" t="str">
        <f ca="1">IFERROR(__xludf.DUMMYFUNCTION("""COMPUTED_VALUE"""),"AV. MANUEL LETELIER  LOTE 1")</f>
        <v>AV. MANUEL LETELIER  LOTE 1</v>
      </c>
      <c r="D8547" s="6" t="str">
        <f ca="1">IFERROR(__xludf.DUMMYFUNCTION("""COMPUTED_VALUE"""),"PAINE")</f>
        <v>PAINE</v>
      </c>
    </row>
    <row r="8548" spans="1:4">
      <c r="A8548" s="7">
        <f ca="1">IFERROR(__xludf.DUMMYFUNCTION("""COMPUTED_VALUE"""),44706)</f>
        <v>44706</v>
      </c>
      <c r="B8548" s="6" t="str">
        <f ca="1">IFERROR(__xludf.DUMMYFUNCTION("""COMPUTED_VALUE"""),"-33.803731-70.733271")</f>
        <v>-33.803731-70.733271</v>
      </c>
      <c r="C8548" s="6" t="str">
        <f ca="1">IFERROR(__xludf.DUMMYFUNCTION("""COMPUTED_VALUE"""),"PJE EL MAITEN 31")</f>
        <v>PJE EL MAITEN 31</v>
      </c>
      <c r="D8548" s="6" t="str">
        <f ca="1">IFERROR(__xludf.DUMMYFUNCTION("""COMPUTED_VALUE"""),"PAINE")</f>
        <v>PAINE</v>
      </c>
    </row>
    <row r="8549" spans="1:4">
      <c r="A8549" s="7">
        <f ca="1">IFERROR(__xludf.DUMMYFUNCTION("""COMPUTED_VALUE"""),44706)</f>
        <v>44706</v>
      </c>
      <c r="B8549" s="6" t="str">
        <f ca="1">IFERROR(__xludf.DUMMYFUNCTION("""COMPUTED_VALUE"""),"-33.8631423-70.7428061")</f>
        <v>-33.8631423-70.7428061</v>
      </c>
      <c r="C8549" s="6" t="str">
        <f ca="1">IFERROR(__xludf.DUMMYFUNCTION("""COMPUTED_VALUE"""),"COLONIA KENNEDY PARC 133")</f>
        <v>COLONIA KENNEDY PARC 133</v>
      </c>
      <c r="D8549" s="6" t="str">
        <f ca="1">IFERROR(__xludf.DUMMYFUNCTION("""COMPUTED_VALUE"""),"PAINE")</f>
        <v>PAINE</v>
      </c>
    </row>
    <row r="8550" spans="1:4">
      <c r="A8550" s="7">
        <f ca="1">IFERROR(__xludf.DUMMYFUNCTION("""COMPUTED_VALUE"""),44706)</f>
        <v>44706</v>
      </c>
      <c r="B8550" s="6" t="str">
        <f ca="1">IFERROR(__xludf.DUMMYFUNCTION("""COMPUTED_VALUE"""),"-33.8214558-70.7363689")</f>
        <v>-33.8214558-70.7363689</v>
      </c>
      <c r="C8550" s="6" t="str">
        <f ca="1">IFERROR(__xludf.DUMMYFUNCTION("""COMPUTED_VALUE"""),"PJE CERRO EL PLOMO 1617")</f>
        <v>PJE CERRO EL PLOMO 1617</v>
      </c>
      <c r="D8550" s="6" t="str">
        <f ca="1">IFERROR(__xludf.DUMMYFUNCTION("""COMPUTED_VALUE"""),"PAINE")</f>
        <v>PAINE</v>
      </c>
    </row>
    <row r="8551" spans="1:4">
      <c r="A8551" s="7">
        <f ca="1">IFERROR(__xludf.DUMMYFUNCTION("""COMPUTED_VALUE"""),44706)</f>
        <v>44706</v>
      </c>
      <c r="B8551" s="6" t="str">
        <f ca="1">IFERROR(__xludf.DUMMYFUNCTION("""COMPUTED_VALUE"""),"-33.8050671-70.7279474")</f>
        <v>-33.8050671-70.7279474</v>
      </c>
      <c r="C8551" s="6" t="str">
        <f ca="1">IFERROR(__xludf.DUMMYFUNCTION("""COMPUTED_VALUE"""),"PJE QUILLEN 765")</f>
        <v>PJE QUILLEN 765</v>
      </c>
      <c r="D8551" s="6" t="str">
        <f ca="1">IFERROR(__xludf.DUMMYFUNCTION("""COMPUTED_VALUE"""),"PAINE")</f>
        <v>PAINE</v>
      </c>
    </row>
    <row r="8552" spans="1:4">
      <c r="A8552" s="7">
        <f ca="1">IFERROR(__xludf.DUMMYFUNCTION("""COMPUTED_VALUE"""),44706)</f>
        <v>44706</v>
      </c>
      <c r="B8552" s="6" t="str">
        <f ca="1">IFERROR(__xludf.DUMMYFUNCTION("""COMPUTED_VALUE"""),"-33.411943-71.150312")</f>
        <v>-33.411943-71.150312</v>
      </c>
      <c r="C8552" s="6" t="str">
        <f ca="1">IFERROR(__xludf.DUMMYFUNCTION("""COMPUTED_VALUE"""),"AV. OHIGGINS 128 A")</f>
        <v>AV. OHIGGINS 128 A</v>
      </c>
      <c r="D8552" s="6" t="str">
        <f ca="1">IFERROR(__xludf.DUMMYFUNCTION("""COMPUTED_VALUE"""),"CURACAVI")</f>
        <v>CURACAVI</v>
      </c>
    </row>
    <row r="8553" spans="1:4">
      <c r="A8553" s="7">
        <f ca="1">IFERROR(__xludf.DUMMYFUNCTION("""COMPUTED_VALUE"""),44706)</f>
        <v>44706</v>
      </c>
      <c r="B8553" s="6" t="str">
        <f ca="1">IFERROR(__xludf.DUMMYFUNCTION("""COMPUTED_VALUE"""),"-33.608775-70.868870")</f>
        <v>-33.608775-70.868870</v>
      </c>
      <c r="C8553" s="6" t="str">
        <f ca="1">IFERROR(__xludf.DUMMYFUNCTION("""COMPUTED_VALUE"""),"BARTOLOME MURILLO 1132")</f>
        <v>BARTOLOME MURILLO 1132</v>
      </c>
      <c r="D8553" s="6" t="str">
        <f ca="1">IFERROR(__xludf.DUMMYFUNCTION("""COMPUTED_VALUE"""),"PEÑAFLOR")</f>
        <v>PEÑAFLOR</v>
      </c>
    </row>
    <row r="8554" spans="1:4">
      <c r="A8554" s="7">
        <f ca="1">IFERROR(__xludf.DUMMYFUNCTION("""COMPUTED_VALUE"""),44706)</f>
        <v>44706</v>
      </c>
      <c r="B8554" s="8" t="str">
        <f ca="1">IFERROR(__xludf.DUMMYFUNCTION("""COMPUTED_VALUE"""),"-33.7090336,-70.5377881")</f>
        <v>-33.7090336,-70.5377881</v>
      </c>
      <c r="C8554" s="6" t="str">
        <f ca="1">IFERROR(__xludf.DUMMYFUNCTION("""COMPUTED_VALUE"""),"CORILLO 166 A")</f>
        <v>CORILLO 166 A</v>
      </c>
      <c r="D8554" s="6" t="str">
        <f ca="1">IFERROR(__xludf.DUMMYFUNCTION("""COMPUTED_VALUE"""),"PIRQUE")</f>
        <v>PIRQUE</v>
      </c>
    </row>
    <row r="8555" spans="1:4">
      <c r="A8555" s="7">
        <f ca="1">IFERROR(__xludf.DUMMYFUNCTION("""COMPUTED_VALUE"""),44706)</f>
        <v>44706</v>
      </c>
      <c r="B8555" s="8" t="str">
        <f ca="1">IFERROR(__xludf.DUMMYFUNCTION("""COMPUTED_VALUE"""),"-33.651707,-70.5717041")</f>
        <v>-33.651707,-70.5717041</v>
      </c>
      <c r="C8555" s="6" t="str">
        <f ca="1">IFERROR(__xludf.DUMMYFUNCTION("""COMPUTED_VALUE"""),"CALLE GABRIELA MISTRAL 127")</f>
        <v>CALLE GABRIELA MISTRAL 127</v>
      </c>
      <c r="D8555" s="6" t="str">
        <f ca="1">IFERROR(__xludf.DUMMYFUNCTION("""COMPUTED_VALUE"""),"PIRQUE")</f>
        <v>PIRQUE</v>
      </c>
    </row>
    <row r="8556" spans="1:4">
      <c r="A8556" s="7">
        <f ca="1">IFERROR(__xludf.DUMMYFUNCTION("""COMPUTED_VALUE"""),44706)</f>
        <v>44706</v>
      </c>
      <c r="B8556" s="6" t="str">
        <f ca="1">IFERROR(__xludf.DUMMYFUNCTION("""COMPUTED_VALUE"""),"-33.733157,-70.763015")</f>
        <v>-33.733157,-70.763015</v>
      </c>
      <c r="C8556" s="6" t="str">
        <f ca="1">IFERROR(__xludf.DUMMYFUNCTION("""COMPUTED_VALUE"""),"ESTEBAN HUERTA 2128")</f>
        <v>ESTEBAN HUERTA 2128</v>
      </c>
      <c r="D8556" s="6" t="str">
        <f ca="1">IFERROR(__xludf.DUMMYFUNCTION("""COMPUTED_VALUE"""),"BUIN")</f>
        <v>BUIN</v>
      </c>
    </row>
    <row r="8557" spans="1:4">
      <c r="A8557" s="7">
        <f ca="1">IFERROR(__xludf.DUMMYFUNCTION("""COMPUTED_VALUE"""),44706)</f>
        <v>44706</v>
      </c>
      <c r="B8557" s="6" t="str">
        <f ca="1">IFERROR(__xludf.DUMMYFUNCTION("""COMPUTED_VALUE"""),"-33.862868,-70.752684")</f>
        <v>-33.862868,-70.752684</v>
      </c>
      <c r="C8557" s="6" t="str">
        <f ca="1">IFERROR(__xludf.DUMMYFUNCTION("""COMPUTED_VALUE"""),"LOS AROMOS HUERTA COS LOTE 5")</f>
        <v>LOS AROMOS HUERTA COS LOTE 5</v>
      </c>
      <c r="D8557" s="6" t="str">
        <f ca="1">IFERROR(__xludf.DUMMYFUNCTION("""COMPUTED_VALUE"""),"PAINE")</f>
        <v>PAINE</v>
      </c>
    </row>
    <row r="8558" spans="1:4">
      <c r="A8558" s="7">
        <f ca="1">IFERROR(__xludf.DUMMYFUNCTION("""COMPUTED_VALUE"""),44706)</f>
        <v>44706</v>
      </c>
      <c r="B8558" s="6" t="str">
        <f ca="1">IFERROR(__xludf.DUMMYFUNCTION("""COMPUTED_VALUE"""),"-33.862624,-70.752758")</f>
        <v>-33.862624,-70.752758</v>
      </c>
      <c r="C8558" s="6" t="str">
        <f ca="1">IFERROR(__xludf.DUMMYFUNCTION("""COMPUTED_VALUE"""),"LOS AROMOS HUERTA COS LOTE 5")</f>
        <v>LOS AROMOS HUERTA COS LOTE 5</v>
      </c>
      <c r="D8558" s="6" t="str">
        <f ca="1">IFERROR(__xludf.DUMMYFUNCTION("""COMPUTED_VALUE"""),"PAINE")</f>
        <v>PAINE</v>
      </c>
    </row>
    <row r="8559" spans="1:4">
      <c r="A8559" s="7">
        <f ca="1">IFERROR(__xludf.DUMMYFUNCTION("""COMPUTED_VALUE"""),44706)</f>
        <v>44706</v>
      </c>
      <c r="B8559" s="8" t="str">
        <f ca="1">IFERROR(__xludf.DUMMYFUNCTION("""COMPUTED_VALUE"""),"-33.734177,-70.905766")</f>
        <v>-33.734177,-70.905766</v>
      </c>
      <c r="C8559" s="6" t="str">
        <f ca="1">IFERROR(__xludf.DUMMYFUNCTION("""COMPUTED_VALUE"""),"LO PEREZ 680")</f>
        <v>LO PEREZ 680</v>
      </c>
      <c r="D8559" s="6" t="str">
        <f ca="1">IFERROR(__xludf.DUMMYFUNCTION("""COMPUTED_VALUE"""),"ISLA DE MAIPO")</f>
        <v>ISLA DE MAIPO</v>
      </c>
    </row>
    <row r="8560" spans="1:4">
      <c r="A8560" s="7">
        <f ca="1">IFERROR(__xludf.DUMMYFUNCTION("""COMPUTED_VALUE"""),44706)</f>
        <v>44706</v>
      </c>
      <c r="B8560" s="8" t="str">
        <f ca="1">IFERROR(__xludf.DUMMYFUNCTION("""COMPUTED_VALUE"""),"-33.739514,-70.907712")</f>
        <v>-33.739514,-70.907712</v>
      </c>
      <c r="C8560" s="6" t="str">
        <f ca="1">IFERROR(__xludf.DUMMYFUNCTION("""COMPUTED_VALUE"""),"AV JAIME GUZMAN 1574")</f>
        <v>AV JAIME GUZMAN 1574</v>
      </c>
      <c r="D8560" s="6" t="str">
        <f ca="1">IFERROR(__xludf.DUMMYFUNCTION("""COMPUTED_VALUE"""),"ISLA DE MAIPO")</f>
        <v>ISLA DE MAIPO</v>
      </c>
    </row>
    <row r="8561" spans="1:4">
      <c r="A8561" s="7">
        <f ca="1">IFERROR(__xludf.DUMMYFUNCTION("""COMPUTED_VALUE"""),44706)</f>
        <v>44706</v>
      </c>
      <c r="B8561" s="8" t="str">
        <f ca="1">IFERROR(__xludf.DUMMYFUNCTION("""COMPUTED_VALUE"""),"-33.258428,-70.782541")</f>
        <v>-33.258428,-70.782541</v>
      </c>
      <c r="C8561" s="6" t="str">
        <f ca="1">IFERROR(__xludf.DUMMYFUNCTION("""COMPUTED_VALUE"""),"SANTA ROSA 3040")</f>
        <v>SANTA ROSA 3040</v>
      </c>
      <c r="D8561" s="6" t="str">
        <f ca="1">IFERROR(__xludf.DUMMYFUNCTION("""COMPUTED_VALUE"""),"LAMPA")</f>
        <v>LAMPA</v>
      </c>
    </row>
    <row r="8562" spans="1:4">
      <c r="A8562" s="7">
        <f ca="1">IFERROR(__xludf.DUMMYFUNCTION("""COMPUTED_VALUE"""),44706)</f>
        <v>44706</v>
      </c>
      <c r="B8562" s="6" t="str">
        <f ca="1">IFERROR(__xludf.DUMMYFUNCTION("""COMPUTED_VALUE"""),"-33.807221,-70.851765")</f>
        <v>-33.807221,-70.851765</v>
      </c>
      <c r="C8562" s="6" t="str">
        <f ca="1">IFERROR(__xludf.DUMMYFUNCTION("""COMPUTED_VALUE"""),"LAS LILAS 14 ")</f>
        <v xml:space="preserve">LAS LILAS 14 </v>
      </c>
      <c r="D8562" s="6" t="str">
        <f ca="1">IFERROR(__xludf.DUMMYFUNCTION("""COMPUTED_VALUE"""),"BUIN")</f>
        <v>BUIN</v>
      </c>
    </row>
    <row r="8563" spans="1:4">
      <c r="A8563" s="7">
        <f ca="1">IFERROR(__xludf.DUMMYFUNCTION("""COMPUTED_VALUE"""),44706)</f>
        <v>44706</v>
      </c>
      <c r="B8563" s="6" t="str">
        <f ca="1">IFERROR(__xludf.DUMMYFUNCTION("""COMPUTED_VALUE"""),"-33.812300,-70.730684")</f>
        <v>-33.812300,-70.730684</v>
      </c>
      <c r="C8563" s="6" t="str">
        <f ca="1">IFERROR(__xludf.DUMMYFUNCTION("""COMPUTED_VALUE"""),"ANELEY 776")</f>
        <v>ANELEY 776</v>
      </c>
      <c r="D8563" s="6" t="str">
        <f ca="1">IFERROR(__xludf.DUMMYFUNCTION("""COMPUTED_VALUE"""),"PAINE")</f>
        <v>PAINE</v>
      </c>
    </row>
    <row r="8564" spans="1:4">
      <c r="A8564" s="7">
        <f ca="1">IFERROR(__xludf.DUMMYFUNCTION("""COMPUTED_VALUE"""),44706)</f>
        <v>44706</v>
      </c>
      <c r="B8564" s="6" t="str">
        <f ca="1">IFERROR(__xludf.DUMMYFUNCTION("""COMPUTED_VALUE"""),"-33.804883,-70.738082")</f>
        <v>-33.804883,-70.738082</v>
      </c>
      <c r="C8564" s="6" t="str">
        <f ca="1">IFERROR(__xludf.DUMMYFUNCTION("""COMPUTED_VALUE"""),"PJE CINCO 76")</f>
        <v>PJE CINCO 76</v>
      </c>
      <c r="D8564" s="6" t="str">
        <f ca="1">IFERROR(__xludf.DUMMYFUNCTION("""COMPUTED_VALUE"""),"PAINE")</f>
        <v>PAINE</v>
      </c>
    </row>
    <row r="8565" spans="1:4">
      <c r="A8565" s="7">
        <f ca="1">IFERROR(__xludf.DUMMYFUNCTION("""COMPUTED_VALUE"""),44706)</f>
        <v>44706</v>
      </c>
      <c r="B8565" s="6" t="str">
        <f ca="1">IFERROR(__xludf.DUMMYFUNCTION("""COMPUTED_VALUE"""),"-33.889979,-70.723251")</f>
        <v>-33.889979,-70.723251</v>
      </c>
      <c r="C8565" s="6" t="str">
        <f ca="1">IFERROR(__xludf.DUMMYFUNCTION("""COMPUTED_VALUE"""),"CAM. MEDIA LUNA 176A")</f>
        <v>CAM. MEDIA LUNA 176A</v>
      </c>
      <c r="D8565" s="6" t="str">
        <f ca="1">IFERROR(__xludf.DUMMYFUNCTION("""COMPUTED_VALUE"""),"PAINE")</f>
        <v>PAINE</v>
      </c>
    </row>
    <row r="8566" spans="1:4">
      <c r="A8566" s="7">
        <f ca="1">IFERROR(__xludf.DUMMYFUNCTION("""COMPUTED_VALUE"""),44706)</f>
        <v>44706</v>
      </c>
      <c r="B8566" s="6" t="str">
        <f ca="1">IFERROR(__xludf.DUMMYFUNCTION("""COMPUTED_VALUE"""),"-33.814035,-70.736237")</f>
        <v>-33.814035,-70.736237</v>
      </c>
      <c r="C8566" s="6" t="str">
        <f ca="1">IFERROR(__xludf.DUMMYFUNCTION("""COMPUTED_VALUE"""),"BUIN 983")</f>
        <v>BUIN 983</v>
      </c>
      <c r="D8566" s="6" t="str">
        <f ca="1">IFERROR(__xludf.DUMMYFUNCTION("""COMPUTED_VALUE"""),"PAINE")</f>
        <v>PAINE</v>
      </c>
    </row>
    <row r="8567" spans="1:4">
      <c r="A8567" s="7">
        <f ca="1">IFERROR(__xludf.DUMMYFUNCTION("""COMPUTED_VALUE"""),44707)</f>
        <v>44707</v>
      </c>
      <c r="B8567" s="8" t="str">
        <f ca="1">IFERROR(__xludf.DUMMYFUNCTION("""COMPUTED_VALUE"""),"-33.8542268, -70.7630531")</f>
        <v>-33.8542268, -70.7630531</v>
      </c>
      <c r="C8567" s="6" t="str">
        <f ca="1">IFERROR(__xludf.DUMMYFUNCTION("""COMPUTED_VALUE"""),"HENNEUS 460")</f>
        <v>HENNEUS 460</v>
      </c>
      <c r="D8567" s="6" t="str">
        <f ca="1">IFERROR(__xludf.DUMMYFUNCTION("""COMPUTED_VALUE"""),"PAINE")</f>
        <v>PAINE</v>
      </c>
    </row>
    <row r="8568" spans="1:4">
      <c r="A8568" s="7">
        <f ca="1">IFERROR(__xludf.DUMMYFUNCTION("""COMPUTED_VALUE"""),44707)</f>
        <v>44707</v>
      </c>
      <c r="B8568" s="8" t="str">
        <f ca="1">IFERROR(__xludf.DUMMYFUNCTION("""COMPUTED_VALUE"""),"-33.8731785, -70.7151125")</f>
        <v>-33.8731785, -70.7151125</v>
      </c>
      <c r="C8568" s="6" t="str">
        <f ca="1">IFERROR(__xludf.DUMMYFUNCTION("""COMPUTED_VALUE"""),"CAMINO CHADA 96")</f>
        <v>CAMINO CHADA 96</v>
      </c>
      <c r="D8568" s="6" t="str">
        <f ca="1">IFERROR(__xludf.DUMMYFUNCTION("""COMPUTED_VALUE"""),"PAINE")</f>
        <v>PAINE</v>
      </c>
    </row>
    <row r="8569" spans="1:4">
      <c r="A8569" s="7">
        <f ca="1">IFERROR(__xludf.DUMMYFUNCTION("""COMPUTED_VALUE"""),44707)</f>
        <v>44707</v>
      </c>
      <c r="B8569" s="8" t="str">
        <f ca="1">IFERROR(__xludf.DUMMYFUNCTION("""COMPUTED_VALUE"""),"-33.7856817, -70.6583323")</f>
        <v>-33.7856817, -70.6583323</v>
      </c>
      <c r="C8569" s="6" t="str">
        <f ca="1">IFERROR(__xludf.DUMMYFUNCTION("""COMPUTED_VALUE"""),"LA ENTACILLA 1961")</f>
        <v>LA ENTACILLA 1961</v>
      </c>
      <c r="D8569" s="6" t="str">
        <f ca="1">IFERROR(__xludf.DUMMYFUNCTION("""COMPUTED_VALUE"""),"BUIN")</f>
        <v>BUIN</v>
      </c>
    </row>
    <row r="8570" spans="1:4">
      <c r="A8570" s="7">
        <f ca="1">IFERROR(__xludf.DUMMYFUNCTION("""COMPUTED_VALUE"""),44707)</f>
        <v>44707</v>
      </c>
      <c r="B8570" s="8" t="str">
        <f ca="1">IFERROR(__xludf.DUMMYFUNCTION("""COMPUTED_VALUE"""),"-33.8057933, -70.73229")</f>
        <v>-33.8057933, -70.73229</v>
      </c>
      <c r="C8570" s="6" t="str">
        <f ca="1">IFERROR(__xludf.DUMMYFUNCTION("""COMPUTED_VALUE"""),"LOS QUILATES 177")</f>
        <v>LOS QUILATES 177</v>
      </c>
      <c r="D8570" s="6" t="str">
        <f ca="1">IFERROR(__xludf.DUMMYFUNCTION("""COMPUTED_VALUE"""),"PAINE")</f>
        <v>PAINE</v>
      </c>
    </row>
    <row r="8571" spans="1:4">
      <c r="A8571" s="7">
        <f ca="1">IFERROR(__xludf.DUMMYFUNCTION("""COMPUTED_VALUE"""),44707)</f>
        <v>44707</v>
      </c>
      <c r="B8571" s="8" t="str">
        <f ca="1">IFERROR(__xludf.DUMMYFUNCTION("""COMPUTED_VALUE"""),"-33.7429876, -70.8988448")</f>
        <v>-33.7429876, -70.8988448</v>
      </c>
      <c r="C8571" s="6" t="str">
        <f ca="1">IFERROR(__xludf.DUMMYFUNCTION("""COMPUTED_VALUE"""),"SANTA LAURA 316")</f>
        <v>SANTA LAURA 316</v>
      </c>
      <c r="D8571" s="6" t="str">
        <f ca="1">IFERROR(__xludf.DUMMYFUNCTION("""COMPUTED_VALUE"""),"ISLA DE MAIPO")</f>
        <v>ISLA DE MAIPO</v>
      </c>
    </row>
    <row r="8572" spans="1:4">
      <c r="A8572" s="7">
        <f ca="1">IFERROR(__xludf.DUMMYFUNCTION("""COMPUTED_VALUE"""),44707)</f>
        <v>44707</v>
      </c>
      <c r="B8572" s="8" t="str">
        <f ca="1">IFERROR(__xludf.DUMMYFUNCTION("""COMPUTED_VALUE"""),"-33.7430651, -70.8985461")</f>
        <v>-33.7430651, -70.8985461</v>
      </c>
      <c r="C8572" s="6" t="str">
        <f ca="1">IFERROR(__xludf.DUMMYFUNCTION("""COMPUTED_VALUE"""),"SANTA LAURA 284")</f>
        <v>SANTA LAURA 284</v>
      </c>
      <c r="D8572" s="6" t="str">
        <f ca="1">IFERROR(__xludf.DUMMYFUNCTION("""COMPUTED_VALUE"""),"ISLA DE MAIPO")</f>
        <v>ISLA DE MAIPO</v>
      </c>
    </row>
    <row r="8573" spans="1:4">
      <c r="A8573" s="7">
        <f ca="1">IFERROR(__xludf.DUMMYFUNCTION("""COMPUTED_VALUE"""),44707)</f>
        <v>44707</v>
      </c>
      <c r="B8573" s="6" t="str">
        <f ca="1">IFERROR(__xludf.DUMMYFUNCTION("""COMPUTED_VALUE"""),"-33.8036177-70.7339870")</f>
        <v>-33.8036177-70.7339870</v>
      </c>
      <c r="C8573" s="6" t="str">
        <f ca="1">IFERROR(__xludf.DUMMYFUNCTION("""COMPUTED_VALUE"""),"PJE EL PEUMO 445")</f>
        <v>PJE EL PEUMO 445</v>
      </c>
      <c r="D8573" s="6" t="str">
        <f ca="1">IFERROR(__xludf.DUMMYFUNCTION("""COMPUTED_VALUE"""),"PAINE")</f>
        <v>PAINE</v>
      </c>
    </row>
    <row r="8574" spans="1:4">
      <c r="A8574" s="7">
        <f ca="1">IFERROR(__xludf.DUMMYFUNCTION("""COMPUTED_VALUE"""),44707)</f>
        <v>44707</v>
      </c>
      <c r="B8574" s="6" t="str">
        <f ca="1">IFERROR(__xludf.DUMMYFUNCTION("""COMPUTED_VALUE"""),"-33.85605-70.83810")</f>
        <v>-33.85605-70.83810</v>
      </c>
      <c r="C8574" s="6" t="str">
        <f ca="1">IFERROR(__xludf.DUMMYFUNCTION("""COMPUTED_VALUE"""),"CAMINO ABRANTES 2 SITIO3")</f>
        <v>CAMINO ABRANTES 2 SITIO3</v>
      </c>
      <c r="D8574" s="6" t="str">
        <f ca="1">IFERROR(__xludf.DUMMYFUNCTION("""COMPUTED_VALUE"""),"PAINE")</f>
        <v>PAINE</v>
      </c>
    </row>
    <row r="8575" spans="1:4">
      <c r="A8575" s="7">
        <f ca="1">IFERROR(__xludf.DUMMYFUNCTION("""COMPUTED_VALUE"""),44707)</f>
        <v>44707</v>
      </c>
      <c r="B8575" s="6" t="str">
        <f ca="1">IFERROR(__xludf.DUMMYFUNCTION("""COMPUTED_VALUE"""),"-33.858215-70.751250")</f>
        <v>-33.858215-70.751250</v>
      </c>
      <c r="C8575" s="6" t="str">
        <f ca="1">IFERROR(__xludf.DUMMYFUNCTION("""COMPUTED_VALUE"""),"LAS ACACIAS 0116")</f>
        <v>LAS ACACIAS 0116</v>
      </c>
      <c r="D8575" s="6" t="str">
        <f ca="1">IFERROR(__xludf.DUMMYFUNCTION("""COMPUTED_VALUE"""),"PAINE")</f>
        <v>PAINE</v>
      </c>
    </row>
    <row r="8576" spans="1:4">
      <c r="A8576" s="7">
        <f ca="1">IFERROR(__xludf.DUMMYFUNCTION("""COMPUTED_VALUE"""),44707)</f>
        <v>44707</v>
      </c>
      <c r="B8576" s="6" t="str">
        <f ca="1">IFERROR(__xludf.DUMMYFUNCTION("""COMPUTED_VALUE"""),"-33.411943-71.150312")</f>
        <v>-33.411943-71.150312</v>
      </c>
      <c r="C8576" s="6" t="str">
        <f ca="1">IFERROR(__xludf.DUMMYFUNCTION("""COMPUTED_VALUE"""),"AV. OHIGGINS 128 A")</f>
        <v>AV. OHIGGINS 128 A</v>
      </c>
      <c r="D8576" s="6" t="str">
        <f ca="1">IFERROR(__xludf.DUMMYFUNCTION("""COMPUTED_VALUE"""),"CURACAVI")</f>
        <v>CURACAVI</v>
      </c>
    </row>
    <row r="8577" spans="1:4">
      <c r="A8577" s="7">
        <f ca="1">IFERROR(__xludf.DUMMYFUNCTION("""COMPUTED_VALUE"""),44707)</f>
        <v>44707</v>
      </c>
      <c r="B8577" s="6" t="str">
        <f ca="1">IFERROR(__xludf.DUMMYFUNCTION("""COMPUTED_VALUE"""),"-33.423618-71.145587")</f>
        <v>-33.423618-71.145587</v>
      </c>
      <c r="C8577" s="6" t="str">
        <f ca="1">IFERROR(__xludf.DUMMYFUNCTION("""COMPUTED_VALUE"""),"LOS ESPINOS S/N")</f>
        <v>LOS ESPINOS S/N</v>
      </c>
      <c r="D8577" s="6" t="str">
        <f ca="1">IFERROR(__xludf.DUMMYFUNCTION("""COMPUTED_VALUE"""),"CURACAVI")</f>
        <v>CURACAVI</v>
      </c>
    </row>
    <row r="8578" spans="1:4">
      <c r="A8578" s="7">
        <f ca="1">IFERROR(__xludf.DUMMYFUNCTION("""COMPUTED_VALUE"""),44707)</f>
        <v>44707</v>
      </c>
      <c r="B8578" s="6" t="str">
        <f ca="1">IFERROR(__xludf.DUMMYFUNCTION("""COMPUTED_VALUE"""),"-33.423618-71.145587")</f>
        <v>-33.423618-71.145587</v>
      </c>
      <c r="C8578" s="6" t="str">
        <f ca="1">IFERROR(__xludf.DUMMYFUNCTION("""COMPUTED_VALUE"""),"LOS ESPINOS S/N")</f>
        <v>LOS ESPINOS S/N</v>
      </c>
      <c r="D8578" s="6" t="str">
        <f ca="1">IFERROR(__xludf.DUMMYFUNCTION("""COMPUTED_VALUE"""),"CURACAVI")</f>
        <v>CURACAVI</v>
      </c>
    </row>
    <row r="8579" spans="1:4">
      <c r="A8579" s="7">
        <f ca="1">IFERROR(__xludf.DUMMYFUNCTION("""COMPUTED_VALUE"""),44707)</f>
        <v>44707</v>
      </c>
      <c r="B8579" s="6" t="str">
        <f ca="1">IFERROR(__xludf.DUMMYFUNCTION("""COMPUTED_VALUE"""),"-33.423618-71.145587")</f>
        <v>-33.423618-71.145587</v>
      </c>
      <c r="C8579" s="6" t="str">
        <f ca="1">IFERROR(__xludf.DUMMYFUNCTION("""COMPUTED_VALUE"""),"LOS ESPINOS SN")</f>
        <v>LOS ESPINOS SN</v>
      </c>
      <c r="D8579" s="6" t="str">
        <f ca="1">IFERROR(__xludf.DUMMYFUNCTION("""COMPUTED_VALUE"""),"CURACAVI")</f>
        <v>CURACAVI</v>
      </c>
    </row>
    <row r="8580" spans="1:4">
      <c r="A8580" s="7">
        <f ca="1">IFERROR(__xludf.DUMMYFUNCTION("""COMPUTED_VALUE"""),44707)</f>
        <v>44707</v>
      </c>
      <c r="B8580" s="6" t="str">
        <f ca="1">IFERROR(__xludf.DUMMYFUNCTION("""COMPUTED_VALUE"""),"-33.423618-71.145587")</f>
        <v>-33.423618-71.145587</v>
      </c>
      <c r="C8580" s="6" t="str">
        <f ca="1">IFERROR(__xludf.DUMMYFUNCTION("""COMPUTED_VALUE"""),"LOS ESPINOS S/N")</f>
        <v>LOS ESPINOS S/N</v>
      </c>
      <c r="D8580" s="6" t="str">
        <f ca="1">IFERROR(__xludf.DUMMYFUNCTION("""COMPUTED_VALUE"""),"CURACAVI")</f>
        <v>CURACAVI</v>
      </c>
    </row>
    <row r="8581" spans="1:4">
      <c r="A8581" s="7">
        <f ca="1">IFERROR(__xludf.DUMMYFUNCTION("""COMPUTED_VALUE"""),44707)</f>
        <v>44707</v>
      </c>
      <c r="B8581" s="8" t="str">
        <f ca="1">IFERROR(__xludf.DUMMYFUNCTION("""COMPUTED_VALUE"""),"-33,674675,-70.634332")</f>
        <v>-33,674675,-70.634332</v>
      </c>
      <c r="C8581" s="6" t="str">
        <f ca="1">IFERROR(__xludf.DUMMYFUNCTION("""COMPUTED_VALUE"""),"PAV. RINCONADA S/VICENTE PARC.34")</f>
        <v>PAV. RINCONADA S/VICENTE PARC.34</v>
      </c>
      <c r="D8581" s="6" t="str">
        <f ca="1">IFERROR(__xludf.DUMMYFUNCTION("""COMPUTED_VALUE"""),"PIRQUE")</f>
        <v>PIRQUE</v>
      </c>
    </row>
    <row r="8582" spans="1:4">
      <c r="A8582" s="7">
        <f ca="1">IFERROR(__xludf.DUMMYFUNCTION("""COMPUTED_VALUE"""),44707)</f>
        <v>44707</v>
      </c>
      <c r="B8582" s="8" t="str">
        <f ca="1">IFERROR(__xludf.DUMMYFUNCTION("""COMPUTED_VALUE"""),"-33.674675,-70.634332")</f>
        <v>-33.674675,-70.634332</v>
      </c>
      <c r="C8582" s="6" t="str">
        <f ca="1">IFERROR(__xludf.DUMMYFUNCTION("""COMPUTED_VALUE"""),"PAV. RINCONADA S/VICENTE PARC.34")</f>
        <v>PAV. RINCONADA S/VICENTE PARC.34</v>
      </c>
      <c r="D8582" s="6" t="str">
        <f ca="1">IFERROR(__xludf.DUMMYFUNCTION("""COMPUTED_VALUE"""),"PIRQUE")</f>
        <v>PIRQUE</v>
      </c>
    </row>
    <row r="8583" spans="1:4">
      <c r="A8583" s="7">
        <f ca="1">IFERROR(__xludf.DUMMYFUNCTION("""COMPUTED_VALUE"""),44707)</f>
        <v>44707</v>
      </c>
      <c r="B8583" s="8" t="str">
        <f ca="1">IFERROR(__xludf.DUMMYFUNCTION("""COMPUTED_VALUE"""),"33.715502,-70.543963")</f>
        <v>33.715502,-70.543963</v>
      </c>
      <c r="C8583" s="6" t="str">
        <f ca="1">IFERROR(__xludf.DUMMYFUNCTION("""COMPUTED_VALUE"""),"LA ESCUELA 72 EL PRINCIPAL")</f>
        <v>LA ESCUELA 72 EL PRINCIPAL</v>
      </c>
      <c r="D8583" s="6" t="str">
        <f ca="1">IFERROR(__xludf.DUMMYFUNCTION("""COMPUTED_VALUE"""),"PIRQUE")</f>
        <v>PIRQUE</v>
      </c>
    </row>
    <row r="8584" spans="1:4">
      <c r="A8584" s="7">
        <f ca="1">IFERROR(__xludf.DUMMYFUNCTION("""COMPUTED_VALUE"""),44707)</f>
        <v>44707</v>
      </c>
      <c r="B8584" s="6" t="str">
        <f ca="1">IFERROR(__xludf.DUMMYFUNCTION("""COMPUTED_VALUE"""),"-33.813968,-70.678354")</f>
        <v>-33.813968,-70.678354</v>
      </c>
      <c r="C8584" s="6" t="str">
        <f ca="1">IFERROR(__xludf.DUMMYFUNCTION("""COMPUTED_VALUE"""),"LEOPOLDO COSTEDO 1865")</f>
        <v>LEOPOLDO COSTEDO 1865</v>
      </c>
      <c r="D8584" s="6" t="str">
        <f ca="1">IFERROR(__xludf.DUMMYFUNCTION("""COMPUTED_VALUE"""),"PAINE")</f>
        <v>PAINE</v>
      </c>
    </row>
    <row r="8585" spans="1:4">
      <c r="A8585" s="7">
        <f ca="1">IFERROR(__xludf.DUMMYFUNCTION("""COMPUTED_VALUE"""),44707)</f>
        <v>44707</v>
      </c>
      <c r="B8585" s="6" t="str">
        <f ca="1">IFERROR(__xludf.DUMMYFUNCTION("""COMPUTED_VALUE"""),"-33.602148.-70.890285")</f>
        <v>-33.602148.-70.890285</v>
      </c>
      <c r="C8585" s="6" t="str">
        <f ca="1">IFERROR(__xludf.DUMMYFUNCTION("""COMPUTED_VALUE"""),"PA RIALTO 3784")</f>
        <v>PA RIALTO 3784</v>
      </c>
      <c r="D8585" s="6" t="str">
        <f ca="1">IFERROR(__xludf.DUMMYFUNCTION("""COMPUTED_VALUE"""),"PEÑAFLOR")</f>
        <v>PEÑAFLOR</v>
      </c>
    </row>
    <row r="8586" spans="1:4">
      <c r="A8586" s="7">
        <f ca="1">IFERROR(__xludf.DUMMYFUNCTION("""COMPUTED_VALUE"""),44707)</f>
        <v>44707</v>
      </c>
      <c r="B8586" s="6" t="str">
        <f ca="1">IFERROR(__xludf.DUMMYFUNCTION("""COMPUTED_VALUE"""),"-33.614159,-70.901821")</f>
        <v>-33.614159,-70.901821</v>
      </c>
      <c r="C8586" s="6" t="str">
        <f ca="1">IFERROR(__xludf.DUMMYFUNCTION("""COMPUTED_VALUE"""),"PASAJE CINEASTA JUAN PEREZ CLAVERO 687 ")</f>
        <v xml:space="preserve">PASAJE CINEASTA JUAN PEREZ CLAVERO 687 </v>
      </c>
      <c r="D8586" s="6" t="str">
        <f ca="1">IFERROR(__xludf.DUMMYFUNCTION("""COMPUTED_VALUE"""),"PEÑAFLOR")</f>
        <v>PEÑAFLOR</v>
      </c>
    </row>
    <row r="8587" spans="1:4">
      <c r="A8587" s="7">
        <f ca="1">IFERROR(__xludf.DUMMYFUNCTION("""COMPUTED_VALUE"""),44707)</f>
        <v>44707</v>
      </c>
      <c r="B8587" s="6" t="str">
        <f ca="1">IFERROR(__xludf.DUMMYFUNCTION("""COMPUTED_VALUE"""),"-33.732533,-70.763783")</f>
        <v>-33.732533,-70.763783</v>
      </c>
      <c r="C8587" s="6" t="str">
        <f ca="1">IFERROR(__xludf.DUMMYFUNCTION("""COMPUTED_VALUE"""),"LAZARO HUERTA 69")</f>
        <v>LAZARO HUERTA 69</v>
      </c>
      <c r="D8587" s="6" t="str">
        <f ca="1">IFERROR(__xludf.DUMMYFUNCTION("""COMPUTED_VALUE"""),"BUIN")</f>
        <v>BUIN</v>
      </c>
    </row>
    <row r="8588" spans="1:4">
      <c r="A8588" s="7">
        <f ca="1">IFERROR(__xludf.DUMMYFUNCTION("""COMPUTED_VALUE"""),44707)</f>
        <v>44707</v>
      </c>
      <c r="B8588" s="8" t="str">
        <f ca="1">IFERROR(__xludf.DUMMYFUNCTION("""COMPUTED_VALUE"""),"-34.030164,-71.097471")</f>
        <v>-34.030164,-71.097471</v>
      </c>
      <c r="C8588" s="6" t="str">
        <f ca="1">IFERROR(__xludf.DUMMYFUNCTION("""COMPUTED_VALUE"""),"CALLE 18 DE SEPTIEMBRE")</f>
        <v>CALLE 18 DE SEPTIEMBRE</v>
      </c>
      <c r="D8588" s="6" t="str">
        <f ca="1">IFERROR(__xludf.DUMMYFUNCTION("""COMPUTED_VALUE"""),"ALHUÉ")</f>
        <v>ALHUÉ</v>
      </c>
    </row>
    <row r="8589" spans="1:4">
      <c r="A8589" s="7">
        <f ca="1">IFERROR(__xludf.DUMMYFUNCTION("""COMPUTED_VALUE"""),44707)</f>
        <v>44707</v>
      </c>
      <c r="B8589" s="8" t="str">
        <f ca="1">IFERROR(__xludf.DUMMYFUNCTION("""COMPUTED_VALUE"""),"-34.035436,-71.095864")</f>
        <v>-34.035436,-71.095864</v>
      </c>
      <c r="C8589" s="6" t="str">
        <f ca="1">IFERROR(__xludf.DUMMYFUNCTION("""COMPUTED_VALUE"""),"ESPERANZA 548")</f>
        <v>ESPERANZA 548</v>
      </c>
      <c r="D8589" s="6" t="str">
        <f ca="1">IFERROR(__xludf.DUMMYFUNCTION("""COMPUTED_VALUE"""),"ALHUÉ")</f>
        <v>ALHUÉ</v>
      </c>
    </row>
    <row r="8590" spans="1:4">
      <c r="A8590" s="7">
        <f ca="1">IFERROR(__xludf.DUMMYFUNCTION("""COMPUTED_VALUE"""),44707)</f>
        <v>44707</v>
      </c>
      <c r="B8590" s="8" t="str">
        <f ca="1">IFERROR(__xludf.DUMMYFUNCTION("""COMPUTED_VALUE"""),"-33.270922,-70.689777")</f>
        <v>-33.270922,-70.689777</v>
      </c>
      <c r="C8590" s="6" t="str">
        <f ca="1">IFERROR(__xludf.DUMMYFUNCTION("""COMPUTED_VALUE"""),"CAMINO SANTA LUISA PARCELA 78 LOTE 6")</f>
        <v>CAMINO SANTA LUISA PARCELA 78 LOTE 6</v>
      </c>
      <c r="D8590" s="6" t="str">
        <f ca="1">IFERROR(__xludf.DUMMYFUNCTION("""COMPUTED_VALUE"""),"COLINA")</f>
        <v>COLINA</v>
      </c>
    </row>
    <row r="8591" spans="1:4">
      <c r="A8591" s="7">
        <f ca="1">IFERROR(__xludf.DUMMYFUNCTION("""COMPUTED_VALUE"""),44707)</f>
        <v>44707</v>
      </c>
      <c r="B8591" s="6" t="str">
        <f ca="1">IFERROR(__xludf.DUMMYFUNCTION("""COMPUTED_VALUE"""),"-33.725687,-70.742207")</f>
        <v>-33.725687,-70.742207</v>
      </c>
      <c r="C8591" s="6" t="str">
        <f ca="1">IFERROR(__xludf.DUMMYFUNCTION("""COMPUTED_VALUE"""),"CARLOS STRUZ 0249")</f>
        <v>CARLOS STRUZ 0249</v>
      </c>
      <c r="D8591" s="6" t="str">
        <f ca="1">IFERROR(__xludf.DUMMYFUNCTION("""COMPUTED_VALUE"""),"BUIN")</f>
        <v>BUIN</v>
      </c>
    </row>
    <row r="8592" spans="1:4">
      <c r="A8592" s="7">
        <f ca="1">IFERROR(__xludf.DUMMYFUNCTION("""COMPUTED_VALUE"""),44707)</f>
        <v>44707</v>
      </c>
      <c r="B8592" s="6" t="str">
        <f ca="1">IFERROR(__xludf.DUMMYFUNCTION("""COMPUTED_VALUE"""),"-33.781573,-70.789291")</f>
        <v>-33.781573,-70.789291</v>
      </c>
      <c r="C8592" s="6" t="str">
        <f ca="1">IFERROR(__xludf.DUMMYFUNCTION("""COMPUTED_VALUE"""),"SAN ANDRES 24")</f>
        <v>SAN ANDRES 24</v>
      </c>
      <c r="D8592" s="6" t="str">
        <f ca="1">IFERROR(__xludf.DUMMYFUNCTION("""COMPUTED_VALUE"""),"BUIN")</f>
        <v>BUIN</v>
      </c>
    </row>
    <row r="8593" spans="1:4">
      <c r="A8593" s="7">
        <f ca="1">IFERROR(__xludf.DUMMYFUNCTION("""COMPUTED_VALUE"""),44707)</f>
        <v>44707</v>
      </c>
      <c r="B8593" s="6" t="str">
        <f ca="1">IFERROR(__xludf.DUMMYFUNCTION("""COMPUTED_VALUE"""),"-33.781394,-70.789164")</f>
        <v>-33.781394,-70.789164</v>
      </c>
      <c r="C8593" s="6" t="str">
        <f ca="1">IFERROR(__xludf.DUMMYFUNCTION("""COMPUTED_VALUE"""),"SAN ANDRES 24")</f>
        <v>SAN ANDRES 24</v>
      </c>
      <c r="D8593" s="6" t="str">
        <f ca="1">IFERROR(__xludf.DUMMYFUNCTION("""COMPUTED_VALUE"""),"BUIN")</f>
        <v>BUIN</v>
      </c>
    </row>
    <row r="8594" spans="1:4">
      <c r="A8594" s="7">
        <f ca="1">IFERROR(__xludf.DUMMYFUNCTION("""COMPUTED_VALUE"""),44707)</f>
        <v>44707</v>
      </c>
      <c r="B8594" s="6" t="str">
        <f ca="1">IFERROR(__xludf.DUMMYFUNCTION("""COMPUTED_VALUE"""),"-33.868071,-70.749207")</f>
        <v>-33.868071,-70.749207</v>
      </c>
      <c r="C8594" s="6" t="str">
        <f ca="1">IFERROR(__xludf.DUMMYFUNCTION("""COMPUTED_VALUE"""),"EL CASTAÑO 7 ")</f>
        <v xml:space="preserve">EL CASTAÑO 7 </v>
      </c>
      <c r="D8594" s="6" t="str">
        <f ca="1">IFERROR(__xludf.DUMMYFUNCTION("""COMPUTED_VALUE"""),"PAINE")</f>
        <v>PAINE</v>
      </c>
    </row>
    <row r="8595" spans="1:4">
      <c r="A8595" s="7">
        <f ca="1">IFERROR(__xludf.DUMMYFUNCTION("""COMPUTED_VALUE"""),44707)</f>
        <v>44707</v>
      </c>
      <c r="B8595" s="6" t="str">
        <f ca="1">IFERROR(__xludf.DUMMYFUNCTION("""COMPUTED_VALUE"""),"-33.868513,-70.746936")</f>
        <v>-33.868513,-70.746936</v>
      </c>
      <c r="C8595" s="6" t="str">
        <f ca="1">IFERROR(__xludf.DUMMYFUNCTION("""COMPUTED_VALUE"""),"DIEGO PORTALES 51")</f>
        <v>DIEGO PORTALES 51</v>
      </c>
      <c r="D8595" s="6" t="str">
        <f ca="1">IFERROR(__xludf.DUMMYFUNCTION("""COMPUTED_VALUE"""),"PAINE")</f>
        <v>PAINE</v>
      </c>
    </row>
    <row r="8596" spans="1:4">
      <c r="A8596" s="7">
        <f ca="1">IFERROR(__xludf.DUMMYFUNCTION("""COMPUTED_VALUE"""),44707)</f>
        <v>44707</v>
      </c>
      <c r="B8596" s="6" t="str">
        <f ca="1">IFERROR(__xludf.DUMMYFUNCTION("""COMPUTED_VALUE"""),"-33.812361,-70.734599")</f>
        <v>-33.812361,-70.734599</v>
      </c>
      <c r="C8596" s="6" t="str">
        <f ca="1">IFERROR(__xludf.DUMMYFUNCTION("""COMPUTED_VALUE"""),"LA ENCINA 746")</f>
        <v>LA ENCINA 746</v>
      </c>
      <c r="D8596" s="6" t="str">
        <f ca="1">IFERROR(__xludf.DUMMYFUNCTION("""COMPUTED_VALUE"""),"PAINE")</f>
        <v>PAINE</v>
      </c>
    </row>
    <row r="8597" spans="1:4">
      <c r="A8597" s="7">
        <f ca="1">IFERROR(__xludf.DUMMYFUNCTION("""COMPUTED_VALUE"""),44707)</f>
        <v>44707</v>
      </c>
      <c r="B8597" s="6" t="str">
        <f ca="1">IFERROR(__xludf.DUMMYFUNCTION("""COMPUTED_VALUE"""),"-33.811776,-70.736642")</f>
        <v>-33.811776,-70.736642</v>
      </c>
      <c r="C8597" s="6" t="str">
        <f ca="1">IFERROR(__xludf.DUMMYFUNCTION("""COMPUTED_VALUE"""),"JACARANDA 577")</f>
        <v>JACARANDA 577</v>
      </c>
      <c r="D8597" s="6" t="str">
        <f ca="1">IFERROR(__xludf.DUMMYFUNCTION("""COMPUTED_VALUE"""),"PAINE")</f>
        <v>PAINE</v>
      </c>
    </row>
    <row r="8598" spans="1:4">
      <c r="A8598" s="7">
        <f ca="1">IFERROR(__xludf.DUMMYFUNCTION("""COMPUTED_VALUE"""),44708)</f>
        <v>44708</v>
      </c>
      <c r="B8598" s="8" t="str">
        <f ca="1">IFERROR(__xludf.DUMMYFUNCTION("""COMPUTED_VALUE"""),"-33.8358853, -70.8216559")</f>
        <v>-33.8358853, -70.8216559</v>
      </c>
      <c r="C8598" s="6" t="str">
        <f ca="1">IFERROR(__xludf.DUMMYFUNCTION("""COMPUTED_VALUE"""),"VINCULO 95")</f>
        <v>VINCULO 95</v>
      </c>
      <c r="D8598" s="6" t="str">
        <f ca="1">IFERROR(__xludf.DUMMYFUNCTION("""COMPUTED_VALUE"""),"PAINE")</f>
        <v>PAINE</v>
      </c>
    </row>
    <row r="8599" spans="1:4">
      <c r="A8599" s="7">
        <f ca="1">IFERROR(__xludf.DUMMYFUNCTION("""COMPUTED_VALUE"""),44708)</f>
        <v>44708</v>
      </c>
      <c r="B8599" s="8" t="str">
        <f ca="1">IFERROR(__xludf.DUMMYFUNCTION("""COMPUTED_VALUE"""),"-33.7430651, -70.8985461")</f>
        <v>-33.7430651, -70.8985461</v>
      </c>
      <c r="C8599" s="6" t="str">
        <f ca="1">IFERROR(__xludf.DUMMYFUNCTION("""COMPUTED_VALUE"""),"LAS ACACIAS 11213")</f>
        <v>LAS ACACIAS 11213</v>
      </c>
      <c r="D8599" s="6" t="str">
        <f ca="1">IFERROR(__xludf.DUMMYFUNCTION("""COMPUTED_VALUE"""),"PIRQUE")</f>
        <v>PIRQUE</v>
      </c>
    </row>
    <row r="8600" spans="1:4">
      <c r="A8600" s="7">
        <f ca="1">IFERROR(__xludf.DUMMYFUNCTION("""COMPUTED_VALUE"""),44708)</f>
        <v>44708</v>
      </c>
      <c r="B8600" s="8" t="str">
        <f ca="1">IFERROR(__xludf.DUMMYFUNCTION("""COMPUTED_VALUE"""),"-33.8672576, -70.7082597")</f>
        <v>-33.8672576, -70.7082597</v>
      </c>
      <c r="C8600" s="6" t="str">
        <f ca="1">IFERROR(__xludf.DUMMYFUNCTION("""COMPUTED_VALUE"""),"CARDONAL BAJO 22")</f>
        <v>CARDONAL BAJO 22</v>
      </c>
      <c r="D8600" s="6" t="str">
        <f ca="1">IFERROR(__xludf.DUMMYFUNCTION("""COMPUTED_VALUE"""),"PAINE")</f>
        <v>PAINE</v>
      </c>
    </row>
    <row r="8601" spans="1:4">
      <c r="A8601" s="7">
        <f ca="1">IFERROR(__xludf.DUMMYFUNCTION("""COMPUTED_VALUE"""),44708)</f>
        <v>44708</v>
      </c>
      <c r="B8601" s="8" t="str">
        <f ca="1">IFERROR(__xludf.DUMMYFUNCTION("""COMPUTED_VALUE"""),"-33.6888067, -71.2211998")</f>
        <v>-33.6888067, -71.2211998</v>
      </c>
      <c r="C8601" s="6" t="str">
        <f ca="1">IFERROR(__xludf.DUMMYFUNCTION("""COMPUTED_VALUE"""),"CORRE 761")</f>
        <v>CORRE 761</v>
      </c>
      <c r="D8601" s="6" t="str">
        <f ca="1">IFERROR(__xludf.DUMMYFUNCTION("""COMPUTED_VALUE"""),"MELIPILLA")</f>
        <v>MELIPILLA</v>
      </c>
    </row>
    <row r="8602" spans="1:4">
      <c r="A8602" s="7">
        <f ca="1">IFERROR(__xludf.DUMMYFUNCTION("""COMPUTED_VALUE"""),44708)</f>
        <v>44708</v>
      </c>
      <c r="B8602" s="8" t="str">
        <f ca="1">IFERROR(__xludf.DUMMYFUNCTION("""COMPUTED_VALUE"""),"-33.675713, -70.6177756")</f>
        <v>-33.675713, -70.6177756</v>
      </c>
      <c r="C8602" s="6" t="str">
        <f ca="1">IFERROR(__xludf.DUMMYFUNCTION("""COMPUTED_VALUE"""),"SAN VICENTE 18")</f>
        <v>SAN VICENTE 18</v>
      </c>
      <c r="D8602" s="6" t="str">
        <f ca="1">IFERROR(__xludf.DUMMYFUNCTION("""COMPUTED_VALUE"""),"PIRQUE")</f>
        <v>PIRQUE</v>
      </c>
    </row>
    <row r="8603" spans="1:4">
      <c r="A8603" s="7">
        <f ca="1">IFERROR(__xludf.DUMMYFUNCTION("""COMPUTED_VALUE"""),44708)</f>
        <v>44708</v>
      </c>
      <c r="B8603" s="6" t="str">
        <f ca="1">IFERROR(__xludf.DUMMYFUNCTION("""COMPUTED_VALUE"""),"-33.808941-70.727970")</f>
        <v>-33.808941-70.727970</v>
      </c>
      <c r="C8603" s="6" t="str">
        <f ca="1">IFERROR(__xludf.DUMMYFUNCTION("""COMPUTED_VALUE"""),"CORONEL 977")</f>
        <v>CORONEL 977</v>
      </c>
      <c r="D8603" s="6" t="str">
        <f ca="1">IFERROR(__xludf.DUMMYFUNCTION("""COMPUTED_VALUE"""),"PAINE")</f>
        <v>PAINE</v>
      </c>
    </row>
    <row r="8604" spans="1:4">
      <c r="A8604" s="7">
        <f ca="1">IFERROR(__xludf.DUMMYFUNCTION("""COMPUTED_VALUE"""),44708)</f>
        <v>44708</v>
      </c>
      <c r="B8604" s="6" t="str">
        <f ca="1">IFERROR(__xludf.DUMMYFUNCTION("""COMPUTED_VALUE"""),"-33.868930-70.846174")</f>
        <v>-33.868930-70.846174</v>
      </c>
      <c r="C8604" s="6" t="str">
        <f ca="1">IFERROR(__xludf.DUMMYFUNCTION("""COMPUTED_VALUE"""),"PARCELA 13 EL MANZANITO SITIO 3")</f>
        <v>PARCELA 13 EL MANZANITO SITIO 3</v>
      </c>
      <c r="D8604" s="6" t="str">
        <f ca="1">IFERROR(__xludf.DUMMYFUNCTION("""COMPUTED_VALUE"""),"PAINE")</f>
        <v>PAINE</v>
      </c>
    </row>
    <row r="8605" spans="1:4">
      <c r="A8605" s="7">
        <f ca="1">IFERROR(__xludf.DUMMYFUNCTION("""COMPUTED_VALUE"""),44708)</f>
        <v>44708</v>
      </c>
      <c r="B8605" s="6" t="str">
        <f ca="1">IFERROR(__xludf.DUMMYFUNCTION("""COMPUTED_VALUE"""),"-33.63585-70.35061")</f>
        <v>-33.63585-70.35061</v>
      </c>
      <c r="C8605" s="6" t="str">
        <f ca="1">IFERROR(__xludf.DUMMYFUNCTION("""COMPUTED_VALUE"""),"AV. EL ESFUERZO 19141")</f>
        <v>AV. EL ESFUERZO 19141</v>
      </c>
      <c r="D8605" s="6" t="str">
        <f ca="1">IFERROR(__xludf.DUMMYFUNCTION("""COMPUTED_VALUE"""),"SAN JOSE DE MAIPO")</f>
        <v>SAN JOSE DE MAIPO</v>
      </c>
    </row>
    <row r="8606" spans="1:4">
      <c r="A8606" s="7">
        <f ca="1">IFERROR(__xludf.DUMMYFUNCTION("""COMPUTED_VALUE"""),44708)</f>
        <v>44708</v>
      </c>
      <c r="B8606" s="6" t="str">
        <f ca="1">IFERROR(__xludf.DUMMYFUNCTION("""COMPUTED_VALUE"""),"-33.638925-70.347740")</f>
        <v>-33.638925-70.347740</v>
      </c>
      <c r="C8606" s="6" t="str">
        <f ca="1">IFERROR(__xludf.DUMMYFUNCTION("""COMPUTED_VALUE"""),"AV. CEMENTERIO 19503 A")</f>
        <v>AV. CEMENTERIO 19503 A</v>
      </c>
      <c r="D8606" s="6" t="str">
        <f ca="1">IFERROR(__xludf.DUMMYFUNCTION("""COMPUTED_VALUE"""),"SAN JOSE DE MAIPO")</f>
        <v>SAN JOSE DE MAIPO</v>
      </c>
    </row>
    <row r="8607" spans="1:4">
      <c r="A8607" s="7">
        <f ca="1">IFERROR(__xludf.DUMMYFUNCTION("""COMPUTED_VALUE"""),44708)</f>
        <v>44708</v>
      </c>
      <c r="B8607" s="6" t="str">
        <f ca="1">IFERROR(__xludf.DUMMYFUNCTION("""COMPUTED_VALUE"""),"-33.8693-70.8497")</f>
        <v>-33.8693-70.8497</v>
      </c>
      <c r="C8607" s="6" t="str">
        <f ca="1">IFERROR(__xludf.DUMMYFUNCTION("""COMPUTED_VALUE"""),"EL MANZANITO PARCELA 18")</f>
        <v>EL MANZANITO PARCELA 18</v>
      </c>
      <c r="D8607" s="6" t="str">
        <f ca="1">IFERROR(__xludf.DUMMYFUNCTION("""COMPUTED_VALUE"""),"PAINE")</f>
        <v>PAINE</v>
      </c>
    </row>
    <row r="8608" spans="1:4">
      <c r="A8608" s="7">
        <f ca="1">IFERROR(__xludf.DUMMYFUNCTION("""COMPUTED_VALUE"""),44708)</f>
        <v>44708</v>
      </c>
      <c r="B8608" s="6" t="str">
        <f ca="1">IFERROR(__xludf.DUMMYFUNCTION("""COMPUTED_VALUE"""),"-33.083049-70.924484")</f>
        <v>-33.083049-70.924484</v>
      </c>
      <c r="C8608" s="6" t="str">
        <f ca="1">IFERROR(__xludf.DUMMYFUNCTION("""COMPUTED_VALUE"""),"ALCALDE ARACENA 489")</f>
        <v>ALCALDE ARACENA 489</v>
      </c>
      <c r="D8608" s="6" t="str">
        <f ca="1">IFERROR(__xludf.DUMMYFUNCTION("""COMPUTED_VALUE"""),"TIL TIL")</f>
        <v>TIL TIL</v>
      </c>
    </row>
    <row r="8609" spans="1:4">
      <c r="A8609" s="7">
        <f ca="1">IFERROR(__xludf.DUMMYFUNCTION("""COMPUTED_VALUE"""),44708)</f>
        <v>44708</v>
      </c>
      <c r="B8609" s="6" t="str">
        <f ca="1">IFERROR(__xludf.DUMMYFUNCTION("""COMPUTED_VALUE"""),"-33.604175-70.859570")</f>
        <v>-33.604175-70.859570</v>
      </c>
      <c r="C8609" s="6" t="str">
        <f ca="1">IFERROR(__xludf.DUMMYFUNCTION("""COMPUTED_VALUE"""),"ISABEL LA CATOLICA 284")</f>
        <v>ISABEL LA CATOLICA 284</v>
      </c>
      <c r="D8609" s="6" t="str">
        <f ca="1">IFERROR(__xludf.DUMMYFUNCTION("""COMPUTED_VALUE"""),"PEÑAFLOR")</f>
        <v>PEÑAFLOR</v>
      </c>
    </row>
    <row r="8610" spans="1:4">
      <c r="A8610" s="7">
        <f ca="1">IFERROR(__xludf.DUMMYFUNCTION("""COMPUTED_VALUE"""),44708)</f>
        <v>44708</v>
      </c>
      <c r="B8610" s="8" t="str">
        <f ca="1">IFERROR(__xludf.DUMMYFUNCTION("""COMPUTED_VALUE"""),"-33.2934754,-70.8711901")</f>
        <v>-33.2934754,-70.8711901</v>
      </c>
      <c r="C8610" s="6" t="str">
        <f ca="1">IFERROR(__xludf.DUMMYFUNCTION("""COMPUTED_VALUE"""),"LA FRONTERA 2258")</f>
        <v>LA FRONTERA 2258</v>
      </c>
      <c r="D8610" s="6" t="str">
        <f ca="1">IFERROR(__xludf.DUMMYFUNCTION("""COMPUTED_VALUE"""),"LAMPA")</f>
        <v>LAMPA</v>
      </c>
    </row>
    <row r="8611" spans="1:4">
      <c r="A8611" s="7">
        <f ca="1">IFERROR(__xludf.DUMMYFUNCTION("""COMPUTED_VALUE"""),44708)</f>
        <v>44708</v>
      </c>
      <c r="B8611" s="8" t="str">
        <f ca="1">IFERROR(__xludf.DUMMYFUNCTION("""COMPUTED_VALUE"""),"-33.2934754,-70.8711901")</f>
        <v>-33.2934754,-70.8711901</v>
      </c>
      <c r="C8611" s="6" t="str">
        <f ca="1">IFERROR(__xludf.DUMMYFUNCTION("""COMPUTED_VALUE"""),"LA FRONTERA 2264")</f>
        <v>LA FRONTERA 2264</v>
      </c>
      <c r="D8611" s="6" t="str">
        <f ca="1">IFERROR(__xludf.DUMMYFUNCTION("""COMPUTED_VALUE"""),"LAMPA")</f>
        <v>LAMPA</v>
      </c>
    </row>
    <row r="8612" spans="1:4">
      <c r="A8612" s="7">
        <f ca="1">IFERROR(__xludf.DUMMYFUNCTION("""COMPUTED_VALUE"""),44708)</f>
        <v>44708</v>
      </c>
      <c r="B8612" s="8" t="str">
        <f ca="1">IFERROR(__xludf.DUMMYFUNCTION("""COMPUTED_VALUE"""),"-33.493826,-71.165449")</f>
        <v>-33.493826,-71.165449</v>
      </c>
      <c r="C8612" s="6" t="str">
        <f ca="1">IFERROR(__xludf.DUMMYFUNCTION("""COMPUTED_VALUE"""),"CALLEJON EL SILO S/N")</f>
        <v>CALLEJON EL SILO S/N</v>
      </c>
      <c r="D8612" s="6" t="str">
        <f ca="1">IFERROR(__xludf.DUMMYFUNCTION("""COMPUTED_VALUE"""),"MELIPILLA")</f>
        <v>MELIPILLA</v>
      </c>
    </row>
    <row r="8613" spans="1:4">
      <c r="A8613" s="7">
        <f ca="1">IFERROR(__xludf.DUMMYFUNCTION("""COMPUTED_VALUE"""),44708)</f>
        <v>44708</v>
      </c>
      <c r="B8613" s="8" t="str">
        <f ca="1">IFERROR(__xludf.DUMMYFUNCTION("""COMPUTED_VALUE"""),"-33.651344,-71.167983")</f>
        <v>-33.651344,-71.167983</v>
      </c>
      <c r="C8613" s="6" t="str">
        <f ca="1">IFERROR(__xludf.DUMMYFUNCTION("""COMPUTED_VALUE"""),"PARCELA 4 EL TRANSITO ")</f>
        <v xml:space="preserve">PARCELA 4 EL TRANSITO </v>
      </c>
      <c r="D8613" s="6" t="str">
        <f ca="1">IFERROR(__xludf.DUMMYFUNCTION("""COMPUTED_VALUE"""),"MELIPILLA")</f>
        <v>MELIPILLA</v>
      </c>
    </row>
    <row r="8614" spans="1:4">
      <c r="A8614" s="7">
        <f ca="1">IFERROR(__xludf.DUMMYFUNCTION("""COMPUTED_VALUE"""),44708)</f>
        <v>44708</v>
      </c>
      <c r="B8614" s="8" t="str">
        <f ca="1">IFERROR(__xludf.DUMMYFUNCTION("""COMPUTED_VALUE"""),"-33.583002,-70.806932")</f>
        <v>-33.583002,-70.806932</v>
      </c>
      <c r="C8614" s="6" t="str">
        <f ca="1">IFERROR(__xludf.DUMMYFUNCTION("""COMPUTED_VALUE"""),"QUIDEL 1634")</f>
        <v>QUIDEL 1634</v>
      </c>
      <c r="D8614" s="6" t="str">
        <f ca="1">IFERROR(__xludf.DUMMYFUNCTION("""COMPUTED_VALUE"""),"PADRE HURTADO")</f>
        <v>PADRE HURTADO</v>
      </c>
    </row>
    <row r="8615" spans="1:4">
      <c r="A8615" s="7">
        <f ca="1">IFERROR(__xludf.DUMMYFUNCTION("""COMPUTED_VALUE"""),44708)</f>
        <v>44708</v>
      </c>
      <c r="B8615" s="6" t="str">
        <f ca="1">IFERROR(__xludf.DUMMYFUNCTION("""COMPUTED_VALUE"""),"-33.781914,-70.788906")</f>
        <v>-33.781914,-70.788906</v>
      </c>
      <c r="C8615" s="6" t="str">
        <f ca="1">IFERROR(__xludf.DUMMYFUNCTION("""COMPUTED_VALUE"""),"SAN ANDRES 24")</f>
        <v>SAN ANDRES 24</v>
      </c>
      <c r="D8615" s="6" t="str">
        <f ca="1">IFERROR(__xludf.DUMMYFUNCTION("""COMPUTED_VALUE"""),"BUIN")</f>
        <v>BUIN</v>
      </c>
    </row>
    <row r="8616" spans="1:4">
      <c r="A8616" s="7">
        <f ca="1">IFERROR(__xludf.DUMMYFUNCTION("""COMPUTED_VALUE"""),44708)</f>
        <v>44708</v>
      </c>
      <c r="B8616" s="6" t="str">
        <f ca="1">IFERROR(__xludf.DUMMYFUNCTION("""COMPUTED_VALUE"""),"-33.7824748,-70.6380807")</f>
        <v>-33.7824748,-70.6380807</v>
      </c>
      <c r="C8616" s="6" t="str">
        <f ca="1">IFERROR(__xludf.DUMMYFUNCTION("""COMPUTED_VALUE"""),"SITIO 14, HUELQUEN")</f>
        <v>SITIO 14, HUELQUEN</v>
      </c>
      <c r="D8616" s="6" t="str">
        <f ca="1">IFERROR(__xludf.DUMMYFUNCTION("""COMPUTED_VALUE"""),"PAINE")</f>
        <v>PAINE</v>
      </c>
    </row>
    <row r="8617" spans="1:4">
      <c r="A8617" s="7">
        <f ca="1">IFERROR(__xludf.DUMMYFUNCTION("""COMPUTED_VALUE"""),44708)</f>
        <v>44708</v>
      </c>
      <c r="B8617" s="6" t="str">
        <f ca="1">IFERROR(__xludf.DUMMYFUNCTION("""COMPUTED_VALUE"""),"-33.8758896,-70.7206438")</f>
        <v>-33.8758896,-70.7206438</v>
      </c>
      <c r="C8617" s="6" t="str">
        <f ca="1">IFERROR(__xludf.DUMMYFUNCTION("""COMPUTED_VALUE"""),"EL SAUCE 61")</f>
        <v>EL SAUCE 61</v>
      </c>
      <c r="D8617" s="6" t="str">
        <f ca="1">IFERROR(__xludf.DUMMYFUNCTION("""COMPUTED_VALUE"""),"PAINE")</f>
        <v>PAINE</v>
      </c>
    </row>
    <row r="8618" spans="1:4">
      <c r="A8618" s="7">
        <f ca="1">IFERROR(__xludf.DUMMYFUNCTION("""COMPUTED_VALUE"""),44709)</f>
        <v>44709</v>
      </c>
      <c r="B8618" s="6" t="str">
        <f ca="1">IFERROR(__xludf.DUMMYFUNCTION("""COMPUTED_VALUE"""),"-33.407232-71.133887")</f>
        <v>-33.407232-71.133887</v>
      </c>
      <c r="C8618" s="6" t="str">
        <f ca="1">IFERROR(__xludf.DUMMYFUNCTION("""COMPUTED_VALUE"""),"TENIENTE BERNARDO ESCOBAR 382")</f>
        <v>TENIENTE BERNARDO ESCOBAR 382</v>
      </c>
      <c r="D8618" s="6" t="str">
        <f ca="1">IFERROR(__xludf.DUMMYFUNCTION("""COMPUTED_VALUE"""),"CURACAVI")</f>
        <v>CURACAVI</v>
      </c>
    </row>
    <row r="8619" spans="1:4">
      <c r="A8619" s="7">
        <f ca="1">IFERROR(__xludf.DUMMYFUNCTION("""COMPUTED_VALUE"""),44709)</f>
        <v>44709</v>
      </c>
      <c r="B8619" s="6" t="str">
        <f ca="1">IFERROR(__xludf.DUMMYFUNCTION("""COMPUTED_VALUE"""),"-33.808703,-70.678378")</f>
        <v>-33.808703,-70.678378</v>
      </c>
      <c r="C8619" s="6" t="str">
        <f ca="1">IFERROR(__xludf.DUMMYFUNCTION("""COMPUTED_VALUE"""),"NVO SENDERO SITIO 7")</f>
        <v>NVO SENDERO SITIO 7</v>
      </c>
      <c r="D8619" s="6" t="str">
        <f ca="1">IFERROR(__xludf.DUMMYFUNCTION("""COMPUTED_VALUE"""),"PAINE")</f>
        <v>PAINE</v>
      </c>
    </row>
    <row r="8620" spans="1:4">
      <c r="A8620" s="7">
        <f ca="1">IFERROR(__xludf.DUMMYFUNCTION("""COMPUTED_VALUE"""),44709)</f>
        <v>44709</v>
      </c>
      <c r="B8620" s="6" t="str">
        <f ca="1">IFERROR(__xludf.DUMMYFUNCTION("""COMPUTED_VALUE"""),"-33.732796,-70.763318")</f>
        <v>-33.732796,-70.763318</v>
      </c>
      <c r="C8620" s="6" t="str">
        <f ca="1">IFERROR(__xludf.DUMMYFUNCTION("""COMPUTED_VALUE"""),"ESTEBAN HUERTA 2147")</f>
        <v>ESTEBAN HUERTA 2147</v>
      </c>
      <c r="D8620" s="6" t="str">
        <f ca="1">IFERROR(__xludf.DUMMYFUNCTION("""COMPUTED_VALUE"""),"BUIN")</f>
        <v>BUIN</v>
      </c>
    </row>
    <row r="8621" spans="1:4">
      <c r="A8621" s="7">
        <f ca="1">IFERROR(__xludf.DUMMYFUNCTION("""COMPUTED_VALUE"""),44711)</f>
        <v>44711</v>
      </c>
      <c r="B8621" s="8" t="str">
        <f ca="1">IFERROR(__xludf.DUMMYFUNCTION("""COMPUTED_VALUE"""),"-33.7292185, -70.9128597")</f>
        <v>-33.7292185, -70.9128597</v>
      </c>
      <c r="C8621" s="6" t="str">
        <f ca="1">IFERROR(__xludf.DUMMYFUNCTION("""COMPUTED_VALUE"""),"GACITUA 547")</f>
        <v>GACITUA 547</v>
      </c>
      <c r="D8621" s="6" t="str">
        <f ca="1">IFERROR(__xludf.DUMMYFUNCTION("""COMPUTED_VALUE"""),"ISLA DE MAIPO")</f>
        <v>ISLA DE MAIPO</v>
      </c>
    </row>
    <row r="8622" spans="1:4">
      <c r="A8622" s="7">
        <f ca="1">IFERROR(__xludf.DUMMYFUNCTION("""COMPUTED_VALUE"""),44711)</f>
        <v>44711</v>
      </c>
      <c r="B8622" s="6" t="str">
        <f ca="1">IFERROR(__xludf.DUMMYFUNCTION("""COMPUTED_VALUE"""),"-33.821860-70.741926")</f>
        <v>-33.821860-70.741926</v>
      </c>
      <c r="C8622" s="6" t="str">
        <f ca="1">IFERROR(__xludf.DUMMYFUNCTION("""COMPUTED_VALUE"""),"LAS BELLOTAS 185")</f>
        <v>LAS BELLOTAS 185</v>
      </c>
      <c r="D8622" s="6" t="str">
        <f ca="1">IFERROR(__xludf.DUMMYFUNCTION("""COMPUTED_VALUE"""),"PAINE")</f>
        <v>PAINE</v>
      </c>
    </row>
    <row r="8623" spans="1:4">
      <c r="A8623" s="7">
        <f ca="1">IFERROR(__xludf.DUMMYFUNCTION("""COMPUTED_VALUE"""),44711)</f>
        <v>44711</v>
      </c>
      <c r="B8623" s="6" t="str">
        <f ca="1">IFERROR(__xludf.DUMMYFUNCTION("""COMPUTED_VALUE"""),"-33.853403-70.762512")</f>
        <v>-33.853403-70.762512</v>
      </c>
      <c r="C8623" s="6" t="str">
        <f ca="1">IFERROR(__xludf.DUMMYFUNCTION("""COMPUTED_VALUE"""),"NIEBLA SITIO 2-3")</f>
        <v>NIEBLA SITIO 2-3</v>
      </c>
      <c r="D8623" s="6" t="str">
        <f ca="1">IFERROR(__xludf.DUMMYFUNCTION("""COMPUTED_VALUE"""),"PAINE")</f>
        <v>PAINE</v>
      </c>
    </row>
    <row r="8624" spans="1:4">
      <c r="A8624" s="7">
        <f ca="1">IFERROR(__xludf.DUMMYFUNCTION("""COMPUTED_VALUE"""),44711)</f>
        <v>44711</v>
      </c>
      <c r="B8624" s="6" t="str">
        <f ca="1">IFERROR(__xludf.DUMMYFUNCTION("""COMPUTED_VALUE"""),"-33.5144-70.4457")</f>
        <v>-33.5144-70.4457</v>
      </c>
      <c r="C8624" s="6" t="str">
        <f ca="1">IFERROR(__xludf.DUMMYFUNCTION("""COMPUTED_VALUE"""),"LAS ACACIAS 94")</f>
        <v>LAS ACACIAS 94</v>
      </c>
      <c r="D8624" s="6" t="str">
        <f ca="1">IFERROR(__xludf.DUMMYFUNCTION("""COMPUTED_VALUE"""),"PAINE")</f>
        <v>PAINE</v>
      </c>
    </row>
    <row r="8625" spans="1:4">
      <c r="A8625" s="7">
        <f ca="1">IFERROR(__xludf.DUMMYFUNCTION("""COMPUTED_VALUE"""),44711)</f>
        <v>44711</v>
      </c>
      <c r="B8625" s="6" t="str">
        <f ca="1">IFERROR(__xludf.DUMMYFUNCTION("""COMPUTED_VALUE"""),"-33.847857-70.640708")</f>
        <v>-33.847857-70.640708</v>
      </c>
      <c r="C8625" s="6" t="str">
        <f ca="1">IFERROR(__xludf.DUMMYFUNCTION("""COMPUTED_VALUE"""),"EL CARDONAL HUELQUEN SITIO 9")</f>
        <v>EL CARDONAL HUELQUEN SITIO 9</v>
      </c>
      <c r="D8625" s="6" t="str">
        <f ca="1">IFERROR(__xludf.DUMMYFUNCTION("""COMPUTED_VALUE"""),"PAINE")</f>
        <v>PAINE</v>
      </c>
    </row>
    <row r="8626" spans="1:4">
      <c r="A8626" s="7">
        <f ca="1">IFERROR(__xludf.DUMMYFUNCTION("""COMPUTED_VALUE"""),44711)</f>
        <v>44711</v>
      </c>
      <c r="B8626" s="6" t="str">
        <f ca="1">IFERROR(__xludf.DUMMYFUNCTION("""COMPUTED_VALUE"""),"-33.809275-70.728748")</f>
        <v>-33.809275-70.728748</v>
      </c>
      <c r="C8626" s="6" t="str">
        <f ca="1">IFERROR(__xludf.DUMMYFUNCTION("""COMPUTED_VALUE"""),"CORONEL 973")</f>
        <v>CORONEL 973</v>
      </c>
      <c r="D8626" s="6" t="str">
        <f ca="1">IFERROR(__xludf.DUMMYFUNCTION("""COMPUTED_VALUE"""),"PAINE")</f>
        <v>PAINE</v>
      </c>
    </row>
    <row r="8627" spans="1:4">
      <c r="A8627" s="7">
        <f ca="1">IFERROR(__xludf.DUMMYFUNCTION("""COMPUTED_VALUE"""),44711)</f>
        <v>44711</v>
      </c>
      <c r="B8627" s="6" t="str">
        <f ca="1">IFERROR(__xludf.DUMMYFUNCTION("""COMPUTED_VALUE"""),"-33.819281-70.741784")</f>
        <v>-33.819281-70.741784</v>
      </c>
      <c r="C8627" s="6" t="str">
        <f ca="1">IFERROR(__xludf.DUMMYFUNCTION("""COMPUTED_VALUE"""),"PJE. DIEGO DE ALMAGRO 171")</f>
        <v>PJE. DIEGO DE ALMAGRO 171</v>
      </c>
      <c r="D8627" s="6" t="str">
        <f ca="1">IFERROR(__xludf.DUMMYFUNCTION("""COMPUTED_VALUE"""),"PAINE")</f>
        <v>PAINE</v>
      </c>
    </row>
    <row r="8628" spans="1:4">
      <c r="A8628" s="7">
        <f ca="1">IFERROR(__xludf.DUMMYFUNCTION("""COMPUTED_VALUE"""),44711)</f>
        <v>44711</v>
      </c>
      <c r="B8628" s="6" t="str">
        <f ca="1">IFERROR(__xludf.DUMMYFUNCTION("""COMPUTED_VALUE"""),"-33.63655-70.35097")</f>
        <v>-33.63655-70.35097</v>
      </c>
      <c r="C8628" s="6" t="str">
        <f ca="1">IFERROR(__xludf.DUMMYFUNCTION("""COMPUTED_VALUE"""),"CALLE DEL CERRO 19316")</f>
        <v>CALLE DEL CERRO 19316</v>
      </c>
      <c r="D8628" s="6" t="str">
        <f ca="1">IFERROR(__xludf.DUMMYFUNCTION("""COMPUTED_VALUE"""),"SAN JOSE DE MAIPO")</f>
        <v>SAN JOSE DE MAIPO</v>
      </c>
    </row>
    <row r="8629" spans="1:4">
      <c r="A8629" s="7">
        <f ca="1">IFERROR(__xludf.DUMMYFUNCTION("""COMPUTED_VALUE"""),44711)</f>
        <v>44711</v>
      </c>
      <c r="B8629" s="8" t="str">
        <f ca="1">IFERROR(__xludf.DUMMYFUNCTION("""COMPUTED_VALUE"""),"-33.257144,-70.697549")</f>
        <v>-33.257144,-70.697549</v>
      </c>
      <c r="C8629" s="6" t="str">
        <f ca="1">IFERROR(__xludf.DUMMYFUNCTION("""COMPUTED_VALUE"""),"CALETERA SAN MARTIN 20 A")</f>
        <v>CALETERA SAN MARTIN 20 A</v>
      </c>
      <c r="D8629" s="6" t="str">
        <f ca="1">IFERROR(__xludf.DUMMYFUNCTION("""COMPUTED_VALUE"""),"COLINA")</f>
        <v>COLINA</v>
      </c>
    </row>
    <row r="8630" spans="1:4">
      <c r="A8630" s="7">
        <f ca="1">IFERROR(__xludf.DUMMYFUNCTION("""COMPUTED_VALUE"""),44711)</f>
        <v>44711</v>
      </c>
      <c r="B8630" s="8" t="str">
        <f ca="1">IFERROR(__xludf.DUMMYFUNCTION("""COMPUTED_VALUE"""),"-33.287124,-70.712469")</f>
        <v>-33.287124,-70.712469</v>
      </c>
      <c r="C8630" s="6" t="str">
        <f ca="1">IFERROR(__xludf.DUMMYFUNCTION("""COMPUTED_VALUE"""),"LOS LIRIOS 80")</f>
        <v>LOS LIRIOS 80</v>
      </c>
      <c r="D8630" s="6" t="str">
        <f ca="1">IFERROR(__xludf.DUMMYFUNCTION("""COMPUTED_VALUE"""),"COLINA")</f>
        <v>COLINA</v>
      </c>
    </row>
    <row r="8631" spans="1:4">
      <c r="A8631" s="7">
        <f ca="1">IFERROR(__xludf.DUMMYFUNCTION("""COMPUTED_VALUE"""),44711)</f>
        <v>44711</v>
      </c>
      <c r="B8631" s="8" t="str">
        <f ca="1">IFERROR(__xludf.DUMMYFUNCTION("""COMPUTED_VALUE"""),"-33.2954754,-70.8711901")</f>
        <v>-33.2954754,-70.8711901</v>
      </c>
      <c r="C8631" s="6" t="str">
        <f ca="1">IFERROR(__xludf.DUMMYFUNCTION("""COMPUTED_VALUE"""),"LA FRONTERA 2270")</f>
        <v>LA FRONTERA 2270</v>
      </c>
      <c r="D8631" s="6" t="str">
        <f ca="1">IFERROR(__xludf.DUMMYFUNCTION("""COMPUTED_VALUE"""),"LAMPA")</f>
        <v>LAMPA</v>
      </c>
    </row>
    <row r="8632" spans="1:4">
      <c r="A8632" s="7">
        <f ca="1">IFERROR(__xludf.DUMMYFUNCTION("""COMPUTED_VALUE"""),44711)</f>
        <v>44711</v>
      </c>
      <c r="B8632" s="6" t="str">
        <f ca="1">IFERROR(__xludf.DUMMYFUNCTION("""COMPUTED_VALUE"""),"-33.744842,-70.867114")</f>
        <v>-33.744842,-70.867114</v>
      </c>
      <c r="C8632" s="6" t="str">
        <f ca="1">IFERROR(__xludf.DUMMYFUNCTION("""COMPUTED_VALUE"""),"PA PETA OLEGARIO MENDEZ BUSTOS 180")</f>
        <v>PA PETA OLEGARIO MENDEZ BUSTOS 180</v>
      </c>
      <c r="D8632" s="6" t="str">
        <f ca="1">IFERROR(__xludf.DUMMYFUNCTION("""COMPUTED_VALUE"""),"ISLA DE MAIPO")</f>
        <v>ISLA DE MAIPO</v>
      </c>
    </row>
    <row r="8633" spans="1:4">
      <c r="A8633" s="7">
        <f ca="1">IFERROR(__xludf.DUMMYFUNCTION("""COMPUTED_VALUE"""),44711)</f>
        <v>44711</v>
      </c>
      <c r="B8633" s="8" t="str">
        <f ca="1">IFERROR(__xludf.DUMMYFUNCTION("""COMPUTED_VALUE"""),"-33.729873,-70.550563")</f>
        <v>-33.729873,-70.550563</v>
      </c>
      <c r="C8633" s="6" t="str">
        <f ca="1">IFERROR(__xludf.DUMMYFUNCTION("""COMPUTED_VALUE"""),"LAS ACACIAS 11136")</f>
        <v>LAS ACACIAS 11136</v>
      </c>
      <c r="D8633" s="6" t="str">
        <f ca="1">IFERROR(__xludf.DUMMYFUNCTION("""COMPUTED_VALUE"""),"PIRQUE")</f>
        <v>PIRQUE</v>
      </c>
    </row>
    <row r="8634" spans="1:4">
      <c r="A8634" s="7">
        <f ca="1">IFERROR(__xludf.DUMMYFUNCTION("""COMPUTED_VALUE"""),44711)</f>
        <v>44711</v>
      </c>
      <c r="B8634" s="8" t="str">
        <f ca="1">IFERROR(__xludf.DUMMYFUNCTION("""COMPUTED_VALUE"""),"-33.680546,-71.223274")</f>
        <v>-33.680546,-71.223274</v>
      </c>
      <c r="C8634" s="6" t="str">
        <f ca="1">IFERROR(__xludf.DUMMYFUNCTION("""COMPUTED_VALUE"""),"PA EL MANIO 71 ")</f>
        <v xml:space="preserve">PA EL MANIO 71 </v>
      </c>
      <c r="D8634" s="6" t="str">
        <f ca="1">IFERROR(__xludf.DUMMYFUNCTION("""COMPUTED_VALUE"""),"MELIPILLA")</f>
        <v>MELIPILLA</v>
      </c>
    </row>
    <row r="8635" spans="1:4">
      <c r="A8635" s="7">
        <f ca="1">IFERROR(__xludf.DUMMYFUNCTION("""COMPUTED_VALUE"""),44711)</f>
        <v>44711</v>
      </c>
      <c r="B8635" s="8" t="str">
        <f ca="1">IFERROR(__xludf.DUMMYFUNCTION("""COMPUTED_VALUE"""),"-33.491627,-71.172671")</f>
        <v>-33.491627,-71.172671</v>
      </c>
      <c r="C8635" s="6" t="str">
        <f ca="1">IFERROR(__xludf.DUMMYFUNCTION("""COMPUTED_VALUE"""),"PASAJE LOS RIOS S/N ")</f>
        <v xml:space="preserve">PASAJE LOS RIOS S/N </v>
      </c>
      <c r="D8635" s="6" t="str">
        <f ca="1">IFERROR(__xludf.DUMMYFUNCTION("""COMPUTED_VALUE"""),"MARIA PINTO")</f>
        <v>MARIA PINTO</v>
      </c>
    </row>
    <row r="8636" spans="1:4">
      <c r="A8636" s="7">
        <f ca="1">IFERROR(__xludf.DUMMYFUNCTION("""COMPUTED_VALUE"""),44711)</f>
        <v>44711</v>
      </c>
      <c r="B8636" s="6" t="str">
        <f ca="1">IFERROR(__xludf.DUMMYFUNCTION("""COMPUTED_VALUE"""),"-33.888918,-70.725022")</f>
        <v>-33.888918,-70.725022</v>
      </c>
      <c r="C8636" s="6" t="str">
        <f ca="1">IFERROR(__xludf.DUMMYFUNCTION("""COMPUTED_VALUE"""),"MEDIA LUNA HOSPITAL PARC 175")</f>
        <v>MEDIA LUNA HOSPITAL PARC 175</v>
      </c>
      <c r="D8636" s="6" t="str">
        <f ca="1">IFERROR(__xludf.DUMMYFUNCTION("""COMPUTED_VALUE"""),"PAINE")</f>
        <v>PAINE</v>
      </c>
    </row>
    <row r="8637" spans="1:4">
      <c r="A8637" s="7">
        <f ca="1">IFERROR(__xludf.DUMMYFUNCTION("""COMPUTED_VALUE"""),44711)</f>
        <v>44711</v>
      </c>
      <c r="B8637" s="6" t="str">
        <f ca="1">IFERROR(__xludf.DUMMYFUNCTION("""COMPUTED_VALUE"""),"-33.810831,-70.739200")</f>
        <v>-33.810831,-70.739200</v>
      </c>
      <c r="C8637" s="6" t="str">
        <f ca="1">IFERROR(__xludf.DUMMYFUNCTION("""COMPUTED_VALUE"""),"DOS ORIENTE 772")</f>
        <v>DOS ORIENTE 772</v>
      </c>
      <c r="D8637" s="6" t="str">
        <f ca="1">IFERROR(__xludf.DUMMYFUNCTION("""COMPUTED_VALUE"""),"PAINE")</f>
        <v>PAINE</v>
      </c>
    </row>
    <row r="8638" spans="1:4">
      <c r="A8638" s="7">
        <f ca="1">IFERROR(__xludf.DUMMYFUNCTION("""COMPUTED_VALUE"""),44711)</f>
        <v>44711</v>
      </c>
      <c r="B8638" s="6" t="str">
        <f ca="1">IFERROR(__xludf.DUMMYFUNCTION("""COMPUTED_VALUE"""),"-33.820233,-70.737427")</f>
        <v>-33.820233,-70.737427</v>
      </c>
      <c r="C8638" s="6" t="str">
        <f ca="1">IFERROR(__xludf.DUMMYFUNCTION("""COMPUTED_VALUE"""),"BUIN 1550")</f>
        <v>BUIN 1550</v>
      </c>
      <c r="D8638" s="6" t="str">
        <f ca="1">IFERROR(__xludf.DUMMYFUNCTION("""COMPUTED_VALUE"""),"PAINE")</f>
        <v>PAINE</v>
      </c>
    </row>
    <row r="8639" spans="1:4">
      <c r="A8639" s="7">
        <f ca="1">IFERROR(__xludf.DUMMYFUNCTION("""COMPUTED_VALUE"""),44711)</f>
        <v>44711</v>
      </c>
      <c r="B8639" s="6" t="str">
        <f ca="1">IFERROR(__xludf.DUMMYFUNCTION("""COMPUTED_VALUE"""),"-33.804995,-70.739274")</f>
        <v>-33.804995,-70.739274</v>
      </c>
      <c r="C8639" s="6" t="str">
        <f ca="1">IFERROR(__xludf.DUMMYFUNCTION("""COMPUTED_VALUE"""),"PASAJE TRES 87")</f>
        <v>PASAJE TRES 87</v>
      </c>
      <c r="D8639" s="6" t="str">
        <f ca="1">IFERROR(__xludf.DUMMYFUNCTION("""COMPUTED_VALUE"""),"PAINE")</f>
        <v>PAINE</v>
      </c>
    </row>
    <row r="8640" spans="1:4">
      <c r="A8640" s="7">
        <f ca="1">IFERROR(__xludf.DUMMYFUNCTION("""COMPUTED_VALUE"""),44712)</f>
        <v>44712</v>
      </c>
      <c r="B8640" s="8" t="str">
        <f ca="1">IFERROR(__xludf.DUMMYFUNCTION("""COMPUTED_VALUE"""),"-33.7354844, -70.86034")</f>
        <v>-33.7354844, -70.86034</v>
      </c>
      <c r="C8640" s="6" t="str">
        <f ca="1">IFERROR(__xludf.DUMMYFUNCTION("""COMPUTED_VALUE"""),"ESTERO ANGOSTURA 160")</f>
        <v>ESTERO ANGOSTURA 160</v>
      </c>
      <c r="D8640" s="6" t="str">
        <f ca="1">IFERROR(__xludf.DUMMYFUNCTION("""COMPUTED_VALUE"""),"ISLA DE MAIPO")</f>
        <v>ISLA DE MAIPO</v>
      </c>
    </row>
    <row r="8641" spans="1:4">
      <c r="A8641" s="7">
        <f ca="1">IFERROR(__xludf.DUMMYFUNCTION("""COMPUTED_VALUE"""),44712)</f>
        <v>44712</v>
      </c>
      <c r="B8641" s="8" t="str">
        <f ca="1">IFERROR(__xludf.DUMMYFUNCTION("""COMPUTED_VALUE"""),"-33.6528804, -70.9290039")</f>
        <v>-33.6528804, -70.9290039</v>
      </c>
      <c r="C8641" s="6" t="str">
        <f ca="1">IFERROR(__xludf.DUMMYFUNCTION("""COMPUTED_VALUE"""),"CARLOS CAMACHO 82")</f>
        <v>CARLOS CAMACHO 82</v>
      </c>
      <c r="D8641" s="6" t="str">
        <f ca="1">IFERROR(__xludf.DUMMYFUNCTION("""COMPUTED_VALUE"""),"TALAGANTE")</f>
        <v>TALAGANTE</v>
      </c>
    </row>
    <row r="8642" spans="1:4">
      <c r="A8642" s="7">
        <f ca="1">IFERROR(__xludf.DUMMYFUNCTION("""COMPUTED_VALUE"""),44712)</f>
        <v>44712</v>
      </c>
      <c r="B8642" s="8" t="str">
        <f ca="1">IFERROR(__xludf.DUMMYFUNCTION("""COMPUTED_VALUE"""),"-33.7241166, -70.579062")</f>
        <v>-33.7241166, -70.579062</v>
      </c>
      <c r="C8642" s="6" t="str">
        <f ca="1">IFERROR(__xludf.DUMMYFUNCTION("""COMPUTED_VALUE"""),"RINCONADA DEL PRINCIPAL PARCELA 50B")</f>
        <v>RINCONADA DEL PRINCIPAL PARCELA 50B</v>
      </c>
      <c r="D8642" s="6" t="str">
        <f ca="1">IFERROR(__xludf.DUMMYFUNCTION("""COMPUTED_VALUE"""),"PIRQUE")</f>
        <v>PIRQUE</v>
      </c>
    </row>
    <row r="8643" spans="1:4">
      <c r="A8643" s="7">
        <f ca="1">IFERROR(__xludf.DUMMYFUNCTION("""COMPUTED_VALUE"""),44712)</f>
        <v>44712</v>
      </c>
      <c r="B8643" s="6" t="str">
        <f ca="1">IFERROR(__xludf.DUMMYFUNCTION("""COMPUTED_VALUE"""),"-33.813807-70.739206")</f>
        <v>-33.813807-70.739206</v>
      </c>
      <c r="C8643" s="6" t="str">
        <f ca="1">IFERROR(__xludf.DUMMYFUNCTION("""COMPUTED_VALUE"""),"LOS LIRIOS 931")</f>
        <v>LOS LIRIOS 931</v>
      </c>
      <c r="D8643" s="6" t="str">
        <f ca="1">IFERROR(__xludf.DUMMYFUNCTION("""COMPUTED_VALUE"""),"PAINE")</f>
        <v>PAINE</v>
      </c>
    </row>
    <row r="8644" spans="1:4">
      <c r="A8644" s="7">
        <f ca="1">IFERROR(__xludf.DUMMYFUNCTION("""COMPUTED_VALUE"""),44712)</f>
        <v>44712</v>
      </c>
      <c r="B8644" s="6" t="str">
        <f ca="1">IFERROR(__xludf.DUMMYFUNCTION("""COMPUTED_VALUE"""),"-33.871017-70.851510")</f>
        <v>-33.871017-70.851510</v>
      </c>
      <c r="C8644" s="6" t="str">
        <f ca="1">IFERROR(__xludf.DUMMYFUNCTION("""COMPUTED_VALUE"""),"EL MANZANITO PARC 13")</f>
        <v>EL MANZANITO PARC 13</v>
      </c>
      <c r="D8644" s="6" t="str">
        <f ca="1">IFERROR(__xludf.DUMMYFUNCTION("""COMPUTED_VALUE"""),"PAINE")</f>
        <v>PAINE</v>
      </c>
    </row>
    <row r="8645" spans="1:4">
      <c r="A8645" s="7">
        <f ca="1">IFERROR(__xludf.DUMMYFUNCTION("""COMPUTED_VALUE"""),44712)</f>
        <v>44712</v>
      </c>
      <c r="B8645" s="6" t="str">
        <f ca="1">IFERROR(__xludf.DUMMYFUNCTION("""COMPUTED_VALUE"""),"-33.864263-70.852177")</f>
        <v>-33.864263-70.852177</v>
      </c>
      <c r="C8645" s="6" t="str">
        <f ca="1">IFERROR(__xludf.DUMMYFUNCTION("""COMPUTED_VALUE"""),"EL MANZANITO PARC 13")</f>
        <v>EL MANZANITO PARC 13</v>
      </c>
      <c r="D8645" s="6" t="str">
        <f ca="1">IFERROR(__xludf.DUMMYFUNCTION("""COMPUTED_VALUE"""),"PAINE")</f>
        <v>PAINE</v>
      </c>
    </row>
    <row r="8646" spans="1:4">
      <c r="A8646" s="7">
        <f ca="1">IFERROR(__xludf.DUMMYFUNCTION("""COMPUTED_VALUE"""),44712)</f>
        <v>44712</v>
      </c>
      <c r="B8646" s="6" t="str">
        <f ca="1">IFERROR(__xludf.DUMMYFUNCTION("""COMPUTED_VALUE"""),"-33.863978-70.852048")</f>
        <v>-33.863978-70.852048</v>
      </c>
      <c r="C8646" s="6" t="str">
        <f ca="1">IFERROR(__xludf.DUMMYFUNCTION("""COMPUTED_VALUE"""),"EL MANZANITO PARC 13")</f>
        <v>EL MANZANITO PARC 13</v>
      </c>
      <c r="D8646" s="6" t="str">
        <f ca="1">IFERROR(__xludf.DUMMYFUNCTION("""COMPUTED_VALUE"""),"PAINE")</f>
        <v>PAINE</v>
      </c>
    </row>
    <row r="8647" spans="1:4">
      <c r="A8647" s="7">
        <f ca="1">IFERROR(__xludf.DUMMYFUNCTION("""COMPUTED_VALUE"""),44712)</f>
        <v>44712</v>
      </c>
      <c r="B8647" s="6" t="str">
        <f ca="1">IFERROR(__xludf.DUMMYFUNCTION("""COMPUTED_VALUE"""),"-33.732975-70.552960")</f>
        <v>-33.732975-70.552960</v>
      </c>
      <c r="C8647" s="6" t="str">
        <f ca="1">IFERROR(__xludf.DUMMYFUNCTION("""COMPUTED_VALUE"""),"CAMINO LOS GALLINEROS SITIO 91 C")</f>
        <v>CAMINO LOS GALLINEROS SITIO 91 C</v>
      </c>
      <c r="D8647" s="6" t="str">
        <f ca="1">IFERROR(__xludf.DUMMYFUNCTION("""COMPUTED_VALUE"""),"PIRQUE")</f>
        <v>PIRQUE</v>
      </c>
    </row>
    <row r="8648" spans="1:4">
      <c r="A8648" s="7">
        <f ca="1">IFERROR(__xludf.DUMMYFUNCTION("""COMPUTED_VALUE"""),44712)</f>
        <v>44712</v>
      </c>
      <c r="B8648" s="6" t="str">
        <f ca="1">IFERROR(__xludf.DUMMYFUNCTION("""COMPUTED_VALUE"""),"-33.878235-70.738740")</f>
        <v>-33.878235-70.738740</v>
      </c>
      <c r="C8648" s="6" t="str">
        <f ca="1">IFERROR(__xludf.DUMMYFUNCTION("""COMPUTED_VALUE"""),"CAMINO INTERIOR S/N")</f>
        <v>CAMINO INTERIOR S/N</v>
      </c>
      <c r="D8648" s="6" t="str">
        <f ca="1">IFERROR(__xludf.DUMMYFUNCTION("""COMPUTED_VALUE"""),"PAINE")</f>
        <v>PAINE</v>
      </c>
    </row>
    <row r="8649" spans="1:4">
      <c r="A8649" s="7">
        <f ca="1">IFERROR(__xludf.DUMMYFUNCTION("""COMPUTED_VALUE"""),44712)</f>
        <v>44712</v>
      </c>
      <c r="B8649" s="6" t="str">
        <f ca="1">IFERROR(__xludf.DUMMYFUNCTION("""COMPUTED_VALUE"""),"-33.845791-70.954506")</f>
        <v>-33.845791-70.954506</v>
      </c>
      <c r="C8649" s="6" t="str">
        <f ca="1">IFERROR(__xludf.DUMMYFUNCTION("""COMPUTED_VALUE"""),"ALFONSO LETELIER 34 LOTE 10")</f>
        <v>ALFONSO LETELIER 34 LOTE 10</v>
      </c>
      <c r="D8649" s="6" t="str">
        <f ca="1">IFERROR(__xludf.DUMMYFUNCTION("""COMPUTED_VALUE"""),"PAINE")</f>
        <v>PAINE</v>
      </c>
    </row>
    <row r="8650" spans="1:4">
      <c r="A8650" s="7">
        <f ca="1">IFERROR(__xludf.DUMMYFUNCTION("""COMPUTED_VALUE"""),44712)</f>
        <v>44712</v>
      </c>
      <c r="B8650" s="6" t="str">
        <f ca="1">IFERROR(__xludf.DUMMYFUNCTION("""COMPUTED_VALUE"""),"-33.831906-70.773157")</f>
        <v>-33.831906-70.773157</v>
      </c>
      <c r="C8650" s="6" t="str">
        <f ca="1">IFERROR(__xludf.DUMMYFUNCTION("""COMPUTED_VALUE"""),"COL DE PAINE 70")</f>
        <v>COL DE PAINE 70</v>
      </c>
      <c r="D8650" s="6" t="str">
        <f ca="1">IFERROR(__xludf.DUMMYFUNCTION("""COMPUTED_VALUE"""),"PAINE")</f>
        <v>PAINE</v>
      </c>
    </row>
    <row r="8651" spans="1:4">
      <c r="A8651" s="7">
        <f ca="1">IFERROR(__xludf.DUMMYFUNCTION("""COMPUTED_VALUE"""),44712)</f>
        <v>44712</v>
      </c>
      <c r="B8651" s="6" t="str">
        <f ca="1">IFERROR(__xludf.DUMMYFUNCTION("""COMPUTED_VALUE"""),"-33.860475-70.724710")</f>
        <v>-33.860475-70.724710</v>
      </c>
      <c r="C8651" s="6" t="str">
        <f ca="1">IFERROR(__xludf.DUMMYFUNCTION("""COMPUTED_VALUE"""),"AV. EL ROMERO PARC 69")</f>
        <v>AV. EL ROMERO PARC 69</v>
      </c>
      <c r="D8651" s="6" t="str">
        <f ca="1">IFERROR(__xludf.DUMMYFUNCTION("""COMPUTED_VALUE"""),"PAINE")</f>
        <v>PAINE</v>
      </c>
    </row>
    <row r="8652" spans="1:4">
      <c r="A8652" s="7">
        <f ca="1">IFERROR(__xludf.DUMMYFUNCTION("""COMPUTED_VALUE"""),44712)</f>
        <v>44712</v>
      </c>
      <c r="B8652" s="8" t="str">
        <f ca="1">IFERROR(__xludf.DUMMYFUNCTION("""COMPUTED_VALUE"""),"-33.683568,-71.195606")</f>
        <v>-33.683568,-71.195606</v>
      </c>
      <c r="C8652" s="6" t="str">
        <f ca="1">IFERROR(__xludf.DUMMYFUNCTION("""COMPUTED_VALUE"""),"GEORGE FRIEDRICAL HAENEL 25F")</f>
        <v>GEORGE FRIEDRICAL HAENEL 25F</v>
      </c>
      <c r="D8652" s="6" t="str">
        <f ca="1">IFERROR(__xludf.DUMMYFUNCTION("""COMPUTED_VALUE"""),"MELIPILLA")</f>
        <v>MELIPILLA</v>
      </c>
    </row>
    <row r="8653" spans="1:4">
      <c r="A8653" s="7">
        <f ca="1">IFERROR(__xludf.DUMMYFUNCTION("""COMPUTED_VALUE"""),44712)</f>
        <v>44712</v>
      </c>
      <c r="B8653" s="8" t="str">
        <f ca="1">IFERROR(__xludf.DUMMYFUNCTION("""COMPUTED_VALUE"""),"-33.675723,-71.213503")</f>
        <v>-33.675723,-71.213503</v>
      </c>
      <c r="C8653" s="6" t="str">
        <f ca="1">IFERROR(__xludf.DUMMYFUNCTION("""COMPUTED_VALUE"""),"SANTIAGO DE AZOCARY 451")</f>
        <v>SANTIAGO DE AZOCARY 451</v>
      </c>
      <c r="D8653" s="6" t="str">
        <f ca="1">IFERROR(__xludf.DUMMYFUNCTION("""COMPUTED_VALUE"""),"MELIPILLA")</f>
        <v>MELIPILLA</v>
      </c>
    </row>
    <row r="8654" spans="1:4">
      <c r="A8654" s="7">
        <f ca="1">IFERROR(__xludf.DUMMYFUNCTION("""COMPUTED_VALUE"""),44712)</f>
        <v>44712</v>
      </c>
      <c r="B8654" s="8" t="str">
        <f ca="1">IFERROR(__xludf.DUMMYFUNCTION("""COMPUTED_VALUE"""),"-33.385775,-70.34262W")</f>
        <v>-33.385775,-70.34262W</v>
      </c>
      <c r="C8654" s="6" t="str">
        <f ca="1">IFERROR(__xludf.DUMMYFUNCTION("""COMPUTED_VALUE"""),"CARLOS VIAL INFANTE PC.14 , LOTE 8")</f>
        <v>CARLOS VIAL INFANTE PC.14 , LOTE 8</v>
      </c>
      <c r="D8654" s="6" t="str">
        <f ca="1">IFERROR(__xludf.DUMMYFUNCTION("""COMPUTED_VALUE"""),"PIRQUE")</f>
        <v>PIRQUE</v>
      </c>
    </row>
    <row r="8655" spans="1:4">
      <c r="A8655" s="7">
        <f ca="1">IFERROR(__xludf.DUMMYFUNCTION("""COMPUTED_VALUE"""),44712)</f>
        <v>44712</v>
      </c>
      <c r="B8655" s="8" t="str">
        <f ca="1">IFERROR(__xludf.DUMMYFUNCTION("""COMPUTED_VALUE"""),"-33.385775,-70.34262W")</f>
        <v>-33.385775,-70.34262W</v>
      </c>
      <c r="C8655" s="6" t="str">
        <f ca="1">IFERROR(__xludf.DUMMYFUNCTION("""COMPUTED_VALUE"""),"CARLOS VIAL INFANTE PC.14 , LOTE 8")</f>
        <v>CARLOS VIAL INFANTE PC.14 , LOTE 8</v>
      </c>
      <c r="D8655" s="6" t="str">
        <f ca="1">IFERROR(__xludf.DUMMYFUNCTION("""COMPUTED_VALUE"""),"PIRQUE")</f>
        <v>PIRQUE</v>
      </c>
    </row>
    <row r="8656" spans="1:4">
      <c r="A8656" s="7">
        <f ca="1">IFERROR(__xludf.DUMMYFUNCTION("""COMPUTED_VALUE"""),44712)</f>
        <v>44712</v>
      </c>
      <c r="B8656" s="8" t="str">
        <f ca="1">IFERROR(__xludf.DUMMYFUNCTION("""COMPUTED_VALUE"""),"-33.6523263,-70.9037212")</f>
        <v>-33.6523263,-70.9037212</v>
      </c>
      <c r="C8656" s="6" t="str">
        <f ca="1">IFERROR(__xludf.DUMMYFUNCTION("""COMPUTED_VALUE"""),"LOS CIRUELOS CASA 700 PJE 4")</f>
        <v>LOS CIRUELOS CASA 700 PJE 4</v>
      </c>
      <c r="D8656" s="6" t="str">
        <f ca="1">IFERROR(__xludf.DUMMYFUNCTION("""COMPUTED_VALUE"""),"TALAGANTE")</f>
        <v>TALAGANTE</v>
      </c>
    </row>
    <row r="8657" spans="1:4">
      <c r="A8657" s="7">
        <f ca="1">IFERROR(__xludf.DUMMYFUNCTION("""COMPUTED_VALUE"""),44712)</f>
        <v>44712</v>
      </c>
      <c r="B8657" s="6" t="str">
        <f ca="1">IFERROR(__xludf.DUMMYFUNCTION("""COMPUTED_VALUE"""),"-33.756622,-70.896376")</f>
        <v>-33.756622,-70.896376</v>
      </c>
      <c r="C8657" s="6" t="str">
        <f ca="1">IFERROR(__xludf.DUMMYFUNCTION("""COMPUTED_VALUE"""),"GALVEZ 14")</f>
        <v>GALVEZ 14</v>
      </c>
      <c r="D8657" s="6" t="str">
        <f ca="1">IFERROR(__xludf.DUMMYFUNCTION("""COMPUTED_VALUE"""),"ISLA DE MAIPO")</f>
        <v>ISLA DE MAIPO</v>
      </c>
    </row>
    <row r="8658" spans="1:4">
      <c r="A8658" s="7">
        <f ca="1">IFERROR(__xludf.DUMMYFUNCTION("""COMPUTED_VALUE"""),44712)</f>
        <v>44712</v>
      </c>
      <c r="B8658" s="6" t="str">
        <f ca="1">IFERROR(__xludf.DUMMYFUNCTION("""COMPUTED_VALUE"""),"-33.732473,-70.764258")</f>
        <v>-33.732473,-70.764258</v>
      </c>
      <c r="C8658" s="6" t="str">
        <f ca="1">IFERROR(__xludf.DUMMYFUNCTION("""COMPUTED_VALUE"""),"PA JORGE CARUZ PONCE 2217 C H SANTA ADELA ")</f>
        <v xml:space="preserve">PA JORGE CARUZ PONCE 2217 C H SANTA ADELA </v>
      </c>
      <c r="D8658" s="6" t="str">
        <f ca="1">IFERROR(__xludf.DUMMYFUNCTION("""COMPUTED_VALUE"""),"BUIN")</f>
        <v>BUIN</v>
      </c>
    </row>
    <row r="8659" spans="1:4">
      <c r="A8659" s="7">
        <f ca="1">IFERROR(__xludf.DUMMYFUNCTION("""COMPUTED_VALUE"""),44712)</f>
        <v>44712</v>
      </c>
      <c r="B8659" s="8" t="str">
        <f ca="1">IFERROR(__xludf.DUMMYFUNCTION("""COMPUTED_VALUE"""),"-33.735168,-70.683531")</f>
        <v>-33.735168,-70.683531</v>
      </c>
      <c r="C8659" s="6" t="str">
        <f ca="1">IFERROR(__xludf.DUMMYFUNCTION("""COMPUTED_VALUE"""),"EL MOLINO 111")</f>
        <v>EL MOLINO 111</v>
      </c>
      <c r="D8659" s="6" t="str">
        <f ca="1">IFERROR(__xludf.DUMMYFUNCTION("""COMPUTED_VALUE"""),"BUIN")</f>
        <v>BUIN</v>
      </c>
    </row>
    <row r="8660" spans="1:4">
      <c r="A8660" s="7">
        <f ca="1">IFERROR(__xludf.DUMMYFUNCTION("""COMPUTED_VALUE"""),44712)</f>
        <v>44712</v>
      </c>
      <c r="B8660" s="8" t="str">
        <f ca="1">IFERROR(__xludf.DUMMYFUNCTION("""COMPUTED_VALUE"""),"-33.756071,-70.893591")</f>
        <v>-33.756071,-70.893591</v>
      </c>
      <c r="C8660" s="6" t="str">
        <f ca="1">IFERROR(__xludf.DUMMYFUNCTION("""COMPUTED_VALUE"""),"PRIMAVERA SUR 145")</f>
        <v>PRIMAVERA SUR 145</v>
      </c>
      <c r="D8660" s="6" t="str">
        <f ca="1">IFERROR(__xludf.DUMMYFUNCTION("""COMPUTED_VALUE"""),"ISLA DE MAIPO")</f>
        <v>ISLA DE MAIPO</v>
      </c>
    </row>
    <row r="8661" spans="1:4">
      <c r="A8661" s="7">
        <f ca="1">IFERROR(__xludf.DUMMYFUNCTION("""COMPUTED_VALUE"""),44712)</f>
        <v>44712</v>
      </c>
      <c r="B8661" s="8" t="str">
        <f ca="1">IFERROR(__xludf.DUMMYFUNCTION("""COMPUTED_VALUE"""),"-33.658673,-70.918798")</f>
        <v>-33.658673,-70.918798</v>
      </c>
      <c r="C8661" s="6" t="str">
        <f ca="1">IFERROR(__xludf.DUMMYFUNCTION("""COMPUTED_VALUE"""),"LEONARDO PHILLIPS 656")</f>
        <v>LEONARDO PHILLIPS 656</v>
      </c>
      <c r="D8661" s="6" t="str">
        <f ca="1">IFERROR(__xludf.DUMMYFUNCTION("""COMPUTED_VALUE"""),"TALAGANTE")</f>
        <v>TALAGANTE</v>
      </c>
    </row>
    <row r="8662" spans="1:4">
      <c r="A8662" s="7">
        <f ca="1">IFERROR(__xludf.DUMMYFUNCTION("""COMPUTED_VALUE"""),44712)</f>
        <v>44712</v>
      </c>
      <c r="B8662" s="6" t="str">
        <f ca="1">IFERROR(__xludf.DUMMYFUNCTION("""COMPUTED_VALUE"""),"-33.794375,-70.779314")</f>
        <v>-33.794375,-70.779314</v>
      </c>
      <c r="C8662" s="6" t="str">
        <f ca="1">IFERROR(__xludf.DUMMYFUNCTION("""COMPUTED_VALUE"""),"VILUCO PARC. STA. TERESA 3627")</f>
        <v>VILUCO PARC. STA. TERESA 3627</v>
      </c>
      <c r="D8662" s="6" t="str">
        <f ca="1">IFERROR(__xludf.DUMMYFUNCTION("""COMPUTED_VALUE"""),"BUIN")</f>
        <v>BUIN</v>
      </c>
    </row>
    <row r="8663" spans="1:4">
      <c r="A8663" s="7">
        <f ca="1">IFERROR(__xludf.DUMMYFUNCTION("""COMPUTED_VALUE"""),44712)</f>
        <v>44712</v>
      </c>
      <c r="B8663" s="6" t="str">
        <f ca="1">IFERROR(__xludf.DUMMYFUNCTION("""COMPUTED_VALUE"""),"-33.2515827,-70.7056564")</f>
        <v>-33.2515827,-70.7056564</v>
      </c>
      <c r="C8663" s="6" t="str">
        <f ca="1">IFERROR(__xludf.DUMMYFUNCTION("""COMPUTED_VALUE"""),"SAN JOSE 19")</f>
        <v>SAN JOSE 19</v>
      </c>
      <c r="D8663" s="6" t="str">
        <f ca="1">IFERROR(__xludf.DUMMYFUNCTION("""COMPUTED_VALUE"""),"COLINA")</f>
        <v>COLINA</v>
      </c>
    </row>
    <row r="8664" spans="1:4">
      <c r="A8664" s="7">
        <f ca="1">IFERROR(__xludf.DUMMYFUNCTION("""COMPUTED_VALUE"""),44712)</f>
        <v>44712</v>
      </c>
      <c r="B8664" s="6" t="str">
        <f ca="1">IFERROR(__xludf.DUMMYFUNCTION("""COMPUTED_VALUE"""),"-33.1846768,-70.6557157")</f>
        <v>-33.1846768,-70.6557157</v>
      </c>
      <c r="C8664" s="6" t="str">
        <f ca="1">IFERROR(__xludf.DUMMYFUNCTION("""COMPUTED_VALUE"""),"CALLE C 104")</f>
        <v>CALLE C 104</v>
      </c>
      <c r="D8664" s="6" t="str">
        <f ca="1">IFERROR(__xludf.DUMMYFUNCTION("""COMPUTED_VALUE"""),"COLINA")</f>
        <v>COLINA</v>
      </c>
    </row>
    <row r="8665" spans="1:4">
      <c r="A8665" s="7">
        <f ca="1">IFERROR(__xludf.DUMMYFUNCTION("""COMPUTED_VALUE"""),44712)</f>
        <v>44712</v>
      </c>
      <c r="B8665" s="6" t="str">
        <f ca="1">IFERROR(__xludf.DUMMYFUNCTION("""COMPUTED_VALUE"""),"-33.873234,-70.744242")</f>
        <v>-33.873234,-70.744242</v>
      </c>
      <c r="C8665" s="6" t="str">
        <f ca="1">IFERROR(__xludf.DUMMYFUNCTION("""COMPUTED_VALUE"""),"DIEGO PORTALES SUR 26")</f>
        <v>DIEGO PORTALES SUR 26</v>
      </c>
      <c r="D8665" s="6" t="str">
        <f ca="1">IFERROR(__xludf.DUMMYFUNCTION("""COMPUTED_VALUE"""),"PAINE")</f>
        <v>PAINE</v>
      </c>
    </row>
    <row r="8666" spans="1:4">
      <c r="A8666" s="7">
        <f ca="1">IFERROR(__xludf.DUMMYFUNCTION("""COMPUTED_VALUE"""),44712)</f>
        <v>44712</v>
      </c>
      <c r="B8666" s="6" t="str">
        <f ca="1">IFERROR(__xludf.DUMMYFUNCTION("""COMPUTED_VALUE"""),"-33.873648,-70.744347")</f>
        <v>-33.873648,-70.744347</v>
      </c>
      <c r="C8666" s="6" t="str">
        <f ca="1">IFERROR(__xludf.DUMMYFUNCTION("""COMPUTED_VALUE"""),"EL PORVENIR 41")</f>
        <v>EL PORVENIR 41</v>
      </c>
      <c r="D8666" s="6" t="str">
        <f ca="1">IFERROR(__xludf.DUMMYFUNCTION("""COMPUTED_VALUE"""),"PAINE")</f>
        <v>PAINE</v>
      </c>
    </row>
    <row r="8667" spans="1:4">
      <c r="A8667" s="7">
        <f ca="1">IFERROR(__xludf.DUMMYFUNCTION("""COMPUTED_VALUE"""),44713)</f>
        <v>44713</v>
      </c>
      <c r="B8667" s="8" t="str">
        <f ca="1">IFERROR(__xludf.DUMMYFUNCTION("""COMPUTED_VALUE"""),"-33.7388311, -70.7397961")</f>
        <v>-33.7388311, -70.7397961</v>
      </c>
      <c r="C8667" s="6" t="str">
        <f ca="1">IFERROR(__xludf.DUMMYFUNCTION("""COMPUTED_VALUE"""),"ANIBAL PINTO 743")</f>
        <v>ANIBAL PINTO 743</v>
      </c>
      <c r="D8667" s="6" t="str">
        <f ca="1">IFERROR(__xludf.DUMMYFUNCTION("""COMPUTED_VALUE"""),"BUIN")</f>
        <v>BUIN</v>
      </c>
    </row>
    <row r="8668" spans="1:4">
      <c r="A8668" s="7">
        <f ca="1">IFERROR(__xludf.DUMMYFUNCTION("""COMPUTED_VALUE"""),44713)</f>
        <v>44713</v>
      </c>
      <c r="B8668" s="8" t="str">
        <f ca="1">IFERROR(__xludf.DUMMYFUNCTION("""COMPUTED_VALUE"""),"-33.805125, -70.7321983")</f>
        <v>-33.805125, -70.7321983</v>
      </c>
      <c r="C8668" s="6" t="str">
        <f ca="1">IFERROR(__xludf.DUMMYFUNCTION("""COMPUTED_VALUE"""),"EL CANELO 528")</f>
        <v>EL CANELO 528</v>
      </c>
      <c r="D8668" s="6" t="str">
        <f ca="1">IFERROR(__xludf.DUMMYFUNCTION("""COMPUTED_VALUE"""),"PAINE")</f>
        <v>PAINE</v>
      </c>
    </row>
    <row r="8669" spans="1:4">
      <c r="A8669" s="7">
        <f ca="1">IFERROR(__xludf.DUMMYFUNCTION("""COMPUTED_VALUE"""),44713)</f>
        <v>44713</v>
      </c>
      <c r="B8669" s="8" t="str">
        <f ca="1">IFERROR(__xludf.DUMMYFUNCTION("""COMPUTED_VALUE"""),"-33.5137166, -71.1226447")</f>
        <v>-33.5137166, -71.1226447</v>
      </c>
      <c r="C8669" s="6" t="str">
        <f ca="1">IFERROR(__xludf.DUMMYFUNCTION("""COMPUTED_VALUE"""),"PANGUE 356")</f>
        <v>PANGUE 356</v>
      </c>
      <c r="D8669" s="6" t="str">
        <f ca="1">IFERROR(__xludf.DUMMYFUNCTION("""COMPUTED_VALUE"""),"MARIA PINTO")</f>
        <v>MARIA PINTO</v>
      </c>
    </row>
    <row r="8670" spans="1:4">
      <c r="A8670" s="7">
        <f ca="1">IFERROR(__xludf.DUMMYFUNCTION("""COMPUTED_VALUE"""),44713)</f>
        <v>44713</v>
      </c>
      <c r="B8670" s="8" t="str">
        <f ca="1">IFERROR(__xludf.DUMMYFUNCTION("""COMPUTED_VALUE"""),"-33.6697569, -70.6188351")</f>
        <v>-33.6697569, -70.6188351</v>
      </c>
      <c r="C8670" s="6" t="str">
        <f ca="1">IFERROR(__xludf.DUMMYFUNCTION("""COMPUTED_VALUE"""),"SAN VICENTE SITIO 18 LOTE B")</f>
        <v>SAN VICENTE SITIO 18 LOTE B</v>
      </c>
      <c r="D8670" s="6" t="str">
        <f ca="1">IFERROR(__xludf.DUMMYFUNCTION("""COMPUTED_VALUE"""),"PIRQUE")</f>
        <v>PIRQUE</v>
      </c>
    </row>
    <row r="8671" spans="1:4">
      <c r="A8671" s="7">
        <f ca="1">IFERROR(__xludf.DUMMYFUNCTION("""COMPUTED_VALUE"""),44713)</f>
        <v>44713</v>
      </c>
      <c r="B8671" s="8" t="str">
        <f ca="1">IFERROR(__xludf.DUMMYFUNCTION("""COMPUTED_VALUE"""),"-33.6602033, -70.6283133")</f>
        <v>-33.6602033, -70.6283133</v>
      </c>
      <c r="C8671" s="6" t="str">
        <f ca="1">IFERROR(__xludf.DUMMYFUNCTION("""COMPUTED_VALUE"""),"SAN VICENTE SITIO 18 LOTE B")</f>
        <v>SAN VICENTE SITIO 18 LOTE B</v>
      </c>
      <c r="D8671" s="6" t="str">
        <f ca="1">IFERROR(__xludf.DUMMYFUNCTION("""COMPUTED_VALUE"""),"PIRQUE")</f>
        <v>PIRQUE</v>
      </c>
    </row>
    <row r="8672" spans="1:4">
      <c r="A8672" s="7">
        <f ca="1">IFERROR(__xludf.DUMMYFUNCTION("""COMPUTED_VALUE"""),44713)</f>
        <v>44713</v>
      </c>
      <c r="B8672" s="8" t="str">
        <f ca="1">IFERROR(__xludf.DUMMYFUNCTION("""COMPUTED_VALUE"""),"-33.8043386, -70.7400695")</f>
        <v>-33.8043386, -70.7400695</v>
      </c>
      <c r="C8672" s="6" t="str">
        <f ca="1">IFERROR(__xludf.DUMMYFUNCTION("""COMPUTED_VALUE"""),"CUATRO 125")</f>
        <v>CUATRO 125</v>
      </c>
      <c r="D8672" s="6" t="str">
        <f ca="1">IFERROR(__xludf.DUMMYFUNCTION("""COMPUTED_VALUE"""),"PAINE")</f>
        <v>PAINE</v>
      </c>
    </row>
    <row r="8673" spans="1:4">
      <c r="A8673" s="7">
        <f ca="1">IFERROR(__xludf.DUMMYFUNCTION("""COMPUTED_VALUE"""),44713)</f>
        <v>44713</v>
      </c>
      <c r="B8673" s="6" t="str">
        <f ca="1">IFERROR(__xludf.DUMMYFUNCTION("""COMPUTED_VALUE"""),"-33.-674931-71.214012")</f>
        <v>-33.-674931-71.214012</v>
      </c>
      <c r="C8673" s="6" t="str">
        <f ca="1">IFERROR(__xludf.DUMMYFUNCTION("""COMPUTED_VALUE"""),"PATRICIO LARRAIN 78")</f>
        <v>PATRICIO LARRAIN 78</v>
      </c>
      <c r="D8673" s="6" t="str">
        <f ca="1">IFERROR(__xludf.DUMMYFUNCTION("""COMPUTED_VALUE"""),"MELIPILLA")</f>
        <v>MELIPILLA</v>
      </c>
    </row>
    <row r="8674" spans="1:4">
      <c r="A8674" s="7">
        <f ca="1">IFERROR(__xludf.DUMMYFUNCTION("""COMPUTED_VALUE"""),44713)</f>
        <v>44713</v>
      </c>
      <c r="B8674" s="6" t="str">
        <f ca="1">IFERROR(__xludf.DUMMYFUNCTION("""COMPUTED_VALUE"""),"-33.423253-71.145726")</f>
        <v>-33.423253-71.145726</v>
      </c>
      <c r="C8674" s="6" t="str">
        <f ca="1">IFERROR(__xludf.DUMMYFUNCTION("""COMPUTED_VALUE"""),"TRES NORTE 1935")</f>
        <v>TRES NORTE 1935</v>
      </c>
      <c r="D8674" s="6" t="str">
        <f ca="1">IFERROR(__xludf.DUMMYFUNCTION("""COMPUTED_VALUE"""),"CURACAVI")</f>
        <v>CURACAVI</v>
      </c>
    </row>
    <row r="8675" spans="1:4">
      <c r="A8675" s="7">
        <f ca="1">IFERROR(__xludf.DUMMYFUNCTION("""COMPUTED_VALUE"""),44713)</f>
        <v>44713</v>
      </c>
      <c r="B8675" s="6" t="str">
        <f ca="1">IFERROR(__xludf.DUMMYFUNCTION("""COMPUTED_VALUE"""),"-33.423253-71.145726")</f>
        <v>-33.423253-71.145726</v>
      </c>
      <c r="C8675" s="6" t="str">
        <f ca="1">IFERROR(__xludf.DUMMYFUNCTION("""COMPUTED_VALUE"""),"TRES NORTE 1935")</f>
        <v>TRES NORTE 1935</v>
      </c>
      <c r="D8675" s="6" t="str">
        <f ca="1">IFERROR(__xludf.DUMMYFUNCTION("""COMPUTED_VALUE"""),"CURACAVI")</f>
        <v>CURACAVI</v>
      </c>
    </row>
    <row r="8676" spans="1:4">
      <c r="A8676" s="7">
        <f ca="1">IFERROR(__xludf.DUMMYFUNCTION("""COMPUTED_VALUE"""),44713)</f>
        <v>44713</v>
      </c>
      <c r="B8676" s="8" t="str">
        <f ca="1">IFERROR(__xludf.DUMMYFUNCTION("""COMPUTED_VALUE"""),"-33.699251,-70.565333")</f>
        <v>-33.699251,-70.565333</v>
      </c>
      <c r="C8676" s="6" t="str">
        <f ca="1">IFERROR(__xludf.DUMMYFUNCTION("""COMPUTED_VALUE"""),"PJE. LOS OLMOS 7D")</f>
        <v>PJE. LOS OLMOS 7D</v>
      </c>
      <c r="D8676" s="6" t="str">
        <f ca="1">IFERROR(__xludf.DUMMYFUNCTION("""COMPUTED_VALUE"""),"PIRQUE")</f>
        <v>PIRQUE</v>
      </c>
    </row>
    <row r="8677" spans="1:4">
      <c r="A8677" s="7">
        <f ca="1">IFERROR(__xludf.DUMMYFUNCTION("""COMPUTED_VALUE"""),44713)</f>
        <v>44713</v>
      </c>
      <c r="B8677" s="8" t="str">
        <f ca="1">IFERROR(__xludf.DUMMYFUNCTION("""COMPUTED_VALUE"""),"-33.652412,-70.623351")</f>
        <v>-33.652412,-70.623351</v>
      </c>
      <c r="C8677" s="6" t="str">
        <f ca="1">IFERROR(__xludf.DUMMYFUNCTION("""COMPUTED_VALUE"""),"AV. VIRGINIA SUBERCASEAUX 4505")</f>
        <v>AV. VIRGINIA SUBERCASEAUX 4505</v>
      </c>
      <c r="D8677" s="6" t="str">
        <f ca="1">IFERROR(__xludf.DUMMYFUNCTION("""COMPUTED_VALUE"""),"PIRQUE")</f>
        <v>PIRQUE</v>
      </c>
    </row>
    <row r="8678" spans="1:4">
      <c r="A8678" s="7">
        <f ca="1">IFERROR(__xludf.DUMMYFUNCTION("""COMPUTED_VALUE"""),44713)</f>
        <v>44713</v>
      </c>
      <c r="B8678" s="6" t="str">
        <f ca="1">IFERROR(__xludf.DUMMYFUNCTION("""COMPUTED_VALUE"""),"-33.732182,-70.764691")</f>
        <v>-33.732182,-70.764691</v>
      </c>
      <c r="C8678" s="6" t="str">
        <f ca="1">IFERROR(__xludf.DUMMYFUNCTION("""COMPUTED_VALUE"""),"MANUEL MALLEA PEREZ 71")</f>
        <v>MANUEL MALLEA PEREZ 71</v>
      </c>
      <c r="D8678" s="6" t="str">
        <f ca="1">IFERROR(__xludf.DUMMYFUNCTION("""COMPUTED_VALUE"""),"BUIN")</f>
        <v>BUIN</v>
      </c>
    </row>
    <row r="8679" spans="1:4">
      <c r="A8679" s="7">
        <f ca="1">IFERROR(__xludf.DUMMYFUNCTION("""COMPUTED_VALUE"""),44713)</f>
        <v>44713</v>
      </c>
      <c r="B8679" s="6" t="str">
        <f ca="1">IFERROR(__xludf.DUMMYFUNCTION("""COMPUTED_VALUE"""),"-33.407702,-71.073802")</f>
        <v>-33.407702,-71.073802</v>
      </c>
      <c r="C8679" s="6" t="str">
        <f ca="1">IFERROR(__xludf.DUMMYFUNCTION("""COMPUTED_VALUE"""),"UNION SAN JOSE  S/N")</f>
        <v>UNION SAN JOSE  S/N</v>
      </c>
      <c r="D8679" s="6" t="str">
        <f ca="1">IFERROR(__xludf.DUMMYFUNCTION("""COMPUTED_VALUE"""),"CURACAVI")</f>
        <v>CURACAVI</v>
      </c>
    </row>
    <row r="8680" spans="1:4">
      <c r="A8680" s="7">
        <f ca="1">IFERROR(__xludf.DUMMYFUNCTION("""COMPUTED_VALUE"""),44713)</f>
        <v>44713</v>
      </c>
      <c r="B8680" s="6" t="str">
        <f ca="1">IFERROR(__xludf.DUMMYFUNCTION("""COMPUTED_VALUE"""),"-33.487174,-71.144237")</f>
        <v>-33.487174,-71.144237</v>
      </c>
      <c r="C8680" s="6" t="str">
        <f ca="1">IFERROR(__xludf.DUMMYFUNCTION("""COMPUTED_VALUE"""),"EL REDIL S/N ")</f>
        <v xml:space="preserve">EL REDIL S/N </v>
      </c>
      <c r="D8680" s="6" t="str">
        <f ca="1">IFERROR(__xludf.DUMMYFUNCTION("""COMPUTED_VALUE"""),"MARIA PINTO")</f>
        <v>MARIA PINTO</v>
      </c>
    </row>
    <row r="8681" spans="1:4">
      <c r="A8681" s="7">
        <f ca="1">IFERROR(__xludf.DUMMYFUNCTION("""COMPUTED_VALUE"""),44713)</f>
        <v>44713</v>
      </c>
      <c r="B8681" s="8" t="str">
        <f ca="1">IFERROR(__xludf.DUMMYFUNCTION("""COMPUTED_VALUE"""),"-33.604206,-70.781333")</f>
        <v>-33.604206,-70.781333</v>
      </c>
      <c r="C8681" s="6" t="str">
        <f ca="1">IFERROR(__xludf.DUMMYFUNCTION("""COMPUTED_VALUE"""),"LONQUEN NORTE PARADERO 10 ")</f>
        <v xml:space="preserve">LONQUEN NORTE PARADERO 10 </v>
      </c>
      <c r="D8681" s="6" t="str">
        <f ca="1">IFERROR(__xludf.DUMMYFUNCTION("""COMPUTED_VALUE"""),"CALERA DE TANGO")</f>
        <v>CALERA DE TANGO</v>
      </c>
    </row>
    <row r="8682" spans="1:4">
      <c r="A8682" s="7">
        <f ca="1">IFERROR(__xludf.DUMMYFUNCTION("""COMPUTED_VALUE"""),44713)</f>
        <v>44713</v>
      </c>
      <c r="B8682" s="8" t="str">
        <f ca="1">IFERROR(__xludf.DUMMYFUNCTION("""COMPUTED_VALUE"""),"-33.604206,-70.781333")</f>
        <v>-33.604206,-70.781333</v>
      </c>
      <c r="C8682" s="6" t="str">
        <f ca="1">IFERROR(__xludf.DUMMYFUNCTION("""COMPUTED_VALUE"""),"LONQUEN NORTE PARADERO 10 ")</f>
        <v xml:space="preserve">LONQUEN NORTE PARADERO 10 </v>
      </c>
      <c r="D8682" s="6" t="str">
        <f ca="1">IFERROR(__xludf.DUMMYFUNCTION("""COMPUTED_VALUE"""),"CALERA DE TANGO")</f>
        <v>CALERA DE TANGO</v>
      </c>
    </row>
    <row r="8683" spans="1:4">
      <c r="A8683" s="7">
        <f ca="1">IFERROR(__xludf.DUMMYFUNCTION("""COMPUTED_VALUE"""),44713)</f>
        <v>44713</v>
      </c>
      <c r="B8683" s="6" t="str">
        <f ca="1">IFERROR(__xludf.DUMMYFUNCTION("""COMPUTED_VALUE"""),"-33.794772,-70.778268")</f>
        <v>-33.794772,-70.778268</v>
      </c>
      <c r="C8683" s="6" t="str">
        <f ca="1">IFERROR(__xludf.DUMMYFUNCTION("""COMPUTED_VALUE"""),"STA. TERESA 3547")</f>
        <v>STA. TERESA 3547</v>
      </c>
      <c r="D8683" s="6" t="str">
        <f ca="1">IFERROR(__xludf.DUMMYFUNCTION("""COMPUTED_VALUE"""),"BUIN")</f>
        <v>BUIN</v>
      </c>
    </row>
    <row r="8684" spans="1:4">
      <c r="A8684" s="7">
        <f ca="1">IFERROR(__xludf.DUMMYFUNCTION("""COMPUTED_VALUE"""),44713)</f>
        <v>44713</v>
      </c>
      <c r="B8684" s="6" t="str">
        <f ca="1">IFERROR(__xludf.DUMMYFUNCTION("""COMPUTED_VALUE"""),"-33.794259,-70.779273")</f>
        <v>-33.794259,-70.779273</v>
      </c>
      <c r="C8684" s="6" t="str">
        <f ca="1">IFERROR(__xludf.DUMMYFUNCTION("""COMPUTED_VALUE"""),"STA. TERESA 3627")</f>
        <v>STA. TERESA 3627</v>
      </c>
      <c r="D8684" s="6" t="str">
        <f ca="1">IFERROR(__xludf.DUMMYFUNCTION("""COMPUTED_VALUE"""),"BUIN")</f>
        <v>BUIN</v>
      </c>
    </row>
    <row r="8685" spans="1:4">
      <c r="A8685" s="7">
        <f ca="1">IFERROR(__xludf.DUMMYFUNCTION("""COMPUTED_VALUE"""),44713)</f>
        <v>44713</v>
      </c>
      <c r="B8685" s="6" t="str">
        <f ca="1">IFERROR(__xludf.DUMMYFUNCTION("""COMPUTED_VALUE"""),"-33.745280,-70.867471")</f>
        <v>-33.745280,-70.867471</v>
      </c>
      <c r="C8685" s="6" t="str">
        <f ca="1">IFERROR(__xludf.DUMMYFUNCTION("""COMPUTED_VALUE"""),"DIRECTORA SARA RODRIGUEZ ADASME 195")</f>
        <v>DIRECTORA SARA RODRIGUEZ ADASME 195</v>
      </c>
      <c r="D8685" s="6" t="str">
        <f ca="1">IFERROR(__xludf.DUMMYFUNCTION("""COMPUTED_VALUE"""),"ISLA DE MAIPO")</f>
        <v>ISLA DE MAIPO</v>
      </c>
    </row>
    <row r="8686" spans="1:4">
      <c r="A8686" s="7">
        <f ca="1">IFERROR(__xludf.DUMMYFUNCTION("""COMPUTED_VALUE"""),44713)</f>
        <v>44713</v>
      </c>
      <c r="B8686" s="6" t="str">
        <f ca="1">IFERROR(__xludf.DUMMYFUNCTION("""COMPUTED_VALUE"""),"-33.679432,-71.137008")</f>
        <v>-33.679432,-71.137008</v>
      </c>
      <c r="C8686" s="6" t="str">
        <f ca="1">IFERROR(__xludf.DUMMYFUNCTION("""COMPUTED_VALUE"""),"SECTOR CHIÑIGUE S/N SITIO 5")</f>
        <v>SECTOR CHIÑIGUE S/N SITIO 5</v>
      </c>
      <c r="D8686" s="6" t="str">
        <f ca="1">IFERROR(__xludf.DUMMYFUNCTION("""COMPUTED_VALUE"""),"MELIPILLA")</f>
        <v>MELIPILLA</v>
      </c>
    </row>
    <row r="8687" spans="1:4">
      <c r="A8687" s="7">
        <f ca="1">IFERROR(__xludf.DUMMYFUNCTION("""COMPUTED_VALUE"""),44713)</f>
        <v>44713</v>
      </c>
      <c r="B8687" s="6" t="str">
        <f ca="1">IFERROR(__xludf.DUMMYFUNCTION("""COMPUTED_VALUE"""),"-33.885047,-70.757347")</f>
        <v>-33.885047,-70.757347</v>
      </c>
      <c r="C8687" s="6" t="str">
        <f ca="1">IFERROR(__xludf.DUMMYFUNCTION("""COMPUTED_VALUE"""),"AGUILA NORTE P/18 ")</f>
        <v xml:space="preserve">AGUILA NORTE P/18 </v>
      </c>
      <c r="D8687" s="6" t="str">
        <f ca="1">IFERROR(__xludf.DUMMYFUNCTION("""COMPUTED_VALUE"""),"PAINE")</f>
        <v>PAINE</v>
      </c>
    </row>
    <row r="8688" spans="1:4">
      <c r="A8688" s="7">
        <f ca="1">IFERROR(__xludf.DUMMYFUNCTION("""COMPUTED_VALUE"""),44713)</f>
        <v>44713</v>
      </c>
      <c r="B8688" s="6" t="str">
        <f ca="1">IFERROR(__xludf.DUMMYFUNCTION("""COMPUTED_VALUE"""),"-33.885670,-70.757618")</f>
        <v>-33.885670,-70.757618</v>
      </c>
      <c r="C8688" s="6" t="str">
        <f ca="1">IFERROR(__xludf.DUMMYFUNCTION("""COMPUTED_VALUE"""),"AGUILA NORTE 18")</f>
        <v>AGUILA NORTE 18</v>
      </c>
      <c r="D8688" s="6" t="str">
        <f ca="1">IFERROR(__xludf.DUMMYFUNCTION("""COMPUTED_VALUE"""),"PAINE")</f>
        <v>PAINE</v>
      </c>
    </row>
    <row r="8689" spans="1:4">
      <c r="A8689" s="7">
        <f ca="1">IFERROR(__xludf.DUMMYFUNCTION("""COMPUTED_VALUE"""),44714)</f>
        <v>44714</v>
      </c>
      <c r="B8689" s="8" t="str">
        <f ca="1">IFERROR(__xludf.DUMMYFUNCTION("""COMPUTED_VALUE"""),"-33.8038904, -70.7402159")</f>
        <v>-33.8038904, -70.7402159</v>
      </c>
      <c r="C8689" s="6" t="str">
        <f ca="1">IFERROR(__xludf.DUMMYFUNCTION("""COMPUTED_VALUE"""),"PASAJE A 104")</f>
        <v>PASAJE A 104</v>
      </c>
      <c r="D8689" s="6" t="str">
        <f ca="1">IFERROR(__xludf.DUMMYFUNCTION("""COMPUTED_VALUE"""),"PAINE")</f>
        <v>PAINE</v>
      </c>
    </row>
    <row r="8690" spans="1:4">
      <c r="A8690" s="7">
        <f ca="1">IFERROR(__xludf.DUMMYFUNCTION("""COMPUTED_VALUE"""),44714)</f>
        <v>44714</v>
      </c>
      <c r="B8690" s="8" t="str">
        <f ca="1">IFERROR(__xludf.DUMMYFUNCTION("""COMPUTED_VALUE"""),"-33.6554198, -70.9940124")</f>
        <v>-33.6554198, -70.9940124</v>
      </c>
      <c r="C8690" s="6" t="str">
        <f ca="1">IFERROR(__xludf.DUMMYFUNCTION("""COMPUTED_VALUE"""),"SANTA ADRIANA S/N SITIO 6")</f>
        <v>SANTA ADRIANA S/N SITIO 6</v>
      </c>
      <c r="D8690" s="6" t="str">
        <f ca="1">IFERROR(__xludf.DUMMYFUNCTION("""COMPUTED_VALUE"""),"EL MONTE")</f>
        <v>EL MONTE</v>
      </c>
    </row>
    <row r="8691" spans="1:4">
      <c r="A8691" s="7">
        <f ca="1">IFERROR(__xludf.DUMMYFUNCTION("""COMPUTED_VALUE"""),44714)</f>
        <v>44714</v>
      </c>
      <c r="B8691" s="8" t="str">
        <f ca="1">IFERROR(__xludf.DUMMYFUNCTION("""COMPUTED_VALUE"""),"-33.2986386, -70.8760728")</f>
        <v>-33.2986386, -70.8760728</v>
      </c>
      <c r="C8691" s="6" t="str">
        <f ca="1">IFERROR(__xludf.DUMMYFUNCTION("""COMPUTED_VALUE"""),"LOS HISBISCOS 1120")</f>
        <v>LOS HISBISCOS 1120</v>
      </c>
      <c r="D8691" s="6" t="str">
        <f ca="1">IFERROR(__xludf.DUMMYFUNCTION("""COMPUTED_VALUE"""),"LAMPA")</f>
        <v>LAMPA</v>
      </c>
    </row>
    <row r="8692" spans="1:4">
      <c r="A8692" s="7">
        <f ca="1">IFERROR(__xludf.DUMMYFUNCTION("""COMPUTED_VALUE"""),44714)</f>
        <v>44714</v>
      </c>
      <c r="B8692" s="8" t="str">
        <f ca="1">IFERROR(__xludf.DUMMYFUNCTION("""COMPUTED_VALUE"""),"-33.2801812, -70.8601193")</f>
        <v>-33.2801812, -70.8601193</v>
      </c>
      <c r="C8692" s="6" t="str">
        <f ca="1">IFERROR(__xludf.DUMMYFUNCTION("""COMPUTED_VALUE"""),"IGNACIO CARRERA 5")</f>
        <v>IGNACIO CARRERA 5</v>
      </c>
      <c r="D8692" s="6" t="str">
        <f ca="1">IFERROR(__xludf.DUMMYFUNCTION("""COMPUTED_VALUE"""),"LAMPA")</f>
        <v>LAMPA</v>
      </c>
    </row>
    <row r="8693" spans="1:4">
      <c r="A8693" s="7">
        <f ca="1">IFERROR(__xludf.DUMMYFUNCTION("""COMPUTED_VALUE"""),44714)</f>
        <v>44714</v>
      </c>
      <c r="B8693" s="8" t="str">
        <f ca="1">IFERROR(__xludf.DUMMYFUNCTION("""COMPUTED_VALUE"""),"-33.748821, -70.8958069")</f>
        <v>-33.748821, -70.8958069</v>
      </c>
      <c r="C8693" s="6" t="str">
        <f ca="1">IFERROR(__xludf.DUMMYFUNCTION("""COMPUTED_VALUE"""),"EJERCITO LIBERTADOR 010")</f>
        <v>EJERCITO LIBERTADOR 010</v>
      </c>
      <c r="D8693" s="6" t="str">
        <f ca="1">IFERROR(__xludf.DUMMYFUNCTION("""COMPUTED_VALUE"""),"ISLA DE MAIPO")</f>
        <v>ISLA DE MAIPO</v>
      </c>
    </row>
    <row r="8694" spans="1:4">
      <c r="A8694" s="7">
        <f ca="1">IFERROR(__xludf.DUMMYFUNCTION("""COMPUTED_VALUE"""),44714)</f>
        <v>44714</v>
      </c>
      <c r="B8694" s="8" t="str">
        <f ca="1">IFERROR(__xludf.DUMMYFUNCTION("""COMPUTED_VALUE"""),"-33.877582, -70.7235824")</f>
        <v>-33.877582, -70.7235824</v>
      </c>
      <c r="C8694" s="6" t="str">
        <f ca="1">IFERROR(__xludf.DUMMYFUNCTION("""COMPUTED_VALUE"""),"EL SAUCE 162")</f>
        <v>EL SAUCE 162</v>
      </c>
      <c r="D8694" s="6" t="str">
        <f ca="1">IFERROR(__xludf.DUMMYFUNCTION("""COMPUTED_VALUE"""),"PAINE")</f>
        <v>PAINE</v>
      </c>
    </row>
    <row r="8695" spans="1:4">
      <c r="A8695" s="7">
        <f ca="1">IFERROR(__xludf.DUMMYFUNCTION("""COMPUTED_VALUE"""),44714)</f>
        <v>44714</v>
      </c>
      <c r="B8695" s="6" t="str">
        <f ca="1">IFERROR(__xludf.DUMMYFUNCTION("""COMPUTED_VALUE"""),"-33.611355-70.88240")</f>
        <v>-33.611355-70.88240</v>
      </c>
      <c r="C8695" s="6" t="str">
        <f ca="1">IFERROR(__xludf.DUMMYFUNCTION("""COMPUTED_VALUE"""),"LAS BANDURRIAS 1551")</f>
        <v>LAS BANDURRIAS 1551</v>
      </c>
      <c r="D8695" s="6" t="str">
        <f ca="1">IFERROR(__xludf.DUMMYFUNCTION("""COMPUTED_VALUE"""),"PEÑAFLOR")</f>
        <v>PEÑAFLOR</v>
      </c>
    </row>
    <row r="8696" spans="1:4">
      <c r="A8696" s="7">
        <f ca="1">IFERROR(__xludf.DUMMYFUNCTION("""COMPUTED_VALUE"""),44714)</f>
        <v>44714</v>
      </c>
      <c r="B8696" s="6" t="str">
        <f ca="1">IFERROR(__xludf.DUMMYFUNCTION("""COMPUTED_VALUE"""),"-33.60933-70.87487")</f>
        <v>-33.60933-70.87487</v>
      </c>
      <c r="C8696" s="6" t="str">
        <f ca="1">IFERROR(__xludf.DUMMYFUNCTION("""COMPUTED_VALUE"""),"LOS GUINDOS 1085")</f>
        <v>LOS GUINDOS 1085</v>
      </c>
      <c r="D8696" s="6" t="str">
        <f ca="1">IFERROR(__xludf.DUMMYFUNCTION("""COMPUTED_VALUE"""),"PEÑAFLOR")</f>
        <v>PEÑAFLOR</v>
      </c>
    </row>
    <row r="8697" spans="1:4">
      <c r="A8697" s="7">
        <f ca="1">IFERROR(__xludf.DUMMYFUNCTION("""COMPUTED_VALUE"""),44714)</f>
        <v>44714</v>
      </c>
      <c r="B8697" s="6" t="str">
        <f ca="1">IFERROR(__xludf.DUMMYFUNCTION("""COMPUTED_VALUE"""),"-33.820057-70.738904")</f>
        <v>-33.820057-70.738904</v>
      </c>
      <c r="C8697" s="6" t="str">
        <f ca="1">IFERROR(__xludf.DUMMYFUNCTION("""COMPUTED_VALUE"""),"PJE PARAGUAY 349")</f>
        <v>PJE PARAGUAY 349</v>
      </c>
      <c r="D8697" s="6" t="str">
        <f ca="1">IFERROR(__xludf.DUMMYFUNCTION("""COMPUTED_VALUE"""),"PAINE")</f>
        <v>PAINE</v>
      </c>
    </row>
    <row r="8698" spans="1:4">
      <c r="A8698" s="7">
        <f ca="1">IFERROR(__xludf.DUMMYFUNCTION("""COMPUTED_VALUE"""),44714)</f>
        <v>44714</v>
      </c>
      <c r="B8698" s="6" t="str">
        <f ca="1">IFERROR(__xludf.DUMMYFUNCTION("""COMPUTED_VALUE"""),"-33.805767-70.737578")</f>
        <v>-33.805767-70.737578</v>
      </c>
      <c r="C8698" s="6" t="str">
        <f ca="1">IFERROR(__xludf.DUMMYFUNCTION("""COMPUTED_VALUE"""),"PJE. ISLA QUIRIQUINA 325")</f>
        <v>PJE. ISLA QUIRIQUINA 325</v>
      </c>
      <c r="D8698" s="6" t="str">
        <f ca="1">IFERROR(__xludf.DUMMYFUNCTION("""COMPUTED_VALUE"""),"PAINE")</f>
        <v>PAINE</v>
      </c>
    </row>
    <row r="8699" spans="1:4">
      <c r="A8699" s="7">
        <f ca="1">IFERROR(__xludf.DUMMYFUNCTION("""COMPUTED_VALUE"""),44714)</f>
        <v>44714</v>
      </c>
      <c r="B8699" s="8" t="str">
        <f ca="1">IFERROR(__xludf.DUMMYFUNCTION("""COMPUTED_VALUE"""),"-33.717496,-70.564790")</f>
        <v>-33.717496,-70.564790</v>
      </c>
      <c r="C8699" s="6" t="str">
        <f ca="1">IFERROR(__xludf.DUMMYFUNCTION("""COMPUTED_VALUE"""),"LAS ENCIMAS 135")</f>
        <v>LAS ENCIMAS 135</v>
      </c>
      <c r="D8699" s="6" t="str">
        <f ca="1">IFERROR(__xludf.DUMMYFUNCTION("""COMPUTED_VALUE"""),"PIRQUE")</f>
        <v>PIRQUE</v>
      </c>
    </row>
    <row r="8700" spans="1:4">
      <c r="A8700" s="7">
        <f ca="1">IFERROR(__xludf.DUMMYFUNCTION("""COMPUTED_VALUE"""),44714)</f>
        <v>44714</v>
      </c>
      <c r="B8700" s="8" t="str">
        <f ca="1">IFERROR(__xludf.DUMMYFUNCTION("""COMPUTED_VALUE"""),"-33.719529,-70.553678")</f>
        <v>-33.719529,-70.553678</v>
      </c>
      <c r="C8700" s="6" t="str">
        <f ca="1">IFERROR(__xludf.DUMMYFUNCTION("""COMPUTED_VALUE"""),"CALLE ALAMEDA 116")</f>
        <v>CALLE ALAMEDA 116</v>
      </c>
      <c r="D8700" s="6" t="str">
        <f ca="1">IFERROR(__xludf.DUMMYFUNCTION("""COMPUTED_VALUE"""),"PIRQUE")</f>
        <v>PIRQUE</v>
      </c>
    </row>
    <row r="8701" spans="1:4">
      <c r="A8701" s="7">
        <f ca="1">IFERROR(__xludf.DUMMYFUNCTION("""COMPUTED_VALUE"""),44714)</f>
        <v>44714</v>
      </c>
      <c r="B8701" s="8" t="str">
        <f ca="1">IFERROR(__xludf.DUMMYFUNCTION("""COMPUTED_VALUE"""),"33.674168,-70.623187")</f>
        <v>33.674168,-70.623187</v>
      </c>
      <c r="C8701" s="6" t="str">
        <f ca="1">IFERROR(__xludf.DUMMYFUNCTION("""COMPUTED_VALUE"""),"SAN VICENTE")</f>
        <v>SAN VICENTE</v>
      </c>
      <c r="D8701" s="6" t="str">
        <f ca="1">IFERROR(__xludf.DUMMYFUNCTION("""COMPUTED_VALUE"""),"PIRQUE")</f>
        <v>PIRQUE</v>
      </c>
    </row>
    <row r="8702" spans="1:4">
      <c r="A8702" s="7">
        <f ca="1">IFERROR(__xludf.DUMMYFUNCTION("""COMPUTED_VALUE"""),44714)</f>
        <v>44714</v>
      </c>
      <c r="B8702" s="8" t="str">
        <f ca="1">IFERROR(__xludf.DUMMYFUNCTION("""COMPUTED_VALUE"""),"-33.651950,-70.5777690")</f>
        <v>-33.651950,-70.5777690</v>
      </c>
      <c r="C8702" s="6" t="str">
        <f ca="1">IFERROR(__xludf.DUMMYFUNCTION("""COMPUTED_VALUE"""),"CARLOS VIAL INFANTE 1521")</f>
        <v>CARLOS VIAL INFANTE 1521</v>
      </c>
      <c r="D8702" s="6" t="str">
        <f ca="1">IFERROR(__xludf.DUMMYFUNCTION("""COMPUTED_VALUE"""),"PIRQUE")</f>
        <v>PIRQUE</v>
      </c>
    </row>
    <row r="8703" spans="1:4">
      <c r="A8703" s="7">
        <f ca="1">IFERROR(__xludf.DUMMYFUNCTION("""COMPUTED_VALUE"""),44714)</f>
        <v>44714</v>
      </c>
      <c r="B8703" s="8" t="str">
        <f ca="1">IFERROR(__xludf.DUMMYFUNCTION("""COMPUTED_VALUE"""),"-33.650165,-70.5733800")</f>
        <v>-33.650165,-70.5733800</v>
      </c>
      <c r="C8703" s="6" t="str">
        <f ca="1">IFERROR(__xludf.DUMMYFUNCTION("""COMPUTED_VALUE"""),"CARLOS VIAL INFANTE 1521")</f>
        <v>CARLOS VIAL INFANTE 1521</v>
      </c>
      <c r="D8703" s="6" t="str">
        <f ca="1">IFERROR(__xludf.DUMMYFUNCTION("""COMPUTED_VALUE"""),"PIRQUE")</f>
        <v>PIRQUE</v>
      </c>
    </row>
    <row r="8704" spans="1:4">
      <c r="A8704" s="7">
        <f ca="1">IFERROR(__xludf.DUMMYFUNCTION("""COMPUTED_VALUE"""),44714)</f>
        <v>44714</v>
      </c>
      <c r="B8704" s="8" t="str">
        <f ca="1">IFERROR(__xludf.DUMMYFUNCTION("""COMPUTED_VALUE"""),"-33.650165,-70.573800")</f>
        <v>-33.650165,-70.573800</v>
      </c>
      <c r="C8704" s="6" t="str">
        <f ca="1">IFERROR(__xludf.DUMMYFUNCTION("""COMPUTED_VALUE"""),"CARLOS VIAL INFANTE 1521")</f>
        <v>CARLOS VIAL INFANTE 1521</v>
      </c>
      <c r="D8704" s="6" t="str">
        <f ca="1">IFERROR(__xludf.DUMMYFUNCTION("""COMPUTED_VALUE"""),"PIRQUE")</f>
        <v>PIRQUE</v>
      </c>
    </row>
    <row r="8705" spans="1:4">
      <c r="A8705" s="7">
        <f ca="1">IFERROR(__xludf.DUMMYFUNCTION("""COMPUTED_VALUE"""),44714)</f>
        <v>44714</v>
      </c>
      <c r="B8705" s="6" t="str">
        <f ca="1">IFERROR(__xludf.DUMMYFUNCTION("""COMPUTED_VALUE"""),"-33.722665,-70.743317")</f>
        <v>-33.722665,-70.743317</v>
      </c>
      <c r="C8705" s="6" t="str">
        <f ca="1">IFERROR(__xludf.DUMMYFUNCTION("""COMPUTED_VALUE"""),"RAUL GAJARDO 857 ")</f>
        <v xml:space="preserve">RAUL GAJARDO 857 </v>
      </c>
      <c r="D8705" s="6" t="str">
        <f ca="1">IFERROR(__xludf.DUMMYFUNCTION("""COMPUTED_VALUE"""),"BUIN")</f>
        <v>BUIN</v>
      </c>
    </row>
    <row r="8706" spans="1:4">
      <c r="A8706" s="7">
        <f ca="1">IFERROR(__xludf.DUMMYFUNCTION("""COMPUTED_VALUE"""),44714)</f>
        <v>44714</v>
      </c>
      <c r="B8706" s="6" t="str">
        <f ca="1">IFERROR(__xludf.DUMMYFUNCTION("""COMPUTED_VALUE"""),"-33.729366,-70.772149")</f>
        <v>-33.729366,-70.772149</v>
      </c>
      <c r="C8706" s="6" t="str">
        <f ca="1">IFERROR(__xludf.DUMMYFUNCTION("""COMPUTED_VALUE"""),"PJE ABILIO MEDINA 2879")</f>
        <v>PJE ABILIO MEDINA 2879</v>
      </c>
      <c r="D8706" s="6" t="str">
        <f ca="1">IFERROR(__xludf.DUMMYFUNCTION("""COMPUTED_VALUE"""),"BUIN")</f>
        <v>BUIN</v>
      </c>
    </row>
    <row r="8707" spans="1:4">
      <c r="A8707" s="7">
        <f ca="1">IFERROR(__xludf.DUMMYFUNCTION("""COMPUTED_VALUE"""),44714)</f>
        <v>44714</v>
      </c>
      <c r="B8707" s="6" t="str">
        <f ca="1">IFERROR(__xludf.DUMMYFUNCTION("""COMPUTED_VALUE"""),"-33.849434,-70.734563")</f>
        <v>-33.849434,-70.734563</v>
      </c>
      <c r="C8707" s="6" t="str">
        <f ca="1">IFERROR(__xludf.DUMMYFUNCTION("""COMPUTED_VALUE"""),"LAS ROSAS P/39")</f>
        <v>LAS ROSAS P/39</v>
      </c>
      <c r="D8707" s="6" t="str">
        <f ca="1">IFERROR(__xludf.DUMMYFUNCTION("""COMPUTED_VALUE"""),"PAINE")</f>
        <v>PAINE</v>
      </c>
    </row>
    <row r="8708" spans="1:4">
      <c r="A8708" s="7">
        <f ca="1">IFERROR(__xludf.DUMMYFUNCTION("""COMPUTED_VALUE"""),44715)</f>
        <v>44715</v>
      </c>
      <c r="B8708" s="8" t="str">
        <f ca="1">IFERROR(__xludf.DUMMYFUNCTION("""COMPUTED_VALUE"""),"-33.8243689, -70.7387325")</f>
        <v>-33.8243689, -70.7387325</v>
      </c>
      <c r="C8708" s="6" t="str">
        <f ca="1">IFERROR(__xludf.DUMMYFUNCTION("""COMPUTED_VALUE"""),"LOS COPIHUES 7")</f>
        <v>LOS COPIHUES 7</v>
      </c>
      <c r="D8708" s="6" t="str">
        <f ca="1">IFERROR(__xludf.DUMMYFUNCTION("""COMPUTED_VALUE"""),"PAINE")</f>
        <v>PAINE</v>
      </c>
    </row>
    <row r="8709" spans="1:4">
      <c r="A8709" s="7">
        <f ca="1">IFERROR(__xludf.DUMMYFUNCTION("""COMPUTED_VALUE"""),44715)</f>
        <v>44715</v>
      </c>
      <c r="B8709" s="8" t="str">
        <f ca="1">IFERROR(__xludf.DUMMYFUNCTION("""COMPUTED_VALUE"""),"-33.2390472, -70.8096328")</f>
        <v>-33.2390472, -70.8096328</v>
      </c>
      <c r="C8709" s="6" t="str">
        <f ca="1">IFERROR(__xludf.DUMMYFUNCTION("""COMPUTED_VALUE"""),"ESPAÑA 2221")</f>
        <v>ESPAÑA 2221</v>
      </c>
      <c r="D8709" s="6" t="str">
        <f ca="1">IFERROR(__xludf.DUMMYFUNCTION("""COMPUTED_VALUE"""),"LAMPA")</f>
        <v>LAMPA</v>
      </c>
    </row>
    <row r="8710" spans="1:4">
      <c r="A8710" s="7">
        <f ca="1">IFERROR(__xludf.DUMMYFUNCTION("""COMPUTED_VALUE"""),44715)</f>
        <v>44715</v>
      </c>
      <c r="B8710" s="8" t="str">
        <f ca="1">IFERROR(__xludf.DUMMYFUNCTION("""COMPUTED_VALUE"""),"-33.8380315, -70.6438157")</f>
        <v>-33.8380315, -70.6438157</v>
      </c>
      <c r="C8710" s="6" t="str">
        <f ca="1">IFERROR(__xludf.DUMMYFUNCTION("""COMPUTED_VALUE"""),"VICTORIA CAMPESINA S/N")</f>
        <v>VICTORIA CAMPESINA S/N</v>
      </c>
      <c r="D8710" s="6" t="str">
        <f ca="1">IFERROR(__xludf.DUMMYFUNCTION("""COMPUTED_VALUE"""),"PAINE")</f>
        <v>PAINE</v>
      </c>
    </row>
    <row r="8711" spans="1:4">
      <c r="A8711" s="7">
        <f ca="1">IFERROR(__xludf.DUMMYFUNCTION("""COMPUTED_VALUE"""),44715)</f>
        <v>44715</v>
      </c>
      <c r="B8711" s="8" t="str">
        <f ca="1">IFERROR(__xludf.DUMMYFUNCTION("""COMPUTED_VALUE"""),"-33.5716493, -71.1857771")</f>
        <v>-33.5716493, -71.1857771</v>
      </c>
      <c r="C8711" s="6" t="str">
        <f ca="1">IFERROR(__xludf.DUMMYFUNCTION("""COMPUTED_VALUE"""),"EL BOLLENAR 2380")</f>
        <v>EL BOLLENAR 2380</v>
      </c>
      <c r="D8711" s="6" t="str">
        <f ca="1">IFERROR(__xludf.DUMMYFUNCTION("""COMPUTED_VALUE"""),"MELIPILLA")</f>
        <v>MELIPILLA</v>
      </c>
    </row>
    <row r="8712" spans="1:4">
      <c r="A8712" s="7">
        <f ca="1">IFERROR(__xludf.DUMMYFUNCTION("""COMPUTED_VALUE"""),44715)</f>
        <v>44715</v>
      </c>
      <c r="B8712" s="8" t="str">
        <f ca="1">IFERROR(__xludf.DUMMYFUNCTION("""COMPUTED_VALUE"""),"-33.3128139, -70.8524352")</f>
        <v>-33.3128139, -70.8524352</v>
      </c>
      <c r="C8712" s="6" t="str">
        <f ca="1">IFERROR(__xludf.DUMMYFUNCTION("""COMPUTED_VALUE"""),"CAMINO INTERIOR S/N")</f>
        <v>CAMINO INTERIOR S/N</v>
      </c>
      <c r="D8712" s="6" t="str">
        <f ca="1">IFERROR(__xludf.DUMMYFUNCTION("""COMPUTED_VALUE"""),"LAMPA")</f>
        <v>LAMPA</v>
      </c>
    </row>
    <row r="8713" spans="1:4">
      <c r="A8713" s="7">
        <f ca="1">IFERROR(__xludf.DUMMYFUNCTION("""COMPUTED_VALUE"""),44715)</f>
        <v>44715</v>
      </c>
      <c r="B8713" s="8" t="str">
        <f ca="1">IFERROR(__xludf.DUMMYFUNCTION("""COMPUTED_VALUE"""),"-33.5716493, -71.1857771")</f>
        <v>-33.5716493, -71.1857771</v>
      </c>
      <c r="C8713" s="6" t="str">
        <f ca="1">IFERROR(__xludf.DUMMYFUNCTION("""COMPUTED_VALUE"""),"EL BOLLENAR 2380")</f>
        <v>EL BOLLENAR 2380</v>
      </c>
      <c r="D8713" s="6" t="str">
        <f ca="1">IFERROR(__xludf.DUMMYFUNCTION("""COMPUTED_VALUE"""),"MELIPILLA")</f>
        <v>MELIPILLA</v>
      </c>
    </row>
    <row r="8714" spans="1:4">
      <c r="A8714" s="7">
        <f ca="1">IFERROR(__xludf.DUMMYFUNCTION("""COMPUTED_VALUE"""),44715)</f>
        <v>44715</v>
      </c>
      <c r="B8714" s="6" t="str">
        <f ca="1">IFERROR(__xludf.DUMMYFUNCTION("""COMPUTED_VALUE"""),"-33.812509-70.732145")</f>
        <v>-33.812509-70.732145</v>
      </c>
      <c r="C8714" s="6" t="str">
        <f ca="1">IFERROR(__xludf.DUMMYFUNCTION("""COMPUTED_VALUE"""),"CURICO 768")</f>
        <v>CURICO 768</v>
      </c>
      <c r="D8714" s="6" t="str">
        <f ca="1">IFERROR(__xludf.DUMMYFUNCTION("""COMPUTED_VALUE"""),"PAINE")</f>
        <v>PAINE</v>
      </c>
    </row>
    <row r="8715" spans="1:4">
      <c r="A8715" s="7">
        <f ca="1">IFERROR(__xludf.DUMMYFUNCTION("""COMPUTED_VALUE"""),44715)</f>
        <v>44715</v>
      </c>
      <c r="B8715" s="6" t="str">
        <f ca="1">IFERROR(__xludf.DUMMYFUNCTION("""COMPUTED_VALUE"""),"-33.395927-71.125309")</f>
        <v>-33.395927-71.125309</v>
      </c>
      <c r="C8715" s="6" t="str">
        <f ca="1">IFERROR(__xludf.DUMMYFUNCTION("""COMPUTED_VALUE"""),"LUIS CRUCHAGA  649")</f>
        <v>LUIS CRUCHAGA  649</v>
      </c>
      <c r="D8715" s="6" t="str">
        <f ca="1">IFERROR(__xludf.DUMMYFUNCTION("""COMPUTED_VALUE"""),"CURACAVI")</f>
        <v>CURACAVI</v>
      </c>
    </row>
    <row r="8716" spans="1:4">
      <c r="A8716" s="7">
        <f ca="1">IFERROR(__xludf.DUMMYFUNCTION("""COMPUTED_VALUE"""),44715)</f>
        <v>44715</v>
      </c>
      <c r="B8716" s="6" t="str">
        <f ca="1">IFERROR(__xludf.DUMMYFUNCTION("""COMPUTED_VALUE"""),"-33.395927-71.125309")</f>
        <v>-33.395927-71.125309</v>
      </c>
      <c r="C8716" s="6" t="str">
        <f ca="1">IFERROR(__xludf.DUMMYFUNCTION("""COMPUTED_VALUE"""),"LUIS CRUCHAGA  649")</f>
        <v>LUIS CRUCHAGA  649</v>
      </c>
      <c r="D8716" s="6" t="str">
        <f ca="1">IFERROR(__xludf.DUMMYFUNCTION("""COMPUTED_VALUE"""),"CURACAVI")</f>
        <v>CURACAVI</v>
      </c>
    </row>
    <row r="8717" spans="1:4">
      <c r="A8717" s="7">
        <f ca="1">IFERROR(__xludf.DUMMYFUNCTION("""COMPUTED_VALUE"""),44715)</f>
        <v>44715</v>
      </c>
      <c r="B8717" s="8" t="str">
        <f ca="1">IFERROR(__xludf.DUMMYFUNCTION("""COMPUTED_VALUE"""),"-33.198673,-70.648143")</f>
        <v>-33.198673,-70.648143</v>
      </c>
      <c r="C8717" s="6" t="str">
        <f ca="1">IFERROR(__xludf.DUMMYFUNCTION("""COMPUTED_VALUE"""),"EL MOLINO 106 CASA 20 ")</f>
        <v xml:space="preserve">EL MOLINO 106 CASA 20 </v>
      </c>
      <c r="D8717" s="6" t="str">
        <f ca="1">IFERROR(__xludf.DUMMYFUNCTION("""COMPUTED_VALUE"""),"COLINA")</f>
        <v>COLINA</v>
      </c>
    </row>
    <row r="8718" spans="1:4">
      <c r="A8718" s="7">
        <f ca="1">IFERROR(__xludf.DUMMYFUNCTION("""COMPUTED_VALUE"""),44715)</f>
        <v>44715</v>
      </c>
      <c r="B8718" s="6" t="str">
        <f ca="1">IFERROR(__xludf.DUMMYFUNCTION("""COMPUTED_VALUE"""),"-33.756191,-70.892316")</f>
        <v>-33.756191,-70.892316</v>
      </c>
      <c r="C8718" s="6" t="str">
        <f ca="1">IFERROR(__xludf.DUMMYFUNCTION("""COMPUTED_VALUE"""),"PRIMAVERA SUR 390")</f>
        <v>PRIMAVERA SUR 390</v>
      </c>
      <c r="D8718" s="6" t="str">
        <f ca="1">IFERROR(__xludf.DUMMYFUNCTION("""COMPUTED_VALUE"""),"ISLA DE MAIPO")</f>
        <v>ISLA DE MAIPO</v>
      </c>
    </row>
    <row r="8719" spans="1:4">
      <c r="A8719" s="7">
        <f ca="1">IFERROR(__xludf.DUMMYFUNCTION("""COMPUTED_VALUE"""),44716)</f>
        <v>44716</v>
      </c>
      <c r="B8719" s="6" t="str">
        <f ca="1">IFERROR(__xludf.DUMMYFUNCTION("""COMPUTED_VALUE"""),"-33.824528-70.859181")</f>
        <v>-33.824528-70.859181</v>
      </c>
      <c r="C8719" s="6" t="str">
        <f ca="1">IFERROR(__xludf.DUMMYFUNCTION("""COMPUTED_VALUE"""),"PERALILLO 3")</f>
        <v>PERALILLO 3</v>
      </c>
      <c r="D8719" s="6" t="str">
        <f ca="1">IFERROR(__xludf.DUMMYFUNCTION("""COMPUTED_VALUE"""),"PAINE")</f>
        <v>PAINE</v>
      </c>
    </row>
    <row r="8720" spans="1:4">
      <c r="A8720" s="7">
        <f ca="1">IFERROR(__xludf.DUMMYFUNCTION("""COMPUTED_VALUE"""),44716)</f>
        <v>44716</v>
      </c>
      <c r="B8720" s="6" t="str">
        <f ca="1">IFERROR(__xludf.DUMMYFUNCTION("""COMPUTED_VALUE"""),"-33.824528-70.859181")</f>
        <v>-33.824528-70.859181</v>
      </c>
      <c r="C8720" s="6" t="str">
        <f ca="1">IFERROR(__xludf.DUMMYFUNCTION("""COMPUTED_VALUE"""),"PERALILLO 3")</f>
        <v>PERALILLO 3</v>
      </c>
      <c r="D8720" s="6" t="str">
        <f ca="1">IFERROR(__xludf.DUMMYFUNCTION("""COMPUTED_VALUE"""),"PAINE")</f>
        <v>PAINE</v>
      </c>
    </row>
    <row r="8721" spans="1:4">
      <c r="A8721" s="7">
        <f ca="1">IFERROR(__xludf.DUMMYFUNCTION("""COMPUTED_VALUE"""),44716)</f>
        <v>44716</v>
      </c>
      <c r="B8721" s="6" t="str">
        <f ca="1">IFERROR(__xludf.DUMMYFUNCTION("""COMPUTED_VALUE"""),"-33.-805498-70.728111")</f>
        <v>-33.-805498-70.728111</v>
      </c>
      <c r="C8721" s="6" t="str">
        <f ca="1">IFERROR(__xludf.DUMMYFUNCTION("""COMPUTED_VALUE"""),"RIO TRANCURA 80")</f>
        <v>RIO TRANCURA 80</v>
      </c>
      <c r="D8721" s="6" t="str">
        <f ca="1">IFERROR(__xludf.DUMMYFUNCTION("""COMPUTED_VALUE"""),"PAINE")</f>
        <v>PAINE</v>
      </c>
    </row>
    <row r="8722" spans="1:4">
      <c r="A8722" s="7">
        <f ca="1">IFERROR(__xludf.DUMMYFUNCTION("""COMPUTED_VALUE"""),44716)</f>
        <v>44716</v>
      </c>
      <c r="B8722" s="6" t="str">
        <f ca="1">IFERROR(__xludf.DUMMYFUNCTION("""COMPUTED_VALUE"""),"-33.818657-70.851346")</f>
        <v>-33.818657-70.851346</v>
      </c>
      <c r="C8722" s="6" t="str">
        <f ca="1">IFERROR(__xludf.DUMMYFUNCTION("""COMPUTED_VALUE"""),"LAS TAZAS 4 LOTE 7")</f>
        <v>LAS TAZAS 4 LOTE 7</v>
      </c>
      <c r="D8722" s="6" t="str">
        <f ca="1">IFERROR(__xludf.DUMMYFUNCTION("""COMPUTED_VALUE"""),"PAINE")</f>
        <v>PAINE</v>
      </c>
    </row>
    <row r="8723" spans="1:4">
      <c r="A8723" s="7">
        <f ca="1">IFERROR(__xludf.DUMMYFUNCTION("""COMPUTED_VALUE"""),44716)</f>
        <v>44716</v>
      </c>
      <c r="B8723" s="6" t="str">
        <f ca="1">IFERROR(__xludf.DUMMYFUNCTION("""COMPUTED_VALUE"""),"-33.805653-70.736607")</f>
        <v>-33.805653-70.736607</v>
      </c>
      <c r="C8723" s="6" t="str">
        <f ca="1">IFERROR(__xludf.DUMMYFUNCTION("""COMPUTED_VALUE"""),"AV. BERNARDO OHIGGINS 68")</f>
        <v>AV. BERNARDO OHIGGINS 68</v>
      </c>
      <c r="D8723" s="6" t="str">
        <f ca="1">IFERROR(__xludf.DUMMYFUNCTION("""COMPUTED_VALUE"""),"PAINE")</f>
        <v>PAINE</v>
      </c>
    </row>
    <row r="8724" spans="1:4">
      <c r="A8724" s="7">
        <f ca="1">IFERROR(__xludf.DUMMYFUNCTION("""COMPUTED_VALUE"""),44716)</f>
        <v>44716</v>
      </c>
      <c r="B8724" s="6" t="str">
        <f ca="1">IFERROR(__xludf.DUMMYFUNCTION("""COMPUTED_VALUE"""),"-33.7911196-71.2860939")</f>
        <v>-33.7911196-71.2860939</v>
      </c>
      <c r="C8724" s="6" t="str">
        <f ca="1">IFERROR(__xludf.DUMMYFUNCTION("""COMPUTED_VALUE"""),"EDUARDO VELASQUEZ 3")</f>
        <v>EDUARDO VELASQUEZ 3</v>
      </c>
      <c r="D8724" s="6" t="str">
        <f ca="1">IFERROR(__xludf.DUMMYFUNCTION("""COMPUTED_VALUE"""),"MELIPILLA")</f>
        <v>MELIPILLA</v>
      </c>
    </row>
    <row r="8725" spans="1:4">
      <c r="A8725" s="7">
        <f ca="1">IFERROR(__xludf.DUMMYFUNCTION("""COMPUTED_VALUE"""),44716)</f>
        <v>44716</v>
      </c>
      <c r="B8725" s="8" t="str">
        <f ca="1">IFERROR(__xludf.DUMMYFUNCTION("""COMPUTED_VALUE"""),"-33.181778,-70.667538")</f>
        <v>-33.181778,-70.667538</v>
      </c>
      <c r="C8725" s="6" t="str">
        <f ca="1">IFERROR(__xludf.DUMMYFUNCTION("""COMPUTED_VALUE"""),"PASAJE ESCRIROR JOSE")</f>
        <v>PASAJE ESCRIROR JOSE</v>
      </c>
      <c r="D8725" s="6" t="str">
        <f ca="1">IFERROR(__xludf.DUMMYFUNCTION("""COMPUTED_VALUE"""),"COLINA")</f>
        <v>COLINA</v>
      </c>
    </row>
    <row r="8726" spans="1:4">
      <c r="A8726" s="7">
        <f ca="1">IFERROR(__xludf.DUMMYFUNCTION("""COMPUTED_VALUE"""),44718)</f>
        <v>44718</v>
      </c>
      <c r="B8726" s="8" t="str">
        <f ca="1">IFERROR(__xludf.DUMMYFUNCTION("""COMPUTED_VALUE"""),"-33.7843734, -70.8379677")</f>
        <v>-33.7843734, -70.8379677</v>
      </c>
      <c r="C8726" s="6" t="str">
        <f ca="1">IFERROR(__xludf.DUMMYFUNCTION("""COMPUTED_VALUE"""),"LA ESTANCILLA 3720")</f>
        <v>LA ESTANCILLA 3720</v>
      </c>
      <c r="D8726" s="6" t="str">
        <f ca="1">IFERROR(__xludf.DUMMYFUNCTION("""COMPUTED_VALUE"""),"BUIN")</f>
        <v>BUIN</v>
      </c>
    </row>
    <row r="8727" spans="1:4">
      <c r="A8727" s="7">
        <f ca="1">IFERROR(__xludf.DUMMYFUNCTION("""COMPUTED_VALUE"""),44718)</f>
        <v>44718</v>
      </c>
      <c r="B8727" s="8" t="str">
        <f ca="1">IFERROR(__xludf.DUMMYFUNCTION("""COMPUTED_VALUE"""),"-33.8121682, -70.8614682")</f>
        <v>-33.8121682, -70.8614682</v>
      </c>
      <c r="C8727" s="6" t="str">
        <f ca="1">IFERROR(__xludf.DUMMYFUNCTION("""COMPUTED_VALUE"""),"MAJUEL RODRIGUEZ 46")</f>
        <v>MAJUEL RODRIGUEZ 46</v>
      </c>
      <c r="D8727" s="6" t="str">
        <f ca="1">IFERROR(__xludf.DUMMYFUNCTION("""COMPUTED_VALUE"""),"BUIN")</f>
        <v>BUIN</v>
      </c>
    </row>
    <row r="8728" spans="1:4">
      <c r="A8728" s="7">
        <f ca="1">IFERROR(__xludf.DUMMYFUNCTION("""COMPUTED_VALUE"""),44718)</f>
        <v>44718</v>
      </c>
      <c r="B8728" s="8" t="str">
        <f ca="1">IFERROR(__xludf.DUMMYFUNCTION("""COMPUTED_VALUE"""),"-33.3289642, -70.7512922")</f>
        <v>-33.3289642, -70.7512922</v>
      </c>
      <c r="C8728" s="6" t="str">
        <f ca="1">IFERROR(__xludf.DUMMYFUNCTION("""COMPUTED_VALUE"""),"RIÍO EL ELQUI 244")</f>
        <v>RIÍO EL ELQUI 244</v>
      </c>
      <c r="D8728" s="6" t="str">
        <f ca="1">IFERROR(__xludf.DUMMYFUNCTION("""COMPUTED_VALUE"""),"LAMPA")</f>
        <v>LAMPA</v>
      </c>
    </row>
    <row r="8729" spans="1:4">
      <c r="A8729" s="7">
        <f ca="1">IFERROR(__xludf.DUMMYFUNCTION("""COMPUTED_VALUE"""),44718)</f>
        <v>44718</v>
      </c>
      <c r="B8729" s="8" t="str">
        <f ca="1">IFERROR(__xludf.DUMMYFUNCTION("""COMPUTED_VALUE"""),"-33.7317718, -70.90924")</f>
        <v>-33.7317718, -70.90924</v>
      </c>
      <c r="C8729" s="6" t="str">
        <f ca="1">IFERROR(__xludf.DUMMYFUNCTION("""COMPUTED_VALUE"""),"LOS PALTOS 70")</f>
        <v>LOS PALTOS 70</v>
      </c>
      <c r="D8729" s="6" t="str">
        <f ca="1">IFERROR(__xludf.DUMMYFUNCTION("""COMPUTED_VALUE"""),"ISLA DE MAIPO")</f>
        <v>ISLA DE MAIPO</v>
      </c>
    </row>
    <row r="8730" spans="1:4">
      <c r="A8730" s="7">
        <f ca="1">IFERROR(__xludf.DUMMYFUNCTION("""COMPUTED_VALUE"""),44718)</f>
        <v>44718</v>
      </c>
      <c r="B8730" s="8" t="str">
        <f ca="1">IFERROR(__xludf.DUMMYFUNCTION("""COMPUTED_VALUE"""),"-33.8109339, -70.864516")</f>
        <v>-33.8109339, -70.864516</v>
      </c>
      <c r="C8730" s="6" t="str">
        <f ca="1">IFERROR(__xludf.DUMMYFUNCTION("""COMPUTED_VALUE"""),"MANUEL RODRIGUEZ 393")</f>
        <v>MANUEL RODRIGUEZ 393</v>
      </c>
      <c r="D8730" s="6" t="str">
        <f ca="1">IFERROR(__xludf.DUMMYFUNCTION("""COMPUTED_VALUE"""),"BUIN")</f>
        <v>BUIN</v>
      </c>
    </row>
    <row r="8731" spans="1:4">
      <c r="A8731" s="7">
        <f ca="1">IFERROR(__xludf.DUMMYFUNCTION("""COMPUTED_VALUE"""),44718)</f>
        <v>44718</v>
      </c>
      <c r="B8731" s="8" t="str">
        <f ca="1">IFERROR(__xludf.DUMMYFUNCTION("""COMPUTED_VALUE"""),"-33.2756669, -70.8598564")</f>
        <v>-33.2756669, -70.8598564</v>
      </c>
      <c r="C8731" s="6" t="str">
        <f ca="1">IFERROR(__xludf.DUMMYFUNCTION("""COMPUTED_VALUE"""),"CAMINO INTERIOR LOTE 6A")</f>
        <v>CAMINO INTERIOR LOTE 6A</v>
      </c>
      <c r="D8731" s="6" t="str">
        <f ca="1">IFERROR(__xludf.DUMMYFUNCTION("""COMPUTED_VALUE"""),"LAMPA")</f>
        <v>LAMPA</v>
      </c>
    </row>
    <row r="8732" spans="1:4">
      <c r="A8732" s="7">
        <f ca="1">IFERROR(__xludf.DUMMYFUNCTION("""COMPUTED_VALUE"""),44718)</f>
        <v>44718</v>
      </c>
      <c r="B8732" s="8" t="str">
        <f ca="1">IFERROR(__xludf.DUMMYFUNCTION("""COMPUTED_VALUE"""),"-33.6312232, -70.7595971")</f>
        <v>-33.6312232, -70.7595971</v>
      </c>
      <c r="C8732" s="6" t="str">
        <f ca="1">IFERROR(__xludf.DUMMYFUNCTION("""COMPUTED_VALUE"""),"LOS OLMOS 67")</f>
        <v>LOS OLMOS 67</v>
      </c>
      <c r="D8732" s="6" t="str">
        <f ca="1">IFERROR(__xludf.DUMMYFUNCTION("""COMPUTED_VALUE"""),"CALERA DE TANGO")</f>
        <v>CALERA DE TANGO</v>
      </c>
    </row>
    <row r="8733" spans="1:4">
      <c r="A8733" s="7">
        <f ca="1">IFERROR(__xludf.DUMMYFUNCTION("""COMPUTED_VALUE"""),44718)</f>
        <v>44718</v>
      </c>
      <c r="B8733" s="6" t="str">
        <f ca="1">IFERROR(__xludf.DUMMYFUNCTION("""COMPUTED_VALUE"""),"-33.61561-70.87861")</f>
        <v>-33.61561-70.87861</v>
      </c>
      <c r="C8733" s="6" t="str">
        <f ca="1">IFERROR(__xludf.DUMMYFUNCTION("""COMPUTED_VALUE"""),"ALFONSO DUVAL CERDA 635")</f>
        <v>ALFONSO DUVAL CERDA 635</v>
      </c>
      <c r="D8733" s="6" t="str">
        <f ca="1">IFERROR(__xludf.DUMMYFUNCTION("""COMPUTED_VALUE"""),"PEÑAFLOR")</f>
        <v>PEÑAFLOR</v>
      </c>
    </row>
    <row r="8734" spans="1:4">
      <c r="A8734" s="7">
        <f ca="1">IFERROR(__xludf.DUMMYFUNCTION("""COMPUTED_VALUE"""),44718)</f>
        <v>44718</v>
      </c>
      <c r="B8734" s="6" t="str">
        <f ca="1">IFERROR(__xludf.DUMMYFUNCTION("""COMPUTED_VALUE"""),"-33.60997-70.89333")</f>
        <v>-33.60997-70.89333</v>
      </c>
      <c r="C8734" s="6" t="str">
        <f ca="1">IFERROR(__xludf.DUMMYFUNCTION("""COMPUTED_VALUE"""),"PJE TRES 0155")</f>
        <v>PJE TRES 0155</v>
      </c>
      <c r="D8734" s="6" t="str">
        <f ca="1">IFERROR(__xludf.DUMMYFUNCTION("""COMPUTED_VALUE"""),"PEÑAFLOR")</f>
        <v>PEÑAFLOR</v>
      </c>
    </row>
    <row r="8735" spans="1:4">
      <c r="A8735" s="7">
        <f ca="1">IFERROR(__xludf.DUMMYFUNCTION("""COMPUTED_VALUE"""),44718)</f>
        <v>44718</v>
      </c>
      <c r="B8735" s="6" t="str">
        <f ca="1">IFERROR(__xludf.DUMMYFUNCTION("""COMPUTED_VALUE"""),"-33.874835-70.687210")</f>
        <v>-33.874835-70.687210</v>
      </c>
      <c r="C8735" s="6" t="str">
        <f ca="1">IFERROR(__xludf.DUMMYFUNCTION("""COMPUTED_VALUE"""),"CHADA LOTE 19 D")</f>
        <v>CHADA LOTE 19 D</v>
      </c>
      <c r="D8735" s="6" t="str">
        <f ca="1">IFERROR(__xludf.DUMMYFUNCTION("""COMPUTED_VALUE"""),"PAINE")</f>
        <v>PAINE</v>
      </c>
    </row>
    <row r="8736" spans="1:4">
      <c r="A8736" s="7">
        <f ca="1">IFERROR(__xludf.DUMMYFUNCTION("""COMPUTED_VALUE"""),44718)</f>
        <v>44718</v>
      </c>
      <c r="B8736" s="8" t="str">
        <f ca="1">IFERROR(__xludf.DUMMYFUNCTION("""COMPUTED_VALUE"""),"-33.243627,-70.684643")</f>
        <v>-33.243627,-70.684643</v>
      </c>
      <c r="C8736" s="6" t="str">
        <f ca="1">IFERROR(__xludf.DUMMYFUNCTION("""COMPUTED_VALUE"""),"LO ARCAYA 20")</f>
        <v>LO ARCAYA 20</v>
      </c>
      <c r="D8736" s="6" t="str">
        <f ca="1">IFERROR(__xludf.DUMMYFUNCTION("""COMPUTED_VALUE"""),"COLINA")</f>
        <v>COLINA</v>
      </c>
    </row>
    <row r="8737" spans="1:4">
      <c r="A8737" s="7">
        <f ca="1">IFERROR(__xludf.DUMMYFUNCTION("""COMPUTED_VALUE"""),44718)</f>
        <v>44718</v>
      </c>
      <c r="B8737" s="8" t="str">
        <f ca="1">IFERROR(__xludf.DUMMYFUNCTION("""COMPUTED_VALUE"""),"-33.192226,-70.683176")</f>
        <v>-33.192226,-70.683176</v>
      </c>
      <c r="C8737" s="6" t="str">
        <f ca="1">IFERROR(__xludf.DUMMYFUNCTION("""COMPUTED_VALUE"""),"EL CANELILLO 830")</f>
        <v>EL CANELILLO 830</v>
      </c>
      <c r="D8737" s="6" t="str">
        <f ca="1">IFERROR(__xludf.DUMMYFUNCTION("""COMPUTED_VALUE"""),"COLINA")</f>
        <v>COLINA</v>
      </c>
    </row>
    <row r="8738" spans="1:4">
      <c r="A8738" s="7">
        <f ca="1">IFERROR(__xludf.DUMMYFUNCTION("""COMPUTED_VALUE"""),44718)</f>
        <v>44718</v>
      </c>
      <c r="B8738" s="6" t="str">
        <f ca="1">IFERROR(__xludf.DUMMYFUNCTION("""COMPUTED_VALUE"""),"-33.731206,-70.739030")</f>
        <v>-33.731206,-70.739030</v>
      </c>
      <c r="C8738" s="6" t="str">
        <f ca="1">IFERROR(__xludf.DUMMYFUNCTION("""COMPUTED_VALUE"""),"PRESIDENTE FEDERICO ERRAZURIZ 166 A")</f>
        <v>PRESIDENTE FEDERICO ERRAZURIZ 166 A</v>
      </c>
      <c r="D8738" s="6" t="str">
        <f ca="1">IFERROR(__xludf.DUMMYFUNCTION("""COMPUTED_VALUE"""),"BUIN")</f>
        <v>BUIN</v>
      </c>
    </row>
    <row r="8739" spans="1:4">
      <c r="A8739" s="7">
        <f ca="1">IFERROR(__xludf.DUMMYFUNCTION("""COMPUTED_VALUE"""),44718)</f>
        <v>44718</v>
      </c>
      <c r="B8739" s="6" t="str">
        <f ca="1">IFERROR(__xludf.DUMMYFUNCTION("""COMPUTED_VALUE"""),"-33.731171,-70.738897")</f>
        <v>-33.731171,-70.738897</v>
      </c>
      <c r="C8739" s="6" t="str">
        <f ca="1">IFERROR(__xludf.DUMMYFUNCTION("""COMPUTED_VALUE"""),"FEDERICO ERRAZURIZ 166 C")</f>
        <v>FEDERICO ERRAZURIZ 166 C</v>
      </c>
      <c r="D8739" s="6" t="str">
        <f ca="1">IFERROR(__xludf.DUMMYFUNCTION("""COMPUTED_VALUE"""),"BUIN")</f>
        <v>BUIN</v>
      </c>
    </row>
    <row r="8740" spans="1:4">
      <c r="A8740" s="7">
        <f ca="1">IFERROR(__xludf.DUMMYFUNCTION("""COMPUTED_VALUE"""),44718)</f>
        <v>44718</v>
      </c>
      <c r="B8740" s="6" t="str">
        <f ca="1">IFERROR(__xludf.DUMMYFUNCTION("""COMPUTED_VALUE"""),"-33.732358,-70.764612")</f>
        <v>-33.732358,-70.764612</v>
      </c>
      <c r="C8740" s="6" t="str">
        <f ca="1">IFERROR(__xludf.DUMMYFUNCTION("""COMPUTED_VALUE"""),"MANUEL MELLEA 64")</f>
        <v>MANUEL MELLEA 64</v>
      </c>
      <c r="D8740" s="6" t="str">
        <f ca="1">IFERROR(__xludf.DUMMYFUNCTION("""COMPUTED_VALUE"""),"BUIN")</f>
        <v>BUIN</v>
      </c>
    </row>
    <row r="8741" spans="1:4">
      <c r="A8741" s="7">
        <f ca="1">IFERROR(__xludf.DUMMYFUNCTION("""COMPUTED_VALUE"""),44718)</f>
        <v>44718</v>
      </c>
      <c r="B8741" s="6" t="str">
        <f ca="1">IFERROR(__xludf.DUMMYFUNCTION("""COMPUTED_VALUE"""),"-33.726809,-70.774946")</f>
        <v>-33.726809,-70.774946</v>
      </c>
      <c r="C8741" s="6" t="str">
        <f ca="1">IFERROR(__xludf.DUMMYFUNCTION("""COMPUTED_VALUE"""),"LOS MAGNOLIOS 298")</f>
        <v>LOS MAGNOLIOS 298</v>
      </c>
      <c r="D8741" s="6" t="str">
        <f ca="1">IFERROR(__xludf.DUMMYFUNCTION("""COMPUTED_VALUE"""),"BUIN")</f>
        <v>BUIN</v>
      </c>
    </row>
    <row r="8742" spans="1:4">
      <c r="A8742" s="7">
        <f ca="1">IFERROR(__xludf.DUMMYFUNCTION("""COMPUTED_VALUE"""),44718)</f>
        <v>44718</v>
      </c>
      <c r="B8742" s="6" t="str">
        <f ca="1">IFERROR(__xludf.DUMMYFUNCTION("""COMPUTED_VALUE"""),"-33.731600,-70.683401")</f>
        <v>-33.731600,-70.683401</v>
      </c>
      <c r="C8742" s="6" t="str">
        <f ca="1">IFERROR(__xludf.DUMMYFUNCTION("""COMPUTED_VALUE"""),"MIRAFLORES 086 LOTE Y")</f>
        <v>MIRAFLORES 086 LOTE Y</v>
      </c>
      <c r="D8742" s="6" t="str">
        <f ca="1">IFERROR(__xludf.DUMMYFUNCTION("""COMPUTED_VALUE"""),"BUIN")</f>
        <v>BUIN</v>
      </c>
    </row>
    <row r="8743" spans="1:4">
      <c r="A8743" s="7">
        <f ca="1">IFERROR(__xludf.DUMMYFUNCTION("""COMPUTED_VALUE"""),44718)</f>
        <v>44718</v>
      </c>
      <c r="B8743" s="6" t="str">
        <f ca="1">IFERROR(__xludf.DUMMYFUNCTION("""COMPUTED_VALUE"""),"-33.714098,-70.689083")</f>
        <v>-33.714098,-70.689083</v>
      </c>
      <c r="C8743" s="6" t="str">
        <f ca="1">IFERROR(__xludf.DUMMYFUNCTION("""COMPUTED_VALUE"""),"CO LOS TILOS 3806 ALTO JAHUEL PARC 47C")</f>
        <v>CO LOS TILOS 3806 ALTO JAHUEL PARC 47C</v>
      </c>
      <c r="D8743" s="6" t="str">
        <f ca="1">IFERROR(__xludf.DUMMYFUNCTION("""COMPUTED_VALUE"""),"BUIN")</f>
        <v>BUIN</v>
      </c>
    </row>
    <row r="8744" spans="1:4">
      <c r="A8744" s="7">
        <f ca="1">IFERROR(__xludf.DUMMYFUNCTION("""COMPUTED_VALUE"""),44719)</f>
        <v>44719</v>
      </c>
      <c r="B8744" s="8" t="str">
        <f ca="1">IFERROR(__xludf.DUMMYFUNCTION("""COMPUTED_VALUE"""),"-33.7564848, -70.8120165")</f>
        <v>-33.7564848, -70.8120165</v>
      </c>
      <c r="C8744" s="6" t="str">
        <f ca="1">IFERROR(__xludf.DUMMYFUNCTION("""COMPUTED_VALUE"""),"ESTANCILLA 9119")</f>
        <v>ESTANCILLA 9119</v>
      </c>
      <c r="D8744" s="6" t="str">
        <f ca="1">IFERROR(__xludf.DUMMYFUNCTION("""COMPUTED_VALUE"""),"BUIN")</f>
        <v>BUIN</v>
      </c>
    </row>
    <row r="8745" spans="1:4">
      <c r="A8745" s="7">
        <f ca="1">IFERROR(__xludf.DUMMYFUNCTION("""COMPUTED_VALUE"""),44719)</f>
        <v>44719</v>
      </c>
      <c r="B8745" s="8" t="str">
        <f ca="1">IFERROR(__xludf.DUMMYFUNCTION("""COMPUTED_VALUE"""),"-33.2857069, -70.7628799")</f>
        <v>-33.2857069, -70.7628799</v>
      </c>
      <c r="C8745" s="6" t="str">
        <f ca="1">IFERROR(__xludf.DUMMYFUNCTION("""COMPUTED_VALUE"""),"CACIQUE COLIN 134")</f>
        <v>CACIQUE COLIN 134</v>
      </c>
      <c r="D8745" s="6" t="str">
        <f ca="1">IFERROR(__xludf.DUMMYFUNCTION("""COMPUTED_VALUE"""),"LAMPA")</f>
        <v>LAMPA</v>
      </c>
    </row>
    <row r="8746" spans="1:4">
      <c r="A8746" s="7">
        <f ca="1">IFERROR(__xludf.DUMMYFUNCTION("""COMPUTED_VALUE"""),44719)</f>
        <v>44719</v>
      </c>
      <c r="B8746" s="8" t="str">
        <f ca="1">IFERROR(__xludf.DUMMYFUNCTION("""COMPUTED_VALUE"""),"-33.5752771, -71.1858677")</f>
        <v>-33.5752771, -71.1858677</v>
      </c>
      <c r="C8746" s="6" t="str">
        <f ca="1">IFERROR(__xludf.DUMMYFUNCTION("""COMPUTED_VALUE"""),"JUAN PABLO II 129")</f>
        <v>JUAN PABLO II 129</v>
      </c>
      <c r="D8746" s="6" t="str">
        <f ca="1">IFERROR(__xludf.DUMMYFUNCTION("""COMPUTED_VALUE"""),"MELIPILLA")</f>
        <v>MELIPILLA</v>
      </c>
    </row>
    <row r="8747" spans="1:4">
      <c r="A8747" s="7">
        <f ca="1">IFERROR(__xludf.DUMMYFUNCTION("""COMPUTED_VALUE"""),44719)</f>
        <v>44719</v>
      </c>
      <c r="B8747" s="8" t="str">
        <f ca="1">IFERROR(__xludf.DUMMYFUNCTION("""COMPUTED_VALUE"""),"-33.8547908, -70.7648261")</f>
        <v>-33.8547908, -70.7648261</v>
      </c>
      <c r="C8747" s="6" t="str">
        <f ca="1">IFERROR(__xludf.DUMMYFUNCTION("""COMPUTED_VALUE"""),"DARIO PAVEZ 12")</f>
        <v>DARIO PAVEZ 12</v>
      </c>
      <c r="D8747" s="6" t="str">
        <f ca="1">IFERROR(__xludf.DUMMYFUNCTION("""COMPUTED_VALUE"""),"PAINE")</f>
        <v>PAINE</v>
      </c>
    </row>
    <row r="8748" spans="1:4">
      <c r="A8748" s="7">
        <f ca="1">IFERROR(__xludf.DUMMYFUNCTION("""COMPUTED_VALUE"""),44719)</f>
        <v>44719</v>
      </c>
      <c r="B8748" s="8" t="str">
        <f ca="1">IFERROR(__xludf.DUMMYFUNCTION("""COMPUTED_VALUE"""),"-33.2853489, -70.8414793")</f>
        <v>-33.2853489, -70.8414793</v>
      </c>
      <c r="C8748" s="6" t="str">
        <f ca="1">IFERROR(__xludf.DUMMYFUNCTION("""COMPUTED_VALUE"""),"IGNACIO CARRERA PINTO 5")</f>
        <v>IGNACIO CARRERA PINTO 5</v>
      </c>
      <c r="D8748" s="6" t="str">
        <f ca="1">IFERROR(__xludf.DUMMYFUNCTION("""COMPUTED_VALUE"""),"LAMPA")</f>
        <v>LAMPA</v>
      </c>
    </row>
    <row r="8749" spans="1:4">
      <c r="A8749" s="7">
        <f ca="1">IFERROR(__xludf.DUMMYFUNCTION("""COMPUTED_VALUE"""),44719)</f>
        <v>44719</v>
      </c>
      <c r="B8749" s="8" t="str">
        <f ca="1">IFERROR(__xludf.DUMMYFUNCTION("""COMPUTED_VALUE"""),"-33.617159, -70.6300043")</f>
        <v>-33.617159, -70.6300043</v>
      </c>
      <c r="C8749" s="6" t="str">
        <f ca="1">IFERROR(__xludf.DUMMYFUNCTION("""COMPUTED_VALUE"""),"LUIS VALDERRAMA REYES 443")</f>
        <v>LUIS VALDERRAMA REYES 443</v>
      </c>
      <c r="D8749" s="6" t="str">
        <f ca="1">IFERROR(__xludf.DUMMYFUNCTION("""COMPUTED_VALUE"""),"BUIN")</f>
        <v>BUIN</v>
      </c>
    </row>
    <row r="8750" spans="1:4">
      <c r="A8750" s="7">
        <f ca="1">IFERROR(__xludf.DUMMYFUNCTION("""COMPUTED_VALUE"""),44719)</f>
        <v>44719</v>
      </c>
      <c r="B8750" s="8" t="str">
        <f ca="1">IFERROR(__xludf.DUMMYFUNCTION("""COMPUTED_VALUE"""),"-33.5186221, -71.1202916")</f>
        <v>-33.5186221, -71.1202916</v>
      </c>
      <c r="C8750" s="6" t="str">
        <f ca="1">IFERROR(__xludf.DUMMYFUNCTION("""COMPUTED_VALUE"""),"FRANCISCO DONOSO 250")</f>
        <v>FRANCISCO DONOSO 250</v>
      </c>
      <c r="D8750" s="6" t="str">
        <f ca="1">IFERROR(__xludf.DUMMYFUNCTION("""COMPUTED_VALUE"""),"MARIA PINTO")</f>
        <v>MARIA PINTO</v>
      </c>
    </row>
    <row r="8751" spans="1:4">
      <c r="A8751" s="7">
        <f ca="1">IFERROR(__xludf.DUMMYFUNCTION("""COMPUTED_VALUE"""),44719)</f>
        <v>44719</v>
      </c>
      <c r="B8751" s="8" t="str">
        <f ca="1">IFERROR(__xludf.DUMMYFUNCTION("""COMPUTED_VALUE"""),"-33.8091504, - 70.7301262")</f>
        <v>-33.8091504, - 70.7301262</v>
      </c>
      <c r="C8751" s="6" t="str">
        <f ca="1">IFERROR(__xludf.DUMMYFUNCTION("""COMPUTED_VALUE"""),"LA LENGA 868")</f>
        <v>LA LENGA 868</v>
      </c>
      <c r="D8751" s="6" t="str">
        <f ca="1">IFERROR(__xludf.DUMMYFUNCTION("""COMPUTED_VALUE"""),"PAINE")</f>
        <v>PAINE</v>
      </c>
    </row>
    <row r="8752" spans="1:4">
      <c r="A8752" s="7">
        <f ca="1">IFERROR(__xludf.DUMMYFUNCTION("""COMPUTED_VALUE"""),44719)</f>
        <v>44719</v>
      </c>
      <c r="B8752" s="6" t="str">
        <f ca="1">IFERROR(__xludf.DUMMYFUNCTION("""COMPUTED_VALUE"""),"-33.63605-70.350630")</f>
        <v>-33.63605-70.350630</v>
      </c>
      <c r="C8752" s="6" t="str">
        <f ca="1">IFERROR(__xludf.DUMMYFUNCTION("""COMPUTED_VALUE"""),"AV. CEMENTERIO 19273")</f>
        <v>AV. CEMENTERIO 19273</v>
      </c>
      <c r="D8752" s="6" t="str">
        <f ca="1">IFERROR(__xludf.DUMMYFUNCTION("""COMPUTED_VALUE"""),"SAN JOSE DE MAIPO")</f>
        <v>SAN JOSE DE MAIPO</v>
      </c>
    </row>
    <row r="8753" spans="1:4">
      <c r="A8753" s="7">
        <f ca="1">IFERROR(__xludf.DUMMYFUNCTION("""COMPUTED_VALUE"""),44719)</f>
        <v>44719</v>
      </c>
      <c r="B8753" s="6" t="str">
        <f ca="1">IFERROR(__xludf.DUMMYFUNCTION("""COMPUTED_VALUE"""),"-33.63605-70.35063")</f>
        <v>-33.63605-70.35063</v>
      </c>
      <c r="C8753" s="6" t="str">
        <f ca="1">IFERROR(__xludf.DUMMYFUNCTION("""COMPUTED_VALUE"""),"DEL CERRO S/N")</f>
        <v>DEL CERRO S/N</v>
      </c>
      <c r="D8753" s="6" t="str">
        <f ca="1">IFERROR(__xludf.DUMMYFUNCTION("""COMPUTED_VALUE"""),"SAN JOSE DE MAIPO")</f>
        <v>SAN JOSE DE MAIPO</v>
      </c>
    </row>
    <row r="8754" spans="1:4">
      <c r="A8754" s="7">
        <f ca="1">IFERROR(__xludf.DUMMYFUNCTION("""COMPUTED_VALUE"""),44719)</f>
        <v>44719</v>
      </c>
      <c r="B8754" s="6" t="str">
        <f ca="1">IFERROR(__xludf.DUMMYFUNCTION("""COMPUTED_VALUE"""),"-33.860585-70.724750")</f>
        <v>-33.860585-70.724750</v>
      </c>
      <c r="C8754" s="6" t="str">
        <f ca="1">IFERROR(__xludf.DUMMYFUNCTION("""COMPUTED_VALUE"""),"COLONIA KENNEDY PARC 69")</f>
        <v>COLONIA KENNEDY PARC 69</v>
      </c>
      <c r="D8754" s="6" t="str">
        <f ca="1">IFERROR(__xludf.DUMMYFUNCTION("""COMPUTED_VALUE"""),"PAINE")</f>
        <v>PAINE</v>
      </c>
    </row>
    <row r="8755" spans="1:4">
      <c r="A8755" s="7">
        <f ca="1">IFERROR(__xludf.DUMMYFUNCTION("""COMPUTED_VALUE"""),44719)</f>
        <v>44719</v>
      </c>
      <c r="B8755" s="6" t="str">
        <f ca="1">IFERROR(__xludf.DUMMYFUNCTION("""COMPUTED_VALUE"""),"-33.862597-70.850748")</f>
        <v>-33.862597-70.850748</v>
      </c>
      <c r="C8755" s="6" t="str">
        <f ca="1">IFERROR(__xludf.DUMMYFUNCTION("""COMPUTED_VALUE"""),"CAMINO EL MANZANITO S/N")</f>
        <v>CAMINO EL MANZANITO S/N</v>
      </c>
      <c r="D8755" s="6" t="str">
        <f ca="1">IFERROR(__xludf.DUMMYFUNCTION("""COMPUTED_VALUE"""),"PAINE")</f>
        <v>PAINE</v>
      </c>
    </row>
    <row r="8756" spans="1:4">
      <c r="A8756" s="7">
        <f ca="1">IFERROR(__xludf.DUMMYFUNCTION("""COMPUTED_VALUE"""),44719)</f>
        <v>44719</v>
      </c>
      <c r="B8756" s="6" t="str">
        <f ca="1">IFERROR(__xludf.DUMMYFUNCTION("""COMPUTED_VALUE"""),"-33.812558-70.735675")</f>
        <v>-33.812558-70.735675</v>
      </c>
      <c r="C8756" s="6" t="str">
        <f ca="1">IFERROR(__xludf.DUMMYFUNCTION("""COMPUTED_VALUE"""),"CALLE 1  720")</f>
        <v>CALLE 1  720</v>
      </c>
      <c r="D8756" s="6" t="str">
        <f ca="1">IFERROR(__xludf.DUMMYFUNCTION("""COMPUTED_VALUE"""),"PAINE")</f>
        <v>PAINE</v>
      </c>
    </row>
    <row r="8757" spans="1:4">
      <c r="A8757" s="7">
        <f ca="1">IFERROR(__xludf.DUMMYFUNCTION("""COMPUTED_VALUE"""),44719)</f>
        <v>44719</v>
      </c>
      <c r="B8757" s="6" t="str">
        <f ca="1">IFERROR(__xludf.DUMMYFUNCTION("""COMPUTED_VALUE"""),"-33.802449-70.771342")</f>
        <v>-33.802449-70.771342</v>
      </c>
      <c r="C8757" s="6" t="str">
        <f ca="1">IFERROR(__xludf.DUMMYFUNCTION("""COMPUTED_VALUE"""),"AV. VILUCO 2645")</f>
        <v>AV. VILUCO 2645</v>
      </c>
      <c r="D8757" s="6" t="str">
        <f ca="1">IFERROR(__xludf.DUMMYFUNCTION("""COMPUTED_VALUE"""),"BUIN")</f>
        <v>BUIN</v>
      </c>
    </row>
    <row r="8758" spans="1:4">
      <c r="A8758" s="7">
        <f ca="1">IFERROR(__xludf.DUMMYFUNCTION("""COMPUTED_VALUE"""),44719)</f>
        <v>44719</v>
      </c>
      <c r="B8758" s="6" t="str">
        <f ca="1">IFERROR(__xludf.DUMMYFUNCTION("""COMPUTED_VALUE"""),"-33.871250-70.710781")</f>
        <v>-33.871250-70.710781</v>
      </c>
      <c r="C8758" s="6" t="str">
        <f ca="1">IFERROR(__xludf.DUMMYFUNCTION("""COMPUTED_VALUE"""),"CICHADA PARC 90")</f>
        <v>CICHADA PARC 90</v>
      </c>
      <c r="D8758" s="6" t="str">
        <f ca="1">IFERROR(__xludf.DUMMYFUNCTION("""COMPUTED_VALUE"""),"PAINE")</f>
        <v>PAINE</v>
      </c>
    </row>
    <row r="8759" spans="1:4">
      <c r="A8759" s="7">
        <f ca="1">IFERROR(__xludf.DUMMYFUNCTION("""COMPUTED_VALUE"""),44719)</f>
        <v>44719</v>
      </c>
      <c r="B8759" s="6" t="str">
        <f ca="1">IFERROR(__xludf.DUMMYFUNCTION("""COMPUTED_VALUE"""),"-33.7605085-70.7293227")</f>
        <v>-33.7605085-70.7293227</v>
      </c>
      <c r="C8759" s="6" t="str">
        <f ca="1">IFERROR(__xludf.DUMMYFUNCTION("""COMPUTED_VALUE"""),"AV. TENIENTE MERINO 500")</f>
        <v>AV. TENIENTE MERINO 500</v>
      </c>
      <c r="D8759" s="6" t="str">
        <f ca="1">IFERROR(__xludf.DUMMYFUNCTION("""COMPUTED_VALUE"""),"BUIN")</f>
        <v>BUIN</v>
      </c>
    </row>
    <row r="8760" spans="1:4">
      <c r="A8760" s="7">
        <f ca="1">IFERROR(__xludf.DUMMYFUNCTION("""COMPUTED_VALUE"""),44719)</f>
        <v>44719</v>
      </c>
      <c r="B8760" s="6" t="str">
        <f ca="1">IFERROR(__xludf.DUMMYFUNCTION("""COMPUTED_VALUE"""),"-33.398261-71.125560")</f>
        <v>-33.398261-71.125560</v>
      </c>
      <c r="C8760" s="6" t="str">
        <f ca="1">IFERROR(__xludf.DUMMYFUNCTION("""COMPUTED_VALUE"""),"LUIS CRUCHAGA S/N")</f>
        <v>LUIS CRUCHAGA S/N</v>
      </c>
      <c r="D8760" s="6" t="str">
        <f ca="1">IFERROR(__xludf.DUMMYFUNCTION("""COMPUTED_VALUE"""),"CURACAVI")</f>
        <v>CURACAVI</v>
      </c>
    </row>
    <row r="8761" spans="1:4">
      <c r="A8761" s="7">
        <f ca="1">IFERROR(__xludf.DUMMYFUNCTION("""COMPUTED_VALUE"""),44719)</f>
        <v>44719</v>
      </c>
      <c r="B8761" s="6" t="str">
        <f ca="1">IFERROR(__xludf.DUMMYFUNCTION("""COMPUTED_VALUE"""),"-33.403136-71.132465")</f>
        <v>-33.403136-71.132465</v>
      </c>
      <c r="C8761" s="6" t="str">
        <f ca="1">IFERROR(__xludf.DUMMYFUNCTION("""COMPUTED_VALUE"""),"JUAN PASTENE 105")</f>
        <v>JUAN PASTENE 105</v>
      </c>
      <c r="D8761" s="6" t="str">
        <f ca="1">IFERROR(__xludf.DUMMYFUNCTION("""COMPUTED_VALUE"""),"CURACAVI")</f>
        <v>CURACAVI</v>
      </c>
    </row>
    <row r="8762" spans="1:4">
      <c r="A8762" s="7">
        <f ca="1">IFERROR(__xludf.DUMMYFUNCTION("""COMPUTED_VALUE"""),44719)</f>
        <v>44719</v>
      </c>
      <c r="B8762" s="6" t="str">
        <f ca="1">IFERROR(__xludf.DUMMYFUNCTION("""COMPUTED_VALUE"""),"-33.412047-71.150353")</f>
        <v>-33.412047-71.150353</v>
      </c>
      <c r="C8762" s="6" t="str">
        <f ca="1">IFERROR(__xludf.DUMMYFUNCTION("""COMPUTED_VALUE"""),"AV AMBROSIO OHIGGINS 128 B")</f>
        <v>AV AMBROSIO OHIGGINS 128 B</v>
      </c>
      <c r="D8762" s="6" t="str">
        <f ca="1">IFERROR(__xludf.DUMMYFUNCTION("""COMPUTED_VALUE"""),"CURACAVI")</f>
        <v>CURACAVI</v>
      </c>
    </row>
    <row r="8763" spans="1:4">
      <c r="A8763" s="7">
        <f ca="1">IFERROR(__xludf.DUMMYFUNCTION("""COMPUTED_VALUE"""),44719)</f>
        <v>44719</v>
      </c>
      <c r="B8763" s="6" t="str">
        <f ca="1">IFERROR(__xludf.DUMMYFUNCTION("""COMPUTED_VALUE"""),"-33.412047-71.150353")</f>
        <v>-33.412047-71.150353</v>
      </c>
      <c r="C8763" s="6" t="str">
        <f ca="1">IFERROR(__xludf.DUMMYFUNCTION("""COMPUTED_VALUE"""),"AV AMBROSIO OHIGGINS 128 B")</f>
        <v>AV AMBROSIO OHIGGINS 128 B</v>
      </c>
      <c r="D8763" s="6" t="str">
        <f ca="1">IFERROR(__xludf.DUMMYFUNCTION("""COMPUTED_VALUE"""),"CURACAVI")</f>
        <v>CURACAVI</v>
      </c>
    </row>
    <row r="8764" spans="1:4">
      <c r="A8764" s="7">
        <f ca="1">IFERROR(__xludf.DUMMYFUNCTION("""COMPUTED_VALUE"""),44719)</f>
        <v>44719</v>
      </c>
      <c r="B8764" s="6" t="str">
        <f ca="1">IFERROR(__xludf.DUMMYFUNCTION("""COMPUTED_VALUE"""),"-33.412047-71.150353")</f>
        <v>-33.412047-71.150353</v>
      </c>
      <c r="C8764" s="6" t="str">
        <f ca="1">IFERROR(__xludf.DUMMYFUNCTION("""COMPUTED_VALUE"""),"AV AMBROSIO OHIGGINS 128 B")</f>
        <v>AV AMBROSIO OHIGGINS 128 B</v>
      </c>
      <c r="D8764" s="6" t="str">
        <f ca="1">IFERROR(__xludf.DUMMYFUNCTION("""COMPUTED_VALUE"""),"CURACAVI")</f>
        <v>CURACAVI</v>
      </c>
    </row>
    <row r="8765" spans="1:4">
      <c r="A8765" s="7">
        <f ca="1">IFERROR(__xludf.DUMMYFUNCTION("""COMPUTED_VALUE"""),44719)</f>
        <v>44719</v>
      </c>
      <c r="B8765" s="8" t="str">
        <f ca="1">IFERROR(__xludf.DUMMYFUNCTION("""COMPUTED_VALUE"""),"-33.274027,-70.710699")</f>
        <v>-33.274027,-70.710699</v>
      </c>
      <c r="C8765" s="6" t="str">
        <f ca="1">IFERROR(__xludf.DUMMYFUNCTION("""COMPUTED_VALUE"""),"EL ALGARROBAL PARCELA 2")</f>
        <v>EL ALGARROBAL PARCELA 2</v>
      </c>
      <c r="D8765" s="6" t="str">
        <f ca="1">IFERROR(__xludf.DUMMYFUNCTION("""COMPUTED_VALUE"""),"COLINA")</f>
        <v>COLINA</v>
      </c>
    </row>
    <row r="8766" spans="1:4">
      <c r="A8766" s="7">
        <f ca="1">IFERROR(__xludf.DUMMYFUNCTION("""COMPUTED_VALUE"""),44719)</f>
        <v>44719</v>
      </c>
      <c r="B8766" s="8" t="str">
        <f ca="1">IFERROR(__xludf.DUMMYFUNCTION("""COMPUTED_VALUE"""),".33.274027,-70.710699")</f>
        <v>.33.274027,-70.710699</v>
      </c>
      <c r="C8766" s="6" t="str">
        <f ca="1">IFERROR(__xludf.DUMMYFUNCTION("""COMPUTED_VALUE"""),"EL ALGARROBAL PARCELA 2")</f>
        <v>EL ALGARROBAL PARCELA 2</v>
      </c>
      <c r="D8766" s="6" t="str">
        <f ca="1">IFERROR(__xludf.DUMMYFUNCTION("""COMPUTED_VALUE"""),"COLINA")</f>
        <v>COLINA</v>
      </c>
    </row>
    <row r="8767" spans="1:4">
      <c r="A8767" s="7">
        <f ca="1">IFERROR(__xludf.DUMMYFUNCTION("""COMPUTED_VALUE"""),44719)</f>
        <v>44719</v>
      </c>
      <c r="B8767" s="6" t="str">
        <f ca="1">IFERROR(__xludf.DUMMYFUNCTION("""COMPUTED_VALUE"""),"-33.757206,-70896937")</f>
        <v>-33.757206,-70896937</v>
      </c>
      <c r="C8767" s="6" t="str">
        <f ca="1">IFERROR(__xludf.DUMMYFUNCTION("""COMPUTED_VALUE"""),"GALVEZ 104 ")</f>
        <v xml:space="preserve">GALVEZ 104 </v>
      </c>
      <c r="D8767" s="6" t="str">
        <f ca="1">IFERROR(__xludf.DUMMYFUNCTION("""COMPUTED_VALUE"""),"ISLA DE MAIPO")</f>
        <v>ISLA DE MAIPO</v>
      </c>
    </row>
    <row r="8768" spans="1:4">
      <c r="A8768" s="7">
        <f ca="1">IFERROR(__xludf.DUMMYFUNCTION("""COMPUTED_VALUE"""),44719)</f>
        <v>44719</v>
      </c>
      <c r="B8768" s="6" t="str">
        <f ca="1">IFERROR(__xludf.DUMMYFUNCTION("""COMPUTED_VALUE"""),"-33.736280,-70.860290")</f>
        <v>-33.736280,-70.860290</v>
      </c>
      <c r="C8768" s="6" t="str">
        <f ca="1">IFERROR(__xludf.DUMMYFUNCTION("""COMPUTED_VALUE"""),"CAPERANA 4450")</f>
        <v>CAPERANA 4450</v>
      </c>
      <c r="D8768" s="6" t="str">
        <f ca="1">IFERROR(__xludf.DUMMYFUNCTION("""COMPUTED_VALUE"""),"ISLA DE MAIPO")</f>
        <v>ISLA DE MAIPO</v>
      </c>
    </row>
    <row r="8769" spans="1:4">
      <c r="A8769" s="7">
        <f ca="1">IFERROR(__xludf.DUMMYFUNCTION("""COMPUTED_VALUE"""),44719)</f>
        <v>44719</v>
      </c>
      <c r="B8769" s="6" t="str">
        <f ca="1">IFERROR(__xludf.DUMMYFUNCTION("""COMPUTED_VALUE"""),"-33.727173,-70.775977")</f>
        <v>-33.727173,-70.775977</v>
      </c>
      <c r="C8769" s="6" t="str">
        <f ca="1">IFERROR(__xludf.DUMMYFUNCTION("""COMPUTED_VALUE"""),"PASAJE EL PASTOR 257")</f>
        <v>PASAJE EL PASTOR 257</v>
      </c>
      <c r="D8769" s="6" t="str">
        <f ca="1">IFERROR(__xludf.DUMMYFUNCTION("""COMPUTED_VALUE"""),"BUIN")</f>
        <v>BUIN</v>
      </c>
    </row>
    <row r="8770" spans="1:4">
      <c r="A8770" s="7">
        <f ca="1">IFERROR(__xludf.DUMMYFUNCTION("""COMPUTED_VALUE"""),44719)</f>
        <v>44719</v>
      </c>
      <c r="B8770" s="6" t="str">
        <f ca="1">IFERROR(__xludf.DUMMYFUNCTION("""COMPUTED_VALUE"""),"-33.856542,-70.747290")</f>
        <v>-33.856542,-70.747290</v>
      </c>
      <c r="C8770" s="6" t="str">
        <f ca="1">IFERROR(__xludf.DUMMYFUNCTION("""COMPUTED_VALUE"""),"HUERTO 78 HOSPITAL")</f>
        <v>HUERTO 78 HOSPITAL</v>
      </c>
      <c r="D8770" s="6" t="str">
        <f ca="1">IFERROR(__xludf.DUMMYFUNCTION("""COMPUTED_VALUE"""),"PAINE")</f>
        <v>PAINE</v>
      </c>
    </row>
    <row r="8771" spans="1:4">
      <c r="A8771" s="7">
        <f ca="1">IFERROR(__xludf.DUMMYFUNCTION("""COMPUTED_VALUE"""),44719)</f>
        <v>44719</v>
      </c>
      <c r="B8771" s="6" t="str">
        <f ca="1">IFERROR(__xludf.DUMMYFUNCTION("""COMPUTED_VALUE"""),"-33.8041215.-70.7273368")</f>
        <v>-33.8041215.-70.7273368</v>
      </c>
      <c r="C8771" s="6" t="str">
        <f ca="1">IFERROR(__xludf.DUMMYFUNCTION("""COMPUTED_VALUE"""),"MARIA MUÑOZ 321")</f>
        <v>MARIA MUÑOZ 321</v>
      </c>
      <c r="D8771" s="6" t="str">
        <f ca="1">IFERROR(__xludf.DUMMYFUNCTION("""COMPUTED_VALUE"""),"PAINE")</f>
        <v>PAINE</v>
      </c>
    </row>
    <row r="8772" spans="1:4">
      <c r="A8772" s="7">
        <f ca="1">IFERROR(__xludf.DUMMYFUNCTION("""COMPUTED_VALUE"""),44719)</f>
        <v>44719</v>
      </c>
      <c r="B8772" s="6" t="str">
        <f ca="1">IFERROR(__xludf.DUMMYFUNCTION("""COMPUTED_VALUE"""),"-33.803612,-70.7356909")</f>
        <v>-33.803612,-70.7356909</v>
      </c>
      <c r="C8772" s="6" t="str">
        <f ca="1">IFERROR(__xludf.DUMMYFUNCTION("""COMPUTED_VALUE"""),"LOS MAITENES 339")</f>
        <v>LOS MAITENES 339</v>
      </c>
      <c r="D8772" s="6" t="str">
        <f ca="1">IFERROR(__xludf.DUMMYFUNCTION("""COMPUTED_VALUE"""),"PAINE")</f>
        <v>PAINE</v>
      </c>
    </row>
    <row r="8773" spans="1:4">
      <c r="A8773" s="7">
        <f ca="1">IFERROR(__xludf.DUMMYFUNCTION("""COMPUTED_VALUE"""),44720)</f>
        <v>44720</v>
      </c>
      <c r="B8773" s="8" t="str">
        <f ca="1">IFERROR(__xludf.DUMMYFUNCTION("""COMPUTED_VALUE"""),"-33.7367153, -71.0250639")</f>
        <v>-33.7367153, -71.0250639</v>
      </c>
      <c r="C8773" s="6" t="str">
        <f ca="1">IFERROR(__xludf.DUMMYFUNCTION("""COMPUTED_VALUE"""),"EL PEUMO 30")</f>
        <v>EL PEUMO 30</v>
      </c>
      <c r="D8773" s="6" t="str">
        <f ca="1">IFERROR(__xludf.DUMMYFUNCTION("""COMPUTED_VALUE"""),"ISLA DE MAIPO")</f>
        <v>ISLA DE MAIPO</v>
      </c>
    </row>
    <row r="8774" spans="1:4">
      <c r="A8774" s="7">
        <f ca="1">IFERROR(__xludf.DUMMYFUNCTION("""COMPUTED_VALUE"""),44720)</f>
        <v>44720</v>
      </c>
      <c r="B8774" s="8" t="str">
        <f ca="1">IFERROR(__xludf.DUMMYFUNCTION("""COMPUTED_VALUE"""),"-33.7558269, -71.3213881")</f>
        <v>-33.7558269, -71.3213881</v>
      </c>
      <c r="C8774" s="6" t="str">
        <f ca="1">IFERROR(__xludf.DUMMYFUNCTION("""COMPUTED_VALUE"""),"ARICA 8")</f>
        <v>ARICA 8</v>
      </c>
      <c r="D8774" s="6" t="str">
        <f ca="1">IFERROR(__xludf.DUMMYFUNCTION("""COMPUTED_VALUE"""),"MELIPILLA")</f>
        <v>MELIPILLA</v>
      </c>
    </row>
    <row r="8775" spans="1:4">
      <c r="A8775" s="7">
        <f ca="1">IFERROR(__xludf.DUMMYFUNCTION("""COMPUTED_VALUE"""),44720)</f>
        <v>44720</v>
      </c>
      <c r="B8775" s="8" t="str">
        <f ca="1">IFERROR(__xludf.DUMMYFUNCTION("""COMPUTED_VALUE"""),"-33.7821261, -70.8868447")</f>
        <v>-33.7821261, -70.8868447</v>
      </c>
      <c r="C8775" s="6" t="str">
        <f ca="1">IFERROR(__xludf.DUMMYFUNCTION("""COMPUTED_VALUE"""),"LOS CARDENALES 401 A")</f>
        <v>LOS CARDENALES 401 A</v>
      </c>
      <c r="D8775" s="6" t="str">
        <f ca="1">IFERROR(__xludf.DUMMYFUNCTION("""COMPUTED_VALUE"""),"ISLA DE MAIPO")</f>
        <v>ISLA DE MAIPO</v>
      </c>
    </row>
    <row r="8776" spans="1:4">
      <c r="A8776" s="7">
        <f ca="1">IFERROR(__xludf.DUMMYFUNCTION("""COMPUTED_VALUE"""),44720)</f>
        <v>44720</v>
      </c>
      <c r="B8776" s="8" t="str">
        <f ca="1">IFERROR(__xludf.DUMMYFUNCTION("""COMPUTED_VALUE"""),"-33.7556016, -71.3215349")</f>
        <v>-33.7556016, -71.3215349</v>
      </c>
      <c r="C8776" s="6" t="str">
        <f ca="1">IFERROR(__xludf.DUMMYFUNCTION("""COMPUTED_VALUE"""),"ARICA 305 SANTA AMELIA")</f>
        <v>ARICA 305 SANTA AMELIA</v>
      </c>
      <c r="D8776" s="6" t="str">
        <f ca="1">IFERROR(__xludf.DUMMYFUNCTION("""COMPUTED_VALUE"""),"MELIPILLA")</f>
        <v>MELIPILLA</v>
      </c>
    </row>
    <row r="8777" spans="1:4">
      <c r="A8777" s="7">
        <f ca="1">IFERROR(__xludf.DUMMYFUNCTION("""COMPUTED_VALUE"""),44720)</f>
        <v>44720</v>
      </c>
      <c r="B8777" s="8" t="str">
        <f ca="1">IFERROR(__xludf.DUMMYFUNCTION("""COMPUTED_VALUE"""),"-33.8112955, -70.864697")</f>
        <v>-33.8112955, -70.864697</v>
      </c>
      <c r="C8777" s="6" t="str">
        <f ca="1">IFERROR(__xludf.DUMMYFUNCTION("""COMPUTED_VALUE"""),"MANUEL RODRIGUEZ 366")</f>
        <v>MANUEL RODRIGUEZ 366</v>
      </c>
      <c r="D8777" s="6" t="str">
        <f ca="1">IFERROR(__xludf.DUMMYFUNCTION("""COMPUTED_VALUE"""),"BUIN")</f>
        <v>BUIN</v>
      </c>
    </row>
    <row r="8778" spans="1:4">
      <c r="A8778" s="7">
        <f ca="1">IFERROR(__xludf.DUMMYFUNCTION("""COMPUTED_VALUE"""),44720)</f>
        <v>44720</v>
      </c>
      <c r="B8778" s="8" t="str">
        <f ca="1">IFERROR(__xludf.DUMMYFUNCTION("""COMPUTED_VALUE"""),"-33.7480063, -70.8947978")</f>
        <v>-33.7480063, -70.8947978</v>
      </c>
      <c r="C8778" s="6" t="str">
        <f ca="1">IFERROR(__xludf.DUMMYFUNCTION("""COMPUTED_VALUE"""),"YERBAS BUENAS S/N")</f>
        <v>YERBAS BUENAS S/N</v>
      </c>
      <c r="D8778" s="6" t="str">
        <f ca="1">IFERROR(__xludf.DUMMYFUNCTION("""COMPUTED_VALUE"""),"ISLA DE MAIPO")</f>
        <v>ISLA DE MAIPO</v>
      </c>
    </row>
    <row r="8779" spans="1:4">
      <c r="A8779" s="7">
        <f ca="1">IFERROR(__xludf.DUMMYFUNCTION("""COMPUTED_VALUE"""),44720)</f>
        <v>44720</v>
      </c>
      <c r="B8779" s="8" t="str">
        <f ca="1">IFERROR(__xludf.DUMMYFUNCTION("""COMPUTED_VALUE"""),"-33.7317445, -70.9093298")</f>
        <v>-33.7317445, -70.9093298</v>
      </c>
      <c r="C8779" s="6" t="str">
        <f ca="1">IFERROR(__xludf.DUMMYFUNCTION("""COMPUTED_VALUE"""),"LOS PLATOS 60")</f>
        <v>LOS PLATOS 60</v>
      </c>
      <c r="D8779" s="6" t="str">
        <f ca="1">IFERROR(__xludf.DUMMYFUNCTION("""COMPUTED_VALUE"""),"ISLA DE MAIPO")</f>
        <v>ISLA DE MAIPO</v>
      </c>
    </row>
    <row r="8780" spans="1:4">
      <c r="A8780" s="7">
        <f ca="1">IFERROR(__xludf.DUMMYFUNCTION("""COMPUTED_VALUE"""),44720)</f>
        <v>44720</v>
      </c>
      <c r="B8780" s="6" t="str">
        <f ca="1">IFERROR(__xludf.DUMMYFUNCTION("""COMPUTED_VALUE"""),"-33.146480-70.797043")</f>
        <v>-33.146480-70.797043</v>
      </c>
      <c r="C8780" s="6" t="str">
        <f ca="1">IFERROR(__xludf.DUMMYFUNCTION("""COMPUTED_VALUE"""),"CALLE UNO ORIENTE 51")</f>
        <v>CALLE UNO ORIENTE 51</v>
      </c>
      <c r="D8780" s="6" t="str">
        <f ca="1">IFERROR(__xludf.DUMMYFUNCTION("""COMPUTED_VALUE"""),"TIL TIL")</f>
        <v>TIL TIL</v>
      </c>
    </row>
    <row r="8781" spans="1:4">
      <c r="A8781" s="7">
        <f ca="1">IFERROR(__xludf.DUMMYFUNCTION("""COMPUTED_VALUE"""),44720)</f>
        <v>44720</v>
      </c>
      <c r="B8781" s="6" t="str">
        <f ca="1">IFERROR(__xludf.DUMMYFUNCTION("""COMPUTED_VALUE"""),"-33.650385-70.56881")</f>
        <v>-33.650385-70.56881</v>
      </c>
      <c r="C8781" s="6" t="str">
        <f ca="1">IFERROR(__xludf.DUMMYFUNCTION("""COMPUTED_VALUE"""),"CAMINO GABRIELA MISTRAL 445")</f>
        <v>CAMINO GABRIELA MISTRAL 445</v>
      </c>
      <c r="D8781" s="6" t="str">
        <f ca="1">IFERROR(__xludf.DUMMYFUNCTION("""COMPUTED_VALUE"""),"PIRQUE")</f>
        <v>PIRQUE</v>
      </c>
    </row>
    <row r="8782" spans="1:4">
      <c r="A8782" s="7">
        <f ca="1">IFERROR(__xludf.DUMMYFUNCTION("""COMPUTED_VALUE"""),44720)</f>
        <v>44720</v>
      </c>
      <c r="B8782" s="6" t="str">
        <f ca="1">IFERROR(__xludf.DUMMYFUNCTION("""COMPUTED_VALUE"""),"-33.65540-70.58652")</f>
        <v>-33.65540-70.58652</v>
      </c>
      <c r="C8782" s="6" t="str">
        <f ca="1">IFERROR(__xludf.DUMMYFUNCTION("""COMPUTED_VALUE"""),"ALCALDE HERNAN PRIETO 1721")</f>
        <v>ALCALDE HERNAN PRIETO 1721</v>
      </c>
      <c r="D8782" s="6" t="str">
        <f ca="1">IFERROR(__xludf.DUMMYFUNCTION("""COMPUTED_VALUE"""),"PIRQUE")</f>
        <v>PIRQUE</v>
      </c>
    </row>
    <row r="8783" spans="1:4">
      <c r="A8783" s="7">
        <f ca="1">IFERROR(__xludf.DUMMYFUNCTION("""COMPUTED_VALUE"""),44720)</f>
        <v>44720</v>
      </c>
      <c r="B8783" s="6" t="str">
        <f ca="1">IFERROR(__xludf.DUMMYFUNCTION("""COMPUTED_VALUE"""),"-33.65507-70.58688")</f>
        <v>-33.65507-70.58688</v>
      </c>
      <c r="C8783" s="6" t="str">
        <f ca="1">IFERROR(__xludf.DUMMYFUNCTION("""COMPUTED_VALUE"""),"ALCALDE HERNAN PRIETO 1721")</f>
        <v>ALCALDE HERNAN PRIETO 1721</v>
      </c>
      <c r="D8783" s="6" t="str">
        <f ca="1">IFERROR(__xludf.DUMMYFUNCTION("""COMPUTED_VALUE"""),"PIRQUE")</f>
        <v>PIRQUE</v>
      </c>
    </row>
    <row r="8784" spans="1:4">
      <c r="A8784" s="7">
        <f ca="1">IFERROR(__xludf.DUMMYFUNCTION("""COMPUTED_VALUE"""),44720)</f>
        <v>44720</v>
      </c>
      <c r="B8784" s="6" t="str">
        <f ca="1">IFERROR(__xludf.DUMMYFUNCTION("""COMPUTED_VALUE"""),"-33.8044193-70.7344740")</f>
        <v>-33.8044193-70.7344740</v>
      </c>
      <c r="C8784" s="6" t="str">
        <f ca="1">IFERROR(__xludf.DUMMYFUNCTION("""COMPUTED_VALUE"""),"PJE LA AVELLANITA 78")</f>
        <v>PJE LA AVELLANITA 78</v>
      </c>
      <c r="D8784" s="6" t="str">
        <f ca="1">IFERROR(__xludf.DUMMYFUNCTION("""COMPUTED_VALUE"""),"PAINE")</f>
        <v>PAINE</v>
      </c>
    </row>
    <row r="8785" spans="1:4">
      <c r="A8785" s="7">
        <f ca="1">IFERROR(__xludf.DUMMYFUNCTION("""COMPUTED_VALUE"""),44720)</f>
        <v>44720</v>
      </c>
      <c r="B8785" s="8" t="str">
        <f ca="1">IFERROR(__xludf.DUMMYFUNCTION("""COMPUTED_VALUE"""),"-33.716308,-70.570410")</f>
        <v>-33.716308,-70.570410</v>
      </c>
      <c r="C8785" s="6" t="str">
        <f ca="1">IFERROR(__xludf.DUMMYFUNCTION("""COMPUTED_VALUE"""),"EL LITRAL 37B")</f>
        <v>EL LITRAL 37B</v>
      </c>
      <c r="D8785" s="6" t="str">
        <f ca="1">IFERROR(__xludf.DUMMYFUNCTION("""COMPUTED_VALUE"""),"PIRQUE")</f>
        <v>PIRQUE</v>
      </c>
    </row>
    <row r="8786" spans="1:4">
      <c r="A8786" s="7">
        <f ca="1">IFERROR(__xludf.DUMMYFUNCTION("""COMPUTED_VALUE"""),44720)</f>
        <v>44720</v>
      </c>
      <c r="B8786" s="6" t="str">
        <f ca="1">IFERROR(__xludf.DUMMYFUNCTION("""COMPUTED_VALUE"""),"-33.725537,-70.870747")</f>
        <v>-33.725537,-70.870747</v>
      </c>
      <c r="C8786" s="6" t="str">
        <f ca="1">IFERROR(__xludf.DUMMYFUNCTION("""COMPUTED_VALUE"""),"CO LAS PARCELAS S/N")</f>
        <v>CO LAS PARCELAS S/N</v>
      </c>
      <c r="D8786" s="6" t="str">
        <f ca="1">IFERROR(__xludf.DUMMYFUNCTION("""COMPUTED_VALUE"""),"ISLA DE MAIPO")</f>
        <v>ISLA DE MAIPO</v>
      </c>
    </row>
    <row r="8787" spans="1:4">
      <c r="A8787" s="7">
        <f ca="1">IFERROR(__xludf.DUMMYFUNCTION("""COMPUTED_VALUE"""),44720)</f>
        <v>44720</v>
      </c>
      <c r="B8787" s="6" t="str">
        <f ca="1">IFERROR(__xludf.DUMMYFUNCTION("""COMPUTED_VALUE"""),"-33.725537,-70.870747")</f>
        <v>-33.725537,-70.870747</v>
      </c>
      <c r="C8787" s="6" t="str">
        <f ca="1">IFERROR(__xludf.DUMMYFUNCTION("""COMPUTED_VALUE"""),"CO LAS PARCELAS S/N")</f>
        <v>CO LAS PARCELAS S/N</v>
      </c>
      <c r="D8787" s="6" t="str">
        <f ca="1">IFERROR(__xludf.DUMMYFUNCTION("""COMPUTED_VALUE"""),"ISLA DE MAIPO")</f>
        <v>ISLA DE MAIPO</v>
      </c>
    </row>
    <row r="8788" spans="1:4">
      <c r="A8788" s="7">
        <f ca="1">IFERROR(__xludf.DUMMYFUNCTION("""COMPUTED_VALUE"""),44720)</f>
        <v>44720</v>
      </c>
      <c r="B8788" s="6" t="str">
        <f ca="1">IFERROR(__xludf.DUMMYFUNCTION("""COMPUTED_VALUE"""),"-33.805050.-70732171")</f>
        <v>-33.805050.-70732171</v>
      </c>
      <c r="C8788" s="6" t="str">
        <f ca="1">IFERROR(__xludf.DUMMYFUNCTION("""COMPUTED_VALUE"""),"AVELLANITA 170")</f>
        <v>AVELLANITA 170</v>
      </c>
      <c r="D8788" s="6" t="str">
        <f ca="1">IFERROR(__xludf.DUMMYFUNCTION("""COMPUTED_VALUE"""),"PAINE")</f>
        <v>PAINE</v>
      </c>
    </row>
    <row r="8789" spans="1:4">
      <c r="A8789" s="7">
        <f ca="1">IFERROR(__xludf.DUMMYFUNCTION("""COMPUTED_VALUE"""),44720)</f>
        <v>44720</v>
      </c>
      <c r="B8789" s="6" t="str">
        <f ca="1">IFERROR(__xludf.DUMMYFUNCTION("""COMPUTED_VALUE"""),"-33.895112,-70.645859")</f>
        <v>-33.895112,-70.645859</v>
      </c>
      <c r="C8789" s="6" t="str">
        <f ca="1">IFERROR(__xludf.DUMMYFUNCTION("""COMPUTED_VALUE"""),"CA. PADRE HURTADO ST5")</f>
        <v>CA. PADRE HURTADO ST5</v>
      </c>
      <c r="D8789" s="6" t="str">
        <f ca="1">IFERROR(__xludf.DUMMYFUNCTION("""COMPUTED_VALUE"""),"PAINE")</f>
        <v>PAINE</v>
      </c>
    </row>
    <row r="8790" spans="1:4">
      <c r="A8790" s="7">
        <f ca="1">IFERROR(__xludf.DUMMYFUNCTION("""COMPUTED_VALUE"""),44720)</f>
        <v>44720</v>
      </c>
      <c r="B8790" s="6" t="str">
        <f ca="1">IFERROR(__xludf.DUMMYFUNCTION("""COMPUTED_VALUE"""),"-33.861636,-70.853429")</f>
        <v>-33.861636,-70.853429</v>
      </c>
      <c r="C8790" s="6" t="str">
        <f ca="1">IFERROR(__xludf.DUMMYFUNCTION("""COMPUTED_VALUE"""),"EL MANZANITO 12")</f>
        <v>EL MANZANITO 12</v>
      </c>
      <c r="D8790" s="6" t="str">
        <f ca="1">IFERROR(__xludf.DUMMYFUNCTION("""COMPUTED_VALUE"""),"PAINE")</f>
        <v>PAINE</v>
      </c>
    </row>
    <row r="8791" spans="1:4">
      <c r="A8791" s="7">
        <f ca="1">IFERROR(__xludf.DUMMYFUNCTION("""COMPUTED_VALUE"""),44720)</f>
        <v>44720</v>
      </c>
      <c r="B8791" s="6" t="str">
        <f ca="1">IFERROR(__xludf.DUMMYFUNCTION("""COMPUTED_VALUE"""),"-33.813578,-70.736403")</f>
        <v>-33.813578,-70.736403</v>
      </c>
      <c r="C8791" s="6" t="str">
        <f ca="1">IFERROR(__xludf.DUMMYFUNCTION("""COMPUTED_VALUE"""),"PASAJE TRES 970")</f>
        <v>PASAJE TRES 970</v>
      </c>
      <c r="D8791" s="6" t="str">
        <f ca="1">IFERROR(__xludf.DUMMYFUNCTION("""COMPUTED_VALUE"""),"PAINE")</f>
        <v>PAINE</v>
      </c>
    </row>
    <row r="8792" spans="1:4">
      <c r="A8792" s="7">
        <f ca="1">IFERROR(__xludf.DUMMYFUNCTION("""COMPUTED_VALUE"""),44720)</f>
        <v>44720</v>
      </c>
      <c r="B8792" s="6" t="str">
        <f ca="1">IFERROR(__xludf.DUMMYFUNCTION("""COMPUTED_VALUE"""),"-33.810555,-70.734789")</f>
        <v>-33.810555,-70.734789</v>
      </c>
      <c r="C8792" s="6" t="str">
        <f ca="1">IFERROR(__xludf.DUMMYFUNCTION("""COMPUTED_VALUE"""),"LAGO RIÑIHUE 727")</f>
        <v>LAGO RIÑIHUE 727</v>
      </c>
      <c r="D8792" s="6" t="str">
        <f ca="1">IFERROR(__xludf.DUMMYFUNCTION("""COMPUTED_VALUE"""),"PAINE")</f>
        <v>PAINE</v>
      </c>
    </row>
    <row r="8793" spans="1:4">
      <c r="A8793" s="7">
        <f ca="1">IFERROR(__xludf.DUMMYFUNCTION("""COMPUTED_VALUE"""),44720)</f>
        <v>44720</v>
      </c>
      <c r="B8793" s="6" t="str">
        <f ca="1">IFERROR(__xludf.DUMMYFUNCTION("""COMPUTED_VALUE"""),"-33.8089667,-70.7414952")</f>
        <v>-33.8089667,-70.7414952</v>
      </c>
      <c r="C8793" s="6" t="str">
        <f ca="1">IFERROR(__xludf.DUMMYFUNCTION("""COMPUTED_VALUE"""),"P. INTERIOR 506")</f>
        <v>P. INTERIOR 506</v>
      </c>
      <c r="D8793" s="6" t="str">
        <f ca="1">IFERROR(__xludf.DUMMYFUNCTION("""COMPUTED_VALUE"""),"PAINE")</f>
        <v>PAINE</v>
      </c>
    </row>
    <row r="8794" spans="1:4">
      <c r="A8794" s="7">
        <f ca="1">IFERROR(__xludf.DUMMYFUNCTION("""COMPUTED_VALUE"""),44721)</f>
        <v>44721</v>
      </c>
      <c r="B8794" s="8" t="str">
        <f ca="1">IFERROR(__xludf.DUMMYFUNCTION("""COMPUTED_VALUE"""),"-33.8084883, -70.8582839")</f>
        <v>-33.8084883, -70.8582839</v>
      </c>
      <c r="C8794" s="6" t="str">
        <f ca="1">IFERROR(__xludf.DUMMYFUNCTION("""COMPUTED_VALUE"""),"AV CHILE 714 VALDIVIA DE PAINE")</f>
        <v>AV CHILE 714 VALDIVIA DE PAINE</v>
      </c>
      <c r="D8794" s="6" t="str">
        <f ca="1">IFERROR(__xludf.DUMMYFUNCTION("""COMPUTED_VALUE"""),"BUIN")</f>
        <v>BUIN</v>
      </c>
    </row>
    <row r="8795" spans="1:4">
      <c r="A8795" s="7">
        <f ca="1">IFERROR(__xludf.DUMMYFUNCTION("""COMPUTED_VALUE"""),44721)</f>
        <v>44721</v>
      </c>
      <c r="B8795" s="8" t="str">
        <f ca="1">IFERROR(__xludf.DUMMYFUNCTION("""COMPUTED_VALUE"""),"-33.2888159, -70.7696163")</f>
        <v>-33.2888159, -70.7696163</v>
      </c>
      <c r="C8795" s="6" t="str">
        <f ca="1">IFERROR(__xludf.DUMMYFUNCTION("""COMPUTED_VALUE"""),"CACIQUE COLIN 22")</f>
        <v>CACIQUE COLIN 22</v>
      </c>
      <c r="D8795" s="6" t="str">
        <f ca="1">IFERROR(__xludf.DUMMYFUNCTION("""COMPUTED_VALUE"""),"LAMPA")</f>
        <v>LAMPA</v>
      </c>
    </row>
    <row r="8796" spans="1:4">
      <c r="A8796" s="7">
        <f ca="1">IFERROR(__xludf.DUMMYFUNCTION("""COMPUTED_VALUE"""),44721)</f>
        <v>44721</v>
      </c>
      <c r="B8796" s="8" t="str">
        <f ca="1">IFERROR(__xludf.DUMMYFUNCTION("""COMPUTED_VALUE"""),"-33.8135563, -70.7354353")</f>
        <v>-33.8135563, -70.7354353</v>
      </c>
      <c r="C8796" s="6" t="str">
        <f ca="1">IFERROR(__xludf.DUMMYFUNCTION("""COMPUTED_VALUE"""),"CALLE CUATRO 711")</f>
        <v>CALLE CUATRO 711</v>
      </c>
      <c r="D8796" s="6" t="str">
        <f ca="1">IFERROR(__xludf.DUMMYFUNCTION("""COMPUTED_VALUE"""),"PAINE")</f>
        <v>PAINE</v>
      </c>
    </row>
    <row r="8797" spans="1:4">
      <c r="A8797" s="7">
        <f ca="1">IFERROR(__xludf.DUMMYFUNCTION("""COMPUTED_VALUE"""),44721)</f>
        <v>44721</v>
      </c>
      <c r="B8797" s="8" t="str">
        <f ca="1">IFERROR(__xludf.DUMMYFUNCTION("""COMPUTED_VALUE"""),"-33.2780606, -70.8870956")</f>
        <v>-33.2780606, -70.8870956</v>
      </c>
      <c r="C8797" s="6" t="str">
        <f ca="1">IFERROR(__xludf.DUMMYFUNCTION("""COMPUTED_VALUE"""),"MANUEL RODRIGUEZ 189 CASA 39")</f>
        <v>MANUEL RODRIGUEZ 189 CASA 39</v>
      </c>
      <c r="D8797" s="6" t="str">
        <f ca="1">IFERROR(__xludf.DUMMYFUNCTION("""COMPUTED_VALUE"""),"LAMPA")</f>
        <v>LAMPA</v>
      </c>
    </row>
    <row r="8798" spans="1:4">
      <c r="A8798" s="7">
        <f ca="1">IFERROR(__xludf.DUMMYFUNCTION("""COMPUTED_VALUE"""),44721)</f>
        <v>44721</v>
      </c>
      <c r="B8798" s="8" t="str">
        <f ca="1">IFERROR(__xludf.DUMMYFUNCTION("""COMPUTED_VALUE"""),"-33.876665, -70.9125283")</f>
        <v>-33.876665, -70.9125283</v>
      </c>
      <c r="C8798" s="6" t="str">
        <f ca="1">IFERROR(__xludf.DUMMYFUNCTION("""COMPUTED_VALUE"""),"CAMINO INTERIOR S/N")</f>
        <v>CAMINO INTERIOR S/N</v>
      </c>
      <c r="D8798" s="6" t="str">
        <f ca="1">IFERROR(__xludf.DUMMYFUNCTION("""COMPUTED_VALUE"""),"PAINE")</f>
        <v>PAINE</v>
      </c>
    </row>
    <row r="8799" spans="1:4">
      <c r="A8799" s="7">
        <f ca="1">IFERROR(__xludf.DUMMYFUNCTION("""COMPUTED_VALUE"""),44721)</f>
        <v>44721</v>
      </c>
      <c r="B8799" s="8" t="str">
        <f ca="1">IFERROR(__xludf.DUMMYFUNCTION("""COMPUTED_VALUE"""),"-33.2845571, -70.8850398")</f>
        <v>-33.2845571, -70.8850398</v>
      </c>
      <c r="C8799" s="6" t="str">
        <f ca="1">IFERROR(__xludf.DUMMYFUNCTION("""COMPUTED_VALUE"""),"JUAN DÍAZ 657")</f>
        <v>JUAN DÍAZ 657</v>
      </c>
      <c r="D8799" s="6" t="str">
        <f ca="1">IFERROR(__xludf.DUMMYFUNCTION("""COMPUTED_VALUE"""),"LAMPA")</f>
        <v>LAMPA</v>
      </c>
    </row>
    <row r="8800" spans="1:4">
      <c r="A8800" s="7">
        <f ca="1">IFERROR(__xludf.DUMMYFUNCTION("""COMPUTED_VALUE"""),44721)</f>
        <v>44721</v>
      </c>
      <c r="B8800" s="6" t="str">
        <f ca="1">IFERROR(__xludf.DUMMYFUNCTION("""COMPUTED_VALUE"""),"-33.70113-70.85021")</f>
        <v>-33.70113-70.85021</v>
      </c>
      <c r="C8800" s="6" t="str">
        <f ca="1">IFERROR(__xludf.DUMMYFUNCTION("""COMPUTED_VALUE"""),"LOS EUCALIPTUS 8")</f>
        <v>LOS EUCALIPTUS 8</v>
      </c>
      <c r="D8800" s="6" t="str">
        <f ca="1">IFERROR(__xludf.DUMMYFUNCTION("""COMPUTED_VALUE"""),"TALAGANTE")</f>
        <v>TALAGANTE</v>
      </c>
    </row>
    <row r="8801" spans="1:4">
      <c r="A8801" s="7">
        <f ca="1">IFERROR(__xludf.DUMMYFUNCTION("""COMPUTED_VALUE"""),44721)</f>
        <v>44721</v>
      </c>
      <c r="B8801" s="6" t="str">
        <f ca="1">IFERROR(__xludf.DUMMYFUNCTION("""COMPUTED_VALUE"""),"-33.70113-70.85021")</f>
        <v>-33.70113-70.85021</v>
      </c>
      <c r="C8801" s="6" t="str">
        <f ca="1">IFERROR(__xludf.DUMMYFUNCTION("""COMPUTED_VALUE"""),"LOS EUCALIPTUS 8")</f>
        <v>LOS EUCALIPTUS 8</v>
      </c>
      <c r="D8801" s="6" t="str">
        <f ca="1">IFERROR(__xludf.DUMMYFUNCTION("""COMPUTED_VALUE"""),"TALAGANTE")</f>
        <v>TALAGANTE</v>
      </c>
    </row>
    <row r="8802" spans="1:4">
      <c r="A8802" s="7">
        <f ca="1">IFERROR(__xludf.DUMMYFUNCTION("""COMPUTED_VALUE"""),44721)</f>
        <v>44721</v>
      </c>
      <c r="B8802" s="8" t="str">
        <f ca="1">IFERROR(__xludf.DUMMYFUNCTION("""COMPUTED_VALUE"""),"-33.71855,-70.550951")</f>
        <v>-33.71855,-70.550951</v>
      </c>
      <c r="C8802" s="6" t="str">
        <f ca="1">IFERROR(__xludf.DUMMYFUNCTION("""COMPUTED_VALUE"""),"CALLE EL CHALOCO 66A")</f>
        <v>CALLE EL CHALOCO 66A</v>
      </c>
      <c r="D8802" s="6" t="str">
        <f ca="1">IFERROR(__xludf.DUMMYFUNCTION("""COMPUTED_VALUE"""),"PIRQUE")</f>
        <v>PIRQUE</v>
      </c>
    </row>
    <row r="8803" spans="1:4">
      <c r="A8803" s="7">
        <f ca="1">IFERROR(__xludf.DUMMYFUNCTION("""COMPUTED_VALUE"""),44721)</f>
        <v>44721</v>
      </c>
      <c r="B8803" s="8" t="str">
        <f ca="1">IFERROR(__xludf.DUMMYFUNCTION("""COMPUTED_VALUE"""),"-33.274040,-70.709338")</f>
        <v>-33.274040,-70.709338</v>
      </c>
      <c r="C8803" s="6" t="str">
        <f ca="1">IFERROR(__xludf.DUMMYFUNCTION("""COMPUTED_VALUE"""),"EL ALGARROBAL 28")</f>
        <v>EL ALGARROBAL 28</v>
      </c>
      <c r="D8803" s="6" t="str">
        <f ca="1">IFERROR(__xludf.DUMMYFUNCTION("""COMPUTED_VALUE"""),"COLINA")</f>
        <v>COLINA</v>
      </c>
    </row>
    <row r="8804" spans="1:4">
      <c r="A8804" s="7">
        <f ca="1">IFERROR(__xludf.DUMMYFUNCTION("""COMPUTED_VALUE"""),44721)</f>
        <v>44721</v>
      </c>
      <c r="B8804" s="8" t="str">
        <f ca="1">IFERROR(__xludf.DUMMYFUNCTION("""COMPUTED_VALUE"""),"33.274040,-70.709338")</f>
        <v>33.274040,-70.709338</v>
      </c>
      <c r="C8804" s="6" t="str">
        <f ca="1">IFERROR(__xludf.DUMMYFUNCTION("""COMPUTED_VALUE"""),"EL ALGARROBAL 28")</f>
        <v>EL ALGARROBAL 28</v>
      </c>
      <c r="D8804" s="6" t="str">
        <f ca="1">IFERROR(__xludf.DUMMYFUNCTION("""COMPUTED_VALUE"""),"COLINA")</f>
        <v>COLINA</v>
      </c>
    </row>
    <row r="8805" spans="1:4">
      <c r="A8805" s="7">
        <f ca="1">IFERROR(__xludf.DUMMYFUNCTION("""COMPUTED_VALUE"""),44721)</f>
        <v>44721</v>
      </c>
      <c r="B8805" s="6" t="str">
        <f ca="1">IFERROR(__xludf.DUMMYFUNCTION("""COMPUTED_VALUE"""),"-33.540175,-70.39511")</f>
        <v>-33.540175,-70.39511</v>
      </c>
      <c r="C8805" s="6" t="str">
        <f ca="1">IFERROR(__xludf.DUMMYFUNCTION("""COMPUTED_VALUE"""),"LA RAMADA 534")</f>
        <v>LA RAMADA 534</v>
      </c>
      <c r="D8805" s="6" t="str">
        <f ca="1">IFERROR(__xludf.DUMMYFUNCTION("""COMPUTED_VALUE"""),"PAINE")</f>
        <v>PAINE</v>
      </c>
    </row>
    <row r="8806" spans="1:4">
      <c r="A8806" s="7">
        <f ca="1">IFERROR(__xludf.DUMMYFUNCTION("""COMPUTED_VALUE"""),44721)</f>
        <v>44721</v>
      </c>
      <c r="B8806" s="6" t="str">
        <f ca="1">IFERROR(__xludf.DUMMYFUNCTION("""COMPUTED_VALUE"""),"-33.732378,-70.764303")</f>
        <v>-33.732378,-70.764303</v>
      </c>
      <c r="C8806" s="6" t="str">
        <f ca="1">IFERROR(__xludf.DUMMYFUNCTION("""COMPUTED_VALUE"""),"JORGE CORUIZ PONCE 2218")</f>
        <v>JORGE CORUIZ PONCE 2218</v>
      </c>
      <c r="D8806" s="6" t="str">
        <f ca="1">IFERROR(__xludf.DUMMYFUNCTION("""COMPUTED_VALUE"""),"BUIN")</f>
        <v>BUIN</v>
      </c>
    </row>
    <row r="8807" spans="1:4">
      <c r="A8807" s="7">
        <f ca="1">IFERROR(__xludf.DUMMYFUNCTION("""COMPUTED_VALUE"""),44721)</f>
        <v>44721</v>
      </c>
      <c r="B8807" s="6" t="str">
        <f ca="1">IFERROR(__xludf.DUMMYFUNCTION("""COMPUTED_VALUE"""),"-33.654889,-70911783")</f>
        <v>-33.654889,-70911783</v>
      </c>
      <c r="C8807" s="6" t="str">
        <f ca="1">IFERROR(__xludf.DUMMYFUNCTION("""COMPUTED_VALUE"""),"PASAJE RIO CLARO 605")</f>
        <v>PASAJE RIO CLARO 605</v>
      </c>
      <c r="D8807" s="6" t="str">
        <f ca="1">IFERROR(__xludf.DUMMYFUNCTION("""COMPUTED_VALUE"""),"TALAGANTE")</f>
        <v>TALAGANTE</v>
      </c>
    </row>
    <row r="8808" spans="1:4">
      <c r="A8808" s="7">
        <f ca="1">IFERROR(__xludf.DUMMYFUNCTION("""COMPUTED_VALUE"""),44721)</f>
        <v>44721</v>
      </c>
      <c r="B8808" s="6" t="str">
        <f ca="1">IFERROR(__xludf.DUMMYFUNCTION("""COMPUTED_VALUE"""),"-33.8045637,-70.7273093")</f>
        <v>-33.8045637,-70.7273093</v>
      </c>
      <c r="C8808" s="6" t="str">
        <f ca="1">IFERROR(__xludf.DUMMYFUNCTION("""COMPUTED_VALUE"""),"RIO QUILLEN 825")</f>
        <v>RIO QUILLEN 825</v>
      </c>
      <c r="D8808" s="6" t="str">
        <f ca="1">IFERROR(__xludf.DUMMYFUNCTION("""COMPUTED_VALUE"""),"PAINE")</f>
        <v>PAINE</v>
      </c>
    </row>
    <row r="8809" spans="1:4">
      <c r="A8809" s="7">
        <f ca="1">IFERROR(__xludf.DUMMYFUNCTION("""COMPUTED_VALUE"""),44721)</f>
        <v>44721</v>
      </c>
      <c r="B8809" s="6" t="str">
        <f ca="1">IFERROR(__xludf.DUMMYFUNCTION("""COMPUTED_VALUE"""),"-33.8736293,-70.7446805")</f>
        <v>-33.8736293,-70.7446805</v>
      </c>
      <c r="C8809" s="6" t="str">
        <f ca="1">IFERROR(__xludf.DUMMYFUNCTION("""COMPUTED_VALUE"""),"EL PORVENIR 41")</f>
        <v>EL PORVENIR 41</v>
      </c>
      <c r="D8809" s="6" t="str">
        <f ca="1">IFERROR(__xludf.DUMMYFUNCTION("""COMPUTED_VALUE"""),"PAINE")</f>
        <v>PAINE</v>
      </c>
    </row>
    <row r="8810" spans="1:4">
      <c r="A8810" s="7">
        <f ca="1">IFERROR(__xludf.DUMMYFUNCTION("""COMPUTED_VALUE"""),44722)</f>
        <v>44722</v>
      </c>
      <c r="B8810" s="8" t="str">
        <f ca="1">IFERROR(__xludf.DUMMYFUNCTION("""COMPUTED_VALUE"""),"-33.7356725, -70.8602602")</f>
        <v>-33.7356725, -70.8602602</v>
      </c>
      <c r="C8810" s="6" t="str">
        <f ca="1">IFERROR(__xludf.DUMMYFUNCTION("""COMPUTED_VALUE"""),"ESTERO ANGOSTURA 151")</f>
        <v>ESTERO ANGOSTURA 151</v>
      </c>
      <c r="D8810" s="6" t="str">
        <f ca="1">IFERROR(__xludf.DUMMYFUNCTION("""COMPUTED_VALUE"""),"ISLA DE MAIPO")</f>
        <v>ISLA DE MAIPO</v>
      </c>
    </row>
    <row r="8811" spans="1:4">
      <c r="A8811" s="7">
        <f ca="1">IFERROR(__xludf.DUMMYFUNCTION("""COMPUTED_VALUE"""),44722)</f>
        <v>44722</v>
      </c>
      <c r="B8811" s="8" t="str">
        <f ca="1">IFERROR(__xludf.DUMMYFUNCTION("""COMPUTED_VALUE"""),"-33.7482583, -70.8940021")</f>
        <v>-33.7482583, -70.8940021</v>
      </c>
      <c r="C8811" s="6" t="str">
        <f ca="1">IFERROR(__xludf.DUMMYFUNCTION("""COMPUTED_VALUE"""),"YERBA  BUENAS 216")</f>
        <v>YERBA  BUENAS 216</v>
      </c>
      <c r="D8811" s="6" t="str">
        <f ca="1">IFERROR(__xludf.DUMMYFUNCTION("""COMPUTED_VALUE"""),"ISLA DE MAIPO")</f>
        <v>ISLA DE MAIPO</v>
      </c>
    </row>
    <row r="8812" spans="1:4">
      <c r="A8812" s="7">
        <f ca="1">IFERROR(__xludf.DUMMYFUNCTION("""COMPUTED_VALUE"""),44722)</f>
        <v>44722</v>
      </c>
      <c r="B8812" s="8" t="str">
        <f ca="1">IFERROR(__xludf.DUMMYFUNCTION("""COMPUTED_VALUE"""),"-33.7352402, -70.8620881")</f>
        <v>-33.7352402, -70.8620881</v>
      </c>
      <c r="C8812" s="6" t="str">
        <f ca="1">IFERROR(__xludf.DUMMYFUNCTION("""COMPUTED_VALUE"""),"CERRO LONQUEN 315")</f>
        <v>CERRO LONQUEN 315</v>
      </c>
      <c r="D8812" s="6" t="str">
        <f ca="1">IFERROR(__xludf.DUMMYFUNCTION("""COMPUTED_VALUE"""),"ISLA DE MAIPO")</f>
        <v>ISLA DE MAIPO</v>
      </c>
    </row>
    <row r="8813" spans="1:4">
      <c r="A8813" s="7">
        <f ca="1">IFERROR(__xludf.DUMMYFUNCTION("""COMPUTED_VALUE"""),44722)</f>
        <v>44722</v>
      </c>
      <c r="B8813" s="6" t="str">
        <f ca="1">IFERROR(__xludf.DUMMYFUNCTION("""COMPUTED_VALUE"""),"-33.8328567-70.6493417")</f>
        <v>-33.8328567-70.6493417</v>
      </c>
      <c r="C8813" s="6" t="str">
        <f ca="1">IFERROR(__xludf.DUMMYFUNCTION("""COMPUTED_VALUE"""),"PAR LOS MAITENES SITIO 6 A")</f>
        <v>PAR LOS MAITENES SITIO 6 A</v>
      </c>
      <c r="D8813" s="6" t="str">
        <f ca="1">IFERROR(__xludf.DUMMYFUNCTION("""COMPUTED_VALUE"""),"PAINE")</f>
        <v>PAINE</v>
      </c>
    </row>
    <row r="8814" spans="1:4">
      <c r="A8814" s="7">
        <f ca="1">IFERROR(__xludf.DUMMYFUNCTION("""COMPUTED_VALUE"""),44722)</f>
        <v>44722</v>
      </c>
      <c r="B8814" s="6" t="str">
        <f ca="1">IFERROR(__xludf.DUMMYFUNCTION("""COMPUTED_VALUE"""),"-33.8035456-70.6996972")</f>
        <v>-33.8035456-70.6996972</v>
      </c>
      <c r="C8814" s="6" t="str">
        <f ca="1">IFERROR(__xludf.DUMMYFUNCTION("""COMPUTED_VALUE"""),"VEINTICUATRO DE ABRIL S/N SITIO 93")</f>
        <v>VEINTICUATRO DE ABRIL S/N SITIO 93</v>
      </c>
      <c r="D8814" s="6" t="str">
        <f ca="1">IFERROR(__xludf.DUMMYFUNCTION("""COMPUTED_VALUE"""),"PAINE")</f>
        <v>PAINE</v>
      </c>
    </row>
    <row r="8815" spans="1:4">
      <c r="A8815" s="7">
        <f ca="1">IFERROR(__xludf.DUMMYFUNCTION("""COMPUTED_VALUE"""),44722)</f>
        <v>44722</v>
      </c>
      <c r="B8815" s="8" t="str">
        <f ca="1">IFERROR(__xludf.DUMMYFUNCTION("""COMPUTED_VALUE"""),"-33.092780,-70.679212")</f>
        <v>-33.092780,-70.679212</v>
      </c>
      <c r="C8815" s="6" t="str">
        <f ca="1">IFERROR(__xludf.DUMMYFUNCTION("""COMPUTED_VALUE"""),"QUILAPILUN")</f>
        <v>QUILAPILUN</v>
      </c>
      <c r="D8815" s="6" t="str">
        <f ca="1">IFERROR(__xludf.DUMMYFUNCTION("""COMPUTED_VALUE"""),"COLINA")</f>
        <v>COLINA</v>
      </c>
    </row>
    <row r="8816" spans="1:4">
      <c r="A8816" s="7">
        <f ca="1">IFERROR(__xludf.DUMMYFUNCTION("""COMPUTED_VALUE"""),44722)</f>
        <v>44722</v>
      </c>
      <c r="B8816" s="8" t="str">
        <f ca="1">IFERROR(__xludf.DUMMYFUNCTION("""COMPUTED_VALUE"""),"-33.675735,-70.581351")</f>
        <v>-33.675735,-70.581351</v>
      </c>
      <c r="C8816" s="6" t="str">
        <f ca="1">IFERROR(__xludf.DUMMYFUNCTION("""COMPUTED_VALUE"""),"LAS CAMELIAS 1240 ")</f>
        <v xml:space="preserve">LAS CAMELIAS 1240 </v>
      </c>
      <c r="D8816" s="6" t="str">
        <f ca="1">IFERROR(__xludf.DUMMYFUNCTION("""COMPUTED_VALUE"""),"PIRQUE")</f>
        <v>PIRQUE</v>
      </c>
    </row>
    <row r="8817" spans="1:4">
      <c r="A8817" s="7">
        <f ca="1">IFERROR(__xludf.DUMMYFUNCTION("""COMPUTED_VALUE"""),44722)</f>
        <v>44722</v>
      </c>
      <c r="B8817" s="8" t="str">
        <f ca="1">IFERROR(__xludf.DUMMYFUNCTION("""COMPUTED_VALUE"""),"-33.674718,-70.580333")</f>
        <v>-33.674718,-70.580333</v>
      </c>
      <c r="C8817" s="6" t="str">
        <f ca="1">IFERROR(__xludf.DUMMYFUNCTION("""COMPUTED_VALUE"""),"LAS CAMELIAS 1202, SAN JOSE OBRERO ")</f>
        <v xml:space="preserve">LAS CAMELIAS 1202, SAN JOSE OBRERO </v>
      </c>
      <c r="D8817" s="6" t="str">
        <f ca="1">IFERROR(__xludf.DUMMYFUNCTION("""COMPUTED_VALUE"""),"PIRQUE")</f>
        <v>PIRQUE</v>
      </c>
    </row>
    <row r="8818" spans="1:4">
      <c r="A8818" s="7">
        <f ca="1">IFERROR(__xludf.DUMMYFUNCTION("""COMPUTED_VALUE"""),44722)</f>
        <v>44722</v>
      </c>
      <c r="B8818" s="6" t="str">
        <f ca="1">IFERROR(__xludf.DUMMYFUNCTION("""COMPUTED_VALUE"""),"-33.821036,-70.736108")</f>
        <v>-33.821036,-70.736108</v>
      </c>
      <c r="C8818" s="6" t="str">
        <f ca="1">IFERROR(__xludf.DUMMYFUNCTION("""COMPUTED_VALUE"""),"PA CERRO EL PLOMO 1572")</f>
        <v>PA CERRO EL PLOMO 1572</v>
      </c>
      <c r="D8818" s="6" t="str">
        <f ca="1">IFERROR(__xludf.DUMMYFUNCTION("""COMPUTED_VALUE"""),"PAINE")</f>
        <v>PAINE</v>
      </c>
    </row>
    <row r="8819" spans="1:4">
      <c r="A8819" s="7">
        <f ca="1">IFERROR(__xludf.DUMMYFUNCTION("""COMPUTED_VALUE"""),44722)</f>
        <v>44722</v>
      </c>
      <c r="B8819" s="6" t="str">
        <f ca="1">IFERROR(__xludf.DUMMYFUNCTION("""COMPUTED_VALUE"""),"-33.732475,-70.763130")</f>
        <v>-33.732475,-70.763130</v>
      </c>
      <c r="C8819" s="6" t="str">
        <f ca="1">IFERROR(__xludf.DUMMYFUNCTION("""COMPUTED_VALUE"""),"DEIDAMIA ZELADA 2152 CH SANTA ADELA ")</f>
        <v xml:space="preserve">DEIDAMIA ZELADA 2152 CH SANTA ADELA </v>
      </c>
      <c r="D8819" s="6" t="str">
        <f ca="1">IFERROR(__xludf.DUMMYFUNCTION("""COMPUTED_VALUE"""),"BUIN")</f>
        <v>BUIN</v>
      </c>
    </row>
    <row r="8820" spans="1:4">
      <c r="A8820" s="7">
        <f ca="1">IFERROR(__xludf.DUMMYFUNCTION("""COMPUTED_VALUE"""),44723)</f>
        <v>44723</v>
      </c>
      <c r="B8820" s="6" t="str">
        <f ca="1">IFERROR(__xludf.DUMMYFUNCTION("""COMPUTED_VALUE"""),"-33.400451-71.124145")</f>
        <v>-33.400451-71.124145</v>
      </c>
      <c r="C8820" s="6" t="str">
        <f ca="1">IFERROR(__xludf.DUMMYFUNCTION("""COMPUTED_VALUE"""),"PJE PATRONCITOS 183")</f>
        <v>PJE PATRONCITOS 183</v>
      </c>
      <c r="D8820" s="6" t="str">
        <f ca="1">IFERROR(__xludf.DUMMYFUNCTION("""COMPUTED_VALUE"""),"CURACAVI")</f>
        <v>CURACAVI</v>
      </c>
    </row>
    <row r="8821" spans="1:4">
      <c r="A8821" s="7">
        <f ca="1">IFERROR(__xludf.DUMMYFUNCTION("""COMPUTED_VALUE"""),44723)</f>
        <v>44723</v>
      </c>
      <c r="B8821" s="6" t="str">
        <f ca="1">IFERROR(__xludf.DUMMYFUNCTION("""COMPUTED_VALUE"""),"-33.405975-71.122742")</f>
        <v>-33.405975-71.122742</v>
      </c>
      <c r="C8821" s="6" t="str">
        <f ca="1">IFERROR(__xludf.DUMMYFUNCTION("""COMPUTED_VALUE"""),"PJE EL COIGUE 1827")</f>
        <v>PJE EL COIGUE 1827</v>
      </c>
      <c r="D8821" s="6" t="str">
        <f ca="1">IFERROR(__xludf.DUMMYFUNCTION("""COMPUTED_VALUE"""),"CURACAVI")</f>
        <v>CURACAVI</v>
      </c>
    </row>
    <row r="8822" spans="1:4">
      <c r="A8822" s="7">
        <f ca="1">IFERROR(__xludf.DUMMYFUNCTION("""COMPUTED_VALUE"""),44723)</f>
        <v>44723</v>
      </c>
      <c r="B8822" s="6" t="str">
        <f ca="1">IFERROR(__xludf.DUMMYFUNCTION("""COMPUTED_VALUE"""),"-33.407544-71.148457")</f>
        <v>-33.407544-71.148457</v>
      </c>
      <c r="C8822" s="6" t="str">
        <f ca="1">IFERROR(__xludf.DUMMYFUNCTION("""COMPUTED_VALUE"""),"PJE LA VID 311")</f>
        <v>PJE LA VID 311</v>
      </c>
      <c r="D8822" s="6" t="str">
        <f ca="1">IFERROR(__xludf.DUMMYFUNCTION("""COMPUTED_VALUE"""),"CURACAVI")</f>
        <v>CURACAVI</v>
      </c>
    </row>
    <row r="8823" spans="1:4">
      <c r="A8823" s="7">
        <f ca="1">IFERROR(__xludf.DUMMYFUNCTION("""COMPUTED_VALUE"""),44723)</f>
        <v>44723</v>
      </c>
      <c r="B8823" s="8" t="str">
        <f ca="1">IFERROR(__xludf.DUMMYFUNCTION("""COMPUTED_VALUE"""),"-33.674399,-70.976281")</f>
        <v>-33.674399,-70.976281</v>
      </c>
      <c r="C8823" s="6" t="str">
        <f ca="1">IFERROR(__xludf.DUMMYFUNCTION("""COMPUTED_VALUE"""),"BLANCO ENCALADA 98")</f>
        <v>BLANCO ENCALADA 98</v>
      </c>
      <c r="D8823" s="6" t="str">
        <f ca="1">IFERROR(__xludf.DUMMYFUNCTION("""COMPUTED_VALUE"""),"EL MONTE")</f>
        <v>EL MONTE</v>
      </c>
    </row>
    <row r="8824" spans="1:4">
      <c r="A8824" s="7">
        <f ca="1">IFERROR(__xludf.DUMMYFUNCTION("""COMPUTED_VALUE"""),44723)</f>
        <v>44723</v>
      </c>
      <c r="B8824" s="8" t="str">
        <f ca="1">IFERROR(__xludf.DUMMYFUNCTION("""COMPUTED_VALUE"""),"-33.674086,-70.976122")</f>
        <v>-33.674086,-70.976122</v>
      </c>
      <c r="C8824" s="6" t="str">
        <f ca="1">IFERROR(__xludf.DUMMYFUNCTION("""COMPUTED_VALUE"""),"ALMIRANTE BLANCO ENCALADA 94")</f>
        <v>ALMIRANTE BLANCO ENCALADA 94</v>
      </c>
      <c r="D8824" s="6" t="str">
        <f ca="1">IFERROR(__xludf.DUMMYFUNCTION("""COMPUTED_VALUE"""),"EL MONTE")</f>
        <v>EL MONTE</v>
      </c>
    </row>
    <row r="8825" spans="1:4">
      <c r="A8825" s="7">
        <f ca="1">IFERROR(__xludf.DUMMYFUNCTION("""COMPUTED_VALUE"""),44724)</f>
        <v>44724</v>
      </c>
      <c r="B8825" s="6" t="str">
        <f ca="1">IFERROR(__xludf.DUMMYFUNCTION("""COMPUTED_VALUE"""),"-33.574560-70.821366")</f>
        <v>-33.574560-70.821366</v>
      </c>
      <c r="C8825" s="6" t="str">
        <f ca="1">IFERROR(__xludf.DUMMYFUNCTION("""COMPUTED_VALUE"""),"RIO ACONCAGUA 1170")</f>
        <v>RIO ACONCAGUA 1170</v>
      </c>
      <c r="D8825" s="6" t="str">
        <f ca="1">IFERROR(__xludf.DUMMYFUNCTION("""COMPUTED_VALUE"""),"PADRE HURTADO")</f>
        <v>PADRE HURTADO</v>
      </c>
    </row>
    <row r="8826" spans="1:4">
      <c r="A8826" s="7">
        <f ca="1">IFERROR(__xludf.DUMMYFUNCTION("""COMPUTED_VALUE"""),44725)</f>
        <v>44725</v>
      </c>
      <c r="B8826" s="6" t="str">
        <f ca="1">IFERROR(__xludf.DUMMYFUNCTION("""COMPUTED_VALUE"""),"-33.589985-70.83808")</f>
        <v>-33.589985-70.83808</v>
      </c>
      <c r="C8826" s="6" t="str">
        <f ca="1">IFERROR(__xludf.DUMMYFUNCTION("""COMPUTED_VALUE"""),"CAMINO MELIPILLA S/N KM26")</f>
        <v>CAMINO MELIPILLA S/N KM26</v>
      </c>
      <c r="D8826" s="6" t="str">
        <f ca="1">IFERROR(__xludf.DUMMYFUNCTION("""COMPUTED_VALUE"""),"PEÑAFLOR")</f>
        <v>PEÑAFLOR</v>
      </c>
    </row>
    <row r="8827" spans="1:4">
      <c r="A8827" s="7">
        <f ca="1">IFERROR(__xludf.DUMMYFUNCTION("""COMPUTED_VALUE"""),44725)</f>
        <v>44725</v>
      </c>
      <c r="B8827" s="6" t="str">
        <f ca="1">IFERROR(__xludf.DUMMYFUNCTION("""COMPUTED_VALUE"""),"-33.60934-70.89277")</f>
        <v>-33.60934-70.89277</v>
      </c>
      <c r="C8827" s="6" t="str">
        <f ca="1">IFERROR(__xludf.DUMMYFUNCTION("""COMPUTED_VALUE"""),"PASAJE SEIS 3081")</f>
        <v>PASAJE SEIS 3081</v>
      </c>
      <c r="D8827" s="6" t="str">
        <f ca="1">IFERROR(__xludf.DUMMYFUNCTION("""COMPUTED_VALUE"""),"PEÑAFLOR")</f>
        <v>PEÑAFLOR</v>
      </c>
    </row>
    <row r="8828" spans="1:4">
      <c r="A8828" s="7">
        <f ca="1">IFERROR(__xludf.DUMMYFUNCTION("""COMPUTED_VALUE"""),44725)</f>
        <v>44725</v>
      </c>
      <c r="B8828" s="6" t="str">
        <f ca="1">IFERROR(__xludf.DUMMYFUNCTION("""COMPUTED_VALUE"""),"-33.823930-70.732967")</f>
        <v>-33.823930-70.732967</v>
      </c>
      <c r="C8828" s="6" t="str">
        <f ca="1">IFERROR(__xludf.DUMMYFUNCTION("""COMPUTED_VALUE"""),"PADRE JORGE GUERRA 881")</f>
        <v>PADRE JORGE GUERRA 881</v>
      </c>
      <c r="D8828" s="6" t="str">
        <f ca="1">IFERROR(__xludf.DUMMYFUNCTION("""COMPUTED_VALUE"""),"PAINE")</f>
        <v>PAINE</v>
      </c>
    </row>
    <row r="8829" spans="1:4">
      <c r="A8829" s="7">
        <f ca="1">IFERROR(__xludf.DUMMYFUNCTION("""COMPUTED_VALUE"""),44725)</f>
        <v>44725</v>
      </c>
      <c r="B8829" s="8" t="str">
        <f ca="1">IFERROR(__xludf.DUMMYFUNCTION("""COMPUTED_VALUE"""),"-33.569280,-70.796035")</f>
        <v>-33.569280,-70.796035</v>
      </c>
      <c r="C8829" s="6" t="str">
        <f ca="1">IFERROR(__xludf.DUMMYFUNCTION("""COMPUTED_VALUE"""),"PJE SIETE 922")</f>
        <v>PJE SIETE 922</v>
      </c>
      <c r="D8829" s="6" t="str">
        <f ca="1">IFERROR(__xludf.DUMMYFUNCTION("""COMPUTED_VALUE"""),"PADRE HURTADO")</f>
        <v>PADRE HURTADO</v>
      </c>
    </row>
    <row r="8830" spans="1:4">
      <c r="A8830" s="7">
        <f ca="1">IFERROR(__xludf.DUMMYFUNCTION("""COMPUTED_VALUE"""),44725)</f>
        <v>44725</v>
      </c>
      <c r="B8830" s="8" t="str">
        <f ca="1">IFERROR(__xludf.DUMMYFUNCTION("""COMPUTED_VALUE"""),"-33.569319,-70.796133")</f>
        <v>-33.569319,-70.796133</v>
      </c>
      <c r="C8830" s="6" t="str">
        <f ca="1">IFERROR(__xludf.DUMMYFUNCTION("""COMPUTED_VALUE"""),"PJE SIETE 926")</f>
        <v>PJE SIETE 926</v>
      </c>
      <c r="D8830" s="6" t="str">
        <f ca="1">IFERROR(__xludf.DUMMYFUNCTION("""COMPUTED_VALUE"""),"PADRE HURTADO")</f>
        <v>PADRE HURTADO</v>
      </c>
    </row>
    <row r="8831" spans="1:4">
      <c r="A8831" s="7">
        <f ca="1">IFERROR(__xludf.DUMMYFUNCTION("""COMPUTED_VALUE"""),44725)</f>
        <v>44725</v>
      </c>
      <c r="B8831" s="6" t="str">
        <f ca="1">IFERROR(__xludf.DUMMYFUNCTION("""COMPUTED_VALUE"""),"-33.901733,-70.655642")</f>
        <v>-33.901733,-70.655642</v>
      </c>
      <c r="C8831" s="6" t="str">
        <f ca="1">IFERROR(__xludf.DUMMYFUNCTION("""COMPUTED_VALUE"""),"LA ROMANO 54")</f>
        <v>LA ROMANO 54</v>
      </c>
      <c r="D8831" s="6" t="str">
        <f ca="1">IFERROR(__xludf.DUMMYFUNCTION("""COMPUTED_VALUE"""),"PAINE")</f>
        <v>PAINE</v>
      </c>
    </row>
    <row r="8832" spans="1:4">
      <c r="A8832" s="7">
        <f ca="1">IFERROR(__xludf.DUMMYFUNCTION("""COMPUTED_VALUE"""),44725)</f>
        <v>44725</v>
      </c>
      <c r="B8832" s="6" t="str">
        <f ca="1">IFERROR(__xludf.DUMMYFUNCTION("""COMPUTED_VALUE"""),"-33.744101,-70.870223")</f>
        <v>-33.744101,-70.870223</v>
      </c>
      <c r="C8832" s="6" t="str">
        <f ca="1">IFERROR(__xludf.DUMMYFUNCTION("""COMPUTED_VALUE"""),"PA DIRECTORA SARA RODRIGUEZ ADASME 452")</f>
        <v>PA DIRECTORA SARA RODRIGUEZ ADASME 452</v>
      </c>
      <c r="D8832" s="6" t="str">
        <f ca="1">IFERROR(__xludf.DUMMYFUNCTION("""COMPUTED_VALUE"""),"ISLA DE MAIPO")</f>
        <v>ISLA DE MAIPO</v>
      </c>
    </row>
    <row r="8833" spans="1:4">
      <c r="A8833" s="7">
        <f ca="1">IFERROR(__xludf.DUMMYFUNCTION("""COMPUTED_VALUE"""),44725)</f>
        <v>44725</v>
      </c>
      <c r="B8833" s="6" t="str">
        <f ca="1">IFERROR(__xludf.DUMMYFUNCTION("""COMPUTED_VALUE"""),"-33.712106,-70.742562")</f>
        <v>-33.712106,-70.742562</v>
      </c>
      <c r="C8833" s="6" t="str">
        <f ca="1">IFERROR(__xludf.DUMMYFUNCTION("""COMPUTED_VALUE"""),"PA.ILUSION BUINENSE 0133")</f>
        <v>PA.ILUSION BUINENSE 0133</v>
      </c>
      <c r="D8833" s="6" t="str">
        <f ca="1">IFERROR(__xludf.DUMMYFUNCTION("""COMPUTED_VALUE"""),"BUIN")</f>
        <v>BUIN</v>
      </c>
    </row>
    <row r="8834" spans="1:4">
      <c r="A8834" s="7">
        <f ca="1">IFERROR(__xludf.DUMMYFUNCTION("""COMPUTED_VALUE"""),44726)</f>
        <v>44726</v>
      </c>
      <c r="B8834" s="6" t="str">
        <f ca="1">IFERROR(__xludf.DUMMYFUNCTION("""COMPUTED_VALUE"""),"-33.8366007-70.6411407")</f>
        <v>-33.8366007-70.6411407</v>
      </c>
      <c r="C8834" s="6" t="str">
        <f ca="1">IFERROR(__xludf.DUMMYFUNCTION("""COMPUTED_VALUE"""),"SANTA TERESA 42")</f>
        <v>SANTA TERESA 42</v>
      </c>
      <c r="D8834" s="6" t="str">
        <f ca="1">IFERROR(__xludf.DUMMYFUNCTION("""COMPUTED_VALUE"""),"PAINE")</f>
        <v>PAINE</v>
      </c>
    </row>
    <row r="8835" spans="1:4">
      <c r="A8835" s="7">
        <f ca="1">IFERROR(__xludf.DUMMYFUNCTION("""COMPUTED_VALUE"""),44726)</f>
        <v>44726</v>
      </c>
      <c r="B8835" s="6" t="str">
        <f ca="1">IFERROR(__xludf.DUMMYFUNCTION("""COMPUTED_VALUE"""),"-33.802241-70.681627")</f>
        <v>-33.802241-70.681627</v>
      </c>
      <c r="C8835" s="6" t="str">
        <f ca="1">IFERROR(__xludf.DUMMYFUNCTION("""COMPUTED_VALUE"""),"VEINTICUATRO DE ABRIL S/N")</f>
        <v>VEINTICUATRO DE ABRIL S/N</v>
      </c>
      <c r="D8835" s="6" t="str">
        <f ca="1">IFERROR(__xludf.DUMMYFUNCTION("""COMPUTED_VALUE"""),"PAINE")</f>
        <v>PAINE</v>
      </c>
    </row>
    <row r="8836" spans="1:4">
      <c r="A8836" s="7">
        <f ca="1">IFERROR(__xludf.DUMMYFUNCTION("""COMPUTED_VALUE"""),44726)</f>
        <v>44726</v>
      </c>
      <c r="B8836" s="6" t="str">
        <f ca="1">IFERROR(__xludf.DUMMYFUNCTION("""COMPUTED_VALUE"""),"-33.63538-70.350750")</f>
        <v>-33.63538-70.350750</v>
      </c>
      <c r="C8836" s="6" t="str">
        <f ca="1">IFERROR(__xludf.DUMMYFUNCTION("""COMPUTED_VALUE"""),"AV. EL ESFUERZO 19090")</f>
        <v>AV. EL ESFUERZO 19090</v>
      </c>
      <c r="D8836" s="6" t="str">
        <f ca="1">IFERROR(__xludf.DUMMYFUNCTION("""COMPUTED_VALUE"""),"SAN JOSE DE MAIPO")</f>
        <v>SAN JOSE DE MAIPO</v>
      </c>
    </row>
    <row r="8837" spans="1:4">
      <c r="A8837" s="7">
        <f ca="1">IFERROR(__xludf.DUMMYFUNCTION("""COMPUTED_VALUE"""),44726)</f>
        <v>44726</v>
      </c>
      <c r="B8837" s="6" t="str">
        <f ca="1">IFERROR(__xludf.DUMMYFUNCTION("""COMPUTED_VALUE"""),"-33.631275-70.350930")</f>
        <v>-33.631275-70.350930</v>
      </c>
      <c r="C8837" s="6" t="str">
        <f ca="1">IFERROR(__xludf.DUMMYFUNCTION("""COMPUTED_VALUE"""),"AV. EL ESFUERZO 0500")</f>
        <v>AV. EL ESFUERZO 0500</v>
      </c>
      <c r="D8837" s="6" t="str">
        <f ca="1">IFERROR(__xludf.DUMMYFUNCTION("""COMPUTED_VALUE"""),"SAN JOSE DE MAIPO")</f>
        <v>SAN JOSE DE MAIPO</v>
      </c>
    </row>
    <row r="8838" spans="1:4">
      <c r="A8838" s="7">
        <f ca="1">IFERROR(__xludf.DUMMYFUNCTION("""COMPUTED_VALUE"""),44726)</f>
        <v>44726</v>
      </c>
      <c r="B8838" s="6" t="str">
        <f ca="1">IFERROR(__xludf.DUMMYFUNCTION("""COMPUTED_VALUE"""),"-33.57669-70.45139")</f>
        <v>-33.57669-70.45139</v>
      </c>
      <c r="C8838" s="6" t="str">
        <f ca="1">IFERROR(__xludf.DUMMYFUNCTION("""COMPUTED_VALUE"""),"EL CANELO S/N")</f>
        <v>EL CANELO S/N</v>
      </c>
      <c r="D8838" s="6" t="str">
        <f ca="1">IFERROR(__xludf.DUMMYFUNCTION("""COMPUTED_VALUE"""),"SAN JOSE DE MAIPO")</f>
        <v>SAN JOSE DE MAIPO</v>
      </c>
    </row>
    <row r="8839" spans="1:4">
      <c r="A8839" s="7">
        <f ca="1">IFERROR(__xludf.DUMMYFUNCTION("""COMPUTED_VALUE"""),44726)</f>
        <v>44726</v>
      </c>
      <c r="B8839" s="6" t="str">
        <f ca="1">IFERROR(__xludf.DUMMYFUNCTION("""COMPUTED_VALUE"""),"-33.724940-70.770396")</f>
        <v>-33.724940-70.770396</v>
      </c>
      <c r="C8839" s="6" t="str">
        <f ca="1">IFERROR(__xludf.DUMMYFUNCTION("""COMPUTED_VALUE"""),"MARIO CALDERON 519")</f>
        <v>MARIO CALDERON 519</v>
      </c>
      <c r="D8839" s="6" t="str">
        <f ca="1">IFERROR(__xludf.DUMMYFUNCTION("""COMPUTED_VALUE"""),"BUIN")</f>
        <v>BUIN</v>
      </c>
    </row>
    <row r="8840" spans="1:4">
      <c r="A8840" s="7">
        <f ca="1">IFERROR(__xludf.DUMMYFUNCTION("""COMPUTED_VALUE"""),44726)</f>
        <v>44726</v>
      </c>
      <c r="B8840" s="6" t="str">
        <f ca="1">IFERROR(__xludf.DUMMYFUNCTION("""COMPUTED_VALUE"""),"-33.804740-70.728331")</f>
        <v>-33.804740-70.728331</v>
      </c>
      <c r="C8840" s="6" t="str">
        <f ca="1">IFERROR(__xludf.DUMMYFUNCTION("""COMPUTED_VALUE"""),"RIO CUTIPAY 128")</f>
        <v>RIO CUTIPAY 128</v>
      </c>
      <c r="D8840" s="6" t="str">
        <f ca="1">IFERROR(__xludf.DUMMYFUNCTION("""COMPUTED_VALUE"""),"PAINE")</f>
        <v>PAINE</v>
      </c>
    </row>
    <row r="8841" spans="1:4">
      <c r="A8841" s="7">
        <f ca="1">IFERROR(__xludf.DUMMYFUNCTION("""COMPUTED_VALUE"""),44726)</f>
        <v>44726</v>
      </c>
      <c r="B8841" s="6" t="str">
        <f ca="1">IFERROR(__xludf.DUMMYFUNCTION("""COMPUTED_VALUE"""),"-33.603768-70.895373")</f>
        <v>-33.603768-70.895373</v>
      </c>
      <c r="C8841" s="6" t="str">
        <f ca="1">IFERROR(__xludf.DUMMYFUNCTION("""COMPUTED_VALUE"""),"LOS PATOS 41")</f>
        <v>LOS PATOS 41</v>
      </c>
      <c r="D8841" s="6" t="str">
        <f ca="1">IFERROR(__xludf.DUMMYFUNCTION("""COMPUTED_VALUE"""),"PEÑAFLOR")</f>
        <v>PEÑAFLOR</v>
      </c>
    </row>
    <row r="8842" spans="1:4">
      <c r="A8842" s="7">
        <f ca="1">IFERROR(__xludf.DUMMYFUNCTION("""COMPUTED_VALUE"""),44726)</f>
        <v>44726</v>
      </c>
      <c r="B8842" s="6" t="str">
        <f ca="1">IFERROR(__xludf.DUMMYFUNCTION("""COMPUTED_VALUE"""),"-33.605863-70.882143")</f>
        <v>-33.605863-70.882143</v>
      </c>
      <c r="C8842" s="6" t="str">
        <f ca="1">IFERROR(__xludf.DUMMYFUNCTION("""COMPUTED_VALUE"""),"UNO 2480")</f>
        <v>UNO 2480</v>
      </c>
      <c r="D8842" s="6" t="str">
        <f ca="1">IFERROR(__xludf.DUMMYFUNCTION("""COMPUTED_VALUE"""),"PEÑAFLOR")</f>
        <v>PEÑAFLOR</v>
      </c>
    </row>
    <row r="8843" spans="1:4">
      <c r="A8843" s="7">
        <f ca="1">IFERROR(__xludf.DUMMYFUNCTION("""COMPUTED_VALUE"""),44726)</f>
        <v>44726</v>
      </c>
      <c r="B8843" s="8" t="str">
        <f ca="1">IFERROR(__xludf.DUMMYFUNCTION("""COMPUTED_VALUE"""),"-33.7228659,-70.5557311")</f>
        <v>-33.7228659,-70.5557311</v>
      </c>
      <c r="C8843" s="6" t="str">
        <f ca="1">IFERROR(__xludf.DUMMYFUNCTION("""COMPUTED_VALUE"""),"EL PRINCIPAL 119")</f>
        <v>EL PRINCIPAL 119</v>
      </c>
      <c r="D8843" s="6" t="str">
        <f ca="1">IFERROR(__xludf.DUMMYFUNCTION("""COMPUTED_VALUE"""),"PIRQUE")</f>
        <v>PIRQUE</v>
      </c>
    </row>
    <row r="8844" spans="1:4">
      <c r="A8844" s="7">
        <f ca="1">IFERROR(__xludf.DUMMYFUNCTION("""COMPUTED_VALUE"""),44726)</f>
        <v>44726</v>
      </c>
      <c r="B8844" s="8" t="str">
        <f ca="1">IFERROR(__xludf.DUMMYFUNCTION("""COMPUTED_VALUE"""),"-33.711715,.70.551450")</f>
        <v>-33.711715,.70.551450</v>
      </c>
      <c r="C8844" s="6" t="str">
        <f ca="1">IFERROR(__xludf.DUMMYFUNCTION("""COMPUTED_VALUE"""),"EL CHALACO 48A ")</f>
        <v xml:space="preserve">EL CHALACO 48A </v>
      </c>
      <c r="D8844" s="6" t="str">
        <f ca="1">IFERROR(__xludf.DUMMYFUNCTION("""COMPUTED_VALUE"""),"PIRQUE")</f>
        <v>PIRQUE</v>
      </c>
    </row>
    <row r="8845" spans="1:4">
      <c r="A8845" s="7">
        <f ca="1">IFERROR(__xludf.DUMMYFUNCTION("""COMPUTED_VALUE"""),44726)</f>
        <v>44726</v>
      </c>
      <c r="B8845" s="8" t="str">
        <f ca="1">IFERROR(__xludf.DUMMYFUNCTION("""COMPUTED_VALUE"""),"-33.727373.-70.5405622")</f>
        <v>-33.727373.-70.5405622</v>
      </c>
      <c r="C8845" s="6" t="str">
        <f ca="1">IFERROR(__xludf.DUMMYFUNCTION("""COMPUTED_VALUE"""),"LA ESCUELA PARC. 25")</f>
        <v>LA ESCUELA PARC. 25</v>
      </c>
      <c r="D8845" s="6" t="str">
        <f ca="1">IFERROR(__xludf.DUMMYFUNCTION("""COMPUTED_VALUE"""),"PIRQUE")</f>
        <v>PIRQUE</v>
      </c>
    </row>
    <row r="8846" spans="1:4">
      <c r="A8846" s="7">
        <f ca="1">IFERROR(__xludf.DUMMYFUNCTION("""COMPUTED_VALUE"""),44726)</f>
        <v>44726</v>
      </c>
      <c r="B8846" s="6" t="str">
        <f ca="1">IFERROR(__xludf.DUMMYFUNCTION("""COMPUTED_VALUE"""),"-33.614298,-70.876887")</f>
        <v>-33.614298,-70.876887</v>
      </c>
      <c r="C8846" s="6" t="str">
        <f ca="1">IFERROR(__xludf.DUMMYFUNCTION("""COMPUTED_VALUE"""),"P JUAN FLORES SUAREZ 410")</f>
        <v>P JUAN FLORES SUAREZ 410</v>
      </c>
      <c r="D8846" s="6" t="str">
        <f ca="1">IFERROR(__xludf.DUMMYFUNCTION("""COMPUTED_VALUE"""),"PEÑAFLOR")</f>
        <v>PEÑAFLOR</v>
      </c>
    </row>
    <row r="8847" spans="1:4">
      <c r="A8847" s="7">
        <f ca="1">IFERROR(__xludf.DUMMYFUNCTION("""COMPUTED_VALUE"""),44726)</f>
        <v>44726</v>
      </c>
      <c r="B8847" s="6" t="str">
        <f ca="1">IFERROR(__xludf.DUMMYFUNCTION("""COMPUTED_VALUE"""),"-33.746137,-70.867373")</f>
        <v>-33.746137,-70.867373</v>
      </c>
      <c r="C8847" s="6" t="str">
        <f ca="1">IFERROR(__xludf.DUMMYFUNCTION("""COMPUTED_VALUE"""),"SUPERINTENDENTE HUGO CORVALAN 155")</f>
        <v>SUPERINTENDENTE HUGO CORVALAN 155</v>
      </c>
      <c r="D8847" s="6" t="str">
        <f ca="1">IFERROR(__xludf.DUMMYFUNCTION("""COMPUTED_VALUE"""),"ISLA DE MAIPO")</f>
        <v>ISLA DE MAIPO</v>
      </c>
    </row>
    <row r="8848" spans="1:4">
      <c r="A8848" s="7">
        <f ca="1">IFERROR(__xludf.DUMMYFUNCTION("""COMPUTED_VALUE"""),44726)</f>
        <v>44726</v>
      </c>
      <c r="B8848" s="6" t="str">
        <f ca="1">IFERROR(__xludf.DUMMYFUNCTION("""COMPUTED_VALUE"""),"-33.732898,-70.763275")</f>
        <v>-33.732898,-70.763275</v>
      </c>
      <c r="C8848" s="6" t="str">
        <f ca="1">IFERROR(__xludf.DUMMYFUNCTION("""COMPUTED_VALUE"""),"PA PAULINA GOMEZ CANEPPA 62 ")</f>
        <v xml:space="preserve">PA PAULINA GOMEZ CANEPPA 62 </v>
      </c>
      <c r="D8848" s="6" t="str">
        <f ca="1">IFERROR(__xludf.DUMMYFUNCTION("""COMPUTED_VALUE"""),"BUIN")</f>
        <v>BUIN</v>
      </c>
    </row>
    <row r="8849" spans="1:4">
      <c r="A8849" s="7">
        <f ca="1">IFERROR(__xludf.DUMMYFUNCTION("""COMPUTED_VALUE"""),44726)</f>
        <v>44726</v>
      </c>
      <c r="B8849" s="8" t="str">
        <f ca="1">IFERROR(__xludf.DUMMYFUNCTION("""COMPUTED_VALUE"""),"-33.601479,-70.781730")</f>
        <v>-33.601479,-70.781730</v>
      </c>
      <c r="C8849" s="6" t="str">
        <f ca="1">IFERROR(__xludf.DUMMYFUNCTION("""COMPUTED_VALUE"""),"PASAJE UNO S/N")</f>
        <v>PASAJE UNO S/N</v>
      </c>
      <c r="D8849" s="6" t="str">
        <f ca="1">IFERROR(__xludf.DUMMYFUNCTION("""COMPUTED_VALUE"""),"CALERA DE TANGO")</f>
        <v>CALERA DE TANGO</v>
      </c>
    </row>
    <row r="8850" spans="1:4">
      <c r="A8850" s="7">
        <f ca="1">IFERROR(__xludf.DUMMYFUNCTION("""COMPUTED_VALUE"""),44726)</f>
        <v>44726</v>
      </c>
      <c r="B8850" s="8" t="str">
        <f ca="1">IFERROR(__xludf.DUMMYFUNCTION("""COMPUTED_VALUE"""),"-33.601479,-70.781730")</f>
        <v>-33.601479,-70.781730</v>
      </c>
      <c r="C8850" s="6" t="str">
        <f ca="1">IFERROR(__xludf.DUMMYFUNCTION("""COMPUTED_VALUE"""),"PASAJE UNO S/N")</f>
        <v>PASAJE UNO S/N</v>
      </c>
      <c r="D8850" s="6" t="str">
        <f ca="1">IFERROR(__xludf.DUMMYFUNCTION("""COMPUTED_VALUE"""),"CALERA DE TANGO")</f>
        <v>CALERA DE TANGO</v>
      </c>
    </row>
    <row r="8851" spans="1:4">
      <c r="A8851" s="7">
        <f ca="1">IFERROR(__xludf.DUMMYFUNCTION("""COMPUTED_VALUE"""),44726)</f>
        <v>44726</v>
      </c>
      <c r="B8851" s="6" t="str">
        <f ca="1">IFERROR(__xludf.DUMMYFUNCTION("""COMPUTED_VALUE"""),"-33.784971,-70.789187")</f>
        <v>-33.784971,-70.789187</v>
      </c>
      <c r="C8851" s="6" t="str">
        <f ca="1">IFERROR(__xludf.DUMMYFUNCTION("""COMPUTED_VALUE"""),"AV. VILUCO 5378")</f>
        <v>AV. VILUCO 5378</v>
      </c>
      <c r="D8851" s="6" t="str">
        <f ca="1">IFERROR(__xludf.DUMMYFUNCTION("""COMPUTED_VALUE"""),"BUIN")</f>
        <v>BUIN</v>
      </c>
    </row>
    <row r="8852" spans="1:4">
      <c r="A8852" s="7">
        <f ca="1">IFERROR(__xludf.DUMMYFUNCTION("""COMPUTED_VALUE"""),44726)</f>
        <v>44726</v>
      </c>
      <c r="B8852" s="6" t="str">
        <f ca="1">IFERROR(__xludf.DUMMYFUNCTION("""COMPUTED_VALUE"""),"-33.785551,-70.789748")</f>
        <v>-33.785551,-70.789748</v>
      </c>
      <c r="C8852" s="6" t="str">
        <f ca="1">IFERROR(__xludf.DUMMYFUNCTION("""COMPUTED_VALUE"""),"AV. VILUCO 5370")</f>
        <v>AV. VILUCO 5370</v>
      </c>
      <c r="D8852" s="6" t="str">
        <f ca="1">IFERROR(__xludf.DUMMYFUNCTION("""COMPUTED_VALUE"""),"BUIN")</f>
        <v>BUIN</v>
      </c>
    </row>
    <row r="8853" spans="1:4">
      <c r="A8853" s="7">
        <f ca="1">IFERROR(__xludf.DUMMYFUNCTION("""COMPUTED_VALUE"""),44727)</f>
        <v>44727</v>
      </c>
      <c r="B8853" s="8" t="str">
        <f ca="1">IFERROR(__xludf.DUMMYFUNCTION("""COMPUTED_VALUE"""),"-33.772193, -70.8949559")</f>
        <v>-33.772193, -70.8949559</v>
      </c>
      <c r="C8853" s="6" t="str">
        <f ca="1">IFERROR(__xludf.DUMMYFUNCTION("""COMPUTED_VALUE"""),"OLEA 1101")</f>
        <v>OLEA 1101</v>
      </c>
      <c r="D8853" s="6" t="str">
        <f ca="1">IFERROR(__xludf.DUMMYFUNCTION("""COMPUTED_VALUE"""),"ISLA DE MAIPO")</f>
        <v>ISLA DE MAIPO</v>
      </c>
    </row>
    <row r="8854" spans="1:4">
      <c r="A8854" s="7">
        <f ca="1">IFERROR(__xludf.DUMMYFUNCTION("""COMPUTED_VALUE"""),44727)</f>
        <v>44727</v>
      </c>
      <c r="B8854" s="8" t="str">
        <f ca="1">IFERROR(__xludf.DUMMYFUNCTION("""COMPUTED_VALUE"""),"-33.824846, -70.6462839")</f>
        <v>-33.824846, -70.6462839</v>
      </c>
      <c r="C8854" s="6" t="str">
        <f ca="1">IFERROR(__xludf.DUMMYFUNCTION("""COMPUTED_VALUE"""),"LAS ESTRELLA 11")</f>
        <v>LAS ESTRELLA 11</v>
      </c>
      <c r="D8854" s="6" t="str">
        <f ca="1">IFERROR(__xludf.DUMMYFUNCTION("""COMPUTED_VALUE"""),"PAINE")</f>
        <v>PAINE</v>
      </c>
    </row>
    <row r="8855" spans="1:4">
      <c r="A8855" s="7">
        <f ca="1">IFERROR(__xludf.DUMMYFUNCTION("""COMPUTED_VALUE"""),44727)</f>
        <v>44727</v>
      </c>
      <c r="B8855" s="8" t="str">
        <f ca="1">IFERROR(__xludf.DUMMYFUNCTION("""COMPUTED_VALUE"""),"-33.747093, -70.6780638")</f>
        <v>-33.747093, -70.6780638</v>
      </c>
      <c r="C8855" s="6" t="str">
        <f ca="1">IFERROR(__xludf.DUMMYFUNCTION("""COMPUTED_VALUE"""),"CRUZ DEL SUR 34")</f>
        <v>CRUZ DEL SUR 34</v>
      </c>
      <c r="D8855" s="6" t="str">
        <f ca="1">IFERROR(__xludf.DUMMYFUNCTION("""COMPUTED_VALUE"""),"BUIN")</f>
        <v>BUIN</v>
      </c>
    </row>
    <row r="8856" spans="1:4">
      <c r="A8856" s="7">
        <f ca="1">IFERROR(__xludf.DUMMYFUNCTION("""COMPUTED_VALUE"""),44727)</f>
        <v>44727</v>
      </c>
      <c r="B8856" s="8" t="str">
        <f ca="1">IFERROR(__xludf.DUMMYFUNCTION("""COMPUTED_VALUE"""),"-33.85331, -70.76418")</f>
        <v>-33.85331, -70.76418</v>
      </c>
      <c r="C8856" s="6" t="str">
        <f ca="1">IFERROR(__xludf.DUMMYFUNCTION("""COMPUTED_VALUE"""),"ROMERO 80A")</f>
        <v>ROMERO 80A</v>
      </c>
      <c r="D8856" s="6" t="str">
        <f ca="1">IFERROR(__xludf.DUMMYFUNCTION("""COMPUTED_VALUE"""),"PAINE")</f>
        <v>PAINE</v>
      </c>
    </row>
    <row r="8857" spans="1:4">
      <c r="A8857" s="7">
        <f ca="1">IFERROR(__xludf.DUMMYFUNCTION("""COMPUTED_VALUE"""),44727)</f>
        <v>44727</v>
      </c>
      <c r="B8857" s="8" t="str">
        <f ca="1">IFERROR(__xludf.DUMMYFUNCTION("""COMPUTED_VALUE"""),"-33.8049803, -70.7381226")</f>
        <v>-33.8049803, -70.7381226</v>
      </c>
      <c r="C8857" s="6" t="str">
        <f ca="1">IFERROR(__xludf.DUMMYFUNCTION("""COMPUTED_VALUE"""),"PASAJE CINCO 82")</f>
        <v>PASAJE CINCO 82</v>
      </c>
      <c r="D8857" s="6" t="str">
        <f ca="1">IFERROR(__xludf.DUMMYFUNCTION("""COMPUTED_VALUE"""),"PAINE")</f>
        <v>PAINE</v>
      </c>
    </row>
    <row r="8858" spans="1:4">
      <c r="A8858" s="7">
        <f ca="1">IFERROR(__xludf.DUMMYFUNCTION("""COMPUTED_VALUE"""),44727)</f>
        <v>44727</v>
      </c>
      <c r="B8858" s="8" t="str">
        <f ca="1">IFERROR(__xludf.DUMMYFUNCTION("""COMPUTED_VALUE"""),"-33.7401439, -70.7489914")</f>
        <v>-33.7401439, -70.7489914</v>
      </c>
      <c r="C8858" s="6" t="str">
        <f ca="1">IFERROR(__xludf.DUMMYFUNCTION("""COMPUTED_VALUE"""),"PEDRO MORALES ESCODEDO 824")</f>
        <v>PEDRO MORALES ESCODEDO 824</v>
      </c>
      <c r="D8858" s="6" t="str">
        <f ca="1">IFERROR(__xludf.DUMMYFUNCTION("""COMPUTED_VALUE"""),"BUIN")</f>
        <v>BUIN</v>
      </c>
    </row>
    <row r="8859" spans="1:4">
      <c r="A8859" s="7">
        <f ca="1">IFERROR(__xludf.DUMMYFUNCTION("""COMPUTED_VALUE"""),44727)</f>
        <v>44727</v>
      </c>
      <c r="B8859" s="6" t="str">
        <f ca="1">IFERROR(__xludf.DUMMYFUNCTION("""COMPUTED_VALUE"""),"-33.616343-70.879120")</f>
        <v>-33.616343-70.879120</v>
      </c>
      <c r="C8859" s="6" t="str">
        <f ca="1">IFERROR(__xludf.DUMMYFUNCTION("""COMPUTED_VALUE"""),"ALFONSO DUVAL CERDA 691")</f>
        <v>ALFONSO DUVAL CERDA 691</v>
      </c>
      <c r="D8859" s="6" t="str">
        <f ca="1">IFERROR(__xludf.DUMMYFUNCTION("""COMPUTED_VALUE"""),"PEÑAFLOR")</f>
        <v>PEÑAFLOR</v>
      </c>
    </row>
    <row r="8860" spans="1:4">
      <c r="A8860" s="7">
        <f ca="1">IFERROR(__xludf.DUMMYFUNCTION("""COMPUTED_VALUE"""),44727)</f>
        <v>44727</v>
      </c>
      <c r="B8860" s="6" t="str">
        <f ca="1">IFERROR(__xludf.DUMMYFUNCTION("""COMPUTED_VALUE"""),"-33.512352-70.986347")</f>
        <v>-33.512352-70.986347</v>
      </c>
      <c r="C8860" s="6" t="str">
        <f ca="1">IFERROR(__xludf.DUMMYFUNCTION("""COMPUTED_VALUE"""),"EL BOSQUE S/N")</f>
        <v>EL BOSQUE S/N</v>
      </c>
      <c r="D8860" s="6" t="str">
        <f ca="1">IFERROR(__xludf.DUMMYFUNCTION("""COMPUTED_VALUE"""),"CURACAVI")</f>
        <v>CURACAVI</v>
      </c>
    </row>
    <row r="8861" spans="1:4">
      <c r="A8861" s="7">
        <f ca="1">IFERROR(__xludf.DUMMYFUNCTION("""COMPUTED_VALUE"""),44727)</f>
        <v>44727</v>
      </c>
      <c r="B8861" s="6" t="str">
        <f ca="1">IFERROR(__xludf.DUMMYFUNCTION("""COMPUTED_VALUE"""),"-33.395543-71.127310")</f>
        <v>-33.395543-71.127310</v>
      </c>
      <c r="C8861" s="6" t="str">
        <f ca="1">IFERROR(__xludf.DUMMYFUNCTION("""COMPUTED_VALUE"""),"MANUEL LARRAIN 765")</f>
        <v>MANUEL LARRAIN 765</v>
      </c>
      <c r="D8861" s="6" t="str">
        <f ca="1">IFERROR(__xludf.DUMMYFUNCTION("""COMPUTED_VALUE"""),"CURACAVI")</f>
        <v>CURACAVI</v>
      </c>
    </row>
    <row r="8862" spans="1:4">
      <c r="A8862" s="7">
        <f ca="1">IFERROR(__xludf.DUMMYFUNCTION("""COMPUTED_VALUE"""),44727)</f>
        <v>44727</v>
      </c>
      <c r="B8862" s="6" t="str">
        <f ca="1">IFERROR(__xludf.DUMMYFUNCTION("""COMPUTED_VALUE"""),"-33.675098-71.178343")</f>
        <v>-33.675098-71.178343</v>
      </c>
      <c r="C8862" s="6" t="str">
        <f ca="1">IFERROR(__xludf.DUMMYFUNCTION("""COMPUTED_VALUE"""),"LUXENBURGO 1990")</f>
        <v>LUXENBURGO 1990</v>
      </c>
      <c r="D8862" s="6" t="str">
        <f ca="1">IFERROR(__xludf.DUMMYFUNCTION("""COMPUTED_VALUE"""),"MELIPILLA")</f>
        <v>MELIPILLA</v>
      </c>
    </row>
    <row r="8863" spans="1:4">
      <c r="A8863" s="7">
        <f ca="1">IFERROR(__xludf.DUMMYFUNCTION("""COMPUTED_VALUE"""),44727)</f>
        <v>44727</v>
      </c>
      <c r="B8863" s="6" t="str">
        <f ca="1">IFERROR(__xludf.DUMMYFUNCTION("""COMPUTED_VALUE"""),"-33.65547-70.58696")</f>
        <v>-33.65547-70.58696</v>
      </c>
      <c r="C8863" s="6" t="str">
        <f ca="1">IFERROR(__xludf.DUMMYFUNCTION("""COMPUTED_VALUE"""),"AV. ALCALDE HERNAN PRIETO 1797")</f>
        <v>AV. ALCALDE HERNAN PRIETO 1797</v>
      </c>
      <c r="D8863" s="6" t="str">
        <f ca="1">IFERROR(__xludf.DUMMYFUNCTION("""COMPUTED_VALUE"""),"PIRQUE")</f>
        <v>PIRQUE</v>
      </c>
    </row>
    <row r="8864" spans="1:4">
      <c r="A8864" s="7">
        <f ca="1">IFERROR(__xludf.DUMMYFUNCTION("""COMPUTED_VALUE"""),44727)</f>
        <v>44727</v>
      </c>
      <c r="B8864" s="6" t="str">
        <f ca="1">IFERROR(__xludf.DUMMYFUNCTION("""COMPUTED_VALUE"""),"-33.73291-70.55297")</f>
        <v>-33.73291-70.55297</v>
      </c>
      <c r="C8864" s="6" t="str">
        <f ca="1">IFERROR(__xludf.DUMMYFUNCTION("""COMPUTED_VALUE"""),"CAMINO LOS GALLINEROS SITIO 91 ")</f>
        <v xml:space="preserve">CAMINO LOS GALLINEROS SITIO 91 </v>
      </c>
      <c r="D8864" s="6" t="str">
        <f ca="1">IFERROR(__xludf.DUMMYFUNCTION("""COMPUTED_VALUE"""),"PIRQUE")</f>
        <v>PIRQUE</v>
      </c>
    </row>
    <row r="8865" spans="1:4">
      <c r="A8865" s="7">
        <f ca="1">IFERROR(__xludf.DUMMYFUNCTION("""COMPUTED_VALUE"""),44727)</f>
        <v>44727</v>
      </c>
      <c r="B8865" s="6" t="str">
        <f ca="1">IFERROR(__xludf.DUMMYFUNCTION("""COMPUTED_VALUE"""),"-33.7456976-70.7473780")</f>
        <v>-33.7456976-70.7473780</v>
      </c>
      <c r="C8865" s="6" t="str">
        <f ca="1">IFERROR(__xludf.DUMMYFUNCTION("""COMPUTED_VALUE"""),"SIMON REYES 1447")</f>
        <v>SIMON REYES 1447</v>
      </c>
      <c r="D8865" s="6" t="str">
        <f ca="1">IFERROR(__xludf.DUMMYFUNCTION("""COMPUTED_VALUE"""),"BUIN")</f>
        <v>BUIN</v>
      </c>
    </row>
    <row r="8866" spans="1:4">
      <c r="A8866" s="7">
        <f ca="1">IFERROR(__xludf.DUMMYFUNCTION("""COMPUTED_VALUE"""),44727)</f>
        <v>44727</v>
      </c>
      <c r="B8866" s="6" t="str">
        <f ca="1">IFERROR(__xludf.DUMMYFUNCTION("""COMPUTED_VALUE"""),"-33.591965-70.840740")</f>
        <v>-33.591965-70.840740</v>
      </c>
      <c r="C8866" s="6" t="str">
        <f ca="1">IFERROR(__xludf.DUMMYFUNCTION("""COMPUTED_VALUE"""),"CAMINO A MELIPILLA S/N")</f>
        <v>CAMINO A MELIPILLA S/N</v>
      </c>
      <c r="D8866" s="6" t="str">
        <f ca="1">IFERROR(__xludf.DUMMYFUNCTION("""COMPUTED_VALUE"""),"PEÑAFLOR")</f>
        <v>PEÑAFLOR</v>
      </c>
    </row>
    <row r="8867" spans="1:4">
      <c r="A8867" s="7">
        <f ca="1">IFERROR(__xludf.DUMMYFUNCTION("""COMPUTED_VALUE"""),44727)</f>
        <v>44727</v>
      </c>
      <c r="B8867" s="8" t="str">
        <f ca="1">IFERROR(__xludf.DUMMYFUNCTION("""COMPUTED_VALUE"""),"-33.717569,-70.564474")</f>
        <v>-33.717569,-70.564474</v>
      </c>
      <c r="C8867" s="6" t="str">
        <f ca="1">IFERROR(__xludf.DUMMYFUNCTION("""COMPUTED_VALUE"""),"LAS ENCIMAS 135")</f>
        <v>LAS ENCIMAS 135</v>
      </c>
      <c r="D8867" s="6" t="str">
        <f ca="1">IFERROR(__xludf.DUMMYFUNCTION("""COMPUTED_VALUE"""),"PIRQUE")</f>
        <v>PIRQUE</v>
      </c>
    </row>
    <row r="8868" spans="1:4">
      <c r="A8868" s="7">
        <f ca="1">IFERROR(__xludf.DUMMYFUNCTION("""COMPUTED_VALUE"""),44727)</f>
        <v>44727</v>
      </c>
      <c r="B8868" s="8" t="str">
        <f ca="1">IFERROR(__xludf.DUMMYFUNCTION("""COMPUTED_VALUE"""),"-33.709802,-70.556401")</f>
        <v>-33.709802,-70.556401</v>
      </c>
      <c r="C8868" s="6" t="str">
        <f ca="1">IFERROR(__xludf.DUMMYFUNCTION("""COMPUTED_VALUE"""),"CALLE NUEVA 42 ")</f>
        <v xml:space="preserve">CALLE NUEVA 42 </v>
      </c>
      <c r="D8868" s="6" t="str">
        <f ca="1">IFERROR(__xludf.DUMMYFUNCTION("""COMPUTED_VALUE"""),"PIRQUE")</f>
        <v>PIRQUE</v>
      </c>
    </row>
    <row r="8869" spans="1:4">
      <c r="A8869" s="7">
        <f ca="1">IFERROR(__xludf.DUMMYFUNCTION("""COMPUTED_VALUE"""),44727)</f>
        <v>44727</v>
      </c>
      <c r="B8869" s="6" t="str">
        <f ca="1">IFERROR(__xludf.DUMMYFUNCTION("""COMPUTED_VALUE"""),"-33.496322.,-71.270786")</f>
        <v>-33.496322.,-71.270786</v>
      </c>
      <c r="C8869" s="6" t="str">
        <f ca="1">IFERROR(__xludf.DUMMYFUNCTION("""COMPUTED_VALUE"""),"ESPERANZA DE LOTEO S/N LT3 SITIO 38")</f>
        <v>ESPERANZA DE LOTEO S/N LT3 SITIO 38</v>
      </c>
      <c r="D8869" s="6" t="str">
        <f ca="1">IFERROR(__xludf.DUMMYFUNCTION("""COMPUTED_VALUE"""),"MARIA PINTO")</f>
        <v>MARIA PINTO</v>
      </c>
    </row>
    <row r="8870" spans="1:4">
      <c r="A8870" s="7">
        <f ca="1">IFERROR(__xludf.DUMMYFUNCTION("""COMPUTED_VALUE"""),44727)</f>
        <v>44727</v>
      </c>
      <c r="B8870" s="6" t="str">
        <f ca="1">IFERROR(__xludf.DUMMYFUNCTION("""COMPUTED_VALUE"""),"-33.613411,-70484681")</f>
        <v>-33.613411,-70484681</v>
      </c>
      <c r="C8870" s="6" t="str">
        <f ca="1">IFERROR(__xludf.DUMMYFUNCTION("""COMPUTED_VALUE"""),"SAN JUAN PIRQUE S/N LOTE 5 HIJUELA 1")</f>
        <v>SAN JUAN PIRQUE S/N LOTE 5 HIJUELA 1</v>
      </c>
      <c r="D8870" s="6" t="str">
        <f ca="1">IFERROR(__xludf.DUMMYFUNCTION("""COMPUTED_VALUE"""),"PIRQUE")</f>
        <v>PIRQUE</v>
      </c>
    </row>
    <row r="8871" spans="1:4">
      <c r="A8871" s="7">
        <f ca="1">IFERROR(__xludf.DUMMYFUNCTION("""COMPUTED_VALUE"""),44727)</f>
        <v>44727</v>
      </c>
      <c r="B8871" s="6" t="str">
        <f ca="1">IFERROR(__xludf.DUMMYFUNCTION("""COMPUTED_VALUE"""),"-33.611611,-70.486039")</f>
        <v>-33.611611,-70.486039</v>
      </c>
      <c r="C8871" s="6" t="str">
        <f ca="1">IFERROR(__xludf.DUMMYFUNCTION("""COMPUTED_VALUE"""),"SAN JUAN PIRQUE S/N LOTE 5 HIJUELA 1")</f>
        <v>SAN JUAN PIRQUE S/N LOTE 5 HIJUELA 1</v>
      </c>
      <c r="D8871" s="6" t="str">
        <f ca="1">IFERROR(__xludf.DUMMYFUNCTION("""COMPUTED_VALUE"""),"PIRQUE")</f>
        <v>PIRQUE</v>
      </c>
    </row>
    <row r="8872" spans="1:4">
      <c r="A8872" s="7">
        <f ca="1">IFERROR(__xludf.DUMMYFUNCTION("""COMPUTED_VALUE"""),44727)</f>
        <v>44727</v>
      </c>
      <c r="B8872" s="6" t="str">
        <f ca="1">IFERROR(__xludf.DUMMYFUNCTION("""COMPUTED_VALUE"""),"-33.735115,-70.776506")</f>
        <v>-33.735115,-70.776506</v>
      </c>
      <c r="C8872" s="6" t="str">
        <f ca="1">IFERROR(__xludf.DUMMYFUNCTION("""COMPUTED_VALUE"""),"PJE EL PERCHERON 460")</f>
        <v>PJE EL PERCHERON 460</v>
      </c>
      <c r="D8872" s="6" t="str">
        <f ca="1">IFERROR(__xludf.DUMMYFUNCTION("""COMPUTED_VALUE"""),"BUIN")</f>
        <v>BUIN</v>
      </c>
    </row>
    <row r="8873" spans="1:4">
      <c r="A8873" s="7">
        <f ca="1">IFERROR(__xludf.DUMMYFUNCTION("""COMPUTED_VALUE"""),44727)</f>
        <v>44727</v>
      </c>
      <c r="B8873" s="6" t="str">
        <f ca="1">IFERROR(__xludf.DUMMYFUNCTION("""COMPUTED_VALUE"""),"-33.734125,-70.760982")</f>
        <v>-33.734125,-70.760982</v>
      </c>
      <c r="C8873" s="6" t="str">
        <f ca="1">IFERROR(__xludf.DUMMYFUNCTION("""COMPUTED_VALUE"""),"PJE HERNAN NAVARRETE 23")</f>
        <v>PJE HERNAN NAVARRETE 23</v>
      </c>
      <c r="D8873" s="6" t="str">
        <f ca="1">IFERROR(__xludf.DUMMYFUNCTION("""COMPUTED_VALUE"""),"BUIN")</f>
        <v>BUIN</v>
      </c>
    </row>
    <row r="8874" spans="1:4">
      <c r="A8874" s="7">
        <f ca="1">IFERROR(__xludf.DUMMYFUNCTION("""COMPUTED_VALUE"""),44727)</f>
        <v>44727</v>
      </c>
      <c r="B8874" s="6" t="str">
        <f ca="1">IFERROR(__xludf.DUMMYFUNCTION("""COMPUTED_VALUE"""),"-33.8018710,-70.7928936")</f>
        <v>-33.8018710,-70.7928936</v>
      </c>
      <c r="C8874" s="6" t="str">
        <f ca="1">IFERROR(__xludf.DUMMYFUNCTION("""COMPUTED_VALUE"""),"LOMA DEL AGUILA P1")</f>
        <v>LOMA DEL AGUILA P1</v>
      </c>
      <c r="D8874" s="6" t="str">
        <f ca="1">IFERROR(__xludf.DUMMYFUNCTION("""COMPUTED_VALUE"""),"PAINE")</f>
        <v>PAINE</v>
      </c>
    </row>
    <row r="8875" spans="1:4">
      <c r="A8875" s="7">
        <f ca="1">IFERROR(__xludf.DUMMYFUNCTION("""COMPUTED_VALUE"""),44727)</f>
        <v>44727</v>
      </c>
      <c r="B8875" s="6" t="str">
        <f ca="1">IFERROR(__xludf.DUMMYFUNCTION("""COMPUTED_VALUE"""),"-33.8105411,-70.7365704")</f>
        <v>-33.8105411,-70.7365704</v>
      </c>
      <c r="C8875" s="6" t="str">
        <f ca="1">IFERROR(__xludf.DUMMYFUNCTION("""COMPUTED_VALUE"""),"BERNARDO O'HIGGINS 687")</f>
        <v>BERNARDO O'HIGGINS 687</v>
      </c>
      <c r="D8875" s="6" t="str">
        <f ca="1">IFERROR(__xludf.DUMMYFUNCTION("""COMPUTED_VALUE"""),"PAINE")</f>
        <v>PAINE</v>
      </c>
    </row>
    <row r="8876" spans="1:4">
      <c r="A8876" s="7">
        <f ca="1">IFERROR(__xludf.DUMMYFUNCTION("""COMPUTED_VALUE"""),44727)</f>
        <v>44727</v>
      </c>
      <c r="B8876" s="6" t="str">
        <f ca="1">IFERROR(__xludf.DUMMYFUNCTION("""COMPUTED_VALUE"""),"-33.8041114,-70.7395787")</f>
        <v>-33.8041114,-70.7395787</v>
      </c>
      <c r="C8876" s="6" t="str">
        <f ca="1">IFERROR(__xludf.DUMMYFUNCTION("""COMPUTED_VALUE"""),"PASAJE A BLACK 125")</f>
        <v>PASAJE A BLACK 125</v>
      </c>
      <c r="D8876" s="6" t="str">
        <f ca="1">IFERROR(__xludf.DUMMYFUNCTION("""COMPUTED_VALUE"""),"PAINE")</f>
        <v>PAINE</v>
      </c>
    </row>
    <row r="8877" spans="1:4">
      <c r="A8877" s="7">
        <f ca="1">IFERROR(__xludf.DUMMYFUNCTION("""COMPUTED_VALUE"""),44728)</f>
        <v>44728</v>
      </c>
      <c r="B8877" s="8" t="str">
        <f ca="1">IFERROR(__xludf.DUMMYFUNCTION("""COMPUTED_VALUE"""),"-33.8055508, -70.7296835")</f>
        <v>-33.8055508, -70.7296835</v>
      </c>
      <c r="C8877" s="6" t="str">
        <f ca="1">IFERROR(__xludf.DUMMYFUNCTION("""COMPUTED_VALUE"""),"EL ROBLE 525")</f>
        <v>EL ROBLE 525</v>
      </c>
      <c r="D8877" s="6" t="str">
        <f ca="1">IFERROR(__xludf.DUMMYFUNCTION("""COMPUTED_VALUE"""),"PAINE")</f>
        <v>PAINE</v>
      </c>
    </row>
    <row r="8878" spans="1:4">
      <c r="A8878" s="7">
        <f ca="1">IFERROR(__xludf.DUMMYFUNCTION("""COMPUTED_VALUE"""),44728)</f>
        <v>44728</v>
      </c>
      <c r="B8878" s="8" t="str">
        <f ca="1">IFERROR(__xludf.DUMMYFUNCTION("""COMPUTED_VALUE"""),"-33.8010929, -70.7122234")</f>
        <v>-33.8010929, -70.7122234</v>
      </c>
      <c r="C8878" s="6" t="str">
        <f ca="1">IFERROR(__xludf.DUMMYFUNCTION("""COMPUTED_VALUE"""),"PAULA JARAQUEMADA 52")</f>
        <v>PAULA JARAQUEMADA 52</v>
      </c>
      <c r="D8878" s="6" t="str">
        <f ca="1">IFERROR(__xludf.DUMMYFUNCTION("""COMPUTED_VALUE"""),"PAINE")</f>
        <v>PAINE</v>
      </c>
    </row>
    <row r="8879" spans="1:4">
      <c r="A8879" s="7">
        <f ca="1">IFERROR(__xludf.DUMMYFUNCTION("""COMPUTED_VALUE"""),44728)</f>
        <v>44728</v>
      </c>
      <c r="B8879" s="6" t="str">
        <f ca="1">IFERROR(__xludf.DUMMYFUNCTION("""COMPUTED_VALUE"""),"-33.80637-70.733390")</f>
        <v>-33.80637-70.733390</v>
      </c>
      <c r="C8879" s="6" t="str">
        <f ca="1">IFERROR(__xludf.DUMMYFUNCTION("""COMPUTED_VALUE"""),"PJE EL LITRE 460")</f>
        <v>PJE EL LITRE 460</v>
      </c>
      <c r="D8879" s="6" t="str">
        <f ca="1">IFERROR(__xludf.DUMMYFUNCTION("""COMPUTED_VALUE"""),"PAINE")</f>
        <v>PAINE</v>
      </c>
    </row>
    <row r="8880" spans="1:4">
      <c r="A8880" s="7">
        <f ca="1">IFERROR(__xludf.DUMMYFUNCTION("""COMPUTED_VALUE"""),44728)</f>
        <v>44728</v>
      </c>
      <c r="B8880" s="6" t="str">
        <f ca="1">IFERROR(__xludf.DUMMYFUNCTION("""COMPUTED_VALUE"""),"-33.68312-70.91857")</f>
        <v>-33.68312-70.91857</v>
      </c>
      <c r="C8880" s="6" t="str">
        <f ca="1">IFERROR(__xludf.DUMMYFUNCTION("""COMPUTED_VALUE"""),"SANTA BLANCA 328")</f>
        <v>SANTA BLANCA 328</v>
      </c>
      <c r="D8880" s="6" t="str">
        <f ca="1">IFERROR(__xludf.DUMMYFUNCTION("""COMPUTED_VALUE"""),"TALAGANTE")</f>
        <v>TALAGANTE</v>
      </c>
    </row>
    <row r="8881" spans="1:4">
      <c r="A8881" s="7">
        <f ca="1">IFERROR(__xludf.DUMMYFUNCTION("""COMPUTED_VALUE"""),44728)</f>
        <v>44728</v>
      </c>
      <c r="B8881" s="6" t="str">
        <f ca="1">IFERROR(__xludf.DUMMYFUNCTION("""COMPUTED_VALUE"""),"-33.737363-70.761824")</f>
        <v>-33.737363-70.761824</v>
      </c>
      <c r="C8881" s="6" t="str">
        <f ca="1">IFERROR(__xludf.DUMMYFUNCTION("""COMPUTED_VALUE"""),"AMADOR SANCHEZ 81")</f>
        <v>AMADOR SANCHEZ 81</v>
      </c>
      <c r="D8881" s="6" t="str">
        <f ca="1">IFERROR(__xludf.DUMMYFUNCTION("""COMPUTED_VALUE"""),"BUIN")</f>
        <v>BUIN</v>
      </c>
    </row>
    <row r="8882" spans="1:4">
      <c r="A8882" s="7">
        <f ca="1">IFERROR(__xludf.DUMMYFUNCTION("""COMPUTED_VALUE"""),44728)</f>
        <v>44728</v>
      </c>
      <c r="B8882" s="6" t="str">
        <f ca="1">IFERROR(__xludf.DUMMYFUNCTION("""COMPUTED_VALUE"""),"-33.7834285-70.8221603")</f>
        <v>-33.7834285-70.8221603</v>
      </c>
      <c r="C8882" s="6" t="str">
        <f ca="1">IFERROR(__xludf.DUMMYFUNCTION("""COMPUTED_VALUE"""),"SIN CALLE S/N")</f>
        <v>SIN CALLE S/N</v>
      </c>
      <c r="D8882" s="6" t="str">
        <f ca="1">IFERROR(__xludf.DUMMYFUNCTION("""COMPUTED_VALUE"""),"BUIN")</f>
        <v>BUIN</v>
      </c>
    </row>
    <row r="8883" spans="1:4">
      <c r="A8883" s="7">
        <f ca="1">IFERROR(__xludf.DUMMYFUNCTION("""COMPUTED_VALUE"""),44728)</f>
        <v>44728</v>
      </c>
      <c r="B8883" s="6" t="str">
        <f ca="1">IFERROR(__xludf.DUMMYFUNCTION("""COMPUTED_VALUE"""),"-33.571918-70.805636")</f>
        <v>-33.571918-70.805636</v>
      </c>
      <c r="C8883" s="6" t="str">
        <f ca="1">IFERROR(__xludf.DUMMYFUNCTION("""COMPUTED_VALUE"""),"SAN LUCAS 1831")</f>
        <v>SAN LUCAS 1831</v>
      </c>
      <c r="D8883" s="6" t="str">
        <f ca="1">IFERROR(__xludf.DUMMYFUNCTION("""COMPUTED_VALUE"""),"PADRE HURTADO")</f>
        <v>PADRE HURTADO</v>
      </c>
    </row>
    <row r="8884" spans="1:4">
      <c r="A8884" s="7">
        <f ca="1">IFERROR(__xludf.DUMMYFUNCTION("""COMPUTED_VALUE"""),44728)</f>
        <v>44728</v>
      </c>
      <c r="B8884" s="6" t="str">
        <f ca="1">IFERROR(__xludf.DUMMYFUNCTION("""COMPUTED_VALUE"""),"-33.592015-70.840640")</f>
        <v>-33.592015-70.840640</v>
      </c>
      <c r="C8884" s="6" t="str">
        <f ca="1">IFERROR(__xludf.DUMMYFUNCTION("""COMPUTED_VALUE"""),"CAMINO A MELIPILLA S/N")</f>
        <v>CAMINO A MELIPILLA S/N</v>
      </c>
      <c r="D8884" s="6" t="str">
        <f ca="1">IFERROR(__xludf.DUMMYFUNCTION("""COMPUTED_VALUE"""),"PEÑAFLOR")</f>
        <v>PEÑAFLOR</v>
      </c>
    </row>
    <row r="8885" spans="1:4">
      <c r="A8885" s="7">
        <f ca="1">IFERROR(__xludf.DUMMYFUNCTION("""COMPUTED_VALUE"""),44728)</f>
        <v>44728</v>
      </c>
      <c r="B8885" s="8" t="str">
        <f ca="1">IFERROR(__xludf.DUMMYFUNCTION("""COMPUTED_VALUE"""),"-33.621440,-71.249387")</f>
        <v>-33.621440,-71.249387</v>
      </c>
      <c r="C8885" s="6" t="str">
        <f ca="1">IFERROR(__xludf.DUMMYFUNCTION("""COMPUTED_VALUE"""),"VILLA ALEGRA PC.14")</f>
        <v>VILLA ALEGRA PC.14</v>
      </c>
      <c r="D8885" s="6" t="str">
        <f ca="1">IFERROR(__xludf.DUMMYFUNCTION("""COMPUTED_VALUE"""),"MELIPILLA")</f>
        <v>MELIPILLA</v>
      </c>
    </row>
    <row r="8886" spans="1:4">
      <c r="A8886" s="7">
        <f ca="1">IFERROR(__xludf.DUMMYFUNCTION("""COMPUTED_VALUE"""),44728)</f>
        <v>44728</v>
      </c>
      <c r="B8886" s="8" t="str">
        <f ca="1">IFERROR(__xludf.DUMMYFUNCTION("""COMPUTED_VALUE"""),"-33.674657,-71.174581")</f>
        <v>-33.674657,-71.174581</v>
      </c>
      <c r="C8886" s="6" t="str">
        <f ca="1">IFERROR(__xludf.DUMMYFUNCTION("""COMPUTED_VALUE"""),"DINAMARCA 2079")</f>
        <v>DINAMARCA 2079</v>
      </c>
      <c r="D8886" s="6" t="str">
        <f ca="1">IFERROR(__xludf.DUMMYFUNCTION("""COMPUTED_VALUE"""),"MELIPILLA")</f>
        <v>MELIPILLA</v>
      </c>
    </row>
    <row r="8887" spans="1:4">
      <c r="A8887" s="7">
        <f ca="1">IFERROR(__xludf.DUMMYFUNCTION("""COMPUTED_VALUE"""),44728)</f>
        <v>44728</v>
      </c>
      <c r="B8887" s="6" t="str">
        <f ca="1">IFERROR(__xludf.DUMMYFUNCTION("""COMPUTED_VALUE"""),"-33.722023,-70.854082")</f>
        <v>-33.722023,-70.854082</v>
      </c>
      <c r="C8887" s="6" t="str">
        <f ca="1">IFERROR(__xludf.DUMMYFUNCTION("""COMPUTED_VALUE"""),"BALMACEDA 7878")</f>
        <v>BALMACEDA 7878</v>
      </c>
      <c r="D8887" s="6" t="str">
        <f ca="1">IFERROR(__xludf.DUMMYFUNCTION("""COMPUTED_VALUE"""),"TALAGANTE")</f>
        <v>TALAGANTE</v>
      </c>
    </row>
    <row r="8888" spans="1:4">
      <c r="A8888" s="7">
        <f ca="1">IFERROR(__xludf.DUMMYFUNCTION("""COMPUTED_VALUE"""),44728)</f>
        <v>44728</v>
      </c>
      <c r="B8888" s="6" t="str">
        <f ca="1">IFERROR(__xludf.DUMMYFUNCTION("""COMPUTED_VALUE"""),"-33.679913,-71.227987")</f>
        <v>-33.679913,-71.227987</v>
      </c>
      <c r="C8888" s="6" t="str">
        <f ca="1">IFERROR(__xludf.DUMMYFUNCTION("""COMPUTED_VALUE"""),"LOS CIPRESES 30 LA FORESTA")</f>
        <v>LOS CIPRESES 30 LA FORESTA</v>
      </c>
      <c r="D8888" s="6" t="str">
        <f ca="1">IFERROR(__xludf.DUMMYFUNCTION("""COMPUTED_VALUE"""),"MELIPILLA")</f>
        <v>MELIPILLA</v>
      </c>
    </row>
    <row r="8889" spans="1:4">
      <c r="A8889" s="7">
        <f ca="1">IFERROR(__xludf.DUMMYFUNCTION("""COMPUTED_VALUE"""),44728)</f>
        <v>44728</v>
      </c>
      <c r="B8889" s="6" t="str">
        <f ca="1">IFERROR(__xludf.DUMMYFUNCTION("""COMPUTED_VALUE"""),"-33.326773,-70.781766")</f>
        <v>-33.326773,-70.781766</v>
      </c>
      <c r="C8889" s="6" t="str">
        <f ca="1">IFERROR(__xludf.DUMMYFUNCTION("""COMPUTED_VALUE"""),"EL CARMEN LOTE 14 SITIO 14 LOS BAJOS A CALERA DE TANGO")</f>
        <v>EL CARMEN LOTE 14 SITIO 14 LOS BAJOS A CALERA DE TANGO</v>
      </c>
      <c r="D8889" s="6" t="str">
        <f ca="1">IFERROR(__xludf.DUMMYFUNCTION("""COMPUTED_VALUE"""),"CALERA DE TANGO")</f>
        <v>CALERA DE TANGO</v>
      </c>
    </row>
    <row r="8890" spans="1:4">
      <c r="A8890" s="7">
        <f ca="1">IFERROR(__xludf.DUMMYFUNCTION("""COMPUTED_VALUE"""),44728)</f>
        <v>44728</v>
      </c>
      <c r="B8890" s="8" t="str">
        <f ca="1">IFERROR(__xludf.DUMMYFUNCTION("""COMPUTED_VALUE"""),"-33.807496,-70.733153")</f>
        <v>-33.807496,-70.733153</v>
      </c>
      <c r="C8890" s="6" t="str">
        <f ca="1">IFERROR(__xludf.DUMMYFUNCTION("""COMPUTED_VALUE"""),"AV. 18 DE SEPTIEMBRE 615")</f>
        <v>AV. 18 DE SEPTIEMBRE 615</v>
      </c>
      <c r="D8890" s="6" t="str">
        <f ca="1">IFERROR(__xludf.DUMMYFUNCTION("""COMPUTED_VALUE"""),"PAINE")</f>
        <v>PAINE</v>
      </c>
    </row>
    <row r="8891" spans="1:4">
      <c r="A8891" s="7">
        <f ca="1">IFERROR(__xludf.DUMMYFUNCTION("""COMPUTED_VALUE"""),44728)</f>
        <v>44728</v>
      </c>
      <c r="B8891" s="8" t="str">
        <f ca="1">IFERROR(__xludf.DUMMYFUNCTION("""COMPUTED_VALUE"""),"-33.820506,-71.326060")</f>
        <v>-33.820506,-71.326060</v>
      </c>
      <c r="C8891" s="6" t="str">
        <f ca="1">IFERROR(__xludf.DUMMYFUNCTION("""COMPUTED_VALUE"""),"LAS CODORNICES 18-A")</f>
        <v>LAS CODORNICES 18-A</v>
      </c>
      <c r="D8891" s="6" t="str">
        <f ca="1">IFERROR(__xludf.DUMMYFUNCTION("""COMPUTED_VALUE"""),"MELIPILLA")</f>
        <v>MELIPILLA</v>
      </c>
    </row>
    <row r="8892" spans="1:4">
      <c r="A8892" s="7">
        <f ca="1">IFERROR(__xludf.DUMMYFUNCTION("""COMPUTED_VALUE"""),44728)</f>
        <v>44728</v>
      </c>
      <c r="B8892" s="6" t="str">
        <f ca="1">IFERROR(__xludf.DUMMYFUNCTION("""COMPUTED_VALUE"""),"-33.704480,-70.677059")</f>
        <v>-33.704480,-70.677059</v>
      </c>
      <c r="C8892" s="6" t="str">
        <f ca="1">IFERROR(__xludf.DUMMYFUNCTION("""COMPUTED_VALUE"""),"CO. ALTO JAHUEL 2774")</f>
        <v>CO. ALTO JAHUEL 2774</v>
      </c>
      <c r="D8892" s="6" t="str">
        <f ca="1">IFERROR(__xludf.DUMMYFUNCTION("""COMPUTED_VALUE"""),"BUIN")</f>
        <v>BUIN</v>
      </c>
    </row>
    <row r="8893" spans="1:4">
      <c r="A8893" s="7">
        <f ca="1">IFERROR(__xludf.DUMMYFUNCTION("""COMPUTED_VALUE"""),44728)</f>
        <v>44728</v>
      </c>
      <c r="B8893" s="6" t="str">
        <f ca="1">IFERROR(__xludf.DUMMYFUNCTION("""COMPUTED_VALUE"""),"-33.775786,-70.797276")</f>
        <v>-33.775786,-70.797276</v>
      </c>
      <c r="C8893" s="6" t="str">
        <f ca="1">IFERROR(__xludf.DUMMYFUNCTION("""COMPUTED_VALUE"""),"CAMINO MAIP VILUCO 980")</f>
        <v>CAMINO MAIP VILUCO 980</v>
      </c>
      <c r="D8893" s="6" t="str">
        <f ca="1">IFERROR(__xludf.DUMMYFUNCTION("""COMPUTED_VALUE"""),"BUIN")</f>
        <v>BUIN</v>
      </c>
    </row>
    <row r="8894" spans="1:4">
      <c r="A8894" s="7">
        <f ca="1">IFERROR(__xludf.DUMMYFUNCTION("""COMPUTED_VALUE"""),44728)</f>
        <v>44728</v>
      </c>
      <c r="B8894" s="6" t="str">
        <f ca="1">IFERROR(__xludf.DUMMYFUNCTION("""COMPUTED_VALUE"""),"-33.693654,-70.705143")</f>
        <v>-33.693654,-70.705143</v>
      </c>
      <c r="C8894" s="6" t="str">
        <f ca="1">IFERROR(__xludf.DUMMYFUNCTION("""COMPUTED_VALUE"""),"EL RECURSO 10")</f>
        <v>EL RECURSO 10</v>
      </c>
      <c r="D8894" s="6" t="str">
        <f ca="1">IFERROR(__xludf.DUMMYFUNCTION("""COMPUTED_VALUE"""),"BUIN")</f>
        <v>BUIN</v>
      </c>
    </row>
    <row r="8895" spans="1:4">
      <c r="A8895" s="7">
        <f ca="1">IFERROR(__xludf.DUMMYFUNCTION("""COMPUTED_VALUE"""),44728)</f>
        <v>44728</v>
      </c>
      <c r="B8895" s="6" t="str">
        <f ca="1">IFERROR(__xludf.DUMMYFUNCTION("""COMPUTED_VALUE"""),"-33.731783,-70.756234")</f>
        <v>-33.731783,-70.756234</v>
      </c>
      <c r="C8895" s="6" t="str">
        <f ca="1">IFERROR(__xludf.DUMMYFUNCTION("""COMPUTED_VALUE"""),"LO SALINAS 402")</f>
        <v>LO SALINAS 402</v>
      </c>
      <c r="D8895" s="6" t="str">
        <f ca="1">IFERROR(__xludf.DUMMYFUNCTION("""COMPUTED_VALUE"""),"BUIN")</f>
        <v>BUIN</v>
      </c>
    </row>
    <row r="8896" spans="1:4">
      <c r="A8896" s="7">
        <f ca="1">IFERROR(__xludf.DUMMYFUNCTION("""COMPUTED_VALUE"""),44728)</f>
        <v>44728</v>
      </c>
      <c r="B8896" s="6" t="str">
        <f ca="1">IFERROR(__xludf.DUMMYFUNCTION("""COMPUTED_VALUE"""),"-33.873685,-70.745045")</f>
        <v>-33.873685,-70.745045</v>
      </c>
      <c r="C8896" s="6" t="str">
        <f ca="1">IFERROR(__xludf.DUMMYFUNCTION("""COMPUTED_VALUE"""),"EL PORVENIR 42")</f>
        <v>EL PORVENIR 42</v>
      </c>
      <c r="D8896" s="6" t="str">
        <f ca="1">IFERROR(__xludf.DUMMYFUNCTION("""COMPUTED_VALUE"""),"PAINE")</f>
        <v>PAINE</v>
      </c>
    </row>
    <row r="8897" spans="1:4">
      <c r="A8897" s="7">
        <f ca="1">IFERROR(__xludf.DUMMYFUNCTION("""COMPUTED_VALUE"""),44728)</f>
        <v>44728</v>
      </c>
      <c r="B8897" s="6" t="str">
        <f ca="1">IFERROR(__xludf.DUMMYFUNCTION("""COMPUTED_VALUE"""),"-33.821103,-70.736745")</f>
        <v>-33.821103,-70.736745</v>
      </c>
      <c r="C8897" s="6" t="str">
        <f ca="1">IFERROR(__xludf.DUMMYFUNCTION("""COMPUTED_VALUE"""),"LOS HEROES 1595")</f>
        <v>LOS HEROES 1595</v>
      </c>
      <c r="D8897" s="6" t="str">
        <f ca="1">IFERROR(__xludf.DUMMYFUNCTION("""COMPUTED_VALUE"""),"PAINE")</f>
        <v>PAINE</v>
      </c>
    </row>
    <row r="8898" spans="1:4">
      <c r="A8898" s="7">
        <f ca="1">IFERROR(__xludf.DUMMYFUNCTION("""COMPUTED_VALUE"""),44728)</f>
        <v>44728</v>
      </c>
      <c r="B8898" s="6" t="str">
        <f ca="1">IFERROR(__xludf.DUMMYFUNCTION("""COMPUTED_VALUE"""),"-33.812047,-70.739817")</f>
        <v>-33.812047,-70.739817</v>
      </c>
      <c r="C8898" s="6" t="str">
        <f ca="1">IFERROR(__xludf.DUMMYFUNCTION("""COMPUTED_VALUE"""),"DOS ORIENTE 884")</f>
        <v>DOS ORIENTE 884</v>
      </c>
      <c r="D8898" s="6" t="str">
        <f ca="1">IFERROR(__xludf.DUMMYFUNCTION("""COMPUTED_VALUE"""),"PAINE")</f>
        <v>PAINE</v>
      </c>
    </row>
    <row r="8899" spans="1:4">
      <c r="A8899" s="7">
        <f ca="1">IFERROR(__xludf.DUMMYFUNCTION("""COMPUTED_VALUE"""),44728)</f>
        <v>44728</v>
      </c>
      <c r="B8899" s="6" t="str">
        <f ca="1">IFERROR(__xludf.DUMMYFUNCTION("""COMPUTED_VALUE"""),"-33.8053897,-70.7278263")</f>
        <v>-33.8053897,-70.7278263</v>
      </c>
      <c r="C8899" s="6" t="str">
        <f ca="1">IFERROR(__xludf.DUMMYFUNCTION("""COMPUTED_VALUE"""),"RIO CUTIPAY 168")</f>
        <v>RIO CUTIPAY 168</v>
      </c>
      <c r="D8899" s="6" t="str">
        <f ca="1">IFERROR(__xludf.DUMMYFUNCTION("""COMPUTED_VALUE"""),"PAINE")</f>
        <v>PAINE</v>
      </c>
    </row>
    <row r="8900" spans="1:4">
      <c r="A8900" s="7">
        <f ca="1">IFERROR(__xludf.DUMMYFUNCTION("""COMPUTED_VALUE"""),44728)</f>
        <v>44728</v>
      </c>
      <c r="B8900" s="6" t="str">
        <f ca="1">IFERROR(__xludf.DUMMYFUNCTION("""COMPUTED_VALUE"""),"-33.8183894,-70.7401986")</f>
        <v>-33.8183894,-70.7401986</v>
      </c>
      <c r="C8900" s="6" t="str">
        <f ca="1">IFERROR(__xludf.DUMMYFUNCTION("""COMPUTED_VALUE"""),"SAN VICENTE 243")</f>
        <v>SAN VICENTE 243</v>
      </c>
      <c r="D8900" s="6" t="str">
        <f ca="1">IFERROR(__xludf.DUMMYFUNCTION("""COMPUTED_VALUE"""),"PAINE")</f>
        <v>PAINE</v>
      </c>
    </row>
    <row r="8901" spans="1:4">
      <c r="A8901" s="7">
        <f ca="1">IFERROR(__xludf.DUMMYFUNCTION("""COMPUTED_VALUE"""),44728)</f>
        <v>44728</v>
      </c>
      <c r="B8901" s="6" t="str">
        <f ca="1">IFERROR(__xludf.DUMMYFUNCTION("""COMPUTED_VALUE"""),"-33.7936760,-70.7801152")</f>
        <v>-33.7936760,-70.7801152</v>
      </c>
      <c r="C8901" s="6" t="str">
        <f ca="1">IFERROR(__xludf.DUMMYFUNCTION("""COMPUTED_VALUE"""),"CAMINO PAINE LOGUE 4045")</f>
        <v>CAMINO PAINE LOGUE 4045</v>
      </c>
      <c r="D8901" s="6" t="str">
        <f ca="1">IFERROR(__xludf.DUMMYFUNCTION("""COMPUTED_VALUE"""),"PAINE")</f>
        <v>PAINE</v>
      </c>
    </row>
    <row r="8902" spans="1:4">
      <c r="A8902" s="7">
        <f ca="1">IFERROR(__xludf.DUMMYFUNCTION("""COMPUTED_VALUE"""),44728)</f>
        <v>44728</v>
      </c>
      <c r="B8902" s="6" t="str">
        <f ca="1">IFERROR(__xludf.DUMMYFUNCTION("""COMPUTED_VALUE"""),"-33.8038081,-70.7290300")</f>
        <v>-33.8038081,-70.7290300</v>
      </c>
      <c r="C8902" s="6" t="str">
        <f ca="1">IFERROR(__xludf.DUMMYFUNCTION("""COMPUTED_VALUE"""),"SAUL CARCAMO ROJAS 65")</f>
        <v>SAUL CARCAMO ROJAS 65</v>
      </c>
      <c r="D8902" s="6" t="str">
        <f ca="1">IFERROR(__xludf.DUMMYFUNCTION("""COMPUTED_VALUE"""),"PAINE")</f>
        <v>PAINE</v>
      </c>
    </row>
    <row r="8903" spans="1:4">
      <c r="A8903" s="7">
        <f ca="1">IFERROR(__xludf.DUMMYFUNCTION("""COMPUTED_VALUE"""),44729)</f>
        <v>44729</v>
      </c>
      <c r="B8903" s="8" t="str">
        <f ca="1">IFERROR(__xludf.DUMMYFUNCTION("""COMPUTED_VALUE"""),"-33.7607551, -70.7381101")</f>
        <v>-33.7607551, -70.7381101</v>
      </c>
      <c r="C8903" s="6" t="str">
        <f ca="1">IFERROR(__xludf.DUMMYFUNCTION("""COMPUTED_VALUE"""),"LAS CAMELIAS 2375")</f>
        <v>LAS CAMELIAS 2375</v>
      </c>
      <c r="D8903" s="6" t="str">
        <f ca="1">IFERROR(__xludf.DUMMYFUNCTION("""COMPUTED_VALUE"""),"BUIN")</f>
        <v>BUIN</v>
      </c>
    </row>
    <row r="8904" spans="1:4">
      <c r="A8904" s="7">
        <f ca="1">IFERROR(__xludf.DUMMYFUNCTION("""COMPUTED_VALUE"""),44729)</f>
        <v>44729</v>
      </c>
      <c r="B8904" s="8" t="str">
        <f ca="1">IFERROR(__xludf.DUMMYFUNCTION("""COMPUTED_VALUE"""),"-33.7606226, -70.7381429")</f>
        <v>-33.7606226, -70.7381429</v>
      </c>
      <c r="C8904" s="6" t="str">
        <f ca="1">IFERROR(__xludf.DUMMYFUNCTION("""COMPUTED_VALUE"""),"LAS CAMELIAS  2354")</f>
        <v>LAS CAMELIAS  2354</v>
      </c>
      <c r="D8904" s="6" t="str">
        <f ca="1">IFERROR(__xludf.DUMMYFUNCTION("""COMPUTED_VALUE"""),"BUIN")</f>
        <v>BUIN</v>
      </c>
    </row>
    <row r="8905" spans="1:4">
      <c r="A8905" s="7">
        <f ca="1">IFERROR(__xludf.DUMMYFUNCTION("""COMPUTED_VALUE"""),44729)</f>
        <v>44729</v>
      </c>
      <c r="B8905" s="8" t="str">
        <f ca="1">IFERROR(__xludf.DUMMYFUNCTION("""COMPUTED_VALUE"""),"-33.5551238, -70.5808981")</f>
        <v>-33.5551238, -70.5808981</v>
      </c>
      <c r="C8905" s="6" t="str">
        <f ca="1">IFERROR(__xludf.DUMMYFUNCTION("""COMPUTED_VALUE"""),"KUYEN 917")</f>
        <v>KUYEN 917</v>
      </c>
      <c r="D8905" s="6" t="str">
        <f ca="1">IFERROR(__xludf.DUMMYFUNCTION("""COMPUTED_VALUE"""),"PAINE")</f>
        <v>PAINE</v>
      </c>
    </row>
    <row r="8906" spans="1:4">
      <c r="A8906" s="7">
        <f ca="1">IFERROR(__xludf.DUMMYFUNCTION("""COMPUTED_VALUE"""),44729)</f>
        <v>44729</v>
      </c>
      <c r="B8906" s="8" t="str">
        <f ca="1">IFERROR(__xludf.DUMMYFUNCTION("""COMPUTED_VALUE"""),"-33.6247377, -70.8785723")</f>
        <v>-33.6247377, -70.8785723</v>
      </c>
      <c r="C8906" s="6" t="str">
        <f ca="1">IFERROR(__xludf.DUMMYFUNCTION("""COMPUTED_VALUE"""),"AV BERLIN PARCELA 11")</f>
        <v>AV BERLIN PARCELA 11</v>
      </c>
      <c r="D8906" s="6" t="str">
        <f ca="1">IFERROR(__xludf.DUMMYFUNCTION("""COMPUTED_VALUE"""),"PEÑAFLOR")</f>
        <v>PEÑAFLOR</v>
      </c>
    </row>
    <row r="8907" spans="1:4">
      <c r="A8907" s="7">
        <f ca="1">IFERROR(__xludf.DUMMYFUNCTION("""COMPUTED_VALUE"""),44729)</f>
        <v>44729</v>
      </c>
      <c r="B8907" s="8" t="str">
        <f ca="1">IFERROR(__xludf.DUMMYFUNCTION("""COMPUTED_VALUE"""),"-33.6248393, -70.8782815")</f>
        <v>-33.6248393, -70.8782815</v>
      </c>
      <c r="C8907" s="6" t="str">
        <f ca="1">IFERROR(__xludf.DUMMYFUNCTION("""COMPUTED_VALUE"""),"AV BERLIN PARCELA 11")</f>
        <v>AV BERLIN PARCELA 11</v>
      </c>
      <c r="D8907" s="6" t="str">
        <f ca="1">IFERROR(__xludf.DUMMYFUNCTION("""COMPUTED_VALUE"""),"PEÑAFLOR")</f>
        <v>PEÑAFLOR</v>
      </c>
    </row>
    <row r="8908" spans="1:4">
      <c r="A8908" s="7">
        <f ca="1">IFERROR(__xludf.DUMMYFUNCTION("""COMPUTED_VALUE"""),44729)</f>
        <v>44729</v>
      </c>
      <c r="B8908" s="8" t="str">
        <f ca="1">IFERROR(__xludf.DUMMYFUNCTION("""COMPUTED_VALUE"""),"-33.6248393, -70.8782815")</f>
        <v>-33.6248393, -70.8782815</v>
      </c>
      <c r="C8908" s="6" t="str">
        <f ca="1">IFERROR(__xludf.DUMMYFUNCTION("""COMPUTED_VALUE"""),"QUEZADA 3181")</f>
        <v>QUEZADA 3181</v>
      </c>
      <c r="D8908" s="6" t="str">
        <f ca="1">IFERROR(__xludf.DUMMYFUNCTION("""COMPUTED_VALUE"""),"ISLA DE MAIPO")</f>
        <v>ISLA DE MAIPO</v>
      </c>
    </row>
    <row r="8909" spans="1:4">
      <c r="A8909" s="7">
        <f ca="1">IFERROR(__xludf.DUMMYFUNCTION("""COMPUTED_VALUE"""),44729)</f>
        <v>44729</v>
      </c>
      <c r="B8909" s="8" t="str">
        <f ca="1">IFERROR(__xludf.DUMMYFUNCTION("""COMPUTED_VALUE"""),"-33.8044, -70.7357704")</f>
        <v>-33.8044, -70.7357704</v>
      </c>
      <c r="C8909" s="6" t="str">
        <f ca="1">IFERROR(__xludf.DUMMYFUNCTION("""COMPUTED_VALUE"""),"LOS ALERCES 345")</f>
        <v>LOS ALERCES 345</v>
      </c>
      <c r="D8909" s="6" t="str">
        <f ca="1">IFERROR(__xludf.DUMMYFUNCTION("""COMPUTED_VALUE"""),"PAINE")</f>
        <v>PAINE</v>
      </c>
    </row>
    <row r="8910" spans="1:4">
      <c r="A8910" s="7">
        <f ca="1">IFERROR(__xludf.DUMMYFUNCTION("""COMPUTED_VALUE"""),44729)</f>
        <v>44729</v>
      </c>
      <c r="B8910" s="8" t="str">
        <f ca="1">IFERROR(__xludf.DUMMYFUNCTION("""COMPUTED_VALUE"""),"-33.8551769, -70.7605992")</f>
        <v>-33.8551769, -70.7605992</v>
      </c>
      <c r="C8910" s="6" t="str">
        <f ca="1">IFERROR(__xludf.DUMMYFUNCTION("""COMPUTED_VALUE"""),"SAN FRANCISCO 3")</f>
        <v>SAN FRANCISCO 3</v>
      </c>
      <c r="D8910" s="6" t="str">
        <f ca="1">IFERROR(__xludf.DUMMYFUNCTION("""COMPUTED_VALUE"""),"PAINE")</f>
        <v>PAINE</v>
      </c>
    </row>
    <row r="8911" spans="1:4">
      <c r="A8911" s="7">
        <f ca="1">IFERROR(__xludf.DUMMYFUNCTION("""COMPUTED_VALUE"""),44729)</f>
        <v>44729</v>
      </c>
      <c r="B8911" s="6" t="str">
        <f ca="1">IFERROR(__xludf.DUMMYFUNCTION("""COMPUTED_VALUE"""),"-33.875928-70.756284")</f>
        <v>-33.875928-70.756284</v>
      </c>
      <c r="C8911" s="6" t="str">
        <f ca="1">IFERROR(__xludf.DUMMYFUNCTION("""COMPUTED_VALUE"""),"AGUILA NORTE 9")</f>
        <v>AGUILA NORTE 9</v>
      </c>
      <c r="D8911" s="6" t="str">
        <f ca="1">IFERROR(__xludf.DUMMYFUNCTION("""COMPUTED_VALUE"""),"PAINE")</f>
        <v>PAINE</v>
      </c>
    </row>
    <row r="8912" spans="1:4">
      <c r="A8912" s="7">
        <f ca="1">IFERROR(__xludf.DUMMYFUNCTION("""COMPUTED_VALUE"""),44729)</f>
        <v>44729</v>
      </c>
      <c r="B8912" s="6" t="str">
        <f ca="1">IFERROR(__xludf.DUMMYFUNCTION("""COMPUTED_VALUE"""),"-33.60597-70.88347")</f>
        <v>-33.60597-70.88347</v>
      </c>
      <c r="C8912" s="6" t="str">
        <f ca="1">IFERROR(__xludf.DUMMYFUNCTION("""COMPUTED_VALUE"""),"PJE LAS TAGUAS 2562")</f>
        <v>PJE LAS TAGUAS 2562</v>
      </c>
      <c r="D8912" s="6" t="str">
        <f ca="1">IFERROR(__xludf.DUMMYFUNCTION("""COMPUTED_VALUE"""),"PEÑAFLOR")</f>
        <v>PEÑAFLOR</v>
      </c>
    </row>
    <row r="8913" spans="1:4">
      <c r="A8913" s="7">
        <f ca="1">IFERROR(__xludf.DUMMYFUNCTION("""COMPUTED_VALUE"""),44729)</f>
        <v>44729</v>
      </c>
      <c r="B8913" s="6" t="str">
        <f ca="1">IFERROR(__xludf.DUMMYFUNCTION("""COMPUTED_VALUE"""),"-33.60517-70.91297")</f>
        <v>-33.60517-70.91297</v>
      </c>
      <c r="C8913" s="6" t="str">
        <f ca="1">IFERROR(__xludf.DUMMYFUNCTION("""COMPUTED_VALUE"""),"CAMINO MALLARAUCO P 24")</f>
        <v>CAMINO MALLARAUCO P 24</v>
      </c>
      <c r="D8913" s="6" t="str">
        <f ca="1">IFERROR(__xludf.DUMMYFUNCTION("""COMPUTED_VALUE"""),"PEÑAFLOR")</f>
        <v>PEÑAFLOR</v>
      </c>
    </row>
    <row r="8914" spans="1:4">
      <c r="A8914" s="7">
        <f ca="1">IFERROR(__xludf.DUMMYFUNCTION("""COMPUTED_VALUE"""),44729)</f>
        <v>44729</v>
      </c>
      <c r="B8914" s="8" t="str">
        <f ca="1">IFERROR(__xludf.DUMMYFUNCTION("""COMPUTED_VALUE"""),"-33.183264,-70.707154")</f>
        <v>-33.183264,-70.707154</v>
      </c>
      <c r="C8914" s="6" t="str">
        <f ca="1">IFERROR(__xludf.DUMMYFUNCTION("""COMPUTED_VALUE"""),"REINA NORTE 38")</f>
        <v>REINA NORTE 38</v>
      </c>
      <c r="D8914" s="6" t="str">
        <f ca="1">IFERROR(__xludf.DUMMYFUNCTION("""COMPUTED_VALUE"""),"COLINA")</f>
        <v>COLINA</v>
      </c>
    </row>
    <row r="8915" spans="1:4">
      <c r="A8915" s="7">
        <f ca="1">IFERROR(__xludf.DUMMYFUNCTION("""COMPUTED_VALUE"""),44729)</f>
        <v>44729</v>
      </c>
      <c r="B8915" s="8" t="str">
        <f ca="1">IFERROR(__xludf.DUMMYFUNCTION("""COMPUTED_VALUE"""),"-33.217597,-70.683723")</f>
        <v>-33.217597,-70.683723</v>
      </c>
      <c r="C8915" s="6" t="str">
        <f ca="1">IFERROR(__xludf.DUMMYFUNCTION("""COMPUTED_VALUE"""),"AV.LOS ALAMOS 113")</f>
        <v>AV.LOS ALAMOS 113</v>
      </c>
      <c r="D8915" s="6" t="str">
        <f ca="1">IFERROR(__xludf.DUMMYFUNCTION("""COMPUTED_VALUE"""),"COLINA")</f>
        <v>COLINA</v>
      </c>
    </row>
    <row r="8916" spans="1:4">
      <c r="A8916" s="7">
        <f ca="1">IFERROR(__xludf.DUMMYFUNCTION("""COMPUTED_VALUE"""),44729)</f>
        <v>44729</v>
      </c>
      <c r="B8916" s="8" t="str">
        <f ca="1">IFERROR(__xludf.DUMMYFUNCTION("""COMPUTED_VALUE"""),"-33.210794,-70.690413")</f>
        <v>-33.210794,-70.690413</v>
      </c>
      <c r="C8916" s="6" t="str">
        <f ca="1">IFERROR(__xludf.DUMMYFUNCTION("""COMPUTED_VALUE"""),"LERGO 1017")</f>
        <v>LERGO 1017</v>
      </c>
      <c r="D8916" s="6" t="str">
        <f ca="1">IFERROR(__xludf.DUMMYFUNCTION("""COMPUTED_VALUE"""),"COLINA")</f>
        <v>COLINA</v>
      </c>
    </row>
    <row r="8917" spans="1:4">
      <c r="A8917" s="7">
        <f ca="1">IFERROR(__xludf.DUMMYFUNCTION("""COMPUTED_VALUE"""),44729)</f>
        <v>44729</v>
      </c>
      <c r="B8917" s="8" t="str">
        <f ca="1">IFERROR(__xludf.DUMMYFUNCTION("""COMPUTED_VALUE"""),"-33.709805,-70.555310")</f>
        <v>-33.709805,-70.555310</v>
      </c>
      <c r="C8917" s="6" t="str">
        <f ca="1">IFERROR(__xludf.DUMMYFUNCTION("""COMPUTED_VALUE"""),"CALLE NUEVA 43C")</f>
        <v>CALLE NUEVA 43C</v>
      </c>
      <c r="D8917" s="6" t="str">
        <f ca="1">IFERROR(__xludf.DUMMYFUNCTION("""COMPUTED_VALUE"""),"PIRQUE")</f>
        <v>PIRQUE</v>
      </c>
    </row>
    <row r="8918" spans="1:4">
      <c r="A8918" s="7">
        <f ca="1">IFERROR(__xludf.DUMMYFUNCTION("""COMPUTED_VALUE"""),44729)</f>
        <v>44729</v>
      </c>
      <c r="B8918" s="6" t="str">
        <f ca="1">IFERROR(__xludf.DUMMYFUNCTION("""COMPUTED_VALUE"""),"-33.746317,-70.746228")</f>
        <v>-33.746317,-70.746228</v>
      </c>
      <c r="C8918" s="6" t="str">
        <f ca="1">IFERROR(__xludf.DUMMYFUNCTION("""COMPUTED_VALUE"""),"PARROCO DAMIAN ACUNA 1331 CH LOTEO BUIN")</f>
        <v>PARROCO DAMIAN ACUNA 1331 CH LOTEO BUIN</v>
      </c>
      <c r="D8918" s="6" t="str">
        <f ca="1">IFERROR(__xludf.DUMMYFUNCTION("""COMPUTED_VALUE"""),"BUIN")</f>
        <v>BUIN</v>
      </c>
    </row>
    <row r="8919" spans="1:4">
      <c r="A8919" s="7">
        <f ca="1">IFERROR(__xludf.DUMMYFUNCTION("""COMPUTED_VALUE"""),44729)</f>
        <v>44729</v>
      </c>
      <c r="B8919" s="6" t="str">
        <f ca="1">IFERROR(__xludf.DUMMYFUNCTION("""COMPUTED_VALUE"""),"-33.743040,-70.870071")</f>
        <v>-33.743040,-70.870071</v>
      </c>
      <c r="C8919" s="6" t="str">
        <f ca="1">IFERROR(__xludf.DUMMYFUNCTION("""COMPUTED_VALUE"""),"MICHELLE BACHELET 484")</f>
        <v>MICHELLE BACHELET 484</v>
      </c>
      <c r="D8919" s="6" t="str">
        <f ca="1">IFERROR(__xludf.DUMMYFUNCTION("""COMPUTED_VALUE"""),"ISLA DE MAIPO")</f>
        <v>ISLA DE MAIPO</v>
      </c>
    </row>
    <row r="8920" spans="1:4">
      <c r="A8920" s="7">
        <f ca="1">IFERROR(__xludf.DUMMYFUNCTION("""COMPUTED_VALUE"""),44729)</f>
        <v>44729</v>
      </c>
      <c r="B8920" s="6" t="str">
        <f ca="1">IFERROR(__xludf.DUMMYFUNCTION("""COMPUTED_VALUE"""),"-33.747614,-70.895690")</f>
        <v>-33.747614,-70.895690</v>
      </c>
      <c r="C8920" s="6" t="str">
        <f ca="1">IFERROR(__xludf.DUMMYFUNCTION("""COMPUTED_VALUE"""),"NUEVA ESPERANZA 29")</f>
        <v>NUEVA ESPERANZA 29</v>
      </c>
      <c r="D8920" s="6" t="str">
        <f ca="1">IFERROR(__xludf.DUMMYFUNCTION("""COMPUTED_VALUE"""),"ISLA DE MAIPO")</f>
        <v>ISLA DE MAIPO</v>
      </c>
    </row>
    <row r="8921" spans="1:4">
      <c r="A8921" s="7">
        <f ca="1">IFERROR(__xludf.DUMMYFUNCTION("""COMPUTED_VALUE"""),44729)</f>
        <v>44729</v>
      </c>
      <c r="B8921" s="6" t="str">
        <f ca="1">IFERROR(__xludf.DUMMYFUNCTION("""COMPUTED_VALUE"""),"-33.629234,-71.232430")</f>
        <v>-33.629234,-71.232430</v>
      </c>
      <c r="C8921" s="6" t="str">
        <f ca="1">IFERROR(__xludf.DUMMYFUNCTION("""COMPUTED_VALUE"""),"RUMAY 3397 LOTE 10 C PC 10")</f>
        <v>RUMAY 3397 LOTE 10 C PC 10</v>
      </c>
      <c r="D8921" s="6" t="str">
        <f ca="1">IFERROR(__xludf.DUMMYFUNCTION("""COMPUTED_VALUE"""),"MELIPILLA")</f>
        <v>MELIPILLA</v>
      </c>
    </row>
    <row r="8922" spans="1:4">
      <c r="A8922" s="7">
        <f ca="1">IFERROR(__xludf.DUMMYFUNCTION("""COMPUTED_VALUE"""),44729)</f>
        <v>44729</v>
      </c>
      <c r="B8922" s="6" t="str">
        <f ca="1">IFERROR(__xludf.DUMMYFUNCTION("""COMPUTED_VALUE"""),"-33.711283,-70.738017")</f>
        <v>-33.711283,-70.738017</v>
      </c>
      <c r="C8922" s="6" t="str">
        <f ca="1">IFERROR(__xludf.DUMMYFUNCTION("""COMPUTED_VALUE"""),"CLEMENCIA SAZO ORIENTE 0413")</f>
        <v>CLEMENCIA SAZO ORIENTE 0413</v>
      </c>
      <c r="D8922" s="6" t="str">
        <f ca="1">IFERROR(__xludf.DUMMYFUNCTION("""COMPUTED_VALUE"""),"BUIN")</f>
        <v>BUIN</v>
      </c>
    </row>
    <row r="8923" spans="1:4">
      <c r="A8923" s="7">
        <f ca="1">IFERROR(__xludf.DUMMYFUNCTION("""COMPUTED_VALUE"""),44729)</f>
        <v>44729</v>
      </c>
      <c r="B8923" s="8" t="str">
        <f ca="1">IFERROR(__xludf.DUMMYFUNCTION("""COMPUTED_VALUE"""),"-33.676587,-71.205127")</f>
        <v>-33.676587,-71.205127</v>
      </c>
      <c r="C8923" s="6" t="str">
        <f ca="1">IFERROR(__xludf.DUMMYFUNCTION("""COMPUTED_VALUE"""),"EDUARDO ARANIS 436")</f>
        <v>EDUARDO ARANIS 436</v>
      </c>
      <c r="D8923" s="6" t="str">
        <f ca="1">IFERROR(__xludf.DUMMYFUNCTION("""COMPUTED_VALUE"""),"MELIPILLA")</f>
        <v>MELIPILLA</v>
      </c>
    </row>
    <row r="8924" spans="1:4">
      <c r="A8924" s="7">
        <f ca="1">IFERROR(__xludf.DUMMYFUNCTION("""COMPUTED_VALUE"""),44729)</f>
        <v>44729</v>
      </c>
      <c r="B8924" s="8" t="str">
        <f ca="1">IFERROR(__xludf.DUMMYFUNCTION("""COMPUTED_VALUE"""),"-33.683584,-71.200973")</f>
        <v>-33.683584,-71.200973</v>
      </c>
      <c r="C8924" s="6" t="str">
        <f ca="1">IFERROR(__xludf.DUMMYFUNCTION("""COMPUTED_VALUE"""),"PABLO NERUDA 0381")</f>
        <v>PABLO NERUDA 0381</v>
      </c>
      <c r="D8924" s="6" t="str">
        <f ca="1">IFERROR(__xludf.DUMMYFUNCTION("""COMPUTED_VALUE"""),"MELIPILLA")</f>
        <v>MELIPILLA</v>
      </c>
    </row>
    <row r="8925" spans="1:4">
      <c r="A8925" s="7">
        <f ca="1">IFERROR(__xludf.DUMMYFUNCTION("""COMPUTED_VALUE"""),44729)</f>
        <v>44729</v>
      </c>
      <c r="B8925" s="8" t="str">
        <f ca="1">IFERROR(__xludf.DUMMYFUNCTION("""COMPUTED_VALUE"""),"-33.215391,-70.838163")</f>
        <v>-33.215391,-70.838163</v>
      </c>
      <c r="C8925" s="6" t="str">
        <f ca="1">IFERROR(__xludf.DUMMYFUNCTION("""COMPUTED_VALUE"""),"LO FONTECILLA 96")</f>
        <v>LO FONTECILLA 96</v>
      </c>
      <c r="D8925" s="6" t="str">
        <f ca="1">IFERROR(__xludf.DUMMYFUNCTION("""COMPUTED_VALUE"""),"LAMPA")</f>
        <v>LAMPA</v>
      </c>
    </row>
    <row r="8926" spans="1:4">
      <c r="A8926" s="7">
        <f ca="1">IFERROR(__xludf.DUMMYFUNCTION("""COMPUTED_VALUE"""),44729)</f>
        <v>44729</v>
      </c>
      <c r="B8926" s="6" t="str">
        <f ca="1">IFERROR(__xludf.DUMMYFUNCTION("""COMPUTED_VALUE"""),"-33.733327,-70.750566")</f>
        <v>-33.733327,-70.750566</v>
      </c>
      <c r="C8926" s="6" t="str">
        <f ca="1">IFERROR(__xludf.DUMMYFUNCTION("""COMPUTED_VALUE"""),"PJE ECUADOR 447")</f>
        <v>PJE ECUADOR 447</v>
      </c>
      <c r="D8926" s="6" t="str">
        <f ca="1">IFERROR(__xludf.DUMMYFUNCTION("""COMPUTED_VALUE"""),"BUIN")</f>
        <v>BUIN</v>
      </c>
    </row>
    <row r="8927" spans="1:4">
      <c r="A8927" s="7">
        <f ca="1">IFERROR(__xludf.DUMMYFUNCTION("""COMPUTED_VALUE"""),44729)</f>
        <v>44729</v>
      </c>
      <c r="B8927" s="6" t="str">
        <f ca="1">IFERROR(__xludf.DUMMYFUNCTION("""COMPUTED_VALUE"""),"-33.772851,-70.741675")</f>
        <v>-33.772851,-70.741675</v>
      </c>
      <c r="C8927" s="6" t="str">
        <f ca="1">IFERROR(__xludf.DUMMYFUNCTION("""COMPUTED_VALUE"""),"VILLASECA 303 CASA 23")</f>
        <v>VILLASECA 303 CASA 23</v>
      </c>
      <c r="D8927" s="6" t="str">
        <f ca="1">IFERROR(__xludf.DUMMYFUNCTION("""COMPUTED_VALUE"""),"BUIN")</f>
        <v>BUIN</v>
      </c>
    </row>
    <row r="8928" spans="1:4">
      <c r="A8928" s="7">
        <f ca="1">IFERROR(__xludf.DUMMYFUNCTION("""COMPUTED_VALUE"""),44729)</f>
        <v>44729</v>
      </c>
      <c r="B8928" s="6" t="str">
        <f ca="1">IFERROR(__xludf.DUMMYFUNCTION("""COMPUTED_VALUE"""),"-33.885526,-70.752528")</f>
        <v>-33.885526,-70.752528</v>
      </c>
      <c r="C8928" s="6" t="str">
        <f ca="1">IFERROR(__xludf.DUMMYFUNCTION("""COMPUTED_VALUE"""),"AGUILA SUR P/9")</f>
        <v>AGUILA SUR P/9</v>
      </c>
      <c r="D8928" s="6" t="str">
        <f ca="1">IFERROR(__xludf.DUMMYFUNCTION("""COMPUTED_VALUE"""),"PAINE")</f>
        <v>PAINE</v>
      </c>
    </row>
    <row r="8929" spans="1:4">
      <c r="A8929" s="7">
        <f ca="1">IFERROR(__xludf.DUMMYFUNCTION("""COMPUTED_VALUE"""),44729)</f>
        <v>44729</v>
      </c>
      <c r="B8929" s="6" t="str">
        <f ca="1">IFERROR(__xludf.DUMMYFUNCTION("""COMPUTED_VALUE"""),"-33.752753,-70.737447")</f>
        <v>-33.752753,-70.737447</v>
      </c>
      <c r="C8929" s="6" t="str">
        <f ca="1">IFERROR(__xludf.DUMMYFUNCTION("""COMPUTED_VALUE"""),"AMERICA GARCIA MORADA 2600")</f>
        <v>AMERICA GARCIA MORADA 2600</v>
      </c>
      <c r="D8929" s="6" t="str">
        <f ca="1">IFERROR(__xludf.DUMMYFUNCTION("""COMPUTED_VALUE"""),"BUIN")</f>
        <v>BUIN</v>
      </c>
    </row>
    <row r="8930" spans="1:4">
      <c r="A8930" s="7">
        <f ca="1">IFERROR(__xludf.DUMMYFUNCTION("""COMPUTED_VALUE"""),44729)</f>
        <v>44729</v>
      </c>
      <c r="B8930" s="6" t="str">
        <f ca="1">IFERROR(__xludf.DUMMYFUNCTION("""COMPUTED_VALUE"""),"-33.805596, -70.733129")</f>
        <v>-33.805596, -70.733129</v>
      </c>
      <c r="C8930" s="6" t="str">
        <f ca="1">IFERROR(__xludf.DUMMYFUNCTION("""COMPUTED_VALUE"""),"PASAJE ARRAYAN 153")</f>
        <v>PASAJE ARRAYAN 153</v>
      </c>
      <c r="D8930" s="6" t="str">
        <f ca="1">IFERROR(__xludf.DUMMYFUNCTION("""COMPUTED_VALUE"""),"PAINE")</f>
        <v>PAINE</v>
      </c>
    </row>
    <row r="8931" spans="1:4">
      <c r="A8931" s="7">
        <f ca="1">IFERROR(__xludf.DUMMYFUNCTION("""COMPUTED_VALUE"""),44729)</f>
        <v>44729</v>
      </c>
      <c r="B8931" s="6" t="str">
        <f ca="1">IFERROR(__xludf.DUMMYFUNCTION("""COMPUTED_VALUE"""),"-33.80377789,-70.7405894")</f>
        <v>-33.80377789,-70.7405894</v>
      </c>
      <c r="C8931" s="6" t="str">
        <f ca="1">IFERROR(__xludf.DUMMYFUNCTION("""COMPUTED_VALUE"""),"CALLE 2, N°54")</f>
        <v>CALLE 2, N°54</v>
      </c>
      <c r="D8931" s="6" t="str">
        <f ca="1">IFERROR(__xludf.DUMMYFUNCTION("""COMPUTED_VALUE"""),"PAINE")</f>
        <v>PAINE</v>
      </c>
    </row>
    <row r="8932" spans="1:4">
      <c r="A8932" s="7">
        <f ca="1">IFERROR(__xludf.DUMMYFUNCTION("""COMPUTED_VALUE"""),44729)</f>
        <v>44729</v>
      </c>
      <c r="B8932" s="6" t="str">
        <f ca="1">IFERROR(__xludf.DUMMYFUNCTION("""COMPUTED_VALUE"""),"-33.7988574,-70.7681407")</f>
        <v>-33.7988574,-70.7681407</v>
      </c>
      <c r="C8932" s="6" t="str">
        <f ca="1">IFERROR(__xludf.DUMMYFUNCTION("""COMPUTED_VALUE"""),"VILUCO 475")</f>
        <v>VILUCO 475</v>
      </c>
      <c r="D8932" s="6" t="str">
        <f ca="1">IFERROR(__xludf.DUMMYFUNCTION("""COMPUTED_VALUE"""),"BUIN")</f>
        <v>BUIN</v>
      </c>
    </row>
    <row r="8933" spans="1:4">
      <c r="A8933" s="7">
        <f ca="1">IFERROR(__xludf.DUMMYFUNCTION("""COMPUTED_VALUE"""),44729)</f>
        <v>44729</v>
      </c>
      <c r="B8933" s="6" t="str">
        <f ca="1">IFERROR(__xludf.DUMMYFUNCTION("""COMPUTED_VALUE"""),"-33.7378285,-70.7387151")</f>
        <v>-33.7378285,-70.7387151</v>
      </c>
      <c r="C8933" s="6" t="str">
        <f ca="1">IFERROR(__xludf.DUMMYFUNCTION("""COMPUTED_VALUE"""),"RACIMONTE 691")</f>
        <v>RACIMONTE 691</v>
      </c>
      <c r="D8933" s="6" t="str">
        <f ca="1">IFERROR(__xludf.DUMMYFUNCTION("""COMPUTED_VALUE"""),"BUIN")</f>
        <v>BUIN</v>
      </c>
    </row>
    <row r="8934" spans="1:4">
      <c r="A8934" s="7">
        <f ca="1">IFERROR(__xludf.DUMMYFUNCTION("""COMPUTED_VALUE"""),44730)</f>
        <v>44730</v>
      </c>
      <c r="B8934" s="6" t="str">
        <f ca="1">IFERROR(__xludf.DUMMYFUNCTION("""COMPUTED_VALUE"""),"-33.7073130-70.9573881")</f>
        <v>-33.7073130-70.9573881</v>
      </c>
      <c r="C8934" s="6" t="str">
        <f ca="1">IFERROR(__xludf.DUMMYFUNCTION("""COMPUTED_VALUE"""),"CAMINO LA PALMA PARC 11 LOTE 13")</f>
        <v>CAMINO LA PALMA PARC 11 LOTE 13</v>
      </c>
      <c r="D8934" s="6" t="str">
        <f ca="1">IFERROR(__xludf.DUMMYFUNCTION("""COMPUTED_VALUE"""),"TALAGANTE")</f>
        <v>TALAGANTE</v>
      </c>
    </row>
    <row r="8935" spans="1:4">
      <c r="A8935" s="7">
        <f ca="1">IFERROR(__xludf.DUMMYFUNCTION("""COMPUTED_VALUE"""),44730)</f>
        <v>44730</v>
      </c>
      <c r="B8935" s="6" t="str">
        <f ca="1">IFERROR(__xludf.DUMMYFUNCTION("""COMPUTED_VALUE"""),"-33.679196-70.954661")</f>
        <v>-33.679196-70.954661</v>
      </c>
      <c r="C8935" s="6" t="str">
        <f ca="1">IFERROR(__xludf.DUMMYFUNCTION("""COMPUTED_VALUE"""),"PRESIDENTA MICHEL BACHELET JERIA 1108")</f>
        <v>PRESIDENTA MICHEL BACHELET JERIA 1108</v>
      </c>
      <c r="D8935" s="6" t="str">
        <f ca="1">IFERROR(__xludf.DUMMYFUNCTION("""COMPUTED_VALUE"""),"TALAGANTE")</f>
        <v>TALAGANTE</v>
      </c>
    </row>
    <row r="8936" spans="1:4">
      <c r="A8936" s="7">
        <f ca="1">IFERROR(__xludf.DUMMYFUNCTION("""COMPUTED_VALUE"""),44730)</f>
        <v>44730</v>
      </c>
      <c r="B8936" s="6" t="str">
        <f ca="1">IFERROR(__xludf.DUMMYFUNCTION("""COMPUTED_VALUE"""),"-33.803797-70.729243")</f>
        <v>-33.803797-70.729243</v>
      </c>
      <c r="C8936" s="6" t="str">
        <f ca="1">IFERROR(__xludf.DUMMYFUNCTION("""COMPUTED_VALUE"""),"PJE RIO YELCHO 32")</f>
        <v>PJE RIO YELCHO 32</v>
      </c>
      <c r="D8936" s="6" t="str">
        <f ca="1">IFERROR(__xludf.DUMMYFUNCTION("""COMPUTED_VALUE"""),"PAINE")</f>
        <v>PAINE</v>
      </c>
    </row>
    <row r="8937" spans="1:4">
      <c r="A8937" s="7">
        <f ca="1">IFERROR(__xludf.DUMMYFUNCTION("""COMPUTED_VALUE"""),44730)</f>
        <v>44730</v>
      </c>
      <c r="B8937" s="8" t="str">
        <f ca="1">IFERROR(__xludf.DUMMYFUNCTION("""COMPUTED_VALUE"""),"-33.402371,-70.683393")</f>
        <v>-33.402371,-70.683393</v>
      </c>
      <c r="C8937" s="6" t="str">
        <f ca="1">IFERROR(__xludf.DUMMYFUNCTION("""COMPUTED_VALUE"""),"LA UNION 157")</f>
        <v>LA UNION 157</v>
      </c>
      <c r="D8937" s="6" t="str">
        <f ca="1">IFERROR(__xludf.DUMMYFUNCTION("""COMPUTED_VALUE"""),"COLINA")</f>
        <v>COLINA</v>
      </c>
    </row>
    <row r="8938" spans="1:4">
      <c r="A8938" s="7">
        <f ca="1">IFERROR(__xludf.DUMMYFUNCTION("""COMPUTED_VALUE"""),44730)</f>
        <v>44730</v>
      </c>
      <c r="B8938" s="8" t="str">
        <f ca="1">IFERROR(__xludf.DUMMYFUNCTION("""COMPUTED_VALUE"""),"-33.679006,-70.611305")</f>
        <v>-33.679006,-70.611305</v>
      </c>
      <c r="C8938" s="6" t="str">
        <f ca="1">IFERROR(__xludf.DUMMYFUNCTION("""COMPUTED_VALUE"""),"LOS QUILLALLES S/ 42")</f>
        <v>LOS QUILLALLES S/ 42</v>
      </c>
      <c r="D8938" s="6" t="str">
        <f ca="1">IFERROR(__xludf.DUMMYFUNCTION("""COMPUTED_VALUE"""),"PIRQUE")</f>
        <v>PIRQUE</v>
      </c>
    </row>
    <row r="8939" spans="1:4">
      <c r="A8939" s="7">
        <f ca="1">IFERROR(__xludf.DUMMYFUNCTION("""COMPUTED_VALUE"""),44730)</f>
        <v>44730</v>
      </c>
      <c r="B8939" s="8" t="str">
        <f ca="1">IFERROR(__xludf.DUMMYFUNCTION("""COMPUTED_VALUE"""),"-33.689270,-70.583104")</f>
        <v>-33.689270,-70.583104</v>
      </c>
      <c r="C8939" s="6" t="str">
        <f ca="1">IFERROR(__xludf.DUMMYFUNCTION("""COMPUTED_VALUE"""),"LOS QUILLALLES S/ 10")</f>
        <v>LOS QUILLALLES S/ 10</v>
      </c>
      <c r="D8939" s="6" t="str">
        <f ca="1">IFERROR(__xludf.DUMMYFUNCTION("""COMPUTED_VALUE"""),"PIRQUE")</f>
        <v>PIRQUE</v>
      </c>
    </row>
    <row r="8940" spans="1:4">
      <c r="A8940" s="7">
        <f ca="1">IFERROR(__xludf.DUMMYFUNCTION("""COMPUTED_VALUE"""),44732)</f>
        <v>44732</v>
      </c>
      <c r="B8940" s="6" t="str">
        <f ca="1">IFERROR(__xludf.DUMMYFUNCTION("""COMPUTED_VALUE"""),"-33.660812-71.211378")</f>
        <v>-33.660812-71.211378</v>
      </c>
      <c r="C8940" s="6" t="str">
        <f ca="1">IFERROR(__xludf.DUMMYFUNCTION("""COMPUTED_VALUE"""),"SANTA JULIA S/N")</f>
        <v>SANTA JULIA S/N</v>
      </c>
      <c r="D8940" s="6" t="str">
        <f ca="1">IFERROR(__xludf.DUMMYFUNCTION("""COMPUTED_VALUE"""),"MELIPILLA")</f>
        <v>MELIPILLA</v>
      </c>
    </row>
    <row r="8941" spans="1:4">
      <c r="A8941" s="7">
        <f ca="1">IFERROR(__xludf.DUMMYFUNCTION("""COMPUTED_VALUE"""),44732)</f>
        <v>44732</v>
      </c>
      <c r="B8941" s="6" t="str">
        <f ca="1">IFERROR(__xludf.DUMMYFUNCTION("""COMPUTED_VALUE"""),"-33.660812-71.211378")</f>
        <v>-33.660812-71.211378</v>
      </c>
      <c r="C8941" s="6" t="str">
        <f ca="1">IFERROR(__xludf.DUMMYFUNCTION("""COMPUTED_VALUE"""),"SANTA JULIA S/N")</f>
        <v>SANTA JULIA S/N</v>
      </c>
      <c r="D8941" s="6" t="str">
        <f ca="1">IFERROR(__xludf.DUMMYFUNCTION("""COMPUTED_VALUE"""),"MELIPILLA")</f>
        <v>MELIPILLA</v>
      </c>
    </row>
    <row r="8942" spans="1:4">
      <c r="A8942" s="7">
        <f ca="1">IFERROR(__xludf.DUMMYFUNCTION("""COMPUTED_VALUE"""),44732)</f>
        <v>44732</v>
      </c>
      <c r="B8942" s="6" t="str">
        <f ca="1">IFERROR(__xludf.DUMMYFUNCTION("""COMPUTED_VALUE"""),"-33.660812-71.211378")</f>
        <v>-33.660812-71.211378</v>
      </c>
      <c r="C8942" s="6" t="str">
        <f ca="1">IFERROR(__xludf.DUMMYFUNCTION("""COMPUTED_VALUE"""),"SANTA JULIA S/N")</f>
        <v>SANTA JULIA S/N</v>
      </c>
      <c r="D8942" s="6" t="str">
        <f ca="1">IFERROR(__xludf.DUMMYFUNCTION("""COMPUTED_VALUE"""),"MELIPILLA")</f>
        <v>MELIPILLA</v>
      </c>
    </row>
    <row r="8943" spans="1:4">
      <c r="A8943" s="7">
        <f ca="1">IFERROR(__xludf.DUMMYFUNCTION("""COMPUTED_VALUE"""),44732)</f>
        <v>44732</v>
      </c>
      <c r="B8943" s="6" t="str">
        <f ca="1">IFERROR(__xludf.DUMMYFUNCTION("""COMPUTED_VALUE"""),"-33.664276-71.219333")</f>
        <v>-33.664276-71.219333</v>
      </c>
      <c r="C8943" s="6" t="str">
        <f ca="1">IFERROR(__xludf.DUMMYFUNCTION("""COMPUTED_VALUE"""),"VALPARAISO 1165")</f>
        <v>VALPARAISO 1165</v>
      </c>
      <c r="D8943" s="6" t="str">
        <f ca="1">IFERROR(__xludf.DUMMYFUNCTION("""COMPUTED_VALUE"""),"MELIPILLA")</f>
        <v>MELIPILLA</v>
      </c>
    </row>
    <row r="8944" spans="1:4">
      <c r="A8944" s="7">
        <f ca="1">IFERROR(__xludf.DUMMYFUNCTION("""COMPUTED_VALUE"""),44732)</f>
        <v>44732</v>
      </c>
      <c r="B8944" s="8" t="str">
        <f ca="1">IFERROR(__xludf.DUMMYFUNCTION("""COMPUTED_VALUE"""),"-33.276923,-70.559966")</f>
        <v>-33.276923,-70.559966</v>
      </c>
      <c r="C8944" s="6" t="str">
        <f ca="1">IFERROR(__xludf.DUMMYFUNCTION("""COMPUTED_VALUE"""),"LOS CORRALES 97 S/ N")</f>
        <v>LOS CORRALES 97 S/ N</v>
      </c>
      <c r="D8944" s="6" t="str">
        <f ca="1">IFERROR(__xludf.DUMMYFUNCTION("""COMPUTED_VALUE"""),"PIRQUE")</f>
        <v>PIRQUE</v>
      </c>
    </row>
    <row r="8945" spans="1:4">
      <c r="A8945" s="7">
        <f ca="1">IFERROR(__xludf.DUMMYFUNCTION("""COMPUTED_VALUE"""),44732)</f>
        <v>44732</v>
      </c>
      <c r="B8945" s="8" t="str">
        <f ca="1">IFERROR(__xludf.DUMMYFUNCTION("""COMPUTED_VALUE"""),"-33.714697,-70.551361")</f>
        <v>-33.714697,-70.551361</v>
      </c>
      <c r="C8945" s="6" t="str">
        <f ca="1">IFERROR(__xludf.DUMMYFUNCTION("""COMPUTED_VALUE"""),"EL CHALACO 56")</f>
        <v>EL CHALACO 56</v>
      </c>
      <c r="D8945" s="6" t="str">
        <f ca="1">IFERROR(__xludf.DUMMYFUNCTION("""COMPUTED_VALUE"""),"PIRQUE")</f>
        <v>PIRQUE</v>
      </c>
    </row>
    <row r="8946" spans="1:4">
      <c r="A8946" s="7">
        <f ca="1">IFERROR(__xludf.DUMMYFUNCTION("""COMPUTED_VALUE"""),44732)</f>
        <v>44732</v>
      </c>
      <c r="B8946" s="6" t="str">
        <f ca="1">IFERROR(__xludf.DUMMYFUNCTION("""COMPUTED_VALUE"""),"-33.568357,-70.824139")</f>
        <v>-33.568357,-70.824139</v>
      </c>
      <c r="C8946" s="6" t="str">
        <f ca="1">IFERROR(__xludf.DUMMYFUNCTION("""COMPUTED_VALUE"""),"PASAJE TRES  221 CON LAGUNA DEL SOL")</f>
        <v>PASAJE TRES  221 CON LAGUNA DEL SOL</v>
      </c>
      <c r="D8946" s="6" t="str">
        <f ca="1">IFERROR(__xludf.DUMMYFUNCTION("""COMPUTED_VALUE"""),"PADRE HURTADO")</f>
        <v>PADRE HURTADO</v>
      </c>
    </row>
    <row r="8947" spans="1:4">
      <c r="A8947" s="7">
        <f ca="1">IFERROR(__xludf.DUMMYFUNCTION("""COMPUTED_VALUE"""),44732)</f>
        <v>44732</v>
      </c>
      <c r="B8947" s="6" t="str">
        <f ca="1">IFERROR(__xludf.DUMMYFUNCTION("""COMPUTED_VALUE"""),"-33.731962,-70.782518")</f>
        <v>-33.731962,-70.782518</v>
      </c>
      <c r="C8947" s="6" t="str">
        <f ca="1">IFERROR(__xludf.DUMMYFUNCTION("""COMPUTED_VALUE"""),"SERRANO 92")</f>
        <v>SERRANO 92</v>
      </c>
      <c r="D8947" s="6" t="str">
        <f ca="1">IFERROR(__xludf.DUMMYFUNCTION("""COMPUTED_VALUE"""),"BUIN")</f>
        <v>BUIN</v>
      </c>
    </row>
    <row r="8948" spans="1:4">
      <c r="A8948" s="7">
        <f ca="1">IFERROR(__xludf.DUMMYFUNCTION("""COMPUTED_VALUE"""),44732)</f>
        <v>44732</v>
      </c>
      <c r="B8948" s="6" t="str">
        <f ca="1">IFERROR(__xludf.DUMMYFUNCTION("""COMPUTED_VALUE"""),"-33.732670,-70.762298")</f>
        <v>-33.732670,-70.762298</v>
      </c>
      <c r="C8948" s="6" t="str">
        <f ca="1">IFERROR(__xludf.DUMMYFUNCTION("""COMPUTED_VALUE"""),"DEIDAMIA ZELADA 2110 CH SANTA ADELA ")</f>
        <v xml:space="preserve">DEIDAMIA ZELADA 2110 CH SANTA ADELA </v>
      </c>
      <c r="D8948" s="6" t="str">
        <f ca="1">IFERROR(__xludf.DUMMYFUNCTION("""COMPUTED_VALUE"""),"BUIN")</f>
        <v>BUIN</v>
      </c>
    </row>
    <row r="8949" spans="1:4">
      <c r="A8949" s="7">
        <f ca="1">IFERROR(__xludf.DUMMYFUNCTION("""COMPUTED_VALUE"""),44732)</f>
        <v>44732</v>
      </c>
      <c r="B8949" s="6" t="str">
        <f ca="1">IFERROR(__xludf.DUMMYFUNCTION("""COMPUTED_VALUE"""),"-33.767642,-71.282504")</f>
        <v>-33.767642,-71.282504</v>
      </c>
      <c r="C8949" s="6" t="str">
        <f ca="1">IFERROR(__xludf.DUMMYFUNCTION("""COMPUTED_VALUE"""),"CO VECINAL S/N CV1SAN MANUEL")</f>
        <v>CO VECINAL S/N CV1SAN MANUEL</v>
      </c>
      <c r="D8949" s="6" t="str">
        <f ca="1">IFERROR(__xludf.DUMMYFUNCTION("""COMPUTED_VALUE"""),"MELIPILLA")</f>
        <v>MELIPILLA</v>
      </c>
    </row>
    <row r="8950" spans="1:4">
      <c r="A8950" s="7">
        <f ca="1">IFERROR(__xludf.DUMMYFUNCTION("""COMPUTED_VALUE"""),44732)</f>
        <v>44732</v>
      </c>
      <c r="B8950" s="8" t="str">
        <f ca="1">IFERROR(__xludf.DUMMYFUNCTION("""COMPUTED_VALUE"""),"-33.762604,-71.292474")</f>
        <v>-33.762604,-71.292474</v>
      </c>
      <c r="C8950" s="6" t="str">
        <f ca="1">IFERROR(__xludf.DUMMYFUNCTION("""COMPUTED_VALUE"""),"PARCELA 6B EL BOSQUE ")</f>
        <v xml:space="preserve">PARCELA 6B EL BOSQUE </v>
      </c>
      <c r="D8950" s="6" t="str">
        <f ca="1">IFERROR(__xludf.DUMMYFUNCTION("""COMPUTED_VALUE"""),"MELIPILLA")</f>
        <v>MELIPILLA</v>
      </c>
    </row>
    <row r="8951" spans="1:4">
      <c r="A8951" s="7">
        <f ca="1">IFERROR(__xludf.DUMMYFUNCTION("""COMPUTED_VALUE"""),44732)</f>
        <v>44732</v>
      </c>
      <c r="B8951" s="8" t="str">
        <f ca="1">IFERROR(__xludf.DUMMYFUNCTION("""COMPUTED_VALUE"""),"-33.684781,-71.199259")</f>
        <v>-33.684781,-71.199259</v>
      </c>
      <c r="C8951" s="6" t="str">
        <f ca="1">IFERROR(__xludf.DUMMYFUNCTION("""COMPUTED_VALUE"""),"CARLOS ANFRUNS PEQALOZA 622")</f>
        <v>CARLOS ANFRUNS PEQALOZA 622</v>
      </c>
      <c r="D8951" s="6" t="str">
        <f ca="1">IFERROR(__xludf.DUMMYFUNCTION("""COMPUTED_VALUE"""),"MELIPILLA")</f>
        <v>MELIPILLA</v>
      </c>
    </row>
    <row r="8952" spans="1:4">
      <c r="A8952" s="7">
        <f ca="1">IFERROR(__xludf.DUMMYFUNCTION("""COMPUTED_VALUE"""),44732)</f>
        <v>44732</v>
      </c>
      <c r="B8952" s="6" t="str">
        <f ca="1">IFERROR(__xludf.DUMMYFUNCTION("""COMPUTED_VALUE"""),"-33.566446,-70.788026")</f>
        <v>-33.566446,-70.788026</v>
      </c>
      <c r="C8952" s="6" t="str">
        <f ca="1">IFERROR(__xludf.DUMMYFUNCTION("""COMPUTED_VALUE"""),"TERCERA TRANSVERSAL 150")</f>
        <v>TERCERA TRANSVERSAL 150</v>
      </c>
      <c r="D8952" s="6" t="str">
        <f ca="1">IFERROR(__xludf.DUMMYFUNCTION("""COMPUTED_VALUE"""),"PADRE HURTADO")</f>
        <v>PADRE HURTADO</v>
      </c>
    </row>
    <row r="8953" spans="1:4">
      <c r="A8953" s="7">
        <f ca="1">IFERROR(__xludf.DUMMYFUNCTION("""COMPUTED_VALUE"""),44732)</f>
        <v>44732</v>
      </c>
      <c r="B8953" s="6" t="str">
        <f ca="1">IFERROR(__xludf.DUMMYFUNCTION("""COMPUTED_VALUE"""),"-33.657848,-70.917609")</f>
        <v>-33.657848,-70.917609</v>
      </c>
      <c r="C8953" s="6" t="str">
        <f ca="1">IFERROR(__xludf.DUMMYFUNCTION("""COMPUTED_VALUE"""),"PA. MARTA BRUNET 674")</f>
        <v>PA. MARTA BRUNET 674</v>
      </c>
      <c r="D8953" s="6" t="str">
        <f ca="1">IFERROR(__xludf.DUMMYFUNCTION("""COMPUTED_VALUE"""),"TALAGANTE")</f>
        <v>TALAGANTE</v>
      </c>
    </row>
    <row r="8954" spans="1:4">
      <c r="A8954" s="7">
        <f ca="1">IFERROR(__xludf.DUMMYFUNCTION("""COMPUTED_VALUE"""),44732)</f>
        <v>44732</v>
      </c>
      <c r="B8954" s="6" t="str">
        <f ca="1">IFERROR(__xludf.DUMMYFUNCTION("""COMPUTED_VALUE"""),"-33.810550,-70.735051")</f>
        <v>-33.810550,-70.735051</v>
      </c>
      <c r="C8954" s="6" t="str">
        <f ca="1">IFERROR(__xludf.DUMMYFUNCTION("""COMPUTED_VALUE"""),"LAGO RIÑIHUE 719")</f>
        <v>LAGO RIÑIHUE 719</v>
      </c>
      <c r="D8954" s="6" t="str">
        <f ca="1">IFERROR(__xludf.DUMMYFUNCTION("""COMPUTED_VALUE"""),"PAINE")</f>
        <v>PAINE</v>
      </c>
    </row>
    <row r="8955" spans="1:4">
      <c r="A8955" s="7">
        <f ca="1">IFERROR(__xludf.DUMMYFUNCTION("""COMPUTED_VALUE"""),44732)</f>
        <v>44732</v>
      </c>
      <c r="B8955" s="6" t="str">
        <f ca="1">IFERROR(__xludf.DUMMYFUNCTION("""COMPUTED_VALUE"""),"-33.810550,-70.735051")</f>
        <v>-33.810550,-70.735051</v>
      </c>
      <c r="C8955" s="6" t="str">
        <f ca="1">IFERROR(__xludf.DUMMYFUNCTION("""COMPUTED_VALUE"""),"LAGO RIÑIHUE 717")</f>
        <v>LAGO RIÑIHUE 717</v>
      </c>
      <c r="D8955" s="6" t="str">
        <f ca="1">IFERROR(__xludf.DUMMYFUNCTION("""COMPUTED_VALUE"""),"PAINE")</f>
        <v>PAINE</v>
      </c>
    </row>
    <row r="8956" spans="1:4">
      <c r="A8956" s="7">
        <f ca="1">IFERROR(__xludf.DUMMYFUNCTION("""COMPUTED_VALUE"""),44733)</f>
        <v>44733</v>
      </c>
      <c r="B8956" s="6" t="str">
        <f ca="1">IFERROR(__xludf.DUMMYFUNCTION("""COMPUTED_VALUE"""),"-33.843224-70.801083")</f>
        <v>-33.843224-70.801083</v>
      </c>
      <c r="C8956" s="6" t="str">
        <f ca="1">IFERROR(__xludf.DUMMYFUNCTION("""COMPUTED_VALUE"""),"EL VINCULO 190")</f>
        <v>EL VINCULO 190</v>
      </c>
      <c r="D8956" s="6" t="str">
        <f ca="1">IFERROR(__xludf.DUMMYFUNCTION("""COMPUTED_VALUE"""),"PAINE")</f>
        <v>PAINE</v>
      </c>
    </row>
    <row r="8957" spans="1:4">
      <c r="A8957" s="7">
        <f ca="1">IFERROR(__xludf.DUMMYFUNCTION("""COMPUTED_VALUE"""),44733)</f>
        <v>44733</v>
      </c>
      <c r="B8957" s="8" t="str">
        <f ca="1">IFERROR(__xludf.DUMMYFUNCTION("""COMPUTED_VALUE"""),"-33.612299,-70.873131")</f>
        <v>-33.612299,-70.873131</v>
      </c>
      <c r="C8957" s="6" t="str">
        <f ca="1">IFERROR(__xludf.DUMMYFUNCTION("""COMPUTED_VALUE"""),"EL GUANACO 20")</f>
        <v>EL GUANACO 20</v>
      </c>
      <c r="D8957" s="6" t="str">
        <f ca="1">IFERROR(__xludf.DUMMYFUNCTION("""COMPUTED_VALUE"""),"PEÑAFLOR")</f>
        <v>PEÑAFLOR</v>
      </c>
    </row>
    <row r="8958" spans="1:4">
      <c r="A8958" s="7">
        <f ca="1">IFERROR(__xludf.DUMMYFUNCTION("""COMPUTED_VALUE"""),44733)</f>
        <v>44733</v>
      </c>
      <c r="B8958" s="8" t="str">
        <f ca="1">IFERROR(__xludf.DUMMYFUNCTION("""COMPUTED_VALUE"""),"-33.612299,-70.873131")</f>
        <v>-33.612299,-70.873131</v>
      </c>
      <c r="C8958" s="6" t="str">
        <f ca="1">IFERROR(__xludf.DUMMYFUNCTION("""COMPUTED_VALUE"""),"EL GUANACO 20")</f>
        <v>EL GUANACO 20</v>
      </c>
      <c r="D8958" s="6" t="str">
        <f ca="1">IFERROR(__xludf.DUMMYFUNCTION("""COMPUTED_VALUE"""),"PEÑAFLOR")</f>
        <v>PEÑAFLOR</v>
      </c>
    </row>
    <row r="8959" spans="1:4">
      <c r="A8959" s="7">
        <f ca="1">IFERROR(__xludf.DUMMYFUNCTION("""COMPUTED_VALUE"""),44733)</f>
        <v>44733</v>
      </c>
      <c r="B8959" s="6" t="str">
        <f ca="1">IFERROR(__xludf.DUMMYFUNCTION("""COMPUTED_VALUE"""),"-33.963091,-71.485434")</f>
        <v>-33.963091,-71.485434</v>
      </c>
      <c r="C8959" s="6" t="str">
        <f ca="1">IFERROR(__xludf.DUMMYFUNCTION("""COMPUTED_VALUE"""),"PRINCIPAL S/N -CV4 PARCELA 17")</f>
        <v>PRINCIPAL S/N -CV4 PARCELA 17</v>
      </c>
      <c r="D8959" s="6" t="str">
        <f ca="1">IFERROR(__xludf.DUMMYFUNCTION("""COMPUTED_VALUE"""),"SAN PEDRO")</f>
        <v>SAN PEDRO</v>
      </c>
    </row>
    <row r="8960" spans="1:4">
      <c r="A8960" s="7">
        <f ca="1">IFERROR(__xludf.DUMMYFUNCTION("""COMPUTED_VALUE"""),44733)</f>
        <v>44733</v>
      </c>
      <c r="B8960" s="6" t="str">
        <f ca="1">IFERROR(__xludf.DUMMYFUNCTION("""COMPUTED_VALUE"""),"-33.963091,-71.485434")</f>
        <v>-33.963091,-71.485434</v>
      </c>
      <c r="C8960" s="6" t="str">
        <f ca="1">IFERROR(__xludf.DUMMYFUNCTION("""COMPUTED_VALUE"""),"PRINCIPAL S/N -CV4 PARCELA 17")</f>
        <v>PRINCIPAL S/N -CV4 PARCELA 17</v>
      </c>
      <c r="D8960" s="6" t="str">
        <f ca="1">IFERROR(__xludf.DUMMYFUNCTION("""COMPUTED_VALUE"""),"SAN PEDRO")</f>
        <v>SAN PEDRO</v>
      </c>
    </row>
    <row r="8961" spans="1:4">
      <c r="A8961" s="7">
        <f ca="1">IFERROR(__xludf.DUMMYFUNCTION("""COMPUTED_VALUE"""),44733)</f>
        <v>44733</v>
      </c>
      <c r="B8961" s="6" t="str">
        <f ca="1">IFERROR(__xludf.DUMMYFUNCTION("""COMPUTED_VALUE"""),"-33.8052504,-70.7278263")</f>
        <v>-33.8052504,-70.7278263</v>
      </c>
      <c r="C8961" s="6" t="str">
        <f ca="1">IFERROR(__xludf.DUMMYFUNCTION("""COMPUTED_VALUE"""),"RIO CISNES 172")</f>
        <v>RIO CISNES 172</v>
      </c>
      <c r="D8961" s="6" t="str">
        <f ca="1">IFERROR(__xludf.DUMMYFUNCTION("""COMPUTED_VALUE"""),"PAINE")</f>
        <v>PAINE</v>
      </c>
    </row>
    <row r="8962" spans="1:4">
      <c r="A8962" s="7">
        <f ca="1">IFERROR(__xludf.DUMMYFUNCTION("""COMPUTED_VALUE"""),44733)</f>
        <v>44733</v>
      </c>
      <c r="B8962" s="6" t="str">
        <f ca="1">IFERROR(__xludf.DUMMYFUNCTION("""COMPUTED_VALUE"""),"-33.8039790,70.6776965")</f>
        <v>-33.8039790,70.6776965</v>
      </c>
      <c r="C8962" s="6" t="str">
        <f ca="1">IFERROR(__xludf.DUMMYFUNCTION("""COMPUTED_VALUE"""),"PAINE 5720")</f>
        <v>PAINE 5720</v>
      </c>
      <c r="D8962" s="6" t="str">
        <f ca="1">IFERROR(__xludf.DUMMYFUNCTION("""COMPUTED_VALUE"""),"PAINE")</f>
        <v>PAINE</v>
      </c>
    </row>
    <row r="8963" spans="1:4">
      <c r="A8963" s="7">
        <f ca="1">IFERROR(__xludf.DUMMYFUNCTION("""COMPUTED_VALUE"""),44734)</f>
        <v>44734</v>
      </c>
      <c r="B8963" s="8" t="str">
        <f ca="1">IFERROR(__xludf.DUMMYFUNCTION("""COMPUTED_VALUE"""),"-33.7315399, -71.0278956")</f>
        <v>-33.7315399, -71.0278956</v>
      </c>
      <c r="C8963" s="6" t="str">
        <f ca="1">IFERROR(__xludf.DUMMYFUNCTION("""COMPUTED_VALUE"""),"EL CLAVEL S/N ")</f>
        <v xml:space="preserve">EL CLAVEL S/N </v>
      </c>
      <c r="D8963" s="6" t="str">
        <f ca="1">IFERROR(__xludf.DUMMYFUNCTION("""COMPUTED_VALUE"""),"ISLA DE MAIPO")</f>
        <v>ISLA DE MAIPO</v>
      </c>
    </row>
    <row r="8964" spans="1:4">
      <c r="A8964" s="7">
        <f ca="1">IFERROR(__xludf.DUMMYFUNCTION("""COMPUTED_VALUE"""),44734)</f>
        <v>44734</v>
      </c>
      <c r="B8964" s="8" t="str">
        <f ca="1">IFERROR(__xludf.DUMMYFUNCTION("""COMPUTED_VALUE"""),"-33.8551769, -70.7605992")</f>
        <v>-33.8551769, -70.7605992</v>
      </c>
      <c r="C8964" s="6" t="str">
        <f ca="1">IFERROR(__xludf.DUMMYFUNCTION("""COMPUTED_VALUE"""),"AV ESPAÑA 379")</f>
        <v>AV ESPAÑA 379</v>
      </c>
      <c r="D8964" s="6" t="str">
        <f ca="1">IFERROR(__xludf.DUMMYFUNCTION("""COMPUTED_VALUE"""),"LAMPA")</f>
        <v>LAMPA</v>
      </c>
    </row>
    <row r="8965" spans="1:4">
      <c r="A8965" s="7">
        <f ca="1">IFERROR(__xludf.DUMMYFUNCTION("""COMPUTED_VALUE"""),44734)</f>
        <v>44734</v>
      </c>
      <c r="B8965" s="8" t="str">
        <f ca="1">IFERROR(__xludf.DUMMYFUNCTION("""COMPUTED_VALUE"""),"-33.3222247, -70.7515692")</f>
        <v>-33.3222247, -70.7515692</v>
      </c>
      <c r="C8965" s="6" t="str">
        <f ca="1">IFERROR(__xludf.DUMMYFUNCTION("""COMPUTED_VALUE"""),"RIO LOA 401")</f>
        <v>RIO LOA 401</v>
      </c>
      <c r="D8965" s="6" t="str">
        <f ca="1">IFERROR(__xludf.DUMMYFUNCTION("""COMPUTED_VALUE"""),"LAMPA")</f>
        <v>LAMPA</v>
      </c>
    </row>
    <row r="8966" spans="1:4">
      <c r="A8966" s="7">
        <f ca="1">IFERROR(__xludf.DUMMYFUNCTION("""COMPUTED_VALUE"""),44734)</f>
        <v>44734</v>
      </c>
      <c r="B8966" s="8" t="str">
        <f ca="1">IFERROR(__xludf.DUMMYFUNCTION("""COMPUTED_VALUE"""),"-33.257485, -70.8807533")</f>
        <v>-33.257485, -70.8807533</v>
      </c>
      <c r="C8966" s="6" t="str">
        <f ca="1">IFERROR(__xludf.DUMMYFUNCTION("""COMPUTED_VALUE"""),"JUAN DE DIOS MARTICORENA 20")</f>
        <v>JUAN DE DIOS MARTICORENA 20</v>
      </c>
      <c r="D8966" s="6" t="str">
        <f ca="1">IFERROR(__xludf.DUMMYFUNCTION("""COMPUTED_VALUE"""),"LAMPA")</f>
        <v>LAMPA</v>
      </c>
    </row>
    <row r="8967" spans="1:4">
      <c r="A8967" s="7">
        <f ca="1">IFERROR(__xludf.DUMMYFUNCTION("""COMPUTED_VALUE"""),44734)</f>
        <v>44734</v>
      </c>
      <c r="B8967" s="8" t="str">
        <f ca="1">IFERROR(__xludf.DUMMYFUNCTION("""COMPUTED_VALUE"""),"-33.753339, -70.9077801")</f>
        <v>-33.753339, -70.9077801</v>
      </c>
      <c r="C8967" s="6" t="str">
        <f ca="1">IFERROR(__xludf.DUMMYFUNCTION("""COMPUTED_VALUE"""),"IZAGA 1153")</f>
        <v>IZAGA 1153</v>
      </c>
      <c r="D8967" s="6" t="str">
        <f ca="1">IFERROR(__xludf.DUMMYFUNCTION("""COMPUTED_VALUE"""),"ISLA DE MAIPO")</f>
        <v>ISLA DE MAIPO</v>
      </c>
    </row>
    <row r="8968" spans="1:4">
      <c r="A8968" s="7">
        <f ca="1">IFERROR(__xludf.DUMMYFUNCTION("""COMPUTED_VALUE"""),44734)</f>
        <v>44734</v>
      </c>
      <c r="B8968" s="8" t="str">
        <f ca="1">IFERROR(__xludf.DUMMYFUNCTION("""COMPUTED_VALUE"""),"-33.7541603, -70.9110265")</f>
        <v>-33.7541603, -70.9110265</v>
      </c>
      <c r="C8968" s="6" t="str">
        <f ca="1">IFERROR(__xludf.DUMMYFUNCTION("""COMPUTED_VALUE"""),"SAN PEDRO 1409")</f>
        <v>SAN PEDRO 1409</v>
      </c>
      <c r="D8968" s="6" t="str">
        <f ca="1">IFERROR(__xludf.DUMMYFUNCTION("""COMPUTED_VALUE"""),"ISLA DE MAIPO")</f>
        <v>ISLA DE MAIPO</v>
      </c>
    </row>
    <row r="8969" spans="1:4">
      <c r="A8969" s="7">
        <f ca="1">IFERROR(__xludf.DUMMYFUNCTION("""COMPUTED_VALUE"""),44734)</f>
        <v>44734</v>
      </c>
      <c r="B8969" s="8" t="str">
        <f ca="1">IFERROR(__xludf.DUMMYFUNCTION("""COMPUTED_VALUE"""),"-33.3131752, -70.8505757")</f>
        <v>-33.3131752, -70.8505757</v>
      </c>
      <c r="C8969" s="6" t="str">
        <f ca="1">IFERROR(__xludf.DUMMYFUNCTION("""COMPUTED_VALUE"""),"LO GALLARDO S/N")</f>
        <v>LO GALLARDO S/N</v>
      </c>
      <c r="D8969" s="6" t="str">
        <f ca="1">IFERROR(__xludf.DUMMYFUNCTION("""COMPUTED_VALUE"""),"LAMPA")</f>
        <v>LAMPA</v>
      </c>
    </row>
    <row r="8970" spans="1:4">
      <c r="A8970" s="7">
        <f ca="1">IFERROR(__xludf.DUMMYFUNCTION("""COMPUTED_VALUE"""),44734)</f>
        <v>44734</v>
      </c>
      <c r="B8970" s="8" t="str">
        <f ca="1">IFERROR(__xludf.DUMMYFUNCTION("""COMPUTED_VALUE"""),"-33.715828,-70.558483")</f>
        <v>-33.715828,-70.558483</v>
      </c>
      <c r="C8970" s="6" t="str">
        <f ca="1">IFERROR(__xludf.DUMMYFUNCTION("""COMPUTED_VALUE"""),"ALAMEDA 18A SITIO 32")</f>
        <v>ALAMEDA 18A SITIO 32</v>
      </c>
      <c r="D8970" s="6" t="str">
        <f ca="1">IFERROR(__xludf.DUMMYFUNCTION("""COMPUTED_VALUE"""),"PIRQUE")</f>
        <v>PIRQUE</v>
      </c>
    </row>
    <row r="8971" spans="1:4">
      <c r="A8971" s="7">
        <f ca="1">IFERROR(__xludf.DUMMYFUNCTION("""COMPUTED_VALUE"""),44734)</f>
        <v>44734</v>
      </c>
      <c r="B8971" s="8" t="str">
        <f ca="1">IFERROR(__xludf.DUMMYFUNCTION("""COMPUTED_VALUE"""),"-33.655746,-70.572061")</f>
        <v>-33.655746,-70.572061</v>
      </c>
      <c r="C8971" s="6" t="str">
        <f ca="1">IFERROR(__xludf.DUMMYFUNCTION("""COMPUTED_VALUE"""),"CAMINO EL LLAUCE SITIO 1")</f>
        <v>CAMINO EL LLAUCE SITIO 1</v>
      </c>
      <c r="D8971" s="6" t="str">
        <f ca="1">IFERROR(__xludf.DUMMYFUNCTION("""COMPUTED_VALUE"""),"PIRQUE")</f>
        <v>PIRQUE</v>
      </c>
    </row>
    <row r="8972" spans="1:4">
      <c r="A8972" s="7">
        <f ca="1">IFERROR(__xludf.DUMMYFUNCTION("""COMPUTED_VALUE"""),44734)</f>
        <v>44734</v>
      </c>
      <c r="B8972" s="6" t="str">
        <f ca="1">IFERROR(__xludf.DUMMYFUNCTION("""COMPUTED_VALUE"""),"-33.766390,-71.285800")</f>
        <v>-33.766390,-71.285800</v>
      </c>
      <c r="C8972" s="6" t="str">
        <f ca="1">IFERROR(__xludf.DUMMYFUNCTION("""COMPUTED_VALUE"""),"SAN MANUEL S/N LT 5 CP 5 C")</f>
        <v>SAN MANUEL S/N LT 5 CP 5 C</v>
      </c>
      <c r="D8972" s="6" t="str">
        <f ca="1">IFERROR(__xludf.DUMMYFUNCTION("""COMPUTED_VALUE"""),"MELIPILLA")</f>
        <v>MELIPILLA</v>
      </c>
    </row>
    <row r="8973" spans="1:4">
      <c r="A8973" s="7">
        <f ca="1">IFERROR(__xludf.DUMMYFUNCTION("""COMPUTED_VALUE"""),44734)</f>
        <v>44734</v>
      </c>
      <c r="B8973" s="6" t="str">
        <f ca="1">IFERROR(__xludf.DUMMYFUNCTION("""COMPUTED_VALUE"""),"-33.731724,-70.761960")</f>
        <v>-33.731724,-70.761960</v>
      </c>
      <c r="C8973" s="6" t="str">
        <f ca="1">IFERROR(__xludf.DUMMYFUNCTION("""COMPUTED_VALUE"""),"CLUB UNION ESTRELLA 246")</f>
        <v>CLUB UNION ESTRELLA 246</v>
      </c>
      <c r="D8973" s="6" t="str">
        <f ca="1">IFERROR(__xludf.DUMMYFUNCTION("""COMPUTED_VALUE"""),"BUIN")</f>
        <v>BUIN</v>
      </c>
    </row>
    <row r="8974" spans="1:4">
      <c r="A8974" s="7">
        <f ca="1">IFERROR(__xludf.DUMMYFUNCTION("""COMPUTED_VALUE"""),44734)</f>
        <v>44734</v>
      </c>
      <c r="B8974" s="6" t="str">
        <f ca="1">IFERROR(__xludf.DUMMYFUNCTION("""COMPUTED_VALUE"""),"-33.754481,-70.908384")</f>
        <v>-33.754481,-70.908384</v>
      </c>
      <c r="C8974" s="6" t="str">
        <f ca="1">IFERROR(__xludf.DUMMYFUNCTION("""COMPUTED_VALUE"""),"IZAGA 1210  184")</f>
        <v>IZAGA 1210  184</v>
      </c>
      <c r="D8974" s="6" t="str">
        <f ca="1">IFERROR(__xludf.DUMMYFUNCTION("""COMPUTED_VALUE"""),"ISLA DE MAIPO")</f>
        <v>ISLA DE MAIPO</v>
      </c>
    </row>
    <row r="8975" spans="1:4">
      <c r="A8975" s="7">
        <f ca="1">IFERROR(__xludf.DUMMYFUNCTION("""COMPUTED_VALUE"""),44734)</f>
        <v>44734</v>
      </c>
      <c r="B8975" s="6" t="str">
        <f ca="1">IFERROR(__xludf.DUMMYFUNCTION("""COMPUTED_VALUE"""),"-33.754001,-70.908226")</f>
        <v>-33.754001,-70.908226</v>
      </c>
      <c r="C8975" s="6" t="str">
        <f ca="1">IFERROR(__xludf.DUMMYFUNCTION("""COMPUTED_VALUE"""),"AV SENADOR JAIME GUZMAN 93")</f>
        <v>AV SENADOR JAIME GUZMAN 93</v>
      </c>
      <c r="D8975" s="6" t="str">
        <f ca="1">IFERROR(__xludf.DUMMYFUNCTION("""COMPUTED_VALUE"""),"ISLA DE MAIPO")</f>
        <v>ISLA DE MAIPO</v>
      </c>
    </row>
    <row r="8976" spans="1:4">
      <c r="A8976" s="7">
        <f ca="1">IFERROR(__xludf.DUMMYFUNCTION("""COMPUTED_VALUE"""),44734)</f>
        <v>44734</v>
      </c>
      <c r="B8976" s="8" t="str">
        <f ca="1">IFERROR(__xludf.DUMMYFUNCTION("""COMPUTED_VALUE"""),"-33.705593,-71.265444")</f>
        <v>-33.705593,-71.265444</v>
      </c>
      <c r="C8976" s="6" t="str">
        <f ca="1">IFERROR(__xludf.DUMMYFUNCTION("""COMPUTED_VALUE"""),"HUELCHUN SITIO S/N")</f>
        <v>HUELCHUN SITIO S/N</v>
      </c>
      <c r="D8976" s="6" t="str">
        <f ca="1">IFERROR(__xludf.DUMMYFUNCTION("""COMPUTED_VALUE"""),"MELIPILLA")</f>
        <v>MELIPILLA</v>
      </c>
    </row>
    <row r="8977" spans="1:4">
      <c r="A8977" s="7">
        <f ca="1">IFERROR(__xludf.DUMMYFUNCTION("""COMPUTED_VALUE"""),44734)</f>
        <v>44734</v>
      </c>
      <c r="B8977" s="8" t="str">
        <f ca="1">IFERROR(__xludf.DUMMYFUNCTION("""COMPUTED_VALUE"""),"-33.597162,-71.219391")</f>
        <v>-33.597162,-71.219391</v>
      </c>
      <c r="C8977" s="6" t="str">
        <f ca="1">IFERROR(__xludf.DUMMYFUNCTION("""COMPUTED_VALUE"""),"VALPARAISO SAN JOSE ")</f>
        <v xml:space="preserve">VALPARAISO SAN JOSE </v>
      </c>
      <c r="D8977" s="6" t="str">
        <f ca="1">IFERROR(__xludf.DUMMYFUNCTION("""COMPUTED_VALUE"""),"MELIPILLA")</f>
        <v>MELIPILLA</v>
      </c>
    </row>
    <row r="8978" spans="1:4">
      <c r="A8978" s="7">
        <f ca="1">IFERROR(__xludf.DUMMYFUNCTION("""COMPUTED_VALUE"""),44734)</f>
        <v>44734</v>
      </c>
      <c r="B8978" s="8" t="str">
        <f ca="1">IFERROR(__xludf.DUMMYFUNCTION("""COMPUTED_VALUE"""),"-33.729145,-70.549693")</f>
        <v>-33.729145,-70.549693</v>
      </c>
      <c r="C8978" s="6" t="str">
        <f ca="1">IFERROR(__xludf.DUMMYFUNCTION("""COMPUTED_VALUE"""),"LOS ESPINOS 11100")</f>
        <v>LOS ESPINOS 11100</v>
      </c>
      <c r="D8978" s="6" t="str">
        <f ca="1">IFERROR(__xludf.DUMMYFUNCTION("""COMPUTED_VALUE"""),"PIRQUE")</f>
        <v>PIRQUE</v>
      </c>
    </row>
    <row r="8979" spans="1:4">
      <c r="A8979" s="7">
        <f ca="1">IFERROR(__xludf.DUMMYFUNCTION("""COMPUTED_VALUE"""),44734)</f>
        <v>44734</v>
      </c>
      <c r="B8979" s="6" t="str">
        <f ca="1">IFERROR(__xludf.DUMMYFUNCTION("""COMPUTED_VALUE"""),"-33.736114,-70.780572")</f>
        <v>-33.736114,-70.780572</v>
      </c>
      <c r="C8979" s="6" t="str">
        <f ca="1">IFERROR(__xludf.DUMMYFUNCTION("""COMPUTED_VALUE"""),"SERRANO 475")</f>
        <v>SERRANO 475</v>
      </c>
      <c r="D8979" s="6" t="str">
        <f ca="1">IFERROR(__xludf.DUMMYFUNCTION("""COMPUTED_VALUE"""),"BUIN")</f>
        <v>BUIN</v>
      </c>
    </row>
    <row r="8980" spans="1:4">
      <c r="A8980" s="7">
        <f ca="1">IFERROR(__xludf.DUMMYFUNCTION("""COMPUTED_VALUE"""),44734)</f>
        <v>44734</v>
      </c>
      <c r="B8980" s="6" t="str">
        <f ca="1">IFERROR(__xludf.DUMMYFUNCTION("""COMPUTED_VALUE"""),"-33.599060,-70.892604")</f>
        <v>-33.599060,-70.892604</v>
      </c>
      <c r="C8980" s="6" t="str">
        <f ca="1">IFERROR(__xludf.DUMMYFUNCTION("""COMPUTED_VALUE"""),"PJE. CATEDRAL 4120")</f>
        <v>PJE. CATEDRAL 4120</v>
      </c>
      <c r="D8980" s="6" t="str">
        <f ca="1">IFERROR(__xludf.DUMMYFUNCTION("""COMPUTED_VALUE"""),"PEÑAFLOR")</f>
        <v>PEÑAFLOR</v>
      </c>
    </row>
    <row r="8981" spans="1:4">
      <c r="A8981" s="7">
        <f ca="1">IFERROR(__xludf.DUMMYFUNCTION("""COMPUTED_VALUE"""),44735)</f>
        <v>44735</v>
      </c>
      <c r="B8981" s="8" t="str">
        <f ca="1">IFERROR(__xludf.DUMMYFUNCTION("""COMPUTED_VALUE"""),"-33.2860038, -70.8402475")</f>
        <v>-33.2860038, -70.8402475</v>
      </c>
      <c r="C8981" s="6" t="str">
        <f ca="1">IFERROR(__xludf.DUMMYFUNCTION("""COMPUTED_VALUE"""),"PARCELACION SANTA EMILIA S/N")</f>
        <v>PARCELACION SANTA EMILIA S/N</v>
      </c>
      <c r="D8981" s="6" t="str">
        <f ca="1">IFERROR(__xludf.DUMMYFUNCTION("""COMPUTED_VALUE"""),"LAMPA")</f>
        <v>LAMPA</v>
      </c>
    </row>
    <row r="8982" spans="1:4">
      <c r="A8982" s="7">
        <f ca="1">IFERROR(__xludf.DUMMYFUNCTION("""COMPUTED_VALUE"""),44735)</f>
        <v>44735</v>
      </c>
      <c r="B8982" s="8" t="str">
        <f ca="1">IFERROR(__xludf.DUMMYFUNCTION("""COMPUTED_VALUE"""),"-33.3290727, -70.7514832")</f>
        <v>-33.3290727, -70.7514832</v>
      </c>
      <c r="C8982" s="6" t="str">
        <f ca="1">IFERROR(__xludf.DUMMYFUNCTION("""COMPUTED_VALUE"""),"DEL CAMPANARIO 3048")</f>
        <v>DEL CAMPANARIO 3048</v>
      </c>
      <c r="D8982" s="6" t="str">
        <f ca="1">IFERROR(__xludf.DUMMYFUNCTION("""COMPUTED_VALUE"""),"LAMPA")</f>
        <v>LAMPA</v>
      </c>
    </row>
    <row r="8983" spans="1:4">
      <c r="A8983" s="7">
        <f ca="1">IFERROR(__xludf.DUMMYFUNCTION("""COMPUTED_VALUE"""),44735)</f>
        <v>44735</v>
      </c>
      <c r="B8983" s="8" t="str">
        <f ca="1">IFERROR(__xludf.DUMMYFUNCTION("""COMPUTED_VALUE"""),"-33.755809, -71.3216589")</f>
        <v>-33.755809, -71.3216589</v>
      </c>
      <c r="C8983" s="6" t="str">
        <f ca="1">IFERROR(__xludf.DUMMYFUNCTION("""COMPUTED_VALUE"""),"ARICA 8 CODIGUA")</f>
        <v>ARICA 8 CODIGUA</v>
      </c>
      <c r="D8983" s="6" t="str">
        <f ca="1">IFERROR(__xludf.DUMMYFUNCTION("""COMPUTED_VALUE"""),"MELIPILLA")</f>
        <v>MELIPILLA</v>
      </c>
    </row>
    <row r="8984" spans="1:4">
      <c r="A8984" s="7">
        <f ca="1">IFERROR(__xludf.DUMMYFUNCTION("""COMPUTED_VALUE"""),44735)</f>
        <v>44735</v>
      </c>
      <c r="B8984" s="8" t="str">
        <f ca="1">IFERROR(__xludf.DUMMYFUNCTION("""COMPUTED_VALUE"""),"-33.7561721, -71.3220396")</f>
        <v>-33.7561721, -71.3220396</v>
      </c>
      <c r="C8984" s="6" t="str">
        <f ca="1">IFERROR(__xludf.DUMMYFUNCTION("""COMPUTED_VALUE"""),"ARICA 08 DE CODIGUA")</f>
        <v>ARICA 08 DE CODIGUA</v>
      </c>
      <c r="D8984" s="6" t="str">
        <f ca="1">IFERROR(__xludf.DUMMYFUNCTION("""COMPUTED_VALUE"""),"MELIPILLA")</f>
        <v>MELIPILLA</v>
      </c>
    </row>
    <row r="8985" spans="1:4">
      <c r="A8985" s="7">
        <f ca="1">IFERROR(__xludf.DUMMYFUNCTION("""COMPUTED_VALUE"""),44735)</f>
        <v>44735</v>
      </c>
      <c r="B8985" s="6" t="str">
        <f ca="1">IFERROR(__xludf.DUMMYFUNCTION("""COMPUTED_VALUE"""),"-33.8210200-70.7348200")</f>
        <v>-33.8210200-70.7348200</v>
      </c>
      <c r="C8985" s="6" t="str">
        <f ca="1">IFERROR(__xludf.DUMMYFUNCTION("""COMPUTED_VALUE"""),"LOS COPIHUES 1564")</f>
        <v>LOS COPIHUES 1564</v>
      </c>
      <c r="D8985" s="6" t="str">
        <f ca="1">IFERROR(__xludf.DUMMYFUNCTION("""COMPUTED_VALUE"""),"PAINE")</f>
        <v>PAINE</v>
      </c>
    </row>
    <row r="8986" spans="1:4">
      <c r="A8986" s="7">
        <f ca="1">IFERROR(__xludf.DUMMYFUNCTION("""COMPUTED_VALUE"""),44735)</f>
        <v>44735</v>
      </c>
      <c r="B8986" s="6" t="str">
        <f ca="1">IFERROR(__xludf.DUMMYFUNCTION("""COMPUTED_VALUE"""),"-33.813256-70.739674")</f>
        <v>-33.813256-70.739674</v>
      </c>
      <c r="C8986" s="6" t="str">
        <f ca="1">IFERROR(__xludf.DUMMYFUNCTION("""COMPUTED_VALUE"""),"LAS ORQUIDEAS 920")</f>
        <v>LAS ORQUIDEAS 920</v>
      </c>
      <c r="D8986" s="6" t="str">
        <f ca="1">IFERROR(__xludf.DUMMYFUNCTION("""COMPUTED_VALUE"""),"PAINE")</f>
        <v>PAINE</v>
      </c>
    </row>
    <row r="8987" spans="1:4">
      <c r="A8987" s="7">
        <f ca="1">IFERROR(__xludf.DUMMYFUNCTION("""COMPUTED_VALUE"""),44735)</f>
        <v>44735</v>
      </c>
      <c r="B8987" s="8" t="str">
        <f ca="1">IFERROR(__xludf.DUMMYFUNCTION("""COMPUTED_VALUE"""),"-33.731349,-70.762201")</f>
        <v>-33.731349,-70.762201</v>
      </c>
      <c r="C8987" s="6" t="str">
        <f ca="1">IFERROR(__xludf.DUMMYFUNCTION("""COMPUTED_VALUE"""),"GOLOZO 2115")</f>
        <v>GOLOZO 2115</v>
      </c>
      <c r="D8987" s="6" t="str">
        <f ca="1">IFERROR(__xludf.DUMMYFUNCTION("""COMPUTED_VALUE"""),"BUIN")</f>
        <v>BUIN</v>
      </c>
    </row>
    <row r="8988" spans="1:4">
      <c r="A8988" s="7">
        <f ca="1">IFERROR(__xludf.DUMMYFUNCTION("""COMPUTED_VALUE"""),44735)</f>
        <v>44735</v>
      </c>
      <c r="B8988" s="8" t="str">
        <f ca="1">IFERROR(__xludf.DUMMYFUNCTION("""COMPUTED_VALUE"""),"-33.675966,-70.580761")</f>
        <v>-33.675966,-70.580761</v>
      </c>
      <c r="C8988" s="6" t="str">
        <f ca="1">IFERROR(__xludf.DUMMYFUNCTION("""COMPUTED_VALUE"""),"LAS CAMELIAS 1194")</f>
        <v>LAS CAMELIAS 1194</v>
      </c>
      <c r="D8988" s="6" t="str">
        <f ca="1">IFERROR(__xludf.DUMMYFUNCTION("""COMPUTED_VALUE"""),"PIRQUE")</f>
        <v>PIRQUE</v>
      </c>
    </row>
    <row r="8989" spans="1:4">
      <c r="A8989" s="7">
        <f ca="1">IFERROR(__xludf.DUMMYFUNCTION("""COMPUTED_VALUE"""),44735)</f>
        <v>44735</v>
      </c>
      <c r="B8989" s="6" t="str">
        <f ca="1">IFERROR(__xludf.DUMMYFUNCTION("""COMPUTED_VALUE"""),"-33.737754,-70.858073")</f>
        <v>-33.737754,-70.858073</v>
      </c>
      <c r="C8989" s="6" t="str">
        <f ca="1">IFERROR(__xludf.DUMMYFUNCTION("""COMPUTED_VALUE"""),"SAN LUIS 4620")</f>
        <v>SAN LUIS 4620</v>
      </c>
      <c r="D8989" s="6" t="str">
        <f ca="1">IFERROR(__xludf.DUMMYFUNCTION("""COMPUTED_VALUE"""),"ISLA DE MAIPO")</f>
        <v>ISLA DE MAIPO</v>
      </c>
    </row>
    <row r="8990" spans="1:4">
      <c r="A8990" s="7">
        <f ca="1">IFERROR(__xludf.DUMMYFUNCTION("""COMPUTED_VALUE"""),44735)</f>
        <v>44735</v>
      </c>
      <c r="B8990" s="6" t="str">
        <f ca="1">IFERROR(__xludf.DUMMYFUNCTION("""COMPUTED_VALUE"""),"-33.742061,-70.869521")</f>
        <v>-33.742061,-70.869521</v>
      </c>
      <c r="C8990" s="6" t="str">
        <f ca="1">IFERROR(__xludf.DUMMYFUNCTION("""COMPUTED_VALUE"""),"PA LUIS BECERRA 493 VILLA BICENTENARIO")</f>
        <v>PA LUIS BECERRA 493 VILLA BICENTENARIO</v>
      </c>
      <c r="D8990" s="6" t="str">
        <f ca="1">IFERROR(__xludf.DUMMYFUNCTION("""COMPUTED_VALUE"""),"ISLA DE MAIPO")</f>
        <v>ISLA DE MAIPO</v>
      </c>
    </row>
    <row r="8991" spans="1:4">
      <c r="A8991" s="7">
        <f ca="1">IFERROR(__xludf.DUMMYFUNCTION("""COMPUTED_VALUE"""),44735)</f>
        <v>44735</v>
      </c>
      <c r="B8991" s="8" t="str">
        <f ca="1">IFERROR(__xludf.DUMMYFUNCTION("""COMPUTED_VALUE"""),"-33.673996,-71.233939")</f>
        <v>-33.673996,-71.233939</v>
      </c>
      <c r="C8991" s="6" t="str">
        <f ca="1">IFERROR(__xludf.DUMMYFUNCTION("""COMPUTED_VALUE"""),"CALLE DOLORES POZO DE ROMANINI 115")</f>
        <v>CALLE DOLORES POZO DE ROMANINI 115</v>
      </c>
      <c r="D8991" s="6" t="str">
        <f ca="1">IFERROR(__xludf.DUMMYFUNCTION("""COMPUTED_VALUE"""),"MELIPILLA")</f>
        <v>MELIPILLA</v>
      </c>
    </row>
    <row r="8992" spans="1:4">
      <c r="A8992" s="7">
        <f ca="1">IFERROR(__xludf.DUMMYFUNCTION("""COMPUTED_VALUE"""),44735)</f>
        <v>44735</v>
      </c>
      <c r="B8992" s="8" t="str">
        <f ca="1">IFERROR(__xludf.DUMMYFUNCTION("""COMPUTED_VALUE"""),"-33.769707,-71.342856")</f>
        <v>-33.769707,-71.342856</v>
      </c>
      <c r="C8992" s="6" t="str">
        <f ca="1">IFERROR(__xludf.DUMMYFUNCTION("""COMPUTED_VALUE"""),"PARCELA A-3 LOMAS DE SERGIO ")</f>
        <v xml:space="preserve">PARCELA A-3 LOMAS DE SERGIO </v>
      </c>
      <c r="D8992" s="6" t="str">
        <f ca="1">IFERROR(__xludf.DUMMYFUNCTION("""COMPUTED_VALUE"""),"MELIPILLA")</f>
        <v>MELIPILLA</v>
      </c>
    </row>
    <row r="8993" spans="1:4">
      <c r="A8993" s="7">
        <f ca="1">IFERROR(__xludf.DUMMYFUNCTION("""COMPUTED_VALUE"""),44735)</f>
        <v>44735</v>
      </c>
      <c r="B8993" s="8" t="str">
        <f ca="1">IFERROR(__xludf.DUMMYFUNCTION("""COMPUTED_VALUE"""),"-33.766662,-70.722252")</f>
        <v>-33.766662,-70.722252</v>
      </c>
      <c r="C8993" s="6" t="str">
        <f ca="1">IFERROR(__xludf.DUMMYFUNCTION("""COMPUTED_VALUE"""),"11 DE SEPTIEMBRE PARCELA 58 ")</f>
        <v xml:space="preserve">11 DE SEPTIEMBRE PARCELA 58 </v>
      </c>
      <c r="D8993" s="6" t="str">
        <f ca="1">IFERROR(__xludf.DUMMYFUNCTION("""COMPUTED_VALUE"""),"MELIPILLA")</f>
        <v>MELIPILLA</v>
      </c>
    </row>
    <row r="8994" spans="1:4">
      <c r="A8994" s="7">
        <f ca="1">IFERROR(__xludf.DUMMYFUNCTION("""COMPUTED_VALUE"""),44736)</f>
        <v>44736</v>
      </c>
      <c r="B8994" s="8" t="str">
        <f ca="1">IFERROR(__xludf.DUMMYFUNCTION("""COMPUTED_VALUE"""),"-33.867016, -70.8431296")</f>
        <v>-33.867016, -70.8431296</v>
      </c>
      <c r="C8994" s="6" t="str">
        <f ca="1">IFERROR(__xludf.DUMMYFUNCTION("""COMPUTED_VALUE"""),"MANZANILLO 7")</f>
        <v>MANZANILLO 7</v>
      </c>
      <c r="D8994" s="6" t="str">
        <f ca="1">IFERROR(__xludf.DUMMYFUNCTION("""COMPUTED_VALUE"""),"PAINE")</f>
        <v>PAINE</v>
      </c>
    </row>
    <row r="8995" spans="1:4">
      <c r="A8995" s="7">
        <f ca="1">IFERROR(__xludf.DUMMYFUNCTION("""COMPUTED_VALUE"""),44736)</f>
        <v>44736</v>
      </c>
      <c r="B8995" s="6" t="str">
        <f ca="1">IFERROR(__xludf.DUMMYFUNCTION("""COMPUTED_VALUE"""),"-33.71771-70.32974")</f>
        <v>-33.71771-70.32974</v>
      </c>
      <c r="C8995" s="6" t="str">
        <f ca="1">IFERROR(__xludf.DUMMYFUNCTION("""COMPUTED_VALUE"""),"CAMINO AL VOLCAN 29484")</f>
        <v>CAMINO AL VOLCAN 29484</v>
      </c>
      <c r="D8995" s="6" t="str">
        <f ca="1">IFERROR(__xludf.DUMMYFUNCTION("""COMPUTED_VALUE"""),"SAN JOSE DE MAIPO")</f>
        <v>SAN JOSE DE MAIPO</v>
      </c>
    </row>
    <row r="8996" spans="1:4">
      <c r="A8996" s="7">
        <f ca="1">IFERROR(__xludf.DUMMYFUNCTION("""COMPUTED_VALUE"""),44736)</f>
        <v>44736</v>
      </c>
      <c r="B8996" s="6" t="str">
        <f ca="1">IFERROR(__xludf.DUMMYFUNCTION("""COMPUTED_VALUE"""),"-33.70884-70.33266")</f>
        <v>-33.70884-70.33266</v>
      </c>
      <c r="C8996" s="6" t="str">
        <f ca="1">IFERROR(__xludf.DUMMYFUNCTION("""COMPUTED_VALUE"""),"CAMINO AL VOLCAN 28898")</f>
        <v>CAMINO AL VOLCAN 28898</v>
      </c>
      <c r="D8996" s="6" t="str">
        <f ca="1">IFERROR(__xludf.DUMMYFUNCTION("""COMPUTED_VALUE"""),"SAN JOSE DE MAIPO")</f>
        <v>SAN JOSE DE MAIPO</v>
      </c>
    </row>
    <row r="8997" spans="1:4">
      <c r="A8997" s="7">
        <f ca="1">IFERROR(__xludf.DUMMYFUNCTION("""COMPUTED_VALUE"""),44736)</f>
        <v>44736</v>
      </c>
      <c r="B8997" s="6" t="str">
        <f ca="1">IFERROR(__xludf.DUMMYFUNCTION("""COMPUTED_VALUE"""),"-33.813124-70.730630")</f>
        <v>-33.813124-70.730630</v>
      </c>
      <c r="C8997" s="6" t="str">
        <f ca="1">IFERROR(__xludf.DUMMYFUNCTION("""COMPUTED_VALUE"""),"ANELEY 857")</f>
        <v>ANELEY 857</v>
      </c>
      <c r="D8997" s="6" t="str">
        <f ca="1">IFERROR(__xludf.DUMMYFUNCTION("""COMPUTED_VALUE"""),"PAINE")</f>
        <v>PAINE</v>
      </c>
    </row>
    <row r="8998" spans="1:4">
      <c r="A8998" s="7">
        <f ca="1">IFERROR(__xludf.DUMMYFUNCTION("""COMPUTED_VALUE"""),44736)</f>
        <v>44736</v>
      </c>
      <c r="B8998" s="6" t="str">
        <f ca="1">IFERROR(__xludf.DUMMYFUNCTION("""COMPUTED_VALUE"""),"-33.855398-70.741006")</f>
        <v>-33.855398-70.741006</v>
      </c>
      <c r="C8998" s="6" t="str">
        <f ca="1">IFERROR(__xludf.DUMMYFUNCTION("""COMPUTED_VALUE"""),"AV. EL ROMERO 29")</f>
        <v>AV. EL ROMERO 29</v>
      </c>
      <c r="D8998" s="6" t="str">
        <f ca="1">IFERROR(__xludf.DUMMYFUNCTION("""COMPUTED_VALUE"""),"PAINE")</f>
        <v>PAINE</v>
      </c>
    </row>
    <row r="8999" spans="1:4">
      <c r="A8999" s="7">
        <f ca="1">IFERROR(__xludf.DUMMYFUNCTION("""COMPUTED_VALUE"""),44736)</f>
        <v>44736</v>
      </c>
      <c r="B8999" s="8" t="str">
        <f ca="1">IFERROR(__xludf.DUMMYFUNCTION("""COMPUTED_VALUE"""),"-33.707589,-70.542034")</f>
        <v>-33.707589,-70.542034</v>
      </c>
      <c r="C8999" s="6" t="str">
        <f ca="1">IFERROR(__xludf.DUMMYFUNCTION("""COMPUTED_VALUE"""),"ORILLAS DEL RIO 161")</f>
        <v>ORILLAS DEL RIO 161</v>
      </c>
      <c r="D8999" s="6" t="str">
        <f ca="1">IFERROR(__xludf.DUMMYFUNCTION("""COMPUTED_VALUE"""),"PIRQUE")</f>
        <v>PIRQUE</v>
      </c>
    </row>
    <row r="9000" spans="1:4">
      <c r="A9000" s="7">
        <f ca="1">IFERROR(__xludf.DUMMYFUNCTION("""COMPUTED_VALUE"""),44736)</f>
        <v>44736</v>
      </c>
      <c r="B9000" s="8" t="str">
        <f ca="1">IFERROR(__xludf.DUMMYFUNCTION("""COMPUTED_VALUE"""),"-33.703845,-70.557106")</f>
        <v>-33.703845,-70.557106</v>
      </c>
      <c r="C9000" s="6" t="str">
        <f ca="1">IFERROR(__xludf.DUMMYFUNCTION("""COMPUTED_VALUE"""),"CALLE EL ANOMO 667")</f>
        <v>CALLE EL ANOMO 667</v>
      </c>
      <c r="D9000" s="6" t="str">
        <f ca="1">IFERROR(__xludf.DUMMYFUNCTION("""COMPUTED_VALUE"""),"PIRQUE")</f>
        <v>PIRQUE</v>
      </c>
    </row>
    <row r="9001" spans="1:4">
      <c r="A9001" s="7">
        <f ca="1">IFERROR(__xludf.DUMMYFUNCTION("""COMPUTED_VALUE"""),44736)</f>
        <v>44736</v>
      </c>
      <c r="B9001" s="6" t="str">
        <f ca="1">IFERROR(__xludf.DUMMYFUNCTION("""COMPUTED_VALUE"""),"-33.699046,-70.899587")</f>
        <v>-33.699046,-70.899587</v>
      </c>
      <c r="C9001" s="6" t="str">
        <f ca="1">IFERROR(__xludf.DUMMYFUNCTION("""COMPUTED_VALUE"""),"CARAMPAGUE 1270 PARCELA 63 1270")</f>
        <v>CARAMPAGUE 1270 PARCELA 63 1270</v>
      </c>
      <c r="D9001" s="6" t="str">
        <f ca="1">IFERROR(__xludf.DUMMYFUNCTION("""COMPUTED_VALUE"""),"ISLA DE MAIPO")</f>
        <v>ISLA DE MAIPO</v>
      </c>
    </row>
    <row r="9002" spans="1:4">
      <c r="A9002" s="7">
        <f ca="1">IFERROR(__xludf.DUMMYFUNCTION("""COMPUTED_VALUE"""),44736)</f>
        <v>44736</v>
      </c>
      <c r="B9002" s="6" t="str">
        <f ca="1">IFERROR(__xludf.DUMMYFUNCTION("""COMPUTED_VALUE"""),"-33.699046,-70.899587")</f>
        <v>-33.699046,-70.899587</v>
      </c>
      <c r="C9002" s="6" t="str">
        <f ca="1">IFERROR(__xludf.DUMMYFUNCTION("""COMPUTED_VALUE"""),"CARAMPAGUE 1270 PARCELA 63 1270")</f>
        <v>CARAMPAGUE 1270 PARCELA 63 1270</v>
      </c>
      <c r="D9002" s="6" t="str">
        <f ca="1">IFERROR(__xludf.DUMMYFUNCTION("""COMPUTED_VALUE"""),"ISLA DE MAIPO")</f>
        <v>ISLA DE MAIPO</v>
      </c>
    </row>
    <row r="9003" spans="1:4">
      <c r="A9003" s="7">
        <f ca="1">IFERROR(__xludf.DUMMYFUNCTION("""COMPUTED_VALUE"""),44736)</f>
        <v>44736</v>
      </c>
      <c r="B9003" s="6" t="str">
        <f ca="1">IFERROR(__xludf.DUMMYFUNCTION("""COMPUTED_VALUE"""),"-33.704056,-70.845464")</f>
        <v>-33.704056,-70.845464</v>
      </c>
      <c r="C9003" s="6" t="str">
        <f ca="1">IFERROR(__xludf.DUMMYFUNCTION("""COMPUTED_VALUE"""),"SITIO 6  SECTOR EL LABRADOR ")</f>
        <v xml:space="preserve">SITIO 6  SECTOR EL LABRADOR </v>
      </c>
      <c r="D9003" s="6" t="str">
        <f ca="1">IFERROR(__xludf.DUMMYFUNCTION("""COMPUTED_VALUE"""),"TALAGANTE")</f>
        <v>TALAGANTE</v>
      </c>
    </row>
    <row r="9004" spans="1:4">
      <c r="A9004" s="7">
        <f ca="1">IFERROR(__xludf.DUMMYFUNCTION("""COMPUTED_VALUE"""),44736)</f>
        <v>44736</v>
      </c>
      <c r="B9004" s="6" t="str">
        <f ca="1">IFERROR(__xludf.DUMMYFUNCTION("""COMPUTED_VALUE"""),"-33.775984,-71.254843")</f>
        <v>-33.775984,-71.254843</v>
      </c>
      <c r="C9004" s="6" t="str">
        <f ca="1">IFERROR(__xludf.DUMMYFUNCTION("""COMPUTED_VALUE"""),"SAN MANUEL LOTE 12")</f>
        <v>SAN MANUEL LOTE 12</v>
      </c>
      <c r="D9004" s="6" t="str">
        <f ca="1">IFERROR(__xludf.DUMMYFUNCTION("""COMPUTED_VALUE"""),"MELIPILLA")</f>
        <v>MELIPILLA</v>
      </c>
    </row>
    <row r="9005" spans="1:4">
      <c r="A9005" s="7">
        <f ca="1">IFERROR(__xludf.DUMMYFUNCTION("""COMPUTED_VALUE"""),44736)</f>
        <v>44736</v>
      </c>
      <c r="B9005" s="8" t="str">
        <f ca="1">IFERROR(__xludf.DUMMYFUNCTION("""COMPUTED_VALUE"""),"-33.612004,-71.231099")</f>
        <v>-33.612004,-71.231099</v>
      </c>
      <c r="C9005" s="6" t="str">
        <f ca="1">IFERROR(__xludf.DUMMYFUNCTION("""COMPUTED_VALUE"""),"GOLONDRINAS 52")</f>
        <v>GOLONDRINAS 52</v>
      </c>
      <c r="D9005" s="6" t="str">
        <f ca="1">IFERROR(__xludf.DUMMYFUNCTION("""COMPUTED_VALUE"""),"MELIPILLA")</f>
        <v>MELIPILLA</v>
      </c>
    </row>
    <row r="9006" spans="1:4">
      <c r="A9006" s="7">
        <f ca="1">IFERROR(__xludf.DUMMYFUNCTION("""COMPUTED_VALUE"""),44736)</f>
        <v>44736</v>
      </c>
      <c r="B9006" s="8" t="str">
        <f ca="1">IFERROR(__xludf.DUMMYFUNCTION("""COMPUTED_VALUE"""),"-33.778687,-71.259469")</f>
        <v>-33.778687,-71.259469</v>
      </c>
      <c r="C9006" s="6" t="str">
        <f ca="1">IFERROR(__xludf.DUMMYFUNCTION("""COMPUTED_VALUE"""),"RUTA G-60 KM16 CULIPRAN")</f>
        <v>RUTA G-60 KM16 CULIPRAN</v>
      </c>
      <c r="D9006" s="6" t="str">
        <f ca="1">IFERROR(__xludf.DUMMYFUNCTION("""COMPUTED_VALUE"""),"MELIPILLA")</f>
        <v>MELIPILLA</v>
      </c>
    </row>
    <row r="9007" spans="1:4">
      <c r="A9007" s="7">
        <f ca="1">IFERROR(__xludf.DUMMYFUNCTION("""COMPUTED_VALUE"""),44736)</f>
        <v>44736</v>
      </c>
      <c r="B9007" s="8" t="str">
        <f ca="1">IFERROR(__xludf.DUMMYFUNCTION("""COMPUTED_VALUE"""),"-33.301733,-70.837830")</f>
        <v>-33.301733,-70.837830</v>
      </c>
      <c r="C9007" s="6" t="str">
        <f ca="1">IFERROR(__xludf.DUMMYFUNCTION("""COMPUTED_VALUE"""),"CAMINO INTERIOR S/N")</f>
        <v>CAMINO INTERIOR S/N</v>
      </c>
      <c r="D9007" s="6" t="str">
        <f ca="1">IFERROR(__xludf.DUMMYFUNCTION("""COMPUTED_VALUE"""),"MELIPILLA")</f>
        <v>MELIPILLA</v>
      </c>
    </row>
    <row r="9008" spans="1:4">
      <c r="A9008" s="7">
        <f ca="1">IFERROR(__xludf.DUMMYFUNCTION("""COMPUTED_VALUE"""),44736)</f>
        <v>44736</v>
      </c>
      <c r="B9008" s="6" t="str">
        <f ca="1">IFERROR(__xludf.DUMMYFUNCTION("""COMPUTED_VALUE"""),"-33.30847822,-70.7335025")</f>
        <v>-33.30847822,-70.7335025</v>
      </c>
      <c r="C9008" s="6" t="str">
        <f ca="1">IFERROR(__xludf.DUMMYFUNCTION("""COMPUTED_VALUE"""),"PASAJE EL PEUMO 464")</f>
        <v>PASAJE EL PEUMO 464</v>
      </c>
      <c r="D9008" s="6" t="str">
        <f ca="1">IFERROR(__xludf.DUMMYFUNCTION("""COMPUTED_VALUE"""),"PAINE")</f>
        <v>PAINE</v>
      </c>
    </row>
    <row r="9009" spans="1:4">
      <c r="A9009" s="7">
        <f ca="1">IFERROR(__xludf.DUMMYFUNCTION("""COMPUTED_VALUE"""),44736)</f>
        <v>44736</v>
      </c>
      <c r="B9009" s="6" t="str">
        <f ca="1">IFERROR(__xludf.DUMMYFUNCTION("""COMPUTED_VALUE"""),"-33.8119216,-70.7293374")</f>
        <v>-33.8119216,-70.7293374</v>
      </c>
      <c r="C9009" s="6" t="str">
        <f ca="1">IFERROR(__xludf.DUMMYFUNCTION("""COMPUTED_VALUE"""),"RAYQUEN 916")</f>
        <v>RAYQUEN 916</v>
      </c>
      <c r="D9009" s="6" t="str">
        <f ca="1">IFERROR(__xludf.DUMMYFUNCTION("""COMPUTED_VALUE"""),"PAINE")</f>
        <v>PAINE</v>
      </c>
    </row>
    <row r="9010" spans="1:4">
      <c r="A9010" s="7">
        <f ca="1">IFERROR(__xludf.DUMMYFUNCTION("""COMPUTED_VALUE"""),44736)</f>
        <v>44736</v>
      </c>
      <c r="B9010" s="6" t="str">
        <f ca="1">IFERROR(__xludf.DUMMYFUNCTION("""COMPUTED_VALUE"""),"-33.807039,-70.732360")</f>
        <v>-33.807039,-70.732360</v>
      </c>
      <c r="C9010" s="6" t="str">
        <f ca="1">IFERROR(__xludf.DUMMYFUNCTION("""COMPUTED_VALUE"""),"EL COIHUE 647")</f>
        <v>EL COIHUE 647</v>
      </c>
      <c r="D9010" s="6" t="str">
        <f ca="1">IFERROR(__xludf.DUMMYFUNCTION("""COMPUTED_VALUE"""),"PAINE")</f>
        <v>PAINE</v>
      </c>
    </row>
    <row r="9011" spans="1:4">
      <c r="A9011" s="7">
        <f ca="1">IFERROR(__xludf.DUMMYFUNCTION("""COMPUTED_VALUE"""),44737)</f>
        <v>44737</v>
      </c>
      <c r="B9011" s="6" t="str">
        <f ca="1">IFERROR(__xludf.DUMMYFUNCTION("""COMPUTED_VALUE"""),"-33.414865-71.094696")</f>
        <v>-33.414865-71.094696</v>
      </c>
      <c r="C9011" s="6" t="str">
        <f ca="1">IFERROR(__xludf.DUMMYFUNCTION("""COMPUTED_VALUE"""),"CAMPO LINDO PARC 43")</f>
        <v>CAMPO LINDO PARC 43</v>
      </c>
      <c r="D9011" s="6" t="str">
        <f ca="1">IFERROR(__xludf.DUMMYFUNCTION("""COMPUTED_VALUE"""),"CURACAVI")</f>
        <v>CURACAVI</v>
      </c>
    </row>
    <row r="9012" spans="1:4">
      <c r="A9012" s="7">
        <f ca="1">IFERROR(__xludf.DUMMYFUNCTION("""COMPUTED_VALUE"""),44737)</f>
        <v>44737</v>
      </c>
      <c r="B9012" s="6" t="str">
        <f ca="1">IFERROR(__xludf.DUMMYFUNCTION("""COMPUTED_VALUE"""),"-33.352671-71.159650")</f>
        <v>-33.352671-71.159650</v>
      </c>
      <c r="C9012" s="6" t="str">
        <f ca="1">IFERROR(__xludf.DUMMYFUNCTION("""COMPUTED_VALUE"""),"FUNDO EL MAUCO PARCELA 155")</f>
        <v>FUNDO EL MAUCO PARCELA 155</v>
      </c>
      <c r="D9012" s="6" t="str">
        <f ca="1">IFERROR(__xludf.DUMMYFUNCTION("""COMPUTED_VALUE"""),"CURACAVI")</f>
        <v>CURACAVI</v>
      </c>
    </row>
    <row r="9013" spans="1:4">
      <c r="A9013" s="7">
        <f ca="1">IFERROR(__xludf.DUMMYFUNCTION("""COMPUTED_VALUE"""),44737)</f>
        <v>44737</v>
      </c>
      <c r="B9013" s="8" t="str">
        <f ca="1">IFERROR(__xludf.DUMMYFUNCTION("""COMPUTED_VALUE"""),"33.685477,-71.007111")</f>
        <v>33.685477,-71.007111</v>
      </c>
      <c r="C9013" s="6" t="str">
        <f ca="1">IFERROR(__xludf.DUMMYFUNCTION("""COMPUTED_VALUE"""),"LAS DOSAS 980")</f>
        <v>LAS DOSAS 980</v>
      </c>
      <c r="D9013" s="6" t="str">
        <f ca="1">IFERROR(__xludf.DUMMYFUNCTION("""COMPUTED_VALUE"""),"EL MONTE")</f>
        <v>EL MONTE</v>
      </c>
    </row>
    <row r="9014" spans="1:4">
      <c r="A9014" s="7">
        <f ca="1">IFERROR(__xludf.DUMMYFUNCTION("""COMPUTED_VALUE"""),44737)</f>
        <v>44737</v>
      </c>
      <c r="B9014" s="8" t="str">
        <f ca="1">IFERROR(__xludf.DUMMYFUNCTION("""COMPUTED_VALUE"""),"-33.721406,-70.554576")</f>
        <v>-33.721406,-70.554576</v>
      </c>
      <c r="C9014" s="6" t="str">
        <f ca="1">IFERROR(__xludf.DUMMYFUNCTION("""COMPUTED_VALUE"""),"POBLACION NAVARRETE 130")</f>
        <v>POBLACION NAVARRETE 130</v>
      </c>
      <c r="D9014" s="6" t="str">
        <f ca="1">IFERROR(__xludf.DUMMYFUNCTION("""COMPUTED_VALUE"""),"PIRQUE")</f>
        <v>PIRQUE</v>
      </c>
    </row>
    <row r="9015" spans="1:4">
      <c r="A9015" s="7">
        <f ca="1">IFERROR(__xludf.DUMMYFUNCTION("""COMPUTED_VALUE"""),44737)</f>
        <v>44737</v>
      </c>
      <c r="B9015" s="8" t="str">
        <f ca="1">IFERROR(__xludf.DUMMYFUNCTION("""COMPUTED_VALUE"""),"-33.548205,-70.670472")</f>
        <v>-33.548205,-70.670472</v>
      </c>
      <c r="C9015" s="6" t="str">
        <f ca="1">IFERROR(__xludf.DUMMYFUNCTION("""COMPUTED_VALUE"""),"CALLE LA ESCUELA 85")</f>
        <v>CALLE LA ESCUELA 85</v>
      </c>
      <c r="D9015" s="6" t="str">
        <f ca="1">IFERROR(__xludf.DUMMYFUNCTION("""COMPUTED_VALUE"""),"PIRQUE")</f>
        <v>PIRQUE</v>
      </c>
    </row>
    <row r="9016" spans="1:4">
      <c r="A9016" s="7">
        <f ca="1">IFERROR(__xludf.DUMMYFUNCTION("""COMPUTED_VALUE"""),44737)</f>
        <v>44737</v>
      </c>
      <c r="B9016" s="6" t="str">
        <f ca="1">IFERROR(__xludf.DUMMYFUNCTION("""COMPUTED_VALUE"""),"-33.624694,-71.267054")</f>
        <v>-33.624694,-71.267054</v>
      </c>
      <c r="C9016" s="6" t="str">
        <f ca="1">IFERROR(__xludf.DUMMYFUNCTION("""COMPUTED_VALUE"""),"VILLA ALEGRE  S/N")</f>
        <v>VILLA ALEGRE  S/N</v>
      </c>
      <c r="D9016" s="6" t="str">
        <f ca="1">IFERROR(__xludf.DUMMYFUNCTION("""COMPUTED_VALUE"""),"MELIPILLA")</f>
        <v>MELIPILLA</v>
      </c>
    </row>
    <row r="9017" spans="1:4">
      <c r="A9017" s="7">
        <f ca="1">IFERROR(__xludf.DUMMYFUNCTION("""COMPUTED_VALUE"""),44737)</f>
        <v>44737</v>
      </c>
      <c r="B9017" s="6" t="str">
        <f ca="1">IFERROR(__xludf.DUMMYFUNCTION("""COMPUTED_VALUE"""),"-33.715954,-70.851547")</f>
        <v>-33.715954,-70.851547</v>
      </c>
      <c r="C9017" s="6" t="str">
        <f ca="1">IFERROR(__xludf.DUMMYFUNCTION("""COMPUTED_VALUE"""),"BALMACEDA 7200")</f>
        <v>BALMACEDA 7200</v>
      </c>
      <c r="D9017" s="6" t="str">
        <f ca="1">IFERROR(__xludf.DUMMYFUNCTION("""COMPUTED_VALUE"""),"ISLA DE MAIPO")</f>
        <v>ISLA DE MAIPO</v>
      </c>
    </row>
    <row r="9018" spans="1:4">
      <c r="A9018" s="7">
        <f ca="1">IFERROR(__xludf.DUMMYFUNCTION("""COMPUTED_VALUE"""),44739)</f>
        <v>44739</v>
      </c>
      <c r="B9018" s="6" t="str">
        <f ca="1">IFERROR(__xludf.DUMMYFUNCTION("""COMPUTED_VALUE"""),"-33.20443-70.67474")</f>
        <v>-33.20443-70.67474</v>
      </c>
      <c r="C9018" s="6" t="str">
        <f ca="1">IFERROR(__xludf.DUMMYFUNCTION("""COMPUTED_VALUE"""),"PADRE HURTADO 55")</f>
        <v>PADRE HURTADO 55</v>
      </c>
      <c r="D9018" s="6" t="str">
        <f ca="1">IFERROR(__xludf.DUMMYFUNCTION("""COMPUTED_VALUE"""),"COLINA")</f>
        <v>COLINA</v>
      </c>
    </row>
    <row r="9019" spans="1:4">
      <c r="A9019" s="7">
        <f ca="1">IFERROR(__xludf.DUMMYFUNCTION("""COMPUTED_VALUE"""),44740)</f>
        <v>44740</v>
      </c>
      <c r="B9019" s="8" t="str">
        <f ca="1">IFERROR(__xludf.DUMMYFUNCTION("""COMPUTED_VALUE"""),"-33.725081,-70.553125")</f>
        <v>-33.725081,-70.553125</v>
      </c>
      <c r="C9019" s="6" t="str">
        <f ca="1">IFERROR(__xludf.DUMMYFUNCTION("""COMPUTED_VALUE"""),"LOS CORRALES 104")</f>
        <v>LOS CORRALES 104</v>
      </c>
      <c r="D9019" s="6" t="str">
        <f ca="1">IFERROR(__xludf.DUMMYFUNCTION("""COMPUTED_VALUE"""),"PIRQUE")</f>
        <v>PIRQUE</v>
      </c>
    </row>
    <row r="9020" spans="1:4">
      <c r="A9020" s="7">
        <f ca="1">IFERROR(__xludf.DUMMYFUNCTION("""COMPUTED_VALUE"""),44740)</f>
        <v>44740</v>
      </c>
      <c r="B9020" s="6" t="str">
        <f ca="1">IFERROR(__xludf.DUMMYFUNCTION("""COMPUTED_VALUE"""),"-33.774180,-70.902260")</f>
        <v>-33.774180,-70.902260</v>
      </c>
      <c r="C9020" s="6" t="str">
        <f ca="1">IFERROR(__xludf.DUMMYFUNCTION("""COMPUTED_VALUE"""),"OLEA 74")</f>
        <v>OLEA 74</v>
      </c>
      <c r="D9020" s="6" t="str">
        <f ca="1">IFERROR(__xludf.DUMMYFUNCTION("""COMPUTED_VALUE"""),"ISLA DE MAIPO")</f>
        <v>ISLA DE MAIPO</v>
      </c>
    </row>
    <row r="9021" spans="1:4">
      <c r="A9021" s="7">
        <f ca="1">IFERROR(__xludf.DUMMYFUNCTION("""COMPUTED_VALUE"""),44740)</f>
        <v>44740</v>
      </c>
      <c r="B9021" s="6" t="str">
        <f ca="1">IFERROR(__xludf.DUMMYFUNCTION("""COMPUTED_VALUE"""),"-33.665985,-70.326983")</f>
        <v>-33.665985,-70.326983</v>
      </c>
      <c r="C9021" s="6" t="str">
        <f ca="1">IFERROR(__xludf.DUMMYFUNCTION("""COMPUTED_VALUE"""),"PA DOS 1084")</f>
        <v>PA DOS 1084</v>
      </c>
      <c r="D9021" s="6" t="str">
        <f ca="1">IFERROR(__xludf.DUMMYFUNCTION("""COMPUTED_VALUE"""),"TALAGANTE")</f>
        <v>TALAGANTE</v>
      </c>
    </row>
    <row r="9022" spans="1:4">
      <c r="A9022" s="7">
        <f ca="1">IFERROR(__xludf.DUMMYFUNCTION("""COMPUTED_VALUE"""),44740)</f>
        <v>44740</v>
      </c>
      <c r="B9022" s="6" t="str">
        <f ca="1">IFERROR(__xludf.DUMMYFUNCTION("""COMPUTED_VALUE"""),"-33.733121,-70.764622")</f>
        <v>-33.733121,-70.764622</v>
      </c>
      <c r="C9022" s="6" t="str">
        <f ca="1">IFERROR(__xludf.DUMMYFUNCTION("""COMPUTED_VALUE"""),"PA JURI OPAZO 2211")</f>
        <v>PA JURI OPAZO 2211</v>
      </c>
      <c r="D9022" s="6" t="str">
        <f ca="1">IFERROR(__xludf.DUMMYFUNCTION("""COMPUTED_VALUE"""),"BUIN")</f>
        <v>BUIN</v>
      </c>
    </row>
    <row r="9023" spans="1:4">
      <c r="A9023" s="7">
        <f ca="1">IFERROR(__xludf.DUMMYFUNCTION("""COMPUTED_VALUE"""),44740)</f>
        <v>44740</v>
      </c>
      <c r="B9023" s="8" t="str">
        <f ca="1">IFERROR(__xludf.DUMMYFUNCTION("""COMPUTED_VALUE"""),"-33.763257,-71.274380")</f>
        <v>-33.763257,-71.274380</v>
      </c>
      <c r="C9023" s="6" t="str">
        <f ca="1">IFERROR(__xludf.DUMMYFUNCTION("""COMPUTED_VALUE"""),"FUNDO SAN MANUEL S/N")</f>
        <v>FUNDO SAN MANUEL S/N</v>
      </c>
      <c r="D9023" s="6" t="str">
        <f ca="1">IFERROR(__xludf.DUMMYFUNCTION("""COMPUTED_VALUE"""),"MELIPILLA")</f>
        <v>MELIPILLA</v>
      </c>
    </row>
    <row r="9024" spans="1:4">
      <c r="A9024" s="7">
        <f ca="1">IFERROR(__xludf.DUMMYFUNCTION("""COMPUTED_VALUE"""),44740)</f>
        <v>44740</v>
      </c>
      <c r="B9024" s="8" t="str">
        <f ca="1">IFERROR(__xludf.DUMMYFUNCTION("""COMPUTED_VALUE"""),"-33.763257,-71.274381")</f>
        <v>-33.763257,-71.274381</v>
      </c>
      <c r="C9024" s="6" t="str">
        <f ca="1">IFERROR(__xludf.DUMMYFUNCTION("""COMPUTED_VALUE"""),"FUNDO SAN MANUEL S/N")</f>
        <v>FUNDO SAN MANUEL S/N</v>
      </c>
      <c r="D9024" s="6" t="str">
        <f ca="1">IFERROR(__xludf.DUMMYFUNCTION("""COMPUTED_VALUE"""),"MELIPILLA")</f>
        <v>MELIPILLA</v>
      </c>
    </row>
    <row r="9025" spans="1:4">
      <c r="A9025" s="7">
        <f ca="1">IFERROR(__xludf.DUMMYFUNCTION("""COMPUTED_VALUE"""),44741)</f>
        <v>44741</v>
      </c>
      <c r="B9025" s="8" t="str">
        <f ca="1">IFERROR(__xludf.DUMMYFUNCTION("""COMPUTED_VALUE"""),"-33.430253,-70.667149")</f>
        <v>-33.430253,-70.667149</v>
      </c>
      <c r="C9025" s="6" t="str">
        <f ca="1">IFERROR(__xludf.DUMMYFUNCTION("""COMPUTED_VALUE"""),"MAXIMO VALDES 2684")</f>
        <v>MAXIMO VALDES 2684</v>
      </c>
      <c r="D9025" s="6" t="str">
        <f ca="1">IFERROR(__xludf.DUMMYFUNCTION("""COMPUTED_VALUE"""),"PIRQUE")</f>
        <v>PIRQUE</v>
      </c>
    </row>
    <row r="9026" spans="1:4">
      <c r="A9026" s="7">
        <f ca="1">IFERROR(__xludf.DUMMYFUNCTION("""COMPUTED_VALUE"""),44741)</f>
        <v>44741</v>
      </c>
      <c r="B9026" s="8" t="str">
        <f ca="1">IFERROR(__xludf.DUMMYFUNCTION("""COMPUTED_VALUE"""),"-33.430253,-70.667149")</f>
        <v>-33.430253,-70.667149</v>
      </c>
      <c r="C9026" s="6" t="str">
        <f ca="1">IFERROR(__xludf.DUMMYFUNCTION("""COMPUTED_VALUE"""),"MAXIMO VALDES 2684")</f>
        <v>MAXIMO VALDES 2684</v>
      </c>
      <c r="D9026" s="6" t="str">
        <f ca="1">IFERROR(__xludf.DUMMYFUNCTION("""COMPUTED_VALUE"""),"PIRQUE")</f>
        <v>PIRQUE</v>
      </c>
    </row>
    <row r="9027" spans="1:4">
      <c r="A9027" s="7">
        <f ca="1">IFERROR(__xludf.DUMMYFUNCTION("""COMPUTED_VALUE"""),44741)</f>
        <v>44741</v>
      </c>
      <c r="B9027" s="8" t="str">
        <f ca="1">IFERROR(__xludf.DUMMYFUNCTION("""COMPUTED_VALUE"""),"-33.719484,-70.577808")</f>
        <v>-33.719484,-70.577808</v>
      </c>
      <c r="C9027" s="6" t="str">
        <f ca="1">IFERROR(__xludf.DUMMYFUNCTION("""COMPUTED_VALUE"""),"LOTEO DINAMARCA 81 B")</f>
        <v>LOTEO DINAMARCA 81 B</v>
      </c>
      <c r="D9027" s="6" t="str">
        <f ca="1">IFERROR(__xludf.DUMMYFUNCTION("""COMPUTED_VALUE"""),"PIRQUE")</f>
        <v>PIRQUE</v>
      </c>
    </row>
    <row r="9028" spans="1:4">
      <c r="A9028" s="7">
        <f ca="1">IFERROR(__xludf.DUMMYFUNCTION("""COMPUTED_VALUE"""),44741)</f>
        <v>44741</v>
      </c>
      <c r="B9028" s="6" t="str">
        <f ca="1">IFERROR(__xludf.DUMMYFUNCTION("""COMPUTED_VALUE"""),"-33.279681,-70.863735")</f>
        <v>-33.279681,-70.863735</v>
      </c>
      <c r="C9028" s="6" t="str">
        <f ca="1">IFERROR(__xludf.DUMMYFUNCTION("""COMPUTED_VALUE"""),"CAMINA A LAMPA SITIO 3C")</f>
        <v>CAMINA A LAMPA SITIO 3C</v>
      </c>
      <c r="D9028" s="6" t="str">
        <f ca="1">IFERROR(__xludf.DUMMYFUNCTION("""COMPUTED_VALUE"""),"LAMPA")</f>
        <v>LAMPA</v>
      </c>
    </row>
    <row r="9029" spans="1:4">
      <c r="A9029" s="7">
        <f ca="1">IFERROR(__xludf.DUMMYFUNCTION("""COMPUTED_VALUE"""),44741)</f>
        <v>44741</v>
      </c>
      <c r="B9029" s="6" t="str">
        <f ca="1">IFERROR(__xludf.DUMMYFUNCTION("""COMPUTED_VALUE"""),"-33.279879,-70.863642")</f>
        <v>-33.279879,-70.863642</v>
      </c>
      <c r="C9029" s="6" t="str">
        <f ca="1">IFERROR(__xludf.DUMMYFUNCTION("""COMPUTED_VALUE"""),"RUTA G 150 SITIO 3 B")</f>
        <v>RUTA G 150 SITIO 3 B</v>
      </c>
      <c r="D9029" s="6" t="str">
        <f ca="1">IFERROR(__xludf.DUMMYFUNCTION("""COMPUTED_VALUE"""),"LAMPA")</f>
        <v>LAMPA</v>
      </c>
    </row>
    <row r="9030" spans="1:4">
      <c r="A9030" s="7">
        <f ca="1">IFERROR(__xludf.DUMMYFUNCTION("""COMPUTED_VALUE"""),44741)</f>
        <v>44741</v>
      </c>
      <c r="B9030" s="6" t="str">
        <f ca="1">IFERROR(__xludf.DUMMYFUNCTION("""COMPUTED_VALUE"""),"-33.731399,-71.025339")</f>
        <v>-33.731399,-71.025339</v>
      </c>
      <c r="C9030" s="6" t="str">
        <f ca="1">IFERROR(__xludf.DUMMYFUNCTION("""COMPUTED_VALUE"""),"AV PRINCIPAL 12797")</f>
        <v>AV PRINCIPAL 12797</v>
      </c>
      <c r="D9030" s="6" t="str">
        <f ca="1">IFERROR(__xludf.DUMMYFUNCTION("""COMPUTED_VALUE"""),"ISLA DE MAIPO")</f>
        <v>ISLA DE MAIPO</v>
      </c>
    </row>
    <row r="9031" spans="1:4">
      <c r="A9031" s="7">
        <f ca="1">IFERROR(__xludf.DUMMYFUNCTION("""COMPUTED_VALUE"""),44741)</f>
        <v>44741</v>
      </c>
      <c r="B9031" s="6" t="str">
        <f ca="1">IFERROR(__xludf.DUMMYFUNCTION("""COMPUTED_VALUE"""),"-33.739585,-70.866431")</f>
        <v>-33.739585,-70.866431</v>
      </c>
      <c r="C9031" s="6" t="str">
        <f ca="1">IFERROR(__xludf.DUMMYFUNCTION("""COMPUTED_VALUE"""),"VISTA HERMOSA 399")</f>
        <v>VISTA HERMOSA 399</v>
      </c>
      <c r="D9031" s="6" t="str">
        <f ca="1">IFERROR(__xludf.DUMMYFUNCTION("""COMPUTED_VALUE"""),"ISLA DE MAIPO")</f>
        <v>ISLA DE MAIPO</v>
      </c>
    </row>
    <row r="9032" spans="1:4">
      <c r="A9032" s="7">
        <f ca="1">IFERROR(__xludf.DUMMYFUNCTION("""COMPUTED_VALUE"""),44741)</f>
        <v>44741</v>
      </c>
      <c r="B9032" s="6" t="str">
        <f ca="1">IFERROR(__xludf.DUMMYFUNCTION("""COMPUTED_VALUE"""),"-33.596195,-70.781980")</f>
        <v>-33.596195,-70.781980</v>
      </c>
      <c r="C9032" s="6" t="str">
        <f ca="1">IFERROR(__xludf.DUMMYFUNCTION("""COMPUTED_VALUE"""),"SANTA ROSA 8")</f>
        <v>SANTA ROSA 8</v>
      </c>
      <c r="D9032" s="6" t="str">
        <f ca="1">IFERROR(__xludf.DUMMYFUNCTION("""COMPUTED_VALUE"""),"CALERA DE TANGO")</f>
        <v>CALERA DE TANGO</v>
      </c>
    </row>
    <row r="9033" spans="1:4">
      <c r="A9033" s="7">
        <f ca="1">IFERROR(__xludf.DUMMYFUNCTION("""COMPUTED_VALUE"""),44741)</f>
        <v>44741</v>
      </c>
      <c r="B9033" s="8" t="str">
        <f ca="1">IFERROR(__xludf.DUMMYFUNCTION("""COMPUTED_VALUE"""),"-33.672363,-71.173766")</f>
        <v>-33.672363,-71.173766</v>
      </c>
      <c r="C9033" s="6" t="str">
        <f ca="1">IFERROR(__xludf.DUMMYFUNCTION("""COMPUTED_VALUE"""),"FRANCIA 2123 BARRIO ORIENTE ")</f>
        <v xml:space="preserve">FRANCIA 2123 BARRIO ORIENTE </v>
      </c>
      <c r="D9033" s="6" t="str">
        <f ca="1">IFERROR(__xludf.DUMMYFUNCTION("""COMPUTED_VALUE"""),"MELIPILLA")</f>
        <v>MELIPILLA</v>
      </c>
    </row>
    <row r="9034" spans="1:4">
      <c r="A9034" s="7">
        <f ca="1">IFERROR(__xludf.DUMMYFUNCTION("""COMPUTED_VALUE"""),44741)</f>
        <v>44741</v>
      </c>
      <c r="B9034" s="8" t="str">
        <f ca="1">IFERROR(__xludf.DUMMYFUNCTION("""COMPUTED_VALUE"""),"-33.723107,-71.192707")</f>
        <v>-33.723107,-71.192707</v>
      </c>
      <c r="C9034" s="6" t="str">
        <f ca="1">IFERROR(__xludf.DUMMYFUNCTION("""COMPUTED_VALUE"""),"CARMEN BAJO HUERTO 12")</f>
        <v>CARMEN BAJO HUERTO 12</v>
      </c>
      <c r="D9034" s="6" t="str">
        <f ca="1">IFERROR(__xludf.DUMMYFUNCTION("""COMPUTED_VALUE"""),"MELIPILLA")</f>
        <v>MELIPILLA</v>
      </c>
    </row>
    <row r="9035" spans="1:4">
      <c r="A9035" s="7">
        <f ca="1">IFERROR(__xludf.DUMMYFUNCTION("""COMPUTED_VALUE"""),44742)</f>
        <v>44742</v>
      </c>
      <c r="B9035" s="6" t="str">
        <f ca="1">IFERROR(__xludf.DUMMYFUNCTION("""COMPUTED_VALUE"""),"-33.40729-71.13415")</f>
        <v>-33.40729-71.13415</v>
      </c>
      <c r="C9035" s="6" t="str">
        <f ca="1">IFERROR(__xludf.DUMMYFUNCTION("""COMPUTED_VALUE"""),"AV. CIRCUNVALACION 1465")</f>
        <v>AV. CIRCUNVALACION 1465</v>
      </c>
      <c r="D9035" s="6" t="str">
        <f ca="1">IFERROR(__xludf.DUMMYFUNCTION("""COMPUTED_VALUE"""),"CURACAVI")</f>
        <v>CURACAVI</v>
      </c>
    </row>
    <row r="9036" spans="1:4">
      <c r="A9036" s="7">
        <f ca="1">IFERROR(__xludf.DUMMYFUNCTION("""COMPUTED_VALUE"""),44742)</f>
        <v>44742</v>
      </c>
      <c r="B9036" s="6" t="str">
        <f ca="1">IFERROR(__xludf.DUMMYFUNCTION("""COMPUTED_VALUE"""),"-33.39635-71.126860")</f>
        <v>-33.39635-71.126860</v>
      </c>
      <c r="C9036" s="6" t="str">
        <f ca="1">IFERROR(__xludf.DUMMYFUNCTION("""COMPUTED_VALUE"""),"MANUEL LARRAIN 620")</f>
        <v>MANUEL LARRAIN 620</v>
      </c>
      <c r="D9036" s="6" t="str">
        <f ca="1">IFERROR(__xludf.DUMMYFUNCTION("""COMPUTED_VALUE"""),"CURACAVI")</f>
        <v>CURACAVI</v>
      </c>
    </row>
    <row r="9037" spans="1:4">
      <c r="A9037" s="7">
        <f ca="1">IFERROR(__xludf.DUMMYFUNCTION("""COMPUTED_VALUE"""),44742)</f>
        <v>44742</v>
      </c>
      <c r="B9037" s="8" t="str">
        <f ca="1">IFERROR(__xludf.DUMMYFUNCTION("""COMPUTED_VALUE"""),"-33.6759329,-70.5809224")</f>
        <v>-33.6759329,-70.5809224</v>
      </c>
      <c r="C9037" s="6" t="str">
        <f ca="1">IFERROR(__xludf.DUMMYFUNCTION("""COMPUTED_VALUE"""),"LAS CAMELIAS 1197")</f>
        <v>LAS CAMELIAS 1197</v>
      </c>
      <c r="D9037" s="6" t="str">
        <f ca="1">IFERROR(__xludf.DUMMYFUNCTION("""COMPUTED_VALUE"""),"PIRQUE")</f>
        <v>PIRQUE</v>
      </c>
    </row>
    <row r="9038" spans="1:4">
      <c r="A9038" s="7">
        <f ca="1">IFERROR(__xludf.DUMMYFUNCTION("""COMPUTED_VALUE"""),44742)</f>
        <v>44742</v>
      </c>
      <c r="B9038" s="8" t="str">
        <f ca="1">IFERROR(__xludf.DUMMYFUNCTION("""COMPUTED_VALUE"""),".33.723084,-70.556211")</f>
        <v>.33.723084,-70.556211</v>
      </c>
      <c r="C9038" s="6" t="str">
        <f ca="1">IFERROR(__xludf.DUMMYFUNCTION("""COMPUTED_VALUE"""),"CALLEJON LOS CORALEROS 31")</f>
        <v>CALLEJON LOS CORALEROS 31</v>
      </c>
      <c r="D9038" s="6" t="str">
        <f ca="1">IFERROR(__xludf.DUMMYFUNCTION("""COMPUTED_VALUE"""),"PIRQUE")</f>
        <v>PIRQUE</v>
      </c>
    </row>
    <row r="9039" spans="1:4">
      <c r="A9039" s="7">
        <f ca="1">IFERROR(__xludf.DUMMYFUNCTION("""COMPUTED_VALUE"""),44742)</f>
        <v>44742</v>
      </c>
      <c r="B9039" s="8" t="str">
        <f ca="1">IFERROR(__xludf.DUMMYFUNCTION("""COMPUTED_VALUE"""),"-33.679478,-71.189774")</f>
        <v>-33.679478,-71.189774</v>
      </c>
      <c r="C9039" s="6" t="str">
        <f ca="1">IFERROR(__xludf.DUMMYFUNCTION("""COMPUTED_VALUE"""),"VICUÑA MACKENA 925")</f>
        <v>VICUÑA MACKENA 925</v>
      </c>
      <c r="D9039" s="6" t="str">
        <f ca="1">IFERROR(__xludf.DUMMYFUNCTION("""COMPUTED_VALUE"""),"MELIPILLA")</f>
        <v>MELIPILLA</v>
      </c>
    </row>
    <row r="9040" spans="1:4">
      <c r="A9040" s="7">
        <f ca="1">IFERROR(__xludf.DUMMYFUNCTION("""COMPUTED_VALUE"""),44742)</f>
        <v>44742</v>
      </c>
      <c r="B9040" s="8" t="str">
        <f ca="1">IFERROR(__xludf.DUMMYFUNCTION("""COMPUTED_VALUE"""),"-33.679714,-71.190353")</f>
        <v>-33.679714,-71.190353</v>
      </c>
      <c r="C9040" s="6" t="str">
        <f ca="1">IFERROR(__xludf.DUMMYFUNCTION("""COMPUTED_VALUE"""),"VICUÑA MACKENA 901")</f>
        <v>VICUÑA MACKENA 901</v>
      </c>
      <c r="D9040" s="6" t="str">
        <f ca="1">IFERROR(__xludf.DUMMYFUNCTION("""COMPUTED_VALUE"""),"MELIPILLA")</f>
        <v>MELIPILLA</v>
      </c>
    </row>
    <row r="9041" spans="1:4">
      <c r="A9041" s="7">
        <f ca="1">IFERROR(__xludf.DUMMYFUNCTION("""COMPUTED_VALUE"""),44742)</f>
        <v>44742</v>
      </c>
      <c r="B9041" s="8" t="str">
        <f ca="1">IFERROR(__xludf.DUMMYFUNCTION("""COMPUTED_VALUE"""),"-33.723773,-70.554710")</f>
        <v>-33.723773,-70.554710</v>
      </c>
      <c r="C9041" s="6" t="str">
        <f ca="1">IFERROR(__xludf.DUMMYFUNCTION("""COMPUTED_VALUE"""),"LOS CORRALEROS P/31")</f>
        <v>LOS CORRALEROS P/31</v>
      </c>
      <c r="D9041" s="6" t="str">
        <f ca="1">IFERROR(__xludf.DUMMYFUNCTION("""COMPUTED_VALUE"""),"PIRQUE")</f>
        <v>PIRQUE</v>
      </c>
    </row>
    <row r="9042" spans="1:4">
      <c r="A9042" s="7">
        <f ca="1">IFERROR(__xludf.DUMMYFUNCTION("""COMPUTED_VALUE"""),44742)</f>
        <v>44742</v>
      </c>
      <c r="B9042" s="6" t="str">
        <f ca="1">IFERROR(__xludf.DUMMYFUNCTION("""COMPUTED_VALUE"""),"-33.733062,-70.762874")</f>
        <v>-33.733062,-70.762874</v>
      </c>
      <c r="C9042" s="6" t="str">
        <f ca="1">IFERROR(__xludf.DUMMYFUNCTION("""COMPUTED_VALUE"""),"PA RUDECINDO RIVEROS 62")</f>
        <v>PA RUDECINDO RIVEROS 62</v>
      </c>
      <c r="D9042" s="6" t="str">
        <f ca="1">IFERROR(__xludf.DUMMYFUNCTION("""COMPUTED_VALUE"""),"BUIN")</f>
        <v>BUIN</v>
      </c>
    </row>
    <row r="9043" spans="1:4">
      <c r="A9043" s="7">
        <f ca="1">IFERROR(__xludf.DUMMYFUNCTION("""COMPUTED_VALUE"""),44742)</f>
        <v>44742</v>
      </c>
      <c r="B9043" s="6" t="str">
        <f ca="1">IFERROR(__xludf.DUMMYFUNCTION("""COMPUTED_VALUE"""),"-33.487137,-71.144227")</f>
        <v>-33.487137,-71.144227</v>
      </c>
      <c r="C9043" s="6" t="str">
        <f ca="1">IFERROR(__xludf.DUMMYFUNCTION("""COMPUTED_VALUE"""),"EL REDIL S/N ")</f>
        <v xml:space="preserve">EL REDIL S/N </v>
      </c>
      <c r="D9043" s="6" t="str">
        <f ca="1">IFERROR(__xludf.DUMMYFUNCTION("""COMPUTED_VALUE"""),"MARIA PINTO")</f>
        <v>MARIA PINTO</v>
      </c>
    </row>
    <row r="9044" spans="1:4">
      <c r="A9044" s="7">
        <f ca="1">IFERROR(__xludf.DUMMYFUNCTION("""COMPUTED_VALUE"""),44742)</f>
        <v>44742</v>
      </c>
      <c r="B9044" s="6" t="str">
        <f ca="1">IFERROR(__xludf.DUMMYFUNCTION("""COMPUTED_VALUE"""),"-33.632706,-70.839663")</f>
        <v>-33.632706,-70.839663</v>
      </c>
      <c r="C9044" s="6" t="str">
        <f ca="1">IFERROR(__xludf.DUMMYFUNCTION("""COMPUTED_VALUE"""),"EL ALAMO SIT 32")</f>
        <v>EL ALAMO SIT 32</v>
      </c>
      <c r="D9044" s="6" t="str">
        <f ca="1">IFERROR(__xludf.DUMMYFUNCTION("""COMPUTED_VALUE"""),"CALERA DE TANGO")</f>
        <v>CALERA DE TANGO</v>
      </c>
    </row>
    <row r="9045" spans="1:4">
      <c r="A9045" s="7">
        <f ca="1">IFERROR(__xludf.DUMMYFUNCTION("""COMPUTED_VALUE"""),44742)</f>
        <v>44742</v>
      </c>
      <c r="B9045" s="6" t="str">
        <f ca="1">IFERROR(__xludf.DUMMYFUNCTION("""COMPUTED_VALUE"""),"-33.801462,-70.681629")</f>
        <v>-33.801462,-70.681629</v>
      </c>
      <c r="C9045" s="6" t="str">
        <f ca="1">IFERROR(__xludf.DUMMYFUNCTION("""COMPUTED_VALUE"""),"CALLE 24 DE ABRIL 77")</f>
        <v>CALLE 24 DE ABRIL 77</v>
      </c>
      <c r="D9045" s="6" t="str">
        <f ca="1">IFERROR(__xludf.DUMMYFUNCTION("""COMPUTED_VALUE"""),"PAINE")</f>
        <v>PAINE</v>
      </c>
    </row>
    <row r="9046" spans="1:4">
      <c r="A9046" s="7">
        <f ca="1">IFERROR(__xludf.DUMMYFUNCTION("""COMPUTED_VALUE"""),44742)</f>
        <v>44742</v>
      </c>
      <c r="B9046" s="6" t="str">
        <f ca="1">IFERROR(__xludf.DUMMYFUNCTION("""COMPUTED_VALUE"""),"-33.833739,-70.647667")</f>
        <v>-33.833739,-70.647667</v>
      </c>
      <c r="C9046" s="6" t="str">
        <f ca="1">IFERROR(__xludf.DUMMYFUNCTION("""COMPUTED_VALUE"""),"JAIME ATRIA 10725")</f>
        <v>JAIME ATRIA 10725</v>
      </c>
      <c r="D9046" s="6" t="str">
        <f ca="1">IFERROR(__xludf.DUMMYFUNCTION("""COMPUTED_VALUE"""),"PAINE")</f>
        <v>PAINE</v>
      </c>
    </row>
    <row r="9047" spans="1:4">
      <c r="A9047" s="7">
        <f ca="1">IFERROR(__xludf.DUMMYFUNCTION("""COMPUTED_VALUE"""),44743)</f>
        <v>44743</v>
      </c>
      <c r="B9047" s="8" t="str">
        <f ca="1">IFERROR(__xludf.DUMMYFUNCTION("""COMPUTED_VALUE"""),"-33.661614,-71.219094")</f>
        <v>-33.661614,-71.219094</v>
      </c>
      <c r="C9047" s="6" t="str">
        <f ca="1">IFERROR(__xludf.DUMMYFUNCTION("""COMPUTED_VALUE"""),"PARCELA 56 CASAS DE SANTA JULIA ")</f>
        <v xml:space="preserve">PARCELA 56 CASAS DE SANTA JULIA </v>
      </c>
      <c r="D9047" s="6" t="str">
        <f ca="1">IFERROR(__xludf.DUMMYFUNCTION("""COMPUTED_VALUE"""),"MELIPILLA")</f>
        <v>MELIPILLA</v>
      </c>
    </row>
    <row r="9048" spans="1:4">
      <c r="A9048" s="7">
        <f ca="1">IFERROR(__xludf.DUMMYFUNCTION("""COMPUTED_VALUE"""),44743)</f>
        <v>44743</v>
      </c>
      <c r="B9048" s="8" t="str">
        <f ca="1">IFERROR(__xludf.DUMMYFUNCTION("""COMPUTED_VALUE"""),"-33.661614,-71.219094")</f>
        <v>-33.661614,-71.219094</v>
      </c>
      <c r="C9048" s="6" t="str">
        <f ca="1">IFERROR(__xludf.DUMMYFUNCTION("""COMPUTED_VALUE"""),"PARCELA 56 CASAS DE SANTA JULIA ")</f>
        <v xml:space="preserve">PARCELA 56 CASAS DE SANTA JULIA </v>
      </c>
      <c r="D9048" s="6" t="str">
        <f ca="1">IFERROR(__xludf.DUMMYFUNCTION("""COMPUTED_VALUE"""),"MELIPILLA")</f>
        <v>MELIPILLA</v>
      </c>
    </row>
    <row r="9049" spans="1:4">
      <c r="A9049" s="7">
        <f ca="1">IFERROR(__xludf.DUMMYFUNCTION("""COMPUTED_VALUE"""),44743)</f>
        <v>44743</v>
      </c>
      <c r="B9049" s="6" t="str">
        <f ca="1">IFERROR(__xludf.DUMMYFUNCTION("""COMPUTED_VALUE"""),"-33.667600,-70.582432")</f>
        <v>-33.667600,-70.582432</v>
      </c>
      <c r="C9049" s="6" t="str">
        <f ca="1">IFERROR(__xludf.DUMMYFUNCTION("""COMPUTED_VALUE"""),"SANTA CECILIA 6A")</f>
        <v>SANTA CECILIA 6A</v>
      </c>
      <c r="D9049" s="6" t="str">
        <f ca="1">IFERROR(__xludf.DUMMYFUNCTION("""COMPUTED_VALUE"""),"PIRQUE")</f>
        <v>PIRQUE</v>
      </c>
    </row>
    <row r="9050" spans="1:4">
      <c r="A9050" s="7">
        <f ca="1">IFERROR(__xludf.DUMMYFUNCTION("""COMPUTED_VALUE"""),44743)</f>
        <v>44743</v>
      </c>
      <c r="B9050" s="6" t="str">
        <f ca="1">IFERROR(__xludf.DUMMYFUNCTION("""COMPUTED_VALUE"""),"-33.851587,-70.943393")</f>
        <v>-33.851587,-70.943393</v>
      </c>
      <c r="C9050" s="6" t="str">
        <f ca="1">IFERROR(__xludf.DUMMYFUNCTION("""COMPUTED_VALUE"""),"CO INTERIOR P/40")</f>
        <v>CO INTERIOR P/40</v>
      </c>
      <c r="D9050" s="6" t="str">
        <f ca="1">IFERROR(__xludf.DUMMYFUNCTION("""COMPUTED_VALUE"""),"PAINE")</f>
        <v>PAINE</v>
      </c>
    </row>
    <row r="9051" spans="1:4">
      <c r="A9051" s="7">
        <f ca="1">IFERROR(__xludf.DUMMYFUNCTION("""COMPUTED_VALUE"""),44744)</f>
        <v>44744</v>
      </c>
      <c r="B9051" s="6" t="str">
        <f ca="1">IFERROR(__xludf.DUMMYFUNCTION("""COMPUTED_VALUE"""),"-33.817504-70.740715")</f>
        <v>-33.817504-70.740715</v>
      </c>
      <c r="C9051" s="6" t="str">
        <f ca="1">IFERROR(__xludf.DUMMYFUNCTION("""COMPUTED_VALUE"""),"ARRECIFE 1367")</f>
        <v>ARRECIFE 1367</v>
      </c>
      <c r="D9051" s="6" t="str">
        <f ca="1">IFERROR(__xludf.DUMMYFUNCTION("""COMPUTED_VALUE"""),"PAINE")</f>
        <v>PAINE</v>
      </c>
    </row>
    <row r="9052" spans="1:4">
      <c r="A9052" s="7">
        <f ca="1">IFERROR(__xludf.DUMMYFUNCTION("""COMPUTED_VALUE"""),44744)</f>
        <v>44744</v>
      </c>
      <c r="B9052" s="6" t="str">
        <f ca="1">IFERROR(__xludf.DUMMYFUNCTION("""COMPUTED_VALUE"""),"-33.732419,-70.764567")</f>
        <v>-33.732419,-70.764567</v>
      </c>
      <c r="C9052" s="6" t="str">
        <f ca="1">IFERROR(__xludf.DUMMYFUNCTION("""COMPUTED_VALUE"""),"MANUEL MALLEA PEREZ 70 CH SANTA ADELA")</f>
        <v>MANUEL MALLEA PEREZ 70 CH SANTA ADELA</v>
      </c>
      <c r="D9052" s="6" t="str">
        <f ca="1">IFERROR(__xludf.DUMMYFUNCTION("""COMPUTED_VALUE"""),"BUIN")</f>
        <v>BUIN</v>
      </c>
    </row>
    <row r="9053" spans="1:4">
      <c r="A9053" s="7">
        <f ca="1">IFERROR(__xludf.DUMMYFUNCTION("""COMPUTED_VALUE"""),44746)</f>
        <v>44746</v>
      </c>
      <c r="B9053" s="6" t="str">
        <f ca="1">IFERROR(__xludf.DUMMYFUNCTION("""COMPUTED_VALUE"""),"-33.676842,-70.875323")</f>
        <v>-33.676842,-70.875323</v>
      </c>
      <c r="C9053" s="6" t="str">
        <f ca="1">IFERROR(__xludf.DUMMYFUNCTION("""COMPUTED_VALUE"""),"EL OLIVETO 3012")</f>
        <v>EL OLIVETO 3012</v>
      </c>
      <c r="D9053" s="6" t="str">
        <f ca="1">IFERROR(__xludf.DUMMYFUNCTION("""COMPUTED_VALUE"""),"TALAGANTE")</f>
        <v>TALAGANTE</v>
      </c>
    </row>
    <row r="9054" spans="1:4">
      <c r="A9054" s="7">
        <f ca="1">IFERROR(__xludf.DUMMYFUNCTION("""COMPUTED_VALUE"""),44746)</f>
        <v>44746</v>
      </c>
      <c r="B9054" s="8" t="str">
        <f ca="1">IFERROR(__xludf.DUMMYFUNCTION("""COMPUTED_VALUE"""),"-33.727490,-71.030468")</f>
        <v>-33.727490,-71.030468</v>
      </c>
      <c r="C9054" s="6" t="str">
        <f ca="1">IFERROR(__xludf.DUMMYFUNCTION("""COMPUTED_VALUE"""),"CLAVEL S/N PARCELA 1")</f>
        <v>CLAVEL S/N PARCELA 1</v>
      </c>
      <c r="D9054" s="6" t="str">
        <f ca="1">IFERROR(__xludf.DUMMYFUNCTION("""COMPUTED_VALUE"""),"ISLA DE MAIPO")</f>
        <v>ISLA DE MAIPO</v>
      </c>
    </row>
    <row r="9055" spans="1:4">
      <c r="A9055" s="7">
        <f ca="1">IFERROR(__xludf.DUMMYFUNCTION("""COMPUTED_VALUE"""),44746)</f>
        <v>44746</v>
      </c>
      <c r="B9055" s="8" t="str">
        <f ca="1">IFERROR(__xludf.DUMMYFUNCTION("""COMPUTED_VALUE"""),"-33.727650,-71.027913")</f>
        <v>-33.727650,-71.027913</v>
      </c>
      <c r="C9055" s="6" t="str">
        <f ca="1">IFERROR(__xludf.DUMMYFUNCTION("""COMPUTED_VALUE"""),"CLAVEL 952")</f>
        <v>CLAVEL 952</v>
      </c>
      <c r="D9055" s="6" t="str">
        <f ca="1">IFERROR(__xludf.DUMMYFUNCTION("""COMPUTED_VALUE"""),"ISLA DE MAIPO")</f>
        <v>ISLA DE MAIPO</v>
      </c>
    </row>
    <row r="9056" spans="1:4">
      <c r="A9056" s="7">
        <f ca="1">IFERROR(__xludf.DUMMYFUNCTION("""COMPUTED_VALUE"""),44746)</f>
        <v>44746</v>
      </c>
      <c r="B9056" s="6" t="str">
        <f ca="1">IFERROR(__xludf.DUMMYFUNCTION("""COMPUTED_VALUE"""),"-33.867369,-70.748532")</f>
        <v>-33.867369,-70.748532</v>
      </c>
      <c r="C9056" s="6" t="str">
        <f ca="1">IFERROR(__xludf.DUMMYFUNCTION("""COMPUTED_VALUE"""),"EL PARRON 5")</f>
        <v>EL PARRON 5</v>
      </c>
      <c r="D9056" s="6" t="str">
        <f ca="1">IFERROR(__xludf.DUMMYFUNCTION("""COMPUTED_VALUE"""),"PAINE")</f>
        <v>PAINE</v>
      </c>
    </row>
    <row r="9057" spans="1:4">
      <c r="A9057" s="7">
        <f ca="1">IFERROR(__xludf.DUMMYFUNCTION("""COMPUTED_VALUE"""),44747)</f>
        <v>44747</v>
      </c>
      <c r="B9057" s="6" t="str">
        <f ca="1">IFERROR(__xludf.DUMMYFUNCTION("""COMPUTED_VALUE"""),"-33.794754,-70.881629")</f>
        <v>-33.794754,-70.881629</v>
      </c>
      <c r="C9057" s="6" t="str">
        <f ca="1">IFERROR(__xludf.DUMMYFUNCTION("""COMPUTED_VALUE"""),"VECINAL CONTRERAS 5150")</f>
        <v>VECINAL CONTRERAS 5150</v>
      </c>
      <c r="D9057" s="6" t="str">
        <f ca="1">IFERROR(__xludf.DUMMYFUNCTION("""COMPUTED_VALUE"""),"ISLA DE MAIPO")</f>
        <v>ISLA DE MAIPO</v>
      </c>
    </row>
    <row r="9058" spans="1:4">
      <c r="A9058" s="7">
        <f ca="1">IFERROR(__xludf.DUMMYFUNCTION("""COMPUTED_VALUE"""),44747)</f>
        <v>44747</v>
      </c>
      <c r="B9058" s="6" t="str">
        <f ca="1">IFERROR(__xludf.DUMMYFUNCTION("""COMPUTED_VALUE"""),"-33.74468,-70.900519")</f>
        <v>-33.74468,-70.900519</v>
      </c>
      <c r="C9058" s="6" t="str">
        <f ca="1">IFERROR(__xludf.DUMMYFUNCTION("""COMPUTED_VALUE"""),"LOS CONQUISTADORES 680 ")</f>
        <v xml:space="preserve">LOS CONQUISTADORES 680 </v>
      </c>
      <c r="D9058" s="6" t="str">
        <f ca="1">IFERROR(__xludf.DUMMYFUNCTION("""COMPUTED_VALUE"""),"ISLA DE MAIPO")</f>
        <v>ISLA DE MAIPO</v>
      </c>
    </row>
    <row r="9059" spans="1:4">
      <c r="A9059" s="7">
        <f ca="1">IFERROR(__xludf.DUMMYFUNCTION("""COMPUTED_VALUE"""),44747)</f>
        <v>44747</v>
      </c>
      <c r="B9059" s="8" t="str">
        <f ca="1">IFERROR(__xludf.DUMMYFUNCTION("""COMPUTED_VALUE"""),"-33.545832,-70.857949")</f>
        <v>-33.545832,-70.857949</v>
      </c>
      <c r="C9059" s="6" t="str">
        <f ca="1">IFERROR(__xludf.DUMMYFUNCTION("""COMPUTED_VALUE"""),"CONDOMINIOS FUNDOLES BRISAS P4")</f>
        <v>CONDOMINIOS FUNDOLES BRISAS P4</v>
      </c>
      <c r="D9059" s="6" t="str">
        <f ca="1">IFERROR(__xludf.DUMMYFUNCTION("""COMPUTED_VALUE"""),"PADRE HURTADO")</f>
        <v>PADRE HURTADO</v>
      </c>
    </row>
    <row r="9060" spans="1:4">
      <c r="A9060" s="7">
        <f ca="1">IFERROR(__xludf.DUMMYFUNCTION("""COMPUTED_VALUE"""),44747)</f>
        <v>44747</v>
      </c>
      <c r="B9060" s="6" t="str">
        <f ca="1">IFERROR(__xludf.DUMMYFUNCTION("""COMPUTED_VALUE"""),"-33.809599,-70.739884")</f>
        <v>-33.809599,-70.739884</v>
      </c>
      <c r="C9060" s="6" t="str">
        <f ca="1">IFERROR(__xludf.DUMMYFUNCTION("""COMPUTED_VALUE"""),"DOCTOR DAGNINO 133")</f>
        <v>DOCTOR DAGNINO 133</v>
      </c>
      <c r="D9060" s="6" t="str">
        <f ca="1">IFERROR(__xludf.DUMMYFUNCTION("""COMPUTED_VALUE"""),"PAINE")</f>
        <v>PAINE</v>
      </c>
    </row>
    <row r="9061" spans="1:4">
      <c r="A9061" s="7">
        <f ca="1">IFERROR(__xludf.DUMMYFUNCTION("""COMPUTED_VALUE"""),44747)</f>
        <v>44747</v>
      </c>
      <c r="B9061" s="6" t="str">
        <f ca="1">IFERROR(__xludf.DUMMYFUNCTION("""COMPUTED_VALUE"""),"-33.819902,-70.740267")</f>
        <v>-33.819902,-70.740267</v>
      </c>
      <c r="C9061" s="6" t="str">
        <f ca="1">IFERROR(__xludf.DUMMYFUNCTION("""COMPUTED_VALUE"""),"PANAMA 1550")</f>
        <v>PANAMA 1550</v>
      </c>
      <c r="D9061" s="6" t="str">
        <f ca="1">IFERROR(__xludf.DUMMYFUNCTION("""COMPUTED_VALUE"""),"PAINE")</f>
        <v>PAINE</v>
      </c>
    </row>
    <row r="9062" spans="1:4">
      <c r="A9062" s="7">
        <f ca="1">IFERROR(__xludf.DUMMYFUNCTION("""COMPUTED_VALUE"""),44748)</f>
        <v>44748</v>
      </c>
      <c r="B9062" s="6" t="str">
        <f ca="1">IFERROR(__xludf.DUMMYFUNCTION("""COMPUTED_VALUE"""),"-33.735095,-70.858507")</f>
        <v>-33.735095,-70.858507</v>
      </c>
      <c r="C9062" s="6" t="str">
        <f ca="1">IFERROR(__xludf.DUMMYFUNCTION("""COMPUTED_VALUE"""),"SANTA INES 95")</f>
        <v>SANTA INES 95</v>
      </c>
      <c r="D9062" s="6" t="str">
        <f ca="1">IFERROR(__xludf.DUMMYFUNCTION("""COMPUTED_VALUE"""),"ISLA DE MAIPO")</f>
        <v>ISLA DE MAIPO</v>
      </c>
    </row>
    <row r="9063" spans="1:4">
      <c r="A9063" s="7">
        <f ca="1">IFERROR(__xludf.DUMMYFUNCTION("""COMPUTED_VALUE"""),44748)</f>
        <v>44748</v>
      </c>
      <c r="B9063" s="6" t="str">
        <f ca="1">IFERROR(__xludf.DUMMYFUNCTION("""COMPUTED_VALUE"""),"-33.734342,-70.860756")</f>
        <v>-33.734342,-70.860756</v>
      </c>
      <c r="C9063" s="6" t="str">
        <f ca="1">IFERROR(__xludf.DUMMYFUNCTION("""COMPUTED_VALUE"""),"SANTA INES 267")</f>
        <v>SANTA INES 267</v>
      </c>
      <c r="D9063" s="6" t="str">
        <f ca="1">IFERROR(__xludf.DUMMYFUNCTION("""COMPUTED_VALUE"""),"ISLA DE MAIPO")</f>
        <v>ISLA DE MAIPO</v>
      </c>
    </row>
    <row r="9064" spans="1:4">
      <c r="A9064" s="7">
        <f ca="1">IFERROR(__xludf.DUMMYFUNCTION("""COMPUTED_VALUE"""),44748)</f>
        <v>44748</v>
      </c>
      <c r="B9064" s="8" t="str">
        <f ca="1">IFERROR(__xludf.DUMMYFUNCTION("""COMPUTED_VALUE"""),"-33.717520,-71.181895")</f>
        <v>-33.717520,-71.181895</v>
      </c>
      <c r="C9064" s="6" t="str">
        <f ca="1">IFERROR(__xludf.DUMMYFUNCTION("""COMPUTED_VALUE"""),"LA VEGA SITIO B4")</f>
        <v>LA VEGA SITIO B4</v>
      </c>
      <c r="D9064" s="6" t="str">
        <f ca="1">IFERROR(__xludf.DUMMYFUNCTION("""COMPUTED_VALUE"""),"MELIPILLA")</f>
        <v>MELIPILLA</v>
      </c>
    </row>
    <row r="9065" spans="1:4">
      <c r="A9065" s="7">
        <f ca="1">IFERROR(__xludf.DUMMYFUNCTION("""COMPUTED_VALUE"""),44748)</f>
        <v>44748</v>
      </c>
      <c r="B9065" s="8" t="str">
        <f ca="1">IFERROR(__xludf.DUMMYFUNCTION("""COMPUTED_VALUE"""),"-33.683018,-71.168738")</f>
        <v>-33.683018,-71.168738</v>
      </c>
      <c r="C9065" s="6" t="str">
        <f ca="1">IFERROR(__xludf.DUMMYFUNCTION("""COMPUTED_VALUE"""),"SITIO 601 MAITEN ")</f>
        <v xml:space="preserve">SITIO 601 MAITEN </v>
      </c>
      <c r="D9065" s="6" t="str">
        <f ca="1">IFERROR(__xludf.DUMMYFUNCTION("""COMPUTED_VALUE"""),"MELIPILLA")</f>
        <v>MELIPILLA</v>
      </c>
    </row>
    <row r="9066" spans="1:4">
      <c r="A9066" s="7">
        <f ca="1">IFERROR(__xludf.DUMMYFUNCTION("""COMPUTED_VALUE"""),44748)</f>
        <v>44748</v>
      </c>
      <c r="B9066" s="6" t="str">
        <f ca="1">IFERROR(__xludf.DUMMYFUNCTION("""COMPUTED_VALUE"""),"-33.857347,-70.727156")</f>
        <v>-33.857347,-70.727156</v>
      </c>
      <c r="C9066" s="6" t="str">
        <f ca="1">IFERROR(__xludf.DUMMYFUNCTION("""COMPUTED_VALUE"""),"COLONIA KENNEDY A5")</f>
        <v>COLONIA KENNEDY A5</v>
      </c>
      <c r="D9066" s="6" t="str">
        <f ca="1">IFERROR(__xludf.DUMMYFUNCTION("""COMPUTED_VALUE"""),"PAINE")</f>
        <v>PAINE</v>
      </c>
    </row>
    <row r="9067" spans="1:4">
      <c r="A9067" s="7">
        <f ca="1">IFERROR(__xludf.DUMMYFUNCTION("""COMPUTED_VALUE"""),44748)</f>
        <v>44748</v>
      </c>
      <c r="B9067" s="6" t="str">
        <f ca="1">IFERROR(__xludf.DUMMYFUNCTION("""COMPUTED_VALUE"""),"-33.803186,-70.715280")</f>
        <v>-33.803186,-70.715280</v>
      </c>
      <c r="C9067" s="6" t="str">
        <f ca="1">IFERROR(__xludf.DUMMYFUNCTION("""COMPUTED_VALUE"""),"PASAJE TRES 288")</f>
        <v>PASAJE TRES 288</v>
      </c>
      <c r="D9067" s="6" t="str">
        <f ca="1">IFERROR(__xludf.DUMMYFUNCTION("""COMPUTED_VALUE"""),"PAINE")</f>
        <v>PAINE</v>
      </c>
    </row>
    <row r="9068" spans="1:4">
      <c r="A9068" s="7">
        <f ca="1">IFERROR(__xludf.DUMMYFUNCTION("""COMPUTED_VALUE"""),44749)</f>
        <v>44749</v>
      </c>
      <c r="B9068" s="6" t="str">
        <f ca="1">IFERROR(__xludf.DUMMYFUNCTION("""COMPUTED_VALUE"""),"-33.7266815-70.7483989")</f>
        <v>-33.7266815-70.7483989</v>
      </c>
      <c r="C9068" s="6" t="str">
        <f ca="1">IFERROR(__xludf.DUMMYFUNCTION("""COMPUTED_VALUE"""),"PJE UNO 849")</f>
        <v>PJE UNO 849</v>
      </c>
      <c r="D9068" s="6" t="str">
        <f ca="1">IFERROR(__xludf.DUMMYFUNCTION("""COMPUTED_VALUE"""),"BUIN")</f>
        <v>BUIN</v>
      </c>
    </row>
    <row r="9069" spans="1:4">
      <c r="A9069" s="7">
        <f ca="1">IFERROR(__xludf.DUMMYFUNCTION("""COMPUTED_VALUE"""),44749)</f>
        <v>44749</v>
      </c>
      <c r="B9069" s="6" t="str">
        <f ca="1">IFERROR(__xludf.DUMMYFUNCTION("""COMPUTED_VALUE"""),"-33.649823,-70.925285")</f>
        <v>-33.649823,-70.925285</v>
      </c>
      <c r="C9069" s="6" t="str">
        <f ca="1">IFERROR(__xludf.DUMMYFUNCTION("""COMPUTED_VALUE"""),"MANUEL MUÑOZ 237 SITIO 6")</f>
        <v>MANUEL MUÑOZ 237 SITIO 6</v>
      </c>
      <c r="D9069" s="6" t="str">
        <f ca="1">IFERROR(__xludf.DUMMYFUNCTION("""COMPUTED_VALUE"""),"TALAGANTE")</f>
        <v>TALAGANTE</v>
      </c>
    </row>
    <row r="9070" spans="1:4">
      <c r="A9070" s="7">
        <f ca="1">IFERROR(__xludf.DUMMYFUNCTION("""COMPUTED_VALUE"""),44749)</f>
        <v>44749</v>
      </c>
      <c r="B9070" s="8" t="str">
        <f ca="1">IFERROR(__xludf.DUMMYFUNCTION("""COMPUTED_VALUE"""),"-33.686945,-71.351114")</f>
        <v>-33.686945,-71.351114</v>
      </c>
      <c r="C9070" s="6" t="str">
        <f ca="1">IFERROR(__xludf.DUMMYFUNCTION("""COMPUTED_VALUE"""),"LIBERTAD PARCELA 3")</f>
        <v>LIBERTAD PARCELA 3</v>
      </c>
      <c r="D9070" s="6" t="str">
        <f ca="1">IFERROR(__xludf.DUMMYFUNCTION("""COMPUTED_VALUE"""),"MELIPILLA")</f>
        <v>MELIPILLA</v>
      </c>
    </row>
    <row r="9071" spans="1:4">
      <c r="A9071" s="7">
        <f ca="1">IFERROR(__xludf.DUMMYFUNCTION("""COMPUTED_VALUE"""),44749)</f>
        <v>44749</v>
      </c>
      <c r="B9071" s="8" t="str">
        <f ca="1">IFERROR(__xludf.DUMMYFUNCTION("""COMPUTED_VALUE"""),"-33.700816,-71.217419")</f>
        <v>-33.700816,-71.217419</v>
      </c>
      <c r="C9071" s="6" t="str">
        <f ca="1">IFERROR(__xludf.DUMMYFUNCTION("""COMPUTED_VALUE"""),"POBLACION SERRANO ")</f>
        <v xml:space="preserve">POBLACION SERRANO </v>
      </c>
      <c r="D9071" s="6" t="str">
        <f ca="1">IFERROR(__xludf.DUMMYFUNCTION("""COMPUTED_VALUE"""),"MELIPILLA")</f>
        <v>MELIPILLA</v>
      </c>
    </row>
    <row r="9072" spans="1:4">
      <c r="A9072" s="7">
        <f ca="1">IFERROR(__xludf.DUMMYFUNCTION("""COMPUTED_VALUE"""),44749)</f>
        <v>44749</v>
      </c>
      <c r="B9072" s="8" t="str">
        <f ca="1">IFERROR(__xludf.DUMMYFUNCTION("""COMPUTED_VALUE"""),"-33.817819,-70.716237")</f>
        <v>-33.817819,-70.716237</v>
      </c>
      <c r="C9072" s="6" t="str">
        <f ca="1">IFERROR(__xludf.DUMMYFUNCTION("""COMPUTED_VALUE"""),"PAULA JARAQUEMADA 117 B")</f>
        <v>PAULA JARAQUEMADA 117 B</v>
      </c>
      <c r="D9072" s="6" t="str">
        <f ca="1">IFERROR(__xludf.DUMMYFUNCTION("""COMPUTED_VALUE"""),"PAINE")</f>
        <v>PAINE</v>
      </c>
    </row>
    <row r="9073" spans="1:4">
      <c r="A9073" s="7">
        <f ca="1">IFERROR(__xludf.DUMMYFUNCTION("""COMPUTED_VALUE"""),44749)</f>
        <v>44749</v>
      </c>
      <c r="B9073" s="8" t="str">
        <f ca="1">IFERROR(__xludf.DUMMYFUNCTION("""COMPUTED_VALUE"""),"-33.816864,-70,715806")</f>
        <v>-33.816864,-70,715806</v>
      </c>
      <c r="C9073" s="6" t="str">
        <f ca="1">IFERROR(__xludf.DUMMYFUNCTION("""COMPUTED_VALUE"""),"PAULA JARAQUEMADA 7")</f>
        <v>PAULA JARAQUEMADA 7</v>
      </c>
      <c r="D9073" s="6" t="str">
        <f ca="1">IFERROR(__xludf.DUMMYFUNCTION("""COMPUTED_VALUE"""),"PAINE")</f>
        <v>PAINE</v>
      </c>
    </row>
    <row r="9074" spans="1:4">
      <c r="A9074" s="7">
        <f ca="1">IFERROR(__xludf.DUMMYFUNCTION("""COMPUTED_VALUE"""),44749)</f>
        <v>44749</v>
      </c>
      <c r="B9074" s="6" t="str">
        <f ca="1">IFERROR(__xludf.DUMMYFUNCTION("""COMPUTED_VALUE"""),"-33.752299,-70.892950")</f>
        <v>-33.752299,-70.892950</v>
      </c>
      <c r="C9074" s="6" t="str">
        <f ca="1">IFERROR(__xludf.DUMMYFUNCTION("""COMPUTED_VALUE"""),"MANUEL RODRIGUEZ 123")</f>
        <v>MANUEL RODRIGUEZ 123</v>
      </c>
      <c r="D9074" s="6" t="str">
        <f ca="1">IFERROR(__xludf.DUMMYFUNCTION("""COMPUTED_VALUE"""),"ISLA DE MAIPO")</f>
        <v>ISLA DE MAIPO</v>
      </c>
    </row>
    <row r="9075" spans="1:4">
      <c r="A9075" s="7">
        <f ca="1">IFERROR(__xludf.DUMMYFUNCTION("""COMPUTED_VALUE"""),44749)</f>
        <v>44749</v>
      </c>
      <c r="B9075" s="6" t="str">
        <f ca="1">IFERROR(__xludf.DUMMYFUNCTION("""COMPUTED_VALUE"""),"-33.752299,-70.892950")</f>
        <v>-33.752299,-70.892950</v>
      </c>
      <c r="C9075" s="6" t="str">
        <f ca="1">IFERROR(__xludf.DUMMYFUNCTION("""COMPUTED_VALUE"""),"MANUEL RODRIGUEZ 123")</f>
        <v>MANUEL RODRIGUEZ 123</v>
      </c>
      <c r="D9075" s="6" t="str">
        <f ca="1">IFERROR(__xludf.DUMMYFUNCTION("""COMPUTED_VALUE"""),"ISLA DE MAIPO")</f>
        <v>ISLA DE MAIPO</v>
      </c>
    </row>
    <row r="9076" spans="1:4">
      <c r="A9076" s="7">
        <f ca="1">IFERROR(__xludf.DUMMYFUNCTION("""COMPUTED_VALUE"""),44749)</f>
        <v>44749</v>
      </c>
      <c r="B9076" s="6" t="str">
        <f ca="1">IFERROR(__xludf.DUMMYFUNCTION("""COMPUTED_VALUE"""),"-33.814897,-70.738519")</f>
        <v>-33.814897,-70.738519</v>
      </c>
      <c r="C9076" s="6" t="str">
        <f ca="1">IFERROR(__xludf.DUMMYFUNCTION("""COMPUTED_VALUE"""),"PDTE PRIETO 347")</f>
        <v>PDTE PRIETO 347</v>
      </c>
      <c r="D9076" s="6" t="str">
        <f ca="1">IFERROR(__xludf.DUMMYFUNCTION("""COMPUTED_VALUE"""),"PAINE")</f>
        <v>PAINE</v>
      </c>
    </row>
    <row r="9077" spans="1:4">
      <c r="A9077" s="7">
        <f ca="1">IFERROR(__xludf.DUMMYFUNCTION("""COMPUTED_VALUE"""),44749)</f>
        <v>44749</v>
      </c>
      <c r="B9077" s="6" t="str">
        <f ca="1">IFERROR(__xludf.DUMMYFUNCTION("""COMPUTED_VALUE"""),"-33.805336,-70.732382")</f>
        <v>-33.805336,-70.732382</v>
      </c>
      <c r="C9077" s="6" t="str">
        <f ca="1">IFERROR(__xludf.DUMMYFUNCTION("""COMPUTED_VALUE"""),"PJE EL ROBLES 517")</f>
        <v>PJE EL ROBLES 517</v>
      </c>
      <c r="D9077" s="6" t="str">
        <f ca="1">IFERROR(__xludf.DUMMYFUNCTION("""COMPUTED_VALUE"""),"PAINE")</f>
        <v>PAINE</v>
      </c>
    </row>
    <row r="9078" spans="1:4">
      <c r="A9078" s="7">
        <f ca="1">IFERROR(__xludf.DUMMYFUNCTION("""COMPUTED_VALUE"""),44749)</f>
        <v>44749</v>
      </c>
      <c r="B9078" s="6" t="str">
        <f ca="1">IFERROR(__xludf.DUMMYFUNCTION("""COMPUTED_VALUE"""),"-33.706693,-70.735828")</f>
        <v>-33.706693,-70.735828</v>
      </c>
      <c r="C9078" s="6" t="str">
        <f ca="1">IFERROR(__xludf.DUMMYFUNCTION("""COMPUTED_VALUE"""),"LAS TRANSVERSAL 210")</f>
        <v>LAS TRANSVERSAL 210</v>
      </c>
      <c r="D9078" s="6" t="str">
        <f ca="1">IFERROR(__xludf.DUMMYFUNCTION("""COMPUTED_VALUE"""),"PAINE")</f>
        <v>PAINE</v>
      </c>
    </row>
    <row r="9079" spans="1:4">
      <c r="A9079" s="7">
        <f ca="1">IFERROR(__xludf.DUMMYFUNCTION("""COMPUTED_VALUE"""),44749)</f>
        <v>44749</v>
      </c>
      <c r="B9079" s="6" t="str">
        <f ca="1">IFERROR(__xludf.DUMMYFUNCTION("""COMPUTED_VALUE"""),"-33.753576,-70.810456")</f>
        <v>-33.753576,-70.810456</v>
      </c>
      <c r="C9079" s="6" t="str">
        <f ca="1">IFERROR(__xludf.DUMMYFUNCTION("""COMPUTED_VALUE"""),"LA ESTANCILLA 34")</f>
        <v>LA ESTANCILLA 34</v>
      </c>
      <c r="D9079" s="6" t="str">
        <f ca="1">IFERROR(__xludf.DUMMYFUNCTION("""COMPUTED_VALUE"""),"PAINE")</f>
        <v>PAINE</v>
      </c>
    </row>
    <row r="9080" spans="1:4">
      <c r="A9080" s="7">
        <f ca="1">IFERROR(__xludf.DUMMYFUNCTION("""COMPUTED_VALUE"""),44750)</f>
        <v>44750</v>
      </c>
      <c r="B9080" s="6" t="str">
        <f ca="1">IFERROR(__xludf.DUMMYFUNCTION("""COMPUTED_VALUE"""),"-33.73295-70.552700")</f>
        <v>-33.73295-70.552700</v>
      </c>
      <c r="C9080" s="6" t="str">
        <f ca="1">IFERROR(__xludf.DUMMYFUNCTION("""COMPUTED_VALUE"""),"CAMINO LOS GALLINEROS SITIO 91 C")</f>
        <v>CAMINO LOS GALLINEROS SITIO 91 C</v>
      </c>
      <c r="D9080" s="6" t="str">
        <f ca="1">IFERROR(__xludf.DUMMYFUNCTION("""COMPUTED_VALUE"""),"PIRQUE")</f>
        <v>PIRQUE</v>
      </c>
    </row>
    <row r="9081" spans="1:4">
      <c r="A9081" s="7">
        <f ca="1">IFERROR(__xludf.DUMMYFUNCTION("""COMPUTED_VALUE"""),44750)</f>
        <v>44750</v>
      </c>
      <c r="B9081" s="6" t="str">
        <f ca="1">IFERROR(__xludf.DUMMYFUNCTION("""COMPUTED_VALUE"""),"-33.73282-70.55272")</f>
        <v>-33.73282-70.55272</v>
      </c>
      <c r="C9081" s="6" t="str">
        <f ca="1">IFERROR(__xludf.DUMMYFUNCTION("""COMPUTED_VALUE"""),"CAMINO LOS GALLINEROS SITIO 91 C")</f>
        <v>CAMINO LOS GALLINEROS SITIO 91 C</v>
      </c>
      <c r="D9081" s="6" t="str">
        <f ca="1">IFERROR(__xludf.DUMMYFUNCTION("""COMPUTED_VALUE"""),"PIRQUE")</f>
        <v>PIRQUE</v>
      </c>
    </row>
    <row r="9082" spans="1:4">
      <c r="A9082" s="7">
        <f ca="1">IFERROR(__xludf.DUMMYFUNCTION("""COMPUTED_VALUE"""),44750)</f>
        <v>44750</v>
      </c>
      <c r="B9082" s="6" t="str">
        <f ca="1">IFERROR(__xludf.DUMMYFUNCTION("""COMPUTED_VALUE"""),"-33.816623-70.749575")</f>
        <v>-33.816623-70.749575</v>
      </c>
      <c r="C9082" s="6" t="str">
        <f ca="1">IFERROR(__xludf.DUMMYFUNCTION("""COMPUTED_VALUE"""),"DIEZ ORIENTE 441")</f>
        <v>DIEZ ORIENTE 441</v>
      </c>
      <c r="D9082" s="6" t="str">
        <f ca="1">IFERROR(__xludf.DUMMYFUNCTION("""COMPUTED_VALUE"""),"PAINE")</f>
        <v>PAINE</v>
      </c>
    </row>
    <row r="9083" spans="1:4">
      <c r="A9083" s="7">
        <f ca="1">IFERROR(__xludf.DUMMYFUNCTION("""COMPUTED_VALUE"""),44750)</f>
        <v>44750</v>
      </c>
      <c r="B9083" s="6" t="str">
        <f ca="1">IFERROR(__xludf.DUMMYFUNCTION("""COMPUTED_VALUE"""),"-33.806755-70.737336")</f>
        <v>-33.806755-70.737336</v>
      </c>
      <c r="C9083" s="6" t="str">
        <f ca="1">IFERROR(__xludf.DUMMYFUNCTION("""COMPUTED_VALUE"""),"ISLA NUEVA 321")</f>
        <v>ISLA NUEVA 321</v>
      </c>
      <c r="D9083" s="6" t="str">
        <f ca="1">IFERROR(__xludf.DUMMYFUNCTION("""COMPUTED_VALUE"""),"PAINE")</f>
        <v>PAINE</v>
      </c>
    </row>
    <row r="9084" spans="1:4">
      <c r="A9084" s="7">
        <f ca="1">IFERROR(__xludf.DUMMYFUNCTION("""COMPUTED_VALUE"""),44750)</f>
        <v>44750</v>
      </c>
      <c r="B9084" s="8" t="str">
        <f ca="1">IFERROR(__xludf.DUMMYFUNCTION("""COMPUTED_VALUE"""),"-33.6707278,-70.5565529")</f>
        <v>-33.6707278,-70.5565529</v>
      </c>
      <c r="C9084" s="6" t="str">
        <f ca="1">IFERROR(__xludf.DUMMYFUNCTION("""COMPUTED_VALUE"""),"MAXIMO VALDES 2660")</f>
        <v>MAXIMO VALDES 2660</v>
      </c>
      <c r="D9084" s="6" t="str">
        <f ca="1">IFERROR(__xludf.DUMMYFUNCTION("""COMPUTED_VALUE"""),"PIRQUE")</f>
        <v>PIRQUE</v>
      </c>
    </row>
    <row r="9085" spans="1:4">
      <c r="A9085" s="7">
        <f ca="1">IFERROR(__xludf.DUMMYFUNCTION("""COMPUTED_VALUE"""),44750)</f>
        <v>44750</v>
      </c>
      <c r="B9085" s="6" t="str">
        <f ca="1">IFERROR(__xludf.DUMMYFUNCTION("""COMPUTED_VALUE"""),"-33.744126,-70.902452")</f>
        <v>-33.744126,-70.902452</v>
      </c>
      <c r="C9085" s="6" t="str">
        <f ca="1">IFERROR(__xludf.DUMMYFUNCTION("""COMPUTED_VALUE"""),"CA UNO 9 M/C S9")</f>
        <v>CA UNO 9 M/C S9</v>
      </c>
      <c r="D9085" s="6" t="str">
        <f ca="1">IFERROR(__xludf.DUMMYFUNCTION("""COMPUTED_VALUE"""),"ISLA DE MAIPO")</f>
        <v>ISLA DE MAIPO</v>
      </c>
    </row>
    <row r="9086" spans="1:4">
      <c r="A9086" s="7">
        <f ca="1">IFERROR(__xludf.DUMMYFUNCTION("""COMPUTED_VALUE"""),44750)</f>
        <v>44750</v>
      </c>
      <c r="B9086" s="8" t="str">
        <f ca="1">IFERROR(__xludf.DUMMYFUNCTION("""COMPUTED_VALUE"""),"-33.709321,-71.292739")</f>
        <v>-33.709321,-71.292739</v>
      </c>
      <c r="C9086" s="6" t="str">
        <f ca="1">IFERROR(__xludf.DUMMYFUNCTION("""COMPUTED_VALUE"""),"HUENCHUN BAJO 29")</f>
        <v>HUENCHUN BAJO 29</v>
      </c>
      <c r="D9086" s="6" t="str">
        <f ca="1">IFERROR(__xludf.DUMMYFUNCTION("""COMPUTED_VALUE"""),"MELIPILLA")</f>
        <v>MELIPILLA</v>
      </c>
    </row>
    <row r="9087" spans="1:4">
      <c r="A9087" s="7">
        <f ca="1">IFERROR(__xludf.DUMMYFUNCTION("""COMPUTED_VALUE"""),44750)</f>
        <v>44750</v>
      </c>
      <c r="B9087" s="6" t="str">
        <f ca="1">IFERROR(__xludf.DUMMYFUNCTION("""COMPUTED_VALUE"""),"-33.804118,-70.732471")</f>
        <v>-33.804118,-70.732471</v>
      </c>
      <c r="C9087" s="6" t="str">
        <f ca="1">IFERROR(__xludf.DUMMYFUNCTION("""COMPUTED_VALUE"""),"LOS ESPINOS 529")</f>
        <v>LOS ESPINOS 529</v>
      </c>
      <c r="D9087" s="6" t="str">
        <f ca="1">IFERROR(__xludf.DUMMYFUNCTION("""COMPUTED_VALUE"""),"PAINE")</f>
        <v>PAINE</v>
      </c>
    </row>
    <row r="9088" spans="1:4">
      <c r="A9088" s="7">
        <f ca="1">IFERROR(__xludf.DUMMYFUNCTION("""COMPUTED_VALUE"""),44750)</f>
        <v>44750</v>
      </c>
      <c r="B9088" s="6" t="str">
        <f ca="1">IFERROR(__xludf.DUMMYFUNCTION("""COMPUTED_VALUE"""),"-33.804350,-70.717637")</f>
        <v>-33.804350,-70.717637</v>
      </c>
      <c r="C9088" s="6" t="str">
        <f ca="1">IFERROR(__xludf.DUMMYFUNCTION("""COMPUTED_VALUE"""),"LOS CANELOS 1842")</f>
        <v>LOS CANELOS 1842</v>
      </c>
      <c r="D9088" s="6" t="str">
        <f ca="1">IFERROR(__xludf.DUMMYFUNCTION("""COMPUTED_VALUE"""),"PAINE")</f>
        <v>PAINE</v>
      </c>
    </row>
    <row r="9089" spans="1:4">
      <c r="A9089" s="7">
        <f ca="1">IFERROR(__xludf.DUMMYFUNCTION("""COMPUTED_VALUE"""),44751)</f>
        <v>44751</v>
      </c>
      <c r="B9089" s="6" t="str">
        <f ca="1">IFERROR(__xludf.DUMMYFUNCTION("""COMPUTED_VALUE"""),"-33.7937410-70.6459978")</f>
        <v>-33.7937410-70.6459978</v>
      </c>
      <c r="C9089" s="6" t="str">
        <f ca="1">IFERROR(__xludf.DUMMYFUNCTION("""COMPUTED_VALUE"""),"EL TRANSITO 14")</f>
        <v>EL TRANSITO 14</v>
      </c>
      <c r="D9089" s="6" t="str">
        <f ca="1">IFERROR(__xludf.DUMMYFUNCTION("""COMPUTED_VALUE"""),"PAINE")</f>
        <v>PAINE</v>
      </c>
    </row>
    <row r="9090" spans="1:4">
      <c r="A9090" s="7">
        <f ca="1">IFERROR(__xludf.DUMMYFUNCTION("""COMPUTED_VALUE"""),44751)</f>
        <v>44751</v>
      </c>
      <c r="B9090" s="6" t="str">
        <f ca="1">IFERROR(__xludf.DUMMYFUNCTION("""COMPUTED_VALUE"""),"-33.8113533-70.7402585")</f>
        <v>-33.8113533-70.7402585</v>
      </c>
      <c r="C9090" s="6" t="str">
        <f ca="1">IFERROR(__xludf.DUMMYFUNCTION("""COMPUTED_VALUE"""),"UNO NORTE 206")</f>
        <v>UNO NORTE 206</v>
      </c>
      <c r="D9090" s="6" t="str">
        <f ca="1">IFERROR(__xludf.DUMMYFUNCTION("""COMPUTED_VALUE"""),"PAINE")</f>
        <v>PAINE</v>
      </c>
    </row>
    <row r="9091" spans="1:4">
      <c r="A9091" s="7">
        <f ca="1">IFERROR(__xludf.DUMMYFUNCTION("""COMPUTED_VALUE"""),44753)</f>
        <v>44753</v>
      </c>
      <c r="B9091" s="6" t="str">
        <f ca="1">IFERROR(__xludf.DUMMYFUNCTION("""COMPUTED_VALUE"""),"-33.72784-70.55238")</f>
        <v>-33.72784-70.55238</v>
      </c>
      <c r="C9091" s="6" t="str">
        <f ca="1">IFERROR(__xludf.DUMMYFUNCTION("""COMPUTED_VALUE"""),"CERRO LOS MAITENES 2061")</f>
        <v>CERRO LOS MAITENES 2061</v>
      </c>
      <c r="D9091" s="6" t="str">
        <f ca="1">IFERROR(__xludf.DUMMYFUNCTION("""COMPUTED_VALUE"""),"PIRQUE")</f>
        <v>PIRQUE</v>
      </c>
    </row>
    <row r="9092" spans="1:4">
      <c r="A9092" s="7">
        <f ca="1">IFERROR(__xludf.DUMMYFUNCTION("""COMPUTED_VALUE"""),44753)</f>
        <v>44753</v>
      </c>
      <c r="B9092" s="6" t="str">
        <f ca="1">IFERROR(__xludf.DUMMYFUNCTION("""COMPUTED_VALUE"""),"-33.65752-70.58530")</f>
        <v>-33.65752-70.58530</v>
      </c>
      <c r="C9092" s="6" t="str">
        <f ca="1">IFERROR(__xludf.DUMMYFUNCTION("""COMPUTED_VALUE"""),"ALCALDE HERNAN PRIETO 121")</f>
        <v>ALCALDE HERNAN PRIETO 121</v>
      </c>
      <c r="D9092" s="6" t="str">
        <f ca="1">IFERROR(__xludf.DUMMYFUNCTION("""COMPUTED_VALUE"""),"PIRQUE")</f>
        <v>PIRQUE</v>
      </c>
    </row>
    <row r="9093" spans="1:4">
      <c r="A9093" s="7">
        <f ca="1">IFERROR(__xludf.DUMMYFUNCTION("""COMPUTED_VALUE"""),44753)</f>
        <v>44753</v>
      </c>
      <c r="B9093" s="6" t="str">
        <f ca="1">IFERROR(__xludf.DUMMYFUNCTION("""COMPUTED_VALUE"""),"-33.7491703-70.7328999")</f>
        <v>-33.7491703-70.7328999</v>
      </c>
      <c r="C9093" s="6" t="str">
        <f ca="1">IFERROR(__xludf.DUMMYFUNCTION("""COMPUTED_VALUE"""),"LOS ROSALES 0233")</f>
        <v>LOS ROSALES 0233</v>
      </c>
      <c r="D9093" s="6" t="str">
        <f ca="1">IFERROR(__xludf.DUMMYFUNCTION("""COMPUTED_VALUE"""),"BUIN")</f>
        <v>BUIN</v>
      </c>
    </row>
    <row r="9094" spans="1:4">
      <c r="A9094" s="7">
        <f ca="1">IFERROR(__xludf.DUMMYFUNCTION("""COMPUTED_VALUE"""),44753)</f>
        <v>44753</v>
      </c>
      <c r="B9094" s="6" t="str">
        <f ca="1">IFERROR(__xludf.DUMMYFUNCTION("""COMPUTED_VALUE"""),"-33.749446-70.735198")</f>
        <v>-33.749446-70.735198</v>
      </c>
      <c r="C9094" s="6" t="str">
        <f ca="1">IFERROR(__xludf.DUMMYFUNCTION("""COMPUTED_VALUE"""),"LOS ROSALES 011")</f>
        <v>LOS ROSALES 011</v>
      </c>
      <c r="D9094" s="6" t="str">
        <f ca="1">IFERROR(__xludf.DUMMYFUNCTION("""COMPUTED_VALUE"""),"BUIN")</f>
        <v>BUIN</v>
      </c>
    </row>
    <row r="9095" spans="1:4">
      <c r="A9095" s="7">
        <f ca="1">IFERROR(__xludf.DUMMYFUNCTION("""COMPUTED_VALUE"""),44753)</f>
        <v>44753</v>
      </c>
      <c r="B9095" s="6" t="str">
        <f ca="1">IFERROR(__xludf.DUMMYFUNCTION("""COMPUTED_VALUE"""),"-33.716303,- 70.847921")</f>
        <v>-33.716303,- 70.847921</v>
      </c>
      <c r="C9095" s="6" t="str">
        <f ca="1">IFERROR(__xludf.DUMMYFUNCTION("""COMPUTED_VALUE"""),"EL RECREO 592 ")</f>
        <v xml:space="preserve">EL RECREO 592 </v>
      </c>
      <c r="D9095" s="6" t="str">
        <f ca="1">IFERROR(__xludf.DUMMYFUNCTION("""COMPUTED_VALUE"""),"ISLA DE MAIPO")</f>
        <v>ISLA DE MAIPO</v>
      </c>
    </row>
    <row r="9096" spans="1:4">
      <c r="A9096" s="7">
        <f ca="1">IFERROR(__xludf.DUMMYFUNCTION("""COMPUTED_VALUE"""),44753)</f>
        <v>44753</v>
      </c>
      <c r="B9096" s="6" t="str">
        <f ca="1">IFERROR(__xludf.DUMMYFUNCTION("""COMPUTED_VALUE"""),"- 33.744504,- 70.902776")</f>
        <v>- 33.744504,- 70.902776</v>
      </c>
      <c r="C9096" s="6" t="str">
        <f ca="1">IFERROR(__xludf.DUMMYFUNCTION("""COMPUTED_VALUE"""),"YERBAS BUENAS 4005")</f>
        <v>YERBAS BUENAS 4005</v>
      </c>
      <c r="D9096" s="6" t="str">
        <f ca="1">IFERROR(__xludf.DUMMYFUNCTION("""COMPUTED_VALUE"""),"ISLA DE MAIPO")</f>
        <v>ISLA DE MAIPO</v>
      </c>
    </row>
    <row r="9097" spans="1:4">
      <c r="A9097" s="7">
        <f ca="1">IFERROR(__xludf.DUMMYFUNCTION("""COMPUTED_VALUE"""),44753)</f>
        <v>44753</v>
      </c>
      <c r="B9097" s="8" t="str">
        <f ca="1">IFERROR(__xludf.DUMMYFUNCTION("""COMPUTED_VALUE"""),"-33.681538,-71.210029")</f>
        <v>-33.681538,-71.210029</v>
      </c>
      <c r="C9097" s="6" t="str">
        <f ca="1">IFERROR(__xludf.DUMMYFUNCTION("""COMPUTED_VALUE"""),"YECORA 246")</f>
        <v>YECORA 246</v>
      </c>
      <c r="D9097" s="6" t="str">
        <f ca="1">IFERROR(__xludf.DUMMYFUNCTION("""COMPUTED_VALUE"""),"MELIPILLA")</f>
        <v>MELIPILLA</v>
      </c>
    </row>
    <row r="9098" spans="1:4">
      <c r="A9098" s="7">
        <f ca="1">IFERROR(__xludf.DUMMYFUNCTION("""COMPUTED_VALUE"""),44753)</f>
        <v>44753</v>
      </c>
      <c r="B9098" s="8" t="str">
        <f ca="1">IFERROR(__xludf.DUMMYFUNCTION("""COMPUTED_VALUE"""),"-33.652458,-71.288959")</f>
        <v>-33.652458,-71.288959</v>
      </c>
      <c r="C9098" s="6" t="str">
        <f ca="1">IFERROR(__xludf.DUMMYFUNCTION("""COMPUTED_VALUE"""),"LUMBRERAS DE PANGUE SITIO 5 P 22 ")</f>
        <v xml:space="preserve">LUMBRERAS DE PANGUE SITIO 5 P 22 </v>
      </c>
      <c r="D9098" s="6" t="str">
        <f ca="1">IFERROR(__xludf.DUMMYFUNCTION("""COMPUTED_VALUE"""),"MELIPILLA")</f>
        <v>MELIPILLA</v>
      </c>
    </row>
    <row r="9099" spans="1:4">
      <c r="A9099" s="7">
        <f ca="1">IFERROR(__xludf.DUMMYFUNCTION("""COMPUTED_VALUE"""),44753)</f>
        <v>44753</v>
      </c>
      <c r="B9099" s="6" t="str">
        <f ca="1">IFERROR(__xludf.DUMMYFUNCTION("""COMPUTED_VALUE"""),"-33.611325,-70.485450")</f>
        <v>-33.611325,-70.485450</v>
      </c>
      <c r="C9099" s="6" t="str">
        <f ca="1">IFERROR(__xludf.DUMMYFUNCTION("""COMPUTED_VALUE"""),"ALMENDRALES 57")</f>
        <v>ALMENDRALES 57</v>
      </c>
      <c r="D9099" s="6" t="str">
        <f ca="1">IFERROR(__xludf.DUMMYFUNCTION("""COMPUTED_VALUE"""),"PIRQUE")</f>
        <v>PIRQUE</v>
      </c>
    </row>
    <row r="9100" spans="1:4">
      <c r="A9100" s="7">
        <f ca="1">IFERROR(__xludf.DUMMYFUNCTION("""COMPUTED_VALUE"""),44753)</f>
        <v>44753</v>
      </c>
      <c r="B9100" s="6" t="str">
        <f ca="1">IFERROR(__xludf.DUMMYFUNCTION("""COMPUTED_VALUE"""),"-33.613260,-70.482211")</f>
        <v>-33.613260,-70.482211</v>
      </c>
      <c r="C9100" s="6" t="str">
        <f ca="1">IFERROR(__xludf.DUMMYFUNCTION("""COMPUTED_VALUE"""),"ALMENDRALES 105")</f>
        <v>ALMENDRALES 105</v>
      </c>
      <c r="D9100" s="6" t="str">
        <f ca="1">IFERROR(__xludf.DUMMYFUNCTION("""COMPUTED_VALUE"""),"PIRQUE")</f>
        <v>PIRQUE</v>
      </c>
    </row>
    <row r="9101" spans="1:4">
      <c r="A9101" s="7">
        <f ca="1">IFERROR(__xludf.DUMMYFUNCTION("""COMPUTED_VALUE"""),44754)</f>
        <v>44754</v>
      </c>
      <c r="B9101" s="8" t="str">
        <f ca="1">IFERROR(__xludf.DUMMYFUNCTION("""COMPUTED_VALUE"""),"-33.4118631, -70.5554637")</f>
        <v>-33.4118631, -70.5554637</v>
      </c>
      <c r="C9101" s="6" t="str">
        <f ca="1">IFERROR(__xludf.DUMMYFUNCTION("""COMPUTED_VALUE"""),"LAS ACACIAS 528")</f>
        <v>LAS ACACIAS 528</v>
      </c>
      <c r="D9101" s="6" t="str">
        <f ca="1">IFERROR(__xludf.DUMMYFUNCTION("""COMPUTED_VALUE"""),"TALAGANTE")</f>
        <v>TALAGANTE</v>
      </c>
    </row>
    <row r="9102" spans="1:4">
      <c r="A9102" s="7">
        <f ca="1">IFERROR(__xludf.DUMMYFUNCTION("""COMPUTED_VALUE"""),44754)</f>
        <v>44754</v>
      </c>
      <c r="B9102" s="8" t="str">
        <f ca="1">IFERROR(__xludf.DUMMYFUNCTION("""COMPUTED_VALUE"""),"-33.7315332, -71.0278508")</f>
        <v>-33.7315332, -71.0278508</v>
      </c>
      <c r="C9102" s="6" t="str">
        <f ca="1">IFERROR(__xludf.DUMMYFUNCTION("""COMPUTED_VALUE"""),"EL CLAVEL S/N ")</f>
        <v xml:space="preserve">EL CLAVEL S/N </v>
      </c>
      <c r="D9102" s="6" t="str">
        <f ca="1">IFERROR(__xludf.DUMMYFUNCTION("""COMPUTED_VALUE"""),"ISLA DE MAIPO")</f>
        <v>ISLA DE MAIPO</v>
      </c>
    </row>
    <row r="9103" spans="1:4">
      <c r="A9103" s="7">
        <f ca="1">IFERROR(__xludf.DUMMYFUNCTION("""COMPUTED_VALUE"""),44754)</f>
        <v>44754</v>
      </c>
      <c r="B9103" s="8" t="str">
        <f ca="1">IFERROR(__xludf.DUMMYFUNCTION("""COMPUTED_VALUE"""),"-33.2090364, -70.7759457")</f>
        <v>-33.2090364, -70.7759457</v>
      </c>
      <c r="C9103" s="6" t="str">
        <f ca="1">IFERROR(__xludf.DUMMYFUNCTION("""COMPUTED_VALUE"""),"SANTA SARA 1801, PARCELA 32")</f>
        <v>SANTA SARA 1801, PARCELA 32</v>
      </c>
      <c r="D9103" s="6" t="str">
        <f ca="1">IFERROR(__xludf.DUMMYFUNCTION("""COMPUTED_VALUE"""),"LAMPA")</f>
        <v>LAMPA</v>
      </c>
    </row>
    <row r="9104" spans="1:4">
      <c r="A9104" s="7">
        <f ca="1">IFERROR(__xludf.DUMMYFUNCTION("""COMPUTED_VALUE"""),44754)</f>
        <v>44754</v>
      </c>
      <c r="B9104" s="8" t="str">
        <f ca="1">IFERROR(__xludf.DUMMYFUNCTION("""COMPUTED_VALUE"""),"-33.2515417, -70.7634683")</f>
        <v>-33.2515417, -70.7634683</v>
      </c>
      <c r="C9104" s="6" t="str">
        <f ca="1">IFERROR(__xludf.DUMMYFUNCTION("""COMPUTED_VALUE"""),"SANTA ROSA 340 CASA 171")</f>
        <v>SANTA ROSA 340 CASA 171</v>
      </c>
      <c r="D9104" s="6" t="str">
        <f ca="1">IFERROR(__xludf.DUMMYFUNCTION("""COMPUTED_VALUE"""),"LAMPA")</f>
        <v>LAMPA</v>
      </c>
    </row>
    <row r="9105" spans="1:4">
      <c r="A9105" s="7">
        <f ca="1">IFERROR(__xludf.DUMMYFUNCTION("""COMPUTED_VALUE"""),44754)</f>
        <v>44754</v>
      </c>
      <c r="B9105" s="8" t="str">
        <f ca="1">IFERROR(__xludf.DUMMYFUNCTION("""COMPUTED_VALUE"""),"-33.7430763, -70.8683261")</f>
        <v>-33.7430763, -70.8683261</v>
      </c>
      <c r="C9105" s="6" t="str">
        <f ca="1">IFERROR(__xludf.DUMMYFUNCTION("""COMPUTED_VALUE"""),"ANITA INOSTROZA WISE 360")</f>
        <v>ANITA INOSTROZA WISE 360</v>
      </c>
      <c r="D9105" s="6" t="str">
        <f ca="1">IFERROR(__xludf.DUMMYFUNCTION("""COMPUTED_VALUE"""),"ISLA DE MAIPO")</f>
        <v>ISLA DE MAIPO</v>
      </c>
    </row>
    <row r="9106" spans="1:4">
      <c r="A9106" s="7">
        <f ca="1">IFERROR(__xludf.DUMMYFUNCTION("""COMPUTED_VALUE"""),44754)</f>
        <v>44754</v>
      </c>
      <c r="B9106" s="8" t="str">
        <f ca="1">IFERROR(__xludf.DUMMYFUNCTION("""COMPUTED_VALUE"""),"-33.5735983, -71.1983683")</f>
        <v>-33.5735983, -71.1983683</v>
      </c>
      <c r="C9106" s="6" t="str">
        <f ca="1">IFERROR(__xludf.DUMMYFUNCTION("""COMPUTED_VALUE"""),"TAMARUGO 924")</f>
        <v>TAMARUGO 924</v>
      </c>
      <c r="D9106" s="6" t="str">
        <f ca="1">IFERROR(__xludf.DUMMYFUNCTION("""COMPUTED_VALUE"""),"MELIPILLA")</f>
        <v>MELIPILLA</v>
      </c>
    </row>
    <row r="9107" spans="1:4">
      <c r="A9107" s="7">
        <f ca="1">IFERROR(__xludf.DUMMYFUNCTION("""COMPUTED_VALUE"""),44754)</f>
        <v>44754</v>
      </c>
      <c r="B9107" s="6" t="str">
        <f ca="1">IFERROR(__xludf.DUMMYFUNCTION("""COMPUTED_VALUE"""),"-33.736434-70.762592")</f>
        <v>-33.736434-70.762592</v>
      </c>
      <c r="C9107" s="6" t="str">
        <f ca="1">IFERROR(__xludf.DUMMYFUNCTION("""COMPUTED_VALUE"""),"TOTOCHA INOSTROZA 134")</f>
        <v>TOTOCHA INOSTROZA 134</v>
      </c>
      <c r="D9107" s="6" t="str">
        <f ca="1">IFERROR(__xludf.DUMMYFUNCTION("""COMPUTED_VALUE"""),"BUIN")</f>
        <v>BUIN</v>
      </c>
    </row>
    <row r="9108" spans="1:4">
      <c r="A9108" s="7">
        <f ca="1">IFERROR(__xludf.DUMMYFUNCTION("""COMPUTED_VALUE"""),44754)</f>
        <v>44754</v>
      </c>
      <c r="B9108" s="6" t="str">
        <f ca="1">IFERROR(__xludf.DUMMYFUNCTION("""COMPUTED_VALUE"""),"-33.879497-70.745673")</f>
        <v>-33.879497-70.745673</v>
      </c>
      <c r="C9108" s="6" t="str">
        <f ca="1">IFERROR(__xludf.DUMMYFUNCTION("""COMPUTED_VALUE"""),"LECHO DEL RIO 2 A")</f>
        <v>LECHO DEL RIO 2 A</v>
      </c>
      <c r="D9108" s="6" t="str">
        <f ca="1">IFERROR(__xludf.DUMMYFUNCTION("""COMPUTED_VALUE"""),"PAINE")</f>
        <v>PAINE</v>
      </c>
    </row>
    <row r="9109" spans="1:4">
      <c r="A9109" s="7">
        <f ca="1">IFERROR(__xludf.DUMMYFUNCTION("""COMPUTED_VALUE"""),44754)</f>
        <v>44754</v>
      </c>
      <c r="B9109" s="6" t="str">
        <f ca="1">IFERROR(__xludf.DUMMYFUNCTION("""COMPUTED_VALUE"""),"-33.70852-70.33258")</f>
        <v>-33.70852-70.33258</v>
      </c>
      <c r="C9109" s="6" t="str">
        <f ca="1">IFERROR(__xludf.DUMMYFUNCTION("""COMPUTED_VALUE"""),"MELOCOTON ALTO S/N")</f>
        <v>MELOCOTON ALTO S/N</v>
      </c>
      <c r="D9109" s="6" t="str">
        <f ca="1">IFERROR(__xludf.DUMMYFUNCTION("""COMPUTED_VALUE"""),"SAN JOSE DE MAIPO")</f>
        <v>SAN JOSE DE MAIPO</v>
      </c>
    </row>
    <row r="9110" spans="1:4">
      <c r="A9110" s="7">
        <f ca="1">IFERROR(__xludf.DUMMYFUNCTION("""COMPUTED_VALUE"""),44754)</f>
        <v>44754</v>
      </c>
      <c r="B9110" s="6" t="str">
        <f ca="1">IFERROR(__xludf.DUMMYFUNCTION("""COMPUTED_VALUE"""),"-33.63334-70.35160")</f>
        <v>-33.63334-70.35160</v>
      </c>
      <c r="C9110" s="6" t="str">
        <f ca="1">IFERROR(__xludf.DUMMYFUNCTION("""COMPUTED_VALUE"""),"COMERCIO 19001")</f>
        <v>COMERCIO 19001</v>
      </c>
      <c r="D9110" s="6" t="str">
        <f ca="1">IFERROR(__xludf.DUMMYFUNCTION("""COMPUTED_VALUE"""),"SAN JOSE DE MAIPO")</f>
        <v>SAN JOSE DE MAIPO</v>
      </c>
    </row>
    <row r="9111" spans="1:4">
      <c r="A9111" s="7">
        <f ca="1">IFERROR(__xludf.DUMMYFUNCTION("""COMPUTED_VALUE"""),44754)</f>
        <v>44754</v>
      </c>
      <c r="B9111" s="6" t="str">
        <f ca="1">IFERROR(__xludf.DUMMYFUNCTION("""COMPUTED_VALUE"""),"-33.408129-71.145668")</f>
        <v>-33.408129-71.145668</v>
      </c>
      <c r="C9111" s="6" t="str">
        <f ca="1">IFERROR(__xludf.DUMMYFUNCTION("""COMPUTED_VALUE"""),"AV. AMBROSIO OHIGGINS 475")</f>
        <v>AV. AMBROSIO OHIGGINS 475</v>
      </c>
      <c r="D9111" s="6" t="str">
        <f ca="1">IFERROR(__xludf.DUMMYFUNCTION("""COMPUTED_VALUE"""),"CURACAVI")</f>
        <v>CURACAVI</v>
      </c>
    </row>
    <row r="9112" spans="1:4">
      <c r="A9112" s="7">
        <f ca="1">IFERROR(__xludf.DUMMYFUNCTION("""COMPUTED_VALUE"""),44754)</f>
        <v>44754</v>
      </c>
      <c r="B9112" s="6" t="str">
        <f ca="1">IFERROR(__xludf.DUMMYFUNCTION("""COMPUTED_VALUE"""),"- 33,738208 - 70.861134")</f>
        <v>- 33,738208 - 70.861134</v>
      </c>
      <c r="C9112" s="6" t="str">
        <f ca="1">IFERROR(__xludf.DUMMYFUNCTION("""COMPUTED_VALUE"""),"BALMACEDA 4385")</f>
        <v>BALMACEDA 4385</v>
      </c>
      <c r="D9112" s="6" t="str">
        <f ca="1">IFERROR(__xludf.DUMMYFUNCTION("""COMPUTED_VALUE"""),"ISLA DE MAIPO")</f>
        <v>ISLA DE MAIPO</v>
      </c>
    </row>
    <row r="9113" spans="1:4">
      <c r="A9113" s="7">
        <f ca="1">IFERROR(__xludf.DUMMYFUNCTION("""COMPUTED_VALUE"""),44754)</f>
        <v>44754</v>
      </c>
      <c r="B9113" s="6" t="str">
        <f ca="1">IFERROR(__xludf.DUMMYFUNCTION("""COMPUTED_VALUE"""),"- 33,739498, - 70867066")</f>
        <v>- 33,739498, - 70867066</v>
      </c>
      <c r="C9113" s="6" t="str">
        <f ca="1">IFERROR(__xludf.DUMMYFUNCTION("""COMPUTED_VALUE"""),"SAN ANTONIO 3165 ")</f>
        <v xml:space="preserve">SAN ANTONIO 3165 </v>
      </c>
      <c r="D9113" s="6" t="str">
        <f ca="1">IFERROR(__xludf.DUMMYFUNCTION("""COMPUTED_VALUE"""),"ISLA DE MAIPO")</f>
        <v>ISLA DE MAIPO</v>
      </c>
    </row>
    <row r="9114" spans="1:4">
      <c r="A9114" s="7">
        <f ca="1">IFERROR(__xludf.DUMMYFUNCTION("""COMPUTED_VALUE"""),44754)</f>
        <v>44754</v>
      </c>
      <c r="B9114" s="6" t="str">
        <f ca="1">IFERROR(__xludf.DUMMYFUNCTION("""COMPUTED_VALUE"""),"- 33,744113 , - 70867834")</f>
        <v>- 33,744113 , - 70867834</v>
      </c>
      <c r="C9114" s="6" t="str">
        <f ca="1">IFERROR(__xludf.DUMMYFUNCTION("""COMPUTED_VALUE"""),"MICHELLE BACHELET 484")</f>
        <v>MICHELLE BACHELET 484</v>
      </c>
      <c r="D9114" s="6" t="str">
        <f ca="1">IFERROR(__xludf.DUMMYFUNCTION("""COMPUTED_VALUE"""),"ISLA DE MAIPO")</f>
        <v>ISLA DE MAIPO</v>
      </c>
    </row>
    <row r="9115" spans="1:4">
      <c r="A9115" s="7">
        <f ca="1">IFERROR(__xludf.DUMMYFUNCTION("""COMPUTED_VALUE"""),44754)</f>
        <v>44754</v>
      </c>
      <c r="B9115" s="6" t="str">
        <f ca="1">IFERROR(__xludf.DUMMYFUNCTION("""COMPUTED_VALUE"""),"- 33,770573, - 70.902212")</f>
        <v>- 33,770573, - 70.902212</v>
      </c>
      <c r="C9115" s="6" t="str">
        <f ca="1">IFERROR(__xludf.DUMMYFUNCTION("""COMPUTED_VALUE"""),"GALVEZ 1463 ")</f>
        <v xml:space="preserve">GALVEZ 1463 </v>
      </c>
      <c r="D9115" s="6" t="str">
        <f ca="1">IFERROR(__xludf.DUMMYFUNCTION("""COMPUTED_VALUE"""),"ISLA DE MAIPO")</f>
        <v>ISLA DE MAIPO</v>
      </c>
    </row>
    <row r="9116" spans="1:4">
      <c r="A9116" s="7">
        <f ca="1">IFERROR(__xludf.DUMMYFUNCTION("""COMPUTED_VALUE"""),44754)</f>
        <v>44754</v>
      </c>
      <c r="B9116" s="8" t="str">
        <f ca="1">IFERROR(__xludf.DUMMYFUNCTION("""COMPUTED_VALUE"""),"-33.686533,-71.208223")</f>
        <v>-33.686533,-71.208223</v>
      </c>
      <c r="C9116" s="6" t="str">
        <f ca="1">IFERROR(__xludf.DUMMYFUNCTION("""COMPUTED_VALUE"""),"VILLA R.SOTO MAYOR C/1 ")</f>
        <v xml:space="preserve">VILLA R.SOTO MAYOR C/1 </v>
      </c>
      <c r="D9116" s="6" t="str">
        <f ca="1">IFERROR(__xludf.DUMMYFUNCTION("""COMPUTED_VALUE"""),"MELIPILLA")</f>
        <v>MELIPILLA</v>
      </c>
    </row>
    <row r="9117" spans="1:4">
      <c r="A9117" s="7">
        <f ca="1">IFERROR(__xludf.DUMMYFUNCTION("""COMPUTED_VALUE"""),44754)</f>
        <v>44754</v>
      </c>
      <c r="B9117" s="8" t="str">
        <f ca="1">IFERROR(__xludf.DUMMYFUNCTION("""COMPUTED_VALUE"""),"-33.676831,-71.3376648")</f>
        <v>-33.676831,-71.3376648</v>
      </c>
      <c r="C9117" s="6" t="str">
        <f ca="1">IFERROR(__xludf.DUMMYFUNCTION("""COMPUTED_VALUE"""),"PUANGUE LO LIBERTAD SITIO K")</f>
        <v>PUANGUE LO LIBERTAD SITIO K</v>
      </c>
      <c r="D9117" s="6" t="str">
        <f ca="1">IFERROR(__xludf.DUMMYFUNCTION("""COMPUTED_VALUE"""),"MELIPILLA")</f>
        <v>MELIPILLA</v>
      </c>
    </row>
    <row r="9118" spans="1:4">
      <c r="A9118" s="7">
        <f ca="1">IFERROR(__xludf.DUMMYFUNCTION("""COMPUTED_VALUE"""),44754)</f>
        <v>44754</v>
      </c>
      <c r="B9118" s="8" t="str">
        <f ca="1">IFERROR(__xludf.DUMMYFUNCTION("""COMPUTED_VALUE"""),"-33.317333,-70.8462260")</f>
        <v>-33.317333,-70.8462260</v>
      </c>
      <c r="C9118" s="6" t="str">
        <f ca="1">IFERROR(__xludf.DUMMYFUNCTION("""COMPUTED_VALUE"""),"EX HACIENDA LAMPA LIPANGUE ")</f>
        <v xml:space="preserve">EX HACIENDA LAMPA LIPANGUE </v>
      </c>
      <c r="D9118" s="6" t="str">
        <f ca="1">IFERROR(__xludf.DUMMYFUNCTION("""COMPUTED_VALUE"""),"LAMPA")</f>
        <v>LAMPA</v>
      </c>
    </row>
    <row r="9119" spans="1:4">
      <c r="A9119" s="7">
        <f ca="1">IFERROR(__xludf.DUMMYFUNCTION("""COMPUTED_VALUE"""),44754)</f>
        <v>44754</v>
      </c>
      <c r="B9119" s="6" t="str">
        <f ca="1">IFERROR(__xludf.DUMMYFUNCTION("""COMPUTED_VALUE"""),"-33.736888,-70.763227")</f>
        <v>-33.736888,-70.763227</v>
      </c>
      <c r="C9119" s="6" t="str">
        <f ca="1">IFERROR(__xludf.DUMMYFUNCTION("""COMPUTED_VALUE"""),"PJE ANGELA FONSECA 95")</f>
        <v>PJE ANGELA FONSECA 95</v>
      </c>
      <c r="D9119" s="6" t="str">
        <f ca="1">IFERROR(__xludf.DUMMYFUNCTION("""COMPUTED_VALUE"""),"BUIN")</f>
        <v>BUIN</v>
      </c>
    </row>
    <row r="9120" spans="1:4">
      <c r="A9120" s="7">
        <f ca="1">IFERROR(__xludf.DUMMYFUNCTION("""COMPUTED_VALUE"""),44754)</f>
        <v>44754</v>
      </c>
      <c r="B9120" s="6" t="str">
        <f ca="1">IFERROR(__xludf.DUMMYFUNCTION("""COMPUTED_VALUE"""),"-33.610352,-70.485450")</f>
        <v>-33.610352,-70.485450</v>
      </c>
      <c r="C9120" s="6" t="str">
        <f ca="1">IFERROR(__xludf.DUMMYFUNCTION("""COMPUTED_VALUE"""),"ALMENDRALES 153")</f>
        <v>ALMENDRALES 153</v>
      </c>
      <c r="D9120" s="6" t="str">
        <f ca="1">IFERROR(__xludf.DUMMYFUNCTION("""COMPUTED_VALUE"""),"PIRQUE")</f>
        <v>PIRQUE</v>
      </c>
    </row>
    <row r="9121" spans="1:4">
      <c r="A9121" s="7">
        <f ca="1">IFERROR(__xludf.DUMMYFUNCTION("""COMPUTED_VALUE"""),44754)</f>
        <v>44754</v>
      </c>
      <c r="B9121" s="6" t="str">
        <f ca="1">IFERROR(__xludf.DUMMYFUNCTION("""COMPUTED_VALUE"""),"-33.611328,-70.484247")</f>
        <v>-33.611328,-70.484247</v>
      </c>
      <c r="C9121" s="6" t="str">
        <f ca="1">IFERROR(__xludf.DUMMYFUNCTION("""COMPUTED_VALUE"""),"LOS ALMENDRALES 57")</f>
        <v>LOS ALMENDRALES 57</v>
      </c>
      <c r="D9121" s="6" t="str">
        <f ca="1">IFERROR(__xludf.DUMMYFUNCTION("""COMPUTED_VALUE"""),"PIRQUE")</f>
        <v>PIRQUE</v>
      </c>
    </row>
    <row r="9122" spans="1:4">
      <c r="A9122" s="7">
        <f ca="1">IFERROR(__xludf.DUMMYFUNCTION("""COMPUTED_VALUE"""),44755)</f>
        <v>44755</v>
      </c>
      <c r="B9122" s="8" t="str">
        <f ca="1">IFERROR(__xludf.DUMMYFUNCTION("""COMPUTED_VALUE"""),"-33.8106005, -70.7338953")</f>
        <v>-33.8106005, -70.7338953</v>
      </c>
      <c r="C9122" s="6" t="str">
        <f ca="1">IFERROR(__xludf.DUMMYFUNCTION("""COMPUTED_VALUE"""),"LOS HEROES 639")</f>
        <v>LOS HEROES 639</v>
      </c>
      <c r="D9122" s="6" t="str">
        <f ca="1">IFERROR(__xludf.DUMMYFUNCTION("""COMPUTED_VALUE"""),"PAINE")</f>
        <v>PAINE</v>
      </c>
    </row>
    <row r="9123" spans="1:4">
      <c r="A9123" s="7">
        <f ca="1">IFERROR(__xludf.DUMMYFUNCTION("""COMPUTED_VALUE"""),44755)</f>
        <v>44755</v>
      </c>
      <c r="B9123" s="8" t="str">
        <f ca="1">IFERROR(__xludf.DUMMYFUNCTION("""COMPUTED_VALUE"""),"-33.7430763, -70.8683261")</f>
        <v>-33.7430763, -70.8683261</v>
      </c>
      <c r="C9123" s="6" t="str">
        <f ca="1">IFERROR(__xludf.DUMMYFUNCTION("""COMPUTED_VALUE"""),"NANAGUAYAN 221")</f>
        <v>NANAGUAYAN 221</v>
      </c>
      <c r="D9123" s="6" t="str">
        <f ca="1">IFERROR(__xludf.DUMMYFUNCTION("""COMPUTED_VALUE"""),"ISLA DE MAIPO")</f>
        <v>ISLA DE MAIPO</v>
      </c>
    </row>
    <row r="9124" spans="1:4">
      <c r="A9124" s="7">
        <f ca="1">IFERROR(__xludf.DUMMYFUNCTION("""COMPUTED_VALUE"""),44755)</f>
        <v>44755</v>
      </c>
      <c r="B9124" s="8" t="str">
        <f ca="1">IFERROR(__xludf.DUMMYFUNCTION("""COMPUTED_VALUE"""),"-33.7430763, -70.8683261")</f>
        <v>-33.7430763, -70.8683261</v>
      </c>
      <c r="C9124" s="6" t="str">
        <f ca="1">IFERROR(__xludf.DUMMYFUNCTION("""COMPUTED_VALUE"""),"SANTA INES 699")</f>
        <v>SANTA INES 699</v>
      </c>
      <c r="D9124" s="6" t="str">
        <f ca="1">IFERROR(__xludf.DUMMYFUNCTION("""COMPUTED_VALUE"""),"ISLA DE MAIPO")</f>
        <v>ISLA DE MAIPO</v>
      </c>
    </row>
    <row r="9125" spans="1:4">
      <c r="A9125" s="7">
        <f ca="1">IFERROR(__xludf.DUMMYFUNCTION("""COMPUTED_VALUE"""),44755)</f>
        <v>44755</v>
      </c>
      <c r="B9125" s="8" t="str">
        <f ca="1">IFERROR(__xludf.DUMMYFUNCTION("""COMPUTED_VALUE"""),"-33.6747583, -70.7235204")</f>
        <v>-33.6747583, -70.7235204</v>
      </c>
      <c r="C9125" s="6" t="str">
        <f ca="1">IFERROR(__xludf.DUMMYFUNCTION("""COMPUTED_VALUE"""),"SERRANO 0")</f>
        <v>SERRANO 0</v>
      </c>
      <c r="D9125" s="6" t="str">
        <f ca="1">IFERROR(__xludf.DUMMYFUNCTION("""COMPUTED_VALUE"""),"BUIN")</f>
        <v>BUIN</v>
      </c>
    </row>
    <row r="9126" spans="1:4">
      <c r="A9126" s="7">
        <f ca="1">IFERROR(__xludf.DUMMYFUNCTION("""COMPUTED_VALUE"""),44755)</f>
        <v>44755</v>
      </c>
      <c r="B9126" s="6" t="str">
        <f ca="1">IFERROR(__xludf.DUMMYFUNCTION("""COMPUTED_VALUE"""),"-33.805041-70.729233")</f>
        <v>-33.805041-70.729233</v>
      </c>
      <c r="C9126" s="6" t="str">
        <f ca="1">IFERROR(__xludf.DUMMYFUNCTION("""COMPUTED_VALUE"""),"RIO CAU CAU 141")</f>
        <v>RIO CAU CAU 141</v>
      </c>
      <c r="D9126" s="6" t="str">
        <f ca="1">IFERROR(__xludf.DUMMYFUNCTION("""COMPUTED_VALUE"""),"PAINE")</f>
        <v>PAINE</v>
      </c>
    </row>
    <row r="9127" spans="1:4">
      <c r="A9127" s="7">
        <f ca="1">IFERROR(__xludf.DUMMYFUNCTION("""COMPUTED_VALUE"""),44755)</f>
        <v>44755</v>
      </c>
      <c r="B9127" s="6" t="str">
        <f ca="1">IFERROR(__xludf.DUMMYFUNCTION("""COMPUTED_VALUE"""),"-33.398727-71.123004")</f>
        <v>-33.398727-71.123004</v>
      </c>
      <c r="C9127" s="6" t="str">
        <f ca="1">IFERROR(__xludf.DUMMYFUNCTION("""COMPUTED_VALUE"""),"GERARDO REBOLLEDO 265")</f>
        <v>GERARDO REBOLLEDO 265</v>
      </c>
      <c r="D9127" s="6" t="str">
        <f ca="1">IFERROR(__xludf.DUMMYFUNCTION("""COMPUTED_VALUE"""),"CURACAVI")</f>
        <v>CURACAVI</v>
      </c>
    </row>
    <row r="9128" spans="1:4">
      <c r="A9128" s="7">
        <f ca="1">IFERROR(__xludf.DUMMYFUNCTION("""COMPUTED_VALUE"""),44755)</f>
        <v>44755</v>
      </c>
      <c r="B9128" s="6" t="str">
        <f ca="1">IFERROR(__xludf.DUMMYFUNCTION("""COMPUTED_VALUE"""),"-33.406362-71.133476")</f>
        <v>-33.406362-71.133476</v>
      </c>
      <c r="C9128" s="6" t="str">
        <f ca="1">IFERROR(__xludf.DUMMYFUNCTION("""COMPUTED_VALUE"""),"PJE TRES S/N SITIO 37")</f>
        <v>PJE TRES S/N SITIO 37</v>
      </c>
      <c r="D9128" s="6" t="str">
        <f ca="1">IFERROR(__xludf.DUMMYFUNCTION("""COMPUTED_VALUE"""),"CURACAVI")</f>
        <v>CURACAVI</v>
      </c>
    </row>
    <row r="9129" spans="1:4">
      <c r="A9129" s="7">
        <f ca="1">IFERROR(__xludf.DUMMYFUNCTION("""COMPUTED_VALUE"""),44755)</f>
        <v>44755</v>
      </c>
      <c r="B9129" s="6" t="str">
        <f ca="1">IFERROR(__xludf.DUMMYFUNCTION("""COMPUTED_VALUE"""),"-33.741926-70.741623")</f>
        <v>-33.741926-70.741623</v>
      </c>
      <c r="C9129" s="6" t="str">
        <f ca="1">IFERROR(__xludf.DUMMYFUNCTION("""COMPUTED_VALUE"""),"ERRAZURIZ 1021")</f>
        <v>ERRAZURIZ 1021</v>
      </c>
      <c r="D9129" s="6" t="str">
        <f ca="1">IFERROR(__xludf.DUMMYFUNCTION("""COMPUTED_VALUE"""),"BUIN")</f>
        <v>BUIN</v>
      </c>
    </row>
    <row r="9130" spans="1:4">
      <c r="A9130" s="7">
        <f ca="1">IFERROR(__xludf.DUMMYFUNCTION("""COMPUTED_VALUE"""),44755)</f>
        <v>44755</v>
      </c>
      <c r="B9130" s="8" t="str">
        <f ca="1">IFERROR(__xludf.DUMMYFUNCTION("""COMPUTED_VALUE"""),"-33.638937,-71.234880")</f>
        <v>-33.638937,-71.234880</v>
      </c>
      <c r="C9130" s="6" t="str">
        <f ca="1">IFERROR(__xludf.DUMMYFUNCTION("""COMPUTED_VALUE"""),"POBLACION RUMAY SITIO 7 ")</f>
        <v xml:space="preserve">POBLACION RUMAY SITIO 7 </v>
      </c>
      <c r="D9130" s="6" t="str">
        <f ca="1">IFERROR(__xludf.DUMMYFUNCTION("""COMPUTED_VALUE"""),"MELIPILLA")</f>
        <v>MELIPILLA</v>
      </c>
    </row>
    <row r="9131" spans="1:4">
      <c r="A9131" s="7">
        <f ca="1">IFERROR(__xludf.DUMMYFUNCTION("""COMPUTED_VALUE"""),44755)</f>
        <v>44755</v>
      </c>
      <c r="B9131" s="8" t="str">
        <f ca="1">IFERROR(__xludf.DUMMYFUNCTION("""COMPUTED_VALUE"""),"-33.639478,-71.234689")</f>
        <v>-33.639478,-71.234689</v>
      </c>
      <c r="C9131" s="6" t="str">
        <f ca="1">IFERROR(__xludf.DUMMYFUNCTION("""COMPUTED_VALUE"""),"POBLACION RUMAY SITIO 6")</f>
        <v>POBLACION RUMAY SITIO 6</v>
      </c>
      <c r="D9131" s="6" t="str">
        <f ca="1">IFERROR(__xludf.DUMMYFUNCTION("""COMPUTED_VALUE"""),"MELIPILLA")</f>
        <v>MELIPILLA</v>
      </c>
    </row>
    <row r="9132" spans="1:4">
      <c r="A9132" s="7">
        <f ca="1">IFERROR(__xludf.DUMMYFUNCTION("""COMPUTED_VALUE"""),44755)</f>
        <v>44755</v>
      </c>
      <c r="B9132" s="6" t="str">
        <f ca="1">IFERROR(__xludf.DUMMYFUNCTION("""COMPUTED_VALUE"""),"-33.848216,-70.733824")</f>
        <v>-33.848216,-70.733824</v>
      </c>
      <c r="C9132" s="6" t="str">
        <f ca="1">IFERROR(__xludf.DUMMYFUNCTION("""COMPUTED_VALUE"""),"LAS ROSAS 49")</f>
        <v>LAS ROSAS 49</v>
      </c>
      <c r="D9132" s="6" t="str">
        <f ca="1">IFERROR(__xludf.DUMMYFUNCTION("""COMPUTED_VALUE"""),"PAINE")</f>
        <v>PAINE</v>
      </c>
    </row>
    <row r="9133" spans="1:4">
      <c r="A9133" s="7">
        <f ca="1">IFERROR(__xludf.DUMMYFUNCTION("""COMPUTED_VALUE"""),44755)</f>
        <v>44755</v>
      </c>
      <c r="B9133" s="6" t="str">
        <f ca="1">IFERROR(__xludf.DUMMYFUNCTION("""COMPUTED_VALUE"""),"-33.610650,-70.484694")</f>
        <v>-33.610650,-70.484694</v>
      </c>
      <c r="C9133" s="6" t="str">
        <f ca="1">IFERROR(__xludf.DUMMYFUNCTION("""COMPUTED_VALUE"""),"LOS ALMENDRALES 61")</f>
        <v>LOS ALMENDRALES 61</v>
      </c>
      <c r="D9133" s="6" t="str">
        <f ca="1">IFERROR(__xludf.DUMMYFUNCTION("""COMPUTED_VALUE"""),"PIRQUE")</f>
        <v>PIRQUE</v>
      </c>
    </row>
    <row r="9134" spans="1:4">
      <c r="A9134" s="7">
        <f ca="1">IFERROR(__xludf.DUMMYFUNCTION("""COMPUTED_VALUE"""),44756)</f>
        <v>44756</v>
      </c>
      <c r="B9134" s="8" t="str">
        <f ca="1">IFERROR(__xludf.DUMMYFUNCTION("""COMPUTED_VALUE"""),"-33.7242847, -70.5515773")</f>
        <v>-33.7242847, -70.5515773</v>
      </c>
      <c r="C9134" s="6" t="str">
        <f ca="1">IFERROR(__xludf.DUMMYFUNCTION("""COMPUTED_VALUE"""),"LOS CORRALES 102")</f>
        <v>LOS CORRALES 102</v>
      </c>
      <c r="D9134" s="6" t="str">
        <f ca="1">IFERROR(__xludf.DUMMYFUNCTION("""COMPUTED_VALUE"""),"PIRQUE")</f>
        <v>PIRQUE</v>
      </c>
    </row>
    <row r="9135" spans="1:4">
      <c r="A9135" s="7">
        <f ca="1">IFERROR(__xludf.DUMMYFUNCTION("""COMPUTED_VALUE"""),44756)</f>
        <v>44756</v>
      </c>
      <c r="B9135" s="8" t="str">
        <f ca="1">IFERROR(__xludf.DUMMYFUNCTION("""COMPUTED_VALUE"""),"33.7383166, -70.8636485")</f>
        <v>33.7383166, -70.8636485</v>
      </c>
      <c r="C9135" s="6" t="str">
        <f ca="1">IFERROR(__xludf.DUMMYFUNCTION("""COMPUTED_VALUE"""),"ESTERO GACITUA 156")</f>
        <v>ESTERO GACITUA 156</v>
      </c>
      <c r="D9135" s="6" t="str">
        <f ca="1">IFERROR(__xludf.DUMMYFUNCTION("""COMPUTED_VALUE"""),"ISLA DE MAIPO")</f>
        <v>ISLA DE MAIPO</v>
      </c>
    </row>
    <row r="9136" spans="1:4">
      <c r="A9136" s="7">
        <f ca="1">IFERROR(__xludf.DUMMYFUNCTION("""COMPUTED_VALUE"""),44756)</f>
        <v>44756</v>
      </c>
      <c r="B9136" s="8" t="str">
        <f ca="1">IFERROR(__xludf.DUMMYFUNCTION("""COMPUTED_VALUE"""),"-33.711007, -70.8702322")</f>
        <v>-33.711007, -70.8702322</v>
      </c>
      <c r="C9136" s="6" t="str">
        <f ca="1">IFERROR(__xludf.DUMMYFUNCTION("""COMPUTED_VALUE"""),"CAMINO CARAMPANGUE 5912 CASA 73")</f>
        <v>CAMINO CARAMPANGUE 5912 CASA 73</v>
      </c>
      <c r="D9136" s="6" t="str">
        <f ca="1">IFERROR(__xludf.DUMMYFUNCTION("""COMPUTED_VALUE"""),"ISLA DE MAIPO")</f>
        <v>ISLA DE MAIPO</v>
      </c>
    </row>
    <row r="9137" spans="1:4">
      <c r="A9137" s="7">
        <f ca="1">IFERROR(__xludf.DUMMYFUNCTION("""COMPUTED_VALUE"""),44756)</f>
        <v>44756</v>
      </c>
      <c r="B9137" s="8" t="str">
        <f ca="1">IFERROR(__xludf.DUMMYFUNCTION("""COMPUTED_VALUE"""),"-33.7307899, -70.5554884")</f>
        <v>-33.7307899, -70.5554884</v>
      </c>
      <c r="C9137" s="6" t="str">
        <f ca="1">IFERROR(__xludf.DUMMYFUNCTION("""COMPUTED_VALUE"""),"EL PRINCIPAL 31")</f>
        <v>EL PRINCIPAL 31</v>
      </c>
      <c r="D9137" s="6" t="str">
        <f ca="1">IFERROR(__xludf.DUMMYFUNCTION("""COMPUTED_VALUE"""),"PIRQUE")</f>
        <v>PIRQUE</v>
      </c>
    </row>
    <row r="9138" spans="1:4">
      <c r="A9138" s="7">
        <f ca="1">IFERROR(__xludf.DUMMYFUNCTION("""COMPUTED_VALUE"""),44756)</f>
        <v>44756</v>
      </c>
      <c r="B9138" s="8" t="str">
        <f ca="1">IFERROR(__xludf.DUMMYFUNCTION("""COMPUTED_VALUE"""),"-33.7470968, -70.6779737")</f>
        <v>-33.7470968, -70.6779737</v>
      </c>
      <c r="C9138" s="6" t="str">
        <f ca="1">IFERROR(__xludf.DUMMYFUNCTION("""COMPUTED_VALUE"""),"CRUZ DEL SUR 34")</f>
        <v>CRUZ DEL SUR 34</v>
      </c>
      <c r="D9138" s="6" t="str">
        <f ca="1">IFERROR(__xludf.DUMMYFUNCTION("""COMPUTED_VALUE"""),"BUIN")</f>
        <v>BUIN</v>
      </c>
    </row>
    <row r="9139" spans="1:4">
      <c r="A9139" s="7">
        <f ca="1">IFERROR(__xludf.DUMMYFUNCTION("""COMPUTED_VALUE"""),44756)</f>
        <v>44756</v>
      </c>
      <c r="B9139" s="8" t="str">
        <f ca="1">IFERROR(__xludf.DUMMYFUNCTION("""COMPUTED_VALUE"""),"-33.7470932, -70.6779784")</f>
        <v>-33.7470932, -70.6779784</v>
      </c>
      <c r="C9139" s="6" t="str">
        <f ca="1">IFERROR(__xludf.DUMMYFUNCTION("""COMPUTED_VALUE"""),"GACITUA 107")</f>
        <v>GACITUA 107</v>
      </c>
      <c r="D9139" s="6" t="str">
        <f ca="1">IFERROR(__xludf.DUMMYFUNCTION("""COMPUTED_VALUE"""),"ISLA DE MAIPO")</f>
        <v>ISLA DE MAIPO</v>
      </c>
    </row>
    <row r="9140" spans="1:4">
      <c r="A9140" s="7">
        <f ca="1">IFERROR(__xludf.DUMMYFUNCTION("""COMPUTED_VALUE"""),44756)</f>
        <v>44756</v>
      </c>
      <c r="B9140" s="6" t="str">
        <f ca="1">IFERROR(__xludf.DUMMYFUNCTION("""COMPUTED_VALUE"""),"-33.821096-70.737157")</f>
        <v>-33.821096-70.737157</v>
      </c>
      <c r="C9140" s="6" t="str">
        <f ca="1">IFERROR(__xludf.DUMMYFUNCTION("""COMPUTED_VALUE"""),"PARQUE NACIONAL CUCAO 1595")</f>
        <v>PARQUE NACIONAL CUCAO 1595</v>
      </c>
      <c r="D9140" s="6" t="str">
        <f ca="1">IFERROR(__xludf.DUMMYFUNCTION("""COMPUTED_VALUE"""),"PAINE")</f>
        <v>PAINE</v>
      </c>
    </row>
    <row r="9141" spans="1:4">
      <c r="A9141" s="7">
        <f ca="1">IFERROR(__xludf.DUMMYFUNCTION("""COMPUTED_VALUE"""),44756)</f>
        <v>44756</v>
      </c>
      <c r="B9141" s="6" t="str">
        <f ca="1">IFERROR(__xludf.DUMMYFUNCTION("""COMPUTED_VALUE"""),"- 33,765846, - 70.734321")</f>
        <v>- 33,765846, - 70.734321</v>
      </c>
      <c r="C9141" s="6" t="str">
        <f ca="1">IFERROR(__xludf.DUMMYFUNCTION("""COMPUTED_VALUE"""),"EL CERRILLO 285")</f>
        <v>EL CERRILLO 285</v>
      </c>
      <c r="D9141" s="6" t="str">
        <f ca="1">IFERROR(__xludf.DUMMYFUNCTION("""COMPUTED_VALUE"""),"BUIN")</f>
        <v>BUIN</v>
      </c>
    </row>
    <row r="9142" spans="1:4">
      <c r="A9142" s="7">
        <f ca="1">IFERROR(__xludf.DUMMYFUNCTION("""COMPUTED_VALUE"""),44756)</f>
        <v>44756</v>
      </c>
      <c r="B9142" s="6" t="str">
        <f ca="1">IFERROR(__xludf.DUMMYFUNCTION("""COMPUTED_VALUE"""),"- 33, 571283, - 71.87860")</f>
        <v>- 33, 571283, - 71.87860</v>
      </c>
      <c r="C9142" s="6" t="str">
        <f ca="1">IFERROR(__xludf.DUMMYFUNCTION("""COMPUTED_VALUE"""),"VALPARAISO S/N BOLLENAR ")</f>
        <v xml:space="preserve">VALPARAISO S/N BOLLENAR </v>
      </c>
      <c r="D9142" s="6" t="str">
        <f ca="1">IFERROR(__xludf.DUMMYFUNCTION("""COMPUTED_VALUE"""),"MELIPILLA")</f>
        <v>MELIPILLA</v>
      </c>
    </row>
    <row r="9143" spans="1:4">
      <c r="A9143" s="7">
        <f ca="1">IFERROR(__xludf.DUMMYFUNCTION("""COMPUTED_VALUE"""),44756)</f>
        <v>44756</v>
      </c>
      <c r="B9143" s="6" t="str">
        <f ca="1">IFERROR(__xludf.DUMMYFUNCTION("""COMPUTED_VALUE"""),"- 33,431391,- 70.43007W")</f>
        <v>- 33,431391,- 70.43007W</v>
      </c>
      <c r="C9143" s="6" t="str">
        <f ca="1">IFERROR(__xludf.DUMMYFUNCTION("""COMPUTED_VALUE"""),"NELSON STOCKOCARONZA PONIENTE 84")</f>
        <v>NELSON STOCKOCARONZA PONIENTE 84</v>
      </c>
      <c r="D9143" s="6" t="str">
        <f ca="1">IFERROR(__xludf.DUMMYFUNCTION("""COMPUTED_VALUE"""),"BUIN")</f>
        <v>BUIN</v>
      </c>
    </row>
    <row r="9144" spans="1:4">
      <c r="A9144" s="7">
        <f ca="1">IFERROR(__xludf.DUMMYFUNCTION("""COMPUTED_VALUE"""),44756)</f>
        <v>44756</v>
      </c>
      <c r="B9144" s="8" t="str">
        <f ca="1">IFERROR(__xludf.DUMMYFUNCTION("""COMPUTED_VALUE"""),"-33.875744,-71.220354")</f>
        <v>-33.875744,-71.220354</v>
      </c>
      <c r="C9144" s="6" t="str">
        <f ca="1">IFERROR(__xludf.DUMMYFUNCTION("""COMPUTED_VALUE"""),"TENTENHUE SITIO 5 ")</f>
        <v xml:space="preserve">TENTENHUE SITIO 5 </v>
      </c>
      <c r="D9144" s="6" t="str">
        <f ca="1">IFERROR(__xludf.DUMMYFUNCTION("""COMPUTED_VALUE"""),"MELIPILLA")</f>
        <v>MELIPILLA</v>
      </c>
    </row>
    <row r="9145" spans="1:4">
      <c r="A9145" s="7">
        <f ca="1">IFERROR(__xludf.DUMMYFUNCTION("""COMPUTED_VALUE"""),44756)</f>
        <v>44756</v>
      </c>
      <c r="B9145" s="8" t="str">
        <f ca="1">IFERROR(__xludf.DUMMYFUNCTION("""COMPUTED_VALUE"""),"-33.575068,-70821882")</f>
        <v>-33.575068,-70821882</v>
      </c>
      <c r="C9145" s="6" t="str">
        <f ca="1">IFERROR(__xludf.DUMMYFUNCTION("""COMPUTED_VALUE"""),"CAMINO SAN ALBERTO HURTADO 3141")</f>
        <v>CAMINO SAN ALBERTO HURTADO 3141</v>
      </c>
      <c r="D9145" s="6" t="str">
        <f ca="1">IFERROR(__xludf.DUMMYFUNCTION("""COMPUTED_VALUE"""),"PADRE HURTADO")</f>
        <v>PADRE HURTADO</v>
      </c>
    </row>
    <row r="9146" spans="1:4">
      <c r="A9146" s="7">
        <f ca="1">IFERROR(__xludf.DUMMYFUNCTION("""COMPUTED_VALUE"""),44756)</f>
        <v>44756</v>
      </c>
      <c r="B9146" s="8" t="str">
        <f ca="1">IFERROR(__xludf.DUMMYFUNCTION("""COMPUTED_VALUE"""),"-33.3020490,-70.8377240")</f>
        <v>-33.3020490,-70.8377240</v>
      </c>
      <c r="C9146" s="6" t="str">
        <f ca="1">IFERROR(__xludf.DUMMYFUNCTION("""COMPUTED_VALUE"""),"CHILE NUEVO PARCELA 54")</f>
        <v>CHILE NUEVO PARCELA 54</v>
      </c>
      <c r="D9146" s="6" t="str">
        <f ca="1">IFERROR(__xludf.DUMMYFUNCTION("""COMPUTED_VALUE"""),"LAMPA")</f>
        <v>LAMPA</v>
      </c>
    </row>
    <row r="9147" spans="1:4">
      <c r="A9147" s="7">
        <f ca="1">IFERROR(__xludf.DUMMYFUNCTION("""COMPUTED_VALUE"""),44757)</f>
        <v>44757</v>
      </c>
      <c r="B9147" s="8" t="str">
        <f ca="1">IFERROR(__xludf.DUMMYFUNCTION("""COMPUTED_VALUE"""),"-33.5277287, -70.5662699")</f>
        <v>-33.5277287, -70.5662699</v>
      </c>
      <c r="C9147" s="6" t="str">
        <f ca="1">IFERROR(__xludf.DUMMYFUNCTION("""COMPUTED_VALUE"""),"MARIA PURISIMA ORTIZ 515")</f>
        <v>MARIA PURISIMA ORTIZ 515</v>
      </c>
      <c r="D9147" s="6" t="str">
        <f ca="1">IFERROR(__xludf.DUMMYFUNCTION("""COMPUTED_VALUE"""),"BUIN")</f>
        <v>BUIN</v>
      </c>
    </row>
    <row r="9148" spans="1:4">
      <c r="A9148" s="7">
        <f ca="1">IFERROR(__xludf.DUMMYFUNCTION("""COMPUTED_VALUE"""),44757)</f>
        <v>44757</v>
      </c>
      <c r="B9148" s="8" t="str">
        <f ca="1">IFERROR(__xludf.DUMMYFUNCTION("""COMPUTED_VALUE"""),"-33.5277287, -70.5662699")</f>
        <v>-33.5277287, -70.5662699</v>
      </c>
      <c r="C9148" s="6" t="str">
        <f ca="1">IFERROR(__xludf.DUMMYFUNCTION("""COMPUTED_VALUE"""),"LOS ROSALES 0133")</f>
        <v>LOS ROSALES 0133</v>
      </c>
      <c r="D9148" s="6" t="str">
        <f ca="1">IFERROR(__xludf.DUMMYFUNCTION("""COMPUTED_VALUE"""),"BUIN")</f>
        <v>BUIN</v>
      </c>
    </row>
    <row r="9149" spans="1:4">
      <c r="A9149" s="7">
        <f ca="1">IFERROR(__xludf.DUMMYFUNCTION("""COMPUTED_VALUE"""),44757)</f>
        <v>44757</v>
      </c>
      <c r="B9149" s="6" t="str">
        <f ca="1">IFERROR(__xludf.DUMMYFUNCTION("""COMPUTED_VALUE"""),"-33.8033099-70.7154762")</f>
        <v>-33.8033099-70.7154762</v>
      </c>
      <c r="C9149" s="6" t="str">
        <f ca="1">IFERROR(__xludf.DUMMYFUNCTION("""COMPUTED_VALUE"""),"PJE TRES 300")</f>
        <v>PJE TRES 300</v>
      </c>
      <c r="D9149" s="6" t="str">
        <f ca="1">IFERROR(__xludf.DUMMYFUNCTION("""COMPUTED_VALUE"""),"PAINE")</f>
        <v>PAINE</v>
      </c>
    </row>
    <row r="9150" spans="1:4">
      <c r="A9150" s="7">
        <f ca="1">IFERROR(__xludf.DUMMYFUNCTION("""COMPUTED_VALUE"""),44757)</f>
        <v>44757</v>
      </c>
      <c r="B9150" s="6" t="str">
        <f ca="1">IFERROR(__xludf.DUMMYFUNCTION("""COMPUTED_VALUE"""),"-33.8053210-70.7356825")</f>
        <v>-33.8053210-70.7356825</v>
      </c>
      <c r="C9150" s="6" t="str">
        <f ca="1">IFERROR(__xludf.DUMMYFUNCTION("""COMPUTED_VALUE"""),"ANDRES NAVARRETE CALLAO 361")</f>
        <v>ANDRES NAVARRETE CALLAO 361</v>
      </c>
      <c r="D9150" s="6" t="str">
        <f ca="1">IFERROR(__xludf.DUMMYFUNCTION("""COMPUTED_VALUE"""),"PAINE")</f>
        <v>PAINE</v>
      </c>
    </row>
    <row r="9151" spans="1:4">
      <c r="A9151" s="7">
        <f ca="1">IFERROR(__xludf.DUMMYFUNCTION("""COMPUTED_VALUE"""),44757)</f>
        <v>44757</v>
      </c>
      <c r="B9151" s="6" t="str">
        <f ca="1">IFERROR(__xludf.DUMMYFUNCTION("""COMPUTED_VALUE"""),"-33.8052338-70.7154298")</f>
        <v>-33.8052338-70.7154298</v>
      </c>
      <c r="C9151" s="6" t="str">
        <f ca="1">IFERROR(__xludf.DUMMYFUNCTION("""COMPUTED_VALUE"""),"AV. DIESIOCHO DE SEPTIEMBRE 1985")</f>
        <v>AV. DIESIOCHO DE SEPTIEMBRE 1985</v>
      </c>
      <c r="D9151" s="6" t="str">
        <f ca="1">IFERROR(__xludf.DUMMYFUNCTION("""COMPUTED_VALUE"""),"PAINE")</f>
        <v>PAINE</v>
      </c>
    </row>
    <row r="9152" spans="1:4">
      <c r="A9152" s="7">
        <f ca="1">IFERROR(__xludf.DUMMYFUNCTION("""COMPUTED_VALUE"""),44757)</f>
        <v>44757</v>
      </c>
      <c r="B9152" s="6" t="str">
        <f ca="1">IFERROR(__xludf.DUMMYFUNCTION("""COMPUTED_VALUE"""),"-33.60083-70.87318")</f>
        <v>-33.60083-70.87318</v>
      </c>
      <c r="C9152" s="6" t="str">
        <f ca="1">IFERROR(__xludf.DUMMYFUNCTION("""COMPUTED_VALUE"""),"PJE DOS 2024")</f>
        <v>PJE DOS 2024</v>
      </c>
      <c r="D9152" s="6" t="str">
        <f ca="1">IFERROR(__xludf.DUMMYFUNCTION("""COMPUTED_VALUE"""),"PEÑAFLOR")</f>
        <v>PEÑAFLOR</v>
      </c>
    </row>
    <row r="9153" spans="1:4">
      <c r="A9153" s="7">
        <f ca="1">IFERROR(__xludf.DUMMYFUNCTION("""COMPUTED_VALUE"""),44757)</f>
        <v>44757</v>
      </c>
      <c r="B9153" s="6" t="str">
        <f ca="1">IFERROR(__xludf.DUMMYFUNCTION("""COMPUTED_VALUE"""),"- 33, 764009, - 70.907.666")</f>
        <v>- 33, 764009, - 70.907.666</v>
      </c>
      <c r="C9153" s="6" t="str">
        <f ca="1">IFERROR(__xludf.DUMMYFUNCTION("""COMPUTED_VALUE"""),"EL ROSARIO 1163 ")</f>
        <v xml:space="preserve">EL ROSARIO 1163 </v>
      </c>
      <c r="D9153" s="6" t="str">
        <f ca="1">IFERROR(__xludf.DUMMYFUNCTION("""COMPUTED_VALUE"""),"ISLA DE MAIPO")</f>
        <v>ISLA DE MAIPO</v>
      </c>
    </row>
    <row r="9154" spans="1:4">
      <c r="A9154" s="7">
        <f ca="1">IFERROR(__xludf.DUMMYFUNCTION("""COMPUTED_VALUE"""),44757)</f>
        <v>44757</v>
      </c>
      <c r="B9154" s="6" t="str">
        <f ca="1">IFERROR(__xludf.DUMMYFUNCTION("""COMPUTED_VALUE"""),"-33, 742765, - 70.867296")</f>
        <v>-33, 742765, - 70.867296</v>
      </c>
      <c r="C9154" s="6" t="str">
        <f ca="1">IFERROR(__xludf.DUMMYFUNCTION("""COMPUTED_VALUE"""),"LUIS BECERRA 308")</f>
        <v>LUIS BECERRA 308</v>
      </c>
      <c r="D9154" s="6" t="str">
        <f ca="1">IFERROR(__xludf.DUMMYFUNCTION("""COMPUTED_VALUE"""),"ISLA DE MAIPO")</f>
        <v>ISLA DE MAIPO</v>
      </c>
    </row>
    <row r="9155" spans="1:4">
      <c r="A9155" s="7">
        <f ca="1">IFERROR(__xludf.DUMMYFUNCTION("""COMPUTED_VALUE"""),44757)</f>
        <v>44757</v>
      </c>
      <c r="B9155" s="8" t="str">
        <f ca="1">IFERROR(__xludf.DUMMYFUNCTION("""COMPUTED_VALUE"""),"-33.688028,-70.903746")</f>
        <v>-33.688028,-70.903746</v>
      </c>
      <c r="C9155" s="6" t="str">
        <f ca="1">IFERROR(__xludf.DUMMYFUNCTION("""COMPUTED_VALUE"""),"CAMINO CARAMPAGUE 0180 ")</f>
        <v xml:space="preserve">CAMINO CARAMPAGUE 0180 </v>
      </c>
      <c r="D9155" s="6" t="str">
        <f ca="1">IFERROR(__xludf.DUMMYFUNCTION("""COMPUTED_VALUE"""),"TALAGANTE")</f>
        <v>TALAGANTE</v>
      </c>
    </row>
    <row r="9156" spans="1:4">
      <c r="A9156" s="7">
        <f ca="1">IFERROR(__xludf.DUMMYFUNCTION("""COMPUTED_VALUE"""),44757)</f>
        <v>44757</v>
      </c>
      <c r="B9156" s="6" t="str">
        <f ca="1">IFERROR(__xludf.DUMMYFUNCTION("""COMPUTED_VALUE"""),"-33.772985,-70.700118")</f>
        <v>-33.772985,-70.700118</v>
      </c>
      <c r="C9156" s="6" t="str">
        <f ca="1">IFERROR(__xludf.DUMMYFUNCTION("""COMPUTED_VALUE"""),"CAMINO EL CERRILLO 41")</f>
        <v>CAMINO EL CERRILLO 41</v>
      </c>
      <c r="D9156" s="6" t="str">
        <f ca="1">IFERROR(__xludf.DUMMYFUNCTION("""COMPUTED_VALUE"""),"BUIN")</f>
        <v>BUIN</v>
      </c>
    </row>
    <row r="9157" spans="1:4">
      <c r="A9157" s="7">
        <f ca="1">IFERROR(__xludf.DUMMYFUNCTION("""COMPUTED_VALUE"""),44757)</f>
        <v>44757</v>
      </c>
      <c r="B9157" s="6" t="str">
        <f ca="1">IFERROR(__xludf.DUMMYFUNCTION("""COMPUTED_VALUE"""),"-33.731420,-70.681642")</f>
        <v>-33.731420,-70.681642</v>
      </c>
      <c r="C9157" s="6" t="str">
        <f ca="1">IFERROR(__xludf.DUMMYFUNCTION("""COMPUTED_VALUE"""),"PAULA JARAQUEMADA 231")</f>
        <v>PAULA JARAQUEMADA 231</v>
      </c>
      <c r="D9157" s="6" t="str">
        <f ca="1">IFERROR(__xludf.DUMMYFUNCTION("""COMPUTED_VALUE"""),"BUIN")</f>
        <v>BUIN</v>
      </c>
    </row>
    <row r="9158" spans="1:4">
      <c r="A9158" s="7">
        <f ca="1">IFERROR(__xludf.DUMMYFUNCTION("""COMPUTED_VALUE"""),44758)</f>
        <v>44758</v>
      </c>
      <c r="B9158" s="6" t="str">
        <f ca="1">IFERROR(__xludf.DUMMYFUNCTION("""COMPUTED_VALUE"""),"-33.675103-71.212921")</f>
        <v>-33.675103-71.212921</v>
      </c>
      <c r="C9158" s="6" t="str">
        <f ca="1">IFERROR(__xludf.DUMMYFUNCTION("""COMPUTED_VALUE"""),"PATRICIO LARRAIN 206")</f>
        <v>PATRICIO LARRAIN 206</v>
      </c>
      <c r="D9158" s="6" t="str">
        <f ca="1">IFERROR(__xludf.DUMMYFUNCTION("""COMPUTED_VALUE"""),"MELIPILLA")</f>
        <v>MELIPILLA</v>
      </c>
    </row>
    <row r="9159" spans="1:4">
      <c r="A9159" s="7">
        <f ca="1">IFERROR(__xludf.DUMMYFUNCTION("""COMPUTED_VALUE"""),44758)</f>
        <v>44758</v>
      </c>
      <c r="B9159" s="6" t="str">
        <f ca="1">IFERROR(__xludf.DUMMYFUNCTION("""COMPUTED_VALUE"""),"-33.674344-71.172340")</f>
        <v>-33.674344-71.172340</v>
      </c>
      <c r="C9159" s="6" t="str">
        <f ca="1">IFERROR(__xludf.DUMMYFUNCTION("""COMPUTED_VALUE"""),"REPUBLICA CHECA 137")</f>
        <v>REPUBLICA CHECA 137</v>
      </c>
      <c r="D9159" s="6" t="str">
        <f ca="1">IFERROR(__xludf.DUMMYFUNCTION("""COMPUTED_VALUE"""),"MELIPILLA")</f>
        <v>MELIPILLA</v>
      </c>
    </row>
    <row r="9160" spans="1:4">
      <c r="A9160" s="7">
        <f ca="1">IFERROR(__xludf.DUMMYFUNCTION("""COMPUTED_VALUE"""),44758)</f>
        <v>44758</v>
      </c>
      <c r="B9160" s="6" t="str">
        <f ca="1">IFERROR(__xludf.DUMMYFUNCTION("""COMPUTED_VALUE"""),"- 33,727378, - 70.717811")</f>
        <v>- 33,727378, - 70.717811</v>
      </c>
      <c r="C9160" s="6" t="str">
        <f ca="1">IFERROR(__xludf.DUMMYFUNCTION("""COMPUTED_VALUE"""),"OMAR LETELIER RAMIREZ 1634")</f>
        <v>OMAR LETELIER RAMIREZ 1634</v>
      </c>
      <c r="D9160" s="6" t="str">
        <f ca="1">IFERROR(__xludf.DUMMYFUNCTION("""COMPUTED_VALUE"""),"BUIN")</f>
        <v>BUIN</v>
      </c>
    </row>
    <row r="9161" spans="1:4">
      <c r="A9161" s="7">
        <f ca="1">IFERROR(__xludf.DUMMYFUNCTION("""COMPUTED_VALUE"""),44758)</f>
        <v>44758</v>
      </c>
      <c r="B9161" s="6" t="str">
        <f ca="1">IFERROR(__xludf.DUMMYFUNCTION("""COMPUTED_VALUE"""),"- 33 , 756081, - 70.894492")</f>
        <v>- 33 , 756081, - 70.894492</v>
      </c>
      <c r="C9161" s="6" t="str">
        <f ca="1">IFERROR(__xludf.DUMMYFUNCTION("""COMPUTED_VALUE"""),"PRIMAVERA SUR 140")</f>
        <v>PRIMAVERA SUR 140</v>
      </c>
      <c r="D9161" s="6" t="str">
        <f ca="1">IFERROR(__xludf.DUMMYFUNCTION("""COMPUTED_VALUE"""),"ISLA DE MAIPO")</f>
        <v>ISLA DE MAIPO</v>
      </c>
    </row>
    <row r="9162" spans="1:4">
      <c r="A9162" s="7">
        <f ca="1">IFERROR(__xludf.DUMMYFUNCTION("""COMPUTED_VALUE"""),44760)</f>
        <v>44760</v>
      </c>
      <c r="B9162" s="8" t="str">
        <f ca="1">IFERROR(__xludf.DUMMYFUNCTION("""COMPUTED_VALUE"""),"-33.2508033, -70.6869783")</f>
        <v>-33.2508033, -70.6869783</v>
      </c>
      <c r="C9162" s="6" t="str">
        <f ca="1">IFERROR(__xludf.DUMMYFUNCTION("""COMPUTED_VALUE"""),"CASA VIEJA S/N")</f>
        <v>CASA VIEJA S/N</v>
      </c>
      <c r="D9162" s="6" t="str">
        <f ca="1">IFERROR(__xludf.DUMMYFUNCTION("""COMPUTED_VALUE"""),"COLINA")</f>
        <v>COLINA</v>
      </c>
    </row>
    <row r="9163" spans="1:4">
      <c r="A9163" s="7">
        <f ca="1">IFERROR(__xludf.DUMMYFUNCTION("""COMPUTED_VALUE"""),44760)</f>
        <v>44760</v>
      </c>
      <c r="B9163" s="8" t="str">
        <f ca="1">IFERROR(__xludf.DUMMYFUNCTION("""COMPUTED_VALUE"""),"-33.8091475, -70.7307998")</f>
        <v>-33.8091475, -70.7307998</v>
      </c>
      <c r="C9163" s="6" t="str">
        <f ca="1">IFERROR(__xludf.DUMMYFUNCTION("""COMPUTED_VALUE"""),"DEL VILLA 415")</f>
        <v>DEL VILLA 415</v>
      </c>
      <c r="D9163" s="6" t="str">
        <f ca="1">IFERROR(__xludf.DUMMYFUNCTION("""COMPUTED_VALUE"""),"PAINE")</f>
        <v>PAINE</v>
      </c>
    </row>
    <row r="9164" spans="1:4">
      <c r="A9164" s="7">
        <f ca="1">IFERROR(__xludf.DUMMYFUNCTION("""COMPUTED_VALUE"""),44760)</f>
        <v>44760</v>
      </c>
      <c r="B9164" s="8" t="str">
        <f ca="1">IFERROR(__xludf.DUMMYFUNCTION("""COMPUTED_VALUE"""),"33.819432, -70.7433452")</f>
        <v>33.819432, -70.7433452</v>
      </c>
      <c r="C9164" s="6" t="str">
        <f ca="1">IFERROR(__xludf.DUMMYFUNCTION("""COMPUTED_VALUE"""),"AV BAQUEDANO 1180")</f>
        <v>AV BAQUEDANO 1180</v>
      </c>
      <c r="D9164" s="6" t="str">
        <f ca="1">IFERROR(__xludf.DUMMYFUNCTION("""COMPUTED_VALUE"""),"PAINE")</f>
        <v>PAINE</v>
      </c>
    </row>
    <row r="9165" spans="1:4">
      <c r="A9165" s="7">
        <f ca="1">IFERROR(__xludf.DUMMYFUNCTION("""COMPUTED_VALUE"""),44760)</f>
        <v>44760</v>
      </c>
      <c r="B9165" s="6" t="str">
        <f ca="1">IFERROR(__xludf.DUMMYFUNCTION("""COMPUTED_VALUE"""),"-33.8177346-70.7401264")</f>
        <v>-33.8177346-70.7401264</v>
      </c>
      <c r="C9165" s="6" t="str">
        <f ca="1">IFERROR(__xludf.DUMMYFUNCTION("""COMPUTED_VALUE"""),"PJE ISLA NEGRA 262")</f>
        <v>PJE ISLA NEGRA 262</v>
      </c>
      <c r="D9165" s="6" t="str">
        <f ca="1">IFERROR(__xludf.DUMMYFUNCTION("""COMPUTED_VALUE"""),"PAINE")</f>
        <v>PAINE</v>
      </c>
    </row>
    <row r="9166" spans="1:4">
      <c r="A9166" s="7">
        <f ca="1">IFERROR(__xludf.DUMMYFUNCTION("""COMPUTED_VALUE"""),44760)</f>
        <v>44760</v>
      </c>
      <c r="B9166" s="6" t="str">
        <f ca="1">IFERROR(__xludf.DUMMYFUNCTION("""COMPUTED_VALUE"""),"-33.817611-70.743424")</f>
        <v>-33.817611-70.743424</v>
      </c>
      <c r="C9166" s="6" t="str">
        <f ca="1">IFERROR(__xludf.DUMMYFUNCTION("""COMPUTED_VALUE"""),"AV. GENERAL BAQUEDANO 1111")</f>
        <v>AV. GENERAL BAQUEDANO 1111</v>
      </c>
      <c r="D9166" s="6" t="str">
        <f ca="1">IFERROR(__xludf.DUMMYFUNCTION("""COMPUTED_VALUE"""),"PAINE")</f>
        <v>PAINE</v>
      </c>
    </row>
    <row r="9167" spans="1:4">
      <c r="A9167" s="7">
        <f ca="1">IFERROR(__xludf.DUMMYFUNCTION("""COMPUTED_VALUE"""),44760)</f>
        <v>44760</v>
      </c>
      <c r="B9167" s="6" t="str">
        <f ca="1">IFERROR(__xludf.DUMMYFUNCTION("""COMPUTED_VALUE"""),"-33.59154-70.83554")</f>
        <v>-33.59154-70.83554</v>
      </c>
      <c r="C9167" s="6" t="str">
        <f ca="1">IFERROR(__xludf.DUMMYFUNCTION("""COMPUTED_VALUE"""),"CAMINO A MELIPILLA S/N KM26")</f>
        <v>CAMINO A MELIPILLA S/N KM26</v>
      </c>
      <c r="D9167" s="6" t="str">
        <f ca="1">IFERROR(__xludf.DUMMYFUNCTION("""COMPUTED_VALUE"""),"PEÑAFLOR")</f>
        <v>PEÑAFLOR</v>
      </c>
    </row>
    <row r="9168" spans="1:4">
      <c r="A9168" s="7">
        <f ca="1">IFERROR(__xludf.DUMMYFUNCTION("""COMPUTED_VALUE"""),44760)</f>
        <v>44760</v>
      </c>
      <c r="B9168" s="6" t="str">
        <f ca="1">IFERROR(__xludf.DUMMYFUNCTION("""COMPUTED_VALUE"""),"-33.59154-70.83554")</f>
        <v>-33.59154-70.83554</v>
      </c>
      <c r="C9168" s="6" t="str">
        <f ca="1">IFERROR(__xludf.DUMMYFUNCTION("""COMPUTED_VALUE"""),"CAMINO A MELIPILLA S/N KM26")</f>
        <v>CAMINO A MELIPILLA S/N KM26</v>
      </c>
      <c r="D9168" s="6" t="str">
        <f ca="1">IFERROR(__xludf.DUMMYFUNCTION("""COMPUTED_VALUE"""),"PEÑAFLOR")</f>
        <v>PEÑAFLOR</v>
      </c>
    </row>
    <row r="9169" spans="1:4">
      <c r="A9169" s="7">
        <f ca="1">IFERROR(__xludf.DUMMYFUNCTION("""COMPUTED_VALUE"""),44760)</f>
        <v>44760</v>
      </c>
      <c r="B9169" s="6" t="str">
        <f ca="1">IFERROR(__xludf.DUMMYFUNCTION("""COMPUTED_VALUE"""),"-33.843987-70.795028")</f>
        <v>-33.843987-70.795028</v>
      </c>
      <c r="C9169" s="6" t="str">
        <f ca="1">IFERROR(__xludf.DUMMYFUNCTION("""COMPUTED_VALUE"""),"AV. MIGUEL LETELIER SITIO 6")</f>
        <v>AV. MIGUEL LETELIER SITIO 6</v>
      </c>
      <c r="D9169" s="6" t="str">
        <f ca="1">IFERROR(__xludf.DUMMYFUNCTION("""COMPUTED_VALUE"""),"PAINE")</f>
        <v>PAINE</v>
      </c>
    </row>
    <row r="9170" spans="1:4">
      <c r="A9170" s="7">
        <f ca="1">IFERROR(__xludf.DUMMYFUNCTION("""COMPUTED_VALUE"""),44760)</f>
        <v>44760</v>
      </c>
      <c r="B9170" s="6" t="str">
        <f ca="1">IFERROR(__xludf.DUMMYFUNCTION("""COMPUTED_VALUE"""),"-33.843393-70.796268")</f>
        <v>-33.843393-70.796268</v>
      </c>
      <c r="C9170" s="6" t="str">
        <f ca="1">IFERROR(__xludf.DUMMYFUNCTION("""COMPUTED_VALUE"""),"EL VINCULO 190")</f>
        <v>EL VINCULO 190</v>
      </c>
      <c r="D9170" s="6" t="str">
        <f ca="1">IFERROR(__xludf.DUMMYFUNCTION("""COMPUTED_VALUE"""),"PAINE")</f>
        <v>PAINE</v>
      </c>
    </row>
    <row r="9171" spans="1:4">
      <c r="A9171" s="7">
        <f ca="1">IFERROR(__xludf.DUMMYFUNCTION("""COMPUTED_VALUE"""),44760)</f>
        <v>44760</v>
      </c>
      <c r="B9171" s="6" t="str">
        <f ca="1">IFERROR(__xludf.DUMMYFUNCTION("""COMPUTED_VALUE"""),"-33,745509,- 70.867347")</f>
        <v>-33,745509,- 70.867347</v>
      </c>
      <c r="C9171" s="6" t="str">
        <f ca="1">IFERROR(__xludf.DUMMYFUNCTION("""COMPUTED_VALUE"""),"ARQUITECTO ALBERTO MOREIRA 172")</f>
        <v>ARQUITECTO ALBERTO MOREIRA 172</v>
      </c>
      <c r="D9171" s="6" t="str">
        <f ca="1">IFERROR(__xludf.DUMMYFUNCTION("""COMPUTED_VALUE"""),"ISLA DE MAIPO")</f>
        <v>ISLA DE MAIPO</v>
      </c>
    </row>
    <row r="9172" spans="1:4">
      <c r="A9172" s="7">
        <f ca="1">IFERROR(__xludf.DUMMYFUNCTION("""COMPUTED_VALUE"""),44760)</f>
        <v>44760</v>
      </c>
      <c r="B9172" s="6" t="str">
        <f ca="1">IFERROR(__xludf.DUMMYFUNCTION("""COMPUTED_VALUE"""),"- 33,754062,- 70.890411")</f>
        <v>- 33,754062,- 70.890411</v>
      </c>
      <c r="C9172" s="6" t="str">
        <f ca="1">IFERROR(__xludf.DUMMYFUNCTION("""COMPUTED_VALUE"""),"NAGUAYAN 229")</f>
        <v>NAGUAYAN 229</v>
      </c>
      <c r="D9172" s="6" t="str">
        <f ca="1">IFERROR(__xludf.DUMMYFUNCTION("""COMPUTED_VALUE"""),"ISLA DE MAIPO")</f>
        <v>ISLA DE MAIPO</v>
      </c>
    </row>
    <row r="9173" spans="1:4">
      <c r="A9173" s="7">
        <f ca="1">IFERROR(__xludf.DUMMYFUNCTION("""COMPUTED_VALUE"""),44760)</f>
        <v>44760</v>
      </c>
      <c r="B9173" s="8" t="str">
        <f ca="1">IFERROR(__xludf.DUMMYFUNCTION("""COMPUTED_VALUE"""),"-33.6306924,-70,7681735")</f>
        <v>-33.6306924,-70,7681735</v>
      </c>
      <c r="C9173" s="6" t="str">
        <f ca="1">IFERROR(__xludf.DUMMYFUNCTION("""COMPUTED_VALUE"""),"LOS AROMOS 0105 C. DE TANGO ")</f>
        <v xml:space="preserve">LOS AROMOS 0105 C. DE TANGO </v>
      </c>
      <c r="D9173" s="6" t="str">
        <f ca="1">IFERROR(__xludf.DUMMYFUNCTION("""COMPUTED_VALUE"""),"CALERA DE TANGO")</f>
        <v>CALERA DE TANGO</v>
      </c>
    </row>
    <row r="9174" spans="1:4">
      <c r="A9174" s="7">
        <f ca="1">IFERROR(__xludf.DUMMYFUNCTION("""COMPUTED_VALUE"""),44760)</f>
        <v>44760</v>
      </c>
      <c r="B9174" s="8" t="str">
        <f ca="1">IFERROR(__xludf.DUMMYFUNCTION("""COMPUTED_VALUE"""),"-33.297833,-70.790250")</f>
        <v>-33.297833,-70.790250</v>
      </c>
      <c r="C9174" s="6" t="str">
        <f ca="1">IFERROR(__xludf.DUMMYFUNCTION("""COMPUTED_VALUE"""),"LO CASTRO SITIO 17 ")</f>
        <v xml:space="preserve">LO CASTRO SITIO 17 </v>
      </c>
      <c r="D9174" s="6" t="str">
        <f ca="1">IFERROR(__xludf.DUMMYFUNCTION("""COMPUTED_VALUE"""),"LAMPA")</f>
        <v>LAMPA</v>
      </c>
    </row>
    <row r="9175" spans="1:4">
      <c r="A9175" s="7">
        <f ca="1">IFERROR(__xludf.DUMMYFUNCTION("""COMPUTED_VALUE"""),44760)</f>
        <v>44760</v>
      </c>
      <c r="B9175" s="6" t="str">
        <f ca="1">IFERROR(__xludf.DUMMYFUNCTION("""COMPUTED_VALUE"""),"-33.733309,-70.757181")</f>
        <v>-33.733309,-70.757181</v>
      </c>
      <c r="C9175" s="6" t="str">
        <f ca="1">IFERROR(__xludf.DUMMYFUNCTION("""COMPUTED_VALUE"""),"ENRIQUE RODRIGUEZ 1599")</f>
        <v>ENRIQUE RODRIGUEZ 1599</v>
      </c>
      <c r="D9175" s="6" t="str">
        <f ca="1">IFERROR(__xludf.DUMMYFUNCTION("""COMPUTED_VALUE"""),"BUIN")</f>
        <v>BUIN</v>
      </c>
    </row>
    <row r="9176" spans="1:4">
      <c r="A9176" s="7">
        <f ca="1">IFERROR(__xludf.DUMMYFUNCTION("""COMPUTED_VALUE"""),44760)</f>
        <v>44760</v>
      </c>
      <c r="B9176" s="6" t="str">
        <f ca="1">IFERROR(__xludf.DUMMYFUNCTION("""COMPUTED_VALUE"""),"-33.632199,-70.731795")</f>
        <v>-33.632199,-70.731795</v>
      </c>
      <c r="C9176" s="6" t="str">
        <f ca="1">IFERROR(__xludf.DUMMYFUNCTION("""COMPUTED_VALUE"""),"CALERA DE TANGO 9837")</f>
        <v>CALERA DE TANGO 9837</v>
      </c>
      <c r="D9176" s="6" t="str">
        <f ca="1">IFERROR(__xludf.DUMMYFUNCTION("""COMPUTED_VALUE"""),"CALERA DE TANGO")</f>
        <v>CALERA DE TANGO</v>
      </c>
    </row>
    <row r="9177" spans="1:4">
      <c r="A9177" s="7">
        <f ca="1">IFERROR(__xludf.DUMMYFUNCTION("""COMPUTED_VALUE"""),44761)</f>
        <v>44761</v>
      </c>
      <c r="B9177" s="8" t="str">
        <f ca="1">IFERROR(__xludf.DUMMYFUNCTION("""COMPUTED_VALUE"""),"-33.8723852, -70.8474422")</f>
        <v>-33.8723852, -70.8474422</v>
      </c>
      <c r="C9177" s="6" t="str">
        <f ca="1">IFERROR(__xludf.DUMMYFUNCTION("""COMPUTED_VALUE"""),"EL MANZANITO 22")</f>
        <v>EL MANZANITO 22</v>
      </c>
      <c r="D9177" s="6" t="str">
        <f ca="1">IFERROR(__xludf.DUMMYFUNCTION("""COMPUTED_VALUE"""),"PAINE")</f>
        <v>PAINE</v>
      </c>
    </row>
    <row r="9178" spans="1:4">
      <c r="A9178" s="7">
        <f ca="1">IFERROR(__xludf.DUMMYFUNCTION("""COMPUTED_VALUE"""),44761)</f>
        <v>44761</v>
      </c>
      <c r="B9178" s="8" t="str">
        <f ca="1">IFERROR(__xludf.DUMMYFUNCTION("""COMPUTED_VALUE"""),"-33.8031767, -70.7296017")</f>
        <v>-33.8031767, -70.7296017</v>
      </c>
      <c r="C9178" s="6" t="str">
        <f ca="1">IFERROR(__xludf.DUMMYFUNCTION("""COMPUTED_VALUE"""),"PABLO NERUDA 17")</f>
        <v>PABLO NERUDA 17</v>
      </c>
      <c r="D9178" s="6" t="str">
        <f ca="1">IFERROR(__xludf.DUMMYFUNCTION("""COMPUTED_VALUE"""),"PAINE")</f>
        <v>PAINE</v>
      </c>
    </row>
    <row r="9179" spans="1:4">
      <c r="A9179" s="7">
        <f ca="1">IFERROR(__xludf.DUMMYFUNCTION("""COMPUTED_VALUE"""),44761)</f>
        <v>44761</v>
      </c>
      <c r="B9179" s="6" t="str">
        <f ca="1">IFERROR(__xludf.DUMMYFUNCTION("""COMPUTED_VALUE"""),"-33.267687-70.806567")</f>
        <v>-33.267687-70.806567</v>
      </c>
      <c r="C9179" s="6" t="str">
        <f ca="1">IFERROR(__xludf.DUMMYFUNCTION("""COMPUTED_VALUE"""),"LUCERO S/N 80")</f>
        <v>LUCERO S/N 80</v>
      </c>
      <c r="D9179" s="6" t="str">
        <f ca="1">IFERROR(__xludf.DUMMYFUNCTION("""COMPUTED_VALUE"""),"LAMPA")</f>
        <v>LAMPA</v>
      </c>
    </row>
    <row r="9180" spans="1:4">
      <c r="A9180" s="7">
        <f ca="1">IFERROR(__xludf.DUMMYFUNCTION("""COMPUTED_VALUE"""),44761)</f>
        <v>44761</v>
      </c>
      <c r="B9180" s="6" t="str">
        <f ca="1">IFERROR(__xludf.DUMMYFUNCTION("""COMPUTED_VALUE"""),"-33.279195-70.887664")</f>
        <v>-33.279195-70.887664</v>
      </c>
      <c r="C9180" s="6" t="str">
        <f ca="1">IFERROR(__xludf.DUMMYFUNCTION("""COMPUTED_VALUE"""),"PJE SEGUNDO ZAPATA DIAZ 185")</f>
        <v>PJE SEGUNDO ZAPATA DIAZ 185</v>
      </c>
      <c r="D9180" s="6" t="str">
        <f ca="1">IFERROR(__xludf.DUMMYFUNCTION("""COMPUTED_VALUE"""),"LAMPA")</f>
        <v>LAMPA</v>
      </c>
    </row>
    <row r="9181" spans="1:4">
      <c r="A9181" s="7">
        <f ca="1">IFERROR(__xludf.DUMMYFUNCTION("""COMPUTED_VALUE"""),44761)</f>
        <v>44761</v>
      </c>
      <c r="B9181" s="6" t="str">
        <f ca="1">IFERROR(__xludf.DUMMYFUNCTION("""COMPUTED_VALUE"""),"-33.78460-70.23476")</f>
        <v>-33.78460-70.23476</v>
      </c>
      <c r="C9181" s="6" t="str">
        <f ca="1">IFERROR(__xludf.DUMMYFUNCTION("""COMPUTED_VALUE"""),"LAS NIEVES 24601")</f>
        <v>LAS NIEVES 24601</v>
      </c>
      <c r="D9181" s="6" t="str">
        <f ca="1">IFERROR(__xludf.DUMMYFUNCTION("""COMPUTED_VALUE"""),"SAN JOSE DE MAIPO")</f>
        <v>SAN JOSE DE MAIPO</v>
      </c>
    </row>
    <row r="9182" spans="1:4">
      <c r="A9182" s="7">
        <f ca="1">IFERROR(__xludf.DUMMYFUNCTION("""COMPUTED_VALUE"""),44761)</f>
        <v>44761</v>
      </c>
      <c r="B9182" s="6" t="str">
        <f ca="1">IFERROR(__xludf.DUMMYFUNCTION("""COMPUTED_VALUE"""),"-33.58713-70.47273")</f>
        <v>-33.58713-70.47273</v>
      </c>
      <c r="C9182" s="6" t="str">
        <f ca="1">IFERROR(__xludf.DUMMYFUNCTION("""COMPUTED_VALUE"""),"CAMINO AL VOLCAN 2588")</f>
        <v>CAMINO AL VOLCAN 2588</v>
      </c>
      <c r="D9182" s="6" t="str">
        <f ca="1">IFERROR(__xludf.DUMMYFUNCTION("""COMPUTED_VALUE"""),"SAN JOSE DE MAIPO")</f>
        <v>SAN JOSE DE MAIPO</v>
      </c>
    </row>
    <row r="9183" spans="1:4">
      <c r="A9183" s="7">
        <f ca="1">IFERROR(__xludf.DUMMYFUNCTION("""COMPUTED_VALUE"""),44761)</f>
        <v>44761</v>
      </c>
      <c r="B9183" s="6" t="str">
        <f ca="1">IFERROR(__xludf.DUMMYFUNCTION("""COMPUTED_VALUE"""),"-33.210058-70.686272")</f>
        <v>-33.210058-70.686272</v>
      </c>
      <c r="C9183" s="6" t="str">
        <f ca="1">IFERROR(__xludf.DUMMYFUNCTION("""COMPUTED_VALUE"""),"CAMINO SAN MIGUEL SITIO TRANQUE")</f>
        <v>CAMINO SAN MIGUEL SITIO TRANQUE</v>
      </c>
      <c r="D9183" s="6" t="str">
        <f ca="1">IFERROR(__xludf.DUMMYFUNCTION("""COMPUTED_VALUE"""),"COLINA")</f>
        <v>COLINA</v>
      </c>
    </row>
    <row r="9184" spans="1:4">
      <c r="A9184" s="7">
        <f ca="1">IFERROR(__xludf.DUMMYFUNCTION("""COMPUTED_VALUE"""),44761)</f>
        <v>44761</v>
      </c>
      <c r="B9184" s="6" t="str">
        <f ca="1">IFERROR(__xludf.DUMMYFUNCTION("""COMPUTED_VALUE"""),"-33.217164-70.672736")</f>
        <v>-33.217164-70.672736</v>
      </c>
      <c r="C9184" s="6" t="str">
        <f ca="1">IFERROR(__xludf.DUMMYFUNCTION("""COMPUTED_VALUE"""),"EL REMANZO DE CHICUREO 200 CASA 62")</f>
        <v>EL REMANZO DE CHICUREO 200 CASA 62</v>
      </c>
      <c r="D9184" s="6" t="str">
        <f ca="1">IFERROR(__xludf.DUMMYFUNCTION("""COMPUTED_VALUE"""),"COLINA")</f>
        <v>COLINA</v>
      </c>
    </row>
    <row r="9185" spans="1:4">
      <c r="A9185" s="7">
        <f ca="1">IFERROR(__xludf.DUMMYFUNCTION("""COMPUTED_VALUE"""),44761)</f>
        <v>44761</v>
      </c>
      <c r="B9185" s="6" t="str">
        <f ca="1">IFERROR(__xludf.DUMMYFUNCTION("""COMPUTED_VALUE"""),"-33.217164-70.672736")</f>
        <v>-33.217164-70.672736</v>
      </c>
      <c r="C9185" s="6" t="str">
        <f ca="1">IFERROR(__xludf.DUMMYFUNCTION("""COMPUTED_VALUE"""),"EL REMANZO DE CHICUREO 200 CASA 62")</f>
        <v>EL REMANZO DE CHICUREO 200 CASA 62</v>
      </c>
      <c r="D9185" s="6" t="str">
        <f ca="1">IFERROR(__xludf.DUMMYFUNCTION("""COMPUTED_VALUE"""),"COLINA")</f>
        <v>COLINA</v>
      </c>
    </row>
    <row r="9186" spans="1:4">
      <c r="A9186" s="7">
        <f ca="1">IFERROR(__xludf.DUMMYFUNCTION("""COMPUTED_VALUE"""),44761)</f>
        <v>44761</v>
      </c>
      <c r="B9186" s="8" t="str">
        <f ca="1">IFERROR(__xludf.DUMMYFUNCTION("""COMPUTED_VALUE"""),"-33.7283000,-70.5528000")</f>
        <v>-33.7283000,-70.5528000</v>
      </c>
      <c r="C9186" s="6" t="str">
        <f ca="1">IFERROR(__xludf.DUMMYFUNCTION("""COMPUTED_VALUE"""),"EL CORAZON 6027")</f>
        <v>EL CORAZON 6027</v>
      </c>
      <c r="D9186" s="6" t="str">
        <f ca="1">IFERROR(__xludf.DUMMYFUNCTION("""COMPUTED_VALUE"""),"PIRQUE")</f>
        <v>PIRQUE</v>
      </c>
    </row>
    <row r="9187" spans="1:4">
      <c r="A9187" s="7">
        <f ca="1">IFERROR(__xludf.DUMMYFUNCTION("""COMPUTED_VALUE"""),44761)</f>
        <v>44761</v>
      </c>
      <c r="B9187" s="8" t="str">
        <f ca="1">IFERROR(__xludf.DUMMYFUNCTION("""COMPUTED_VALUE"""),"-33.647388,-70.574084")</f>
        <v>-33.647388,-70.574084</v>
      </c>
      <c r="C9187" s="6" t="str">
        <f ca="1">IFERROR(__xludf.DUMMYFUNCTION("""COMPUTED_VALUE"""),"CARLOS VIAL INFANTE 1239")</f>
        <v>CARLOS VIAL INFANTE 1239</v>
      </c>
      <c r="D9187" s="6" t="str">
        <f ca="1">IFERROR(__xludf.DUMMYFUNCTION("""COMPUTED_VALUE"""),"PIRQUE")</f>
        <v>PIRQUE</v>
      </c>
    </row>
    <row r="9188" spans="1:4">
      <c r="A9188" s="7">
        <f ca="1">IFERROR(__xludf.DUMMYFUNCTION("""COMPUTED_VALUE"""),44761)</f>
        <v>44761</v>
      </c>
      <c r="B9188" s="6" t="str">
        <f ca="1">IFERROR(__xludf.DUMMYFUNCTION("""COMPUTED_VALUE"""),"-33, 689774, - 71.221517")</f>
        <v>-33, 689774, - 71.221517</v>
      </c>
      <c r="C9188" s="6" t="str">
        <f ca="1">IFERROR(__xludf.DUMMYFUNCTION("""COMPUTED_VALUE"""),"CORREA 838")</f>
        <v>CORREA 838</v>
      </c>
      <c r="D9188" s="6" t="str">
        <f ca="1">IFERROR(__xludf.DUMMYFUNCTION("""COMPUTED_VALUE"""),"MELIPILLA")</f>
        <v>MELIPILLA</v>
      </c>
    </row>
    <row r="9189" spans="1:4">
      <c r="A9189" s="7">
        <f ca="1">IFERROR(__xludf.DUMMYFUNCTION("""COMPUTED_VALUE"""),44761)</f>
        <v>44761</v>
      </c>
      <c r="B9189" s="6" t="str">
        <f ca="1">IFERROR(__xludf.DUMMYFUNCTION("""COMPUTED_VALUE"""),"-33, 612044, - 70.4844422")</f>
        <v>-33, 612044, - 70.4844422</v>
      </c>
      <c r="C9189" s="6" t="str">
        <f ca="1">IFERROR(__xludf.DUMMYFUNCTION("""COMPUTED_VALUE"""),"SAN JUAN DE PIRQUE S/N")</f>
        <v>SAN JUAN DE PIRQUE S/N</v>
      </c>
      <c r="D9189" s="6" t="str">
        <f ca="1">IFERROR(__xludf.DUMMYFUNCTION("""COMPUTED_VALUE"""),"PIRQUE")</f>
        <v>PIRQUE</v>
      </c>
    </row>
    <row r="9190" spans="1:4">
      <c r="A9190" s="7">
        <f ca="1">IFERROR(__xludf.DUMMYFUNCTION("""COMPUTED_VALUE"""),44761)</f>
        <v>44761</v>
      </c>
      <c r="B9190" s="6" t="str">
        <f ca="1">IFERROR(__xludf.DUMMYFUNCTION("""COMPUTED_VALUE"""),"- 33,611638, - 70.484565")</f>
        <v>- 33,611638, - 70.484565</v>
      </c>
      <c r="C9190" s="6" t="str">
        <f ca="1">IFERROR(__xludf.DUMMYFUNCTION("""COMPUTED_VALUE"""),"SAN JUAN DE PIRQUE S/N")</f>
        <v>SAN JUAN DE PIRQUE S/N</v>
      </c>
      <c r="D9190" s="6" t="str">
        <f ca="1">IFERROR(__xludf.DUMMYFUNCTION("""COMPUTED_VALUE"""),"PIRQUE")</f>
        <v>PIRQUE</v>
      </c>
    </row>
    <row r="9191" spans="1:4">
      <c r="A9191" s="7">
        <f ca="1">IFERROR(__xludf.DUMMYFUNCTION("""COMPUTED_VALUE"""),44761)</f>
        <v>44761</v>
      </c>
      <c r="B9191" s="8" t="str">
        <f ca="1">IFERROR(__xludf.DUMMYFUNCTION("""COMPUTED_VALUE"""),"-33.651422,-71.209459")</f>
        <v>-33.651422,-71.209459</v>
      </c>
      <c r="C9191" s="6" t="str">
        <f ca="1">IFERROR(__xludf.DUMMYFUNCTION("""COMPUTED_VALUE"""),"AV VALPARAISO PARCELA 8 BOLLENAR ")</f>
        <v xml:space="preserve">AV VALPARAISO PARCELA 8 BOLLENAR </v>
      </c>
      <c r="D9191" s="6" t="str">
        <f ca="1">IFERROR(__xludf.DUMMYFUNCTION("""COMPUTED_VALUE"""),"MELIPILLA")</f>
        <v>MELIPILLA</v>
      </c>
    </row>
    <row r="9192" spans="1:4">
      <c r="A9192" s="7">
        <f ca="1">IFERROR(__xludf.DUMMYFUNCTION("""COMPUTED_VALUE"""),44761)</f>
        <v>44761</v>
      </c>
      <c r="B9192" s="8" t="str">
        <f ca="1">IFERROR(__xludf.DUMMYFUNCTION("""COMPUTED_VALUE"""),"-33.669152,-71.235757")</f>
        <v>-33.669152,-71.235757</v>
      </c>
      <c r="C9192" s="6" t="str">
        <f ca="1">IFERROR(__xludf.DUMMYFUNCTION("""COMPUTED_VALUE"""),"DOÑA JOSEFINA PC 3 ")</f>
        <v xml:space="preserve">DOÑA JOSEFINA PC 3 </v>
      </c>
      <c r="D9192" s="6" t="str">
        <f ca="1">IFERROR(__xludf.DUMMYFUNCTION("""COMPUTED_VALUE"""),"MELIPILLA")</f>
        <v>MELIPILLA</v>
      </c>
    </row>
    <row r="9193" spans="1:4">
      <c r="A9193" s="7">
        <f ca="1">IFERROR(__xludf.DUMMYFUNCTION("""COMPUTED_VALUE"""),44761)</f>
        <v>44761</v>
      </c>
      <c r="B9193" s="6" t="str">
        <f ca="1">IFERROR(__xludf.DUMMYFUNCTION("""COMPUTED_VALUE"""),"-33.784131,-70.817556")</f>
        <v>-33.784131,-70.817556</v>
      </c>
      <c r="C9193" s="6" t="str">
        <f ca="1">IFERROR(__xludf.DUMMYFUNCTION("""COMPUTED_VALUE"""),"CAMPUSANO 3519")</f>
        <v>CAMPUSANO 3519</v>
      </c>
      <c r="D9193" s="6" t="str">
        <f ca="1">IFERROR(__xludf.DUMMYFUNCTION("""COMPUTED_VALUE"""),"BUIN")</f>
        <v>BUIN</v>
      </c>
    </row>
    <row r="9194" spans="1:4">
      <c r="A9194" s="7">
        <f ca="1">IFERROR(__xludf.DUMMYFUNCTION("""COMPUTED_VALUE"""),44761)</f>
        <v>44761</v>
      </c>
      <c r="B9194" s="6" t="str">
        <f ca="1">IFERROR(__xludf.DUMMYFUNCTION("""COMPUTED_VALUE"""),"-33.742125,-70.682858")</f>
        <v>-33.742125,-70.682858</v>
      </c>
      <c r="C9194" s="6" t="str">
        <f ca="1">IFERROR(__xludf.DUMMYFUNCTION("""COMPUTED_VALUE"""),"SAN LUIS 739")</f>
        <v>SAN LUIS 739</v>
      </c>
      <c r="D9194" s="6" t="str">
        <f ca="1">IFERROR(__xludf.DUMMYFUNCTION("""COMPUTED_VALUE"""),"BUIN")</f>
        <v>BUIN</v>
      </c>
    </row>
    <row r="9195" spans="1:4">
      <c r="A9195" s="7">
        <f ca="1">IFERROR(__xludf.DUMMYFUNCTION("""COMPUTED_VALUE"""),44761)</f>
        <v>44761</v>
      </c>
      <c r="B9195" s="6" t="str">
        <f ca="1">IFERROR(__xludf.DUMMYFUNCTION("""COMPUTED_VALUE"""),"-33.696154,-70.673879")</f>
        <v>-33.696154,-70.673879</v>
      </c>
      <c r="C9195" s="6" t="str">
        <f ca="1">IFERROR(__xludf.DUMMYFUNCTION("""COMPUTED_VALUE"""),"CO. PADRE HURTADO 13A LOS TILOS")</f>
        <v>CO. PADRE HURTADO 13A LOS TILOS</v>
      </c>
      <c r="D9195" s="6" t="str">
        <f ca="1">IFERROR(__xludf.DUMMYFUNCTION("""COMPUTED_VALUE"""),"BUIN")</f>
        <v>BUIN</v>
      </c>
    </row>
    <row r="9196" spans="1:4">
      <c r="A9196" s="7">
        <f ca="1">IFERROR(__xludf.DUMMYFUNCTION("""COMPUTED_VALUE"""),44761)</f>
        <v>44761</v>
      </c>
      <c r="B9196" s="6" t="str">
        <f ca="1">IFERROR(__xludf.DUMMYFUNCTION("""COMPUTED_VALUE"""),"-33.8426727,-70.5954942")</f>
        <v>-33.8426727,-70.5954942</v>
      </c>
      <c r="C9196" s="6" t="str">
        <f ca="1">IFERROR(__xludf.DUMMYFUNCTION("""COMPUTED_VALUE"""),"LOS ACACIOS 139")</f>
        <v>LOS ACACIOS 139</v>
      </c>
      <c r="D9196" s="6" t="str">
        <f ca="1">IFERROR(__xludf.DUMMYFUNCTION("""COMPUTED_VALUE"""),"PAINE")</f>
        <v>PAINE</v>
      </c>
    </row>
    <row r="9197" spans="1:4">
      <c r="A9197" s="7">
        <f ca="1">IFERROR(__xludf.DUMMYFUNCTION("""COMPUTED_VALUE"""),44761)</f>
        <v>44761</v>
      </c>
      <c r="B9197" s="6" t="str">
        <f ca="1">IFERROR(__xludf.DUMMYFUNCTION("""COMPUTED_VALUE"""),"-33.8426727,-70.5954942")</f>
        <v>-33.8426727,-70.5954942</v>
      </c>
      <c r="C9197" s="6" t="str">
        <f ca="1">IFERROR(__xludf.DUMMYFUNCTION("""COMPUTED_VALUE"""),"LOS ACACIOS 139A")</f>
        <v>LOS ACACIOS 139A</v>
      </c>
      <c r="D9197" s="6" t="str">
        <f ca="1">IFERROR(__xludf.DUMMYFUNCTION("""COMPUTED_VALUE"""),"PAINE")</f>
        <v>PAINE</v>
      </c>
    </row>
    <row r="9198" spans="1:4">
      <c r="A9198" s="7">
        <f ca="1">IFERROR(__xludf.DUMMYFUNCTION("""COMPUTED_VALUE"""),44761)</f>
        <v>44761</v>
      </c>
      <c r="B9198" s="6" t="str">
        <f ca="1">IFERROR(__xludf.DUMMYFUNCTION("""COMPUTED_VALUE"""),"-33.8431620,-70.5962140")</f>
        <v>-33.8431620,-70.5962140</v>
      </c>
      <c r="C9198" s="6" t="str">
        <f ca="1">IFERROR(__xludf.DUMMYFUNCTION("""COMPUTED_VALUE"""),"LA PORTADA DE HUELQUIN")</f>
        <v>LA PORTADA DE HUELQUIN</v>
      </c>
      <c r="D9198" s="6" t="str">
        <f ca="1">IFERROR(__xludf.DUMMYFUNCTION("""COMPUTED_VALUE"""),"PAINE")</f>
        <v>PAINE</v>
      </c>
    </row>
    <row r="9199" spans="1:4">
      <c r="A9199" s="7">
        <f ca="1">IFERROR(__xludf.DUMMYFUNCTION("""COMPUTED_VALUE"""),44762)</f>
        <v>44762</v>
      </c>
      <c r="B9199" s="6" t="str">
        <f ca="1">IFERROR(__xludf.DUMMYFUNCTION("""COMPUTED_VALUE"""),"-33.804953-70.727163")</f>
        <v>-33.804953-70.727163</v>
      </c>
      <c r="C9199" s="6" t="str">
        <f ca="1">IFERROR(__xludf.DUMMYFUNCTION("""COMPUTED_VALUE"""),"GUSTAVO MARTINEZ VERA 173")</f>
        <v>GUSTAVO MARTINEZ VERA 173</v>
      </c>
      <c r="D9199" s="6" t="str">
        <f ca="1">IFERROR(__xludf.DUMMYFUNCTION("""COMPUTED_VALUE"""),"PAINE")</f>
        <v>PAINE</v>
      </c>
    </row>
    <row r="9200" spans="1:4">
      <c r="A9200" s="7">
        <f ca="1">IFERROR(__xludf.DUMMYFUNCTION("""COMPUTED_VALUE"""),44762)</f>
        <v>44762</v>
      </c>
      <c r="B9200" s="6" t="str">
        <f ca="1">IFERROR(__xludf.DUMMYFUNCTION("""COMPUTED_VALUE"""),"-33.8588784-70.7509205")</f>
        <v>-33.8588784-70.7509205</v>
      </c>
      <c r="C9200" s="6" t="str">
        <f ca="1">IFERROR(__xludf.DUMMYFUNCTION("""COMPUTED_VALUE"""),"LAS ACACIAS 114")</f>
        <v>LAS ACACIAS 114</v>
      </c>
      <c r="D9200" s="6" t="str">
        <f ca="1">IFERROR(__xludf.DUMMYFUNCTION("""COMPUTED_VALUE"""),"PAINE")</f>
        <v>PAINE</v>
      </c>
    </row>
    <row r="9201" spans="1:4">
      <c r="A9201" s="7">
        <f ca="1">IFERROR(__xludf.DUMMYFUNCTION("""COMPUTED_VALUE"""),44762)</f>
        <v>44762</v>
      </c>
      <c r="B9201" s="6" t="str">
        <f ca="1">IFERROR(__xludf.DUMMYFUNCTION("""COMPUTED_VALUE"""),"-33.407180-71.147784")</f>
        <v>-33.407180-71.147784</v>
      </c>
      <c r="C9201" s="6" t="str">
        <f ca="1">IFERROR(__xludf.DUMMYFUNCTION("""COMPUTED_VALUE"""),"LAS VERTIENTES 149")</f>
        <v>LAS VERTIENTES 149</v>
      </c>
      <c r="D9201" s="6" t="str">
        <f ca="1">IFERROR(__xludf.DUMMYFUNCTION("""COMPUTED_VALUE"""),"CURACAVI")</f>
        <v>CURACAVI</v>
      </c>
    </row>
    <row r="9202" spans="1:4">
      <c r="A9202" s="7">
        <f ca="1">IFERROR(__xludf.DUMMYFUNCTION("""COMPUTED_VALUE"""),44762)</f>
        <v>44762</v>
      </c>
      <c r="B9202" s="6" t="str">
        <f ca="1">IFERROR(__xludf.DUMMYFUNCTION("""COMPUTED_VALUE"""),"-33.38902-71.12247")</f>
        <v>-33.38902-71.12247</v>
      </c>
      <c r="C9202" s="6" t="str">
        <f ca="1">IFERROR(__xludf.DUMMYFUNCTION("""COMPUTED_VALUE"""),"MIGUEL GUERRERO 245")</f>
        <v>MIGUEL GUERRERO 245</v>
      </c>
      <c r="D9202" s="6" t="str">
        <f ca="1">IFERROR(__xludf.DUMMYFUNCTION("""COMPUTED_VALUE"""),"CURACAVI")</f>
        <v>CURACAVI</v>
      </c>
    </row>
    <row r="9203" spans="1:4">
      <c r="A9203" s="7">
        <f ca="1">IFERROR(__xludf.DUMMYFUNCTION("""COMPUTED_VALUE"""),44762)</f>
        <v>44762</v>
      </c>
      <c r="B9203" s="6" t="str">
        <f ca="1">IFERROR(__xludf.DUMMYFUNCTION("""COMPUTED_VALUE"""),"-33.39412-71.13048")</f>
        <v>-33.39412-71.13048</v>
      </c>
      <c r="C9203" s="6" t="str">
        <f ca="1">IFERROR(__xludf.DUMMYFUNCTION("""COMPUTED_VALUE"""),"PASAJE DOS 825")</f>
        <v>PASAJE DOS 825</v>
      </c>
      <c r="D9203" s="6" t="str">
        <f ca="1">IFERROR(__xludf.DUMMYFUNCTION("""COMPUTED_VALUE"""),"CURACAVI")</f>
        <v>CURACAVI</v>
      </c>
    </row>
    <row r="9204" spans="1:4">
      <c r="A9204" s="7">
        <f ca="1">IFERROR(__xludf.DUMMYFUNCTION("""COMPUTED_VALUE"""),44762)</f>
        <v>44762</v>
      </c>
      <c r="B9204" s="6" t="str">
        <f ca="1">IFERROR(__xludf.DUMMYFUNCTION("""COMPUTED_VALUE"""),"-33.406915-71.127136")</f>
        <v>-33.406915-71.127136</v>
      </c>
      <c r="C9204" s="6" t="str">
        <f ca="1">IFERROR(__xludf.DUMMYFUNCTION("""COMPUTED_VALUE"""),"PJE COIGUE 1827")</f>
        <v>PJE COIGUE 1827</v>
      </c>
      <c r="D9204" s="6" t="str">
        <f ca="1">IFERROR(__xludf.DUMMYFUNCTION("""COMPUTED_VALUE"""),"CURACAVI")</f>
        <v>CURACAVI</v>
      </c>
    </row>
    <row r="9205" spans="1:4">
      <c r="A9205" s="7">
        <f ca="1">IFERROR(__xludf.DUMMYFUNCTION("""COMPUTED_VALUE"""),44762)</f>
        <v>44762</v>
      </c>
      <c r="B9205" s="6" t="str">
        <f ca="1">IFERROR(__xludf.DUMMYFUNCTION("""COMPUTED_VALUE"""),"-33.677730-71.208095")</f>
        <v>-33.677730-71.208095</v>
      </c>
      <c r="C9205" s="6" t="str">
        <f ca="1">IFERROR(__xludf.DUMMYFUNCTION("""COMPUTED_VALUE"""),"LUIS HEVIA 2227")</f>
        <v>LUIS HEVIA 2227</v>
      </c>
      <c r="D9205" s="6" t="str">
        <f ca="1">IFERROR(__xludf.DUMMYFUNCTION("""COMPUTED_VALUE"""),"MELIPILLA")</f>
        <v>MELIPILLA</v>
      </c>
    </row>
    <row r="9206" spans="1:4">
      <c r="A9206" s="7">
        <f ca="1">IFERROR(__xludf.DUMMYFUNCTION("""COMPUTED_VALUE"""),44762)</f>
        <v>44762</v>
      </c>
      <c r="B9206" s="6" t="str">
        <f ca="1">IFERROR(__xludf.DUMMYFUNCTION("""COMPUTED_VALUE"""),"-33.677730-71.208095")</f>
        <v>-33.677730-71.208095</v>
      </c>
      <c r="C9206" s="6" t="str">
        <f ca="1">IFERROR(__xludf.DUMMYFUNCTION("""COMPUTED_VALUE"""),"LUIS HEVIA 2227")</f>
        <v>LUIS HEVIA 2227</v>
      </c>
      <c r="D9206" s="6" t="str">
        <f ca="1">IFERROR(__xludf.DUMMYFUNCTION("""COMPUTED_VALUE"""),"MELIPILLA")</f>
        <v>MELIPILLA</v>
      </c>
    </row>
    <row r="9207" spans="1:4">
      <c r="A9207" s="7">
        <f ca="1">IFERROR(__xludf.DUMMYFUNCTION("""COMPUTED_VALUE"""),44762)</f>
        <v>44762</v>
      </c>
      <c r="B9207" s="6" t="str">
        <f ca="1">IFERROR(__xludf.DUMMYFUNCTION("""COMPUTED_VALUE"""),"-33.677730-71.208095")</f>
        <v>-33.677730-71.208095</v>
      </c>
      <c r="C9207" s="6" t="str">
        <f ca="1">IFERROR(__xludf.DUMMYFUNCTION("""COMPUTED_VALUE"""),"LUIS HEVIA 2227")</f>
        <v>LUIS HEVIA 2227</v>
      </c>
      <c r="D9207" s="6" t="str">
        <f ca="1">IFERROR(__xludf.DUMMYFUNCTION("""COMPUTED_VALUE"""),"MELIPILLA")</f>
        <v>MELIPILLA</v>
      </c>
    </row>
    <row r="9208" spans="1:4">
      <c r="A9208" s="7">
        <f ca="1">IFERROR(__xludf.DUMMYFUNCTION("""COMPUTED_VALUE"""),44762)</f>
        <v>44762</v>
      </c>
      <c r="B9208" s="6" t="str">
        <f ca="1">IFERROR(__xludf.DUMMYFUNCTION("""COMPUTED_VALUE"""),"- 33,465320 , - 71.083309")</f>
        <v>- 33,465320 , - 71.083309</v>
      </c>
      <c r="C9208" s="6" t="str">
        <f ca="1">IFERROR(__xludf.DUMMYFUNCTION("""COMPUTED_VALUE""")," LOS RULOS 1")</f>
        <v xml:space="preserve"> LOS RULOS 1</v>
      </c>
      <c r="D9208" s="6" t="str">
        <f ca="1">IFERROR(__xludf.DUMMYFUNCTION("""COMPUTED_VALUE"""),"MARIA PINTO")</f>
        <v>MARIA PINTO</v>
      </c>
    </row>
    <row r="9209" spans="1:4">
      <c r="A9209" s="7">
        <f ca="1">IFERROR(__xludf.DUMMYFUNCTION("""COMPUTED_VALUE"""),44762)</f>
        <v>44762</v>
      </c>
      <c r="B9209" s="6" t="str">
        <f ca="1">IFERROR(__xludf.DUMMYFUNCTION("""COMPUTED_VALUE"""),"- 33.612150 , - 70.484519")</f>
        <v>- 33.612150 , - 70.484519</v>
      </c>
      <c r="C9209" s="6" t="str">
        <f ca="1">IFERROR(__xludf.DUMMYFUNCTION("""COMPUTED_VALUE"""),"SAN JUAN DE PIRQUE ")</f>
        <v xml:space="preserve">SAN JUAN DE PIRQUE </v>
      </c>
      <c r="D9209" s="6" t="str">
        <f ca="1">IFERROR(__xludf.DUMMYFUNCTION("""COMPUTED_VALUE"""),"PIRQUE")</f>
        <v>PIRQUE</v>
      </c>
    </row>
    <row r="9210" spans="1:4">
      <c r="A9210" s="7">
        <f ca="1">IFERROR(__xludf.DUMMYFUNCTION("""COMPUTED_VALUE"""),44762)</f>
        <v>44762</v>
      </c>
      <c r="B9210" s="8" t="str">
        <f ca="1">IFERROR(__xludf.DUMMYFUNCTION("""COMPUTED_VALUE"""),"-33.575559,-70.829715")</f>
        <v>-33.575559,-70.829715</v>
      </c>
      <c r="C9210" s="6" t="str">
        <f ca="1">IFERROR(__xludf.DUMMYFUNCTION("""COMPUTED_VALUE"""),"PAPA JUAN XXIII 342")</f>
        <v>PAPA JUAN XXIII 342</v>
      </c>
      <c r="D9210" s="6" t="str">
        <f ca="1">IFERROR(__xludf.DUMMYFUNCTION("""COMPUTED_VALUE"""),"PADRE HURTADO")</f>
        <v>PADRE HURTADO</v>
      </c>
    </row>
    <row r="9211" spans="1:4">
      <c r="A9211" s="7">
        <f ca="1">IFERROR(__xludf.DUMMYFUNCTION("""COMPUTED_VALUE"""),44762)</f>
        <v>44762</v>
      </c>
      <c r="B9211" s="8" t="str">
        <f ca="1">IFERROR(__xludf.DUMMYFUNCTION("""COMPUTED_VALUE"""),"-33.7322790,-706885960")</f>
        <v>-33.7322790,-706885960</v>
      </c>
      <c r="C9211" s="6" t="str">
        <f ca="1">IFERROR(__xludf.DUMMYFUNCTION("""COMPUTED_VALUE"""),"CAMINO EL ARPA 215")</f>
        <v>CAMINO EL ARPA 215</v>
      </c>
      <c r="D9211" s="6" t="str">
        <f ca="1">IFERROR(__xludf.DUMMYFUNCTION("""COMPUTED_VALUE"""),"BUIN")</f>
        <v>BUIN</v>
      </c>
    </row>
    <row r="9212" spans="1:4">
      <c r="A9212" s="7">
        <f ca="1">IFERROR(__xludf.DUMMYFUNCTION("""COMPUTED_VALUE"""),44762)</f>
        <v>44762</v>
      </c>
      <c r="B9212" s="8" t="str">
        <f ca="1">IFERROR(__xludf.DUMMYFUNCTION("""COMPUTED_VALUE"""),"-33.666.231,-70.6241580")</f>
        <v>-33.666.231,-70.6241580</v>
      </c>
      <c r="C9212" s="6" t="str">
        <f ca="1">IFERROR(__xludf.DUMMYFUNCTION("""COMPUTED_VALUE"""),"SAN VICENTE PARCELA 36 LOTE B ")</f>
        <v xml:space="preserve">SAN VICENTE PARCELA 36 LOTE B </v>
      </c>
      <c r="D9212" s="6" t="str">
        <f ca="1">IFERROR(__xludf.DUMMYFUNCTION("""COMPUTED_VALUE"""),"PIRQUE")</f>
        <v>PIRQUE</v>
      </c>
    </row>
    <row r="9213" spans="1:4">
      <c r="A9213" s="7">
        <f ca="1">IFERROR(__xludf.DUMMYFUNCTION("""COMPUTED_VALUE"""),44762)</f>
        <v>44762</v>
      </c>
      <c r="B9213" s="8" t="str">
        <f ca="1">IFERROR(__xludf.DUMMYFUNCTION("""COMPUTED_VALUE"""),"-33.677420,-71.236462")</f>
        <v>-33.677420,-71.236462</v>
      </c>
      <c r="C9213" s="6" t="str">
        <f ca="1">IFERROR(__xludf.DUMMYFUNCTION("""COMPUTED_VALUE"""),"CLOTARIO BLES")</f>
        <v>CLOTARIO BLES</v>
      </c>
      <c r="D9213" s="6" t="str">
        <f ca="1">IFERROR(__xludf.DUMMYFUNCTION("""COMPUTED_VALUE"""),"MELIPILLA")</f>
        <v>MELIPILLA</v>
      </c>
    </row>
    <row r="9214" spans="1:4">
      <c r="A9214" s="7">
        <f ca="1">IFERROR(__xludf.DUMMYFUNCTION("""COMPUTED_VALUE"""),44762)</f>
        <v>44762</v>
      </c>
      <c r="B9214" s="6" t="str">
        <f ca="1">IFERROR(__xludf.DUMMYFUNCTION("""COMPUTED_VALUE"""),"-33.731322,-70.981578")</f>
        <v>-33.731322,-70.981578</v>
      </c>
      <c r="C9214" s="6" t="str">
        <f ca="1">IFERROR(__xludf.DUMMYFUNCTION("""COMPUTED_VALUE"""),"SAN ANTONIO 7040")</f>
        <v>SAN ANTONIO 7040</v>
      </c>
      <c r="D9214" s="6" t="str">
        <f ca="1">IFERROR(__xludf.DUMMYFUNCTION("""COMPUTED_VALUE"""),"ISLA DE MAIPO")</f>
        <v>ISLA DE MAIPO</v>
      </c>
    </row>
    <row r="9215" spans="1:4">
      <c r="A9215" s="7">
        <f ca="1">IFERROR(__xludf.DUMMYFUNCTION("""COMPUTED_VALUE"""),44762)</f>
        <v>44762</v>
      </c>
      <c r="B9215" s="6" t="str">
        <f ca="1">IFERROR(__xludf.DUMMYFUNCTION("""COMPUTED_VALUE"""),"-33.737160,-71.020350")</f>
        <v>-33.737160,-71.020350</v>
      </c>
      <c r="C9215" s="6" t="str">
        <f ca="1">IFERROR(__xludf.DUMMYFUNCTION("""COMPUTED_VALUE"""),"LOS ACACIOS 43")</f>
        <v>LOS ACACIOS 43</v>
      </c>
      <c r="D9215" s="6" t="str">
        <f ca="1">IFERROR(__xludf.DUMMYFUNCTION("""COMPUTED_VALUE"""),"ISLA DE MAIPO")</f>
        <v>ISLA DE MAIPO</v>
      </c>
    </row>
    <row r="9216" spans="1:4">
      <c r="A9216" s="7">
        <f ca="1">IFERROR(__xludf.DUMMYFUNCTION("""COMPUTED_VALUE"""),44762)</f>
        <v>44762</v>
      </c>
      <c r="B9216" s="6" t="str">
        <f ca="1">IFERROR(__xludf.DUMMYFUNCTION("""COMPUTED_VALUE"""),"-33.818748,-70.740333")</f>
        <v>-33.818748,-70.740333</v>
      </c>
      <c r="C9216" s="6" t="str">
        <f ca="1">IFERROR(__xludf.DUMMYFUNCTION("""COMPUTED_VALUE"""),"MAITENCILLO243")</f>
        <v>MAITENCILLO243</v>
      </c>
      <c r="D9216" s="6" t="str">
        <f ca="1">IFERROR(__xludf.DUMMYFUNCTION("""COMPUTED_VALUE"""),"PAINE")</f>
        <v>PAINE</v>
      </c>
    </row>
    <row r="9217" spans="1:4">
      <c r="A9217" s="7">
        <f ca="1">IFERROR(__xludf.DUMMYFUNCTION("""COMPUTED_VALUE"""),44762)</f>
        <v>44762</v>
      </c>
      <c r="B9217" s="6" t="str">
        <f ca="1">IFERROR(__xludf.DUMMYFUNCTION("""COMPUTED_VALUE"""),"-33.807984,-70.734776")</f>
        <v>-33.807984,-70.734776</v>
      </c>
      <c r="C9217" s="6" t="str">
        <f ca="1">IFERROR(__xludf.DUMMYFUNCTION("""COMPUTED_VALUE"""),"18 DE SEPTIEMBRE N°518")</f>
        <v>18 DE SEPTIEMBRE N°518</v>
      </c>
      <c r="D9217" s="6" t="str">
        <f ca="1">IFERROR(__xludf.DUMMYFUNCTION("""COMPUTED_VALUE"""),"PAINE")</f>
        <v>PAINE</v>
      </c>
    </row>
    <row r="9218" spans="1:4">
      <c r="A9218" s="7">
        <f ca="1">IFERROR(__xludf.DUMMYFUNCTION("""COMPUTED_VALUE"""),44762)</f>
        <v>44762</v>
      </c>
      <c r="B9218" s="6" t="str">
        <f ca="1">IFERROR(__xludf.DUMMYFUNCTION("""COMPUTED_VALUE"""),"-33.812472,-70.739850")</f>
        <v>-33.812472,-70.739850</v>
      </c>
      <c r="C9218" s="6" t="str">
        <f ca="1">IFERROR(__xludf.DUMMYFUNCTION("""COMPUTED_VALUE"""),"MONTE PATRIA 947")</f>
        <v>MONTE PATRIA 947</v>
      </c>
      <c r="D9218" s="6" t="str">
        <f ca="1">IFERROR(__xludf.DUMMYFUNCTION("""COMPUTED_VALUE"""),"PAINE")</f>
        <v>PAINE</v>
      </c>
    </row>
    <row r="9219" spans="1:4">
      <c r="A9219" s="7">
        <f ca="1">IFERROR(__xludf.DUMMYFUNCTION("""COMPUTED_VALUE"""),44762)</f>
        <v>44762</v>
      </c>
      <c r="B9219" s="6" t="str">
        <f ca="1">IFERROR(__xludf.DUMMYFUNCTION("""COMPUTED_VALUE"""),"-33.810767,-70.741842")</f>
        <v>-33.810767,-70.741842</v>
      </c>
      <c r="C9219" s="6" t="str">
        <f ca="1">IFERROR(__xludf.DUMMYFUNCTION("""COMPUTED_VALUE"""),"LAS PALMERAS 711")</f>
        <v>LAS PALMERAS 711</v>
      </c>
      <c r="D9219" s="6" t="str">
        <f ca="1">IFERROR(__xludf.DUMMYFUNCTION("""COMPUTED_VALUE"""),"PAINE")</f>
        <v>PAINE</v>
      </c>
    </row>
    <row r="9220" spans="1:4">
      <c r="A9220" s="7">
        <f ca="1">IFERROR(__xludf.DUMMYFUNCTION("""COMPUTED_VALUE"""),44762)</f>
        <v>44762</v>
      </c>
      <c r="B9220" s="6" t="str">
        <f ca="1">IFERROR(__xludf.DUMMYFUNCTION("""COMPUTED_VALUE"""),"-33.822709,-70.731862")</f>
        <v>-33.822709,-70.731862</v>
      </c>
      <c r="C9220" s="6" t="str">
        <f ca="1">IFERROR(__xludf.DUMMYFUNCTION("""COMPUTED_VALUE"""),"VILLA LOS RIOS 801")</f>
        <v>VILLA LOS RIOS 801</v>
      </c>
      <c r="D9220" s="6" t="str">
        <f ca="1">IFERROR(__xludf.DUMMYFUNCTION("""COMPUTED_VALUE"""),"PAINE")</f>
        <v>PAINE</v>
      </c>
    </row>
    <row r="9221" spans="1:4">
      <c r="A9221" s="7">
        <f ca="1">IFERROR(__xludf.DUMMYFUNCTION("""COMPUTED_VALUE"""),44762)</f>
        <v>44762</v>
      </c>
      <c r="B9221" s="6" t="str">
        <f ca="1">IFERROR(__xludf.DUMMYFUNCTION("""COMPUTED_VALUE"""),"-33.822711,-70.731677")</f>
        <v>-33.822711,-70.731677</v>
      </c>
      <c r="C9221" s="6" t="str">
        <f ca="1">IFERROR(__xludf.DUMMYFUNCTION("""COMPUTED_VALUE"""),"ELENA CORREA 1755")</f>
        <v>ELENA CORREA 1755</v>
      </c>
      <c r="D9221" s="6" t="str">
        <f ca="1">IFERROR(__xludf.DUMMYFUNCTION("""COMPUTED_VALUE"""),"PAINE")</f>
        <v>PAINE</v>
      </c>
    </row>
    <row r="9222" spans="1:4">
      <c r="A9222" s="7">
        <f ca="1">IFERROR(__xludf.DUMMYFUNCTION("""COMPUTED_VALUE"""),44762)</f>
        <v>44762</v>
      </c>
      <c r="B9222" s="6" t="str">
        <f ca="1">IFERROR(__xludf.DUMMYFUNCTION("""COMPUTED_VALUE"""),"-33.804082,-70.733914")</f>
        <v>-33.804082,-70.733914</v>
      </c>
      <c r="C9222" s="6" t="str">
        <f ca="1">IFERROR(__xludf.DUMMYFUNCTION("""COMPUTED_VALUE"""),"PASAJE ISRAEL 440")</f>
        <v>PASAJE ISRAEL 440</v>
      </c>
      <c r="D9222" s="6" t="str">
        <f ca="1">IFERROR(__xludf.DUMMYFUNCTION("""COMPUTED_VALUE"""),"PAINE")</f>
        <v>PAINE</v>
      </c>
    </row>
    <row r="9223" spans="1:4">
      <c r="A9223" s="7">
        <f ca="1">IFERROR(__xludf.DUMMYFUNCTION("""COMPUTED_VALUE"""),44763)</f>
        <v>44763</v>
      </c>
      <c r="B9223" s="8" t="str">
        <f ca="1">IFERROR(__xludf.DUMMYFUNCTION("""COMPUTED_VALUE"""),"-33.7350796, -70.860307")</f>
        <v>-33.7350796, -70.860307</v>
      </c>
      <c r="C9223" s="6" t="str">
        <f ca="1">IFERROR(__xludf.DUMMYFUNCTION("""COMPUTED_VALUE"""),"ESTERO AGUAS CLARA 198")</f>
        <v>ESTERO AGUAS CLARA 198</v>
      </c>
      <c r="D9223" s="6" t="str">
        <f ca="1">IFERROR(__xludf.DUMMYFUNCTION("""COMPUTED_VALUE"""),"ISLA DE MAIPO")</f>
        <v>ISLA DE MAIPO</v>
      </c>
    </row>
    <row r="9224" spans="1:4">
      <c r="A9224" s="7">
        <f ca="1">IFERROR(__xludf.DUMMYFUNCTION("""COMPUTED_VALUE"""),44763)</f>
        <v>44763</v>
      </c>
      <c r="B9224" s="8" t="str">
        <f ca="1">IFERROR(__xludf.DUMMYFUNCTION("""COMPUTED_VALUE"""),"-33.6200077, -70.8669073")</f>
        <v>-33.6200077, -70.8669073</v>
      </c>
      <c r="C9224" s="6" t="str">
        <f ca="1">IFERROR(__xludf.DUMMYFUNCTION("""COMPUTED_VALUE"""),"LAS PALMERAS")</f>
        <v>LAS PALMERAS</v>
      </c>
      <c r="D9224" s="6" t="str">
        <f ca="1">IFERROR(__xludf.DUMMYFUNCTION("""COMPUTED_VALUE"""),"PEÑAFLOR")</f>
        <v>PEÑAFLOR</v>
      </c>
    </row>
    <row r="9225" spans="1:4">
      <c r="A9225" s="7">
        <f ca="1">IFERROR(__xludf.DUMMYFUNCTION("""COMPUTED_VALUE"""),44763)</f>
        <v>44763</v>
      </c>
      <c r="B9225" s="6" t="str">
        <f ca="1">IFERROR(__xludf.DUMMYFUNCTION("""COMPUTED_VALUE"""),"-33.63752-70.35713")</f>
        <v>-33.63752-70.35713</v>
      </c>
      <c r="C9225" s="6" t="str">
        <f ca="1">IFERROR(__xludf.DUMMYFUNCTION("""COMPUTED_VALUE"""),"CAÑADA NORTE 19587")</f>
        <v>CAÑADA NORTE 19587</v>
      </c>
      <c r="D9225" s="6" t="str">
        <f ca="1">IFERROR(__xludf.DUMMYFUNCTION("""COMPUTED_VALUE"""),"SAN JOSE DE MAIPO")</f>
        <v>SAN JOSE DE MAIPO</v>
      </c>
    </row>
    <row r="9226" spans="1:4">
      <c r="A9226" s="7">
        <f ca="1">IFERROR(__xludf.DUMMYFUNCTION("""COMPUTED_VALUE"""),44763)</f>
        <v>44763</v>
      </c>
      <c r="B9226" s="8" t="str">
        <f ca="1">IFERROR(__xludf.DUMMYFUNCTION("""COMPUTED_VALUE"""),"-33.727826,-70.769483")</f>
        <v>-33.727826,-70.769483</v>
      </c>
      <c r="C9226" s="6" t="str">
        <f ca="1">IFERROR(__xludf.DUMMYFUNCTION("""COMPUTED_VALUE"""),"HIPOLITO CARRASCO 2817")</f>
        <v>HIPOLITO CARRASCO 2817</v>
      </c>
      <c r="D9226" s="6" t="str">
        <f ca="1">IFERROR(__xludf.DUMMYFUNCTION("""COMPUTED_VALUE"""),"BUIN")</f>
        <v>BUIN</v>
      </c>
    </row>
    <row r="9227" spans="1:4">
      <c r="A9227" s="7">
        <f ca="1">IFERROR(__xludf.DUMMYFUNCTION("""COMPUTED_VALUE"""),44763)</f>
        <v>44763</v>
      </c>
      <c r="B9227" s="6" t="str">
        <f ca="1">IFERROR(__xludf.DUMMYFUNCTION("""COMPUTED_VALUE"""),"- 33.752830 , - 70.889981")</f>
        <v>- 33.752830 , - 70.889981</v>
      </c>
      <c r="C9227" s="6" t="str">
        <f ca="1">IFERROR(__xludf.DUMMYFUNCTION("""COMPUTED_VALUE"""),"LA PARVA 521")</f>
        <v>LA PARVA 521</v>
      </c>
      <c r="D9227" s="6" t="str">
        <f ca="1">IFERROR(__xludf.DUMMYFUNCTION("""COMPUTED_VALUE"""),"ISLA DE MAIPO")</f>
        <v>ISLA DE MAIPO</v>
      </c>
    </row>
    <row r="9228" spans="1:4">
      <c r="A9228" s="7">
        <f ca="1">IFERROR(__xludf.DUMMYFUNCTION("""COMPUTED_VALUE"""),44763)</f>
        <v>44763</v>
      </c>
      <c r="B9228" s="6" t="str">
        <f ca="1">IFERROR(__xludf.DUMMYFUNCTION("""COMPUTED_VALUE"""),"- 33, 821213,- 70.734883")</f>
        <v>- 33, 821213,- 70.734883</v>
      </c>
      <c r="C9228" s="6" t="str">
        <f ca="1">IFERROR(__xludf.DUMMYFUNCTION("""COMPUTED_VALUE"""),"LOS COPIHUES 1568")</f>
        <v>LOS COPIHUES 1568</v>
      </c>
      <c r="D9228" s="6" t="str">
        <f ca="1">IFERROR(__xludf.DUMMYFUNCTION("""COMPUTED_VALUE"""),"PAINE")</f>
        <v>PAINE</v>
      </c>
    </row>
    <row r="9229" spans="1:4">
      <c r="A9229" s="7">
        <f ca="1">IFERROR(__xludf.DUMMYFUNCTION("""COMPUTED_VALUE"""),44763)</f>
        <v>44763</v>
      </c>
      <c r="B9229" s="6" t="str">
        <f ca="1">IFERROR(__xludf.DUMMYFUNCTION("""COMPUTED_VALUE"""),"- 33, 654884 , -  70.911760")</f>
        <v>- 33, 654884 , -  70.911760</v>
      </c>
      <c r="C9229" s="6" t="str">
        <f ca="1">IFERROR(__xludf.DUMMYFUNCTION("""COMPUTED_VALUE"""),"RIO CLARO 605 ")</f>
        <v xml:space="preserve">RIO CLARO 605 </v>
      </c>
      <c r="D9229" s="6" t="str">
        <f ca="1">IFERROR(__xludf.DUMMYFUNCTION("""COMPUTED_VALUE"""),"TALAGANTE")</f>
        <v>TALAGANTE</v>
      </c>
    </row>
    <row r="9230" spans="1:4">
      <c r="A9230" s="7">
        <f ca="1">IFERROR(__xludf.DUMMYFUNCTION("""COMPUTED_VALUE"""),44763)</f>
        <v>44763</v>
      </c>
      <c r="B9230" s="8" t="str">
        <f ca="1">IFERROR(__xludf.DUMMYFUNCTION("""COMPUTED_VALUE"""),"-33.326970,-70.850250")</f>
        <v>-33.326970,-70.850250</v>
      </c>
      <c r="C9230" s="6" t="str">
        <f ca="1">IFERROR(__xludf.DUMMYFUNCTION("""COMPUTED_VALUE"""),"CAM LIPANGUE PC 13 SITIO 37 ")</f>
        <v xml:space="preserve">CAM LIPANGUE PC 13 SITIO 37 </v>
      </c>
      <c r="D9230" s="6" t="str">
        <f ca="1">IFERROR(__xludf.DUMMYFUNCTION("""COMPUTED_VALUE"""),"LAMPA")</f>
        <v>LAMPA</v>
      </c>
    </row>
    <row r="9231" spans="1:4">
      <c r="A9231" s="7">
        <f ca="1">IFERROR(__xludf.DUMMYFUNCTION("""COMPUTED_VALUE"""),44763)</f>
        <v>44763</v>
      </c>
      <c r="B9231" s="8" t="str">
        <f ca="1">IFERROR(__xludf.DUMMYFUNCTION("""COMPUTED_VALUE"""),"-33.326970,-70.850250")</f>
        <v>-33.326970,-70.850250</v>
      </c>
      <c r="C9231" s="6" t="str">
        <f ca="1">IFERROR(__xludf.DUMMYFUNCTION("""COMPUTED_VALUE"""),"CAM LIPANGUE PC 13 SITIO 37 ")</f>
        <v xml:space="preserve">CAM LIPANGUE PC 13 SITIO 37 </v>
      </c>
      <c r="D9231" s="6" t="str">
        <f ca="1">IFERROR(__xludf.DUMMYFUNCTION("""COMPUTED_VALUE"""),"LAMPA")</f>
        <v>LAMPA</v>
      </c>
    </row>
    <row r="9232" spans="1:4">
      <c r="A9232" s="7">
        <f ca="1">IFERROR(__xludf.DUMMYFUNCTION("""COMPUTED_VALUE"""),44763)</f>
        <v>44763</v>
      </c>
      <c r="B9232" s="6" t="str">
        <f ca="1">IFERROR(__xludf.DUMMYFUNCTION("""COMPUTED_VALUE"""),"-33.739598,-70.747341")</f>
        <v>-33.739598,-70.747341</v>
      </c>
      <c r="C9232" s="6" t="str">
        <f ca="1">IFERROR(__xludf.DUMMYFUNCTION("""COMPUTED_VALUE"""),"CLUB HURACAN 648")</f>
        <v>CLUB HURACAN 648</v>
      </c>
      <c r="D9232" s="6" t="str">
        <f ca="1">IFERROR(__xludf.DUMMYFUNCTION("""COMPUTED_VALUE"""),"BUIN")</f>
        <v>BUIN</v>
      </c>
    </row>
    <row r="9233" spans="1:4">
      <c r="A9233" s="7">
        <f ca="1">IFERROR(__xludf.DUMMYFUNCTION("""COMPUTED_VALUE"""),44763)</f>
        <v>44763</v>
      </c>
      <c r="B9233" s="6" t="str">
        <f ca="1">IFERROR(__xludf.DUMMYFUNCTION("""COMPUTED_VALUE"""),"-33.762736,-70.790007")</f>
        <v>-33.762736,-70.790007</v>
      </c>
      <c r="C9233" s="6" t="str">
        <f ca="1">IFERROR(__xludf.DUMMYFUNCTION("""COMPUTED_VALUE"""),"CO. MAIPO VILUCO 3010")</f>
        <v>CO. MAIPO VILUCO 3010</v>
      </c>
      <c r="D9233" s="6" t="str">
        <f ca="1">IFERROR(__xludf.DUMMYFUNCTION("""COMPUTED_VALUE"""),"BUIN")</f>
        <v>BUIN</v>
      </c>
    </row>
    <row r="9234" spans="1:4">
      <c r="A9234" s="7">
        <f ca="1">IFERROR(__xludf.DUMMYFUNCTION("""COMPUTED_VALUE"""),44763)</f>
        <v>44763</v>
      </c>
      <c r="B9234" s="6" t="str">
        <f ca="1">IFERROR(__xludf.DUMMYFUNCTION("""COMPUTED_VALUE"""),"-33.650952,-70.573030")</f>
        <v>-33.650952,-70.573030</v>
      </c>
      <c r="C9234" s="6" t="str">
        <f ca="1">IFERROR(__xludf.DUMMYFUNCTION("""COMPUTED_VALUE"""),"PABLO NERUDA 20")</f>
        <v>PABLO NERUDA 20</v>
      </c>
      <c r="D9234" s="6" t="str">
        <f ca="1">IFERROR(__xludf.DUMMYFUNCTION("""COMPUTED_VALUE"""),"PIRQUE")</f>
        <v>PIRQUE</v>
      </c>
    </row>
    <row r="9235" spans="1:4">
      <c r="A9235" s="7">
        <f ca="1">IFERROR(__xludf.DUMMYFUNCTION("""COMPUTED_VALUE"""),44764)</f>
        <v>44764</v>
      </c>
      <c r="B9235" s="8" t="str">
        <f ca="1">IFERROR(__xludf.DUMMYFUNCTION("""COMPUTED_VALUE"""),"-33.67038, -70.9386009")</f>
        <v>-33.67038, -70.9386009</v>
      </c>
      <c r="C9235" s="6" t="str">
        <f ca="1">IFERROR(__xludf.DUMMYFUNCTION("""COMPUTED_VALUE"""),"HERNAN AVILES GONZALEZ 875")</f>
        <v>HERNAN AVILES GONZALEZ 875</v>
      </c>
      <c r="D9235" s="6" t="str">
        <f ca="1">IFERROR(__xludf.DUMMYFUNCTION("""COMPUTED_VALUE"""),"TALAGANTE")</f>
        <v>TALAGANTE</v>
      </c>
    </row>
    <row r="9236" spans="1:4">
      <c r="A9236" s="7">
        <f ca="1">IFERROR(__xludf.DUMMYFUNCTION("""COMPUTED_VALUE"""),44764)</f>
        <v>44764</v>
      </c>
      <c r="B9236" s="6" t="str">
        <f ca="1">IFERROR(__xludf.DUMMYFUNCTION("""COMPUTED_VALUE"""),"-33.233238-70.810424")</f>
        <v>-33.233238-70.810424</v>
      </c>
      <c r="C9236" s="6" t="str">
        <f ca="1">IFERROR(__xludf.DUMMYFUNCTION("""COMPUTED_VALUE"""),"CALLE FIGUEROA 359")</f>
        <v>CALLE FIGUEROA 359</v>
      </c>
      <c r="D9236" s="6" t="str">
        <f ca="1">IFERROR(__xludf.DUMMYFUNCTION("""COMPUTED_VALUE"""),"LAMPA")</f>
        <v>LAMPA</v>
      </c>
    </row>
    <row r="9237" spans="1:4">
      <c r="A9237" s="7">
        <f ca="1">IFERROR(__xludf.DUMMYFUNCTION("""COMPUTED_VALUE"""),44764)</f>
        <v>44764</v>
      </c>
      <c r="B9237" s="6" t="str">
        <f ca="1">IFERROR(__xludf.DUMMYFUNCTION("""COMPUTED_VALUE"""),"-33.63585-70.35078")</f>
        <v>-33.63585-70.35078</v>
      </c>
      <c r="C9237" s="6" t="str">
        <f ca="1">IFERROR(__xludf.DUMMYFUNCTION("""COMPUTED_VALUE"""),"AV. EL ESFUERZO 19022")</f>
        <v>AV. EL ESFUERZO 19022</v>
      </c>
      <c r="D9237" s="6" t="str">
        <f ca="1">IFERROR(__xludf.DUMMYFUNCTION("""COMPUTED_VALUE"""),"SAN JOSE DE MAIPO")</f>
        <v>SAN JOSE DE MAIPO</v>
      </c>
    </row>
    <row r="9238" spans="1:4">
      <c r="A9238" s="7">
        <f ca="1">IFERROR(__xludf.DUMMYFUNCTION("""COMPUTED_VALUE"""),44764)</f>
        <v>44764</v>
      </c>
      <c r="B9238" s="6" t="str">
        <f ca="1">IFERROR(__xludf.DUMMYFUNCTION("""COMPUTED_VALUE"""),"-33.661510-71.219728")</f>
        <v>-33.661510-71.219728</v>
      </c>
      <c r="C9238" s="6" t="str">
        <f ca="1">IFERROR(__xludf.DUMMYFUNCTION("""COMPUTED_VALUE"""),"SANTA JULIA S/N")</f>
        <v>SANTA JULIA S/N</v>
      </c>
      <c r="D9238" s="6" t="str">
        <f ca="1">IFERROR(__xludf.DUMMYFUNCTION("""COMPUTED_VALUE"""),"MELIPILLA")</f>
        <v>MELIPILLA</v>
      </c>
    </row>
    <row r="9239" spans="1:4">
      <c r="A9239" s="7">
        <f ca="1">IFERROR(__xludf.DUMMYFUNCTION("""COMPUTED_VALUE"""),44764)</f>
        <v>44764</v>
      </c>
      <c r="B9239" s="6" t="str">
        <f ca="1">IFERROR(__xludf.DUMMYFUNCTION("""COMPUTED_VALUE"""),"-33.661510-71.219728")</f>
        <v>-33.661510-71.219728</v>
      </c>
      <c r="C9239" s="6" t="str">
        <f ca="1">IFERROR(__xludf.DUMMYFUNCTION("""COMPUTED_VALUE"""),"SANTA JULIA S/N")</f>
        <v>SANTA JULIA S/N</v>
      </c>
      <c r="D9239" s="6" t="str">
        <f ca="1">IFERROR(__xludf.DUMMYFUNCTION("""COMPUTED_VALUE"""),"MELIPILLA")</f>
        <v>MELIPILLA</v>
      </c>
    </row>
    <row r="9240" spans="1:4">
      <c r="A9240" s="7">
        <f ca="1">IFERROR(__xludf.DUMMYFUNCTION("""COMPUTED_VALUE"""),44764)</f>
        <v>44764</v>
      </c>
      <c r="B9240" s="6" t="str">
        <f ca="1">IFERROR(__xludf.DUMMYFUNCTION("""COMPUTED_VALUE"""),"- 33, 736638 , - 70.020310")</f>
        <v>- 33, 736638 , - 70.020310</v>
      </c>
      <c r="C9240" s="6" t="str">
        <f ca="1">IFERROR(__xludf.DUMMYFUNCTION("""COMPUTED_VALUE"""),"LOS ACACIOS 43")</f>
        <v>LOS ACACIOS 43</v>
      </c>
      <c r="D9240" s="6" t="str">
        <f ca="1">IFERROR(__xludf.DUMMYFUNCTION("""COMPUTED_VALUE"""),"ISLA DE MAIPO")</f>
        <v>ISLA DE MAIPO</v>
      </c>
    </row>
    <row r="9241" spans="1:4">
      <c r="A9241" s="7">
        <f ca="1">IFERROR(__xludf.DUMMYFUNCTION("""COMPUTED_VALUE"""),44764)</f>
        <v>44764</v>
      </c>
      <c r="B9241" s="6" t="str">
        <f ca="1">IFERROR(__xludf.DUMMYFUNCTION("""COMPUTED_VALUE"""),"- 33,757614 , - 70.750.856")</f>
        <v>- 33,757614 , - 70.750.856</v>
      </c>
      <c r="C9241" s="6" t="str">
        <f ca="1">IFERROR(__xludf.DUMMYFUNCTION("""COMPUTED_VALUE"""),"CAMINO LA CERVERA 1095 ")</f>
        <v xml:space="preserve">CAMINO LA CERVERA 1095 </v>
      </c>
      <c r="D9241" s="6" t="str">
        <f ca="1">IFERROR(__xludf.DUMMYFUNCTION("""COMPUTED_VALUE"""),"BUIN")</f>
        <v>BUIN</v>
      </c>
    </row>
    <row r="9242" spans="1:4">
      <c r="A9242" s="7">
        <f ca="1">IFERROR(__xludf.DUMMYFUNCTION("""COMPUTED_VALUE"""),44764)</f>
        <v>44764</v>
      </c>
      <c r="B9242" s="6" t="str">
        <f ca="1">IFERROR(__xludf.DUMMYFUNCTION("""COMPUTED_VALUE"""),"-33, 757708, - 70.897444")</f>
        <v>-33, 757708, - 70.897444</v>
      </c>
      <c r="C9242" s="6" t="str">
        <f ca="1">IFERROR(__xludf.DUMMYFUNCTION("""COMPUTED_VALUE"""),"PARAISO SUR 39")</f>
        <v>PARAISO SUR 39</v>
      </c>
      <c r="D9242" s="6" t="str">
        <f ca="1">IFERROR(__xludf.DUMMYFUNCTION("""COMPUTED_VALUE"""),"ISLA DE MAIPO")</f>
        <v>ISLA DE MAIPO</v>
      </c>
    </row>
    <row r="9243" spans="1:4">
      <c r="A9243" s="7">
        <f ca="1">IFERROR(__xludf.DUMMYFUNCTION("""COMPUTED_VALUE"""),44764)</f>
        <v>44764</v>
      </c>
      <c r="B9243" s="8" t="str">
        <f ca="1">IFERROR(__xludf.DUMMYFUNCTION("""COMPUTED_VALUE"""),"-33.293141,-70.874947")</f>
        <v>-33.293141,-70.874947</v>
      </c>
      <c r="C9243" s="6" t="str">
        <f ca="1">IFERROR(__xludf.DUMMYFUNCTION("""COMPUTED_VALUE"""),"EL MACAL 1411")</f>
        <v>EL MACAL 1411</v>
      </c>
      <c r="D9243" s="6" t="str">
        <f ca="1">IFERROR(__xludf.DUMMYFUNCTION("""COMPUTED_VALUE"""),"LAMPA")</f>
        <v>LAMPA</v>
      </c>
    </row>
    <row r="9244" spans="1:4">
      <c r="A9244" s="7">
        <f ca="1">IFERROR(__xludf.DUMMYFUNCTION("""COMPUTED_VALUE"""),44764)</f>
        <v>44764</v>
      </c>
      <c r="B9244" s="8" t="str">
        <f ca="1">IFERROR(__xludf.DUMMYFUNCTION("""COMPUTED_VALUE"""),"-33.332406,-70.8549730")</f>
        <v>-33.332406,-70.8549730</v>
      </c>
      <c r="C9244" s="6" t="str">
        <f ca="1">IFERROR(__xludf.DUMMYFUNCTION("""COMPUTED_VALUE"""),"CENTRAL LABBE LIPANGUE")</f>
        <v>CENTRAL LABBE LIPANGUE</v>
      </c>
      <c r="D9244" s="6" t="str">
        <f ca="1">IFERROR(__xludf.DUMMYFUNCTION("""COMPUTED_VALUE"""),"LAMPA")</f>
        <v>LAMPA</v>
      </c>
    </row>
    <row r="9245" spans="1:4">
      <c r="A9245" s="7">
        <f ca="1">IFERROR(__xludf.DUMMYFUNCTION("""COMPUTED_VALUE"""),44764)</f>
        <v>44764</v>
      </c>
      <c r="B9245" s="6" t="str">
        <f ca="1">IFERROR(__xludf.DUMMYFUNCTION("""COMPUTED_VALUE"""),"-33.554316,-70.832282")</f>
        <v>-33.554316,-70.832282</v>
      </c>
      <c r="C9245" s="6" t="str">
        <f ca="1">IFERROR(__xludf.DUMMYFUNCTION("""COMPUTED_VALUE"""),"JOSE LUIS CARO 2792")</f>
        <v>JOSE LUIS CARO 2792</v>
      </c>
      <c r="D9245" s="6" t="str">
        <f ca="1">IFERROR(__xludf.DUMMYFUNCTION("""COMPUTED_VALUE"""),"PADRE HURTADO")</f>
        <v>PADRE HURTADO</v>
      </c>
    </row>
    <row r="9246" spans="1:4">
      <c r="A9246" s="7">
        <f ca="1">IFERROR(__xludf.DUMMYFUNCTION("""COMPUTED_VALUE"""),44765)</f>
        <v>44765</v>
      </c>
      <c r="B9246" s="6" t="str">
        <f ca="1">IFERROR(__xludf.DUMMYFUNCTION("""COMPUTED_VALUE"""),"-33.422172-71.138910")</f>
        <v>-33.422172-71.138910</v>
      </c>
      <c r="C9246" s="6" t="str">
        <f ca="1">IFERROR(__xludf.DUMMYFUNCTION("""COMPUTED_VALUE"""),"LO AGUILA PARCELA 27")</f>
        <v>LO AGUILA PARCELA 27</v>
      </c>
      <c r="D9246" s="6" t="str">
        <f ca="1">IFERROR(__xludf.DUMMYFUNCTION("""COMPUTED_VALUE"""),"CURACAVI")</f>
        <v>CURACAVI</v>
      </c>
    </row>
    <row r="9247" spans="1:4">
      <c r="A9247" s="7">
        <f ca="1">IFERROR(__xludf.DUMMYFUNCTION("""COMPUTED_VALUE"""),44765)</f>
        <v>44765</v>
      </c>
      <c r="B9247" s="6" t="str">
        <f ca="1">IFERROR(__xludf.DUMMYFUNCTION("""COMPUTED_VALUE"""),"-33.407381-71.135348")</f>
        <v>-33.407381-71.135348</v>
      </c>
      <c r="C9247" s="6" t="str">
        <f ca="1">IFERROR(__xludf.DUMMYFUNCTION("""COMPUTED_VALUE"""),"SAN LUCAS 226")</f>
        <v>SAN LUCAS 226</v>
      </c>
      <c r="D9247" s="6" t="str">
        <f ca="1">IFERROR(__xludf.DUMMYFUNCTION("""COMPUTED_VALUE"""),"CURACAVI")</f>
        <v>CURACAVI</v>
      </c>
    </row>
    <row r="9248" spans="1:4">
      <c r="A9248" s="7">
        <f ca="1">IFERROR(__xludf.DUMMYFUNCTION("""COMPUTED_VALUE"""),44765)</f>
        <v>44765</v>
      </c>
      <c r="B9248" s="6" t="str">
        <f ca="1">IFERROR(__xludf.DUMMYFUNCTION("""COMPUTED_VALUE"""),"- 33,776643. - 70.904063")</f>
        <v>- 33,776643. - 70.904063</v>
      </c>
      <c r="C9248" s="6" t="str">
        <f ca="1">IFERROR(__xludf.DUMMYFUNCTION("""COMPUTED_VALUE"""),"GALVEZ 2121 ")</f>
        <v xml:space="preserve">GALVEZ 2121 </v>
      </c>
      <c r="D9248" s="6" t="str">
        <f ca="1">IFERROR(__xludf.DUMMYFUNCTION("""COMPUTED_VALUE"""),"ISLA DE MAIPO")</f>
        <v>ISLA DE MAIPO</v>
      </c>
    </row>
    <row r="9249" spans="1:4">
      <c r="A9249" s="7">
        <f ca="1">IFERROR(__xludf.DUMMYFUNCTION("""COMPUTED_VALUE"""),44765)</f>
        <v>44765</v>
      </c>
      <c r="B9249" s="6" t="str">
        <f ca="1">IFERROR(__xludf.DUMMYFUNCTION("""COMPUTED_VALUE"""),"-33.613913,-70.898385")</f>
        <v>-33.613913,-70.898385</v>
      </c>
      <c r="C9249" s="6" t="str">
        <f ca="1">IFERROR(__xludf.DUMMYFUNCTION("""COMPUTED_VALUE"""),"PARALELA 3514")</f>
        <v>PARALELA 3514</v>
      </c>
      <c r="D9249" s="6" t="str">
        <f ca="1">IFERROR(__xludf.DUMMYFUNCTION("""COMPUTED_VALUE"""),"PEÑAFLOR")</f>
        <v>PEÑAFLOR</v>
      </c>
    </row>
    <row r="9250" spans="1:4">
      <c r="A9250" s="7">
        <f ca="1">IFERROR(__xludf.DUMMYFUNCTION("""COMPUTED_VALUE"""),44765)</f>
        <v>44765</v>
      </c>
      <c r="B9250" s="6" t="str">
        <f ca="1">IFERROR(__xludf.DUMMYFUNCTION("""COMPUTED_VALUE"""),"-33.852892,-70.762327")</f>
        <v>-33.852892,-70.762327</v>
      </c>
      <c r="C9250" s="6" t="str">
        <f ca="1">IFERROR(__xludf.DUMMYFUNCTION("""COMPUTED_VALUE"""),"JORGE ALESSANDRI 7")</f>
        <v>JORGE ALESSANDRI 7</v>
      </c>
      <c r="D9250" s="6" t="str">
        <f ca="1">IFERROR(__xludf.DUMMYFUNCTION("""COMPUTED_VALUE"""),"PAINE")</f>
        <v>PAINE</v>
      </c>
    </row>
    <row r="9251" spans="1:4">
      <c r="A9251" s="7">
        <f ca="1">IFERROR(__xludf.DUMMYFUNCTION("""COMPUTED_VALUE"""),44765)</f>
        <v>44765</v>
      </c>
      <c r="B9251" s="6" t="str">
        <f ca="1">IFERROR(__xludf.DUMMYFUNCTION("""COMPUTED_VALUE"""),"-33.852734,-70.762374")</f>
        <v>-33.852734,-70.762374</v>
      </c>
      <c r="C9251" s="6" t="str">
        <f ca="1">IFERROR(__xludf.DUMMYFUNCTION("""COMPUTED_VALUE"""),"JORGE ALESSANDRI 7")</f>
        <v>JORGE ALESSANDRI 7</v>
      </c>
      <c r="D9251" s="6" t="str">
        <f ca="1">IFERROR(__xludf.DUMMYFUNCTION("""COMPUTED_VALUE"""),"PAINE")</f>
        <v>PAINE</v>
      </c>
    </row>
    <row r="9252" spans="1:4">
      <c r="A9252" s="7">
        <f ca="1">IFERROR(__xludf.DUMMYFUNCTION("""COMPUTED_VALUE"""),44765)</f>
        <v>44765</v>
      </c>
      <c r="B9252" s="6" t="str">
        <f ca="1">IFERROR(__xludf.DUMMYFUNCTION("""COMPUTED_VALUE"""),"-33.857288,-70.722115")</f>
        <v>-33.857288,-70.722115</v>
      </c>
      <c r="C9252" s="6" t="str">
        <f ca="1">IFERROR(__xludf.DUMMYFUNCTION("""COMPUTED_VALUE"""),"LOS PINOS 58")</f>
        <v>LOS PINOS 58</v>
      </c>
      <c r="D9252" s="6" t="str">
        <f ca="1">IFERROR(__xludf.DUMMYFUNCTION("""COMPUTED_VALUE"""),"PAINE")</f>
        <v>PAINE</v>
      </c>
    </row>
    <row r="9253" spans="1:4">
      <c r="A9253" s="7">
        <f ca="1">IFERROR(__xludf.DUMMYFUNCTION("""COMPUTED_VALUE"""),44767)</f>
        <v>44767</v>
      </c>
      <c r="B9253" s="8" t="str">
        <f ca="1">IFERROR(__xludf.DUMMYFUNCTION("""COMPUTED_VALUE"""),"-33.7361007, -71.0215912")</f>
        <v>-33.7361007, -71.0215912</v>
      </c>
      <c r="C9253" s="6" t="str">
        <f ca="1">IFERROR(__xludf.DUMMYFUNCTION("""COMPUTED_VALUE"""),"SAN ANTONIO DE NALTAGUA 19")</f>
        <v>SAN ANTONIO DE NALTAGUA 19</v>
      </c>
      <c r="D9253" s="6" t="str">
        <f ca="1">IFERROR(__xludf.DUMMYFUNCTION("""COMPUTED_VALUE"""),"ISLA DE MAIPO")</f>
        <v>ISLA DE MAIPO</v>
      </c>
    </row>
    <row r="9254" spans="1:4">
      <c r="A9254" s="7">
        <f ca="1">IFERROR(__xludf.DUMMYFUNCTION("""COMPUTED_VALUE"""),44767)</f>
        <v>44767</v>
      </c>
      <c r="B9254" s="8" t="str">
        <f ca="1">IFERROR(__xludf.DUMMYFUNCTION("""COMPUTED_VALUE"""),"-33.2486579, -70.7221639")</f>
        <v>-33.2486579, -70.7221639</v>
      </c>
      <c r="C9254" s="6" t="str">
        <f ca="1">IFERROR(__xludf.DUMMYFUNCTION("""COMPUTED_VALUE"""),"CAMINO LA S/N PARCELA 21")</f>
        <v>CAMINO LA S/N PARCELA 21</v>
      </c>
      <c r="D9254" s="6" t="str">
        <f ca="1">IFERROR(__xludf.DUMMYFUNCTION("""COMPUTED_VALUE"""),"COLINA")</f>
        <v>COLINA</v>
      </c>
    </row>
    <row r="9255" spans="1:4">
      <c r="A9255" s="7">
        <f ca="1">IFERROR(__xludf.DUMMYFUNCTION("""COMPUTED_VALUE"""),44767)</f>
        <v>44767</v>
      </c>
      <c r="B9255" s="8" t="str">
        <f ca="1">IFERROR(__xludf.DUMMYFUNCTION("""COMPUTED_VALUE"""),"-33.3229651, -70.7504333")</f>
        <v>-33.3229651, -70.7504333</v>
      </c>
      <c r="C9255" s="6" t="str">
        <f ca="1">IFERROR(__xludf.DUMMYFUNCTION("""COMPUTED_VALUE"""),"RÍO LOA 295")</f>
        <v>RÍO LOA 295</v>
      </c>
      <c r="D9255" s="6" t="str">
        <f ca="1">IFERROR(__xludf.DUMMYFUNCTION("""COMPUTED_VALUE"""),"LAMPA")</f>
        <v>LAMPA</v>
      </c>
    </row>
    <row r="9256" spans="1:4">
      <c r="A9256" s="7">
        <f ca="1">IFERROR(__xludf.DUMMYFUNCTION("""COMPUTED_VALUE"""),44767)</f>
        <v>44767</v>
      </c>
      <c r="B9256" s="8" t="str">
        <f ca="1">IFERROR(__xludf.DUMMYFUNCTION("""COMPUTED_VALUE"""),"33.7613755, -70.7370502")</f>
        <v>33.7613755, -70.7370502</v>
      </c>
      <c r="C9256" s="6" t="str">
        <f ca="1">IFERROR(__xludf.DUMMYFUNCTION("""COMPUTED_VALUE"""),"FRANCISCO JAVIER KURGGER 81")</f>
        <v>FRANCISCO JAVIER KURGGER 81</v>
      </c>
      <c r="D9256" s="6" t="str">
        <f ca="1">IFERROR(__xludf.DUMMYFUNCTION("""COMPUTED_VALUE"""),"BUIN")</f>
        <v>BUIN</v>
      </c>
    </row>
    <row r="9257" spans="1:4">
      <c r="A9257" s="7">
        <f ca="1">IFERROR(__xludf.DUMMYFUNCTION("""COMPUTED_VALUE"""),44767)</f>
        <v>44767</v>
      </c>
      <c r="B9257" s="6" t="str">
        <f ca="1">IFERROR(__xludf.DUMMYFUNCTION("""COMPUTED_VALUE"""),"-33.145145-70.795375")</f>
        <v>-33.145145-70.795375</v>
      </c>
      <c r="C9257" s="6" t="str">
        <f ca="1">IFERROR(__xludf.DUMMYFUNCTION("""COMPUTED_VALUE"""),"2 ORIENTE 480")</f>
        <v>2 ORIENTE 480</v>
      </c>
      <c r="D9257" s="6" t="str">
        <f ca="1">IFERROR(__xludf.DUMMYFUNCTION("""COMPUTED_VALUE"""),"TIL TIL")</f>
        <v>TIL TIL</v>
      </c>
    </row>
    <row r="9258" spans="1:4">
      <c r="A9258" s="7">
        <f ca="1">IFERROR(__xludf.DUMMYFUNCTION("""COMPUTED_VALUE"""),44767)</f>
        <v>44767</v>
      </c>
      <c r="B9258" s="6" t="str">
        <f ca="1">IFERROR(__xludf.DUMMYFUNCTION("""COMPUTED_VALUE"""),"-33.64387-70.35325")</f>
        <v>-33.64387-70.35325</v>
      </c>
      <c r="C9258" s="6" t="str">
        <f ca="1">IFERROR(__xludf.DUMMYFUNCTION("""COMPUTED_VALUE"""),"PJE DOS 129")</f>
        <v>PJE DOS 129</v>
      </c>
      <c r="D9258" s="6" t="str">
        <f ca="1">IFERROR(__xludf.DUMMYFUNCTION("""COMPUTED_VALUE"""),"SAN JOSE DE MAIPO")</f>
        <v>SAN JOSE DE MAIPO</v>
      </c>
    </row>
    <row r="9259" spans="1:4">
      <c r="A9259" s="7">
        <f ca="1">IFERROR(__xludf.DUMMYFUNCTION("""COMPUTED_VALUE"""),44767)</f>
        <v>44767</v>
      </c>
      <c r="B9259" s="6" t="str">
        <f ca="1">IFERROR(__xludf.DUMMYFUNCTION("""COMPUTED_VALUE"""),"-33.64458-70.35278")</f>
        <v>-33.64458-70.35278</v>
      </c>
      <c r="C9259" s="6" t="str">
        <f ca="1">IFERROR(__xludf.DUMMYFUNCTION("""COMPUTED_VALUE"""),"BERNARDO OHIGGINS 1208")</f>
        <v>BERNARDO OHIGGINS 1208</v>
      </c>
      <c r="D9259" s="6" t="str">
        <f ca="1">IFERROR(__xludf.DUMMYFUNCTION("""COMPUTED_VALUE"""),"SAN JOSE DE MAIPO")</f>
        <v>SAN JOSE DE MAIPO</v>
      </c>
    </row>
    <row r="9260" spans="1:4">
      <c r="A9260" s="7">
        <f ca="1">IFERROR(__xludf.DUMMYFUNCTION("""COMPUTED_VALUE"""),44767)</f>
        <v>44767</v>
      </c>
      <c r="B9260" s="6" t="str">
        <f ca="1">IFERROR(__xludf.DUMMYFUNCTION("""COMPUTED_VALUE"""),"-33.285597-70.869530")</f>
        <v>-33.285597-70.869530</v>
      </c>
      <c r="C9260" s="6" t="str">
        <f ca="1">IFERROR(__xludf.DUMMYFUNCTION("""COMPUTED_VALUE"""),"IGNACIO CARRERA PINTO 1393 B")</f>
        <v>IGNACIO CARRERA PINTO 1393 B</v>
      </c>
      <c r="D9260" s="6" t="str">
        <f ca="1">IFERROR(__xludf.DUMMYFUNCTION("""COMPUTED_VALUE"""),"LAMPA")</f>
        <v>LAMPA</v>
      </c>
    </row>
    <row r="9261" spans="1:4">
      <c r="A9261" s="7">
        <f ca="1">IFERROR(__xludf.DUMMYFUNCTION("""COMPUTED_VALUE"""),44767)</f>
        <v>44767</v>
      </c>
      <c r="B9261" s="6" t="str">
        <f ca="1">IFERROR(__xludf.DUMMYFUNCTION("""COMPUTED_VALUE"""),"- 33, 678150 , - 70.947046")</f>
        <v>- 33, 678150 , - 70.947046</v>
      </c>
      <c r="C9261" s="6" t="str">
        <f ca="1">IFERROR(__xludf.DUMMYFUNCTION("""COMPUTED_VALUE"""),"PASAJE UNO 2920")</f>
        <v>PASAJE UNO 2920</v>
      </c>
      <c r="D9261" s="6" t="str">
        <f ca="1">IFERROR(__xludf.DUMMYFUNCTION("""COMPUTED_VALUE"""),"TALAGANTE")</f>
        <v>TALAGANTE</v>
      </c>
    </row>
    <row r="9262" spans="1:4">
      <c r="A9262" s="7">
        <f ca="1">IFERROR(__xludf.DUMMYFUNCTION("""COMPUTED_VALUE"""),44767)</f>
        <v>44767</v>
      </c>
      <c r="B9262" s="6" t="str">
        <f ca="1">IFERROR(__xludf.DUMMYFUNCTION("""COMPUTED_VALUE"""),"- 33, 667368, - 70.936260")</f>
        <v>- 33, 667368, - 70.936260</v>
      </c>
      <c r="C9262" s="6" t="str">
        <f ca="1">IFERROR(__xludf.DUMMYFUNCTION("""COMPUTED_VALUE"""),"BERNARDO O´HIGGINS 1760 ")</f>
        <v xml:space="preserve">BERNARDO O´HIGGINS 1760 </v>
      </c>
      <c r="D9262" s="6" t="str">
        <f ca="1">IFERROR(__xludf.DUMMYFUNCTION("""COMPUTED_VALUE"""),"TALAGANTE")</f>
        <v>TALAGANTE</v>
      </c>
    </row>
    <row r="9263" spans="1:4">
      <c r="A9263" s="7">
        <f ca="1">IFERROR(__xludf.DUMMYFUNCTION("""COMPUTED_VALUE"""),44767)</f>
        <v>44767</v>
      </c>
      <c r="B9263" s="6" t="str">
        <f ca="1">IFERROR(__xludf.DUMMYFUNCTION("""COMPUTED_VALUE"""),"-33,569864, - 71.213131")</f>
        <v>-33,569864, - 71.213131</v>
      </c>
      <c r="C9263" s="6" t="str">
        <f ca="1">IFERROR(__xludf.DUMMYFUNCTION("""COMPUTED_VALUE"""),"LAS PATAGUAS # 7186 ")</f>
        <v xml:space="preserve">LAS PATAGUAS # 7186 </v>
      </c>
      <c r="D9263" s="6" t="str">
        <f ca="1">IFERROR(__xludf.DUMMYFUNCTION("""COMPUTED_VALUE"""),"MELIPILLA")</f>
        <v>MELIPILLA</v>
      </c>
    </row>
    <row r="9264" spans="1:4">
      <c r="A9264" s="7">
        <f ca="1">IFERROR(__xludf.DUMMYFUNCTION("""COMPUTED_VALUE"""),44767)</f>
        <v>44767</v>
      </c>
      <c r="B9264" s="8" t="str">
        <f ca="1">IFERROR(__xludf.DUMMYFUNCTION("""COMPUTED_VALUE"""),"-33.691894,-71.202376")</f>
        <v>-33.691894,-71.202376</v>
      </c>
      <c r="C9264" s="6" t="str">
        <f ca="1">IFERROR(__xludf.DUMMYFUNCTION("""COMPUTED_VALUE"""),"LOS PEUMOS 6")</f>
        <v>LOS PEUMOS 6</v>
      </c>
      <c r="D9264" s="6" t="str">
        <f ca="1">IFERROR(__xludf.DUMMYFUNCTION("""COMPUTED_VALUE"""),"MELIPILLA")</f>
        <v>MELIPILLA</v>
      </c>
    </row>
    <row r="9265" spans="1:4">
      <c r="A9265" s="7">
        <f ca="1">IFERROR(__xludf.DUMMYFUNCTION("""COMPUTED_VALUE"""),44767)</f>
        <v>44767</v>
      </c>
      <c r="B9265" s="8" t="str">
        <f ca="1">IFERROR(__xludf.DUMMYFUNCTION("""COMPUTED_VALUE"""),"-33.692963,-71.224505")</f>
        <v>-33.692963,-71.224505</v>
      </c>
      <c r="C9265" s="6" t="str">
        <f ca="1">IFERROR(__xludf.DUMMYFUNCTION("""COMPUTED_VALUE"""),"PJE RAPEL 1160")</f>
        <v>PJE RAPEL 1160</v>
      </c>
      <c r="D9265" s="6" t="str">
        <f ca="1">IFERROR(__xludf.DUMMYFUNCTION("""COMPUTED_VALUE"""),"MELIPILLA")</f>
        <v>MELIPILLA</v>
      </c>
    </row>
    <row r="9266" spans="1:4">
      <c r="A9266" s="7">
        <f ca="1">IFERROR(__xludf.DUMMYFUNCTION("""COMPUTED_VALUE"""),44767)</f>
        <v>44767</v>
      </c>
      <c r="B9266" s="8" t="str">
        <f ca="1">IFERROR(__xludf.DUMMYFUNCTION("""COMPUTED_VALUE"""),"-33.863953,-70.749091")</f>
        <v>-33.863953,-70.749091</v>
      </c>
      <c r="C9266" s="6" t="str">
        <f ca="1">IFERROR(__xludf.DUMMYFUNCTION("""COMPUTED_VALUE"""),"VILLA EL ESFUERZO 1181")</f>
        <v>VILLA EL ESFUERZO 1181</v>
      </c>
      <c r="D9266" s="6" t="str">
        <f ca="1">IFERROR(__xludf.DUMMYFUNCTION("""COMPUTED_VALUE"""),"PAINE")</f>
        <v>PAINE</v>
      </c>
    </row>
    <row r="9267" spans="1:4">
      <c r="A9267" s="7">
        <f ca="1">IFERROR(__xludf.DUMMYFUNCTION("""COMPUTED_VALUE"""),44767)</f>
        <v>44767</v>
      </c>
      <c r="B9267" s="6" t="str">
        <f ca="1">IFERROR(__xludf.DUMMYFUNCTION("""COMPUTED_VALUE"""),"-33.723144,-70.743765")</f>
        <v>-33.723144,-70.743765</v>
      </c>
      <c r="C9267" s="6" t="str">
        <f ca="1">IFERROR(__xludf.DUMMYFUNCTION("""COMPUTED_VALUE"""),"GUILLERMO GARCIA HUIDOBRO 500")</f>
        <v>GUILLERMO GARCIA HUIDOBRO 500</v>
      </c>
      <c r="D9267" s="6" t="str">
        <f ca="1">IFERROR(__xludf.DUMMYFUNCTION("""COMPUTED_VALUE"""),"BUIN")</f>
        <v>BUIN</v>
      </c>
    </row>
    <row r="9268" spans="1:4">
      <c r="A9268" s="7">
        <f ca="1">IFERROR(__xludf.DUMMYFUNCTION("""COMPUTED_VALUE"""),44768)</f>
        <v>44768</v>
      </c>
      <c r="B9268" s="8" t="str">
        <f ca="1">IFERROR(__xludf.DUMMYFUNCTION("""COMPUTED_VALUE"""),"-33.5707298, -71.1857752")</f>
        <v>-33.5707298, -71.1857752</v>
      </c>
      <c r="C9268" s="6" t="str">
        <f ca="1">IFERROR(__xludf.DUMMYFUNCTION("""COMPUTED_VALUE"""),"ANSELMO ALARCON 2380")</f>
        <v>ANSELMO ALARCON 2380</v>
      </c>
      <c r="D9268" s="6" t="str">
        <f ca="1">IFERROR(__xludf.DUMMYFUNCTION("""COMPUTED_VALUE"""),"BUIN")</f>
        <v>BUIN</v>
      </c>
    </row>
    <row r="9269" spans="1:4">
      <c r="A9269" s="7">
        <f ca="1">IFERROR(__xludf.DUMMYFUNCTION("""COMPUTED_VALUE"""),44768)</f>
        <v>44768</v>
      </c>
      <c r="B9269" s="6" t="str">
        <f ca="1">IFERROR(__xludf.DUMMYFUNCTION("""COMPUTED_VALUE"""),"-33.186178-70.661384")</f>
        <v>-33.186178-70.661384</v>
      </c>
      <c r="C9269" s="6" t="str">
        <f ca="1">IFERROR(__xludf.DUMMYFUNCTION("""COMPUTED_VALUE"""),"JAIME FILLOL 2442")</f>
        <v>JAIME FILLOL 2442</v>
      </c>
      <c r="D9269" s="6" t="str">
        <f ca="1">IFERROR(__xludf.DUMMYFUNCTION("""COMPUTED_VALUE"""),"COLINA")</f>
        <v>COLINA</v>
      </c>
    </row>
    <row r="9270" spans="1:4">
      <c r="A9270" s="7">
        <f ca="1">IFERROR(__xludf.DUMMYFUNCTION("""COMPUTED_VALUE"""),44768)</f>
        <v>44768</v>
      </c>
      <c r="B9270" s="6" t="str">
        <f ca="1">IFERROR(__xludf.DUMMYFUNCTION("""COMPUTED_VALUE"""),"-33.65080-70.35373")</f>
        <v>-33.65080-70.35373</v>
      </c>
      <c r="C9270" s="6" t="str">
        <f ca="1">IFERROR(__xludf.DUMMYFUNCTION("""COMPUTED_VALUE"""),"LAS PATAGUAS 20916")</f>
        <v>LAS PATAGUAS 20916</v>
      </c>
      <c r="D9270" s="6" t="str">
        <f ca="1">IFERROR(__xludf.DUMMYFUNCTION("""COMPUTED_VALUE"""),"SAN JOSE DE MAIPO")</f>
        <v>SAN JOSE DE MAIPO</v>
      </c>
    </row>
    <row r="9271" spans="1:4">
      <c r="A9271" s="7">
        <f ca="1">IFERROR(__xludf.DUMMYFUNCTION("""COMPUTED_VALUE"""),44768)</f>
        <v>44768</v>
      </c>
      <c r="B9271" s="6" t="str">
        <f ca="1">IFERROR(__xludf.DUMMYFUNCTION("""COMPUTED_VALUE"""),"-33.217315-70.672785")</f>
        <v>-33.217315-70.672785</v>
      </c>
      <c r="C9271" s="6" t="str">
        <f ca="1">IFERROR(__xludf.DUMMYFUNCTION("""COMPUTED_VALUE"""),"EL REMANZO DE CHICUREO 200 CASA 62")</f>
        <v>EL REMANZO DE CHICUREO 200 CASA 62</v>
      </c>
      <c r="D9271" s="6" t="str">
        <f ca="1">IFERROR(__xludf.DUMMYFUNCTION("""COMPUTED_VALUE"""),"COLINA")</f>
        <v>COLINA</v>
      </c>
    </row>
    <row r="9272" spans="1:4">
      <c r="A9272" s="7">
        <f ca="1">IFERROR(__xludf.DUMMYFUNCTION("""COMPUTED_VALUE"""),44768)</f>
        <v>44768</v>
      </c>
      <c r="B9272" s="6" t="str">
        <f ca="1">IFERROR(__xludf.DUMMYFUNCTION("""COMPUTED_VALUE"""),"- 33,669604, - 70.992302 ")</f>
        <v xml:space="preserve">- 33,669604, - 70.992302 </v>
      </c>
      <c r="C9272" s="6" t="str">
        <f ca="1">IFERROR(__xludf.DUMMYFUNCTION("""COMPUTED_VALUE"""),"LA PUNTILLA 681 ")</f>
        <v xml:space="preserve">LA PUNTILLA 681 </v>
      </c>
      <c r="D9272" s="6" t="str">
        <f ca="1">IFERROR(__xludf.DUMMYFUNCTION("""COMPUTED_VALUE"""),"EL MONTE")</f>
        <v>EL MONTE</v>
      </c>
    </row>
    <row r="9273" spans="1:4">
      <c r="A9273" s="7">
        <f ca="1">IFERROR(__xludf.DUMMYFUNCTION("""COMPUTED_VALUE"""),44768)</f>
        <v>44768</v>
      </c>
      <c r="B9273" s="6" t="str">
        <f ca="1">IFERROR(__xludf.DUMMYFUNCTION("""COMPUTED_VALUE"""),"- 33, 743537, - 70.898813")</f>
        <v>- 33, 743537, - 70.898813</v>
      </c>
      <c r="C9273" s="6" t="str">
        <f ca="1">IFERROR(__xludf.DUMMYFUNCTION("""COMPUTED_VALUE"""),"SANTA CLARA 274 ")</f>
        <v xml:space="preserve">SANTA CLARA 274 </v>
      </c>
      <c r="D9273" s="6" t="str">
        <f ca="1">IFERROR(__xludf.DUMMYFUNCTION("""COMPUTED_VALUE"""),"ISLA DE MAIPO")</f>
        <v>ISLA DE MAIPO</v>
      </c>
    </row>
    <row r="9274" spans="1:4">
      <c r="A9274" s="7">
        <f ca="1">IFERROR(__xludf.DUMMYFUNCTION("""COMPUTED_VALUE"""),44768)</f>
        <v>44768</v>
      </c>
      <c r="B9274" s="6" t="str">
        <f ca="1">IFERROR(__xludf.DUMMYFUNCTION("""COMPUTED_VALUE"""),"- 33, 774381, - 70.896601 ")</f>
        <v xml:space="preserve">- 33, 774381, - 70.896601 </v>
      </c>
      <c r="C9274" s="6" t="str">
        <f ca="1">IFERROR(__xludf.DUMMYFUNCTION("""COMPUTED_VALUE"""),"OLEA 508")</f>
        <v>OLEA 508</v>
      </c>
      <c r="D9274" s="6" t="str">
        <f ca="1">IFERROR(__xludf.DUMMYFUNCTION("""COMPUTED_VALUE"""),"ISLA DE MAIPO")</f>
        <v>ISLA DE MAIPO</v>
      </c>
    </row>
    <row r="9275" spans="1:4">
      <c r="A9275" s="7">
        <f ca="1">IFERROR(__xludf.DUMMYFUNCTION("""COMPUTED_VALUE"""),44768)</f>
        <v>44768</v>
      </c>
      <c r="B9275" s="8" t="str">
        <f ca="1">IFERROR(__xludf.DUMMYFUNCTION("""COMPUTED_VALUE"""),"-33.686950,-71234856")</f>
        <v>-33.686950,-71234856</v>
      </c>
      <c r="C9275" s="6" t="str">
        <f ca="1">IFERROR(__xludf.DUMMYFUNCTION("""COMPUTED_VALUE"""),"AV VOLCAN CALBUCO BLOCK F 906 DEPTO 101")</f>
        <v>AV VOLCAN CALBUCO BLOCK F 906 DEPTO 101</v>
      </c>
      <c r="D9275" s="6" t="str">
        <f ca="1">IFERROR(__xludf.DUMMYFUNCTION("""COMPUTED_VALUE"""),"MELIPILLA")</f>
        <v>MELIPILLA</v>
      </c>
    </row>
    <row r="9276" spans="1:4">
      <c r="A9276" s="7">
        <f ca="1">IFERROR(__xludf.DUMMYFUNCTION("""COMPUTED_VALUE"""),44768)</f>
        <v>44768</v>
      </c>
      <c r="B9276" s="8" t="str">
        <f ca="1">IFERROR(__xludf.DUMMYFUNCTION("""COMPUTED_VALUE"""),"-33.674254,-71178550")</f>
        <v>-33.674254,-71178550</v>
      </c>
      <c r="C9276" s="6" t="str">
        <f ca="1">IFERROR(__xludf.DUMMYFUNCTION("""COMPUTED_VALUE"""),"AV SUECIA170 ")</f>
        <v xml:space="preserve">AV SUECIA170 </v>
      </c>
      <c r="D9276" s="6" t="str">
        <f ca="1">IFERROR(__xludf.DUMMYFUNCTION("""COMPUTED_VALUE"""),"MELIPILLA")</f>
        <v>MELIPILLA</v>
      </c>
    </row>
    <row r="9277" spans="1:4">
      <c r="A9277" s="7">
        <f ca="1">IFERROR(__xludf.DUMMYFUNCTION("""COMPUTED_VALUE"""),44768)</f>
        <v>44768</v>
      </c>
      <c r="B9277" s="6" t="str">
        <f ca="1">IFERROR(__xludf.DUMMYFUNCTION("""COMPUTED_VALUE"""),"-33.818985,-70.741551")</f>
        <v>-33.818985,-70.741551</v>
      </c>
      <c r="C9277" s="6" t="str">
        <f ca="1">IFERROR(__xludf.DUMMYFUNCTION("""COMPUTED_VALUE"""),"ALFONSO LETELIER 170")</f>
        <v>ALFONSO LETELIER 170</v>
      </c>
      <c r="D9277" s="6" t="str">
        <f ca="1">IFERROR(__xludf.DUMMYFUNCTION("""COMPUTED_VALUE"""),"PAINE")</f>
        <v>PAINE</v>
      </c>
    </row>
    <row r="9278" spans="1:4">
      <c r="A9278" s="7">
        <f ca="1">IFERROR(__xludf.DUMMYFUNCTION("""COMPUTED_VALUE"""),44768)</f>
        <v>44768</v>
      </c>
      <c r="B9278" s="6" t="str">
        <f ca="1">IFERROR(__xludf.DUMMYFUNCTION("""COMPUTED_VALUE"""),"-33.806008,-70.731035")</f>
        <v>-33.806008,-70.731035</v>
      </c>
      <c r="C9278" s="6" t="str">
        <f ca="1">IFERROR(__xludf.DUMMYFUNCTION("""COMPUTED_VALUE"""),"HUMBERTO ALBORNOZ PRADO 202")</f>
        <v>HUMBERTO ALBORNOZ PRADO 202</v>
      </c>
      <c r="D9278" s="6" t="str">
        <f ca="1">IFERROR(__xludf.DUMMYFUNCTION("""COMPUTED_VALUE"""),"PAINE")</f>
        <v>PAINE</v>
      </c>
    </row>
    <row r="9279" spans="1:4">
      <c r="A9279" s="7">
        <f ca="1">IFERROR(__xludf.DUMMYFUNCTION("""COMPUTED_VALUE"""),44768)</f>
        <v>44768</v>
      </c>
      <c r="B9279" s="6" t="str">
        <f ca="1">IFERROR(__xludf.DUMMYFUNCTION("""COMPUTED_VALUE"""),"-33.766786,-70.722261")</f>
        <v>-33.766786,-70.722261</v>
      </c>
      <c r="C9279" s="6" t="str">
        <f ca="1">IFERROR(__xludf.DUMMYFUNCTION("""COMPUTED_VALUE"""),"11 DE SPTIEMBRE 925 P58")</f>
        <v>11 DE SPTIEMBRE 925 P58</v>
      </c>
      <c r="D9279" s="6" t="str">
        <f ca="1">IFERROR(__xludf.DUMMYFUNCTION("""COMPUTED_VALUE"""),"BUIN")</f>
        <v>BUIN</v>
      </c>
    </row>
    <row r="9280" spans="1:4">
      <c r="A9280" s="7">
        <f ca="1">IFERROR(__xludf.DUMMYFUNCTION("""COMPUTED_VALUE"""),44768)</f>
        <v>44768</v>
      </c>
      <c r="B9280" s="6" t="str">
        <f ca="1">IFERROR(__xludf.DUMMYFUNCTION("""COMPUTED_VALUE"""),"-33.628094,-70.576005")</f>
        <v>-33.628094,-70.576005</v>
      </c>
      <c r="C9280" s="6" t="str">
        <f ca="1">IFERROR(__xludf.DUMMYFUNCTION("""COMPUTED_VALUE"""),"RIO MAIPO 115")</f>
        <v>RIO MAIPO 115</v>
      </c>
      <c r="D9280" s="6" t="str">
        <f ca="1">IFERROR(__xludf.DUMMYFUNCTION("""COMPUTED_VALUE"""),"PIRQUE")</f>
        <v>PIRQUE</v>
      </c>
    </row>
    <row r="9281" spans="1:4">
      <c r="A9281" s="7">
        <f ca="1">IFERROR(__xludf.DUMMYFUNCTION("""COMPUTED_VALUE"""),44768)</f>
        <v>44768</v>
      </c>
      <c r="B9281" s="6" t="str">
        <f ca="1">IFERROR(__xludf.DUMMYFUNCTION("""COMPUTED_VALUE"""),"-33.629080,-70.575787")</f>
        <v>-33.629080,-70.575787</v>
      </c>
      <c r="C9281" s="6" t="str">
        <f ca="1">IFERROR(__xludf.DUMMYFUNCTION("""COMPUTED_VALUE"""),"SUBERCASEAUX 159")</f>
        <v>SUBERCASEAUX 159</v>
      </c>
      <c r="D9281" s="6" t="str">
        <f ca="1">IFERROR(__xludf.DUMMYFUNCTION("""COMPUTED_VALUE"""),"PIRQUE")</f>
        <v>PIRQUE</v>
      </c>
    </row>
    <row r="9282" spans="1:4">
      <c r="A9282" s="7">
        <f ca="1">IFERROR(__xludf.DUMMYFUNCTION("""COMPUTED_VALUE"""),44769)</f>
        <v>44769</v>
      </c>
      <c r="B9282" s="8" t="str">
        <f ca="1">IFERROR(__xludf.DUMMYFUNCTION("""COMPUTED_VALUE"""),"-33.5707298, -71.1857752")</f>
        <v>-33.5707298, -71.1857752</v>
      </c>
      <c r="C9282" s="6" t="str">
        <f ca="1">IFERROR(__xludf.DUMMYFUNCTION("""COMPUTED_VALUE"""),"ACEVEDO 1315")</f>
        <v>ACEVEDO 1315</v>
      </c>
      <c r="D9282" s="6" t="str">
        <f ca="1">IFERROR(__xludf.DUMMYFUNCTION("""COMPUTED_VALUE"""),"ISLA DE MAIPO")</f>
        <v>ISLA DE MAIPO</v>
      </c>
    </row>
    <row r="9283" spans="1:4">
      <c r="A9283" s="7">
        <f ca="1">IFERROR(__xludf.DUMMYFUNCTION("""COMPUTED_VALUE"""),44769)</f>
        <v>44769</v>
      </c>
      <c r="B9283" s="8" t="str">
        <f ca="1">IFERROR(__xludf.DUMMYFUNCTION("""COMPUTED_VALUE"""),"-33.7393785, -70.8648468")</f>
        <v>-33.7393785, -70.8648468</v>
      </c>
      <c r="C9283" s="6" t="str">
        <f ca="1">IFERROR(__xludf.DUMMYFUNCTION("""COMPUTED_VALUE"""),"ENRIQUE ALCALDE 296")</f>
        <v>ENRIQUE ALCALDE 296</v>
      </c>
      <c r="D9283" s="6" t="str">
        <f ca="1">IFERROR(__xludf.DUMMYFUNCTION("""COMPUTED_VALUE"""),"ISLA DE MAIPO")</f>
        <v>ISLA DE MAIPO</v>
      </c>
    </row>
    <row r="9284" spans="1:4">
      <c r="A9284" s="7">
        <f ca="1">IFERROR(__xludf.DUMMYFUNCTION("""COMPUTED_VALUE"""),44769)</f>
        <v>44769</v>
      </c>
      <c r="B9284" s="8" t="str">
        <f ca="1">IFERROR(__xludf.DUMMYFUNCTION("""COMPUTED_VALUE"""),"-33.7241552, -70.5788083")</f>
        <v>-33.7241552, -70.5788083</v>
      </c>
      <c r="C9284" s="6" t="str">
        <f ca="1">IFERROR(__xludf.DUMMYFUNCTION("""COMPUTED_VALUE"""),"LA RINCONADA DEL PRINCIPAL PARCELA  50")</f>
        <v>LA RINCONADA DEL PRINCIPAL PARCELA  50</v>
      </c>
      <c r="D9284" s="6" t="str">
        <f ca="1">IFERROR(__xludf.DUMMYFUNCTION("""COMPUTED_VALUE"""),"PIRQUE")</f>
        <v>PIRQUE</v>
      </c>
    </row>
    <row r="9285" spans="1:4">
      <c r="A9285" s="7">
        <f ca="1">IFERROR(__xludf.DUMMYFUNCTION("""COMPUTED_VALUE"""),44769)</f>
        <v>44769</v>
      </c>
      <c r="B9285" s="8" t="str">
        <f ca="1">IFERROR(__xludf.DUMMYFUNCTION("""COMPUTED_VALUE"""),"-33.7459346, -70.8676118")</f>
        <v>-33.7459346, -70.8676118</v>
      </c>
      <c r="C9285" s="6" t="str">
        <f ca="1">IFERROR(__xludf.DUMMYFUNCTION("""COMPUTED_VALUE"""),"CINCO 179")</f>
        <v>CINCO 179</v>
      </c>
      <c r="D9285" s="6" t="str">
        <f ca="1">IFERROR(__xludf.DUMMYFUNCTION("""COMPUTED_VALUE"""),"ISLA DE MAIPO")</f>
        <v>ISLA DE MAIPO</v>
      </c>
    </row>
    <row r="9286" spans="1:4">
      <c r="A9286" s="7">
        <f ca="1">IFERROR(__xludf.DUMMYFUNCTION("""COMPUTED_VALUE"""),44769)</f>
        <v>44769</v>
      </c>
      <c r="B9286" s="8" t="str">
        <f ca="1">IFERROR(__xludf.DUMMYFUNCTION("""COMPUTED_VALUE"""),"-33.5707298, -71.1857752")</f>
        <v>-33.5707298, -71.1857752</v>
      </c>
      <c r="C9286" s="6" t="str">
        <f ca="1">IFERROR(__xludf.DUMMYFUNCTION("""COMPUTED_VALUE"""),"LAS CODORNICES 3208")</f>
        <v>LAS CODORNICES 3208</v>
      </c>
      <c r="D9286" s="6" t="str">
        <f ca="1">IFERROR(__xludf.DUMMYFUNCTION("""COMPUTED_VALUE"""),"ISLA DE MAIPO")</f>
        <v>ISLA DE MAIPO</v>
      </c>
    </row>
    <row r="9287" spans="1:4">
      <c r="A9287" s="7">
        <f ca="1">IFERROR(__xludf.DUMMYFUNCTION("""COMPUTED_VALUE"""),44769)</f>
        <v>44769</v>
      </c>
      <c r="B9287" s="6" t="str">
        <f ca="1">IFERROR(__xludf.DUMMYFUNCTION("""COMPUTED_VALUE"""),"- 33,736149,- 70.861154")</f>
        <v>- 33,736149,- 70.861154</v>
      </c>
      <c r="C9287" s="6" t="str">
        <f ca="1">IFERROR(__xludf.DUMMYFUNCTION("""COMPUTED_VALUE"""),"EL MAITEN 187")</f>
        <v>EL MAITEN 187</v>
      </c>
      <c r="D9287" s="6" t="str">
        <f ca="1">IFERROR(__xludf.DUMMYFUNCTION("""COMPUTED_VALUE"""),"ISLA DE MAIPO")</f>
        <v>ISLA DE MAIPO</v>
      </c>
    </row>
    <row r="9288" spans="1:4">
      <c r="A9288" s="7">
        <f ca="1">IFERROR(__xludf.DUMMYFUNCTION("""COMPUTED_VALUE"""),44769)</f>
        <v>44769</v>
      </c>
      <c r="B9288" s="6" t="str">
        <f ca="1">IFERROR(__xludf.DUMMYFUNCTION("""COMPUTED_VALUE"""),"- 33, 730115,- 70.986386")</f>
        <v>- 33, 730115,- 70.986386</v>
      </c>
      <c r="C9288" s="6" t="str">
        <f ca="1">IFERROR(__xludf.DUMMYFUNCTION("""COMPUTED_VALUE"""),"PUCON 10")</f>
        <v>PUCON 10</v>
      </c>
      <c r="D9288" s="6" t="str">
        <f ca="1">IFERROR(__xludf.DUMMYFUNCTION("""COMPUTED_VALUE"""),"ISLA DE MAIPO")</f>
        <v>ISLA DE MAIPO</v>
      </c>
    </row>
    <row r="9289" spans="1:4">
      <c r="A9289" s="7">
        <f ca="1">IFERROR(__xludf.DUMMYFUNCTION("""COMPUTED_VALUE"""),44769)</f>
        <v>44769</v>
      </c>
      <c r="B9289" s="6" t="str">
        <f ca="1">IFERROR(__xludf.DUMMYFUNCTION("""COMPUTED_VALUE"""),"-33,737001,- 71.020704")</f>
        <v>-33,737001,- 71.020704</v>
      </c>
      <c r="C9289" s="6" t="str">
        <f ca="1">IFERROR(__xludf.DUMMYFUNCTION("""COMPUTED_VALUE"""),"LOS ACACIOS 39")</f>
        <v>LOS ACACIOS 39</v>
      </c>
      <c r="D9289" s="6" t="str">
        <f ca="1">IFERROR(__xludf.DUMMYFUNCTION("""COMPUTED_VALUE"""),"ISLA DE MAIPO")</f>
        <v>ISLA DE MAIPO</v>
      </c>
    </row>
    <row r="9290" spans="1:4">
      <c r="A9290" s="7">
        <f ca="1">IFERROR(__xludf.DUMMYFUNCTION("""COMPUTED_VALUE"""),44769)</f>
        <v>44769</v>
      </c>
      <c r="B9290" s="6" t="str">
        <f ca="1">IFERROR(__xludf.DUMMYFUNCTION("""COMPUTED_VALUE"""),"-33.726990,- 70.987624")</f>
        <v>-33.726990,- 70.987624</v>
      </c>
      <c r="C9290" s="6" t="str">
        <f ca="1">IFERROR(__xludf.DUMMYFUNCTION("""COMPUTED_VALUE"""),"OSORNO 402")</f>
        <v>OSORNO 402</v>
      </c>
      <c r="D9290" s="6" t="str">
        <f ca="1">IFERROR(__xludf.DUMMYFUNCTION("""COMPUTED_VALUE"""),"ISLA DE MAIPO")</f>
        <v>ISLA DE MAIPO</v>
      </c>
    </row>
    <row r="9291" spans="1:4">
      <c r="A9291" s="7">
        <f ca="1">IFERROR(__xludf.DUMMYFUNCTION("""COMPUTED_VALUE"""),44769)</f>
        <v>44769</v>
      </c>
      <c r="B9291" s="8" t="str">
        <f ca="1">IFERROR(__xludf.DUMMYFUNCTION("""COMPUTED_VALUE"""),"-33.7699570,-70.7628430")</f>
        <v>-33.7699570,-70.7628430</v>
      </c>
      <c r="C9291" s="6" t="str">
        <f ca="1">IFERROR(__xludf.DUMMYFUNCTION("""COMPUTED_VALUE"""),"CERVERA 1000")</f>
        <v>CERVERA 1000</v>
      </c>
      <c r="D9291" s="6" t="str">
        <f ca="1">IFERROR(__xludf.DUMMYFUNCTION("""COMPUTED_VALUE"""),"BUIN")</f>
        <v>BUIN</v>
      </c>
    </row>
    <row r="9292" spans="1:4">
      <c r="A9292" s="7">
        <f ca="1">IFERROR(__xludf.DUMMYFUNCTION("""COMPUTED_VALUE"""),44769)</f>
        <v>44769</v>
      </c>
      <c r="B9292" s="6" t="str">
        <f ca="1">IFERROR(__xludf.DUMMYFUNCTION("""COMPUTED_VALUE"""),"-33.572913,-71.011149")</f>
        <v>-33.572913,-71.011149</v>
      </c>
      <c r="C9292" s="6" t="str">
        <f ca="1">IFERROR(__xludf.DUMMYFUNCTION("""COMPUTED_VALUE"""),"FUNDO DON ENRIQUE S/N CV1")</f>
        <v>FUNDO DON ENRIQUE S/N CV1</v>
      </c>
      <c r="D9292" s="6" t="str">
        <f ca="1">IFERROR(__xludf.DUMMYFUNCTION("""COMPUTED_VALUE"""),"MELIPILLA")</f>
        <v>MELIPILLA</v>
      </c>
    </row>
    <row r="9293" spans="1:4">
      <c r="A9293" s="7">
        <f ca="1">IFERROR(__xludf.DUMMYFUNCTION("""COMPUTED_VALUE"""),44769)</f>
        <v>44769</v>
      </c>
      <c r="B9293" s="6" t="str">
        <f ca="1">IFERROR(__xludf.DUMMYFUNCTION("""COMPUTED_VALUE"""),"-33.684830,-70.199096")</f>
        <v>-33.684830,-70.199096</v>
      </c>
      <c r="C9293" s="6" t="str">
        <f ca="1">IFERROR(__xludf.DUMMYFUNCTION("""COMPUTED_VALUE"""),"CARLOS ANFRUNS 633")</f>
        <v>CARLOS ANFRUNS 633</v>
      </c>
      <c r="D9293" s="6" t="str">
        <f ca="1">IFERROR(__xludf.DUMMYFUNCTION("""COMPUTED_VALUE"""),"MELIPILLA")</f>
        <v>MELIPILLA</v>
      </c>
    </row>
    <row r="9294" spans="1:4">
      <c r="A9294" s="7">
        <f ca="1">IFERROR(__xludf.DUMMYFUNCTION("""COMPUTED_VALUE"""),44769)</f>
        <v>44769</v>
      </c>
      <c r="B9294" s="6" t="str">
        <f ca="1">IFERROR(__xludf.DUMMYFUNCTION("""COMPUTED_VALUE"""),"-33.724097,-70.535866")</f>
        <v>-33.724097,-70.535866</v>
      </c>
      <c r="C9294" s="6" t="str">
        <f ca="1">IFERROR(__xludf.DUMMYFUNCTION("""COMPUTED_VALUE"""),"EL PRINCIPAL 47")</f>
        <v>EL PRINCIPAL 47</v>
      </c>
      <c r="D9294" s="6" t="str">
        <f ca="1">IFERROR(__xludf.DUMMYFUNCTION("""COMPUTED_VALUE"""),"PIRQUE")</f>
        <v>PIRQUE</v>
      </c>
    </row>
    <row r="9295" spans="1:4">
      <c r="A9295" s="7">
        <f ca="1">IFERROR(__xludf.DUMMYFUNCTION("""COMPUTED_VALUE"""),44769)</f>
        <v>44769</v>
      </c>
      <c r="B9295" s="6" t="str">
        <f ca="1">IFERROR(__xludf.DUMMYFUNCTION("""COMPUTED_VALUE"""),"-33.828635,-70.639683")</f>
        <v>-33.828635,-70.639683</v>
      </c>
      <c r="C9295" s="6" t="str">
        <f ca="1">IFERROR(__xludf.DUMMYFUNCTION("""COMPUTED_VALUE"""),"RINCONADA DE HUALQUEN 7C")</f>
        <v>RINCONADA DE HUALQUEN 7C</v>
      </c>
      <c r="D9295" s="6" t="str">
        <f ca="1">IFERROR(__xludf.DUMMYFUNCTION("""COMPUTED_VALUE"""),"PAINE")</f>
        <v>PAINE</v>
      </c>
    </row>
    <row r="9296" spans="1:4">
      <c r="A9296" s="7">
        <f ca="1">IFERROR(__xludf.DUMMYFUNCTION("""COMPUTED_VALUE"""),44769)</f>
        <v>44769</v>
      </c>
      <c r="B9296" s="6" t="str">
        <f ca="1">IFERROR(__xludf.DUMMYFUNCTION("""COMPUTED_VALUE"""),"-33.833240,-70.642978")</f>
        <v>-33.833240,-70.642978</v>
      </c>
      <c r="C9296" s="6" t="str">
        <f ca="1">IFERROR(__xludf.DUMMYFUNCTION("""COMPUTED_VALUE"""),"LOS NARANJOS 59")</f>
        <v>LOS NARANJOS 59</v>
      </c>
      <c r="D9296" s="6" t="str">
        <f ca="1">IFERROR(__xludf.DUMMYFUNCTION("""COMPUTED_VALUE"""),"PAINE")</f>
        <v>PAINE</v>
      </c>
    </row>
    <row r="9297" spans="1:4">
      <c r="A9297" s="7">
        <f ca="1">IFERROR(__xludf.DUMMYFUNCTION("""COMPUTED_VALUE"""),44770)</f>
        <v>44770</v>
      </c>
      <c r="B9297" s="8" t="str">
        <f ca="1">IFERROR(__xludf.DUMMYFUNCTION("""COMPUTED_VALUE"""),"-33.8122267, -70.8615333")</f>
        <v>-33.8122267, -70.8615333</v>
      </c>
      <c r="C9297" s="6" t="str">
        <f ca="1">IFERROR(__xludf.DUMMYFUNCTION("""COMPUTED_VALUE"""),"MANUEL RODRIGUEZ 46 SITO 4")</f>
        <v>MANUEL RODRIGUEZ 46 SITO 4</v>
      </c>
      <c r="D9297" s="6" t="str">
        <f ca="1">IFERROR(__xludf.DUMMYFUNCTION("""COMPUTED_VALUE"""),"PAINE")</f>
        <v>PAINE</v>
      </c>
    </row>
    <row r="9298" spans="1:4">
      <c r="A9298" s="7">
        <f ca="1">IFERROR(__xludf.DUMMYFUNCTION("""COMPUTED_VALUE"""),44770)</f>
        <v>44770</v>
      </c>
      <c r="B9298" s="8" t="str">
        <f ca="1">IFERROR(__xludf.DUMMYFUNCTION("""COMPUTED_VALUE"""),"-33.7241552, -70.5788083")</f>
        <v>-33.7241552, -70.5788083</v>
      </c>
      <c r="C9298" s="6" t="str">
        <f ca="1">IFERROR(__xludf.DUMMYFUNCTION("""COMPUTED_VALUE"""),"PASAJE BELEN 12")</f>
        <v>PASAJE BELEN 12</v>
      </c>
      <c r="D9298" s="6" t="str">
        <f ca="1">IFERROR(__xludf.DUMMYFUNCTION("""COMPUTED_VALUE"""),"BUIN")</f>
        <v>BUIN</v>
      </c>
    </row>
    <row r="9299" spans="1:4">
      <c r="A9299" s="7">
        <f ca="1">IFERROR(__xludf.DUMMYFUNCTION("""COMPUTED_VALUE"""),44770)</f>
        <v>44770</v>
      </c>
      <c r="B9299" s="8" t="str">
        <f ca="1">IFERROR(__xludf.DUMMYFUNCTION("""COMPUTED_VALUE"""),"-33.7365734, -70.8594532")</f>
        <v>-33.7365734, -70.8594532</v>
      </c>
      <c r="C9299" s="6" t="str">
        <f ca="1">IFERROR(__xludf.DUMMYFUNCTION("""COMPUTED_VALUE"""),"REULI 4476")</f>
        <v>REULI 4476</v>
      </c>
      <c r="D9299" s="6" t="str">
        <f ca="1">IFERROR(__xludf.DUMMYFUNCTION("""COMPUTED_VALUE"""),"ISLA DE MAIPO")</f>
        <v>ISLA DE MAIPO</v>
      </c>
    </row>
    <row r="9300" spans="1:4">
      <c r="A9300" s="7">
        <f ca="1">IFERROR(__xludf.DUMMYFUNCTION("""COMPUTED_VALUE"""),44770)</f>
        <v>44770</v>
      </c>
      <c r="B9300" s="8" t="str">
        <f ca="1">IFERROR(__xludf.DUMMYFUNCTION("""COMPUTED_VALUE"""),"33.6072827, -70.8809523")</f>
        <v>33.6072827, -70.8809523</v>
      </c>
      <c r="C9300" s="6" t="str">
        <f ca="1">IFERROR(__xludf.DUMMYFUNCTION("""COMPUTED_VALUE"""),"VILLA FERNANDO 1038")</f>
        <v>VILLA FERNANDO 1038</v>
      </c>
      <c r="D9300" s="6" t="str">
        <f ca="1">IFERROR(__xludf.DUMMYFUNCTION("""COMPUTED_VALUE"""),"PEÑAFLOR")</f>
        <v>PEÑAFLOR</v>
      </c>
    </row>
    <row r="9301" spans="1:4">
      <c r="A9301" s="7">
        <f ca="1">IFERROR(__xludf.DUMMYFUNCTION("""COMPUTED_VALUE"""),44770)</f>
        <v>44770</v>
      </c>
      <c r="B9301" s="6" t="str">
        <f ca="1">IFERROR(__xludf.DUMMYFUNCTION("""COMPUTED_VALUE"""),"-33.727992-70.738951")</f>
        <v>-33.727992-70.738951</v>
      </c>
      <c r="C9301" s="6" t="str">
        <f ca="1">IFERROR(__xludf.DUMMYFUNCTION("""COMPUTED_VALUE"""),"LUXENBURGO 306")</f>
        <v>LUXENBURGO 306</v>
      </c>
      <c r="D9301" s="6" t="str">
        <f ca="1">IFERROR(__xludf.DUMMYFUNCTION("""COMPUTED_VALUE"""),"BUIN")</f>
        <v>BUIN</v>
      </c>
    </row>
    <row r="9302" spans="1:4">
      <c r="A9302" s="7">
        <f ca="1">IFERROR(__xludf.DUMMYFUNCTION("""COMPUTED_VALUE"""),44770)</f>
        <v>44770</v>
      </c>
      <c r="B9302" s="6" t="str">
        <f ca="1">IFERROR(__xludf.DUMMYFUNCTION("""COMPUTED_VALUE"""),"-33.71985-70.55682")</f>
        <v>-33.71985-70.55682</v>
      </c>
      <c r="C9302" s="6" t="str">
        <f ca="1">IFERROR(__xludf.DUMMYFUNCTION("""COMPUTED_VALUE"""),"NAVARRETE 129")</f>
        <v>NAVARRETE 129</v>
      </c>
      <c r="D9302" s="6" t="str">
        <f ca="1">IFERROR(__xludf.DUMMYFUNCTION("""COMPUTED_VALUE"""),"PIRQUE")</f>
        <v>PIRQUE</v>
      </c>
    </row>
    <row r="9303" spans="1:4">
      <c r="A9303" s="7">
        <f ca="1">IFERROR(__xludf.DUMMYFUNCTION("""COMPUTED_VALUE"""),44770)</f>
        <v>44770</v>
      </c>
      <c r="B9303" s="6" t="str">
        <f ca="1">IFERROR(__xludf.DUMMYFUNCTION("""COMPUTED_VALUE"""),"-33.62830-70.54099")</f>
        <v>-33.62830-70.54099</v>
      </c>
      <c r="C9303" s="6" t="str">
        <f ca="1">IFERROR(__xludf.DUMMYFUNCTION("""COMPUTED_VALUE"""),"LAGOS DEL SUR 3459")</f>
        <v>LAGOS DEL SUR 3459</v>
      </c>
      <c r="D9303" s="6" t="str">
        <f ca="1">IFERROR(__xludf.DUMMYFUNCTION("""COMPUTED_VALUE"""),"PIRQUE")</f>
        <v>PIRQUE</v>
      </c>
    </row>
    <row r="9304" spans="1:4">
      <c r="A9304" s="7">
        <f ca="1">IFERROR(__xludf.DUMMYFUNCTION("""COMPUTED_VALUE"""),44770)</f>
        <v>44770</v>
      </c>
      <c r="B9304" s="6" t="str">
        <f ca="1">IFERROR(__xludf.DUMMYFUNCTION("""COMPUTED_VALUE"""),"-33.851631-70.922814")</f>
        <v>-33.851631-70.922814</v>
      </c>
      <c r="C9304" s="6" t="str">
        <f ca="1">IFERROR(__xludf.DUMMYFUNCTION("""COMPUTED_VALUE"""),"PENINSULA EL LEON 21")</f>
        <v>PENINSULA EL LEON 21</v>
      </c>
      <c r="D9304" s="6" t="str">
        <f ca="1">IFERROR(__xludf.DUMMYFUNCTION("""COMPUTED_VALUE"""),"PAINE")</f>
        <v>PAINE</v>
      </c>
    </row>
    <row r="9305" spans="1:4">
      <c r="A9305" s="7">
        <f ca="1">IFERROR(__xludf.DUMMYFUNCTION("""COMPUTED_VALUE"""),44770)</f>
        <v>44770</v>
      </c>
      <c r="B9305" s="6" t="str">
        <f ca="1">IFERROR(__xludf.DUMMYFUNCTION("""COMPUTED_VALUE"""),"-33.851631-70.922814")</f>
        <v>-33.851631-70.922814</v>
      </c>
      <c r="C9305" s="6" t="str">
        <f ca="1">IFERROR(__xludf.DUMMYFUNCTION("""COMPUTED_VALUE"""),"PENINSULA EL LEON 21")</f>
        <v>PENINSULA EL LEON 21</v>
      </c>
      <c r="D9305" s="6" t="str">
        <f ca="1">IFERROR(__xludf.DUMMYFUNCTION("""COMPUTED_VALUE"""),"PAINE")</f>
        <v>PAINE</v>
      </c>
    </row>
    <row r="9306" spans="1:4">
      <c r="A9306" s="7">
        <f ca="1">IFERROR(__xludf.DUMMYFUNCTION("""COMPUTED_VALUE"""),44770)</f>
        <v>44770</v>
      </c>
      <c r="B9306" s="6" t="str">
        <f ca="1">IFERROR(__xludf.DUMMYFUNCTION("""COMPUTED_VALUE"""),"-33.820876-70.736655")</f>
        <v>-33.820876-70.736655</v>
      </c>
      <c r="C9306" s="6" t="str">
        <f ca="1">IFERROR(__xludf.DUMMYFUNCTION("""COMPUTED_VALUE"""),"PJE PARQUE NACIONAL CUCAO 1591")</f>
        <v>PJE PARQUE NACIONAL CUCAO 1591</v>
      </c>
      <c r="D9306" s="6" t="str">
        <f ca="1">IFERROR(__xludf.DUMMYFUNCTION("""COMPUTED_VALUE"""),"PAINE")</f>
        <v>PAINE</v>
      </c>
    </row>
    <row r="9307" spans="1:4">
      <c r="A9307" s="7">
        <f ca="1">IFERROR(__xludf.DUMMYFUNCTION("""COMPUTED_VALUE"""),44770)</f>
        <v>44770</v>
      </c>
      <c r="B9307" s="6" t="str">
        <f ca="1">IFERROR(__xludf.DUMMYFUNCTION("""COMPUTED_VALUE"""),"-33.672789-71.235668")</f>
        <v>-33.672789-71.235668</v>
      </c>
      <c r="C9307" s="6" t="str">
        <f ca="1">IFERROR(__xludf.DUMMYFUNCTION("""COMPUTED_VALUE"""),"CHILCO 652")</f>
        <v>CHILCO 652</v>
      </c>
      <c r="D9307" s="6" t="str">
        <f ca="1">IFERROR(__xludf.DUMMYFUNCTION("""COMPUTED_VALUE"""),"MELIPILLA")</f>
        <v>MELIPILLA</v>
      </c>
    </row>
    <row r="9308" spans="1:4">
      <c r="A9308" s="7">
        <f ca="1">IFERROR(__xludf.DUMMYFUNCTION("""COMPUTED_VALUE"""),44770)</f>
        <v>44770</v>
      </c>
      <c r="B9308" s="6" t="str">
        <f ca="1">IFERROR(__xludf.DUMMYFUNCTION("""COMPUTED_VALUE"""),"-33.661278-71.219843")</f>
        <v>-33.661278-71.219843</v>
      </c>
      <c r="C9308" s="6" t="str">
        <f ca="1">IFERROR(__xludf.DUMMYFUNCTION("""COMPUTED_VALUE"""),"SANTA JULIA S/N")</f>
        <v>SANTA JULIA S/N</v>
      </c>
      <c r="D9308" s="6" t="str">
        <f ca="1">IFERROR(__xludf.DUMMYFUNCTION("""COMPUTED_VALUE"""),"MELIPILLA")</f>
        <v>MELIPILLA</v>
      </c>
    </row>
    <row r="9309" spans="1:4">
      <c r="A9309" s="7">
        <f ca="1">IFERROR(__xludf.DUMMYFUNCTION("""COMPUTED_VALUE"""),44770)</f>
        <v>44770</v>
      </c>
      <c r="B9309" s="6" t="str">
        <f ca="1">IFERROR(__xludf.DUMMYFUNCTION("""COMPUTED_VALUE"""),"-33.661278-71.219843")</f>
        <v>-33.661278-71.219843</v>
      </c>
      <c r="C9309" s="6" t="str">
        <f ca="1">IFERROR(__xludf.DUMMYFUNCTION("""COMPUTED_VALUE"""),"SANTA JULIA S/N")</f>
        <v>SANTA JULIA S/N</v>
      </c>
      <c r="D9309" s="6" t="str">
        <f ca="1">IFERROR(__xludf.DUMMYFUNCTION("""COMPUTED_VALUE"""),"MELIPILLA")</f>
        <v>MELIPILLA</v>
      </c>
    </row>
    <row r="9310" spans="1:4">
      <c r="A9310" s="7">
        <f ca="1">IFERROR(__xludf.DUMMYFUNCTION("""COMPUTED_VALUE"""),44770)</f>
        <v>44770</v>
      </c>
      <c r="B9310" s="6" t="str">
        <f ca="1">IFERROR(__xludf.DUMMYFUNCTION("""COMPUTED_VALUE"""),"-33,571183,- 71.187870")</f>
        <v>-33,571183,- 71.187870</v>
      </c>
      <c r="C9310" s="6" t="str">
        <f ca="1">IFERROR(__xludf.DUMMYFUNCTION("""COMPUTED_VALUE"""),"VALPARAISO S/N BOLLENAR ")</f>
        <v xml:space="preserve">VALPARAISO S/N BOLLENAR </v>
      </c>
      <c r="D9310" s="6" t="str">
        <f ca="1">IFERROR(__xludf.DUMMYFUNCTION("""COMPUTED_VALUE"""),"MELIPILLA")</f>
        <v>MELIPILLA</v>
      </c>
    </row>
    <row r="9311" spans="1:4">
      <c r="A9311" s="7">
        <f ca="1">IFERROR(__xludf.DUMMYFUNCTION("""COMPUTED_VALUE"""),44770)</f>
        <v>44770</v>
      </c>
      <c r="B9311" s="6" t="str">
        <f ca="1">IFERROR(__xludf.DUMMYFUNCTION("""COMPUTED_VALUE"""),"-33.571380,-70.810836")</f>
        <v>-33.571380,-70.810836</v>
      </c>
      <c r="C9311" s="6" t="str">
        <f ca="1">IFERROR(__xludf.DUMMYFUNCTION("""COMPUTED_VALUE"""),"PJE CANADA 445")</f>
        <v>PJE CANADA 445</v>
      </c>
      <c r="D9311" s="6" t="str">
        <f ca="1">IFERROR(__xludf.DUMMYFUNCTION("""COMPUTED_VALUE"""),"PADRE HURTADO")</f>
        <v>PADRE HURTADO</v>
      </c>
    </row>
    <row r="9312" spans="1:4">
      <c r="A9312" s="7">
        <f ca="1">IFERROR(__xludf.DUMMYFUNCTION("""COMPUTED_VALUE"""),44771)</f>
        <v>44771</v>
      </c>
      <c r="B9312" s="8" t="str">
        <f ca="1">IFERROR(__xludf.DUMMYFUNCTION("""COMPUTED_VALUE"""),"-33.308969, -70.8468084")</f>
        <v>-33.308969, -70.8468084</v>
      </c>
      <c r="C9312" s="6" t="str">
        <f ca="1">IFERROR(__xludf.DUMMYFUNCTION("""COMPUTED_VALUE"""),"RUTA G16 PARCELA 103")</f>
        <v>RUTA G16 PARCELA 103</v>
      </c>
      <c r="D9312" s="6" t="str">
        <f ca="1">IFERROR(__xludf.DUMMYFUNCTION("""COMPUTED_VALUE"""),"LAMPA")</f>
        <v>LAMPA</v>
      </c>
    </row>
    <row r="9313" spans="1:4">
      <c r="A9313" s="7">
        <f ca="1">IFERROR(__xludf.DUMMYFUNCTION("""COMPUTED_VALUE"""),44771)</f>
        <v>44771</v>
      </c>
      <c r="B9313" s="8" t="str">
        <f ca="1">IFERROR(__xludf.DUMMYFUNCTION("""COMPUTED_VALUE"""),"-33.5707298, -71.1857752")</f>
        <v>-33.5707298, -71.1857752</v>
      </c>
      <c r="C9313" s="6" t="str">
        <f ca="1">IFERROR(__xludf.DUMMYFUNCTION("""COMPUTED_VALUE"""),"SANTA CLARA 324")</f>
        <v>SANTA CLARA 324</v>
      </c>
      <c r="D9313" s="6" t="str">
        <f ca="1">IFERROR(__xludf.DUMMYFUNCTION("""COMPUTED_VALUE"""),"ISLA DE MAIPO")</f>
        <v>ISLA DE MAIPO</v>
      </c>
    </row>
    <row r="9314" spans="1:4">
      <c r="A9314" s="7">
        <f ca="1">IFERROR(__xludf.DUMMYFUNCTION("""COMPUTED_VALUE"""),44771)</f>
        <v>44771</v>
      </c>
      <c r="B9314" s="8" t="str">
        <f ca="1">IFERROR(__xludf.DUMMYFUNCTION("""COMPUTED_VALUE"""),"-33.1953857, -70.6839213")</f>
        <v>-33.1953857, -70.6839213</v>
      </c>
      <c r="C9314" s="6" t="str">
        <f ca="1">IFERROR(__xludf.DUMMYFUNCTION("""COMPUTED_VALUE"""),"EL NOGAL 913")</f>
        <v>EL NOGAL 913</v>
      </c>
      <c r="D9314" s="6" t="str">
        <f ca="1">IFERROR(__xludf.DUMMYFUNCTION("""COMPUTED_VALUE"""),"COLINA")</f>
        <v>COLINA</v>
      </c>
    </row>
    <row r="9315" spans="1:4">
      <c r="A9315" s="7">
        <f ca="1">IFERROR(__xludf.DUMMYFUNCTION("""COMPUTED_VALUE"""),44771)</f>
        <v>44771</v>
      </c>
      <c r="B9315" s="8" t="str">
        <f ca="1">IFERROR(__xludf.DUMMYFUNCTION("""COMPUTED_VALUE"""),"-33.1944939, -70.672801")</f>
        <v>-33.1944939, -70.672801</v>
      </c>
      <c r="C9315" s="6" t="str">
        <f ca="1">IFERROR(__xludf.DUMMYFUNCTION("""COMPUTED_VALUE"""),"SANTA MARÍA 522")</f>
        <v>SANTA MARÍA 522</v>
      </c>
      <c r="D9315" s="6" t="str">
        <f ca="1">IFERROR(__xludf.DUMMYFUNCTION("""COMPUTED_VALUE"""),"COLINA")</f>
        <v>COLINA</v>
      </c>
    </row>
    <row r="9316" spans="1:4">
      <c r="A9316" s="7">
        <f ca="1">IFERROR(__xludf.DUMMYFUNCTION("""COMPUTED_VALUE"""),44771)</f>
        <v>44771</v>
      </c>
      <c r="B9316" s="8" t="str">
        <f ca="1">IFERROR(__xludf.DUMMYFUNCTION("""COMPUTED_VALUE"""),"-33.3614822, -70.8189303")</f>
        <v>-33.3614822, -70.8189303</v>
      </c>
      <c r="C9316" s="6" t="str">
        <f ca="1">IFERROR(__xludf.DUMMYFUNCTION("""COMPUTED_VALUE"""),"LAS TURBINAS 58")</f>
        <v>LAS TURBINAS 58</v>
      </c>
      <c r="D9316" s="6" t="str">
        <f ca="1">IFERROR(__xludf.DUMMYFUNCTION("""COMPUTED_VALUE"""),"LAMPA")</f>
        <v>LAMPA</v>
      </c>
    </row>
    <row r="9317" spans="1:4">
      <c r="A9317" s="7">
        <f ca="1">IFERROR(__xludf.DUMMYFUNCTION("""COMPUTED_VALUE"""),44771)</f>
        <v>44771</v>
      </c>
      <c r="B9317" s="8" t="str">
        <f ca="1">IFERROR(__xludf.DUMMYFUNCTION("""COMPUTED_VALUE"""),"-33.2932929, -70.7813741")</f>
        <v>-33.2932929, -70.7813741</v>
      </c>
      <c r="C9317" s="6" t="str">
        <f ca="1">IFERROR(__xludf.DUMMYFUNCTION("""COMPUTED_VALUE"""),"LO CASTRO 16")</f>
        <v>LO CASTRO 16</v>
      </c>
      <c r="D9317" s="6" t="str">
        <f ca="1">IFERROR(__xludf.DUMMYFUNCTION("""COMPUTED_VALUE"""),"LAMPA")</f>
        <v>LAMPA</v>
      </c>
    </row>
    <row r="9318" spans="1:4">
      <c r="A9318" s="7">
        <f ca="1">IFERROR(__xludf.DUMMYFUNCTION("""COMPUTED_VALUE"""),44771)</f>
        <v>44771</v>
      </c>
      <c r="B9318" s="8" t="str">
        <f ca="1">IFERROR(__xludf.DUMMYFUNCTION("""COMPUTED_VALUE"""),"-33.3331022, -70.7705396")</f>
        <v>-33.3331022, -70.7705396</v>
      </c>
      <c r="C9318" s="6" t="str">
        <f ca="1">IFERROR(__xludf.DUMMYFUNCTION("""COMPUTED_VALUE"""),"BOULEVAR SAN PEDRO 302")</f>
        <v>BOULEVAR SAN PEDRO 302</v>
      </c>
      <c r="D9318" s="6" t="str">
        <f ca="1">IFERROR(__xludf.DUMMYFUNCTION("""COMPUTED_VALUE"""),"LAMPA")</f>
        <v>LAMPA</v>
      </c>
    </row>
    <row r="9319" spans="1:4">
      <c r="A9319" s="7">
        <f ca="1">IFERROR(__xludf.DUMMYFUNCTION("""COMPUTED_VALUE"""),44771)</f>
        <v>44771</v>
      </c>
      <c r="B9319" s="8" t="str">
        <f ca="1">IFERROR(__xludf.DUMMYFUNCTION("""COMPUTED_VALUE"""),"-33.617382, -70.6295619")</f>
        <v>-33.617382, -70.6295619</v>
      </c>
      <c r="C9319" s="6" t="str">
        <f ca="1">IFERROR(__xludf.DUMMYFUNCTION("""COMPUTED_VALUE"""),"SAN FRANCISCO 1284")</f>
        <v>SAN FRANCISCO 1284</v>
      </c>
      <c r="D9319" s="6" t="str">
        <f ca="1">IFERROR(__xludf.DUMMYFUNCTION("""COMPUTED_VALUE"""),"ISLA DE MAIPO")</f>
        <v>ISLA DE MAIPO</v>
      </c>
    </row>
    <row r="9320" spans="1:4">
      <c r="A9320" s="7">
        <f ca="1">IFERROR(__xludf.DUMMYFUNCTION("""COMPUTED_VALUE"""),44771)</f>
        <v>44771</v>
      </c>
      <c r="B9320" s="6" t="str">
        <f ca="1">IFERROR(__xludf.DUMMYFUNCTION("""COMPUTED_VALUE"""),"-33.600531-70.876850")</f>
        <v>-33.600531-70.876850</v>
      </c>
      <c r="C9320" s="6" t="str">
        <f ca="1">IFERROR(__xludf.DUMMYFUNCTION("""COMPUTED_VALUE"""),"AV. LARRAIN 2343")</f>
        <v>AV. LARRAIN 2343</v>
      </c>
      <c r="D9320" s="6" t="str">
        <f ca="1">IFERROR(__xludf.DUMMYFUNCTION("""COMPUTED_VALUE"""),"PEÑAFLOR")</f>
        <v>PEÑAFLOR</v>
      </c>
    </row>
    <row r="9321" spans="1:4">
      <c r="A9321" s="7">
        <f ca="1">IFERROR(__xludf.DUMMYFUNCTION("""COMPUTED_VALUE"""),44771)</f>
        <v>44771</v>
      </c>
      <c r="B9321" s="6" t="str">
        <f ca="1">IFERROR(__xludf.DUMMYFUNCTION("""COMPUTED_VALUE"""),"-33.597935-70.920809")</f>
        <v>-33.597935-70.920809</v>
      </c>
      <c r="C9321" s="6" t="str">
        <f ca="1">IFERROR(__xludf.DUMMYFUNCTION("""COMPUTED_VALUE"""),"MALLARAUCO  PARC 23 L1")</f>
        <v>MALLARAUCO  PARC 23 L1</v>
      </c>
      <c r="D9321" s="6" t="str">
        <f ca="1">IFERROR(__xludf.DUMMYFUNCTION("""COMPUTED_VALUE"""),"PEÑAFLOR")</f>
        <v>PEÑAFLOR</v>
      </c>
    </row>
    <row r="9322" spans="1:4">
      <c r="A9322" s="7">
        <f ca="1">IFERROR(__xludf.DUMMYFUNCTION("""COMPUTED_VALUE"""),44771)</f>
        <v>44771</v>
      </c>
      <c r="B9322" s="6" t="str">
        <f ca="1">IFERROR(__xludf.DUMMYFUNCTION("""COMPUTED_VALUE"""),"-33.64282-70.35139")</f>
        <v>-33.64282-70.35139</v>
      </c>
      <c r="C9322" s="6" t="str">
        <f ca="1">IFERROR(__xludf.DUMMYFUNCTION("""COMPUTED_VALUE"""),"AV. EL CERRO 19982")</f>
        <v>AV. EL CERRO 19982</v>
      </c>
      <c r="D9322" s="6" t="str">
        <f ca="1">IFERROR(__xludf.DUMMYFUNCTION("""COMPUTED_VALUE"""),"SAN JOSE DE MAIPO")</f>
        <v>SAN JOSE DE MAIPO</v>
      </c>
    </row>
    <row r="9323" spans="1:4">
      <c r="A9323" s="7">
        <f ca="1">IFERROR(__xludf.DUMMYFUNCTION("""COMPUTED_VALUE"""),44771)</f>
        <v>44771</v>
      </c>
      <c r="B9323" s="6" t="str">
        <f ca="1">IFERROR(__xludf.DUMMYFUNCTION("""COMPUTED_VALUE"""),"-33.64284-70.35359")</f>
        <v>-33.64284-70.35359</v>
      </c>
      <c r="C9323" s="6" t="str">
        <f ca="1">IFERROR(__xludf.DUMMYFUNCTION("""COMPUTED_VALUE"""),"CAMINO AL VOLCAN 20032")</f>
        <v>CAMINO AL VOLCAN 20032</v>
      </c>
      <c r="D9323" s="6" t="str">
        <f ca="1">IFERROR(__xludf.DUMMYFUNCTION("""COMPUTED_VALUE"""),"SAN JOSE DE MAIPO")</f>
        <v>SAN JOSE DE MAIPO</v>
      </c>
    </row>
    <row r="9324" spans="1:4">
      <c r="A9324" s="7">
        <f ca="1">IFERROR(__xludf.DUMMYFUNCTION("""COMPUTED_VALUE"""),44771)</f>
        <v>44771</v>
      </c>
      <c r="B9324" s="6" t="str">
        <f ca="1">IFERROR(__xludf.DUMMYFUNCTION("""COMPUTED_VALUE"""),"-33.599354-70.854317")</f>
        <v>-33.599354-70.854317</v>
      </c>
      <c r="C9324" s="6" t="str">
        <f ca="1">IFERROR(__xludf.DUMMYFUNCTION("""COMPUTED_VALUE"""),"LA CAMPANA 471")</f>
        <v>LA CAMPANA 471</v>
      </c>
      <c r="D9324" s="6" t="str">
        <f ca="1">IFERROR(__xludf.DUMMYFUNCTION("""COMPUTED_VALUE"""),"PEÑAFLOR")</f>
        <v>PEÑAFLOR</v>
      </c>
    </row>
    <row r="9325" spans="1:4">
      <c r="A9325" s="7">
        <f ca="1">IFERROR(__xludf.DUMMYFUNCTION("""COMPUTED_VALUE"""),44771)</f>
        <v>44771</v>
      </c>
      <c r="B9325" s="6" t="str">
        <f ca="1">IFERROR(__xludf.DUMMYFUNCTION("""COMPUTED_VALUE"""),"-33.689289-71.219058")</f>
        <v>-33.689289-71.219058</v>
      </c>
      <c r="C9325" s="6" t="str">
        <f ca="1">IFERROR(__xludf.DUMMYFUNCTION("""COMPUTED_VALUE"""),"SAN MIGUEL 858")</f>
        <v>SAN MIGUEL 858</v>
      </c>
      <c r="D9325" s="6" t="str">
        <f ca="1">IFERROR(__xludf.DUMMYFUNCTION("""COMPUTED_VALUE"""),"MELIPILLA")</f>
        <v>MELIPILLA</v>
      </c>
    </row>
    <row r="9326" spans="1:4">
      <c r="A9326" s="7">
        <f ca="1">IFERROR(__xludf.DUMMYFUNCTION("""COMPUTED_VALUE"""),44771)</f>
        <v>44771</v>
      </c>
      <c r="B9326" s="6" t="str">
        <f ca="1">IFERROR(__xludf.DUMMYFUNCTION("""COMPUTED_VALUE"""),"-33.679846-71.166920")</f>
        <v>-33.679846-71.166920</v>
      </c>
      <c r="C9326" s="6" t="str">
        <f ca="1">IFERROR(__xludf.DUMMYFUNCTION("""COMPUTED_VALUE"""),"CAMINO A SANTIAGO S/N")</f>
        <v>CAMINO A SANTIAGO S/N</v>
      </c>
      <c r="D9326" s="6" t="str">
        <f ca="1">IFERROR(__xludf.DUMMYFUNCTION("""COMPUTED_VALUE"""),"MELIPILLA")</f>
        <v>MELIPILLA</v>
      </c>
    </row>
    <row r="9327" spans="1:4">
      <c r="A9327" s="7">
        <f ca="1">IFERROR(__xludf.DUMMYFUNCTION("""COMPUTED_VALUE"""),44771)</f>
        <v>44771</v>
      </c>
      <c r="B9327" s="6" t="str">
        <f ca="1">IFERROR(__xludf.DUMMYFUNCTION("""COMPUTED_VALUE"""),"-33.3732836,- 70.865592")</f>
        <v>-33.3732836,- 70.865592</v>
      </c>
      <c r="C9327" s="6" t="str">
        <f ca="1">IFERROR(__xludf.DUMMYFUNCTION("""COMPUTED_VALUE"""),"SANTA INES 715")</f>
        <v>SANTA INES 715</v>
      </c>
      <c r="D9327" s="6" t="str">
        <f ca="1">IFERROR(__xludf.DUMMYFUNCTION("""COMPUTED_VALUE"""),"ISLA DE MAIPO")</f>
        <v>ISLA DE MAIPO</v>
      </c>
    </row>
    <row r="9328" spans="1:4">
      <c r="A9328" s="7">
        <f ca="1">IFERROR(__xludf.DUMMYFUNCTION("""COMPUTED_VALUE"""),44771)</f>
        <v>44771</v>
      </c>
      <c r="B9328" s="6" t="str">
        <f ca="1">IFERROR(__xludf.DUMMYFUNCTION("""COMPUTED_VALUE"""),"-33,749020,- 70.868732")</f>
        <v>-33,749020,- 70.868732</v>
      </c>
      <c r="C9328" s="6" t="str">
        <f ca="1">IFERROR(__xludf.DUMMYFUNCTION("""COMPUTED_VALUE"""),"EL PARRONAL 0122")</f>
        <v>EL PARRONAL 0122</v>
      </c>
      <c r="D9328" s="6" t="str">
        <f ca="1">IFERROR(__xludf.DUMMYFUNCTION("""COMPUTED_VALUE"""),"ISLA DE MAIPO")</f>
        <v>ISLA DE MAIPO</v>
      </c>
    </row>
    <row r="9329" spans="1:4">
      <c r="A9329" s="7">
        <f ca="1">IFERROR(__xludf.DUMMYFUNCTION("""COMPUTED_VALUE"""),44771)</f>
        <v>44771</v>
      </c>
      <c r="B9329" s="8" t="str">
        <f ca="1">IFERROR(__xludf.DUMMYFUNCTION("""COMPUTED_VALUE"""),"-33.277159,-70.886541")</f>
        <v>-33.277159,-70.886541</v>
      </c>
      <c r="C9329" s="6" t="str">
        <f ca="1">IFERROR(__xludf.DUMMYFUNCTION("""COMPUTED_VALUE"""),"M.RODRIGUEZ 189")</f>
        <v>M.RODRIGUEZ 189</v>
      </c>
      <c r="D9329" s="6" t="str">
        <f ca="1">IFERROR(__xludf.DUMMYFUNCTION("""COMPUTED_VALUE"""),"LAMPA")</f>
        <v>LAMPA</v>
      </c>
    </row>
    <row r="9330" spans="1:4">
      <c r="A9330" s="7">
        <f ca="1">IFERROR(__xludf.DUMMYFUNCTION("""COMPUTED_VALUE"""),44771)</f>
        <v>44771</v>
      </c>
      <c r="B9330" s="8" t="str">
        <f ca="1">IFERROR(__xludf.DUMMYFUNCTION("""COMPUTED_VALUE"""),"-33.3438983,-70.8664452")</f>
        <v>-33.3438983,-70.8664452</v>
      </c>
      <c r="C9330" s="6" t="str">
        <f ca="1">IFERROR(__xludf.DUMMYFUNCTION("""COMPUTED_VALUE"""),"CALLE LIPANGUE PARCELA 25 ")</f>
        <v xml:space="preserve">CALLE LIPANGUE PARCELA 25 </v>
      </c>
      <c r="D9330" s="6" t="str">
        <f ca="1">IFERROR(__xludf.DUMMYFUNCTION("""COMPUTED_VALUE"""),"LAMPA")</f>
        <v>LAMPA</v>
      </c>
    </row>
    <row r="9331" spans="1:4">
      <c r="A9331" s="7">
        <f ca="1">IFERROR(__xludf.DUMMYFUNCTION("""COMPUTED_VALUE"""),44771)</f>
        <v>44771</v>
      </c>
      <c r="B9331" s="8" t="str">
        <f ca="1">IFERROR(__xludf.DUMMYFUNCTION("""COMPUTED_VALUE"""),"-33.984858,-71.32235")</f>
        <v>-33.984858,-71.32235</v>
      </c>
      <c r="C9331" s="6" t="str">
        <f ca="1">IFERROR(__xludf.DUMMYFUNCTION("""COMPUTED_VALUE"""),"SANTA ROSA  LOCHACON ")</f>
        <v xml:space="preserve">SANTA ROSA  LOCHACON </v>
      </c>
      <c r="D9331" s="6" t="str">
        <f ca="1">IFERROR(__xludf.DUMMYFUNCTION("""COMPUTED_VALUE"""),"MELIPILLA")</f>
        <v>MELIPILLA</v>
      </c>
    </row>
    <row r="9332" spans="1:4">
      <c r="A9332" s="7">
        <f ca="1">IFERROR(__xludf.DUMMYFUNCTION("""COMPUTED_VALUE"""),44771)</f>
        <v>44771</v>
      </c>
      <c r="B9332" s="8" t="str">
        <f ca="1">IFERROR(__xludf.DUMMYFUNCTION("""COMPUTED_VALUE"""),"-33.745130,-71.201555")</f>
        <v>-33.745130,-71.201555</v>
      </c>
      <c r="C9332" s="6" t="str">
        <f ca="1">IFERROR(__xludf.DUMMYFUNCTION("""COMPUTED_VALUE"""),"PACELA 4 PABELLON MELIPILLA")</f>
        <v>PACELA 4 PABELLON MELIPILLA</v>
      </c>
      <c r="D9332" s="6" t="str">
        <f ca="1">IFERROR(__xludf.DUMMYFUNCTION("""COMPUTED_VALUE"""),"MELIPILLA")</f>
        <v>MELIPILLA</v>
      </c>
    </row>
    <row r="9333" spans="1:4">
      <c r="A9333" s="7">
        <f ca="1">IFERROR(__xludf.DUMMYFUNCTION("""COMPUTED_VALUE"""),44771)</f>
        <v>44771</v>
      </c>
      <c r="B9333" s="6" t="str">
        <f ca="1">IFERROR(__xludf.DUMMYFUNCTION("""COMPUTED_VALUE"""),"-33.210023,-70.691490")</f>
        <v>-33.210023,-70.691490</v>
      </c>
      <c r="C9333" s="6" t="str">
        <f ca="1">IFERROR(__xludf.DUMMYFUNCTION("""COMPUTED_VALUE"""),"LOS LIMONEROS")</f>
        <v>LOS LIMONEROS</v>
      </c>
      <c r="D9333" s="6" t="str">
        <f ca="1">IFERROR(__xludf.DUMMYFUNCTION("""COMPUTED_VALUE"""),"COLINA")</f>
        <v>COLINA</v>
      </c>
    </row>
    <row r="9334" spans="1:4">
      <c r="A9334" s="7">
        <f ca="1">IFERROR(__xludf.DUMMYFUNCTION("""COMPUTED_VALUE"""),44771)</f>
        <v>44771</v>
      </c>
      <c r="B9334" s="6" t="str">
        <f ca="1">IFERROR(__xludf.DUMMYFUNCTION("""COMPUTED_VALUE"""),"-33.732397,-70.735865")</f>
        <v>-33.732397,-70.735865</v>
      </c>
      <c r="C9334" s="6" t="str">
        <f ca="1">IFERROR(__xludf.DUMMYFUNCTION("""COMPUTED_VALUE"""),"SAN MARTIN 207")</f>
        <v>SAN MARTIN 207</v>
      </c>
      <c r="D9334" s="6" t="str">
        <f ca="1">IFERROR(__xludf.DUMMYFUNCTION("""COMPUTED_VALUE"""),"BUIN")</f>
        <v>BUIN</v>
      </c>
    </row>
    <row r="9335" spans="1:4">
      <c r="A9335" s="7">
        <f ca="1">IFERROR(__xludf.DUMMYFUNCTION("""COMPUTED_VALUE"""),44771)</f>
        <v>44771</v>
      </c>
      <c r="B9335" s="6" t="str">
        <f ca="1">IFERROR(__xludf.DUMMYFUNCTION("""COMPUTED_VALUE"""),"-33.686323,-71.232232")</f>
        <v>-33.686323,-71.232232</v>
      </c>
      <c r="C9335" s="6" t="str">
        <f ca="1">IFERROR(__xludf.DUMMYFUNCTION("""COMPUTED_VALUE"""),"EL TINEO 2002")</f>
        <v>EL TINEO 2002</v>
      </c>
      <c r="D9335" s="6" t="str">
        <f ca="1">IFERROR(__xludf.DUMMYFUNCTION("""COMPUTED_VALUE"""),"MELIPILLA")</f>
        <v>MELIPILLA</v>
      </c>
    </row>
    <row r="9336" spans="1:4">
      <c r="A9336" s="7">
        <f ca="1">IFERROR(__xludf.DUMMYFUNCTION("""COMPUTED_VALUE"""),44771)</f>
        <v>44771</v>
      </c>
      <c r="B9336" s="6" t="str">
        <f ca="1">IFERROR(__xludf.DUMMYFUNCTION("""COMPUTED_VALUE"""),"-33.817167,-70.740044")</f>
        <v>-33.817167,-70.740044</v>
      </c>
      <c r="C9336" s="6" t="str">
        <f ca="1">IFERROR(__xludf.DUMMYFUNCTION("""COMPUTED_VALUE"""),"ANTILLAS 1339")</f>
        <v>ANTILLAS 1339</v>
      </c>
      <c r="D9336" s="6" t="str">
        <f ca="1">IFERROR(__xludf.DUMMYFUNCTION("""COMPUTED_VALUE"""),"PAINE")</f>
        <v>PAINE</v>
      </c>
    </row>
    <row r="9337" spans="1:4">
      <c r="A9337" s="7">
        <f ca="1">IFERROR(__xludf.DUMMYFUNCTION("""COMPUTED_VALUE"""),44771)</f>
        <v>44771</v>
      </c>
      <c r="B9337" s="6" t="str">
        <f ca="1">IFERROR(__xludf.DUMMYFUNCTION("""COMPUTED_VALUE"""),"-33.805307,-70.740056")</f>
        <v>-33.805307,-70.740056</v>
      </c>
      <c r="C9337" s="6" t="str">
        <f ca="1">IFERROR(__xludf.DUMMYFUNCTION("""COMPUTED_VALUE"""),"JOSE PEPE FUENTES 126")</f>
        <v>JOSE PEPE FUENTES 126</v>
      </c>
      <c r="D9337" s="6" t="str">
        <f ca="1">IFERROR(__xludf.DUMMYFUNCTION("""COMPUTED_VALUE"""),"PAINE")</f>
        <v>PAINE</v>
      </c>
    </row>
    <row r="9338" spans="1:4">
      <c r="A9338" s="7">
        <f ca="1">IFERROR(__xludf.DUMMYFUNCTION("""COMPUTED_VALUE"""),44772)</f>
        <v>44772</v>
      </c>
      <c r="B9338" s="6" t="str">
        <f ca="1">IFERROR(__xludf.DUMMYFUNCTION("""COMPUTED_VALUE"""),"-33.407493-71.147582")</f>
        <v>-33.407493-71.147582</v>
      </c>
      <c r="C9338" s="6" t="str">
        <f ca="1">IFERROR(__xludf.DUMMYFUNCTION("""COMPUTED_VALUE"""),"PJE. MANANTIALES 381")</f>
        <v>PJE. MANANTIALES 381</v>
      </c>
      <c r="D9338" s="6" t="str">
        <f ca="1">IFERROR(__xludf.DUMMYFUNCTION("""COMPUTED_VALUE"""),"CURACAVI")</f>
        <v>CURACAVI</v>
      </c>
    </row>
    <row r="9339" spans="1:4">
      <c r="A9339" s="7">
        <f ca="1">IFERROR(__xludf.DUMMYFUNCTION("""COMPUTED_VALUE"""),44772)</f>
        <v>44772</v>
      </c>
      <c r="B9339" s="6" t="str">
        <f ca="1">IFERROR(__xludf.DUMMYFUNCTION("""COMPUTED_VALUE"""),"-33.408144-71.147917")</f>
        <v>-33.408144-71.147917</v>
      </c>
      <c r="C9339" s="6" t="str">
        <f ca="1">IFERROR(__xludf.DUMMYFUNCTION("""COMPUTED_VALUE"""),"DE SALAZAR 373")</f>
        <v>DE SALAZAR 373</v>
      </c>
      <c r="D9339" s="6" t="str">
        <f ca="1">IFERROR(__xludf.DUMMYFUNCTION("""COMPUTED_VALUE"""),"CURACAVI")</f>
        <v>CURACAVI</v>
      </c>
    </row>
    <row r="9340" spans="1:4">
      <c r="A9340" s="7">
        <f ca="1">IFERROR(__xludf.DUMMYFUNCTION("""COMPUTED_VALUE"""),44772)</f>
        <v>44772</v>
      </c>
      <c r="B9340" s="6" t="str">
        <f ca="1">IFERROR(__xludf.DUMMYFUNCTION("""COMPUTED_VALUE"""),"-33,756291,-70.843312")</f>
        <v>-33,756291,-70.843312</v>
      </c>
      <c r="C9340" s="6" t="str">
        <f ca="1">IFERROR(__xludf.DUMMYFUNCTION("""COMPUTED_VALUE"""),"PRIMAVERA SUR 185")</f>
        <v>PRIMAVERA SUR 185</v>
      </c>
      <c r="D9340" s="6" t="str">
        <f ca="1">IFERROR(__xludf.DUMMYFUNCTION("""COMPUTED_VALUE"""),"ISLA DE MAIPO")</f>
        <v>ISLA DE MAIPO</v>
      </c>
    </row>
    <row r="9341" spans="1:4">
      <c r="A9341" s="7">
        <f ca="1">IFERROR(__xludf.DUMMYFUNCTION("""COMPUTED_VALUE"""),44774)</f>
        <v>44774</v>
      </c>
      <c r="B9341" s="8" t="str">
        <f ca="1">IFERROR(__xludf.DUMMYFUNCTION("""COMPUTED_VALUE"""),"-33.7431985, -70.8991748")</f>
        <v>-33.7431985, -70.8991748</v>
      </c>
      <c r="C9341" s="6" t="str">
        <f ca="1">IFERROR(__xludf.DUMMYFUNCTION("""COMPUTED_VALUE"""),"SANTA CLARA 315")</f>
        <v>SANTA CLARA 315</v>
      </c>
      <c r="D9341" s="6" t="str">
        <f ca="1">IFERROR(__xludf.DUMMYFUNCTION("""COMPUTED_VALUE"""),"ISLA DE MAIPO")</f>
        <v>ISLA DE MAIPO</v>
      </c>
    </row>
    <row r="9342" spans="1:4">
      <c r="A9342" s="7">
        <f ca="1">IFERROR(__xludf.DUMMYFUNCTION("""COMPUTED_VALUE"""),44774)</f>
        <v>44774</v>
      </c>
      <c r="B9342" s="8" t="str">
        <f ca="1">IFERROR(__xludf.DUMMYFUNCTION("""COMPUTED_VALUE"""),"-33.3614822, -70.8189303")</f>
        <v>-33.3614822, -70.8189303</v>
      </c>
      <c r="C9342" s="6" t="str">
        <f ca="1">IFERROR(__xludf.DUMMYFUNCTION("""COMPUTED_VALUE"""),"EL VINCULO 2 ")</f>
        <v xml:space="preserve">EL VINCULO 2 </v>
      </c>
      <c r="D9342" s="6" t="str">
        <f ca="1">IFERROR(__xludf.DUMMYFUNCTION("""COMPUTED_VALUE"""),"PAINE")</f>
        <v>PAINE</v>
      </c>
    </row>
    <row r="9343" spans="1:4">
      <c r="A9343" s="7">
        <f ca="1">IFERROR(__xludf.DUMMYFUNCTION("""COMPUTED_VALUE"""),44774)</f>
        <v>44774</v>
      </c>
      <c r="B9343" s="6" t="str">
        <f ca="1">IFERROR(__xludf.DUMMYFUNCTION("""COMPUTED_VALUE"""),"-33.39359-71.12022")</f>
        <v>-33.39359-71.12022</v>
      </c>
      <c r="C9343" s="6" t="str">
        <f ca="1">IFERROR(__xludf.DUMMYFUNCTION("""COMPUTED_VALUE"""),"NUEVO AMANECER 1165")</f>
        <v>NUEVO AMANECER 1165</v>
      </c>
      <c r="D9343" s="6" t="str">
        <f ca="1">IFERROR(__xludf.DUMMYFUNCTION("""COMPUTED_VALUE"""),"CURACAVI")</f>
        <v>CURACAVI</v>
      </c>
    </row>
    <row r="9344" spans="1:4">
      <c r="A9344" s="7">
        <f ca="1">IFERROR(__xludf.DUMMYFUNCTION("""COMPUTED_VALUE"""),44774)</f>
        <v>44774</v>
      </c>
      <c r="B9344" s="6" t="str">
        <f ca="1">IFERROR(__xludf.DUMMYFUNCTION("""COMPUTED_VALUE"""),"-33.39522-71.12763")</f>
        <v>-33.39522-71.12763</v>
      </c>
      <c r="C9344" s="6" t="str">
        <f ca="1">IFERROR(__xludf.DUMMYFUNCTION("""COMPUTED_VALUE"""),"MANUEL LARRAIN 765")</f>
        <v>MANUEL LARRAIN 765</v>
      </c>
      <c r="D9344" s="6" t="str">
        <f ca="1">IFERROR(__xludf.DUMMYFUNCTION("""COMPUTED_VALUE"""),"CURACAVI")</f>
        <v>CURACAVI</v>
      </c>
    </row>
    <row r="9345" spans="1:4">
      <c r="A9345" s="7">
        <f ca="1">IFERROR(__xludf.DUMMYFUNCTION("""COMPUTED_VALUE"""),44774)</f>
        <v>44774</v>
      </c>
      <c r="B9345" s="6" t="str">
        <f ca="1">IFERROR(__xludf.DUMMYFUNCTION("""COMPUTED_VALUE"""),"-33.474382-71.206507")</f>
        <v>-33.474382-71.206507</v>
      </c>
      <c r="C9345" s="6" t="str">
        <f ca="1">IFERROR(__xludf.DUMMYFUNCTION("""COMPUTED_VALUE"""),"CECILIA ROA 167")</f>
        <v>CECILIA ROA 167</v>
      </c>
      <c r="D9345" s="6" t="str">
        <f ca="1">IFERROR(__xludf.DUMMYFUNCTION("""COMPUTED_VALUE"""),"MELIPILLA")</f>
        <v>MELIPILLA</v>
      </c>
    </row>
    <row r="9346" spans="1:4">
      <c r="A9346" s="7">
        <f ca="1">IFERROR(__xludf.DUMMYFUNCTION("""COMPUTED_VALUE"""),44774)</f>
        <v>44774</v>
      </c>
      <c r="B9346" s="6" t="str">
        <f ca="1">IFERROR(__xludf.DUMMYFUNCTION("""COMPUTED_VALUE"""),"-33.675373-71.208336")</f>
        <v>-33.675373-71.208336</v>
      </c>
      <c r="C9346" s="6" t="str">
        <f ca="1">IFERROR(__xludf.DUMMYFUNCTION("""COMPUTED_VALUE"""),"CARMEN QUINTERO 364")</f>
        <v>CARMEN QUINTERO 364</v>
      </c>
      <c r="D9346" s="6" t="str">
        <f ca="1">IFERROR(__xludf.DUMMYFUNCTION("""COMPUTED_VALUE"""),"MELIPILLA")</f>
        <v>MELIPILLA</v>
      </c>
    </row>
    <row r="9347" spans="1:4">
      <c r="A9347" s="7">
        <f ca="1">IFERROR(__xludf.DUMMYFUNCTION("""COMPUTED_VALUE"""),44774)</f>
        <v>44774</v>
      </c>
      <c r="B9347" s="6" t="str">
        <f ca="1">IFERROR(__xludf.DUMMYFUNCTION("""COMPUTED_VALUE"""),"-33.675437-71.208249")</f>
        <v>-33.675437-71.208249</v>
      </c>
      <c r="C9347" s="6" t="str">
        <f ca="1">IFERROR(__xludf.DUMMYFUNCTION("""COMPUTED_VALUE"""),"JULIO MONTT 877")</f>
        <v>JULIO MONTT 877</v>
      </c>
      <c r="D9347" s="6" t="str">
        <f ca="1">IFERROR(__xludf.DUMMYFUNCTION("""COMPUTED_VALUE"""),"MELIPILLA")</f>
        <v>MELIPILLA</v>
      </c>
    </row>
    <row r="9348" spans="1:4">
      <c r="A9348" s="7">
        <f ca="1">IFERROR(__xludf.DUMMYFUNCTION("""COMPUTED_VALUE"""),44774)</f>
        <v>44774</v>
      </c>
      <c r="B9348" s="6" t="str">
        <f ca="1">IFERROR(__xludf.DUMMYFUNCTION("""COMPUTED_VALUE"""),"-33.733135,-71.025910")</f>
        <v>-33.733135,-71.025910</v>
      </c>
      <c r="C9348" s="6" t="str">
        <f ca="1">IFERROR(__xludf.DUMMYFUNCTION("""COMPUTED_VALUE"""),"EL PEUMO 21")</f>
        <v>EL PEUMO 21</v>
      </c>
      <c r="D9348" s="6" t="str">
        <f ca="1">IFERROR(__xludf.DUMMYFUNCTION("""COMPUTED_VALUE"""),"ISLA DE MAIPO")</f>
        <v>ISLA DE MAIPO</v>
      </c>
    </row>
    <row r="9349" spans="1:4">
      <c r="A9349" s="7">
        <f ca="1">IFERROR(__xludf.DUMMYFUNCTION("""COMPUTED_VALUE"""),44774)</f>
        <v>44774</v>
      </c>
      <c r="B9349" s="6" t="str">
        <f ca="1">IFERROR(__xludf.DUMMYFUNCTION("""COMPUTED_VALUE"""),"-33.737634,-70.858894")</f>
        <v>-33.737634,-70.858894</v>
      </c>
      <c r="C9349" s="6" t="str">
        <f ca="1">IFERROR(__xludf.DUMMYFUNCTION("""COMPUTED_VALUE"""),"CAUPOLICAN 65")</f>
        <v>CAUPOLICAN 65</v>
      </c>
      <c r="D9349" s="6" t="str">
        <f ca="1">IFERROR(__xludf.DUMMYFUNCTION("""COMPUTED_VALUE"""),"ISLA DE MAIPO")</f>
        <v>ISLA DE MAIPO</v>
      </c>
    </row>
    <row r="9350" spans="1:4">
      <c r="A9350" s="7">
        <f ca="1">IFERROR(__xludf.DUMMYFUNCTION("""COMPUTED_VALUE"""),44774)</f>
        <v>44774</v>
      </c>
      <c r="B9350" s="8" t="str">
        <f ca="1">IFERROR(__xludf.DUMMYFUNCTION("""COMPUTED_VALUE"""),"-34.032791,-71.082223")</f>
        <v>-34.032791,-71.082223</v>
      </c>
      <c r="C9350" s="6" t="str">
        <f ca="1">IFERROR(__xludf.DUMMYFUNCTION("""COMPUTED_VALUE"""),"POBLACION IGNACIO CP ")</f>
        <v xml:space="preserve">POBLACION IGNACIO CP </v>
      </c>
      <c r="D9350" s="6" t="str">
        <f ca="1">IFERROR(__xludf.DUMMYFUNCTION("""COMPUTED_VALUE"""),"ALHUÉ")</f>
        <v>ALHUÉ</v>
      </c>
    </row>
    <row r="9351" spans="1:4">
      <c r="A9351" s="7">
        <f ca="1">IFERROR(__xludf.DUMMYFUNCTION("""COMPUTED_VALUE"""),44774)</f>
        <v>44774</v>
      </c>
      <c r="B9351" s="8" t="str">
        <f ca="1">IFERROR(__xludf.DUMMYFUNCTION("""COMPUTED_VALUE"""),"-34.026424,-71.104861")</f>
        <v>-34.026424,-71.104861</v>
      </c>
      <c r="C9351" s="6" t="str">
        <f ca="1">IFERROR(__xludf.DUMMYFUNCTION("""COMPUTED_VALUE"""),"LOS ALMENDROS 358")</f>
        <v>LOS ALMENDROS 358</v>
      </c>
      <c r="D9351" s="6" t="str">
        <f ca="1">IFERROR(__xludf.DUMMYFUNCTION("""COMPUTED_VALUE"""),"ALHUÉ")</f>
        <v>ALHUÉ</v>
      </c>
    </row>
    <row r="9352" spans="1:4">
      <c r="A9352" s="7">
        <f ca="1">IFERROR(__xludf.DUMMYFUNCTION("""COMPUTED_VALUE"""),44774)</f>
        <v>44774</v>
      </c>
      <c r="B9352" s="8" t="str">
        <f ca="1">IFERROR(__xludf.DUMMYFUNCTION("""COMPUTED_VALUE"""),"-33.2713420,-70,6984790")</f>
        <v>-33.2713420,-70,6984790</v>
      </c>
      <c r="C9352" s="6" t="str">
        <f ca="1">IFERROR(__xludf.DUMMYFUNCTION("""COMPUTED_VALUE"""),"STA LUISA PARCELA 2 SITIO A")</f>
        <v>STA LUISA PARCELA 2 SITIO A</v>
      </c>
      <c r="D9352" s="6" t="str">
        <f ca="1">IFERROR(__xludf.DUMMYFUNCTION("""COMPUTED_VALUE"""),"COLINA")</f>
        <v>COLINA</v>
      </c>
    </row>
    <row r="9353" spans="1:4">
      <c r="A9353" s="7">
        <f ca="1">IFERROR(__xludf.DUMMYFUNCTION("""COMPUTED_VALUE"""),44774)</f>
        <v>44774</v>
      </c>
      <c r="B9353" s="8" t="str">
        <f ca="1">IFERROR(__xludf.DUMMYFUNCTION("""COMPUTED_VALUE"""),"-33.0351880,-70.7132780")</f>
        <v>-33.0351880,-70.7132780</v>
      </c>
      <c r="C9353" s="6" t="str">
        <f ca="1">IFERROR(__xludf.DUMMYFUNCTION("""COMPUTED_VALUE"""),"SN FRANCISCO N 22")</f>
        <v>SN FRANCISCO N 22</v>
      </c>
      <c r="D9353" s="6" t="str">
        <f ca="1">IFERROR(__xludf.DUMMYFUNCTION("""COMPUTED_VALUE"""),"COLINA")</f>
        <v>COLINA</v>
      </c>
    </row>
    <row r="9354" spans="1:4">
      <c r="A9354" s="7">
        <f ca="1">IFERROR(__xludf.DUMMYFUNCTION("""COMPUTED_VALUE"""),44774)</f>
        <v>44774</v>
      </c>
      <c r="B9354" s="6" t="str">
        <f ca="1">IFERROR(__xludf.DUMMYFUNCTION("""COMPUTED_VALUE"""),"-33.721056,-70.743220")</f>
        <v>-33.721056,-70.743220</v>
      </c>
      <c r="C9354" s="6" t="str">
        <f ca="1">IFERROR(__xludf.DUMMYFUNCTION("""COMPUTED_VALUE"""),"JOSE JOAQUIN PEREZ 764")</f>
        <v>JOSE JOAQUIN PEREZ 764</v>
      </c>
      <c r="D9354" s="6" t="str">
        <f ca="1">IFERROR(__xludf.DUMMYFUNCTION("""COMPUTED_VALUE"""),"PAINE")</f>
        <v>PAINE</v>
      </c>
    </row>
    <row r="9355" spans="1:4">
      <c r="A9355" s="7">
        <f ca="1">IFERROR(__xludf.DUMMYFUNCTION("""COMPUTED_VALUE"""),44774)</f>
        <v>44774</v>
      </c>
      <c r="B9355" s="6" t="str">
        <f ca="1">IFERROR(__xludf.DUMMYFUNCTION("""COMPUTED_VALUE"""),"-33.858514,-70.742065")</f>
        <v>-33.858514,-70.742065</v>
      </c>
      <c r="C9355" s="6" t="str">
        <f ca="1">IFERROR(__xludf.DUMMYFUNCTION("""COMPUTED_VALUE"""),"UNO NORTE 135")</f>
        <v>UNO NORTE 135</v>
      </c>
      <c r="D9355" s="6" t="str">
        <f ca="1">IFERROR(__xludf.DUMMYFUNCTION("""COMPUTED_VALUE"""),"PAINE")</f>
        <v>PAINE</v>
      </c>
    </row>
    <row r="9356" spans="1:4">
      <c r="A9356" s="7">
        <f ca="1">IFERROR(__xludf.DUMMYFUNCTION("""COMPUTED_VALUE"""),44775)</f>
        <v>44775</v>
      </c>
      <c r="B9356" s="8" t="str">
        <f ca="1">IFERROR(__xludf.DUMMYFUNCTION("""COMPUTED_VALUE"""),"33.6844229, -71.1041035")</f>
        <v>33.6844229, -71.1041035</v>
      </c>
      <c r="C9356" s="6" t="str">
        <f ca="1">IFERROR(__xludf.DUMMYFUNCTION("""COMPUTED_VALUE"""),"EL CRISTO CHINIGUE PARCELA 19")</f>
        <v>EL CRISTO CHINIGUE PARCELA 19</v>
      </c>
      <c r="D9356" s="6" t="str">
        <f ca="1">IFERROR(__xludf.DUMMYFUNCTION("""COMPUTED_VALUE"""),"EL MONTE")</f>
        <v>EL MONTE</v>
      </c>
    </row>
    <row r="9357" spans="1:4">
      <c r="A9357" s="7">
        <f ca="1">IFERROR(__xludf.DUMMYFUNCTION("""COMPUTED_VALUE"""),44775)</f>
        <v>44775</v>
      </c>
      <c r="B9357" s="8" t="str">
        <f ca="1">IFERROR(__xludf.DUMMYFUNCTION("""COMPUTED_VALUE"""),"-33.2953297, -70.8698921")</f>
        <v>-33.2953297, -70.8698921</v>
      </c>
      <c r="C9357" s="6" t="str">
        <f ca="1">IFERROR(__xludf.DUMMYFUNCTION("""COMPUTED_VALUE"""),"LAS MARAVILLAS ORIENTE 2407")</f>
        <v>LAS MARAVILLAS ORIENTE 2407</v>
      </c>
      <c r="D9357" s="6" t="str">
        <f ca="1">IFERROR(__xludf.DUMMYFUNCTION("""COMPUTED_VALUE"""),"LAMPA")</f>
        <v>LAMPA</v>
      </c>
    </row>
    <row r="9358" spans="1:4">
      <c r="A9358" s="7">
        <f ca="1">IFERROR(__xludf.DUMMYFUNCTION("""COMPUTED_VALUE"""),44775)</f>
        <v>44775</v>
      </c>
      <c r="B9358" s="8" t="str">
        <f ca="1">IFERROR(__xludf.DUMMYFUNCTION("""COMPUTED_VALUE"""),"-33.803474, -70.7278342")</f>
        <v>-33.803474, -70.7278342</v>
      </c>
      <c r="C9358" s="6" t="str">
        <f ca="1">IFERROR(__xludf.DUMMYFUNCTION("""COMPUTED_VALUE"""),"RIO TRANCURA 56")</f>
        <v>RIO TRANCURA 56</v>
      </c>
      <c r="D9358" s="6" t="str">
        <f ca="1">IFERROR(__xludf.DUMMYFUNCTION("""COMPUTED_VALUE"""),"PAINE")</f>
        <v>PAINE</v>
      </c>
    </row>
    <row r="9359" spans="1:4">
      <c r="A9359" s="7">
        <f ca="1">IFERROR(__xludf.DUMMYFUNCTION("""COMPUTED_VALUE"""),44775)</f>
        <v>44775</v>
      </c>
      <c r="B9359" s="8" t="str">
        <f ca="1">IFERROR(__xludf.DUMMYFUNCTION("""COMPUTED_VALUE"""),"-33.7328492, -70.9075357")</f>
        <v>-33.7328492, -70.9075357</v>
      </c>
      <c r="C9359" s="6" t="str">
        <f ca="1">IFERROR(__xludf.DUMMYFUNCTION("""COMPUTED_VALUE"""),"EL MANZANO 1095")</f>
        <v>EL MANZANO 1095</v>
      </c>
      <c r="D9359" s="6" t="str">
        <f ca="1">IFERROR(__xludf.DUMMYFUNCTION("""COMPUTED_VALUE"""),"ISLA DE MAIPO")</f>
        <v>ISLA DE MAIPO</v>
      </c>
    </row>
    <row r="9360" spans="1:4">
      <c r="A9360" s="7">
        <f ca="1">IFERROR(__xludf.DUMMYFUNCTION("""COMPUTED_VALUE"""),44775)</f>
        <v>44775</v>
      </c>
      <c r="B9360" s="8" t="str">
        <f ca="1">IFERROR(__xludf.DUMMYFUNCTION("""COMPUTED_VALUE"""),"-33.6742001, -70.938614")</f>
        <v>-33.6742001, -70.938614</v>
      </c>
      <c r="C9360" s="6" t="str">
        <f ca="1">IFERROR(__xludf.DUMMYFUNCTION("""COMPUTED_VALUE"""),"FERNANDO OCHAGAVIA 2203")</f>
        <v>FERNANDO OCHAGAVIA 2203</v>
      </c>
      <c r="D9360" s="6" t="str">
        <f ca="1">IFERROR(__xludf.DUMMYFUNCTION("""COMPUTED_VALUE"""),"TALAGANTE")</f>
        <v>TALAGANTE</v>
      </c>
    </row>
    <row r="9361" spans="1:4">
      <c r="A9361" s="7">
        <f ca="1">IFERROR(__xludf.DUMMYFUNCTION("""COMPUTED_VALUE"""),44775)</f>
        <v>44775</v>
      </c>
      <c r="B9361" s="8" t="str">
        <f ca="1">IFERROR(__xludf.DUMMYFUNCTION("""COMPUTED_VALUE"""),"-33.7243965, -70.7714146")</f>
        <v>-33.7243965, -70.7714146</v>
      </c>
      <c r="C9361" s="6" t="str">
        <f ca="1">IFERROR(__xludf.DUMMYFUNCTION("""COMPUTED_VALUE"""),"ALFREDO MANZO 533")</f>
        <v>ALFREDO MANZO 533</v>
      </c>
      <c r="D9361" s="6" t="str">
        <f ca="1">IFERROR(__xludf.DUMMYFUNCTION("""COMPUTED_VALUE"""),"BUIN")</f>
        <v>BUIN</v>
      </c>
    </row>
    <row r="9362" spans="1:4">
      <c r="A9362" s="7">
        <f ca="1">IFERROR(__xludf.DUMMYFUNCTION("""COMPUTED_VALUE"""),44775)</f>
        <v>44775</v>
      </c>
      <c r="B9362" s="8" t="str">
        <f ca="1">IFERROR(__xludf.DUMMYFUNCTION("""COMPUTED_VALUE"""),"-33.328995, -70.7524198")</f>
        <v>-33.328995, -70.7524198</v>
      </c>
      <c r="C9362" s="6" t="str">
        <f ca="1">IFERROR(__xludf.DUMMYFUNCTION("""COMPUTED_VALUE"""),"DEL ROCIO 3131")</f>
        <v>DEL ROCIO 3131</v>
      </c>
      <c r="D9362" s="6" t="str">
        <f ca="1">IFERROR(__xludf.DUMMYFUNCTION("""COMPUTED_VALUE"""),"LAMPA")</f>
        <v>LAMPA</v>
      </c>
    </row>
    <row r="9363" spans="1:4">
      <c r="A9363" s="7">
        <f ca="1">IFERROR(__xludf.DUMMYFUNCTION("""COMPUTED_VALUE"""),44775)</f>
        <v>44775</v>
      </c>
      <c r="B9363" s="6" t="str">
        <f ca="1">IFERROR(__xludf.DUMMYFUNCTION("""COMPUTED_VALUE"""),"-33.400000-76.56227")</f>
        <v>-33.400000-76.56227</v>
      </c>
      <c r="C9363" s="6" t="str">
        <f ca="1">IFERROR(__xludf.DUMMYFUNCTION("""COMPUTED_VALUE"""),"ESMERALDA 294")</f>
        <v>ESMERALDA 294</v>
      </c>
      <c r="D9363" s="6" t="str">
        <f ca="1">IFERROR(__xludf.DUMMYFUNCTION("""COMPUTED_VALUE"""),"TALAGANTE")</f>
        <v>TALAGANTE</v>
      </c>
    </row>
    <row r="9364" spans="1:4">
      <c r="A9364" s="7">
        <f ca="1">IFERROR(__xludf.DUMMYFUNCTION("""COMPUTED_VALUE"""),44775)</f>
        <v>44775</v>
      </c>
      <c r="B9364" s="6" t="str">
        <f ca="1">IFERROR(__xludf.DUMMYFUNCTION("""COMPUTED_VALUE"""),"-33.745685,-70.866193")</f>
        <v>-33.745685,-70.866193</v>
      </c>
      <c r="C9364" s="6" t="str">
        <f ca="1">IFERROR(__xludf.DUMMYFUNCTION("""COMPUTED_VALUE"""),"PJE SANTA JULIA 120")</f>
        <v>PJE SANTA JULIA 120</v>
      </c>
      <c r="D9364" s="6" t="str">
        <f ca="1">IFERROR(__xludf.DUMMYFUNCTION("""COMPUTED_VALUE"""),"ISLA DE MAIPO")</f>
        <v>ISLA DE MAIPO</v>
      </c>
    </row>
    <row r="9365" spans="1:4">
      <c r="A9365" s="7">
        <f ca="1">IFERROR(__xludf.DUMMYFUNCTION("""COMPUTED_VALUE"""),44775)</f>
        <v>44775</v>
      </c>
      <c r="B9365" s="6" t="str">
        <f ca="1">IFERROR(__xludf.DUMMYFUNCTION("""COMPUTED_VALUE"""),"-33.756205,-70.892688")</f>
        <v>-33.756205,-70.892688</v>
      </c>
      <c r="C9365" s="6" t="str">
        <f ca="1">IFERROR(__xludf.DUMMYFUNCTION("""COMPUTED_VALUE"""),"PRIMAVERA SUR 225")</f>
        <v>PRIMAVERA SUR 225</v>
      </c>
      <c r="D9365" s="6" t="str">
        <f ca="1">IFERROR(__xludf.DUMMYFUNCTION("""COMPUTED_VALUE"""),"ISLA DE MAIPO")</f>
        <v>ISLA DE MAIPO</v>
      </c>
    </row>
    <row r="9366" spans="1:4">
      <c r="A9366" s="7">
        <f ca="1">IFERROR(__xludf.DUMMYFUNCTION("""COMPUTED_VALUE"""),44775)</f>
        <v>44775</v>
      </c>
      <c r="B9366" s="8" t="str">
        <f ca="1">IFERROR(__xludf.DUMMYFUNCTION("""COMPUTED_VALUE"""),"-33.798110,-71.299639")</f>
        <v>-33.798110,-71.299639</v>
      </c>
      <c r="C9366" s="6" t="str">
        <f ca="1">IFERROR(__xludf.DUMMYFUNCTION("""COMPUTED_VALUE"""),"RUTA G60 KM 21 MANDINGA ")</f>
        <v xml:space="preserve">RUTA G60 KM 21 MANDINGA </v>
      </c>
      <c r="D9366" s="6" t="str">
        <f ca="1">IFERROR(__xludf.DUMMYFUNCTION("""COMPUTED_VALUE"""),"MELIPILLA")</f>
        <v>MELIPILLA</v>
      </c>
    </row>
    <row r="9367" spans="1:4">
      <c r="A9367" s="7">
        <f ca="1">IFERROR(__xludf.DUMMYFUNCTION("""COMPUTED_VALUE"""),44775)</f>
        <v>44775</v>
      </c>
      <c r="B9367" s="8" t="str">
        <f ca="1">IFERROR(__xludf.DUMMYFUNCTION("""COMPUTED_VALUE"""),"-33.788963,-71.271208")</f>
        <v>-33.788963,-71.271208</v>
      </c>
      <c r="C9367" s="6" t="str">
        <f ca="1">IFERROR(__xludf.DUMMYFUNCTION("""COMPUTED_VALUE"""),"RUTA G 60 PARCELA 274 LOTE 24")</f>
        <v>RUTA G 60 PARCELA 274 LOTE 24</v>
      </c>
      <c r="D9367" s="6" t="str">
        <f ca="1">IFERROR(__xludf.DUMMYFUNCTION("""COMPUTED_VALUE"""),"MELIPILLA")</f>
        <v>MELIPILLA</v>
      </c>
    </row>
    <row r="9368" spans="1:4">
      <c r="A9368" s="7">
        <f ca="1">IFERROR(__xludf.DUMMYFUNCTION("""COMPUTED_VALUE"""),44775)</f>
        <v>44775</v>
      </c>
      <c r="B9368" s="6" t="str">
        <f ca="1">IFERROR(__xludf.DUMMYFUNCTION("""COMPUTED_VALUE"""),"-33.812226,-70.737335")</f>
        <v>-33.812226,-70.737335</v>
      </c>
      <c r="C9368" s="6" t="str">
        <f ca="1">IFERROR(__xludf.DUMMYFUNCTION("""COMPUTED_VALUE"""),"LUIS CRUZ 504")</f>
        <v>LUIS CRUZ 504</v>
      </c>
      <c r="D9368" s="6" t="str">
        <f ca="1">IFERROR(__xludf.DUMMYFUNCTION("""COMPUTED_VALUE"""),"PAINE")</f>
        <v>PAINE</v>
      </c>
    </row>
    <row r="9369" spans="1:4">
      <c r="A9369" s="7">
        <f ca="1">IFERROR(__xludf.DUMMYFUNCTION("""COMPUTED_VALUE"""),44775)</f>
        <v>44775</v>
      </c>
      <c r="B9369" s="6" t="str">
        <f ca="1">IFERROR(__xludf.DUMMYFUNCTION("""COMPUTED_VALUE"""),"-33.806673,-70.733865")</f>
        <v>-33.806673,-70.733865</v>
      </c>
      <c r="C9369" s="6" t="str">
        <f ca="1">IFERROR(__xludf.DUMMYFUNCTION("""COMPUTED_VALUE"""),"BLANCA LEYTON PERALTA")</f>
        <v>BLANCA LEYTON PERALTA</v>
      </c>
      <c r="D9369" s="6" t="str">
        <f ca="1">IFERROR(__xludf.DUMMYFUNCTION("""COMPUTED_VALUE"""),"PAINE")</f>
        <v>PAINE</v>
      </c>
    </row>
    <row r="9370" spans="1:4">
      <c r="A9370" s="7">
        <f ca="1">IFERROR(__xludf.DUMMYFUNCTION("""COMPUTED_VALUE"""),44775)</f>
        <v>44775</v>
      </c>
      <c r="B9370" s="6" t="str">
        <f ca="1">IFERROR(__xludf.DUMMYFUNCTION("""COMPUTED_VALUE"""),"-33.858714,-70.741831")</f>
        <v>-33.858714,-70.741831</v>
      </c>
      <c r="C9370" s="6" t="str">
        <f ca="1">IFERROR(__xludf.DUMMYFUNCTION("""COMPUTED_VALUE"""),"UNO NORTE 135")</f>
        <v>UNO NORTE 135</v>
      </c>
      <c r="D9370" s="6" t="str">
        <f ca="1">IFERROR(__xludf.DUMMYFUNCTION("""COMPUTED_VALUE"""),"PAINE")</f>
        <v>PAINE</v>
      </c>
    </row>
    <row r="9371" spans="1:4">
      <c r="A9371" s="7">
        <f ca="1">IFERROR(__xludf.DUMMYFUNCTION("""COMPUTED_VALUE"""),44775)</f>
        <v>44775</v>
      </c>
      <c r="B9371" s="6" t="str">
        <f ca="1">IFERROR(__xludf.DUMMYFUNCTION("""COMPUTED_VALUE"""),"-33.858637,-70.741415")</f>
        <v>-33.858637,-70.741415</v>
      </c>
      <c r="C9371" s="6" t="str">
        <f ca="1">IFERROR(__xludf.DUMMYFUNCTION("""COMPUTED_VALUE"""),"UNO NORTE 131")</f>
        <v>UNO NORTE 131</v>
      </c>
      <c r="D9371" s="6" t="str">
        <f ca="1">IFERROR(__xludf.DUMMYFUNCTION("""COMPUTED_VALUE"""),"PAINE")</f>
        <v>PAINE</v>
      </c>
    </row>
    <row r="9372" spans="1:4">
      <c r="A9372" s="7">
        <f ca="1">IFERROR(__xludf.DUMMYFUNCTION("""COMPUTED_VALUE"""),44775)</f>
        <v>44775</v>
      </c>
      <c r="B9372" s="6" t="str">
        <f ca="1">IFERROR(__xludf.DUMMYFUNCTION("""COMPUTED_VALUE"""),"-33.856616,-70.737098")</f>
        <v>-33.856616,-70.737098</v>
      </c>
      <c r="C9372" s="6" t="str">
        <f ca="1">IFERROR(__xludf.DUMMYFUNCTION("""COMPUTED_VALUE"""),"AV ROMERO P/43")</f>
        <v>AV ROMERO P/43</v>
      </c>
      <c r="D9372" s="6" t="str">
        <f ca="1">IFERROR(__xludf.DUMMYFUNCTION("""COMPUTED_VALUE"""),"PAINE")</f>
        <v>PAINE</v>
      </c>
    </row>
    <row r="9373" spans="1:4">
      <c r="A9373" s="7">
        <f ca="1">IFERROR(__xludf.DUMMYFUNCTION("""COMPUTED_VALUE"""),44776)</f>
        <v>44776</v>
      </c>
      <c r="B9373" s="8" t="str">
        <f ca="1">IFERROR(__xludf.DUMMYFUNCTION("""COMPUTED_VALUE"""),"-33.6131103, -70.9005856")</f>
        <v>-33.6131103, -70.9005856</v>
      </c>
      <c r="C9373" s="6" t="str">
        <f ca="1">IFERROR(__xludf.DUMMYFUNCTION("""COMPUTED_VALUE"""),"PASAJE PEDRO VALDIVIA 3691")</f>
        <v>PASAJE PEDRO VALDIVIA 3691</v>
      </c>
      <c r="D9373" s="6" t="str">
        <f ca="1">IFERROR(__xludf.DUMMYFUNCTION("""COMPUTED_VALUE"""),"PEÑAFLOR")</f>
        <v>PEÑAFLOR</v>
      </c>
    </row>
    <row r="9374" spans="1:4">
      <c r="A9374" s="7">
        <f ca="1">IFERROR(__xludf.DUMMYFUNCTION("""COMPUTED_VALUE"""),44776)</f>
        <v>44776</v>
      </c>
      <c r="B9374" s="8" t="str">
        <f ca="1">IFERROR(__xludf.DUMMYFUNCTION("""COMPUTED_VALUE"""),"-33.6131103, -70.9005856")</f>
        <v>-33.6131103, -70.9005856</v>
      </c>
      <c r="C9374" s="6" t="str">
        <f ca="1">IFERROR(__xludf.DUMMYFUNCTION("""COMPUTED_VALUE"""),"PRESIDENTE FEDERICO ERRAZURIZ 610")</f>
        <v>PRESIDENTE FEDERICO ERRAZURIZ 610</v>
      </c>
      <c r="D9374" s="6" t="str">
        <f ca="1">IFERROR(__xludf.DUMMYFUNCTION("""COMPUTED_VALUE"""),"BUIN")</f>
        <v>BUIN</v>
      </c>
    </row>
    <row r="9375" spans="1:4">
      <c r="A9375" s="7">
        <f ca="1">IFERROR(__xludf.DUMMYFUNCTION("""COMPUTED_VALUE"""),44776)</f>
        <v>44776</v>
      </c>
      <c r="B9375" s="6" t="str">
        <f ca="1">IFERROR(__xludf.DUMMYFUNCTION("""COMPUTED_VALUE"""),"-33.61446-70.90343")</f>
        <v>-33.61446-70.90343</v>
      </c>
      <c r="C9375" s="6" t="str">
        <f ca="1">IFERROR(__xludf.DUMMYFUNCTION("""COMPUTED_VALUE"""),"PJE UNO 454")</f>
        <v>PJE UNO 454</v>
      </c>
      <c r="D9375" s="6" t="str">
        <f ca="1">IFERROR(__xludf.DUMMYFUNCTION("""COMPUTED_VALUE"""),"PEÑAFLOR")</f>
        <v>PEÑAFLOR</v>
      </c>
    </row>
    <row r="9376" spans="1:4">
      <c r="A9376" s="7">
        <f ca="1">IFERROR(__xludf.DUMMYFUNCTION("""COMPUTED_VALUE"""),44776)</f>
        <v>44776</v>
      </c>
      <c r="B9376" s="6" t="str">
        <f ca="1">IFERROR(__xludf.DUMMYFUNCTION("""COMPUTED_VALUE"""),"-33.58889-70.83671")</f>
        <v>-33.58889-70.83671</v>
      </c>
      <c r="C9376" s="6" t="str">
        <f ca="1">IFERROR(__xludf.DUMMYFUNCTION("""COMPUTED_VALUE"""),"CAMINO MELIPILLA S/N KM26")</f>
        <v>CAMINO MELIPILLA S/N KM26</v>
      </c>
      <c r="D9376" s="6" t="str">
        <f ca="1">IFERROR(__xludf.DUMMYFUNCTION("""COMPUTED_VALUE"""),"PEÑAFLOR")</f>
        <v>PEÑAFLOR</v>
      </c>
    </row>
    <row r="9377" spans="1:4">
      <c r="A9377" s="7">
        <f ca="1">IFERROR(__xludf.DUMMYFUNCTION("""COMPUTED_VALUE"""),44776)</f>
        <v>44776</v>
      </c>
      <c r="B9377" s="6" t="str">
        <f ca="1">IFERROR(__xludf.DUMMYFUNCTION("""COMPUTED_VALUE"""),"-33.688515-71.226406")</f>
        <v>-33.688515-71.226406</v>
      </c>
      <c r="C9377" s="6" t="str">
        <f ca="1">IFERROR(__xludf.DUMMYFUNCTION("""COMPUTED_VALUE"""),"LAS VIOLETAS 1272")</f>
        <v>LAS VIOLETAS 1272</v>
      </c>
      <c r="D9377" s="6" t="str">
        <f ca="1">IFERROR(__xludf.DUMMYFUNCTION("""COMPUTED_VALUE"""),"MELIPILLA")</f>
        <v>MELIPILLA</v>
      </c>
    </row>
    <row r="9378" spans="1:4">
      <c r="A9378" s="7">
        <f ca="1">IFERROR(__xludf.DUMMYFUNCTION("""COMPUTED_VALUE"""),44776)</f>
        <v>44776</v>
      </c>
      <c r="B9378" s="6" t="str">
        <f ca="1">IFERROR(__xludf.DUMMYFUNCTION("""COMPUTED_VALUE"""),"33.684078-71.207763")</f>
        <v>33.684078-71.207763</v>
      </c>
      <c r="C9378" s="6" t="str">
        <f ca="1">IFERROR(__xludf.DUMMYFUNCTION("""COMPUTED_VALUE"""),"UGALDE 70")</f>
        <v>UGALDE 70</v>
      </c>
      <c r="D9378" s="6" t="str">
        <f ca="1">IFERROR(__xludf.DUMMYFUNCTION("""COMPUTED_VALUE"""),"MELIPILLA")</f>
        <v>MELIPILLA</v>
      </c>
    </row>
    <row r="9379" spans="1:4">
      <c r="A9379" s="7">
        <f ca="1">IFERROR(__xludf.DUMMYFUNCTION("""COMPUTED_VALUE"""),44776)</f>
        <v>44776</v>
      </c>
      <c r="B9379" s="6" t="str">
        <f ca="1">IFERROR(__xludf.DUMMYFUNCTION("""COMPUTED_VALUE"""),"-33.393159-71.126245")</f>
        <v>-33.393159-71.126245</v>
      </c>
      <c r="C9379" s="6" t="str">
        <f ca="1">IFERROR(__xludf.DUMMYFUNCTION("""COMPUTED_VALUE"""),"JOSE FRANCISCO VERGARA 2183")</f>
        <v>JOSE FRANCISCO VERGARA 2183</v>
      </c>
      <c r="D9379" s="6" t="str">
        <f ca="1">IFERROR(__xludf.DUMMYFUNCTION("""COMPUTED_VALUE"""),"CURACAVI")</f>
        <v>CURACAVI</v>
      </c>
    </row>
    <row r="9380" spans="1:4">
      <c r="A9380" s="7">
        <f ca="1">IFERROR(__xludf.DUMMYFUNCTION("""COMPUTED_VALUE"""),44776)</f>
        <v>44776</v>
      </c>
      <c r="B9380" s="6" t="str">
        <f ca="1">IFERROR(__xludf.DUMMYFUNCTION("""COMPUTED_VALUE"""),"-33.417273-71.133352")</f>
        <v>-33.417273-71.133352</v>
      </c>
      <c r="C9380" s="6" t="str">
        <f ca="1">IFERROR(__xludf.DUMMYFUNCTION("""COMPUTED_VALUE"""),"CLAUDIA ARRIAGADA")</f>
        <v>CLAUDIA ARRIAGADA</v>
      </c>
      <c r="D9380" s="6" t="str">
        <f ca="1">IFERROR(__xludf.DUMMYFUNCTION("""COMPUTED_VALUE"""),"CURACAVI")</f>
        <v>CURACAVI</v>
      </c>
    </row>
    <row r="9381" spans="1:4">
      <c r="A9381" s="7">
        <f ca="1">IFERROR(__xludf.DUMMYFUNCTION("""COMPUTED_VALUE"""),44776)</f>
        <v>44776</v>
      </c>
      <c r="B9381" s="6" t="str">
        <f ca="1">IFERROR(__xludf.DUMMYFUNCTION("""COMPUTED_VALUE"""),"-33.391281-71.124822")</f>
        <v>-33.391281-71.124822</v>
      </c>
      <c r="C9381" s="6" t="str">
        <f ca="1">IFERROR(__xludf.DUMMYFUNCTION("""COMPUTED_VALUE"""),"LOS PATRIOTAS 2065")</f>
        <v>LOS PATRIOTAS 2065</v>
      </c>
      <c r="D9381" s="6" t="str">
        <f ca="1">IFERROR(__xludf.DUMMYFUNCTION("""COMPUTED_VALUE"""),"CURACAVI")</f>
        <v>CURACAVI</v>
      </c>
    </row>
    <row r="9382" spans="1:4">
      <c r="A9382" s="7">
        <f ca="1">IFERROR(__xludf.DUMMYFUNCTION("""COMPUTED_VALUE"""),44776)</f>
        <v>44776</v>
      </c>
      <c r="B9382" s="6" t="str">
        <f ca="1">IFERROR(__xludf.DUMMYFUNCTION("""COMPUTED_VALUE"""),"-33.733973,-70.904314")</f>
        <v>-33.733973,-70.904314</v>
      </c>
      <c r="C9382" s="6" t="str">
        <f ca="1">IFERROR(__xludf.DUMMYFUNCTION("""COMPUTED_VALUE"""),"GUILLERMO ALCANDE 1483- B")</f>
        <v>GUILLERMO ALCANDE 1483- B</v>
      </c>
      <c r="D9382" s="6" t="str">
        <f ca="1">IFERROR(__xludf.DUMMYFUNCTION("""COMPUTED_VALUE"""),"ISLA DE MAIPO")</f>
        <v>ISLA DE MAIPO</v>
      </c>
    </row>
    <row r="9383" spans="1:4">
      <c r="A9383" s="7">
        <f ca="1">IFERROR(__xludf.DUMMYFUNCTION("""COMPUTED_VALUE"""),44776)</f>
        <v>44776</v>
      </c>
      <c r="B9383" s="6" t="str">
        <f ca="1">IFERROR(__xludf.DUMMYFUNCTION("""COMPUTED_VALUE"""),"-33.766268,-70.726957")</f>
        <v>-33.766268,-70.726957</v>
      </c>
      <c r="C9383" s="6" t="str">
        <f ca="1">IFERROR(__xludf.DUMMYFUNCTION("""COMPUTED_VALUE"""),"LINDEROS S/N ")</f>
        <v xml:space="preserve">LINDEROS S/N </v>
      </c>
      <c r="D9383" s="6" t="str">
        <f ca="1">IFERROR(__xludf.DUMMYFUNCTION("""COMPUTED_VALUE"""),"BUIN")</f>
        <v>BUIN</v>
      </c>
    </row>
    <row r="9384" spans="1:4">
      <c r="A9384" s="7">
        <f ca="1">IFERROR(__xludf.DUMMYFUNCTION("""COMPUTED_VALUE"""),44776)</f>
        <v>44776</v>
      </c>
      <c r="B9384" s="6" t="str">
        <f ca="1">IFERROR(__xludf.DUMMYFUNCTION("""COMPUTED_VALUE"""),"-33.705216,-70.677937")</f>
        <v>-33.705216,-70.677937</v>
      </c>
      <c r="C9384" s="6" t="str">
        <f ca="1">IFERROR(__xludf.DUMMYFUNCTION("""COMPUTED_VALUE"""),"CO PADRE HURTADO 3500 LAS ORQUIDEAS")</f>
        <v>CO PADRE HURTADO 3500 LAS ORQUIDEAS</v>
      </c>
      <c r="D9384" s="6" t="str">
        <f ca="1">IFERROR(__xludf.DUMMYFUNCTION("""COMPUTED_VALUE"""),"BUIN")</f>
        <v>BUIN</v>
      </c>
    </row>
    <row r="9385" spans="1:4">
      <c r="A9385" s="7">
        <f ca="1">IFERROR(__xludf.DUMMYFUNCTION("""COMPUTED_VALUE"""),44776)</f>
        <v>44776</v>
      </c>
      <c r="B9385" s="8" t="str">
        <f ca="1">IFERROR(__xludf.DUMMYFUNCTION("""COMPUTED_VALUE"""),"-33.914897,-70.7550830")</f>
        <v>-33.914897,-70.7550830</v>
      </c>
      <c r="C9385" s="6" t="str">
        <f ca="1">IFERROR(__xludf.DUMMYFUNCTION("""COMPUTED_VALUE"""),"LA ENSENADA 3")</f>
        <v>LA ENSENADA 3</v>
      </c>
      <c r="D9385" s="6" t="str">
        <f ca="1">IFERROR(__xludf.DUMMYFUNCTION("""COMPUTED_VALUE"""),"PAINE")</f>
        <v>PAINE</v>
      </c>
    </row>
    <row r="9386" spans="1:4">
      <c r="A9386" s="7">
        <f ca="1">IFERROR(__xludf.DUMMYFUNCTION("""COMPUTED_VALUE"""),44776)</f>
        <v>44776</v>
      </c>
      <c r="B9386" s="8" t="str">
        <f ca="1">IFERROR(__xludf.DUMMYFUNCTION("""COMPUTED_VALUE"""),"-33.914897,-70.7550831")</f>
        <v>-33.914897,-70.7550831</v>
      </c>
      <c r="C9386" s="6" t="str">
        <f ca="1">IFERROR(__xludf.DUMMYFUNCTION("""COMPUTED_VALUE"""),"LA ENSENADA 3")</f>
        <v>LA ENSENADA 3</v>
      </c>
      <c r="D9386" s="6" t="str">
        <f ca="1">IFERROR(__xludf.DUMMYFUNCTION("""COMPUTED_VALUE"""),"PAINE")</f>
        <v>PAINE</v>
      </c>
    </row>
    <row r="9387" spans="1:4">
      <c r="A9387" s="7">
        <f ca="1">IFERROR(__xludf.DUMMYFUNCTION("""COMPUTED_VALUE"""),44776)</f>
        <v>44776</v>
      </c>
      <c r="B9387" s="8" t="str">
        <f ca="1">IFERROR(__xludf.DUMMYFUNCTION("""COMPUTED_VALUE"""),"-33.689644,-70.877716")</f>
        <v>-33.689644,-70.877716</v>
      </c>
      <c r="C9387" s="6" t="str">
        <f ca="1">IFERROR(__xludf.DUMMYFUNCTION("""COMPUTED_VALUE"""),"LOS PERROS 280")</f>
        <v>LOS PERROS 280</v>
      </c>
      <c r="D9387" s="6" t="str">
        <f ca="1">IFERROR(__xludf.DUMMYFUNCTION("""COMPUTED_VALUE"""),"TALAGANTE")</f>
        <v>TALAGANTE</v>
      </c>
    </row>
    <row r="9388" spans="1:4">
      <c r="A9388" s="7">
        <f ca="1">IFERROR(__xludf.DUMMYFUNCTION("""COMPUTED_VALUE"""),44776)</f>
        <v>44776</v>
      </c>
      <c r="B9388" s="6" t="str">
        <f ca="1">IFERROR(__xludf.DUMMYFUNCTION("""COMPUTED_VALUE"""),"-33.743682,-70.740298")</f>
        <v>-33.743682,-70.740298</v>
      </c>
      <c r="C9388" s="6" t="str">
        <f ca="1">IFERROR(__xludf.DUMMYFUNCTION("""COMPUTED_VALUE"""),"VILLASECA 230")</f>
        <v>VILLASECA 230</v>
      </c>
      <c r="D9388" s="6" t="str">
        <f ca="1">IFERROR(__xludf.DUMMYFUNCTION("""COMPUTED_VALUE"""),"BUIN")</f>
        <v>BUIN</v>
      </c>
    </row>
    <row r="9389" spans="1:4">
      <c r="A9389" s="7">
        <f ca="1">IFERROR(__xludf.DUMMYFUNCTION("""COMPUTED_VALUE"""),44776)</f>
        <v>44776</v>
      </c>
      <c r="B9389" s="6" t="str">
        <f ca="1">IFERROR(__xludf.DUMMYFUNCTION("""COMPUTED_VALUE"""),"-33.608659,-70.898676")</f>
        <v>-33.608659,-70.898676</v>
      </c>
      <c r="C9389" s="6" t="str">
        <f ca="1">IFERROR(__xludf.DUMMYFUNCTION("""COMPUTED_VALUE"""),"VEINTIUNO DE MAYO 4152 C12")</f>
        <v>VEINTIUNO DE MAYO 4152 C12</v>
      </c>
      <c r="D9389" s="6" t="str">
        <f ca="1">IFERROR(__xludf.DUMMYFUNCTION("""COMPUTED_VALUE"""),"PEÑAFLOR")</f>
        <v>PEÑAFLOR</v>
      </c>
    </row>
    <row r="9390" spans="1:4">
      <c r="A9390" s="7">
        <f ca="1">IFERROR(__xludf.DUMMYFUNCTION("""COMPUTED_VALUE"""),44776)</f>
        <v>44776</v>
      </c>
      <c r="B9390" s="6" t="str">
        <f ca="1">IFERROR(__xludf.DUMMYFUNCTION("""COMPUTED_VALUE"""),"-33.857707,-70.711831")</f>
        <v>-33.857707,-70.711831</v>
      </c>
      <c r="C9390" s="6" t="str">
        <f ca="1">IFERROR(__xludf.DUMMYFUNCTION("""COMPUTED_VALUE"""),"AV ROMERO P/43")</f>
        <v>AV ROMERO P/43</v>
      </c>
      <c r="D9390" s="6" t="str">
        <f ca="1">IFERROR(__xludf.DUMMYFUNCTION("""COMPUTED_VALUE"""),"PAINE")</f>
        <v>PAINE</v>
      </c>
    </row>
    <row r="9391" spans="1:4">
      <c r="A9391" s="7">
        <f ca="1">IFERROR(__xludf.DUMMYFUNCTION("""COMPUTED_VALUE"""),44776)</f>
        <v>44776</v>
      </c>
      <c r="B9391" s="6" t="str">
        <f ca="1">IFERROR(__xludf.DUMMYFUNCTION("""COMPUTED_VALUE"""),"-33.820645,-70.736243")</f>
        <v>-33.820645,-70.736243</v>
      </c>
      <c r="C9391" s="6" t="str">
        <f ca="1">IFERROR(__xludf.DUMMYFUNCTION("""COMPUTED_VALUE"""),"LOS HEROES 1556")</f>
        <v>LOS HEROES 1556</v>
      </c>
      <c r="D9391" s="6" t="str">
        <f ca="1">IFERROR(__xludf.DUMMYFUNCTION("""COMPUTED_VALUE"""),"PAINE")</f>
        <v>PAINE</v>
      </c>
    </row>
    <row r="9392" spans="1:4">
      <c r="A9392" s="7">
        <f ca="1">IFERROR(__xludf.DUMMYFUNCTION("""COMPUTED_VALUE"""),44776)</f>
        <v>44776</v>
      </c>
      <c r="B9392" s="6" t="str">
        <f ca="1">IFERROR(__xludf.DUMMYFUNCTION("""COMPUTED_VALUE"""),"-33.868388,-70.747070")</f>
        <v>-33.868388,-70.747070</v>
      </c>
      <c r="C9392" s="6" t="str">
        <f ca="1">IFERROR(__xludf.DUMMYFUNCTION("""COMPUTED_VALUE"""),"DIEGO PORTALES 51")</f>
        <v>DIEGO PORTALES 51</v>
      </c>
      <c r="D9392" s="6" t="str">
        <f ca="1">IFERROR(__xludf.DUMMYFUNCTION("""COMPUTED_VALUE"""),"PAINE")</f>
        <v>PAINE</v>
      </c>
    </row>
    <row r="9393" spans="1:4">
      <c r="A9393" s="7">
        <f ca="1">IFERROR(__xludf.DUMMYFUNCTION("""COMPUTED_VALUE"""),44777)</f>
        <v>44777</v>
      </c>
      <c r="B9393" s="8" t="str">
        <f ca="1">IFERROR(__xludf.DUMMYFUNCTION("""COMPUTED_VALUE"""),"-33.7146636, -70.7406387")</f>
        <v>-33.7146636, -70.7406387</v>
      </c>
      <c r="C9393" s="6" t="str">
        <f ca="1">IFERROR(__xludf.DUMMYFUNCTION("""COMPUTED_VALUE"""),"RAUL ORTEGA 0148")</f>
        <v>RAUL ORTEGA 0148</v>
      </c>
      <c r="D9393" s="6" t="str">
        <f ca="1">IFERROR(__xludf.DUMMYFUNCTION("""COMPUTED_VALUE"""),"BUIN")</f>
        <v>BUIN</v>
      </c>
    </row>
    <row r="9394" spans="1:4">
      <c r="A9394" s="7">
        <f ca="1">IFERROR(__xludf.DUMMYFUNCTION("""COMPUTED_VALUE"""),44777)</f>
        <v>44777</v>
      </c>
      <c r="B9394" s="8" t="str">
        <f ca="1">IFERROR(__xludf.DUMMYFUNCTION("""COMPUTED_VALUE"""),"-33.8688141, -70.8689335")</f>
        <v>-33.8688141, -70.8689335</v>
      </c>
      <c r="C9394" s="6" t="str">
        <f ca="1">IFERROR(__xludf.DUMMYFUNCTION("""COMPUTED_VALUE"""),"MIGUEL LETELIER 3")</f>
        <v>MIGUEL LETELIER 3</v>
      </c>
      <c r="D9394" s="6" t="str">
        <f ca="1">IFERROR(__xludf.DUMMYFUNCTION("""COMPUTED_VALUE"""),"PAINE")</f>
        <v>PAINE</v>
      </c>
    </row>
    <row r="9395" spans="1:4">
      <c r="A9395" s="7">
        <f ca="1">IFERROR(__xludf.DUMMYFUNCTION("""COMPUTED_VALUE"""),44777)</f>
        <v>44777</v>
      </c>
      <c r="B9395" s="8" t="str">
        <f ca="1">IFERROR(__xludf.DUMMYFUNCTION("""COMPUTED_VALUE"""),"-33.7544348, -70.9113741")</f>
        <v>-33.7544348, -70.9113741</v>
      </c>
      <c r="C9395" s="6" t="str">
        <f ca="1">IFERROR(__xludf.DUMMYFUNCTION("""COMPUTED_VALUE"""),"SAN PEDRO 1409")</f>
        <v>SAN PEDRO 1409</v>
      </c>
      <c r="D9395" s="6" t="str">
        <f ca="1">IFERROR(__xludf.DUMMYFUNCTION("""COMPUTED_VALUE"""),"ISLA DE MAIPO")</f>
        <v>ISLA DE MAIPO</v>
      </c>
    </row>
    <row r="9396" spans="1:4">
      <c r="A9396" s="7">
        <f ca="1">IFERROR(__xludf.DUMMYFUNCTION("""COMPUTED_VALUE"""),44777)</f>
        <v>44777</v>
      </c>
      <c r="B9396" s="8" t="str">
        <f ca="1">IFERROR(__xludf.DUMMYFUNCTION("""COMPUTED_VALUE"""),"-33.664776, -71.0390711")</f>
        <v>-33.664776, -71.0390711</v>
      </c>
      <c r="C9396" s="6" t="str">
        <f ca="1">IFERROR(__xludf.DUMMYFUNCTION("""COMPUTED_VALUE"""),"PAICO S/N")</f>
        <v>PAICO S/N</v>
      </c>
      <c r="D9396" s="6" t="str">
        <f ca="1">IFERROR(__xludf.DUMMYFUNCTION("""COMPUTED_VALUE"""),"EL MONTE")</f>
        <v>EL MONTE</v>
      </c>
    </row>
    <row r="9397" spans="1:4">
      <c r="A9397" s="7">
        <f ca="1">IFERROR(__xludf.DUMMYFUNCTION("""COMPUTED_VALUE"""),44777)</f>
        <v>44777</v>
      </c>
      <c r="B9397" s="8" t="str">
        <f ca="1">IFERROR(__xludf.DUMMYFUNCTION("""COMPUTED_VALUE"""),"-33.6882434, -71.007933")</f>
        <v>-33.6882434, -71.007933</v>
      </c>
      <c r="C9397" s="6" t="str">
        <f ca="1">IFERROR(__xludf.DUMMYFUNCTION("""COMPUTED_VALUE"""),"SANTA ISABEL 470")</f>
        <v>SANTA ISABEL 470</v>
      </c>
      <c r="D9397" s="6" t="str">
        <f ca="1">IFERROR(__xludf.DUMMYFUNCTION("""COMPUTED_VALUE"""),"EL MONTE")</f>
        <v>EL MONTE</v>
      </c>
    </row>
    <row r="9398" spans="1:4">
      <c r="A9398" s="7">
        <f ca="1">IFERROR(__xludf.DUMMYFUNCTION("""COMPUTED_VALUE"""),44777)</f>
        <v>44777</v>
      </c>
      <c r="B9398" s="6" t="str">
        <f ca="1">IFERROR(__xludf.DUMMYFUNCTION("""COMPUTED_VALUE"""),"-33.612479-70.863049")</f>
        <v>-33.612479-70.863049</v>
      </c>
      <c r="C9398" s="6" t="str">
        <f ca="1">IFERROR(__xludf.DUMMYFUNCTION("""COMPUTED_VALUE"""),"PJE MARIO SAFATLE ASSEN 486")</f>
        <v>PJE MARIO SAFATLE ASSEN 486</v>
      </c>
      <c r="D9398" s="6" t="str">
        <f ca="1">IFERROR(__xludf.DUMMYFUNCTION("""COMPUTED_VALUE"""),"PEÑAFLOR")</f>
        <v>PEÑAFLOR</v>
      </c>
    </row>
    <row r="9399" spans="1:4">
      <c r="A9399" s="7">
        <f ca="1">IFERROR(__xludf.DUMMYFUNCTION("""COMPUTED_VALUE"""),44777)</f>
        <v>44777</v>
      </c>
      <c r="B9399" s="6" t="str">
        <f ca="1">IFERROR(__xludf.DUMMYFUNCTION("""COMPUTED_VALUE"""),"-33.39357-71.12476")</f>
        <v>-33.39357-71.12476</v>
      </c>
      <c r="C9399" s="6" t="str">
        <f ca="1">IFERROR(__xludf.DUMMYFUNCTION("""COMPUTED_VALUE"""),"CAMILO HENRIQUEZ 1038")</f>
        <v>CAMILO HENRIQUEZ 1038</v>
      </c>
      <c r="D9399" s="6" t="str">
        <f ca="1">IFERROR(__xludf.DUMMYFUNCTION("""COMPUTED_VALUE"""),"CURACAVI")</f>
        <v>CURACAVI</v>
      </c>
    </row>
    <row r="9400" spans="1:4">
      <c r="A9400" s="7">
        <f ca="1">IFERROR(__xludf.DUMMYFUNCTION("""COMPUTED_VALUE"""),44777)</f>
        <v>44777</v>
      </c>
      <c r="B9400" s="6" t="str">
        <f ca="1">IFERROR(__xludf.DUMMYFUNCTION("""COMPUTED_VALUE"""),"-33.41685-71.13727")</f>
        <v>-33.41685-71.13727</v>
      </c>
      <c r="C9400" s="6" t="str">
        <f ca="1">IFERROR(__xludf.DUMMYFUNCTION("""COMPUTED_VALUE"""),"LO AGUILA S/N")</f>
        <v>LO AGUILA S/N</v>
      </c>
      <c r="D9400" s="6" t="str">
        <f ca="1">IFERROR(__xludf.DUMMYFUNCTION("""COMPUTED_VALUE"""),"CURACAVI")</f>
        <v>CURACAVI</v>
      </c>
    </row>
    <row r="9401" spans="1:4">
      <c r="A9401" s="7">
        <f ca="1">IFERROR(__xludf.DUMMYFUNCTION("""COMPUTED_VALUE"""),44777)</f>
        <v>44777</v>
      </c>
      <c r="B9401" s="6" t="str">
        <f ca="1">IFERROR(__xludf.DUMMYFUNCTION("""COMPUTED_VALUE"""),"-33.747430,-70.556380")</f>
        <v>-33.747430,-70.556380</v>
      </c>
      <c r="C9401" s="6" t="str">
        <f ca="1">IFERROR(__xludf.DUMMYFUNCTION("""COMPUTED_VALUE"""),"LA ARAUCARIA 822")</f>
        <v>LA ARAUCARIA 822</v>
      </c>
      <c r="D9401" s="6" t="str">
        <f ca="1">IFERROR(__xludf.DUMMYFUNCTION("""COMPUTED_VALUE"""),"PIRQUE")</f>
        <v>PIRQUE</v>
      </c>
    </row>
    <row r="9402" spans="1:4">
      <c r="A9402" s="7">
        <f ca="1">IFERROR(__xludf.DUMMYFUNCTION("""COMPUTED_VALUE"""),44777)</f>
        <v>44777</v>
      </c>
      <c r="B9402" s="6" t="str">
        <f ca="1">IFERROR(__xludf.DUMMYFUNCTION("""COMPUTED_VALUE"""),"-33.611437,-70.486539")</f>
        <v>-33.611437,-70.486539</v>
      </c>
      <c r="C9402" s="6" t="str">
        <f ca="1">IFERROR(__xludf.DUMMYFUNCTION("""COMPUTED_VALUE"""),"SAN JUAN DE PIRQUE S/N LOTE 5 HIJUELA 1")</f>
        <v>SAN JUAN DE PIRQUE S/N LOTE 5 HIJUELA 1</v>
      </c>
      <c r="D9402" s="6" t="str">
        <f ca="1">IFERROR(__xludf.DUMMYFUNCTION("""COMPUTED_VALUE"""),"PIRQUE")</f>
        <v>PIRQUE</v>
      </c>
    </row>
    <row r="9403" spans="1:4">
      <c r="A9403" s="7">
        <f ca="1">IFERROR(__xludf.DUMMYFUNCTION("""COMPUTED_VALUE"""),44777)</f>
        <v>44777</v>
      </c>
      <c r="B9403" s="8" t="str">
        <f ca="1">IFERROR(__xludf.DUMMYFUNCTION("""COMPUTED_VALUE"""),"-33,603320,-70.7983040")</f>
        <v>-33,603320,-70.7983040</v>
      </c>
      <c r="C9403" s="6" t="str">
        <f ca="1">IFERROR(__xludf.DUMMYFUNCTION("""COMPUTED_VALUE"""),"SAN IGNACIO 6 ")</f>
        <v xml:space="preserve">SAN IGNACIO 6 </v>
      </c>
      <c r="D9403" s="6" t="str">
        <f ca="1">IFERROR(__xludf.DUMMYFUNCTION("""COMPUTED_VALUE"""),"CALERA DE TANGO")</f>
        <v>CALERA DE TANGO</v>
      </c>
    </row>
    <row r="9404" spans="1:4">
      <c r="A9404" s="7">
        <f ca="1">IFERROR(__xludf.DUMMYFUNCTION("""COMPUTED_VALUE"""),44777)</f>
        <v>44777</v>
      </c>
      <c r="B9404" s="8" t="str">
        <f ca="1">IFERROR(__xludf.DUMMYFUNCTION("""COMPUTED_VALUE"""),"-33.6271200,-70.7758630")</f>
        <v>-33.6271200,-70.7758630</v>
      </c>
      <c r="C9404" s="6" t="str">
        <f ca="1">IFERROR(__xludf.DUMMYFUNCTION("""COMPUTED_VALUE"""),"EL CARMEN 5-5")</f>
        <v>EL CARMEN 5-5</v>
      </c>
      <c r="D9404" s="6" t="str">
        <f ca="1">IFERROR(__xludf.DUMMYFUNCTION("""COMPUTED_VALUE"""),"CALERA DE TANGO")</f>
        <v>CALERA DE TANGO</v>
      </c>
    </row>
    <row r="9405" spans="1:4">
      <c r="A9405" s="7">
        <f ca="1">IFERROR(__xludf.DUMMYFUNCTION("""COMPUTED_VALUE"""),44777)</f>
        <v>44777</v>
      </c>
      <c r="B9405" s="8" t="str">
        <f ca="1">IFERROR(__xludf.DUMMYFUNCTION("""COMPUTED_VALUE"""),"-33.586712,-71.231650")</f>
        <v>-33.586712,-71.231650</v>
      </c>
      <c r="C9405" s="6" t="str">
        <f ca="1">IFERROR(__xludf.DUMMYFUNCTION("""COMPUTED_VALUE"""),"SANTA FILOMENA SITIO 8")</f>
        <v>SANTA FILOMENA SITIO 8</v>
      </c>
      <c r="D9405" s="6" t="str">
        <f ca="1">IFERROR(__xludf.DUMMYFUNCTION("""COMPUTED_VALUE"""),"MELIPILLA")</f>
        <v>MELIPILLA</v>
      </c>
    </row>
    <row r="9406" spans="1:4">
      <c r="A9406" s="7">
        <f ca="1">IFERROR(__xludf.DUMMYFUNCTION("""COMPUTED_VALUE"""),44777)</f>
        <v>44777</v>
      </c>
      <c r="B9406" s="8" t="str">
        <f ca="1">IFERROR(__xludf.DUMMYFUNCTION("""COMPUTED_VALUE"""),"-33.800287,-71.305955")</f>
        <v>-33.800287,-71.305955</v>
      </c>
      <c r="C9406" s="6" t="str">
        <f ca="1">IFERROR(__xludf.DUMMYFUNCTION("""COMPUTED_VALUE"""),"POPETA PARCELA 36 SECTO 4 ")</f>
        <v xml:space="preserve">POPETA PARCELA 36 SECTO 4 </v>
      </c>
      <c r="D9406" s="6" t="str">
        <f ca="1">IFERROR(__xludf.DUMMYFUNCTION("""COMPUTED_VALUE"""),"MELIPILLA")</f>
        <v>MELIPILLA</v>
      </c>
    </row>
    <row r="9407" spans="1:4">
      <c r="A9407" s="7">
        <f ca="1">IFERROR(__xludf.DUMMYFUNCTION("""COMPUTED_VALUE"""),44777)</f>
        <v>44777</v>
      </c>
      <c r="B9407" s="6" t="str">
        <f ca="1">IFERROR(__xludf.DUMMYFUNCTION("""COMPUTED_VALUE"""),"-33.907564,-70.742061")</f>
        <v>-33.907564,-70.742061</v>
      </c>
      <c r="C9407" s="6" t="str">
        <f ca="1">IFERROR(__xludf.DUMMYFUNCTION("""COMPUTED_VALUE"""),"CO.AGUILA SUR PARC. 44")</f>
        <v>CO.AGUILA SUR PARC. 44</v>
      </c>
      <c r="D9407" s="6" t="str">
        <f ca="1">IFERROR(__xludf.DUMMYFUNCTION("""COMPUTED_VALUE"""),"PAINE")</f>
        <v>PAINE</v>
      </c>
    </row>
    <row r="9408" spans="1:4">
      <c r="A9408" s="7">
        <f ca="1">IFERROR(__xludf.DUMMYFUNCTION("""COMPUTED_VALUE"""),44777)</f>
        <v>44777</v>
      </c>
      <c r="B9408" s="6" t="str">
        <f ca="1">IFERROR(__xludf.DUMMYFUNCTION("""COMPUTED_VALUE"""),"-33.809422,-70.733497")</f>
        <v>-33.809422,-70.733497</v>
      </c>
      <c r="C9408" s="6" t="str">
        <f ca="1">IFERROR(__xludf.DUMMYFUNCTION("""COMPUTED_VALUE"""),"AV. LOS HEROES 561")</f>
        <v>AV. LOS HEROES 561</v>
      </c>
      <c r="D9408" s="6" t="str">
        <f ca="1">IFERROR(__xludf.DUMMYFUNCTION("""COMPUTED_VALUE"""),"PAINE")</f>
        <v>PAINE</v>
      </c>
    </row>
    <row r="9409" spans="1:4">
      <c r="A9409" s="7">
        <f ca="1">IFERROR(__xludf.DUMMYFUNCTION("""COMPUTED_VALUE"""),44778)</f>
        <v>44778</v>
      </c>
      <c r="B9409" s="6" t="str">
        <f ca="1">IFERROR(__xludf.DUMMYFUNCTION("""COMPUTED_VALUE"""),"-33.852029-7.922869")</f>
        <v>-33.852029-7.922869</v>
      </c>
      <c r="C9409" s="6" t="str">
        <f ca="1">IFERROR(__xludf.DUMMYFUNCTION("""COMPUTED_VALUE"""),"PENINSULA EL LEON 21")</f>
        <v>PENINSULA EL LEON 21</v>
      </c>
      <c r="D9409" s="6" t="str">
        <f ca="1">IFERROR(__xludf.DUMMYFUNCTION("""COMPUTED_VALUE"""),"PAINE")</f>
        <v>PAINE</v>
      </c>
    </row>
    <row r="9410" spans="1:4">
      <c r="A9410" s="7">
        <f ca="1">IFERROR(__xludf.DUMMYFUNCTION("""COMPUTED_VALUE"""),44778)</f>
        <v>44778</v>
      </c>
      <c r="B9410" s="6" t="str">
        <f ca="1">IFERROR(__xludf.DUMMYFUNCTION("""COMPUTED_VALUE"""),"-33.68658-70.33681")</f>
        <v>-33.68658-70.33681</v>
      </c>
      <c r="C9410" s="6" t="str">
        <f ca="1">IFERROR(__xludf.DUMMYFUNCTION("""COMPUTED_VALUE"""),"CAMINO AL VOLCAN 26306")</f>
        <v>CAMINO AL VOLCAN 26306</v>
      </c>
      <c r="D9410" s="6" t="str">
        <f ca="1">IFERROR(__xludf.DUMMYFUNCTION("""COMPUTED_VALUE"""),"SAN JOSE DE MAIPO")</f>
        <v>SAN JOSE DE MAIPO</v>
      </c>
    </row>
    <row r="9411" spans="1:4">
      <c r="A9411" s="7">
        <f ca="1">IFERROR(__xludf.DUMMYFUNCTION("""COMPUTED_VALUE"""),44778)</f>
        <v>44778</v>
      </c>
      <c r="B9411" s="6" t="str">
        <f ca="1">IFERROR(__xludf.DUMMYFUNCTION("""COMPUTED_VALUE"""),"-33.686297-70.33718")</f>
        <v>-33.686297-70.33718</v>
      </c>
      <c r="C9411" s="6" t="str">
        <f ca="1">IFERROR(__xludf.DUMMYFUNCTION("""COMPUTED_VALUE"""),"CAMINO AL VOLCAN 26296")</f>
        <v>CAMINO AL VOLCAN 26296</v>
      </c>
      <c r="D9411" s="6" t="str">
        <f ca="1">IFERROR(__xludf.DUMMYFUNCTION("""COMPUTED_VALUE"""),"SAN JOSE DE MAIPO")</f>
        <v>SAN JOSE DE MAIPO</v>
      </c>
    </row>
    <row r="9412" spans="1:4">
      <c r="A9412" s="7">
        <f ca="1">IFERROR(__xludf.DUMMYFUNCTION("""COMPUTED_VALUE"""),44778)</f>
        <v>44778</v>
      </c>
      <c r="B9412" s="6" t="str">
        <f ca="1">IFERROR(__xludf.DUMMYFUNCTION("""COMPUTED_VALUE"""),"-34.033223-71.017275")</f>
        <v>-34.033223-71.017275</v>
      </c>
      <c r="C9412" s="6" t="str">
        <f ca="1">IFERROR(__xludf.DUMMYFUNCTION("""COMPUTED_VALUE"""),"EL ASIENTO PP 610804")</f>
        <v>EL ASIENTO PP 610804</v>
      </c>
      <c r="D9412" s="6" t="str">
        <f ca="1">IFERROR(__xludf.DUMMYFUNCTION("""COMPUTED_VALUE"""),"ALHUÉ")</f>
        <v>ALHUÉ</v>
      </c>
    </row>
    <row r="9413" spans="1:4">
      <c r="A9413" s="7">
        <f ca="1">IFERROR(__xludf.DUMMYFUNCTION("""COMPUTED_VALUE"""),44778)</f>
        <v>44778</v>
      </c>
      <c r="B9413" s="6" t="str">
        <f ca="1">IFERROR(__xludf.DUMMYFUNCTION("""COMPUTED_VALUE"""),"-34.033223-71.017275")</f>
        <v>-34.033223-71.017275</v>
      </c>
      <c r="C9413" s="6" t="str">
        <f ca="1">IFERROR(__xludf.DUMMYFUNCTION("""COMPUTED_VALUE"""),"EL ASIENTO PP 610804")</f>
        <v>EL ASIENTO PP 610804</v>
      </c>
      <c r="D9413" s="6" t="str">
        <f ca="1">IFERROR(__xludf.DUMMYFUNCTION("""COMPUTED_VALUE"""),"ALHUÉ")</f>
        <v>ALHUÉ</v>
      </c>
    </row>
    <row r="9414" spans="1:4">
      <c r="A9414" s="7">
        <f ca="1">IFERROR(__xludf.DUMMYFUNCTION("""COMPUTED_VALUE"""),44778)</f>
        <v>44778</v>
      </c>
      <c r="B9414" s="6" t="str">
        <f ca="1">IFERROR(__xludf.DUMMYFUNCTION("""COMPUTED_VALUE"""),"-34.033212-71.067923")</f>
        <v>-34.033212-71.067923</v>
      </c>
      <c r="C9414" s="6" t="str">
        <f ca="1">IFERROR(__xludf.DUMMYFUNCTION("""COMPUTED_VALUE"""),"EL ASIENTO S/N")</f>
        <v>EL ASIENTO S/N</v>
      </c>
      <c r="D9414" s="6" t="str">
        <f ca="1">IFERROR(__xludf.DUMMYFUNCTION("""COMPUTED_VALUE"""),"ALHUÉ")</f>
        <v>ALHUÉ</v>
      </c>
    </row>
    <row r="9415" spans="1:4">
      <c r="A9415" s="7">
        <f ca="1">IFERROR(__xludf.DUMMYFUNCTION("""COMPUTED_VALUE"""),44778)</f>
        <v>44778</v>
      </c>
      <c r="B9415" s="6" t="str">
        <f ca="1">IFERROR(__xludf.DUMMYFUNCTION("""COMPUTED_VALUE"""),"-34.030950-71.0076977")</f>
        <v>-34.030950-71.0076977</v>
      </c>
      <c r="C9415" s="6" t="str">
        <f ca="1">IFERROR(__xludf.DUMMYFUNCTION("""COMPUTED_VALUE"""),"EL ASIENTO 39")</f>
        <v>EL ASIENTO 39</v>
      </c>
      <c r="D9415" s="6" t="str">
        <f ca="1">IFERROR(__xludf.DUMMYFUNCTION("""COMPUTED_VALUE"""),"ALHUÉ")</f>
        <v>ALHUÉ</v>
      </c>
    </row>
    <row r="9416" spans="1:4">
      <c r="A9416" s="7">
        <f ca="1">IFERROR(__xludf.DUMMYFUNCTION("""COMPUTED_VALUE"""),44778)</f>
        <v>44778</v>
      </c>
      <c r="B9416" s="6" t="str">
        <f ca="1">IFERROR(__xludf.DUMMYFUNCTION("""COMPUTED_VALUE"""),"-33.732472,-71.033270")</f>
        <v>-33.732472,-71.033270</v>
      </c>
      <c r="C9416" s="6" t="str">
        <f ca="1">IFERROR(__xludf.DUMMYFUNCTION("""COMPUTED_VALUE"""),"CALLE EL CLAVEL S/N")</f>
        <v>CALLE EL CLAVEL S/N</v>
      </c>
      <c r="D9416" s="6" t="str">
        <f ca="1">IFERROR(__xludf.DUMMYFUNCTION("""COMPUTED_VALUE"""),"ISLA DE MAIPO")</f>
        <v>ISLA DE MAIPO</v>
      </c>
    </row>
    <row r="9417" spans="1:4">
      <c r="A9417" s="7">
        <f ca="1">IFERROR(__xludf.DUMMYFUNCTION("""COMPUTED_VALUE"""),44778)</f>
        <v>44778</v>
      </c>
      <c r="B9417" s="8" t="str">
        <f ca="1">IFERROR(__xludf.DUMMYFUNCTION("""COMPUTED_VALUE"""),"-33.7986940,-70.68321120")</f>
        <v>-33.7986940,-70.68321120</v>
      </c>
      <c r="C9417" s="6" t="str">
        <f ca="1">IFERROR(__xludf.DUMMYFUNCTION("""COMPUTED_VALUE"""),"24 DE ABRIL N 93")</f>
        <v>24 DE ABRIL N 93</v>
      </c>
      <c r="D9417" s="6" t="str">
        <f ca="1">IFERROR(__xludf.DUMMYFUNCTION("""COMPUTED_VALUE"""),"PAINE")</f>
        <v>PAINE</v>
      </c>
    </row>
    <row r="9418" spans="1:4">
      <c r="A9418" s="7">
        <f ca="1">IFERROR(__xludf.DUMMYFUNCTION("""COMPUTED_VALUE"""),44778)</f>
        <v>44778</v>
      </c>
      <c r="B9418" s="8" t="str">
        <f ca="1">IFERROR(__xludf.DUMMYFUNCTION("""COMPUTED_VALUE"""),"-33.835091,-70.641190")</f>
        <v>-33.835091,-70.641190</v>
      </c>
      <c r="C9418" s="6" t="str">
        <f ca="1">IFERROR(__xludf.DUMMYFUNCTION("""COMPUTED_VALUE"""),"SANTA TERESA SITIO 1")</f>
        <v>SANTA TERESA SITIO 1</v>
      </c>
      <c r="D9418" s="6" t="str">
        <f ca="1">IFERROR(__xludf.DUMMYFUNCTION("""COMPUTED_VALUE"""),"PAINE")</f>
        <v>PAINE</v>
      </c>
    </row>
    <row r="9419" spans="1:4">
      <c r="A9419" s="7">
        <f ca="1">IFERROR(__xludf.DUMMYFUNCTION("""COMPUTED_VALUE"""),44778)</f>
        <v>44778</v>
      </c>
      <c r="B9419" s="6" t="str">
        <f ca="1">IFERROR(__xludf.DUMMYFUNCTION("""COMPUTED_VALUE"""),"-33.560491,-70.794344")</f>
        <v>-33.560491,-70.794344</v>
      </c>
      <c r="C9419" s="6" t="str">
        <f ca="1">IFERROR(__xludf.DUMMYFUNCTION("""COMPUTED_VALUE"""),"DIECIOCHO DE SEPTIEMBRE 123")</f>
        <v>DIECIOCHO DE SEPTIEMBRE 123</v>
      </c>
      <c r="D9419" s="6" t="str">
        <f ca="1">IFERROR(__xludf.DUMMYFUNCTION("""COMPUTED_VALUE"""),"PADRE HURTADO")</f>
        <v>PADRE HURTADO</v>
      </c>
    </row>
    <row r="9420" spans="1:4">
      <c r="A9420" s="7">
        <f ca="1">IFERROR(__xludf.DUMMYFUNCTION("""COMPUTED_VALUE"""),44778)</f>
        <v>44778</v>
      </c>
      <c r="B9420" s="6" t="str">
        <f ca="1">IFERROR(__xludf.DUMMYFUNCTION("""COMPUTED_VALUE"""),"-33.854203,-70.776107")</f>
        <v>-33.854203,-70.776107</v>
      </c>
      <c r="C9420" s="6" t="str">
        <f ca="1">IFERROR(__xludf.DUMMYFUNCTION("""COMPUTED_VALUE"""),"DARIO PAVEZ 8")</f>
        <v>DARIO PAVEZ 8</v>
      </c>
      <c r="D9420" s="6" t="str">
        <f ca="1">IFERROR(__xludf.DUMMYFUNCTION("""COMPUTED_VALUE"""),"PAINE")</f>
        <v>PAINE</v>
      </c>
    </row>
    <row r="9421" spans="1:4">
      <c r="A9421" s="7">
        <f ca="1">IFERROR(__xludf.DUMMYFUNCTION("""COMPUTED_VALUE"""),44778)</f>
        <v>44778</v>
      </c>
      <c r="B9421" s="6" t="str">
        <f ca="1">IFERROR(__xludf.DUMMYFUNCTION("""COMPUTED_VALUE"""),"-33.647059,-70.609377")</f>
        <v>-33.647059,-70.609377</v>
      </c>
      <c r="C9421" s="6" t="str">
        <f ca="1">IFERROR(__xludf.DUMMYFUNCTION("""COMPUTED_VALUE"""),"EL CRUCERAL 1")</f>
        <v>EL CRUCERAL 1</v>
      </c>
      <c r="D9421" s="6" t="str">
        <f ca="1">IFERROR(__xludf.DUMMYFUNCTION("""COMPUTED_VALUE"""),"PIRQUE")</f>
        <v>PIRQUE</v>
      </c>
    </row>
    <row r="9422" spans="1:4">
      <c r="A9422" s="7">
        <f ca="1">IFERROR(__xludf.DUMMYFUNCTION("""COMPUTED_VALUE"""),44778)</f>
        <v>44778</v>
      </c>
      <c r="B9422" s="6" t="str">
        <f ca="1">IFERROR(__xludf.DUMMYFUNCTION("""COMPUTED_VALUE"""),"-33.723868,-70.556819")</f>
        <v>-33.723868,-70.556819</v>
      </c>
      <c r="C9422" s="6" t="str">
        <f ca="1">IFERROR(__xludf.DUMMYFUNCTION("""COMPUTED_VALUE"""),"LOS CORRALEROS 31")</f>
        <v>LOS CORRALEROS 31</v>
      </c>
      <c r="D9422" s="6" t="str">
        <f ca="1">IFERROR(__xludf.DUMMYFUNCTION("""COMPUTED_VALUE"""),"PIRQUE")</f>
        <v>PIRQUE</v>
      </c>
    </row>
    <row r="9423" spans="1:4">
      <c r="A9423" s="7">
        <f ca="1">IFERROR(__xludf.DUMMYFUNCTION("""COMPUTED_VALUE"""),44781)</f>
        <v>44781</v>
      </c>
      <c r="B9423" s="6" t="str">
        <f ca="1">IFERROR(__xludf.DUMMYFUNCTION("""COMPUTED_VALUE"""),"-33.70848-70.33261")</f>
        <v>-33.70848-70.33261</v>
      </c>
      <c r="C9423" s="6" t="str">
        <f ca="1">IFERROR(__xludf.DUMMYFUNCTION("""COMPUTED_VALUE"""),"CAMINO AL VOLCAN 28896")</f>
        <v>CAMINO AL VOLCAN 28896</v>
      </c>
      <c r="D9423" s="6" t="str">
        <f ca="1">IFERROR(__xludf.DUMMYFUNCTION("""COMPUTED_VALUE"""),"SAN JOSE DE MAIPO")</f>
        <v>SAN JOSE DE MAIPO</v>
      </c>
    </row>
    <row r="9424" spans="1:4">
      <c r="A9424" s="7">
        <f ca="1">IFERROR(__xludf.DUMMYFUNCTION("""COMPUTED_VALUE"""),44781)</f>
        <v>44781</v>
      </c>
      <c r="B9424" s="6" t="str">
        <f ca="1">IFERROR(__xludf.DUMMYFUNCTION("""COMPUTED_VALUE"""),"-33.765392,-70.732956")</f>
        <v>-33.765392,-70.732956</v>
      </c>
      <c r="C9424" s="6" t="str">
        <f ca="1">IFERROR(__xludf.DUMMYFUNCTION("""COMPUTED_VALUE"""),"MONASTERIO DE LA ESPERANZA 93")</f>
        <v>MONASTERIO DE LA ESPERANZA 93</v>
      </c>
      <c r="D9424" s="6" t="str">
        <f ca="1">IFERROR(__xludf.DUMMYFUNCTION("""COMPUTED_VALUE"""),"BUIN")</f>
        <v>BUIN</v>
      </c>
    </row>
    <row r="9425" spans="1:4">
      <c r="A9425" s="7">
        <f ca="1">IFERROR(__xludf.DUMMYFUNCTION("""COMPUTED_VALUE"""),44781)</f>
        <v>44781</v>
      </c>
      <c r="B9425" s="6" t="str">
        <f ca="1">IFERROR(__xludf.DUMMYFUNCTION("""COMPUTED_VALUE"""),"-33.545431,-70.831413")</f>
        <v>-33.545431,-70.831413</v>
      </c>
      <c r="C9425" s="6" t="str">
        <f ca="1">IFERROR(__xludf.DUMMYFUNCTION("""COMPUTED_VALUE"""),"EL TREBAL S/N CASA 25")</f>
        <v>EL TREBAL S/N CASA 25</v>
      </c>
      <c r="D9425" s="6" t="str">
        <f ca="1">IFERROR(__xludf.DUMMYFUNCTION("""COMPUTED_VALUE"""),"PADRE HURTADO")</f>
        <v>PADRE HURTADO</v>
      </c>
    </row>
    <row r="9426" spans="1:4">
      <c r="A9426" s="7">
        <f ca="1">IFERROR(__xludf.DUMMYFUNCTION("""COMPUTED_VALUE"""),44781)</f>
        <v>44781</v>
      </c>
      <c r="B9426" s="8" t="str">
        <f ca="1">IFERROR(__xludf.DUMMYFUNCTION("""COMPUTED_VALUE"""),"-34.026475,-71.104886")</f>
        <v>-34.026475,-71.104886</v>
      </c>
      <c r="C9426" s="6" t="str">
        <f ca="1">IFERROR(__xludf.DUMMYFUNCTION("""COMPUTED_VALUE"""),"POBLACION INES DE SUAREZ  LOS ALMENDROS 357")</f>
        <v>POBLACION INES DE SUAREZ  LOS ALMENDROS 357</v>
      </c>
      <c r="D9426" s="6" t="str">
        <f ca="1">IFERROR(__xludf.DUMMYFUNCTION("""COMPUTED_VALUE"""),"ALHUÉ")</f>
        <v>ALHUÉ</v>
      </c>
    </row>
    <row r="9427" spans="1:4">
      <c r="A9427" s="7">
        <f ca="1">IFERROR(__xludf.DUMMYFUNCTION("""COMPUTED_VALUE"""),44781)</f>
        <v>44781</v>
      </c>
      <c r="B9427" s="8" t="str">
        <f ca="1">IFERROR(__xludf.DUMMYFUNCTION("""COMPUTED_VALUE"""),"-34.026955,-71.092747")</f>
        <v>-34.026955,-71.092747</v>
      </c>
      <c r="C9427" s="6" t="str">
        <f ca="1">IFERROR(__xludf.DUMMYFUNCTION("""COMPUTED_VALUE"""),"POBLACION IGNACIO CP ")</f>
        <v xml:space="preserve">POBLACION IGNACIO CP </v>
      </c>
      <c r="D9427" s="6" t="str">
        <f ca="1">IFERROR(__xludf.DUMMYFUNCTION("""COMPUTED_VALUE"""),"ALHUÉ")</f>
        <v>ALHUÉ</v>
      </c>
    </row>
    <row r="9428" spans="1:4">
      <c r="A9428" s="7">
        <f ca="1">IFERROR(__xludf.DUMMYFUNCTION("""COMPUTED_VALUE"""),44781)</f>
        <v>44781</v>
      </c>
      <c r="B9428" s="8" t="str">
        <f ca="1">IFERROR(__xludf.DUMMYFUNCTION("""COMPUTED_VALUE"""),"-33,63120,-70.81971")</f>
        <v>-33,63120,-70.81971</v>
      </c>
      <c r="C9428" s="6" t="str">
        <f ca="1">IFERROR(__xludf.DUMMYFUNCTION("""COMPUTED_VALUE"""),"BRISAS DEL SUR F08")</f>
        <v>BRISAS DEL SUR F08</v>
      </c>
      <c r="D9428" s="6" t="str">
        <f ca="1">IFERROR(__xludf.DUMMYFUNCTION("""COMPUTED_VALUE"""),"CALERA DE TANGO")</f>
        <v>CALERA DE TANGO</v>
      </c>
    </row>
    <row r="9429" spans="1:4">
      <c r="A9429" s="7">
        <f ca="1">IFERROR(__xludf.DUMMYFUNCTION("""COMPUTED_VALUE"""),44781)</f>
        <v>44781</v>
      </c>
      <c r="B9429" s="6" t="str">
        <f ca="1">IFERROR(__xludf.DUMMYFUNCTION("""COMPUTED_VALUE"""),"-33.907450,-70.742148")</f>
        <v>-33.907450,-70.742148</v>
      </c>
      <c r="C9429" s="6" t="str">
        <f ca="1">IFERROR(__xludf.DUMMYFUNCTION("""COMPUTED_VALUE"""),"AGUILA SUR PARC 44 LT7")</f>
        <v>AGUILA SUR PARC 44 LT7</v>
      </c>
      <c r="D9429" s="6" t="str">
        <f ca="1">IFERROR(__xludf.DUMMYFUNCTION("""COMPUTED_VALUE"""),"PAINE")</f>
        <v>PAINE</v>
      </c>
    </row>
    <row r="9430" spans="1:4">
      <c r="A9430" s="7">
        <f ca="1">IFERROR(__xludf.DUMMYFUNCTION("""COMPUTED_VALUE"""),44781)</f>
        <v>44781</v>
      </c>
      <c r="B9430" s="6" t="str">
        <f ca="1">IFERROR(__xludf.DUMMYFUNCTION("""COMPUTED_VALUE"""),"-33.574460,-70.811164")</f>
        <v>-33.574460,-70.811164</v>
      </c>
      <c r="C9430" s="6" t="str">
        <f ca="1">IFERROR(__xludf.DUMMYFUNCTION("""COMPUTED_VALUE"""),"RIO LOA 2412")</f>
        <v>RIO LOA 2412</v>
      </c>
      <c r="D9430" s="6" t="str">
        <f ca="1">IFERROR(__xludf.DUMMYFUNCTION("""COMPUTED_VALUE"""),"PADRE HURTADO")</f>
        <v>PADRE HURTADO</v>
      </c>
    </row>
    <row r="9431" spans="1:4">
      <c r="A9431" s="7">
        <f ca="1">IFERROR(__xludf.DUMMYFUNCTION("""COMPUTED_VALUE"""),44782)</f>
        <v>44782</v>
      </c>
      <c r="B9431" s="6" t="str">
        <f ca="1">IFERROR(__xludf.DUMMYFUNCTION("""COMPUTED_VALUE"""),"-34.030976-71.007208")</f>
        <v>-34.030976-71.007208</v>
      </c>
      <c r="C9431" s="6" t="str">
        <f ca="1">IFERROR(__xludf.DUMMYFUNCTION("""COMPUTED_VALUE"""),"EL ASIENTO S/N")</f>
        <v>EL ASIENTO S/N</v>
      </c>
      <c r="D9431" s="6" t="str">
        <f ca="1">IFERROR(__xludf.DUMMYFUNCTION("""COMPUTED_VALUE"""),"ALHUÉ")</f>
        <v>ALHUÉ</v>
      </c>
    </row>
    <row r="9432" spans="1:4">
      <c r="A9432" s="7">
        <f ca="1">IFERROR(__xludf.DUMMYFUNCTION("""COMPUTED_VALUE"""),44782)</f>
        <v>44782</v>
      </c>
      <c r="B9432" s="6" t="str">
        <f ca="1">IFERROR(__xludf.DUMMYFUNCTION("""COMPUTED_VALUE"""),"-34.031285-71.007665")</f>
        <v>-34.031285-71.007665</v>
      </c>
      <c r="C9432" s="6" t="str">
        <f ca="1">IFERROR(__xludf.DUMMYFUNCTION("""COMPUTED_VALUE"""),"EL AISENTO 40")</f>
        <v>EL AISENTO 40</v>
      </c>
      <c r="D9432" s="6" t="str">
        <f ca="1">IFERROR(__xludf.DUMMYFUNCTION("""COMPUTED_VALUE"""),"ALHUÉ")</f>
        <v>ALHUÉ</v>
      </c>
    </row>
    <row r="9433" spans="1:4">
      <c r="A9433" s="7">
        <f ca="1">IFERROR(__xludf.DUMMYFUNCTION("""COMPUTED_VALUE"""),44782)</f>
        <v>44782</v>
      </c>
      <c r="B9433" s="6" t="str">
        <f ca="1">IFERROR(__xludf.DUMMYFUNCTION("""COMPUTED_VALUE"""),"-34.030720-71.010616")</f>
        <v>-34.030720-71.010616</v>
      </c>
      <c r="C9433" s="6" t="str">
        <f ca="1">IFERROR(__xludf.DUMMYFUNCTION("""COMPUTED_VALUE"""),"EL ASIENTO S/N")</f>
        <v>EL ASIENTO S/N</v>
      </c>
      <c r="D9433" s="6" t="str">
        <f ca="1">IFERROR(__xludf.DUMMYFUNCTION("""COMPUTED_VALUE"""),"ALHUÉ")</f>
        <v>ALHUÉ</v>
      </c>
    </row>
    <row r="9434" spans="1:4">
      <c r="A9434" s="7">
        <f ca="1">IFERROR(__xludf.DUMMYFUNCTION("""COMPUTED_VALUE"""),44782)</f>
        <v>44782</v>
      </c>
      <c r="B9434" s="6" t="str">
        <f ca="1">IFERROR(__xludf.DUMMYFUNCTION("""COMPUTED_VALUE"""),"-34.036610-71.097579")</f>
        <v>-34.036610-71.097579</v>
      </c>
      <c r="C9434" s="6" t="str">
        <f ca="1">IFERROR(__xludf.DUMMYFUNCTION("""COMPUTED_VALUE"""),"SECTOR EL TRANQUE S/N")</f>
        <v>SECTOR EL TRANQUE S/N</v>
      </c>
      <c r="D9434" s="6" t="str">
        <f ca="1">IFERROR(__xludf.DUMMYFUNCTION("""COMPUTED_VALUE"""),"ALHUÉ")</f>
        <v>ALHUÉ</v>
      </c>
    </row>
    <row r="9435" spans="1:4">
      <c r="A9435" s="7">
        <f ca="1">IFERROR(__xludf.DUMMYFUNCTION("""COMPUTED_VALUE"""),44782)</f>
        <v>44782</v>
      </c>
      <c r="B9435" s="6" t="str">
        <f ca="1">IFERROR(__xludf.DUMMYFUNCTION("""COMPUTED_VALUE"""),"-33.402578-71.132524")</f>
        <v>-33.402578-71.132524</v>
      </c>
      <c r="C9435" s="6" t="str">
        <f ca="1">IFERROR(__xludf.DUMMYFUNCTION("""COMPUTED_VALUE"""),"WILLIAMS REBOLLEDO 1708")</f>
        <v>WILLIAMS REBOLLEDO 1708</v>
      </c>
      <c r="D9435" s="6" t="str">
        <f ca="1">IFERROR(__xludf.DUMMYFUNCTION("""COMPUTED_VALUE"""),"CURACAVI")</f>
        <v>CURACAVI</v>
      </c>
    </row>
    <row r="9436" spans="1:4">
      <c r="A9436" s="7">
        <f ca="1">IFERROR(__xludf.DUMMYFUNCTION("""COMPUTED_VALUE"""),44782)</f>
        <v>44782</v>
      </c>
      <c r="B9436" s="6" t="str">
        <f ca="1">IFERROR(__xludf.DUMMYFUNCTION("""COMPUTED_VALUE"""),"-33.393326-71.119574")</f>
        <v>-33.393326-71.119574</v>
      </c>
      <c r="C9436" s="6" t="str">
        <f ca="1">IFERROR(__xludf.DUMMYFUNCTION("""COMPUTED_VALUE"""),"JEHOVA JIREH 1196")</f>
        <v>JEHOVA JIREH 1196</v>
      </c>
      <c r="D9436" s="6" t="str">
        <f ca="1">IFERROR(__xludf.DUMMYFUNCTION("""COMPUTED_VALUE"""),"CURACAVI")</f>
        <v>CURACAVI</v>
      </c>
    </row>
    <row r="9437" spans="1:4">
      <c r="A9437" s="7">
        <f ca="1">IFERROR(__xludf.DUMMYFUNCTION("""COMPUTED_VALUE"""),44782)</f>
        <v>44782</v>
      </c>
      <c r="B9437" s="6" t="str">
        <f ca="1">IFERROR(__xludf.DUMMYFUNCTION("""COMPUTED_VALUE"""),"-33.414390-71.155298")</f>
        <v>-33.414390-71.155298</v>
      </c>
      <c r="C9437" s="6" t="str">
        <f ca="1">IFERROR(__xludf.DUMMYFUNCTION("""COMPUTED_VALUE"""),"CONSEJERO JOSE RAMON ARMAZAN 232 A")</f>
        <v>CONSEJERO JOSE RAMON ARMAZAN 232 A</v>
      </c>
      <c r="D9437" s="6" t="str">
        <f ca="1">IFERROR(__xludf.DUMMYFUNCTION("""COMPUTED_VALUE"""),"CURACAVI")</f>
        <v>CURACAVI</v>
      </c>
    </row>
    <row r="9438" spans="1:4">
      <c r="A9438" s="7">
        <f ca="1">IFERROR(__xludf.DUMMYFUNCTION("""COMPUTED_VALUE"""),44782)</f>
        <v>44782</v>
      </c>
      <c r="B9438" s="8" t="str">
        <f ca="1">IFERROR(__xludf.DUMMYFUNCTION("""COMPUTED_VALUE"""),"-33.749536,-71.192113")</f>
        <v>-33.749536,-71.192113</v>
      </c>
      <c r="C9438" s="6" t="str">
        <f ca="1">IFERROR(__xludf.DUMMYFUNCTION("""COMPUTED_VALUE"""),"PABELLON 12")</f>
        <v>PABELLON 12</v>
      </c>
      <c r="D9438" s="6" t="str">
        <f ca="1">IFERROR(__xludf.DUMMYFUNCTION("""COMPUTED_VALUE"""),"MELIPILLA")</f>
        <v>MELIPILLA</v>
      </c>
    </row>
    <row r="9439" spans="1:4">
      <c r="A9439" s="7">
        <f ca="1">IFERROR(__xludf.DUMMYFUNCTION("""COMPUTED_VALUE"""),44782)</f>
        <v>44782</v>
      </c>
      <c r="B9439" s="6" t="str">
        <f ca="1">IFERROR(__xludf.DUMMYFUNCTION("""COMPUTED_VALUE"""),"-33.746249,-70.867453")</f>
        <v>-33.746249,-70.867453</v>
      </c>
      <c r="C9439" s="6" t="str">
        <f ca="1">IFERROR(__xludf.DUMMYFUNCTION("""COMPUTED_VALUE"""),"HUGO CORVALAN 155")</f>
        <v>HUGO CORVALAN 155</v>
      </c>
      <c r="D9439" s="6" t="str">
        <f ca="1">IFERROR(__xludf.DUMMYFUNCTION("""COMPUTED_VALUE"""),"ISLA DE MAIPO")</f>
        <v>ISLA DE MAIPO</v>
      </c>
    </row>
    <row r="9440" spans="1:4">
      <c r="A9440" s="7">
        <f ca="1">IFERROR(__xludf.DUMMYFUNCTION("""COMPUTED_VALUE"""),44782)</f>
        <v>44782</v>
      </c>
      <c r="B9440" s="8" t="str">
        <f ca="1">IFERROR(__xludf.DUMMYFUNCTION("""COMPUTED_VALUE"""),"-33.206364,-70.679993")</f>
        <v>-33.206364,-70.679993</v>
      </c>
      <c r="C9440" s="6" t="str">
        <f ca="1">IFERROR(__xludf.DUMMYFUNCTION("""COMPUTED_VALUE"""),"CAUPOLICAN 039")</f>
        <v>CAUPOLICAN 039</v>
      </c>
      <c r="D9440" s="6" t="str">
        <f ca="1">IFERROR(__xludf.DUMMYFUNCTION("""COMPUTED_VALUE"""),"COLINA")</f>
        <v>COLINA</v>
      </c>
    </row>
    <row r="9441" spans="1:4">
      <c r="A9441" s="7">
        <f ca="1">IFERROR(__xludf.DUMMYFUNCTION("""COMPUTED_VALUE"""),44782)</f>
        <v>44782</v>
      </c>
      <c r="B9441" s="6" t="str">
        <f ca="1">IFERROR(__xludf.DUMMYFUNCTION("""COMPUTED_VALUE"""),"-33.7463633,-71.2321073")</f>
        <v>-33.7463633,-71.2321073</v>
      </c>
      <c r="C9441" s="6" t="str">
        <f ca="1">IFERROR(__xludf.DUMMYFUNCTION("""COMPUTED_VALUE"""),"CHOCALAN 10")</f>
        <v>CHOCALAN 10</v>
      </c>
      <c r="D9441" s="6" t="str">
        <f ca="1">IFERROR(__xludf.DUMMYFUNCTION("""COMPUTED_VALUE"""),"MELIPILLA")</f>
        <v>MELIPILLA</v>
      </c>
    </row>
    <row r="9442" spans="1:4">
      <c r="A9442" s="7">
        <f ca="1">IFERROR(__xludf.DUMMYFUNCTION("""COMPUTED_VALUE"""),44782)</f>
        <v>44782</v>
      </c>
      <c r="B9442" s="6" t="str">
        <f ca="1">IFERROR(__xludf.DUMMYFUNCTION("""COMPUTED_VALUE"""),"-33.7474458,-71.2312256")</f>
        <v>-33.7474458,-71.2312256</v>
      </c>
      <c r="C9442" s="6" t="str">
        <f ca="1">IFERROR(__xludf.DUMMYFUNCTION("""COMPUTED_VALUE"""),"P10 SITIO X")</f>
        <v>P10 SITIO X</v>
      </c>
      <c r="D9442" s="6" t="str">
        <f ca="1">IFERROR(__xludf.DUMMYFUNCTION("""COMPUTED_VALUE"""),"MELIPILLA")</f>
        <v>MELIPILLA</v>
      </c>
    </row>
    <row r="9443" spans="1:4">
      <c r="A9443" s="7">
        <f ca="1">IFERROR(__xludf.DUMMYFUNCTION("""COMPUTED_VALUE"""),44782)</f>
        <v>44782</v>
      </c>
      <c r="B9443" s="6" t="str">
        <f ca="1">IFERROR(__xludf.DUMMYFUNCTION("""COMPUTED_VALUE"""),"-33.718300,-70.551046")</f>
        <v>-33.718300,-70.551046</v>
      </c>
      <c r="C9443" s="6" t="str">
        <f ca="1">IFERROR(__xludf.DUMMYFUNCTION("""COMPUTED_VALUE"""),"EL CHALACO 65")</f>
        <v>EL CHALACO 65</v>
      </c>
      <c r="D9443" s="6" t="str">
        <f ca="1">IFERROR(__xludf.DUMMYFUNCTION("""COMPUTED_VALUE"""),"PIRQUE")</f>
        <v>PIRQUE</v>
      </c>
    </row>
    <row r="9444" spans="1:4">
      <c r="A9444" s="7">
        <f ca="1">IFERROR(__xludf.DUMMYFUNCTION("""COMPUTED_VALUE"""),44782)</f>
        <v>44782</v>
      </c>
      <c r="B9444" s="6" t="str">
        <f ca="1">IFERROR(__xludf.DUMMYFUNCTION("""COMPUTED_VALUE"""),"-33.723868,-70.556819")</f>
        <v>-33.723868,-70.556819</v>
      </c>
      <c r="C9444" s="6" t="str">
        <f ca="1">IFERROR(__xludf.DUMMYFUNCTION("""COMPUTED_VALUE"""),"LOS CORRALEROS 31")</f>
        <v>LOS CORRALEROS 31</v>
      </c>
      <c r="D9444" s="6" t="str">
        <f ca="1">IFERROR(__xludf.DUMMYFUNCTION("""COMPUTED_VALUE"""),"PIRQUE")</f>
        <v>PIRQUE</v>
      </c>
    </row>
    <row r="9445" spans="1:4">
      <c r="A9445" s="7">
        <f ca="1">IFERROR(__xludf.DUMMYFUNCTION("""COMPUTED_VALUE"""),44783)</f>
        <v>44783</v>
      </c>
      <c r="B9445" s="6" t="str">
        <f ca="1">IFERROR(__xludf.DUMMYFUNCTION("""COMPUTED_VALUE"""),"-33.804333-70.732111")</f>
        <v>-33.804333-70.732111</v>
      </c>
      <c r="C9445" s="6" t="str">
        <f ca="1">IFERROR(__xludf.DUMMYFUNCTION("""COMPUTED_VALUE"""),"LOS ESPINOS 513")</f>
        <v>LOS ESPINOS 513</v>
      </c>
      <c r="D9445" s="6" t="str">
        <f ca="1">IFERROR(__xludf.DUMMYFUNCTION("""COMPUTED_VALUE"""),"PAINE")</f>
        <v>PAINE</v>
      </c>
    </row>
    <row r="9446" spans="1:4">
      <c r="A9446" s="7">
        <f ca="1">IFERROR(__xludf.DUMMYFUNCTION("""COMPUTED_VALUE"""),44783)</f>
        <v>44783</v>
      </c>
      <c r="B9446" s="6" t="str">
        <f ca="1">IFERROR(__xludf.DUMMYFUNCTION("""COMPUTED_VALUE"""),"-33.804644-70.733080")</f>
        <v>-33.804644-70.733080</v>
      </c>
      <c r="C9446" s="6" t="str">
        <f ca="1">IFERROR(__xludf.DUMMYFUNCTION("""COMPUTED_VALUE"""),"PJE LOS ESPINOS 512")</f>
        <v>PJE LOS ESPINOS 512</v>
      </c>
      <c r="D9446" s="6" t="str">
        <f ca="1">IFERROR(__xludf.DUMMYFUNCTION("""COMPUTED_VALUE"""),"PAINE")</f>
        <v>PAINE</v>
      </c>
    </row>
    <row r="9447" spans="1:4">
      <c r="A9447" s="7">
        <f ca="1">IFERROR(__xludf.DUMMYFUNCTION("""COMPUTED_VALUE"""),44783)</f>
        <v>44783</v>
      </c>
      <c r="B9447" s="6" t="str">
        <f ca="1">IFERROR(__xludf.DUMMYFUNCTION("""COMPUTED_VALUE"""),"-33.63429-70.34946")</f>
        <v>-33.63429-70.34946</v>
      </c>
      <c r="C9447" s="6" t="str">
        <f ca="1">IFERROR(__xludf.DUMMYFUNCTION("""COMPUTED_VALUE"""),"AV. EL ESFUERZO 19024 A")</f>
        <v>AV. EL ESFUERZO 19024 A</v>
      </c>
      <c r="D9447" s="6" t="str">
        <f ca="1">IFERROR(__xludf.DUMMYFUNCTION("""COMPUTED_VALUE"""),"SAN JOSE DE MAIPO")</f>
        <v>SAN JOSE DE MAIPO</v>
      </c>
    </row>
    <row r="9448" spans="1:4">
      <c r="A9448" s="7">
        <f ca="1">IFERROR(__xludf.DUMMYFUNCTION("""COMPUTED_VALUE"""),44783)</f>
        <v>44783</v>
      </c>
      <c r="B9448" s="6" t="str">
        <f ca="1">IFERROR(__xludf.DUMMYFUNCTION("""COMPUTED_VALUE"""),"-33.64082-70.34764")</f>
        <v>-33.64082-70.34764</v>
      </c>
      <c r="C9448" s="6" t="str">
        <f ca="1">IFERROR(__xludf.DUMMYFUNCTION("""COMPUTED_VALUE"""),"LOS ACACIOS 515")</f>
        <v>LOS ACACIOS 515</v>
      </c>
      <c r="D9448" s="6" t="str">
        <f ca="1">IFERROR(__xludf.DUMMYFUNCTION("""COMPUTED_VALUE"""),"SAN JOSE DE MAIPO")</f>
        <v>SAN JOSE DE MAIPO</v>
      </c>
    </row>
    <row r="9449" spans="1:4">
      <c r="A9449" s="7">
        <f ca="1">IFERROR(__xludf.DUMMYFUNCTION("""COMPUTED_VALUE"""),44783)</f>
        <v>44783</v>
      </c>
      <c r="B9449" s="6" t="str">
        <f ca="1">IFERROR(__xludf.DUMMYFUNCTION("""COMPUTED_VALUE"""),"-33.278136,-70.888180")</f>
        <v>-33.278136,-70.888180</v>
      </c>
      <c r="C9449" s="6" t="str">
        <f ca="1">IFERROR(__xludf.DUMMYFUNCTION("""COMPUTED_VALUE"""),"CANELILLO 57")</f>
        <v>CANELILLO 57</v>
      </c>
      <c r="D9449" s="6" t="str">
        <f ca="1">IFERROR(__xludf.DUMMYFUNCTION("""COMPUTED_VALUE"""),"LAMPA")</f>
        <v>LAMPA</v>
      </c>
    </row>
    <row r="9450" spans="1:4">
      <c r="A9450" s="7">
        <f ca="1">IFERROR(__xludf.DUMMYFUNCTION("""COMPUTED_VALUE"""),44783)</f>
        <v>44783</v>
      </c>
      <c r="B9450" s="6" t="str">
        <f ca="1">IFERROR(__xludf.DUMMYFUNCTION("""COMPUTED_VALUE"""),"-33.300838,-70.878592")</f>
        <v>-33.300838,-70.878592</v>
      </c>
      <c r="C9450" s="6" t="str">
        <f ca="1">IFERROR(__xludf.DUMMYFUNCTION("""COMPUTED_VALUE"""),"LARAPINTA PONIENTE 2976")</f>
        <v>LARAPINTA PONIENTE 2976</v>
      </c>
      <c r="D9450" s="6" t="str">
        <f ca="1">IFERROR(__xludf.DUMMYFUNCTION("""COMPUTED_VALUE"""),"LAMPA")</f>
        <v>LAMPA</v>
      </c>
    </row>
    <row r="9451" spans="1:4">
      <c r="A9451" s="7">
        <f ca="1">IFERROR(__xludf.DUMMYFUNCTION("""COMPUTED_VALUE"""),44783)</f>
        <v>44783</v>
      </c>
      <c r="B9451" s="8" t="str">
        <f ca="1">IFERROR(__xludf.DUMMYFUNCTION("""COMPUTED_VALUE"""),"-33.486181,-71.143487")</f>
        <v>-33.486181,-71.143487</v>
      </c>
      <c r="C9451" s="6" t="str">
        <f ca="1">IFERROR(__xludf.DUMMYFUNCTION("""COMPUTED_VALUE"""),"EL BOSQUE SITIO 67")</f>
        <v>EL BOSQUE SITIO 67</v>
      </c>
      <c r="D9451" s="6" t="str">
        <f ca="1">IFERROR(__xludf.DUMMYFUNCTION("""COMPUTED_VALUE"""),"MARIA PINTO")</f>
        <v>MARIA PINTO</v>
      </c>
    </row>
    <row r="9452" spans="1:4">
      <c r="A9452" s="7">
        <f ca="1">IFERROR(__xludf.DUMMYFUNCTION("""COMPUTED_VALUE"""),44783)</f>
        <v>44783</v>
      </c>
      <c r="B9452" s="8" t="str">
        <f ca="1">IFERROR(__xludf.DUMMYFUNCTION("""COMPUTED_VALUE"""),"-33.835194,-70.6410040")</f>
        <v>-33.835194,-70.6410040</v>
      </c>
      <c r="C9452" s="6" t="str">
        <f ca="1">IFERROR(__xludf.DUMMYFUNCTION("""COMPUTED_VALUE"""),"PADRE HURTADO SITIO 1 ")</f>
        <v xml:space="preserve">PADRE HURTADO SITIO 1 </v>
      </c>
      <c r="D9452" s="6" t="str">
        <f ca="1">IFERROR(__xludf.DUMMYFUNCTION("""COMPUTED_VALUE"""),"PAINE")</f>
        <v>PAINE</v>
      </c>
    </row>
    <row r="9453" spans="1:4">
      <c r="A9453" s="7">
        <f ca="1">IFERROR(__xludf.DUMMYFUNCTION("""COMPUTED_VALUE"""),44783)</f>
        <v>44783</v>
      </c>
      <c r="B9453" s="8" t="str">
        <f ca="1">IFERROR(__xludf.DUMMYFUNCTION("""COMPUTED_VALUE"""),"-33.835194,-70.6410040")</f>
        <v>-33.835194,-70.6410040</v>
      </c>
      <c r="C9453" s="6" t="str">
        <f ca="1">IFERROR(__xludf.DUMMYFUNCTION("""COMPUTED_VALUE"""),"PADRE HURTADO SITIO 1 ")</f>
        <v xml:space="preserve">PADRE HURTADO SITIO 1 </v>
      </c>
      <c r="D9453" s="6" t="str">
        <f ca="1">IFERROR(__xludf.DUMMYFUNCTION("""COMPUTED_VALUE"""),"PAINE")</f>
        <v>PAINE</v>
      </c>
    </row>
    <row r="9454" spans="1:4">
      <c r="A9454" s="7">
        <f ca="1">IFERROR(__xludf.DUMMYFUNCTION("""COMPUTED_VALUE"""),44783)</f>
        <v>44783</v>
      </c>
      <c r="B9454" s="6" t="str">
        <f ca="1">IFERROR(__xludf.DUMMYFUNCTION("""COMPUTED_VALUE"""),"-33.559358,-70.848552")</f>
        <v>-33.559358,-70.848552</v>
      </c>
      <c r="C9454" s="6" t="str">
        <f ca="1">IFERROR(__xludf.DUMMYFUNCTION("""COMPUTED_VALUE"""),"CAMINO A VALPARAISO 2792 PARC 103")</f>
        <v>CAMINO A VALPARAISO 2792 PARC 103</v>
      </c>
      <c r="D9454" s="6" t="str">
        <f ca="1">IFERROR(__xludf.DUMMYFUNCTION("""COMPUTED_VALUE"""),"PADRE HURTADO")</f>
        <v>PADRE HURTADO</v>
      </c>
    </row>
    <row r="9455" spans="1:4">
      <c r="A9455" s="7">
        <f ca="1">IFERROR(__xludf.DUMMYFUNCTION("""COMPUTED_VALUE"""),44783)</f>
        <v>44783</v>
      </c>
      <c r="B9455" s="6" t="str">
        <f ca="1">IFERROR(__xludf.DUMMYFUNCTION("""COMPUTED_VALUE"""),"-33.559358,-70.848552")</f>
        <v>-33.559358,-70.848552</v>
      </c>
      <c r="C9455" s="6" t="str">
        <f ca="1">IFERROR(__xludf.DUMMYFUNCTION("""COMPUTED_VALUE"""),"CAMINO A VALPARAISO 2792 PARC 103")</f>
        <v>CAMINO A VALPARAISO 2792 PARC 103</v>
      </c>
      <c r="D9455" s="6" t="str">
        <f ca="1">IFERROR(__xludf.DUMMYFUNCTION("""COMPUTED_VALUE"""),"PADRE HURTADO")</f>
        <v>PADRE HURTADO</v>
      </c>
    </row>
    <row r="9456" spans="1:4">
      <c r="A9456" s="7">
        <f ca="1">IFERROR(__xludf.DUMMYFUNCTION("""COMPUTED_VALUE"""),44783)</f>
        <v>44783</v>
      </c>
      <c r="B9456" s="6" t="str">
        <f ca="1">IFERROR(__xludf.DUMMYFUNCTION("""COMPUTED_VALUE"""),"-33.733194,-70.7885160")</f>
        <v>-33.733194,-70.7885160</v>
      </c>
      <c r="C9456" s="6" t="str">
        <f ca="1">IFERROR(__xludf.DUMMYFUNCTION("""COMPUTED_VALUE"""),"ARTURO PRAT 607")</f>
        <v>ARTURO PRAT 607</v>
      </c>
      <c r="D9456" s="6" t="str">
        <f ca="1">IFERROR(__xludf.DUMMYFUNCTION("""COMPUTED_VALUE"""),"BUIN")</f>
        <v>BUIN</v>
      </c>
    </row>
    <row r="9457" spans="1:4">
      <c r="A9457" s="7">
        <f ca="1">IFERROR(__xludf.DUMMYFUNCTION("""COMPUTED_VALUE"""),44783)</f>
        <v>44783</v>
      </c>
      <c r="B9457" s="6" t="str">
        <f ca="1">IFERROR(__xludf.DUMMYFUNCTION("""COMPUTED_VALUE"""),"-33.741048,-70.677475")</f>
        <v>-33.741048,-70.677475</v>
      </c>
      <c r="C9457" s="6" t="str">
        <f ca="1">IFERROR(__xludf.DUMMYFUNCTION("""COMPUTED_VALUE"""),"CEDA TINAS 60")</f>
        <v>CEDA TINAS 60</v>
      </c>
      <c r="D9457" s="6" t="str">
        <f ca="1">IFERROR(__xludf.DUMMYFUNCTION("""COMPUTED_VALUE"""),"BUIN")</f>
        <v>BUIN</v>
      </c>
    </row>
    <row r="9458" spans="1:4">
      <c r="A9458" s="7">
        <f ca="1">IFERROR(__xludf.DUMMYFUNCTION("""COMPUTED_VALUE"""),44784)</f>
        <v>44784</v>
      </c>
      <c r="B9458" s="8" t="str">
        <f ca="1">IFERROR(__xludf.DUMMYFUNCTION("""COMPUTED_VALUE"""),"-33.7358605, -70.8601686")</f>
        <v>-33.7358605, -70.8601686</v>
      </c>
      <c r="C9458" s="6" t="str">
        <f ca="1">IFERROR(__xludf.DUMMYFUNCTION("""COMPUTED_VALUE"""),"CANCHAS DE CARRERA 1678")</f>
        <v>CANCHAS DE CARRERA 1678</v>
      </c>
      <c r="D9458" s="6" t="str">
        <f ca="1">IFERROR(__xludf.DUMMYFUNCTION("""COMPUTED_VALUE"""),"ISLA DE MAIPO")</f>
        <v>ISLA DE MAIPO</v>
      </c>
    </row>
    <row r="9459" spans="1:4">
      <c r="A9459" s="7">
        <f ca="1">IFERROR(__xludf.DUMMYFUNCTION("""COMPUTED_VALUE"""),44784)</f>
        <v>44784</v>
      </c>
      <c r="B9459" s="8" t="str">
        <f ca="1">IFERROR(__xludf.DUMMYFUNCTION("""COMPUTED_VALUE"""),"-33.7358605, -70.8601686")</f>
        <v>-33.7358605, -70.8601686</v>
      </c>
      <c r="C9459" s="6" t="str">
        <f ca="1">IFERROR(__xludf.DUMMYFUNCTION("""COMPUTED_VALUE"""),"CAPERANA 4495")</f>
        <v>CAPERANA 4495</v>
      </c>
      <c r="D9459" s="6" t="str">
        <f ca="1">IFERROR(__xludf.DUMMYFUNCTION("""COMPUTED_VALUE"""),"ISLA DE MAIPO")</f>
        <v>ISLA DE MAIPO</v>
      </c>
    </row>
    <row r="9460" spans="1:4">
      <c r="A9460" s="7">
        <f ca="1">IFERROR(__xludf.DUMMYFUNCTION("""COMPUTED_VALUE"""),44784)</f>
        <v>44784</v>
      </c>
      <c r="B9460" s="8" t="str">
        <f ca="1">IFERROR(__xludf.DUMMYFUNCTION("""COMPUTED_VALUE"""),"-33.6811606, -71.2179767")</f>
        <v>-33.6811606, -71.2179767</v>
      </c>
      <c r="C9460" s="6" t="str">
        <f ca="1">IFERROR(__xludf.DUMMYFUNCTION("""COMPUTED_VALUE"""),"YECORA 840")</f>
        <v>YECORA 840</v>
      </c>
      <c r="D9460" s="6" t="str">
        <f ca="1">IFERROR(__xludf.DUMMYFUNCTION("""COMPUTED_VALUE"""),"MELIPILLA")</f>
        <v>MELIPILLA</v>
      </c>
    </row>
    <row r="9461" spans="1:4">
      <c r="A9461" s="7">
        <f ca="1">IFERROR(__xludf.DUMMYFUNCTION("""COMPUTED_VALUE"""),44784)</f>
        <v>44784</v>
      </c>
      <c r="B9461" s="6" t="str">
        <f ca="1">IFERROR(__xludf.DUMMYFUNCTION("""COMPUTED_VALUE"""),"-33.676661-71.208371")</f>
        <v>-33.676661-71.208371</v>
      </c>
      <c r="C9461" s="6" t="str">
        <f ca="1">IFERROR(__xludf.DUMMYFUNCTION("""COMPUTED_VALUE"""),"JULIO MONTT 241")</f>
        <v>JULIO MONTT 241</v>
      </c>
      <c r="D9461" s="6" t="str">
        <f ca="1">IFERROR(__xludf.DUMMYFUNCTION("""COMPUTED_VALUE"""),"MELIPILLA")</f>
        <v>MELIPILLA</v>
      </c>
    </row>
    <row r="9462" spans="1:4">
      <c r="A9462" s="7">
        <f ca="1">IFERROR(__xludf.DUMMYFUNCTION("""COMPUTED_VALUE"""),44784)</f>
        <v>44784</v>
      </c>
      <c r="B9462" s="6" t="str">
        <f ca="1">IFERROR(__xludf.DUMMYFUNCTION("""COMPUTED_VALUE"""),"-33.682393-71.237168")</f>
        <v>-33.682393-71.237168</v>
      </c>
      <c r="C9462" s="6" t="str">
        <f ca="1">IFERROR(__xludf.DUMMYFUNCTION("""COMPUTED_VALUE"""),"EL MOLINO 2072")</f>
        <v>EL MOLINO 2072</v>
      </c>
      <c r="D9462" s="6" t="str">
        <f ca="1">IFERROR(__xludf.DUMMYFUNCTION("""COMPUTED_VALUE"""),"MELIPILLA")</f>
        <v>MELIPILLA</v>
      </c>
    </row>
    <row r="9463" spans="1:4">
      <c r="A9463" s="7">
        <f ca="1">IFERROR(__xludf.DUMMYFUNCTION("""COMPUTED_VALUE"""),44784)</f>
        <v>44784</v>
      </c>
      <c r="B9463" s="6" t="str">
        <f ca="1">IFERROR(__xludf.DUMMYFUNCTION("""COMPUTED_VALUE"""),"-33.684899-71.207614")</f>
        <v>-33.684899-71.207614</v>
      </c>
      <c r="C9463" s="6" t="str">
        <f ca="1">IFERROR(__xludf.DUMMYFUNCTION("""COMPUTED_VALUE"""),"UGALDE 70")</f>
        <v>UGALDE 70</v>
      </c>
      <c r="D9463" s="6" t="str">
        <f ca="1">IFERROR(__xludf.DUMMYFUNCTION("""COMPUTED_VALUE"""),"MELIPILLA")</f>
        <v>MELIPILLA</v>
      </c>
    </row>
    <row r="9464" spans="1:4">
      <c r="A9464" s="7">
        <f ca="1">IFERROR(__xludf.DUMMYFUNCTION("""COMPUTED_VALUE"""),44784)</f>
        <v>44784</v>
      </c>
      <c r="B9464" s="6" t="str">
        <f ca="1">IFERROR(__xludf.DUMMYFUNCTION("""COMPUTED_VALUE"""),"-33.667124-71.206247")</f>
        <v>-33.667124-71.206247</v>
      </c>
      <c r="C9464" s="6" t="str">
        <f ca="1">IFERROR(__xludf.DUMMYFUNCTION("""COMPUTED_VALUE"""),"VILLA ALEGRE 16")</f>
        <v>VILLA ALEGRE 16</v>
      </c>
      <c r="D9464" s="6" t="str">
        <f ca="1">IFERROR(__xludf.DUMMYFUNCTION("""COMPUTED_VALUE"""),"MELIPILLA")</f>
        <v>MELIPILLA</v>
      </c>
    </row>
    <row r="9465" spans="1:4">
      <c r="A9465" s="7">
        <f ca="1">IFERROR(__xludf.DUMMYFUNCTION("""COMPUTED_VALUE"""),44784)</f>
        <v>44784</v>
      </c>
      <c r="B9465" s="6" t="str">
        <f ca="1">IFERROR(__xludf.DUMMYFUNCTION("""COMPUTED_VALUE"""),"-33.667124-71.206247")</f>
        <v>-33.667124-71.206247</v>
      </c>
      <c r="C9465" s="6" t="str">
        <f ca="1">IFERROR(__xludf.DUMMYFUNCTION("""COMPUTED_VALUE"""),"VILLA ALEGRE 16")</f>
        <v>VILLA ALEGRE 16</v>
      </c>
      <c r="D9465" s="6" t="str">
        <f ca="1">IFERROR(__xludf.DUMMYFUNCTION("""COMPUTED_VALUE"""),"MELIPILLA")</f>
        <v>MELIPILLA</v>
      </c>
    </row>
    <row r="9466" spans="1:4">
      <c r="A9466" s="7">
        <f ca="1">IFERROR(__xludf.DUMMYFUNCTION("""COMPUTED_VALUE"""),44784)</f>
        <v>44784</v>
      </c>
      <c r="B9466" s="6" t="str">
        <f ca="1">IFERROR(__xludf.DUMMYFUNCTION("""COMPUTED_VALUE"""),"-33.853234-70.762720")</f>
        <v>-33.853234-70.762720</v>
      </c>
      <c r="C9466" s="6" t="str">
        <f ca="1">IFERROR(__xludf.DUMMYFUNCTION("""COMPUTED_VALUE"""),"MANUEL RODRIGUEZ 350")</f>
        <v>MANUEL RODRIGUEZ 350</v>
      </c>
      <c r="D9466" s="6" t="str">
        <f ca="1">IFERROR(__xludf.DUMMYFUNCTION("""COMPUTED_VALUE"""),"PAINE")</f>
        <v>PAINE</v>
      </c>
    </row>
    <row r="9467" spans="1:4">
      <c r="A9467" s="7">
        <f ca="1">IFERROR(__xludf.DUMMYFUNCTION("""COMPUTED_VALUE"""),44784)</f>
        <v>44784</v>
      </c>
      <c r="B9467" s="6" t="str">
        <f ca="1">IFERROR(__xludf.DUMMYFUNCTION("""COMPUTED_VALUE"""),"-33.817024-70.855444")</f>
        <v>-33.817024-70.855444</v>
      </c>
      <c r="C9467" s="6" t="str">
        <f ca="1">IFERROR(__xludf.DUMMYFUNCTION("""COMPUTED_VALUE"""),"CAMINO INTERIOR SITIO 34 L3")</f>
        <v>CAMINO INTERIOR SITIO 34 L3</v>
      </c>
      <c r="D9467" s="6" t="str">
        <f ca="1">IFERROR(__xludf.DUMMYFUNCTION("""COMPUTED_VALUE"""),"PAINE")</f>
        <v>PAINE</v>
      </c>
    </row>
    <row r="9468" spans="1:4">
      <c r="A9468" s="7">
        <f ca="1">IFERROR(__xludf.DUMMYFUNCTION("""COMPUTED_VALUE"""),44784)</f>
        <v>44784</v>
      </c>
      <c r="B9468" s="6" t="str">
        <f ca="1">IFERROR(__xludf.DUMMYFUNCTION("""COMPUTED_VALUE"""),"-33.73991-70.97339")</f>
        <v>-33.73991-70.97339</v>
      </c>
      <c r="C9468" s="6" t="str">
        <f ca="1">IFERROR(__xludf.DUMMYFUNCTION("""COMPUTED_VALUE"""),"CAMINO LAS GUIAS INTERIOR  LOTE 15")</f>
        <v>CAMINO LAS GUIAS INTERIOR  LOTE 15</v>
      </c>
      <c r="D9468" s="6" t="str">
        <f ca="1">IFERROR(__xludf.DUMMYFUNCTION("""COMPUTED_VALUE"""),"ISLA DE MAIPO")</f>
        <v>ISLA DE MAIPO</v>
      </c>
    </row>
    <row r="9469" spans="1:4">
      <c r="A9469" s="7">
        <f ca="1">IFERROR(__xludf.DUMMYFUNCTION("""COMPUTED_VALUE"""),44784)</f>
        <v>44784</v>
      </c>
      <c r="B9469" s="6" t="str">
        <f ca="1">IFERROR(__xludf.DUMMYFUNCTION("""COMPUTED_VALUE"""),"-33.284893,-70.882595")</f>
        <v>-33.284893,-70.882595</v>
      </c>
      <c r="C9469" s="6" t="str">
        <f ca="1">IFERROR(__xludf.DUMMYFUNCTION("""COMPUTED_VALUE"""),"PADRE DEMETRIO BARVO 385")</f>
        <v>PADRE DEMETRIO BARVO 385</v>
      </c>
      <c r="D9469" s="6" t="str">
        <f ca="1">IFERROR(__xludf.DUMMYFUNCTION("""COMPUTED_VALUE"""),"LAMPA")</f>
        <v>LAMPA</v>
      </c>
    </row>
    <row r="9470" spans="1:4">
      <c r="A9470" s="7">
        <f ca="1">IFERROR(__xludf.DUMMYFUNCTION("""COMPUTED_VALUE"""),44784)</f>
        <v>44784</v>
      </c>
      <c r="B9470" s="6" t="str">
        <f ca="1">IFERROR(__xludf.DUMMYFUNCTION("""COMPUTED_VALUE"""),"-33.238435.-70.811134")</f>
        <v>-33.238435.-70.811134</v>
      </c>
      <c r="C9470" s="6" t="str">
        <f ca="1">IFERROR(__xludf.DUMMYFUNCTION("""COMPUTED_VALUE"""),"ARGENTINA 62")</f>
        <v>ARGENTINA 62</v>
      </c>
      <c r="D9470" s="6" t="str">
        <f ca="1">IFERROR(__xludf.DUMMYFUNCTION("""COMPUTED_VALUE"""),"LAMPA")</f>
        <v>LAMPA</v>
      </c>
    </row>
    <row r="9471" spans="1:4">
      <c r="A9471" s="7">
        <f ca="1">IFERROR(__xludf.DUMMYFUNCTION("""COMPUTED_VALUE"""),44784)</f>
        <v>44784</v>
      </c>
      <c r="B9471" s="6" t="str">
        <f ca="1">IFERROR(__xludf.DUMMYFUNCTION("""COMPUTED_VALUE"""),"-33.612932,-70.923782")</f>
        <v>-33.612932,-70.923782</v>
      </c>
      <c r="C9471" s="6" t="str">
        <f ca="1">IFERROR(__xludf.DUMMYFUNCTION("""COMPUTED_VALUE"""),"C MALLARAUCO S/N")</f>
        <v>C MALLARAUCO S/N</v>
      </c>
      <c r="D9471" s="6" t="str">
        <f ca="1">IFERROR(__xludf.DUMMYFUNCTION("""COMPUTED_VALUE"""),"PEÑAFLOR")</f>
        <v>PEÑAFLOR</v>
      </c>
    </row>
    <row r="9472" spans="1:4">
      <c r="A9472" s="7">
        <f ca="1">IFERROR(__xludf.DUMMYFUNCTION("""COMPUTED_VALUE"""),44784)</f>
        <v>44784</v>
      </c>
      <c r="B9472" s="8" t="str">
        <f ca="1">IFERROR(__xludf.DUMMYFUNCTION("""COMPUTED_VALUE"""),"-34.023596,-71.117638")</f>
        <v>-34.023596,-71.117638</v>
      </c>
      <c r="C9472" s="6" t="str">
        <f ca="1">IFERROR(__xludf.DUMMYFUNCTION("""COMPUTED_VALUE"""),"HIJUELAS DE POLULO ")</f>
        <v xml:space="preserve">HIJUELAS DE POLULO </v>
      </c>
      <c r="D9472" s="6" t="str">
        <f ca="1">IFERROR(__xludf.DUMMYFUNCTION("""COMPUTED_VALUE"""),"ALHUÉ")</f>
        <v>ALHUÉ</v>
      </c>
    </row>
    <row r="9473" spans="1:4">
      <c r="A9473" s="7">
        <f ca="1">IFERROR(__xludf.DUMMYFUNCTION("""COMPUTED_VALUE"""),44784)</f>
        <v>44784</v>
      </c>
      <c r="B9473" s="8" t="str">
        <f ca="1">IFERROR(__xludf.DUMMYFUNCTION("""COMPUTED_VALUE"""),"-33.812947,-71.264134")</f>
        <v>-33.812947,-71.264134</v>
      </c>
      <c r="C9473" s="6" t="str">
        <f ca="1">IFERROR(__xludf.DUMMYFUNCTION("""COMPUTED_VALUE"""),"PARCELA 88 CULIPRAN ")</f>
        <v xml:space="preserve">PARCELA 88 CULIPRAN </v>
      </c>
      <c r="D9473" s="6" t="str">
        <f ca="1">IFERROR(__xludf.DUMMYFUNCTION("""COMPUTED_VALUE"""),"MELIPILLA")</f>
        <v>MELIPILLA</v>
      </c>
    </row>
    <row r="9474" spans="1:4">
      <c r="A9474" s="7">
        <f ca="1">IFERROR(__xludf.DUMMYFUNCTION("""COMPUTED_VALUE"""),44784)</f>
        <v>44784</v>
      </c>
      <c r="B9474" s="6" t="str">
        <f ca="1">IFERROR(__xludf.DUMMYFUNCTION("""COMPUTED_VALUE"""),"-33.608672,-70.899416")</f>
        <v>-33.608672,-70.899416</v>
      </c>
      <c r="C9474" s="6" t="str">
        <f ca="1">IFERROR(__xludf.DUMMYFUNCTION("""COMPUTED_VALUE"""),"MARIA ESTER GARAY 033")</f>
        <v>MARIA ESTER GARAY 033</v>
      </c>
      <c r="D9474" s="6" t="str">
        <f ca="1">IFERROR(__xludf.DUMMYFUNCTION("""COMPUTED_VALUE"""),"PEÑAFLOR")</f>
        <v>PEÑAFLOR</v>
      </c>
    </row>
    <row r="9475" spans="1:4">
      <c r="A9475" s="7">
        <f ca="1">IFERROR(__xludf.DUMMYFUNCTION("""COMPUTED_VALUE"""),44784)</f>
        <v>44784</v>
      </c>
      <c r="B9475" s="6" t="str">
        <f ca="1">IFERROR(__xludf.DUMMYFUNCTION("""COMPUTED_VALUE"""),"-33.855047,-70.772908")</f>
        <v>-33.855047,-70.772908</v>
      </c>
      <c r="C9475" s="6" t="str">
        <f ca="1">IFERROR(__xludf.DUMMYFUNCTION("""COMPUTED_VALUE"""),"CO.INT.MARSEL PARC.1")</f>
        <v>CO.INT.MARSEL PARC.1</v>
      </c>
      <c r="D9475" s="6" t="str">
        <f ca="1">IFERROR(__xludf.DUMMYFUNCTION("""COMPUTED_VALUE"""),"PAINE")</f>
        <v>PAINE</v>
      </c>
    </row>
    <row r="9476" spans="1:4">
      <c r="A9476" s="7">
        <f ca="1">IFERROR(__xludf.DUMMYFUNCTION("""COMPUTED_VALUE"""),44784)</f>
        <v>44784</v>
      </c>
      <c r="B9476" s="6" t="str">
        <f ca="1">IFERROR(__xludf.DUMMYFUNCTION("""COMPUTED_VALUE"""),"-33.7463633,-71.2321073")</f>
        <v>-33.7463633,-71.2321073</v>
      </c>
      <c r="C9476" s="6" t="str">
        <f ca="1">IFERROR(__xludf.DUMMYFUNCTION("""COMPUTED_VALUE"""),"CHOCALAN 9")</f>
        <v>CHOCALAN 9</v>
      </c>
      <c r="D9476" s="6" t="str">
        <f ca="1">IFERROR(__xludf.DUMMYFUNCTION("""COMPUTED_VALUE"""),"MELIPILLA")</f>
        <v>MELIPILLA</v>
      </c>
    </row>
    <row r="9477" spans="1:4">
      <c r="A9477" s="7">
        <f ca="1">IFERROR(__xludf.DUMMYFUNCTION("""COMPUTED_VALUE"""),44784)</f>
        <v>44784</v>
      </c>
      <c r="B9477" s="6" t="str">
        <f ca="1">IFERROR(__xludf.DUMMYFUNCTION("""COMPUTED_VALUE"""),"-33.782369,-70.637984")</f>
        <v>-33.782369,-70.637984</v>
      </c>
      <c r="C9477" s="6" t="str">
        <f ca="1">IFERROR(__xludf.DUMMYFUNCTION("""COMPUTED_VALUE"""),"APARICIÓN SUR S/14")</f>
        <v>APARICIÓN SUR S/14</v>
      </c>
      <c r="D9477" s="6" t="str">
        <f ca="1">IFERROR(__xludf.DUMMYFUNCTION("""COMPUTED_VALUE"""),"PAINE")</f>
        <v>PAINE</v>
      </c>
    </row>
    <row r="9478" spans="1:4">
      <c r="A9478" s="7">
        <f ca="1">IFERROR(__xludf.DUMMYFUNCTION("""COMPUTED_VALUE"""),44784)</f>
        <v>44784</v>
      </c>
      <c r="B9478" s="6" t="str">
        <f ca="1">IFERROR(__xludf.DUMMYFUNCTION("""COMPUTED_VALUE"""),"-33.803581,-70.701038")</f>
        <v>-33.803581,-70.701038</v>
      </c>
      <c r="C9478" s="6" t="str">
        <f ca="1">IFERROR(__xludf.DUMMYFUNCTION("""COMPUTED_VALUE"""),"DIECIOCHO DE SEPTIEMBRE 3315")</f>
        <v>DIECIOCHO DE SEPTIEMBRE 3315</v>
      </c>
      <c r="D9478" s="6" t="str">
        <f ca="1">IFERROR(__xludf.DUMMYFUNCTION("""COMPUTED_VALUE"""),"PAINE")</f>
        <v>PAINE</v>
      </c>
    </row>
    <row r="9479" spans="1:4">
      <c r="A9479" s="7">
        <f ca="1">IFERROR(__xludf.DUMMYFUNCTION("""COMPUTED_VALUE"""),44785)</f>
        <v>44785</v>
      </c>
      <c r="B9479" s="6" t="str">
        <f ca="1">IFERROR(__xludf.DUMMYFUNCTION("""COMPUTED_VALUE"""),"-34.033223-71.017275")</f>
        <v>-34.033223-71.017275</v>
      </c>
      <c r="C9479" s="6" t="str">
        <f ca="1">IFERROR(__xludf.DUMMYFUNCTION("""COMPUTED_VALUE"""),"EL ASIENTO 40")</f>
        <v>EL ASIENTO 40</v>
      </c>
      <c r="D9479" s="6" t="str">
        <f ca="1">IFERROR(__xludf.DUMMYFUNCTION("""COMPUTED_VALUE"""),"ALHUÉ")</f>
        <v>ALHUÉ</v>
      </c>
    </row>
    <row r="9480" spans="1:4">
      <c r="A9480" s="7">
        <f ca="1">IFERROR(__xludf.DUMMYFUNCTION("""COMPUTED_VALUE"""),44785)</f>
        <v>44785</v>
      </c>
      <c r="B9480" s="6" t="str">
        <f ca="1">IFERROR(__xludf.DUMMYFUNCTION("""COMPUTED_VALUE"""),"-34.033223-71.017275")</f>
        <v>-34.033223-71.017275</v>
      </c>
      <c r="C9480" s="6" t="str">
        <f ca="1">IFERROR(__xludf.DUMMYFUNCTION("""COMPUTED_VALUE"""),"EL ASIENTO 40")</f>
        <v>EL ASIENTO 40</v>
      </c>
      <c r="D9480" s="6" t="str">
        <f ca="1">IFERROR(__xludf.DUMMYFUNCTION("""COMPUTED_VALUE"""),"ALHUÉ")</f>
        <v>ALHUÉ</v>
      </c>
    </row>
    <row r="9481" spans="1:4">
      <c r="A9481" s="7">
        <f ca="1">IFERROR(__xludf.DUMMYFUNCTION("""COMPUTED_VALUE"""),44785)</f>
        <v>44785</v>
      </c>
      <c r="B9481" s="6" t="str">
        <f ca="1">IFERROR(__xludf.DUMMYFUNCTION("""COMPUTED_VALUE"""),"-34.033223-71.017275")</f>
        <v>-34.033223-71.017275</v>
      </c>
      <c r="C9481" s="6" t="str">
        <f ca="1">IFERROR(__xludf.DUMMYFUNCTION("""COMPUTED_VALUE"""),"EL ASIENTO 39")</f>
        <v>EL ASIENTO 39</v>
      </c>
      <c r="D9481" s="6" t="str">
        <f ca="1">IFERROR(__xludf.DUMMYFUNCTION("""COMPUTED_VALUE"""),"ALHUÉ")</f>
        <v>ALHUÉ</v>
      </c>
    </row>
    <row r="9482" spans="1:4">
      <c r="A9482" s="7">
        <f ca="1">IFERROR(__xludf.DUMMYFUNCTION("""COMPUTED_VALUE"""),44785)</f>
        <v>44785</v>
      </c>
      <c r="B9482" s="6" t="str">
        <f ca="1">IFERROR(__xludf.DUMMYFUNCTION("""COMPUTED_VALUE"""),"-33.72193-70.55139")</f>
        <v>-33.72193-70.55139</v>
      </c>
      <c r="C9482" s="6" t="str">
        <f ca="1">IFERROR(__xludf.DUMMYFUNCTION("""COMPUTED_VALUE"""),"LOS CORRALES 106 A")</f>
        <v>LOS CORRALES 106 A</v>
      </c>
      <c r="D9482" s="6" t="str">
        <f ca="1">IFERROR(__xludf.DUMMYFUNCTION("""COMPUTED_VALUE"""),"PIRQUE")</f>
        <v>PIRQUE</v>
      </c>
    </row>
    <row r="9483" spans="1:4">
      <c r="A9483" s="7">
        <f ca="1">IFERROR(__xludf.DUMMYFUNCTION("""COMPUTED_VALUE"""),44785)</f>
        <v>44785</v>
      </c>
      <c r="B9483" s="6" t="str">
        <f ca="1">IFERROR(__xludf.DUMMYFUNCTION("""COMPUTED_VALUE"""),"-33.65139-70.57295")</f>
        <v>-33.65139-70.57295</v>
      </c>
      <c r="C9483" s="6" t="str">
        <f ca="1">IFERROR(__xludf.DUMMYFUNCTION("""COMPUTED_VALUE"""),"PABLO NERUDA 68")</f>
        <v>PABLO NERUDA 68</v>
      </c>
      <c r="D9483" s="6" t="str">
        <f ca="1">IFERROR(__xludf.DUMMYFUNCTION("""COMPUTED_VALUE"""),"PIRQUE")</f>
        <v>PIRQUE</v>
      </c>
    </row>
    <row r="9484" spans="1:4">
      <c r="A9484" s="7">
        <f ca="1">IFERROR(__xludf.DUMMYFUNCTION("""COMPUTED_VALUE"""),44785)</f>
        <v>44785</v>
      </c>
      <c r="B9484" s="6" t="str">
        <f ca="1">IFERROR(__xludf.DUMMYFUNCTION("""COMPUTED_VALUE"""),"-33.524593-70.618080")</f>
        <v>-33.524593-70.618080</v>
      </c>
      <c r="C9484" s="6" t="str">
        <f ca="1">IFERROR(__xludf.DUMMYFUNCTION("""COMPUTED_VALUE"""),"PENINSULA EL LEON 22")</f>
        <v>PENINSULA EL LEON 22</v>
      </c>
      <c r="D9484" s="6" t="str">
        <f ca="1">IFERROR(__xludf.DUMMYFUNCTION("""COMPUTED_VALUE"""),"PAINE")</f>
        <v>PAINE</v>
      </c>
    </row>
    <row r="9485" spans="1:4">
      <c r="A9485" s="7">
        <f ca="1">IFERROR(__xludf.DUMMYFUNCTION("""COMPUTED_VALUE"""),44785)</f>
        <v>44785</v>
      </c>
      <c r="B9485" s="6" t="str">
        <f ca="1">IFERROR(__xludf.DUMMYFUNCTION("""COMPUTED_VALUE"""),"-33.524593-70.618080")</f>
        <v>-33.524593-70.618080</v>
      </c>
      <c r="C9485" s="6" t="str">
        <f ca="1">IFERROR(__xludf.DUMMYFUNCTION("""COMPUTED_VALUE"""),"PENINSULA EL LEON 22")</f>
        <v>PENINSULA EL LEON 22</v>
      </c>
      <c r="D9485" s="6" t="str">
        <f ca="1">IFERROR(__xludf.DUMMYFUNCTION("""COMPUTED_VALUE"""),"PAINE")</f>
        <v>PAINE</v>
      </c>
    </row>
    <row r="9486" spans="1:4">
      <c r="A9486" s="7">
        <f ca="1">IFERROR(__xludf.DUMMYFUNCTION("""COMPUTED_VALUE"""),44785)</f>
        <v>44785</v>
      </c>
      <c r="B9486" s="6" t="str">
        <f ca="1">IFERROR(__xludf.DUMMYFUNCTION("""COMPUTED_VALUE"""),"-33.612932,-70.923782")</f>
        <v>-33.612932,-70.923782</v>
      </c>
      <c r="C9486" s="6" t="str">
        <f ca="1">IFERROR(__xludf.DUMMYFUNCTION("""COMPUTED_VALUE"""),"C MALLARAUCO S/N")</f>
        <v>C MALLARAUCO S/N</v>
      </c>
      <c r="D9486" s="6" t="str">
        <f ca="1">IFERROR(__xludf.DUMMYFUNCTION("""COMPUTED_VALUE"""),"PEÑAFLOR")</f>
        <v>PEÑAFLOR</v>
      </c>
    </row>
    <row r="9487" spans="1:4">
      <c r="A9487" s="7">
        <f ca="1">IFERROR(__xludf.DUMMYFUNCTION("""COMPUTED_VALUE"""),44785)</f>
        <v>44785</v>
      </c>
      <c r="B9487" s="6" t="str">
        <f ca="1">IFERROR(__xludf.DUMMYFUNCTION("""COMPUTED_VALUE"""),"-33.294893,-70.885330")</f>
        <v>-33.294893,-70.885330</v>
      </c>
      <c r="C9487" s="6" t="str">
        <f ca="1">IFERROR(__xludf.DUMMYFUNCTION("""COMPUTED_VALUE"""),"DEDAL DE ORO 2220")</f>
        <v>DEDAL DE ORO 2220</v>
      </c>
      <c r="D9487" s="6" t="str">
        <f ca="1">IFERROR(__xludf.DUMMYFUNCTION("""COMPUTED_VALUE"""),"LAMPA")</f>
        <v>LAMPA</v>
      </c>
    </row>
    <row r="9488" spans="1:4">
      <c r="A9488" s="7">
        <f ca="1">IFERROR(__xludf.DUMMYFUNCTION("""COMPUTED_VALUE"""),44785)</f>
        <v>44785</v>
      </c>
      <c r="B9488" s="8" t="str">
        <f ca="1">IFERROR(__xludf.DUMMYFUNCTION("""COMPUTED_VALUE"""),"-33.215752,-70.678276")</f>
        <v>-33.215752,-70.678276</v>
      </c>
      <c r="C9488" s="6" t="str">
        <f ca="1">IFERROR(__xludf.DUMMYFUNCTION("""COMPUTED_VALUE"""),"LOS CRIADORES 296")</f>
        <v>LOS CRIADORES 296</v>
      </c>
      <c r="D9488" s="6" t="str">
        <f ca="1">IFERROR(__xludf.DUMMYFUNCTION("""COMPUTED_VALUE"""),"COLINA")</f>
        <v>COLINA</v>
      </c>
    </row>
    <row r="9489" spans="1:4">
      <c r="A9489" s="7">
        <f ca="1">IFERROR(__xludf.DUMMYFUNCTION("""COMPUTED_VALUE"""),44785)</f>
        <v>44785</v>
      </c>
      <c r="B9489" s="8" t="str">
        <f ca="1">IFERROR(__xludf.DUMMYFUNCTION("""COMPUTED_VALUE"""),"-33.394095,-70.671852")</f>
        <v>-33.394095,-70.671852</v>
      </c>
      <c r="C9489" s="6" t="str">
        <f ca="1">IFERROR(__xludf.DUMMYFUNCTION("""COMPUTED_VALUE"""),"CRISTAL DE ROCA 10699")</f>
        <v>CRISTAL DE ROCA 10699</v>
      </c>
      <c r="D9489" s="6" t="str">
        <f ca="1">IFERROR(__xludf.DUMMYFUNCTION("""COMPUTED_VALUE"""),"COLINA")</f>
        <v>COLINA</v>
      </c>
    </row>
    <row r="9490" spans="1:4">
      <c r="A9490" s="7">
        <f ca="1">IFERROR(__xludf.DUMMYFUNCTION("""COMPUTED_VALUE"""),44785)</f>
        <v>44785</v>
      </c>
      <c r="B9490" s="8" t="str">
        <f ca="1">IFERROR(__xludf.DUMMYFUNCTION("""COMPUTED_VALUE"""),"-33.680804,-70.942737")</f>
        <v>-33.680804,-70.942737</v>
      </c>
      <c r="C9490" s="6" t="str">
        <f ca="1">IFERROR(__xludf.DUMMYFUNCTION("""COMPUTED_VALUE"""),"ALCALDESA LUCI SALINAS 1230")</f>
        <v>ALCALDESA LUCI SALINAS 1230</v>
      </c>
      <c r="D9490" s="6" t="str">
        <f ca="1">IFERROR(__xludf.DUMMYFUNCTION("""COMPUTED_VALUE"""),"TALAGANTE")</f>
        <v>TALAGANTE</v>
      </c>
    </row>
    <row r="9491" spans="1:4">
      <c r="A9491" s="7">
        <f ca="1">IFERROR(__xludf.DUMMYFUNCTION("""COMPUTED_VALUE"""),44785)</f>
        <v>44785</v>
      </c>
      <c r="B9491" s="8" t="str">
        <f ca="1">IFERROR(__xludf.DUMMYFUNCTION("""COMPUTED_VALUE"""),"-33.697276,-70.877641")</f>
        <v>-33.697276,-70.877641</v>
      </c>
      <c r="C9491" s="6" t="str">
        <f ca="1">IFERROR(__xludf.DUMMYFUNCTION("""COMPUTED_VALUE"""),"PUERTAS FIERRO PARCELA 11 H ")</f>
        <v xml:space="preserve">PUERTAS FIERRO PARCELA 11 H </v>
      </c>
      <c r="D9491" s="6" t="str">
        <f ca="1">IFERROR(__xludf.DUMMYFUNCTION("""COMPUTED_VALUE"""),"TALAGANTE")</f>
        <v>TALAGANTE</v>
      </c>
    </row>
    <row r="9492" spans="1:4">
      <c r="A9492" s="7">
        <f ca="1">IFERROR(__xludf.DUMMYFUNCTION("""COMPUTED_VALUE"""),44785)</f>
        <v>44785</v>
      </c>
      <c r="B9492" s="6" t="str">
        <f ca="1">IFERROR(__xludf.DUMMYFUNCTION("""COMPUTED_VALUE"""),"-33.803674,-70.715564")</f>
        <v>-33.803674,-70.715564</v>
      </c>
      <c r="C9492" s="6" t="str">
        <f ca="1">IFERROR(__xludf.DUMMYFUNCTION("""COMPUTED_VALUE"""),"CALLE UNO 2036")</f>
        <v>CALLE UNO 2036</v>
      </c>
      <c r="D9492" s="6" t="str">
        <f ca="1">IFERROR(__xludf.DUMMYFUNCTION("""COMPUTED_VALUE"""),"PAINE")</f>
        <v>PAINE</v>
      </c>
    </row>
    <row r="9493" spans="1:4">
      <c r="A9493" s="7">
        <f ca="1">IFERROR(__xludf.DUMMYFUNCTION("""COMPUTED_VALUE"""),44785)</f>
        <v>44785</v>
      </c>
      <c r="B9493" s="6" t="str">
        <f ca="1">IFERROR(__xludf.DUMMYFUNCTION("""COMPUTED_VALUE"""),"-33.809951,-70.741389")</f>
        <v>-33.809951,-70.741389</v>
      </c>
      <c r="C9493" s="6" t="str">
        <f ca="1">IFERROR(__xludf.DUMMYFUNCTION("""COMPUTED_VALUE"""),"EL GRANERO 87")</f>
        <v>EL GRANERO 87</v>
      </c>
      <c r="D9493" s="6" t="str">
        <f ca="1">IFERROR(__xludf.DUMMYFUNCTION("""COMPUTED_VALUE"""),"PAINE")</f>
        <v>PAINE</v>
      </c>
    </row>
    <row r="9494" spans="1:4">
      <c r="A9494" s="7">
        <f ca="1">IFERROR(__xludf.DUMMYFUNCTION("""COMPUTED_VALUE"""),44786)</f>
        <v>44786</v>
      </c>
      <c r="B9494" s="6" t="str">
        <f ca="1">IFERROR(__xludf.DUMMYFUNCTION("""COMPUTED_VALUE"""),"-33.406433-71.127497")</f>
        <v>-33.406433-71.127497</v>
      </c>
      <c r="C9494" s="6" t="str">
        <f ca="1">IFERROR(__xludf.DUMMYFUNCTION("""COMPUTED_VALUE"""),"EL PARRON 444")</f>
        <v>EL PARRON 444</v>
      </c>
      <c r="D9494" s="6" t="str">
        <f ca="1">IFERROR(__xludf.DUMMYFUNCTION("""COMPUTED_VALUE"""),"CURACAVI")</f>
        <v>CURACAVI</v>
      </c>
    </row>
    <row r="9495" spans="1:4">
      <c r="A9495" s="7">
        <f ca="1">IFERROR(__xludf.DUMMYFUNCTION("""COMPUTED_VALUE"""),44786)</f>
        <v>44786</v>
      </c>
      <c r="B9495" s="6" t="str">
        <f ca="1">IFERROR(__xludf.DUMMYFUNCTION("""COMPUTED_VALUE"""),"-33.614617-70.882096")</f>
        <v>-33.614617-70.882096</v>
      </c>
      <c r="C9495" s="6" t="str">
        <f ca="1">IFERROR(__xludf.DUMMYFUNCTION("""COMPUTED_VALUE"""),"FRANCISCO BILBAO 1700")</f>
        <v>FRANCISCO BILBAO 1700</v>
      </c>
      <c r="D9495" s="6" t="str">
        <f ca="1">IFERROR(__xludf.DUMMYFUNCTION("""COMPUTED_VALUE"""),"PEÑAFLOR")</f>
        <v>PEÑAFLOR</v>
      </c>
    </row>
    <row r="9496" spans="1:4">
      <c r="A9496" s="7">
        <f ca="1">IFERROR(__xludf.DUMMYFUNCTION("""COMPUTED_VALUE"""),44786)</f>
        <v>44786</v>
      </c>
      <c r="B9496" s="6" t="str">
        <f ca="1">IFERROR(__xludf.DUMMYFUNCTION("""COMPUTED_VALUE"""),"-33.286634,-70.882901")</f>
        <v>-33.286634,-70.882901</v>
      </c>
      <c r="C9496" s="6" t="str">
        <f ca="1">IFERROR(__xludf.DUMMYFUNCTION("""COMPUTED_VALUE"""),"LOS ALERCES 0668")</f>
        <v>LOS ALERCES 0668</v>
      </c>
      <c r="D9496" s="6" t="str">
        <f ca="1">IFERROR(__xludf.DUMMYFUNCTION("""COMPUTED_VALUE"""),"LAMPA")</f>
        <v>LAMPA</v>
      </c>
    </row>
    <row r="9497" spans="1:4">
      <c r="A9497" s="7">
        <f ca="1">IFERROR(__xludf.DUMMYFUNCTION("""COMPUTED_VALUE"""),44789)</f>
        <v>44789</v>
      </c>
      <c r="B9497" s="6" t="str">
        <f ca="1">IFERROR(__xludf.DUMMYFUNCTION("""COMPUTED_VALUE"""),"-33.75146-70.86119")</f>
        <v>-33.75146-70.86119</v>
      </c>
      <c r="C9497" s="6" t="str">
        <f ca="1">IFERROR(__xludf.DUMMYFUNCTION("""COMPUTED_VALUE"""),"LA PALMA CHILENA 2908")</f>
        <v>LA PALMA CHILENA 2908</v>
      </c>
      <c r="D9497" s="6" t="str">
        <f ca="1">IFERROR(__xludf.DUMMYFUNCTION("""COMPUTED_VALUE"""),"ISLA DE MAIPO")</f>
        <v>ISLA DE MAIPO</v>
      </c>
    </row>
    <row r="9498" spans="1:4">
      <c r="A9498" s="7">
        <f ca="1">IFERROR(__xludf.DUMMYFUNCTION("""COMPUTED_VALUE"""),44789)</f>
        <v>44789</v>
      </c>
      <c r="B9498" s="6" t="str">
        <f ca="1">IFERROR(__xludf.DUMMYFUNCTION("""COMPUTED_VALUE"""),"-33.66944-71.01468")</f>
        <v>-33.66944-71.01468</v>
      </c>
      <c r="C9498" s="6" t="str">
        <f ca="1">IFERROR(__xludf.DUMMYFUNCTION("""COMPUTED_VALUE"""),"SECTOR MONTE BLANCO S/N")</f>
        <v>SECTOR MONTE BLANCO S/N</v>
      </c>
      <c r="D9498" s="6" t="str">
        <f ca="1">IFERROR(__xludf.DUMMYFUNCTION("""COMPUTED_VALUE"""),"EL MONTE")</f>
        <v>EL MONTE</v>
      </c>
    </row>
    <row r="9499" spans="1:4">
      <c r="A9499" s="7">
        <f ca="1">IFERROR(__xludf.DUMMYFUNCTION("""COMPUTED_VALUE"""),44789)</f>
        <v>44789</v>
      </c>
      <c r="B9499" s="6" t="str">
        <f ca="1">IFERROR(__xludf.DUMMYFUNCTION("""COMPUTED_VALUE"""),"-33.684146,-70.695891")</f>
        <v>-33.684146,-70.695891</v>
      </c>
      <c r="C9499" s="6" t="str">
        <f ca="1">IFERROR(__xludf.DUMMYFUNCTION("""COMPUTED_VALUE"""),"EL RECURSO 3283")</f>
        <v>EL RECURSO 3283</v>
      </c>
      <c r="D9499" s="6" t="str">
        <f ca="1">IFERROR(__xludf.DUMMYFUNCTION("""COMPUTED_VALUE"""),"BUIN")</f>
        <v>BUIN</v>
      </c>
    </row>
    <row r="9500" spans="1:4">
      <c r="A9500" s="7">
        <f ca="1">IFERROR(__xludf.DUMMYFUNCTION("""COMPUTED_VALUE"""),44789)</f>
        <v>44789</v>
      </c>
      <c r="B9500" s="6" t="str">
        <f ca="1">IFERROR(__xludf.DUMMYFUNCTION("""COMPUTED_VALUE"""),"-33.559285,-70.848467")</f>
        <v>-33.559285,-70.848467</v>
      </c>
      <c r="C9500" s="6" t="str">
        <f ca="1">IFERROR(__xludf.DUMMYFUNCTION("""COMPUTED_VALUE"""),"CAMINO A VALPARAISO 2792 B8")</f>
        <v>CAMINO A VALPARAISO 2792 B8</v>
      </c>
      <c r="D9500" s="6" t="str">
        <f ca="1">IFERROR(__xludf.DUMMYFUNCTION("""COMPUTED_VALUE"""),"PADRE HURTADO")</f>
        <v>PADRE HURTADO</v>
      </c>
    </row>
    <row r="9501" spans="1:4">
      <c r="A9501" s="7">
        <f ca="1">IFERROR(__xludf.DUMMYFUNCTION("""COMPUTED_VALUE"""),44790)</f>
        <v>44790</v>
      </c>
      <c r="B9501" s="8" t="str">
        <f ca="1">IFERROR(__xludf.DUMMYFUNCTION("""COMPUTED_VALUE"""),"-33.7156839, -70.5691525")</f>
        <v>-33.7156839, -70.5691525</v>
      </c>
      <c r="C9501" s="6" t="str">
        <f ca="1">IFERROR(__xludf.DUMMYFUNCTION("""COMPUTED_VALUE"""),"LA RINCONADA 210")</f>
        <v>LA RINCONADA 210</v>
      </c>
      <c r="D9501" s="6" t="str">
        <f ca="1">IFERROR(__xludf.DUMMYFUNCTION("""COMPUTED_VALUE"""),"PIRQUE")</f>
        <v>PIRQUE</v>
      </c>
    </row>
    <row r="9502" spans="1:4">
      <c r="A9502" s="7">
        <f ca="1">IFERROR(__xludf.DUMMYFUNCTION("""COMPUTED_VALUE"""),44790)</f>
        <v>44790</v>
      </c>
      <c r="B9502" s="8" t="str">
        <f ca="1">IFERROR(__xludf.DUMMYFUNCTION("""COMPUTED_VALUE"""),"-33.7156966, -70.5688951")</f>
        <v>-33.7156966, -70.5688951</v>
      </c>
      <c r="C9502" s="6" t="str">
        <f ca="1">IFERROR(__xludf.DUMMYFUNCTION("""COMPUTED_VALUE"""),"RINCONADA 138")</f>
        <v>RINCONADA 138</v>
      </c>
      <c r="D9502" s="6" t="str">
        <f ca="1">IFERROR(__xludf.DUMMYFUNCTION("""COMPUTED_VALUE"""),"PIRQUE")</f>
        <v>PIRQUE</v>
      </c>
    </row>
    <row r="9503" spans="1:4">
      <c r="A9503" s="7">
        <f ca="1">IFERROR(__xludf.DUMMYFUNCTION("""COMPUTED_VALUE"""),44790)</f>
        <v>44790</v>
      </c>
      <c r="B9503" s="8" t="str">
        <f ca="1">IFERROR(__xludf.DUMMYFUNCTION("""COMPUTED_VALUE"""),"-33.816918, -70.7455567")</f>
        <v>-33.816918, -70.7455567</v>
      </c>
      <c r="C9503" s="6" t="str">
        <f ca="1">IFERROR(__xludf.DUMMYFUNCTION("""COMPUTED_VALUE"""),"ROSARIO VIAL 122")</f>
        <v>ROSARIO VIAL 122</v>
      </c>
      <c r="D9503" s="6" t="str">
        <f ca="1">IFERROR(__xludf.DUMMYFUNCTION("""COMPUTED_VALUE"""),"PAINE")</f>
        <v>PAINE</v>
      </c>
    </row>
    <row r="9504" spans="1:4">
      <c r="A9504" s="7">
        <f ca="1">IFERROR(__xludf.DUMMYFUNCTION("""COMPUTED_VALUE"""),44790)</f>
        <v>44790</v>
      </c>
      <c r="B9504" s="6" t="str">
        <f ca="1">IFERROR(__xludf.DUMMYFUNCTION("""COMPUTED_VALUE"""),"-34.031079-71.007200")</f>
        <v>-34.031079-71.007200</v>
      </c>
      <c r="C9504" s="6" t="str">
        <f ca="1">IFERROR(__xludf.DUMMYFUNCTION("""COMPUTED_VALUE"""),"EL ASIENTO BAJO S/N")</f>
        <v>EL ASIENTO BAJO S/N</v>
      </c>
      <c r="D9504" s="6" t="str">
        <f ca="1">IFERROR(__xludf.DUMMYFUNCTION("""COMPUTED_VALUE"""),"ALHUÉ")</f>
        <v>ALHUÉ</v>
      </c>
    </row>
    <row r="9505" spans="1:4">
      <c r="A9505" s="7">
        <f ca="1">IFERROR(__xludf.DUMMYFUNCTION("""COMPUTED_VALUE"""),44790)</f>
        <v>44790</v>
      </c>
      <c r="B9505" s="6" t="str">
        <f ca="1">IFERROR(__xludf.DUMMYFUNCTION("""COMPUTED_VALUE"""),"-34.031087-71.007375")</f>
        <v>-34.031087-71.007375</v>
      </c>
      <c r="C9505" s="6" t="str">
        <f ca="1">IFERROR(__xludf.DUMMYFUNCTION("""COMPUTED_VALUE"""),"EL ASIENTO BAJO S/N")</f>
        <v>EL ASIENTO BAJO S/N</v>
      </c>
      <c r="D9505" s="6" t="str">
        <f ca="1">IFERROR(__xludf.DUMMYFUNCTION("""COMPUTED_VALUE"""),"ALHUÉ")</f>
        <v>ALHUÉ</v>
      </c>
    </row>
    <row r="9506" spans="1:4">
      <c r="A9506" s="7">
        <f ca="1">IFERROR(__xludf.DUMMYFUNCTION("""COMPUTED_VALUE"""),44790)</f>
        <v>44790</v>
      </c>
      <c r="B9506" s="6" t="str">
        <f ca="1">IFERROR(__xludf.DUMMYFUNCTION("""COMPUTED_VALUE"""),"-34.030340-71.084672")</f>
        <v>-34.030340-71.084672</v>
      </c>
      <c r="C9506" s="6" t="str">
        <f ca="1">IFERROR(__xludf.DUMMYFUNCTION("""COMPUTED_VALUE"""),"EL ASIENTO S/N")</f>
        <v>EL ASIENTO S/N</v>
      </c>
      <c r="D9506" s="6" t="str">
        <f ca="1">IFERROR(__xludf.DUMMYFUNCTION("""COMPUTED_VALUE"""),"ALHUÉ")</f>
        <v>ALHUÉ</v>
      </c>
    </row>
    <row r="9507" spans="1:4">
      <c r="A9507" s="7">
        <f ca="1">IFERROR(__xludf.DUMMYFUNCTION("""COMPUTED_VALUE"""),44790)</f>
        <v>44790</v>
      </c>
      <c r="B9507" s="6" t="str">
        <f ca="1">IFERROR(__xludf.DUMMYFUNCTION("""COMPUTED_VALUE"""),"-34.032317-71.079579")</f>
        <v>-34.032317-71.079579</v>
      </c>
      <c r="C9507" s="6" t="str">
        <f ca="1">IFERROR(__xludf.DUMMYFUNCTION("""COMPUTED_VALUE"""),"CAMINO EL ASIENTO")</f>
        <v>CAMINO EL ASIENTO</v>
      </c>
      <c r="D9507" s="6" t="str">
        <f ca="1">IFERROR(__xludf.DUMMYFUNCTION("""COMPUTED_VALUE"""),"ALHUÉ")</f>
        <v>ALHUÉ</v>
      </c>
    </row>
    <row r="9508" spans="1:4">
      <c r="A9508" s="7">
        <f ca="1">IFERROR(__xludf.DUMMYFUNCTION("""COMPUTED_VALUE"""),44790)</f>
        <v>44790</v>
      </c>
      <c r="B9508" s="6" t="str">
        <f ca="1">IFERROR(__xludf.DUMMYFUNCTION("""COMPUTED_VALUE"""),"-33.673604,-71.173279")</f>
        <v>-33.673604,-71.173279</v>
      </c>
      <c r="C9508" s="6" t="str">
        <f ca="1">IFERROR(__xludf.DUMMYFUNCTION("""COMPUTED_VALUE"""),"CALLE BULGARIA 2135")</f>
        <v>CALLE BULGARIA 2135</v>
      </c>
      <c r="D9508" s="6" t="str">
        <f ca="1">IFERROR(__xludf.DUMMYFUNCTION("""COMPUTED_VALUE"""),"MELIPILLA")</f>
        <v>MELIPILLA</v>
      </c>
    </row>
    <row r="9509" spans="1:4">
      <c r="A9509" s="7">
        <f ca="1">IFERROR(__xludf.DUMMYFUNCTION("""COMPUTED_VALUE"""),44790)</f>
        <v>44790</v>
      </c>
      <c r="B9509" s="6" t="str">
        <f ca="1">IFERROR(__xludf.DUMMYFUNCTION("""COMPUTED_VALUE"""),"-33.657967,-70.629334")</f>
        <v>-33.657967,-70.629334</v>
      </c>
      <c r="C9509" s="6" t="str">
        <f ca="1">IFERROR(__xludf.DUMMYFUNCTION("""COMPUTED_VALUE"""),"SAN VICENTE SITIO 30 S/N")</f>
        <v>SAN VICENTE SITIO 30 S/N</v>
      </c>
      <c r="D9509" s="6" t="str">
        <f ca="1">IFERROR(__xludf.DUMMYFUNCTION("""COMPUTED_VALUE"""),"PIRQUE")</f>
        <v>PIRQUE</v>
      </c>
    </row>
    <row r="9510" spans="1:4">
      <c r="A9510" s="7">
        <f ca="1">IFERROR(__xludf.DUMMYFUNCTION("""COMPUTED_VALUE"""),44790)</f>
        <v>44790</v>
      </c>
      <c r="B9510" s="8" t="str">
        <f ca="1">IFERROR(__xludf.DUMMYFUNCTION("""COMPUTED_VALUE"""),"-33.689059,-71.220990")</f>
        <v>-33.689059,-71.220990</v>
      </c>
      <c r="C9510" s="6" t="str">
        <f ca="1">IFERROR(__xludf.DUMMYFUNCTION("""COMPUTED_VALUE"""),"SAN MIGUEL 998")</f>
        <v>SAN MIGUEL 998</v>
      </c>
      <c r="D9510" s="6" t="str">
        <f ca="1">IFERROR(__xludf.DUMMYFUNCTION("""COMPUTED_VALUE"""),"MELIPILLA")</f>
        <v>MELIPILLA</v>
      </c>
    </row>
    <row r="9511" spans="1:4">
      <c r="A9511" s="7">
        <f ca="1">IFERROR(__xludf.DUMMYFUNCTION("""COMPUTED_VALUE"""),44790)</f>
        <v>44790</v>
      </c>
      <c r="B9511" s="8" t="str">
        <f ca="1">IFERROR(__xludf.DUMMYFUNCTION("""COMPUTED_VALUE"""),"-33.569110,-71.212914")</f>
        <v>-33.569110,-71.212914</v>
      </c>
      <c r="C9511" s="6" t="str">
        <f ca="1">IFERROR(__xludf.DUMMYFUNCTION("""COMPUTED_VALUE"""),"LOS BOLDOS 256")</f>
        <v>LOS BOLDOS 256</v>
      </c>
      <c r="D9511" s="6" t="str">
        <f ca="1">IFERROR(__xludf.DUMMYFUNCTION("""COMPUTED_VALUE"""),"MELIPILLA")</f>
        <v>MELIPILLA</v>
      </c>
    </row>
    <row r="9512" spans="1:4">
      <c r="A9512" s="7">
        <f ca="1">IFERROR(__xludf.DUMMYFUNCTION("""COMPUTED_VALUE"""),44790)</f>
        <v>44790</v>
      </c>
      <c r="B9512" s="8" t="str">
        <f ca="1">IFERROR(__xludf.DUMMYFUNCTION("""COMPUTED_VALUE"""),"-33.206291,-70.679962")</f>
        <v>-33.206291,-70.679962</v>
      </c>
      <c r="C9512" s="6" t="str">
        <f ca="1">IFERROR(__xludf.DUMMYFUNCTION("""COMPUTED_VALUE"""),"CAUPOLICAN 037")</f>
        <v>CAUPOLICAN 037</v>
      </c>
      <c r="D9512" s="6" t="str">
        <f ca="1">IFERROR(__xludf.DUMMYFUNCTION("""COMPUTED_VALUE"""),"COLINA")</f>
        <v>COLINA</v>
      </c>
    </row>
    <row r="9513" spans="1:4">
      <c r="A9513" s="7">
        <f ca="1">IFERROR(__xludf.DUMMYFUNCTION("""COMPUTED_VALUE"""),44790)</f>
        <v>44790</v>
      </c>
      <c r="B9513" s="8" t="str">
        <f ca="1">IFERROR(__xludf.DUMMYFUNCTION("""COMPUTED_VALUE"""),"-33.271385,-70.698479")</f>
        <v>-33.271385,-70.698479</v>
      </c>
      <c r="C9513" s="6" t="str">
        <f ca="1">IFERROR(__xludf.DUMMYFUNCTION("""COMPUTED_VALUE"""),"STA LUISA PARCELA 2 SITIO A")</f>
        <v>STA LUISA PARCELA 2 SITIO A</v>
      </c>
      <c r="D9513" s="6" t="str">
        <f ca="1">IFERROR(__xludf.DUMMYFUNCTION("""COMPUTED_VALUE"""),"COLINA")</f>
        <v>COLINA</v>
      </c>
    </row>
    <row r="9514" spans="1:4">
      <c r="A9514" s="7">
        <f ca="1">IFERROR(__xludf.DUMMYFUNCTION("""COMPUTED_VALUE"""),44790)</f>
        <v>44790</v>
      </c>
      <c r="B9514" s="6" t="str">
        <f ca="1">IFERROR(__xludf.DUMMYFUNCTION("""COMPUTED_VALUE"""),"-33.798274,-70.796657")</f>
        <v>-33.798274,-70.796657</v>
      </c>
      <c r="C9514" s="6" t="str">
        <f ca="1">IFERROR(__xludf.DUMMYFUNCTION("""COMPUTED_VALUE"""),"CO. STA. FILOMENA 1637 SITIO 38")</f>
        <v>CO. STA. FILOMENA 1637 SITIO 38</v>
      </c>
      <c r="D9514" s="6" t="str">
        <f ca="1">IFERROR(__xludf.DUMMYFUNCTION("""COMPUTED_VALUE"""),"BUIN")</f>
        <v>BUIN</v>
      </c>
    </row>
    <row r="9515" spans="1:4">
      <c r="A9515" s="7">
        <f ca="1">IFERROR(__xludf.DUMMYFUNCTION("""COMPUTED_VALUE"""),44790)</f>
        <v>44790</v>
      </c>
      <c r="B9515" s="6" t="str">
        <f ca="1">IFERROR(__xludf.DUMMYFUNCTION("""COMPUTED_VALUE"""),"-33.747350,-71.232192")</f>
        <v>-33.747350,-71.232192</v>
      </c>
      <c r="C9515" s="6" t="str">
        <f ca="1">IFERROR(__xludf.DUMMYFUNCTION("""COMPUTED_VALUE"""),"CHOCALAN LOTE 2")</f>
        <v>CHOCALAN LOTE 2</v>
      </c>
      <c r="D9515" s="6" t="str">
        <f ca="1">IFERROR(__xludf.DUMMYFUNCTION("""COMPUTED_VALUE"""),"MELIPILLA")</f>
        <v>MELIPILLA</v>
      </c>
    </row>
    <row r="9516" spans="1:4">
      <c r="A9516" s="7">
        <f ca="1">IFERROR(__xludf.DUMMYFUNCTION("""COMPUTED_VALUE"""),44790)</f>
        <v>44790</v>
      </c>
      <c r="B9516" s="6" t="str">
        <f ca="1">IFERROR(__xludf.DUMMYFUNCTION("""COMPUTED_VALUE"""),"-33.747031,-71.232936")</f>
        <v>-33.747031,-71.232936</v>
      </c>
      <c r="C9516" s="6" t="str">
        <f ca="1">IFERROR(__xludf.DUMMYFUNCTION("""COMPUTED_VALUE"""),"CHOCALAN LOTE A2")</f>
        <v>CHOCALAN LOTE A2</v>
      </c>
      <c r="D9516" s="6" t="str">
        <f ca="1">IFERROR(__xludf.DUMMYFUNCTION("""COMPUTED_VALUE"""),"MELIPILLA")</f>
        <v>MELIPILLA</v>
      </c>
    </row>
    <row r="9517" spans="1:4">
      <c r="A9517" s="7">
        <f ca="1">IFERROR(__xludf.DUMMYFUNCTION("""COMPUTED_VALUE"""),44791)</f>
        <v>44791</v>
      </c>
      <c r="B9517" s="8" t="str">
        <f ca="1">IFERROR(__xludf.DUMMYFUNCTION("""COMPUTED_VALUE"""),"-33.7262123, -70.7425032")</f>
        <v>-33.7262123, -70.7425032</v>
      </c>
      <c r="C9517" s="6" t="str">
        <f ca="1">IFERROR(__xludf.DUMMYFUNCTION("""COMPUTED_VALUE"""),"MANUEL MONTT 0226")</f>
        <v>MANUEL MONTT 0226</v>
      </c>
      <c r="D9517" s="6" t="str">
        <f ca="1">IFERROR(__xludf.DUMMYFUNCTION("""COMPUTED_VALUE"""),"BUIN")</f>
        <v>BUIN</v>
      </c>
    </row>
    <row r="9518" spans="1:4">
      <c r="A9518" s="7">
        <f ca="1">IFERROR(__xludf.DUMMYFUNCTION("""COMPUTED_VALUE"""),44791)</f>
        <v>44791</v>
      </c>
      <c r="B9518" s="8" t="str">
        <f ca="1">IFERROR(__xludf.DUMMYFUNCTION("""COMPUTED_VALUE"""),"-33.2885867, -70.8766741")</f>
        <v>-33.2885867, -70.8766741</v>
      </c>
      <c r="C9518" s="6" t="str">
        <f ca="1">IFERROR(__xludf.DUMMYFUNCTION("""COMPUTED_VALUE"""),"LAGO RANCO 1310")</f>
        <v>LAGO RANCO 1310</v>
      </c>
      <c r="D9518" s="6" t="str">
        <f ca="1">IFERROR(__xludf.DUMMYFUNCTION("""COMPUTED_VALUE"""),"LAMPA")</f>
        <v>LAMPA</v>
      </c>
    </row>
    <row r="9519" spans="1:4">
      <c r="A9519" s="7">
        <f ca="1">IFERROR(__xludf.DUMMYFUNCTION("""COMPUTED_VALUE"""),44791)</f>
        <v>44791</v>
      </c>
      <c r="B9519" s="8" t="str">
        <f ca="1">IFERROR(__xludf.DUMMYFUNCTION("""COMPUTED_VALUE"""),"-33.7996591, -70.8257802")</f>
        <v>-33.7996591, -70.8257802</v>
      </c>
      <c r="C9519" s="6" t="str">
        <f ca="1">IFERROR(__xludf.DUMMYFUNCTION("""COMPUTED_VALUE"""),"CAMPUSANO 5561 PC 16")</f>
        <v>CAMPUSANO 5561 PC 16</v>
      </c>
      <c r="D9519" s="6" t="str">
        <f ca="1">IFERROR(__xludf.DUMMYFUNCTION("""COMPUTED_VALUE"""),"BUIN")</f>
        <v>BUIN</v>
      </c>
    </row>
    <row r="9520" spans="1:4">
      <c r="A9520" s="7">
        <f ca="1">IFERROR(__xludf.DUMMYFUNCTION("""COMPUTED_VALUE"""),44791)</f>
        <v>44791</v>
      </c>
      <c r="B9520" s="8" t="str">
        <f ca="1">IFERROR(__xludf.DUMMYFUNCTION("""COMPUTED_VALUE"""),"-33.2565912, -70.8849424")</f>
        <v>-33.2565912, -70.8849424</v>
      </c>
      <c r="C9520" s="6" t="str">
        <f ca="1">IFERROR(__xludf.DUMMYFUNCTION("""COMPUTED_VALUE"""),"JOAQUIN UNDURRGA 18")</f>
        <v>JOAQUIN UNDURRGA 18</v>
      </c>
      <c r="D9520" s="6" t="str">
        <f ca="1">IFERROR(__xludf.DUMMYFUNCTION("""COMPUTED_VALUE"""),"LAMPA")</f>
        <v>LAMPA</v>
      </c>
    </row>
    <row r="9521" spans="1:4">
      <c r="A9521" s="7">
        <f ca="1">IFERROR(__xludf.DUMMYFUNCTION("""COMPUTED_VALUE"""),44791)</f>
        <v>44791</v>
      </c>
      <c r="B9521" s="6" t="str">
        <f ca="1">IFERROR(__xludf.DUMMYFUNCTION("""COMPUTED_VALUE"""),"-33.661882,-70.932880")</f>
        <v>-33.661882,-70.932880</v>
      </c>
      <c r="C9521" s="6" t="str">
        <f ca="1">IFERROR(__xludf.DUMMYFUNCTION("""COMPUTED_VALUE"""),"PASAJE DOS 516")</f>
        <v>PASAJE DOS 516</v>
      </c>
      <c r="D9521" s="6" t="str">
        <f ca="1">IFERROR(__xludf.DUMMYFUNCTION("""COMPUTED_VALUE"""),"TALAGANTE")</f>
        <v>TALAGANTE</v>
      </c>
    </row>
    <row r="9522" spans="1:4">
      <c r="A9522" s="7">
        <f ca="1">IFERROR(__xludf.DUMMYFUNCTION("""COMPUTED_VALUE"""),44791)</f>
        <v>44791</v>
      </c>
      <c r="B9522" s="6" t="str">
        <f ca="1">IFERROR(__xludf.DUMMYFUNCTION("""COMPUTED_VALUE"""),"-33.735000.-70.859419")</f>
        <v>-33.735000.-70.859419</v>
      </c>
      <c r="C9522" s="6" t="str">
        <f ca="1">IFERROR(__xludf.DUMMYFUNCTION("""COMPUTED_VALUE"""),"CAPERANIA 4615")</f>
        <v>CAPERANIA 4615</v>
      </c>
      <c r="D9522" s="6" t="str">
        <f ca="1">IFERROR(__xludf.DUMMYFUNCTION("""COMPUTED_VALUE"""),"ISLA DE MAIPO")</f>
        <v>ISLA DE MAIPO</v>
      </c>
    </row>
    <row r="9523" spans="1:4">
      <c r="A9523" s="7">
        <f ca="1">IFERROR(__xludf.DUMMYFUNCTION("""COMPUTED_VALUE"""),44791)</f>
        <v>44791</v>
      </c>
      <c r="B9523" s="8" t="str">
        <f ca="1">IFERROR(__xludf.DUMMYFUNCTION("""COMPUTED_VALUE"""),"-33.277847,-70.887146")</f>
        <v>-33.277847,-70.887146</v>
      </c>
      <c r="C9523" s="6" t="str">
        <f ca="1">IFERROR(__xludf.DUMMYFUNCTION("""COMPUTED_VALUE"""),"MANUEL RODRIGUEZ 189 CASA 28 ")</f>
        <v xml:space="preserve">MANUEL RODRIGUEZ 189 CASA 28 </v>
      </c>
      <c r="D9523" s="6" t="str">
        <f ca="1">IFERROR(__xludf.DUMMYFUNCTION("""COMPUTED_VALUE"""),"LAMPA")</f>
        <v>LAMPA</v>
      </c>
    </row>
    <row r="9524" spans="1:4">
      <c r="A9524" s="7">
        <f ca="1">IFERROR(__xludf.DUMMYFUNCTION("""COMPUTED_VALUE"""),44791)</f>
        <v>44791</v>
      </c>
      <c r="B9524" s="8" t="str">
        <f ca="1">IFERROR(__xludf.DUMMYFUNCTION("""COMPUTED_VALUE"""),"-33.278061,-70.887016")</f>
        <v>-33.278061,-70.887016</v>
      </c>
      <c r="C9524" s="6" t="str">
        <f ca="1">IFERROR(__xludf.DUMMYFUNCTION("""COMPUTED_VALUE"""),"MANUEL RODRIGUEZ 189 CASA 38")</f>
        <v>MANUEL RODRIGUEZ 189 CASA 38</v>
      </c>
      <c r="D9524" s="6" t="str">
        <f ca="1">IFERROR(__xludf.DUMMYFUNCTION("""COMPUTED_VALUE"""),"LAMPA")</f>
        <v>LAMPA</v>
      </c>
    </row>
    <row r="9525" spans="1:4">
      <c r="A9525" s="7">
        <f ca="1">IFERROR(__xludf.DUMMYFUNCTION("""COMPUTED_VALUE"""),44791)</f>
        <v>44791</v>
      </c>
      <c r="B9525" s="8" t="str">
        <f ca="1">IFERROR(__xludf.DUMMYFUNCTION("""COMPUTED_VALUE"""),"-33.6027222,-70.866253")</f>
        <v>-33.6027222,-70.866253</v>
      </c>
      <c r="C9525" s="6" t="str">
        <f ca="1">IFERROR(__xludf.DUMMYFUNCTION("""COMPUTED_VALUE"""),"NUEVA LA FLORIDA 974")</f>
        <v>NUEVA LA FLORIDA 974</v>
      </c>
      <c r="D9525" s="6" t="str">
        <f ca="1">IFERROR(__xludf.DUMMYFUNCTION("""COMPUTED_VALUE"""),"PEÑAFLOR")</f>
        <v>PEÑAFLOR</v>
      </c>
    </row>
    <row r="9526" spans="1:4">
      <c r="A9526" s="7">
        <f ca="1">IFERROR(__xludf.DUMMYFUNCTION("""COMPUTED_VALUE"""),44791)</f>
        <v>44791</v>
      </c>
      <c r="B9526" s="8" t="str">
        <f ca="1">IFERROR(__xludf.DUMMYFUNCTION("""COMPUTED_VALUE"""),"-33.746462,-71.2025509")</f>
        <v>-33.746462,-71.2025509</v>
      </c>
      <c r="C9526" s="6" t="str">
        <f ca="1">IFERROR(__xludf.DUMMYFUNCTION("""COMPUTED_VALUE"""),"PARCELA 3 LOTE 3 PABELLON ")</f>
        <v xml:space="preserve">PARCELA 3 LOTE 3 PABELLON </v>
      </c>
      <c r="D9526" s="6" t="str">
        <f ca="1">IFERROR(__xludf.DUMMYFUNCTION("""COMPUTED_VALUE"""),"MELIPILLA")</f>
        <v>MELIPILLA</v>
      </c>
    </row>
    <row r="9527" spans="1:4">
      <c r="A9527" s="7">
        <f ca="1">IFERROR(__xludf.DUMMYFUNCTION("""COMPUTED_VALUE"""),44791)</f>
        <v>44791</v>
      </c>
      <c r="B9527" s="6" t="str">
        <f ca="1">IFERROR(__xludf.DUMMYFUNCTION("""COMPUTED_VALUE"""),"-33.803712,-70.715961")</f>
        <v>-33.803712,-70.715961</v>
      </c>
      <c r="C9527" s="6" t="str">
        <f ca="1">IFERROR(__xludf.DUMMYFUNCTION("""COMPUTED_VALUE"""),"CA. UNO 2014")</f>
        <v>CA. UNO 2014</v>
      </c>
      <c r="D9527" s="6" t="str">
        <f ca="1">IFERROR(__xludf.DUMMYFUNCTION("""COMPUTED_VALUE"""),"PAINE")</f>
        <v>PAINE</v>
      </c>
    </row>
    <row r="9528" spans="1:4">
      <c r="A9528" s="7">
        <f ca="1">IFERROR(__xludf.DUMMYFUNCTION("""COMPUTED_VALUE"""),44791)</f>
        <v>44791</v>
      </c>
      <c r="B9528" s="6" t="str">
        <f ca="1">IFERROR(__xludf.DUMMYFUNCTION("""COMPUTED_VALUE"""),"-33.879542,-70.932967")</f>
        <v>-33.879542,-70.932967</v>
      </c>
      <c r="C9528" s="6" t="str">
        <f ca="1">IFERROR(__xludf.DUMMYFUNCTION("""COMPUTED_VALUE"""),"CARTAGENA 26")</f>
        <v>CARTAGENA 26</v>
      </c>
      <c r="D9528" s="6" t="str">
        <f ca="1">IFERROR(__xludf.DUMMYFUNCTION("""COMPUTED_VALUE"""),"PAINE")</f>
        <v>PAINE</v>
      </c>
    </row>
    <row r="9529" spans="1:4">
      <c r="A9529" s="7">
        <f ca="1">IFERROR(__xludf.DUMMYFUNCTION("""COMPUTED_VALUE"""),44791)</f>
        <v>44791</v>
      </c>
      <c r="B9529" s="6" t="str">
        <f ca="1">IFERROR(__xludf.DUMMYFUNCTION("""COMPUTED_VALUE"""),"-33.692177,-71.188093")</f>
        <v>-33.692177,-71.188093</v>
      </c>
      <c r="C9529" s="6" t="str">
        <f ca="1">IFERROR(__xludf.DUMMYFUNCTION("""COMPUTED_VALUE"""),"EL BAJO 26")</f>
        <v>EL BAJO 26</v>
      </c>
      <c r="D9529" s="6" t="str">
        <f ca="1">IFERROR(__xludf.DUMMYFUNCTION("""COMPUTED_VALUE"""),"MELIPILLA")</f>
        <v>MELIPILLA</v>
      </c>
    </row>
    <row r="9530" spans="1:4">
      <c r="A9530" s="7">
        <f ca="1">IFERROR(__xludf.DUMMYFUNCTION("""COMPUTED_VALUE"""),44791)</f>
        <v>44791</v>
      </c>
      <c r="B9530" s="6" t="str">
        <f ca="1">IFERROR(__xludf.DUMMYFUNCTION("""COMPUTED_VALUE"""),"-33.710762,-71.283579")</f>
        <v>-33.710762,-71.283579</v>
      </c>
      <c r="C9530" s="6" t="str">
        <f ca="1">IFERROR(__xludf.DUMMYFUNCTION("""COMPUTED_VALUE"""),"HUELCHUN S/N")</f>
        <v>HUELCHUN S/N</v>
      </c>
      <c r="D9530" s="6" t="str">
        <f ca="1">IFERROR(__xludf.DUMMYFUNCTION("""COMPUTED_VALUE"""),"MELIPILLA")</f>
        <v>MELIPILLA</v>
      </c>
    </row>
    <row r="9531" spans="1:4">
      <c r="A9531" s="7">
        <f ca="1">IFERROR(__xludf.DUMMYFUNCTION("""COMPUTED_VALUE"""),44792)</f>
        <v>44792</v>
      </c>
      <c r="B9531" s="6" t="str">
        <f ca="1">IFERROR(__xludf.DUMMYFUNCTION("""COMPUTED_VALUE"""),"-33.746551,-70.912063")</f>
        <v>-33.746551,-70.912063</v>
      </c>
      <c r="C9531" s="6" t="str">
        <f ca="1">IFERROR(__xludf.DUMMYFUNCTION("""COMPUTED_VALUE"""),"LO MARTINEZ 1048")</f>
        <v>LO MARTINEZ 1048</v>
      </c>
      <c r="D9531" s="6" t="str">
        <f ca="1">IFERROR(__xludf.DUMMYFUNCTION("""COMPUTED_VALUE"""),"ISLA DE MAIPO")</f>
        <v>ISLA DE MAIPO</v>
      </c>
    </row>
    <row r="9532" spans="1:4">
      <c r="A9532" s="7">
        <f ca="1">IFERROR(__xludf.DUMMYFUNCTION("""COMPUTED_VALUE"""),44792)</f>
        <v>44792</v>
      </c>
      <c r="B9532" s="8" t="str">
        <f ca="1">IFERROR(__xludf.DUMMYFUNCTION("""COMPUTED_VALUE"""),"-33.577190,-70.830038")</f>
        <v>-33.577190,-70.830038</v>
      </c>
      <c r="C9532" s="6" t="str">
        <f ca="1">IFERROR(__xludf.DUMMYFUNCTION("""COMPUTED_VALUE"""),"PADRE GUSTAVO LE PAIGE 1775")</f>
        <v>PADRE GUSTAVO LE PAIGE 1775</v>
      </c>
      <c r="D9532" s="6" t="str">
        <f ca="1">IFERROR(__xludf.DUMMYFUNCTION("""COMPUTED_VALUE"""),"PADRE HURTADO")</f>
        <v>PADRE HURTADO</v>
      </c>
    </row>
    <row r="9533" spans="1:4">
      <c r="A9533" s="7">
        <f ca="1">IFERROR(__xludf.DUMMYFUNCTION("""COMPUTED_VALUE"""),44792)</f>
        <v>44792</v>
      </c>
      <c r="B9533" s="8" t="str">
        <f ca="1">IFERROR(__xludf.DUMMYFUNCTION("""COMPUTED_VALUE"""),"-33.673742,-71.178770")</f>
        <v>-33.673742,-71.178770</v>
      </c>
      <c r="C9533" s="6" t="str">
        <f ca="1">IFERROR(__xludf.DUMMYFUNCTION("""COMPUTED_VALUE"""),"FRANCIA 1973")</f>
        <v>FRANCIA 1973</v>
      </c>
      <c r="D9533" s="6" t="str">
        <f ca="1">IFERROR(__xludf.DUMMYFUNCTION("""COMPUTED_VALUE"""),"MELIPILLA")</f>
        <v>MELIPILLA</v>
      </c>
    </row>
    <row r="9534" spans="1:4">
      <c r="A9534" s="7">
        <f ca="1">IFERROR(__xludf.DUMMYFUNCTION("""COMPUTED_VALUE"""),44792)</f>
        <v>44792</v>
      </c>
      <c r="B9534" s="8" t="str">
        <f ca="1">IFERROR(__xludf.DUMMYFUNCTION("""COMPUTED_VALUE"""),"-33.629490,-70.801826")</f>
        <v>-33.629490,-70.801826</v>
      </c>
      <c r="C9534" s="6" t="str">
        <f ca="1">IFERROR(__xludf.DUMMYFUNCTION("""COMPUTED_VALUE"""),"SANTA INES CASA 30 ")</f>
        <v xml:space="preserve">SANTA INES CASA 30 </v>
      </c>
      <c r="D9534" s="6" t="str">
        <f ca="1">IFERROR(__xludf.DUMMYFUNCTION("""COMPUTED_VALUE"""),"CALERA DE TANGO")</f>
        <v>CALERA DE TANGO</v>
      </c>
    </row>
    <row r="9535" spans="1:4">
      <c r="A9535" s="7">
        <f ca="1">IFERROR(__xludf.DUMMYFUNCTION("""COMPUTED_VALUE"""),44792)</f>
        <v>44792</v>
      </c>
      <c r="B9535" s="6" t="str">
        <f ca="1">IFERROR(__xludf.DUMMYFUNCTION("""COMPUTED_VALUE"""),"-33.280711,-70.848062")</f>
        <v>-33.280711,-70.848062</v>
      </c>
      <c r="C9535" s="6" t="str">
        <f ca="1">IFERROR(__xludf.DUMMYFUNCTION("""COMPUTED_VALUE"""),"CAM. INT. PORVENIR P18")</f>
        <v>CAM. INT. PORVENIR P18</v>
      </c>
      <c r="D9535" s="6" t="str">
        <f ca="1">IFERROR(__xludf.DUMMYFUNCTION("""COMPUTED_VALUE"""),"LAMPA")</f>
        <v>LAMPA</v>
      </c>
    </row>
    <row r="9536" spans="1:4">
      <c r="A9536" s="7">
        <f ca="1">IFERROR(__xludf.DUMMYFUNCTION("""COMPUTED_VALUE"""),44792)</f>
        <v>44792</v>
      </c>
      <c r="B9536" s="6" t="str">
        <f ca="1">IFERROR(__xludf.DUMMYFUNCTION("""COMPUTED_VALUE"""),"-33.280711,-70.848062")</f>
        <v>-33.280711,-70.848062</v>
      </c>
      <c r="C9536" s="6" t="str">
        <f ca="1">IFERROR(__xludf.DUMMYFUNCTION("""COMPUTED_VALUE"""),"CAM. INT. PORVENIR P18")</f>
        <v>CAM. INT. PORVENIR P18</v>
      </c>
      <c r="D9536" s="6" t="str">
        <f ca="1">IFERROR(__xludf.DUMMYFUNCTION("""COMPUTED_VALUE"""),"LAMPA")</f>
        <v>LAMPA</v>
      </c>
    </row>
    <row r="9537" spans="1:4">
      <c r="A9537" s="7">
        <f ca="1">IFERROR(__xludf.DUMMYFUNCTION("""COMPUTED_VALUE"""),44792)</f>
        <v>44792</v>
      </c>
      <c r="B9537" s="6" t="str">
        <f ca="1">IFERROR(__xludf.DUMMYFUNCTION("""COMPUTED_VALUE"""),"-33.804895,-70.860497")</f>
        <v>-33.804895,-70.860497</v>
      </c>
      <c r="C9537" s="6" t="str">
        <f ca="1">IFERROR(__xludf.DUMMYFUNCTION("""COMPUTED_VALUE"""),"GUACOLDA 363")</f>
        <v>GUACOLDA 363</v>
      </c>
      <c r="D9537" s="6" t="str">
        <f ca="1">IFERROR(__xludf.DUMMYFUNCTION("""COMPUTED_VALUE"""),"BUIN")</f>
        <v>BUIN</v>
      </c>
    </row>
    <row r="9538" spans="1:4">
      <c r="A9538" s="7">
        <f ca="1">IFERROR(__xludf.DUMMYFUNCTION("""COMPUTED_VALUE"""),44792)</f>
        <v>44792</v>
      </c>
      <c r="B9538" s="6" t="str">
        <f ca="1">IFERROR(__xludf.DUMMYFUNCTION("""COMPUTED_VALUE"""),"-33.803903,-70.854370")</f>
        <v>-33.803903,-70.854370</v>
      </c>
      <c r="C9538" s="6" t="str">
        <f ca="1">IFERROR(__xludf.DUMMYFUNCTION("""COMPUTED_VALUE"""),"AV CHILE 105")</f>
        <v>AV CHILE 105</v>
      </c>
      <c r="D9538" s="6" t="str">
        <f ca="1">IFERROR(__xludf.DUMMYFUNCTION("""COMPUTED_VALUE"""),"BUIN")</f>
        <v>BUIN</v>
      </c>
    </row>
    <row r="9539" spans="1:4">
      <c r="A9539" s="7">
        <f ca="1">IFERROR(__xludf.DUMMYFUNCTION("""COMPUTED_VALUE"""),44792)</f>
        <v>44792</v>
      </c>
      <c r="B9539" s="6" t="str">
        <f ca="1">IFERROR(__xludf.DUMMYFUNCTION("""COMPUTED_VALUE"""),"-33.722576,-70.737922")</f>
        <v>-33.722576,-70.737922</v>
      </c>
      <c r="C9539" s="6" t="str">
        <f ca="1">IFERROR(__xludf.DUMMYFUNCTION("""COMPUTED_VALUE"""),"ANIBAL VALDEZ 140")</f>
        <v>ANIBAL VALDEZ 140</v>
      </c>
      <c r="D9539" s="6" t="str">
        <f ca="1">IFERROR(__xludf.DUMMYFUNCTION("""COMPUTED_VALUE"""),"BUIN")</f>
        <v>BUIN</v>
      </c>
    </row>
    <row r="9540" spans="1:4">
      <c r="A9540" s="7">
        <f ca="1">IFERROR(__xludf.DUMMYFUNCTION("""COMPUTED_VALUE"""),44793)</f>
        <v>44793</v>
      </c>
      <c r="B9540" s="6" t="str">
        <f ca="1">IFERROR(__xludf.DUMMYFUNCTION("""COMPUTED_VALUE"""),"-33.400015-71.130169")</f>
        <v>-33.400015-71.130169</v>
      </c>
      <c r="C9540" s="6" t="str">
        <f ca="1">IFERROR(__xludf.DUMMYFUNCTION("""COMPUTED_VALUE"""),"FRANCISCO SAAVEDRA 1973")</f>
        <v>FRANCISCO SAAVEDRA 1973</v>
      </c>
      <c r="D9540" s="6" t="str">
        <f ca="1">IFERROR(__xludf.DUMMYFUNCTION("""COMPUTED_VALUE"""),"CURACAVI")</f>
        <v>CURACAVI</v>
      </c>
    </row>
    <row r="9541" spans="1:4">
      <c r="A9541" s="7">
        <f ca="1">IFERROR(__xludf.DUMMYFUNCTION("""COMPUTED_VALUE"""),44793)</f>
        <v>44793</v>
      </c>
      <c r="B9541" s="6" t="str">
        <f ca="1">IFERROR(__xludf.DUMMYFUNCTION("""COMPUTED_VALUE"""),"-33.870923, -70.641699")</f>
        <v>-33.870923, -70.641699</v>
      </c>
      <c r="C9541" s="6" t="str">
        <f ca="1">IFERROR(__xludf.DUMMYFUNCTION("""COMPUTED_VALUE"""),"PADRE HURTADO S/20")</f>
        <v>PADRE HURTADO S/20</v>
      </c>
      <c r="D9541" s="6" t="str">
        <f ca="1">IFERROR(__xludf.DUMMYFUNCTION("""COMPUTED_VALUE"""),"PAINE")</f>
        <v>PAINE</v>
      </c>
    </row>
    <row r="9542" spans="1:4">
      <c r="A9542" s="7">
        <f ca="1">IFERROR(__xludf.DUMMYFUNCTION("""COMPUTED_VALUE"""),44793)</f>
        <v>44793</v>
      </c>
      <c r="B9542" s="6" t="str">
        <f ca="1">IFERROR(__xludf.DUMMYFUNCTION("""COMPUTED_VALUE"""),"-33.803875,-70.701234")</f>
        <v>-33.803875,-70.701234</v>
      </c>
      <c r="C9542" s="6" t="str">
        <f ca="1">IFERROR(__xludf.DUMMYFUNCTION("""COMPUTED_VALUE"""),"DIECIOCHO DE SEPTIEMBRE 3315")</f>
        <v>DIECIOCHO DE SEPTIEMBRE 3315</v>
      </c>
      <c r="D9542" s="6" t="str">
        <f ca="1">IFERROR(__xludf.DUMMYFUNCTION("""COMPUTED_VALUE"""),"PAINE")</f>
        <v>PAINE</v>
      </c>
    </row>
    <row r="9543" spans="1:4">
      <c r="A9543" s="7">
        <f ca="1">IFERROR(__xludf.DUMMYFUNCTION("""COMPUTED_VALUE"""),44793)</f>
        <v>44793</v>
      </c>
      <c r="B9543" s="6" t="str">
        <f ca="1">IFERROR(__xludf.DUMMYFUNCTION("""COMPUTED_VALUE"""),"-33.806987,-70.731630")</f>
        <v>-33.806987,-70.731630</v>
      </c>
      <c r="C9543" s="6" t="str">
        <f ca="1">IFERROR(__xludf.DUMMYFUNCTION("""COMPUTED_VALUE"""),"DIECIOCHO DE SEPTIEMBRE 727")</f>
        <v>DIECIOCHO DE SEPTIEMBRE 727</v>
      </c>
      <c r="D9543" s="6" t="str">
        <f ca="1">IFERROR(__xludf.DUMMYFUNCTION("""COMPUTED_VALUE"""),"PAINE")</f>
        <v>PAINE</v>
      </c>
    </row>
    <row r="9544" spans="1:4">
      <c r="A9544" s="7">
        <f ca="1">IFERROR(__xludf.DUMMYFUNCTION("""COMPUTED_VALUE"""),44793)</f>
        <v>44793</v>
      </c>
      <c r="B9544" s="6" t="str">
        <f ca="1">IFERROR(__xludf.DUMMYFUNCTION("""COMPUTED_VALUE"""),"-33.833956,-70.730586")</f>
        <v>-33.833956,-70.730586</v>
      </c>
      <c r="C9544" s="6" t="str">
        <f ca="1">IFERROR(__xludf.DUMMYFUNCTION("""COMPUTED_VALUE"""),"NUEVO HORIZONTE P/16")</f>
        <v>NUEVO HORIZONTE P/16</v>
      </c>
      <c r="D9544" s="6" t="str">
        <f ca="1">IFERROR(__xludf.DUMMYFUNCTION("""COMPUTED_VALUE"""),"PAINE")</f>
        <v>PAINE</v>
      </c>
    </row>
    <row r="9545" spans="1:4">
      <c r="A9545" s="7">
        <f ca="1">IFERROR(__xludf.DUMMYFUNCTION("""COMPUTED_VALUE"""),44795)</f>
        <v>44795</v>
      </c>
      <c r="B9545" s="6" t="str">
        <f ca="1">IFERROR(__xludf.DUMMYFUNCTION("""COMPUTED_VALUE"""),"-33.732638,-70.937176")</f>
        <v>-33.732638,-70.937176</v>
      </c>
      <c r="C9545" s="6" t="str">
        <f ca="1">IFERROR(__xludf.DUMMYFUNCTION("""COMPUTED_VALUE"""),"SAN ANTONIO 3048")</f>
        <v>SAN ANTONIO 3048</v>
      </c>
      <c r="D9545" s="6" t="str">
        <f ca="1">IFERROR(__xludf.DUMMYFUNCTION("""COMPUTED_VALUE"""),"ISLA DE MAIPO")</f>
        <v>ISLA DE MAIPO</v>
      </c>
    </row>
    <row r="9546" spans="1:4">
      <c r="A9546" s="7">
        <f ca="1">IFERROR(__xludf.DUMMYFUNCTION("""COMPUTED_VALUE"""),44795)</f>
        <v>44795</v>
      </c>
      <c r="B9546" s="8" t="str">
        <f ca="1">IFERROR(__xludf.DUMMYFUNCTION("""COMPUTED_VALUE"""),"-34.030637,-71.081190")</f>
        <v>-34.030637,-71.081190</v>
      </c>
      <c r="C9546" s="6" t="str">
        <f ca="1">IFERROR(__xludf.DUMMYFUNCTION("""COMPUTED_VALUE"""),"POBLACION IGNACIO CARRERA PINTO ")</f>
        <v xml:space="preserve">POBLACION IGNACIO CARRERA PINTO </v>
      </c>
      <c r="D9546" s="6" t="str">
        <f ca="1">IFERROR(__xludf.DUMMYFUNCTION("""COMPUTED_VALUE"""),"ALHUÉ")</f>
        <v>ALHUÉ</v>
      </c>
    </row>
    <row r="9547" spans="1:4">
      <c r="A9547" s="7">
        <f ca="1">IFERROR(__xludf.DUMMYFUNCTION("""COMPUTED_VALUE"""),44795)</f>
        <v>44795</v>
      </c>
      <c r="B9547" s="8" t="str">
        <f ca="1">IFERROR(__xludf.DUMMYFUNCTION("""COMPUTED_VALUE"""),"-34.035729,-71.097362")</f>
        <v>-34.035729,-71.097362</v>
      </c>
      <c r="C9547" s="6" t="str">
        <f ca="1">IFERROR(__xludf.DUMMYFUNCTION("""COMPUTED_VALUE"""),"CALLE MAIPU 558 A ")</f>
        <v xml:space="preserve">CALLE MAIPU 558 A </v>
      </c>
      <c r="D9547" s="6" t="str">
        <f ca="1">IFERROR(__xludf.DUMMYFUNCTION("""COMPUTED_VALUE"""),"ALHUÉ")</f>
        <v>ALHUÉ</v>
      </c>
    </row>
    <row r="9548" spans="1:4">
      <c r="A9548" s="7">
        <f ca="1">IFERROR(__xludf.DUMMYFUNCTION("""COMPUTED_VALUE"""),44795)</f>
        <v>44795</v>
      </c>
      <c r="B9548" s="6" t="str">
        <f ca="1">IFERROR(__xludf.DUMMYFUNCTION("""COMPUTED_VALUE"""),"-33.740961,-70.677465")</f>
        <v>-33.740961,-70.677465</v>
      </c>
      <c r="C9548" s="6" t="str">
        <f ca="1">IFERROR(__xludf.DUMMYFUNCTION("""COMPUTED_VALUE"""),"ROUSSANNE 48")</f>
        <v>ROUSSANNE 48</v>
      </c>
      <c r="D9548" s="6" t="str">
        <f ca="1">IFERROR(__xludf.DUMMYFUNCTION("""COMPUTED_VALUE"""),"BUIN")</f>
        <v>BUIN</v>
      </c>
    </row>
    <row r="9549" spans="1:4">
      <c r="A9549" s="7">
        <f ca="1">IFERROR(__xludf.DUMMYFUNCTION("""COMPUTED_VALUE"""),44795)</f>
        <v>44795</v>
      </c>
      <c r="B9549" s="6" t="str">
        <f ca="1">IFERROR(__xludf.DUMMYFUNCTION("""COMPUTED_VALUE"""),"-33.720415,-70.556102")</f>
        <v>-33.720415,-70.556102</v>
      </c>
      <c r="C9549" s="6" t="str">
        <f ca="1">IFERROR(__xludf.DUMMYFUNCTION("""COMPUTED_VALUE"""),"LUIS NAVARRETE 126")</f>
        <v>LUIS NAVARRETE 126</v>
      </c>
      <c r="D9549" s="6" t="str">
        <f ca="1">IFERROR(__xludf.DUMMYFUNCTION("""COMPUTED_VALUE"""),"PIRQUE")</f>
        <v>PIRQUE</v>
      </c>
    </row>
    <row r="9550" spans="1:4">
      <c r="A9550" s="7">
        <f ca="1">IFERROR(__xludf.DUMMYFUNCTION("""COMPUTED_VALUE"""),44795)</f>
        <v>44795</v>
      </c>
      <c r="B9550" s="6" t="str">
        <f ca="1">IFERROR(__xludf.DUMMYFUNCTION("""COMPUTED_VALUE"""),"-33.800850,-70.739351")</f>
        <v>-33.800850,-70.739351</v>
      </c>
      <c r="C9550" s="6" t="str">
        <f ca="1">IFERROR(__xludf.DUMMYFUNCTION("""COMPUTED_VALUE"""),"TRICOLOR DE PAINE 313")</f>
        <v>TRICOLOR DE PAINE 313</v>
      </c>
      <c r="D9550" s="6" t="str">
        <f ca="1">IFERROR(__xludf.DUMMYFUNCTION("""COMPUTED_VALUE"""),"PAINE")</f>
        <v>PAINE</v>
      </c>
    </row>
    <row r="9551" spans="1:4">
      <c r="A9551" s="7">
        <f ca="1">IFERROR(__xludf.DUMMYFUNCTION("""COMPUTED_VALUE"""),44796)</f>
        <v>44796</v>
      </c>
      <c r="B9551" s="8" t="str">
        <f ca="1">IFERROR(__xludf.DUMMYFUNCTION("""COMPUTED_VALUE"""),"-33.7201683, -70.548409")</f>
        <v>-33.7201683, -70.548409</v>
      </c>
      <c r="C9551" s="6" t="str">
        <f ca="1">IFERROR(__xludf.DUMMYFUNCTION("""COMPUTED_VALUE"""),"LA LECHERÍA S/N")</f>
        <v>LA LECHERÍA S/N</v>
      </c>
      <c r="D9551" s="6" t="str">
        <f ca="1">IFERROR(__xludf.DUMMYFUNCTION("""COMPUTED_VALUE"""),"PIRQUE")</f>
        <v>PIRQUE</v>
      </c>
    </row>
    <row r="9552" spans="1:4">
      <c r="A9552" s="7">
        <f ca="1">IFERROR(__xludf.DUMMYFUNCTION("""COMPUTED_VALUE"""),44796)</f>
        <v>44796</v>
      </c>
      <c r="B9552" s="6" t="str">
        <f ca="1">IFERROR(__xludf.DUMMYFUNCTION("""COMPUTED_VALUE"""),"-33.578009-70.808064")</f>
        <v>-33.578009-70.808064</v>
      </c>
      <c r="C9552" s="6" t="str">
        <f ca="1">IFERROR(__xludf.DUMMYFUNCTION("""COMPUTED_VALUE"""),"RIO ACONCAGUA 1170")</f>
        <v>RIO ACONCAGUA 1170</v>
      </c>
      <c r="D9552" s="6" t="str">
        <f ca="1">IFERROR(__xludf.DUMMYFUNCTION("""COMPUTED_VALUE"""),"PADRE HURTADO")</f>
        <v>PADRE HURTADO</v>
      </c>
    </row>
    <row r="9553" spans="1:4">
      <c r="A9553" s="7">
        <f ca="1">IFERROR(__xludf.DUMMYFUNCTION("""COMPUTED_VALUE"""),44796)</f>
        <v>44796</v>
      </c>
      <c r="B9553" s="6" t="str">
        <f ca="1">IFERROR(__xludf.DUMMYFUNCTION("""COMPUTED_VALUE"""),"-33.64937-70.34972")</f>
        <v>-33.64937-70.34972</v>
      </c>
      <c r="C9553" s="6" t="str">
        <f ca="1">IFERROR(__xludf.DUMMYFUNCTION("""COMPUTED_VALUE"""),"AV. EL CARMEN 20644")</f>
        <v>AV. EL CARMEN 20644</v>
      </c>
      <c r="D9553" s="6" t="str">
        <f ca="1">IFERROR(__xludf.DUMMYFUNCTION("""COMPUTED_VALUE"""),"SAN JOSE DE MAIPO")</f>
        <v>SAN JOSE DE MAIPO</v>
      </c>
    </row>
    <row r="9554" spans="1:4">
      <c r="A9554" s="7">
        <f ca="1">IFERROR(__xludf.DUMMYFUNCTION("""COMPUTED_VALUE"""),44796)</f>
        <v>44796</v>
      </c>
      <c r="B9554" s="6" t="str">
        <f ca="1">IFERROR(__xludf.DUMMYFUNCTION("""COMPUTED_VALUE"""),"-33.63357-70.35164")</f>
        <v>-33.63357-70.35164</v>
      </c>
      <c r="C9554" s="6" t="str">
        <f ca="1">IFERROR(__xludf.DUMMYFUNCTION("""COMPUTED_VALUE"""),"COMERCIO 19001")</f>
        <v>COMERCIO 19001</v>
      </c>
      <c r="D9554" s="6" t="str">
        <f ca="1">IFERROR(__xludf.DUMMYFUNCTION("""COMPUTED_VALUE"""),"SAN JOSE DE MAIPO")</f>
        <v>SAN JOSE DE MAIPO</v>
      </c>
    </row>
    <row r="9555" spans="1:4">
      <c r="A9555" s="7">
        <f ca="1">IFERROR(__xludf.DUMMYFUNCTION("""COMPUTED_VALUE"""),44796)</f>
        <v>44796</v>
      </c>
      <c r="B9555" s="6" t="str">
        <f ca="1">IFERROR(__xludf.DUMMYFUNCTION("""COMPUTED_VALUE"""),"-33.288743-70.769843")</f>
        <v>-33.288743-70.769843</v>
      </c>
      <c r="C9555" s="6" t="str">
        <f ca="1">IFERROR(__xludf.DUMMYFUNCTION("""COMPUTED_VALUE"""),"EL JUNQUILLO 186")</f>
        <v>EL JUNQUILLO 186</v>
      </c>
      <c r="D9555" s="6" t="str">
        <f ca="1">IFERROR(__xludf.DUMMYFUNCTION("""COMPUTED_VALUE"""),"LAMPA")</f>
        <v>LAMPA</v>
      </c>
    </row>
    <row r="9556" spans="1:4">
      <c r="A9556" s="7">
        <f ca="1">IFERROR(__xludf.DUMMYFUNCTION("""COMPUTED_VALUE"""),44796)</f>
        <v>44796</v>
      </c>
      <c r="B9556" s="8" t="str">
        <f ca="1">IFERROR(__xludf.DUMMYFUNCTION("""COMPUTED_VALUE"""),"-33.299354,-70.879840")</f>
        <v>-33.299354,-70.879840</v>
      </c>
      <c r="C9556" s="6" t="str">
        <f ca="1">IFERROR(__xludf.DUMMYFUNCTION("""COMPUTED_VALUE"""),"CAMINO LAS FLORES 1008 C 117")</f>
        <v>CAMINO LAS FLORES 1008 C 117</v>
      </c>
      <c r="D9556" s="6" t="str">
        <f ca="1">IFERROR(__xludf.DUMMYFUNCTION("""COMPUTED_VALUE"""),"LAMPA")</f>
        <v>LAMPA</v>
      </c>
    </row>
    <row r="9557" spans="1:4">
      <c r="A9557" s="7">
        <f ca="1">IFERROR(__xludf.DUMMYFUNCTION("""COMPUTED_VALUE"""),44796)</f>
        <v>44796</v>
      </c>
      <c r="B9557" s="8" t="str">
        <f ca="1">IFERROR(__xludf.DUMMYFUNCTION("""COMPUTED_VALUE"""),"-33.2999125,-70.879961")</f>
        <v>-33.2999125,-70.879961</v>
      </c>
      <c r="C9557" s="6" t="str">
        <f ca="1">IFERROR(__xludf.DUMMYFUNCTION("""COMPUTED_VALUE"""),"CAMINO LAS FLORES 1008 ")</f>
        <v xml:space="preserve">CAMINO LAS FLORES 1008 </v>
      </c>
      <c r="D9557" s="6" t="str">
        <f ca="1">IFERROR(__xludf.DUMMYFUNCTION("""COMPUTED_VALUE"""),"LAMPA")</f>
        <v>LAMPA</v>
      </c>
    </row>
    <row r="9558" spans="1:4">
      <c r="A9558" s="7">
        <f ca="1">IFERROR(__xludf.DUMMYFUNCTION("""COMPUTED_VALUE"""),44796)</f>
        <v>44796</v>
      </c>
      <c r="B9558" s="8" t="str">
        <f ca="1">IFERROR(__xludf.DUMMYFUNCTION("""COMPUTED_VALUE"""),"-33.198904,-70.646959")</f>
        <v>-33.198904,-70.646959</v>
      </c>
      <c r="C9558" s="6" t="str">
        <f ca="1">IFERROR(__xludf.DUMMYFUNCTION("""COMPUTED_VALUE"""),"AV. CASA DE PIEDRA")</f>
        <v>AV. CASA DE PIEDRA</v>
      </c>
      <c r="D9558" s="6" t="str">
        <f ca="1">IFERROR(__xludf.DUMMYFUNCTION("""COMPUTED_VALUE"""),"COLINA")</f>
        <v>COLINA</v>
      </c>
    </row>
    <row r="9559" spans="1:4">
      <c r="A9559" s="7">
        <f ca="1">IFERROR(__xludf.DUMMYFUNCTION("""COMPUTED_VALUE"""),44796)</f>
        <v>44796</v>
      </c>
      <c r="B9559" s="8" t="str">
        <f ca="1">IFERROR(__xludf.DUMMYFUNCTION("""COMPUTED_VALUE"""),"-33.715561,-70.544405")</f>
        <v>-33.715561,-70.544405</v>
      </c>
      <c r="C9559" s="6" t="str">
        <f ca="1">IFERROR(__xludf.DUMMYFUNCTION("""COMPUTED_VALUE"""),"EL CHALACO 66 B PARC 13 A")</f>
        <v>EL CHALACO 66 B PARC 13 A</v>
      </c>
      <c r="D9559" s="6" t="str">
        <f ca="1">IFERROR(__xludf.DUMMYFUNCTION("""COMPUTED_VALUE"""),"PIRQUE")</f>
        <v>PIRQUE</v>
      </c>
    </row>
    <row r="9560" spans="1:4">
      <c r="A9560" s="7">
        <f ca="1">IFERROR(__xludf.DUMMYFUNCTION("""COMPUTED_VALUE"""),44796)</f>
        <v>44796</v>
      </c>
      <c r="B9560" s="6" t="str">
        <f ca="1">IFERROR(__xludf.DUMMYFUNCTION("""COMPUTED_VALUE"""),"-33.749859,-70.870639")</f>
        <v>-33.749859,-70.870639</v>
      </c>
      <c r="C9560" s="6" t="str">
        <f ca="1">IFERROR(__xludf.DUMMYFUNCTION("""COMPUTED_VALUE"""),"LOS ESPARRAGOS 1217")</f>
        <v>LOS ESPARRAGOS 1217</v>
      </c>
      <c r="D9560" s="6" t="str">
        <f ca="1">IFERROR(__xludf.DUMMYFUNCTION("""COMPUTED_VALUE"""),"ISLA DE MAIPO")</f>
        <v>ISLA DE MAIPO</v>
      </c>
    </row>
    <row r="9561" spans="1:4">
      <c r="A9561" s="7">
        <f ca="1">IFERROR(__xludf.DUMMYFUNCTION("""COMPUTED_VALUE"""),44796)</f>
        <v>44796</v>
      </c>
      <c r="B9561" s="8" t="str">
        <f ca="1">IFERROR(__xludf.DUMMYFUNCTION("""COMPUTED_VALUE"""),"-34.028726,-71.100395")</f>
        <v>-34.028726,-71.100395</v>
      </c>
      <c r="C9561" s="6" t="str">
        <f ca="1">IFERROR(__xludf.DUMMYFUNCTION("""COMPUTED_VALUE"""),"CALLE BERNARDO O´HIGGINS ")</f>
        <v xml:space="preserve">CALLE BERNARDO O´HIGGINS </v>
      </c>
      <c r="D9561" s="6" t="str">
        <f ca="1">IFERROR(__xludf.DUMMYFUNCTION("""COMPUTED_VALUE"""),"ALHUÉ")</f>
        <v>ALHUÉ</v>
      </c>
    </row>
    <row r="9562" spans="1:4">
      <c r="A9562" s="7">
        <f ca="1">IFERROR(__xludf.DUMMYFUNCTION("""COMPUTED_VALUE"""),44796)</f>
        <v>44796</v>
      </c>
      <c r="B9562" s="8" t="str">
        <f ca="1">IFERROR(__xludf.DUMMYFUNCTION("""COMPUTED_VALUE"""),"-34.030116,-71.081506")</f>
        <v>-34.030116,-71.081506</v>
      </c>
      <c r="C9562" s="6" t="str">
        <f ca="1">IFERROR(__xludf.DUMMYFUNCTION("""COMPUTED_VALUE"""),"POBLACION IGNACIO CARRERA PINTO ")</f>
        <v xml:space="preserve">POBLACION IGNACIO CARRERA PINTO </v>
      </c>
      <c r="D9562" s="6" t="str">
        <f ca="1">IFERROR(__xludf.DUMMYFUNCTION("""COMPUTED_VALUE"""),"ALHUÉ")</f>
        <v>ALHUÉ</v>
      </c>
    </row>
    <row r="9563" spans="1:4">
      <c r="A9563" s="7">
        <f ca="1">IFERROR(__xludf.DUMMYFUNCTION("""COMPUTED_VALUE"""),44796)</f>
        <v>44796</v>
      </c>
      <c r="B9563" s="8" t="str">
        <f ca="1">IFERROR(__xludf.DUMMYFUNCTION("""COMPUTED_VALUE"""),"-33.731426,-70.753365")</f>
        <v>-33.731426,-70.753365</v>
      </c>
      <c r="C9563" s="6" t="str">
        <f ca="1">IFERROR(__xludf.DUMMYFUNCTION("""COMPUTED_VALUE"""),"CAMINO BUIN MAIPO ")</f>
        <v xml:space="preserve">CAMINO BUIN MAIPO </v>
      </c>
      <c r="D9563" s="6" t="str">
        <f ca="1">IFERROR(__xludf.DUMMYFUNCTION("""COMPUTED_VALUE"""),"BUIN")</f>
        <v>BUIN</v>
      </c>
    </row>
    <row r="9564" spans="1:4">
      <c r="A9564" s="7">
        <f ca="1">IFERROR(__xludf.DUMMYFUNCTION("""COMPUTED_VALUE"""),44796)</f>
        <v>44796</v>
      </c>
      <c r="B9564" s="8" t="str">
        <f ca="1">IFERROR(__xludf.DUMMYFUNCTION("""COMPUTED_VALUE"""),"-33.729265,-70.772390")</f>
        <v>-33.729265,-70.772390</v>
      </c>
      <c r="C9564" s="6" t="str">
        <f ca="1">IFERROR(__xludf.DUMMYFUNCTION("""COMPUTED_VALUE"""),"PASAJE ABILIO MEDINA 2891")</f>
        <v>PASAJE ABILIO MEDINA 2891</v>
      </c>
      <c r="D9564" s="6" t="str">
        <f ca="1">IFERROR(__xludf.DUMMYFUNCTION("""COMPUTED_VALUE"""),"BUIN")</f>
        <v>BUIN</v>
      </c>
    </row>
    <row r="9565" spans="1:4">
      <c r="A9565" s="7">
        <f ca="1">IFERROR(__xludf.DUMMYFUNCTION("""COMPUTED_VALUE"""),44796)</f>
        <v>44796</v>
      </c>
      <c r="B9565" s="8" t="str">
        <f ca="1">IFERROR(__xludf.DUMMYFUNCTION("""COMPUTED_VALUE"""),"33.729126,70.784416")</f>
        <v>33.729126,70.784416</v>
      </c>
      <c r="C9565" s="6" t="str">
        <f ca="1">IFERROR(__xludf.DUMMYFUNCTION("""COMPUTED_VALUE"""),"SERRANO ")</f>
        <v xml:space="preserve">SERRANO </v>
      </c>
      <c r="D9565" s="6" t="str">
        <f ca="1">IFERROR(__xludf.DUMMYFUNCTION("""COMPUTED_VALUE"""),"BUIN")</f>
        <v>BUIN</v>
      </c>
    </row>
    <row r="9566" spans="1:4">
      <c r="A9566" s="7">
        <f ca="1">IFERROR(__xludf.DUMMYFUNCTION("""COMPUTED_VALUE"""),44796)</f>
        <v>44796</v>
      </c>
      <c r="B9566" s="6" t="str">
        <f ca="1">IFERROR(__xludf.DUMMYFUNCTION("""COMPUTED_VALUE"""),"-33.821547,-70.736217")</f>
        <v>-33.821547,-70.736217</v>
      </c>
      <c r="C9566" s="6" t="str">
        <f ca="1">IFERROR(__xludf.DUMMYFUNCTION("""COMPUTED_VALUE"""),"PJE. CERRO EL PLOMO 1616")</f>
        <v>PJE. CERRO EL PLOMO 1616</v>
      </c>
      <c r="D9566" s="6" t="str">
        <f ca="1">IFERROR(__xludf.DUMMYFUNCTION("""COMPUTED_VALUE"""),"PAINE")</f>
        <v>PAINE</v>
      </c>
    </row>
    <row r="9567" spans="1:4">
      <c r="A9567" s="7">
        <f ca="1">IFERROR(__xludf.DUMMYFUNCTION("""COMPUTED_VALUE"""),44796)</f>
        <v>44796</v>
      </c>
      <c r="B9567" s="6" t="str">
        <f ca="1">IFERROR(__xludf.DUMMYFUNCTION("""COMPUTED_VALUE"""),"-33.811873,-70.849309")</f>
        <v>-33.811873,-70.849309</v>
      </c>
      <c r="C9567" s="6" t="str">
        <f ca="1">IFERROR(__xludf.DUMMYFUNCTION("""COMPUTED_VALUE"""),"LAS PATAGUAS PC 28 ST24B")</f>
        <v>LAS PATAGUAS PC 28 ST24B</v>
      </c>
      <c r="D9567" s="6" t="str">
        <f ca="1">IFERROR(__xludf.DUMMYFUNCTION("""COMPUTED_VALUE"""),"BUIN")</f>
        <v>BUIN</v>
      </c>
    </row>
    <row r="9568" spans="1:4">
      <c r="A9568" s="7">
        <f ca="1">IFERROR(__xludf.DUMMYFUNCTION("""COMPUTED_VALUE"""),44796)</f>
        <v>44796</v>
      </c>
      <c r="B9568" s="6" t="str">
        <f ca="1">IFERROR(__xludf.DUMMYFUNCTION("""COMPUTED_VALUE"""),"-34.031457,-70.079570")</f>
        <v>-34.031457,-70.079570</v>
      </c>
      <c r="C9568" s="6" t="str">
        <f ca="1">IFERROR(__xludf.DUMMYFUNCTION("""COMPUTED_VALUE"""),"IGNACIO CARRERA PINTO S/N")</f>
        <v>IGNACIO CARRERA PINTO S/N</v>
      </c>
      <c r="D9568" s="6" t="str">
        <f ca="1">IFERROR(__xludf.DUMMYFUNCTION("""COMPUTED_VALUE"""),"ALHUÉ")</f>
        <v>ALHUÉ</v>
      </c>
    </row>
    <row r="9569" spans="1:4">
      <c r="A9569" s="7">
        <f ca="1">IFERROR(__xludf.DUMMYFUNCTION("""COMPUTED_VALUE"""),44796)</f>
        <v>44796</v>
      </c>
      <c r="B9569" s="6" t="str">
        <f ca="1">IFERROR(__xludf.DUMMYFUNCTION("""COMPUTED_VALUE"""),"-34.032677,-71.049835")</f>
        <v>-34.032677,-71.049835</v>
      </c>
      <c r="C9569" s="6" t="str">
        <f ca="1">IFERROR(__xludf.DUMMYFUNCTION("""COMPUTED_VALUE"""),"EL ASIENTO S/N")</f>
        <v>EL ASIENTO S/N</v>
      </c>
      <c r="D9569" s="6" t="str">
        <f ca="1">IFERROR(__xludf.DUMMYFUNCTION("""COMPUTED_VALUE"""),"ALHUÉ")</f>
        <v>ALHUÉ</v>
      </c>
    </row>
    <row r="9570" spans="1:4">
      <c r="A9570" s="7">
        <f ca="1">IFERROR(__xludf.DUMMYFUNCTION("""COMPUTED_VALUE"""),44796)</f>
        <v>44796</v>
      </c>
      <c r="B9570" s="6" t="str">
        <f ca="1">IFERROR(__xludf.DUMMYFUNCTION("""COMPUTED_VALUE"""),"-34.031722,-71.668213")</f>
        <v>-34.031722,-71.668213</v>
      </c>
      <c r="C9570" s="6" t="str">
        <f ca="1">IFERROR(__xludf.DUMMYFUNCTION("""COMPUTED_VALUE"""),"IGNACIO CARRERA PINTO S/N")</f>
        <v>IGNACIO CARRERA PINTO S/N</v>
      </c>
      <c r="D9570" s="6" t="str">
        <f ca="1">IFERROR(__xludf.DUMMYFUNCTION("""COMPUTED_VALUE"""),"ALHUÉ")</f>
        <v>ALHUÉ</v>
      </c>
    </row>
    <row r="9571" spans="1:4">
      <c r="A9571" s="7">
        <f ca="1">IFERROR(__xludf.DUMMYFUNCTION("""COMPUTED_VALUE"""),44796)</f>
        <v>44796</v>
      </c>
      <c r="B9571" s="6" t="str">
        <f ca="1">IFERROR(__xludf.DUMMYFUNCTION("""COMPUTED_VALUE"""),"-34.031457,-70.079570")</f>
        <v>-34.031457,-70.079570</v>
      </c>
      <c r="C9571" s="6" t="str">
        <f ca="1">IFERROR(__xludf.DUMMYFUNCTION("""COMPUTED_VALUE"""),"IGNACIO CARRERA PINTO S/N")</f>
        <v>IGNACIO CARRERA PINTO S/N</v>
      </c>
      <c r="D9571" s="6" t="str">
        <f ca="1">IFERROR(__xludf.DUMMYFUNCTION("""COMPUTED_VALUE"""),"ALHUÉ")</f>
        <v>ALHUÉ</v>
      </c>
    </row>
    <row r="9572" spans="1:4">
      <c r="A9572" s="7">
        <f ca="1">IFERROR(__xludf.DUMMYFUNCTION("""COMPUTED_VALUE"""),44796)</f>
        <v>44796</v>
      </c>
      <c r="B9572" s="6" t="str">
        <f ca="1">IFERROR(__xludf.DUMMYFUNCTION("""COMPUTED_VALUE"""),"-33.718768,-70.553375")</f>
        <v>-33.718768,-70.553375</v>
      </c>
      <c r="C9572" s="6" t="str">
        <f ca="1">IFERROR(__xludf.DUMMYFUNCTION("""COMPUTED_VALUE"""),"CAM ALAMEDA 115")</f>
        <v>CAM ALAMEDA 115</v>
      </c>
      <c r="D9572" s="6" t="str">
        <f ca="1">IFERROR(__xludf.DUMMYFUNCTION("""COMPUTED_VALUE"""),"PIRQUE")</f>
        <v>PIRQUE</v>
      </c>
    </row>
    <row r="9573" spans="1:4">
      <c r="A9573" s="7">
        <f ca="1">IFERROR(__xludf.DUMMYFUNCTION("""COMPUTED_VALUE"""),44797)</f>
        <v>44797</v>
      </c>
      <c r="B9573" s="8" t="str">
        <f ca="1">IFERROR(__xludf.DUMMYFUNCTION("""COMPUTED_VALUE"""),"-33..663456,-70.530544")</f>
        <v>-33..663456,-70.530544</v>
      </c>
      <c r="C9573" s="6" t="str">
        <f ca="1">IFERROR(__xludf.DUMMYFUNCTION("""COMPUTED_VALUE"""),"SANTA RITA 4945")</f>
        <v>SANTA RITA 4945</v>
      </c>
      <c r="D9573" s="6" t="str">
        <f ca="1">IFERROR(__xludf.DUMMYFUNCTION("""COMPUTED_VALUE"""),"PIRQUE")</f>
        <v>PIRQUE</v>
      </c>
    </row>
    <row r="9574" spans="1:4">
      <c r="A9574" s="7">
        <f ca="1">IFERROR(__xludf.DUMMYFUNCTION("""COMPUTED_VALUE"""),44797)</f>
        <v>44797</v>
      </c>
      <c r="B9574" s="8" t="str">
        <f ca="1">IFERROR(__xludf.DUMMYFUNCTION("""COMPUTED_VALUE"""),"-33.728446,-70.553959")</f>
        <v>-33.728446,-70.553959</v>
      </c>
      <c r="C9574" s="6" t="str">
        <f ca="1">IFERROR(__xludf.DUMMYFUNCTION("""COMPUTED_VALUE"""),"LOS GALLINEROS 94")</f>
        <v>LOS GALLINEROS 94</v>
      </c>
      <c r="D9574" s="6" t="str">
        <f ca="1">IFERROR(__xludf.DUMMYFUNCTION("""COMPUTED_VALUE"""),"PIRQUE")</f>
        <v>PIRQUE</v>
      </c>
    </row>
    <row r="9575" spans="1:4">
      <c r="A9575" s="7">
        <f ca="1">IFERROR(__xludf.DUMMYFUNCTION("""COMPUTED_VALUE"""),44797)</f>
        <v>44797</v>
      </c>
      <c r="B9575" s="8" t="str">
        <f ca="1">IFERROR(__xludf.DUMMYFUNCTION("""COMPUTED_VALUE"""),"-33.720407,-70.555098")</f>
        <v>-33.720407,-70.555098</v>
      </c>
      <c r="C9575" s="6" t="str">
        <f ca="1">IFERROR(__xludf.DUMMYFUNCTION("""COMPUTED_VALUE"""),"LUIS NAVARRETE 130")</f>
        <v>LUIS NAVARRETE 130</v>
      </c>
      <c r="D9575" s="6" t="str">
        <f ca="1">IFERROR(__xludf.DUMMYFUNCTION("""COMPUTED_VALUE"""),"PIRQUE")</f>
        <v>PIRQUE</v>
      </c>
    </row>
    <row r="9576" spans="1:4">
      <c r="A9576" s="7">
        <f ca="1">IFERROR(__xludf.DUMMYFUNCTION("""COMPUTED_VALUE"""),44797)</f>
        <v>44797</v>
      </c>
      <c r="B9576" s="8" t="str">
        <f ca="1">IFERROR(__xludf.DUMMYFUNCTION("""COMPUTED_VALUE"""),"-33.661112,-70.993586")</f>
        <v>-33.661112,-70.993586</v>
      </c>
      <c r="C9576" s="6" t="str">
        <f ca="1">IFERROR(__xludf.DUMMYFUNCTION("""COMPUTED_VALUE"""),"AV. LOS CARRERA 609")</f>
        <v>AV. LOS CARRERA 609</v>
      </c>
      <c r="D9576" s="6" t="str">
        <f ca="1">IFERROR(__xludf.DUMMYFUNCTION("""COMPUTED_VALUE"""),"EL MONTE")</f>
        <v>EL MONTE</v>
      </c>
    </row>
    <row r="9577" spans="1:4">
      <c r="A9577" s="7">
        <f ca="1">IFERROR(__xludf.DUMMYFUNCTION("""COMPUTED_VALUE"""),44797)</f>
        <v>44797</v>
      </c>
      <c r="B9577" s="8" t="str">
        <f ca="1">IFERROR(__xludf.DUMMYFUNCTION("""COMPUTED_VALUE"""),"-33.675707,-70.975791")</f>
        <v>-33.675707,-70.975791</v>
      </c>
      <c r="C9577" s="6" t="str">
        <f ca="1">IFERROR(__xludf.DUMMYFUNCTION("""COMPUTED_VALUE"""),"ELEUTERIO RAMIREZ 135")</f>
        <v>ELEUTERIO RAMIREZ 135</v>
      </c>
      <c r="D9577" s="6" t="str">
        <f ca="1">IFERROR(__xludf.DUMMYFUNCTION("""COMPUTED_VALUE"""),"EL MONTE")</f>
        <v>EL MONTE</v>
      </c>
    </row>
    <row r="9578" spans="1:4">
      <c r="A9578" s="7">
        <f ca="1">IFERROR(__xludf.DUMMYFUNCTION("""COMPUTED_VALUE"""),44797)</f>
        <v>44797</v>
      </c>
      <c r="B9578" s="8" t="str">
        <f ca="1">IFERROR(__xludf.DUMMYFUNCTION("""COMPUTED_VALUE"""),"-33.682963,-71.003385")</f>
        <v>-33.682963,-71.003385</v>
      </c>
      <c r="C9578" s="6" t="str">
        <f ca="1">IFERROR(__xludf.DUMMYFUNCTION("""COMPUTED_VALUE"""),"DOCTRINA DE INDIA 31")</f>
        <v>DOCTRINA DE INDIA 31</v>
      </c>
      <c r="D9578" s="6" t="str">
        <f ca="1">IFERROR(__xludf.DUMMYFUNCTION("""COMPUTED_VALUE"""),"EL MONTE")</f>
        <v>EL MONTE</v>
      </c>
    </row>
    <row r="9579" spans="1:4">
      <c r="A9579" s="7">
        <f ca="1">IFERROR(__xludf.DUMMYFUNCTION("""COMPUTED_VALUE"""),44797)</f>
        <v>44797</v>
      </c>
      <c r="B9579" s="8" t="str">
        <f ca="1">IFERROR(__xludf.DUMMYFUNCTION("""COMPUTED_VALUE"""),"-33.683259,-71.002788")</f>
        <v>-33.683259,-71.002788</v>
      </c>
      <c r="C9579" s="6" t="str">
        <f ca="1">IFERROR(__xludf.DUMMYFUNCTION("""COMPUTED_VALUE"""),"LOS LIBERTADORES 845 A")</f>
        <v>LOS LIBERTADORES 845 A</v>
      </c>
      <c r="D9579" s="6" t="str">
        <f ca="1">IFERROR(__xludf.DUMMYFUNCTION("""COMPUTED_VALUE"""),"EL MONTE")</f>
        <v>EL MONTE</v>
      </c>
    </row>
    <row r="9580" spans="1:4">
      <c r="A9580" s="7">
        <f ca="1">IFERROR(__xludf.DUMMYFUNCTION("""COMPUTED_VALUE"""),44797)</f>
        <v>44797</v>
      </c>
      <c r="B9580" s="8" t="str">
        <f ca="1">IFERROR(__xludf.DUMMYFUNCTION("""COMPUTED_VALUE"""),"-33.192544,-70.678467")</f>
        <v>-33.192544,-70.678467</v>
      </c>
      <c r="C9580" s="6" t="str">
        <f ca="1">IFERROR(__xludf.DUMMYFUNCTION("""COMPUTED_VALUE"""),"EL MAITEN 545")</f>
        <v>EL MAITEN 545</v>
      </c>
      <c r="D9580" s="6" t="str">
        <f ca="1">IFERROR(__xludf.DUMMYFUNCTION("""COMPUTED_VALUE"""),"COLINA")</f>
        <v>COLINA</v>
      </c>
    </row>
    <row r="9581" spans="1:4">
      <c r="A9581" s="7">
        <f ca="1">IFERROR(__xludf.DUMMYFUNCTION("""COMPUTED_VALUE"""),44797)</f>
        <v>44797</v>
      </c>
      <c r="B9581" s="6" t="str">
        <f ca="1">IFERROR(__xludf.DUMMYFUNCTION("""COMPUTED_VALUE"""),"-33.775699,-70.794520")</f>
        <v>-33.775699,-70.794520</v>
      </c>
      <c r="C9581" s="6" t="str">
        <f ca="1">IFERROR(__xludf.DUMMYFUNCTION("""COMPUTED_VALUE"""),"SAN JOSE NORTE 4711")</f>
        <v>SAN JOSE NORTE 4711</v>
      </c>
      <c r="D9581" s="6" t="str">
        <f ca="1">IFERROR(__xludf.DUMMYFUNCTION("""COMPUTED_VALUE"""),"BUIN")</f>
        <v>BUIN</v>
      </c>
    </row>
    <row r="9582" spans="1:4">
      <c r="A9582" s="7">
        <f ca="1">IFERROR(__xludf.DUMMYFUNCTION("""COMPUTED_VALUE"""),44797)</f>
        <v>44797</v>
      </c>
      <c r="B9582" s="8" t="str">
        <f ca="1">IFERROR(__xludf.DUMMYFUNCTION("""COMPUTED_VALUE"""),"-33.7328560,-70.7660350")</f>
        <v>-33.7328560,-70.7660350</v>
      </c>
      <c r="C9582" s="6" t="str">
        <f ca="1">IFERROR(__xludf.DUMMYFUNCTION("""COMPUTED_VALUE"""),"CAMINO BUIN MAIPO 2367")</f>
        <v>CAMINO BUIN MAIPO 2367</v>
      </c>
      <c r="D9582" s="6" t="str">
        <f ca="1">IFERROR(__xludf.DUMMYFUNCTION("""COMPUTED_VALUE"""),"BUIN")</f>
        <v>BUIN</v>
      </c>
    </row>
    <row r="9583" spans="1:4">
      <c r="A9583" s="7">
        <f ca="1">IFERROR(__xludf.DUMMYFUNCTION("""COMPUTED_VALUE"""),44797)</f>
        <v>44797</v>
      </c>
      <c r="B9583" s="8" t="str">
        <f ca="1">IFERROR(__xludf.DUMMYFUNCTION("""COMPUTED_VALUE"""),"-33.731860,-70.6813850")</f>
        <v>-33.731860,-70.6813850</v>
      </c>
      <c r="C9583" s="6" t="str">
        <f ca="1">IFERROR(__xludf.DUMMYFUNCTION("""COMPUTED_VALUE"""),"LOS ARADOS 0157")</f>
        <v>LOS ARADOS 0157</v>
      </c>
      <c r="D9583" s="6" t="str">
        <f ca="1">IFERROR(__xludf.DUMMYFUNCTION("""COMPUTED_VALUE"""),"BUIN")</f>
        <v>BUIN</v>
      </c>
    </row>
    <row r="9584" spans="1:4">
      <c r="A9584" s="7">
        <f ca="1">IFERROR(__xludf.DUMMYFUNCTION("""COMPUTED_VALUE"""),44797)</f>
        <v>44797</v>
      </c>
      <c r="B9584" s="8" t="str">
        <f ca="1">IFERROR(__xludf.DUMMYFUNCTION("""COMPUTED_VALUE"""),"-33.633221,-70.759374")</f>
        <v>-33.633221,-70.759374</v>
      </c>
      <c r="C9584" s="6" t="str">
        <f ca="1">IFERROR(__xludf.DUMMYFUNCTION("""COMPUTED_VALUE"""),"RUIZ TAGLE A 1")</f>
        <v>RUIZ TAGLE A 1</v>
      </c>
      <c r="D9584" s="6" t="str">
        <f ca="1">IFERROR(__xludf.DUMMYFUNCTION("""COMPUTED_VALUE"""),"CALERA DE TANGO")</f>
        <v>CALERA DE TANGO</v>
      </c>
    </row>
    <row r="9585" spans="1:4">
      <c r="A9585" s="7">
        <f ca="1">IFERROR(__xludf.DUMMYFUNCTION("""COMPUTED_VALUE"""),44797)</f>
        <v>44797</v>
      </c>
      <c r="B9585" s="8" t="str">
        <f ca="1">IFERROR(__xludf.DUMMYFUNCTION("""COMPUTED_VALUE"""),"-33.652737,-70.783586")</f>
        <v>-33.652737,-70.783586</v>
      </c>
      <c r="C9585" s="6" t="str">
        <f ca="1">IFERROR(__xludf.DUMMYFUNCTION("""COMPUTED_VALUE"""),"EL SAUCE PARCELA 1 ")</f>
        <v xml:space="preserve">EL SAUCE PARCELA 1 </v>
      </c>
      <c r="D9585" s="6" t="str">
        <f ca="1">IFERROR(__xludf.DUMMYFUNCTION("""COMPUTED_VALUE"""),"CALERA DE TANGO")</f>
        <v>CALERA DE TANGO</v>
      </c>
    </row>
    <row r="9586" spans="1:4">
      <c r="A9586" s="7">
        <f ca="1">IFERROR(__xludf.DUMMYFUNCTION("""COMPUTED_VALUE"""),44797)</f>
        <v>44797</v>
      </c>
      <c r="B9586" s="6" t="str">
        <f ca="1">IFERROR(__xludf.DUMMYFUNCTION("""COMPUTED_VALUE"""),"-33.279716,-70.874163")</f>
        <v>-33.279716,-70.874163</v>
      </c>
      <c r="C9586" s="6" t="str">
        <f ca="1">IFERROR(__xludf.DUMMYFUNCTION("""COMPUTED_VALUE"""),"BALMACEDA 1218")</f>
        <v>BALMACEDA 1218</v>
      </c>
      <c r="D9586" s="6" t="str">
        <f ca="1">IFERROR(__xludf.DUMMYFUNCTION("""COMPUTED_VALUE"""),"LAMPA")</f>
        <v>LAMPA</v>
      </c>
    </row>
    <row r="9587" spans="1:4">
      <c r="A9587" s="7">
        <f ca="1">IFERROR(__xludf.DUMMYFUNCTION("""COMPUTED_VALUE"""),44797)</f>
        <v>44797</v>
      </c>
      <c r="B9587" s="6" t="str">
        <f ca="1">IFERROR(__xludf.DUMMYFUNCTION("""COMPUTED_VALUE"""),"-33.725956,-70.744571")</f>
        <v>-33.725956,-70.744571</v>
      </c>
      <c r="C9587" s="6" t="str">
        <f ca="1">IFERROR(__xludf.DUMMYFUNCTION("""COMPUTED_VALUE"""),"MANUEL BULNES 0267")</f>
        <v>MANUEL BULNES 0267</v>
      </c>
      <c r="D9587" s="6" t="str">
        <f ca="1">IFERROR(__xludf.DUMMYFUNCTION("""COMPUTED_VALUE"""),"BUIN")</f>
        <v>BUIN</v>
      </c>
    </row>
    <row r="9588" spans="1:4">
      <c r="A9588" s="7">
        <f ca="1">IFERROR(__xludf.DUMMYFUNCTION("""COMPUTED_VALUE"""),44797)</f>
        <v>44797</v>
      </c>
      <c r="B9588" s="6" t="str">
        <f ca="1">IFERROR(__xludf.DUMMYFUNCTION("""COMPUTED_VALUE"""),"-33.753257,-70.815048")</f>
        <v>-33.753257,-70.815048</v>
      </c>
      <c r="C9588" s="6" t="str">
        <f ca="1">IFERROR(__xludf.DUMMYFUNCTION("""COMPUTED_VALUE"""),"VILUCO 9351")</f>
        <v>VILUCO 9351</v>
      </c>
      <c r="D9588" s="6" t="str">
        <f ca="1">IFERROR(__xludf.DUMMYFUNCTION("""COMPUTED_VALUE"""),"BUIN")</f>
        <v>BUIN</v>
      </c>
    </row>
    <row r="9589" spans="1:4">
      <c r="A9589" s="7">
        <f ca="1">IFERROR(__xludf.DUMMYFUNCTION("""COMPUTED_VALUE"""),44797)</f>
        <v>44797</v>
      </c>
      <c r="B9589" s="6" t="str">
        <f ca="1">IFERROR(__xludf.DUMMYFUNCTION("""COMPUTED_VALUE"""),"-33.758837,-70.747763")</f>
        <v>-33.758837,-70.747763</v>
      </c>
      <c r="C9589" s="6" t="str">
        <f ca="1">IFERROR(__xludf.DUMMYFUNCTION("""COMPUTED_VALUE"""),"CO. CERVERA 705")</f>
        <v>CO. CERVERA 705</v>
      </c>
      <c r="D9589" s="6" t="str">
        <f ca="1">IFERROR(__xludf.DUMMYFUNCTION("""COMPUTED_VALUE"""),"BUIN")</f>
        <v>BUIN</v>
      </c>
    </row>
    <row r="9590" spans="1:4">
      <c r="A9590" s="7">
        <f ca="1">IFERROR(__xludf.DUMMYFUNCTION("""COMPUTED_VALUE"""),44797)</f>
        <v>44797</v>
      </c>
      <c r="B9590" s="6" t="str">
        <f ca="1">IFERROR(__xludf.DUMMYFUNCTION("""COMPUTED_VALUE"""),"-33.818192,-70.740813")</f>
        <v>-33.818192,-70.740813</v>
      </c>
      <c r="C9590" s="6" t="str">
        <f ca="1">IFERROR(__xludf.DUMMYFUNCTION("""COMPUTED_VALUE"""),"ARRECIFE 1436")</f>
        <v>ARRECIFE 1436</v>
      </c>
      <c r="D9590" s="6" t="str">
        <f ca="1">IFERROR(__xludf.DUMMYFUNCTION("""COMPUTED_VALUE"""),"PAINE")</f>
        <v>PAINE</v>
      </c>
    </row>
    <row r="9591" spans="1:4">
      <c r="A9591" s="7">
        <f ca="1">IFERROR(__xludf.DUMMYFUNCTION("""COMPUTED_VALUE"""),44797)</f>
        <v>44797</v>
      </c>
      <c r="B9591" s="6" t="str">
        <f ca="1">IFERROR(__xludf.DUMMYFUNCTION("""COMPUTED_VALUE"""),"-33.823974,-70.732918")</f>
        <v>-33.823974,-70.732918</v>
      </c>
      <c r="C9591" s="6" t="str">
        <f ca="1">IFERROR(__xludf.DUMMYFUNCTION("""COMPUTED_VALUE"""),"JORGE GUERRA 885")</f>
        <v>JORGE GUERRA 885</v>
      </c>
      <c r="D9591" s="6" t="str">
        <f ca="1">IFERROR(__xludf.DUMMYFUNCTION("""COMPUTED_VALUE"""),"PAINE")</f>
        <v>PAINE</v>
      </c>
    </row>
    <row r="9592" spans="1:4">
      <c r="A9592" s="7">
        <f ca="1">IFERROR(__xludf.DUMMYFUNCTION("""COMPUTED_VALUE"""),44798)</f>
        <v>44798</v>
      </c>
      <c r="B9592" s="8" t="str">
        <f ca="1">IFERROR(__xludf.DUMMYFUNCTION("""COMPUTED_VALUE"""),"-33.30079, -70.8402822")</f>
        <v>-33.30079, -70.8402822</v>
      </c>
      <c r="C9592" s="6" t="str">
        <f ca="1">IFERROR(__xludf.DUMMYFUNCTION("""COMPUTED_VALUE"""),"CAMINO INTERIOR 53")</f>
        <v>CAMINO INTERIOR 53</v>
      </c>
      <c r="D9592" s="6" t="str">
        <f ca="1">IFERROR(__xludf.DUMMYFUNCTION("""COMPUTED_VALUE"""),"LAMPA")</f>
        <v>LAMPA</v>
      </c>
    </row>
    <row r="9593" spans="1:4">
      <c r="A9593" s="7">
        <f ca="1">IFERROR(__xludf.DUMMYFUNCTION("""COMPUTED_VALUE"""),44798)</f>
        <v>44798</v>
      </c>
      <c r="B9593" s="8" t="str">
        <f ca="1">IFERROR(__xludf.DUMMYFUNCTION("""COMPUTED_VALUE"""),"-33.2534814, -70.750898")</f>
        <v>-33.2534814, -70.750898</v>
      </c>
      <c r="C9593" s="6" t="str">
        <f ca="1">IFERROR(__xludf.DUMMYFUNCTION("""COMPUTED_VALUE"""),"PANAMERICANA NORTE 23 PARCELA 12")</f>
        <v>PANAMERICANA NORTE 23 PARCELA 12</v>
      </c>
      <c r="D9593" s="6" t="str">
        <f ca="1">IFERROR(__xludf.DUMMYFUNCTION("""COMPUTED_VALUE"""),"LAMPA")</f>
        <v>LAMPA</v>
      </c>
    </row>
    <row r="9594" spans="1:4">
      <c r="A9594" s="7">
        <f ca="1">IFERROR(__xludf.DUMMYFUNCTION("""COMPUTED_VALUE"""),44798)</f>
        <v>44798</v>
      </c>
      <c r="B9594" s="6" t="str">
        <f ca="1">IFERROR(__xludf.DUMMYFUNCTION("""COMPUTED_VALUE"""),"-33.58088-70.45361")</f>
        <v>-33.58088-70.45361</v>
      </c>
      <c r="C9594" s="6" t="str">
        <f ca="1">IFERROR(__xludf.DUMMYFUNCTION("""COMPUTED_VALUE"""),"LOS ROBLES 0358")</f>
        <v>LOS ROBLES 0358</v>
      </c>
      <c r="D9594" s="6" t="str">
        <f ca="1">IFERROR(__xludf.DUMMYFUNCTION("""COMPUTED_VALUE"""),"SAN JOSE DE MAIPO")</f>
        <v>SAN JOSE DE MAIPO</v>
      </c>
    </row>
    <row r="9595" spans="1:4">
      <c r="A9595" s="7">
        <f ca="1">IFERROR(__xludf.DUMMYFUNCTION("""COMPUTED_VALUE"""),44798)</f>
        <v>44798</v>
      </c>
      <c r="B9595" s="6" t="str">
        <f ca="1">IFERROR(__xludf.DUMMYFUNCTION("""COMPUTED_VALUE"""),"-34.059700-70.994942")</f>
        <v>-34.059700-70.994942</v>
      </c>
      <c r="C9595" s="6" t="str">
        <f ca="1">IFERROR(__xludf.DUMMYFUNCTION("""COMPUTED_VALUE"""),"TALAMI S/N")</f>
        <v>TALAMI S/N</v>
      </c>
      <c r="D9595" s="6" t="str">
        <f ca="1">IFERROR(__xludf.DUMMYFUNCTION("""COMPUTED_VALUE"""),"ALHUÉ")</f>
        <v>ALHUÉ</v>
      </c>
    </row>
    <row r="9596" spans="1:4">
      <c r="A9596" s="7">
        <f ca="1">IFERROR(__xludf.DUMMYFUNCTION("""COMPUTED_VALUE"""),44798)</f>
        <v>44798</v>
      </c>
      <c r="B9596" s="8" t="str">
        <f ca="1">IFERROR(__xludf.DUMMYFUNCTION("""COMPUTED_VALUE"""),"-33.728869,-70.554547")</f>
        <v>-33.728869,-70.554547</v>
      </c>
      <c r="C9596" s="6" t="str">
        <f ca="1">IFERROR(__xludf.DUMMYFUNCTION("""COMPUTED_VALUE"""),"LOS CORRALES 94")</f>
        <v>LOS CORRALES 94</v>
      </c>
      <c r="D9596" s="6" t="str">
        <f ca="1">IFERROR(__xludf.DUMMYFUNCTION("""COMPUTED_VALUE"""),"PIRQUE")</f>
        <v>PIRQUE</v>
      </c>
    </row>
    <row r="9597" spans="1:4">
      <c r="A9597" s="7">
        <f ca="1">IFERROR(__xludf.DUMMYFUNCTION("""COMPUTED_VALUE"""),44798)</f>
        <v>44798</v>
      </c>
      <c r="B9597" s="8" t="str">
        <f ca="1">IFERROR(__xludf.DUMMYFUNCTION("""COMPUTED_VALUE"""),"-33.728869,-70.554547")</f>
        <v>-33.728869,-70.554547</v>
      </c>
      <c r="C9597" s="6" t="str">
        <f ca="1">IFERROR(__xludf.DUMMYFUNCTION("""COMPUTED_VALUE"""),"LOS CORRALES 94 C")</f>
        <v>LOS CORRALES 94 C</v>
      </c>
      <c r="D9597" s="6" t="str">
        <f ca="1">IFERROR(__xludf.DUMMYFUNCTION("""COMPUTED_VALUE"""),"PIRQUE")</f>
        <v>PIRQUE</v>
      </c>
    </row>
    <row r="9598" spans="1:4">
      <c r="A9598" s="7">
        <f ca="1">IFERROR(__xludf.DUMMYFUNCTION("""COMPUTED_VALUE"""),44798)</f>
        <v>44798</v>
      </c>
      <c r="B9598" s="8" t="str">
        <f ca="1">IFERROR(__xludf.DUMMYFUNCTION("""COMPUTED_VALUE"""),"-33.727900,-70.554286")</f>
        <v>-33.727900,-70.554286</v>
      </c>
      <c r="C9598" s="6" t="str">
        <f ca="1">IFERROR(__xludf.DUMMYFUNCTION("""COMPUTED_VALUE"""),"LOS CORRALES 94")</f>
        <v>LOS CORRALES 94</v>
      </c>
      <c r="D9598" s="6" t="str">
        <f ca="1">IFERROR(__xludf.DUMMYFUNCTION("""COMPUTED_VALUE"""),"PIRQUE")</f>
        <v>PIRQUE</v>
      </c>
    </row>
    <row r="9599" spans="1:4">
      <c r="A9599" s="7">
        <f ca="1">IFERROR(__xludf.DUMMYFUNCTION("""COMPUTED_VALUE"""),44798)</f>
        <v>44798</v>
      </c>
      <c r="B9599" s="8" t="str">
        <f ca="1">IFERROR(__xludf.DUMMYFUNCTION("""COMPUTED_VALUE"""),"-33.360991,-70.615223")</f>
        <v>-33.360991,-70.615223</v>
      </c>
      <c r="C9599" s="6" t="str">
        <f ca="1">IFERROR(__xludf.DUMMYFUNCTION("""COMPUTED_VALUE"""),"LOS ALMENDROS 370")</f>
        <v>LOS ALMENDROS 370</v>
      </c>
      <c r="D9599" s="6" t="str">
        <f ca="1">IFERROR(__xludf.DUMMYFUNCTION("""COMPUTED_VALUE"""),"EL MONTE")</f>
        <v>EL MONTE</v>
      </c>
    </row>
    <row r="9600" spans="1:4">
      <c r="A9600" s="7">
        <f ca="1">IFERROR(__xludf.DUMMYFUNCTION("""COMPUTED_VALUE"""),44798)</f>
        <v>44798</v>
      </c>
      <c r="B9600" s="8" t="str">
        <f ca="1">IFERROR(__xludf.DUMMYFUNCTION("""COMPUTED_VALUE"""),"-33.677980,-70.997908")</f>
        <v>-33.677980,-70.997908</v>
      </c>
      <c r="C9600" s="6" t="str">
        <f ca="1">IFERROR(__xludf.DUMMYFUNCTION("""COMPUTED_VALUE"""),"CAUPOLICAN 854")</f>
        <v>CAUPOLICAN 854</v>
      </c>
      <c r="D9600" s="6" t="str">
        <f ca="1">IFERROR(__xludf.DUMMYFUNCTION("""COMPUTED_VALUE"""),"EL MONTE")</f>
        <v>EL MONTE</v>
      </c>
    </row>
    <row r="9601" spans="1:4">
      <c r="A9601" s="7">
        <f ca="1">IFERROR(__xludf.DUMMYFUNCTION("""COMPUTED_VALUE"""),44798)</f>
        <v>44798</v>
      </c>
      <c r="B9601" s="8" t="str">
        <f ca="1">IFERROR(__xludf.DUMMYFUNCTION("""COMPUTED_VALUE"""),"-33.742125,-70.680379")</f>
        <v>-33.742125,-70.680379</v>
      </c>
      <c r="C9601" s="6" t="str">
        <f ca="1">IFERROR(__xludf.DUMMYFUNCTION("""COMPUTED_VALUE"""),"PJE JOEL PEREZ CALDERON 95")</f>
        <v>PJE JOEL PEREZ CALDERON 95</v>
      </c>
      <c r="D9601" s="6" t="str">
        <f ca="1">IFERROR(__xludf.DUMMYFUNCTION("""COMPUTED_VALUE"""),"BUIN")</f>
        <v>BUIN</v>
      </c>
    </row>
    <row r="9602" spans="1:4">
      <c r="A9602" s="7">
        <f ca="1">IFERROR(__xludf.DUMMYFUNCTION("""COMPUTED_VALUE"""),44798)</f>
        <v>44798</v>
      </c>
      <c r="B9602" s="8" t="str">
        <f ca="1">IFERROR(__xludf.DUMMYFUNCTION("""COMPUTED_VALUE"""),"-33.726778,-70.773640")</f>
        <v>-33.726778,-70.773640</v>
      </c>
      <c r="C9602" s="6" t="str">
        <f ca="1">IFERROR(__xludf.DUMMYFUNCTION("""COMPUTED_VALUE"""),"PJE ANA PUZ ACOSTA 393")</f>
        <v>PJE ANA PUZ ACOSTA 393</v>
      </c>
      <c r="D9602" s="6" t="str">
        <f ca="1">IFERROR(__xludf.DUMMYFUNCTION("""COMPUTED_VALUE"""),"BUIN")</f>
        <v>BUIN</v>
      </c>
    </row>
    <row r="9603" spans="1:4">
      <c r="A9603" s="7">
        <f ca="1">IFERROR(__xludf.DUMMYFUNCTION("""COMPUTED_VALUE"""),44798)</f>
        <v>44798</v>
      </c>
      <c r="B9603" s="6" t="str">
        <f ca="1">IFERROR(__xludf.DUMMYFUNCTION("""COMPUTED_VALUE"""),"-33.732381,-70.962587")</f>
        <v>-33.732381,-70.962587</v>
      </c>
      <c r="C9603" s="6" t="str">
        <f ca="1">IFERROR(__xludf.DUMMYFUNCTION("""COMPUTED_VALUE"""),"AV SAN ANTONIO 5489 ")</f>
        <v xml:space="preserve">AV SAN ANTONIO 5489 </v>
      </c>
      <c r="D9603" s="6" t="str">
        <f ca="1">IFERROR(__xludf.DUMMYFUNCTION("""COMPUTED_VALUE"""),"ISLA DE MAIPO")</f>
        <v>ISLA DE MAIPO</v>
      </c>
    </row>
    <row r="9604" spans="1:4">
      <c r="A9604" s="7">
        <f ca="1">IFERROR(__xludf.DUMMYFUNCTION("""COMPUTED_VALUE"""),44798)</f>
        <v>44798</v>
      </c>
      <c r="B9604" s="6" t="str">
        <f ca="1">IFERROR(__xludf.DUMMYFUNCTION("""COMPUTED_VALUE"""),"-33.738187,-70.921375")</f>
        <v>-33.738187,-70.921375</v>
      </c>
      <c r="C9604" s="6" t="str">
        <f ca="1">IFERROR(__xludf.DUMMYFUNCTION("""COMPUTED_VALUE"""),"SAN LUIS 958 PARCE 23")</f>
        <v>SAN LUIS 958 PARCE 23</v>
      </c>
      <c r="D9604" s="6" t="str">
        <f ca="1">IFERROR(__xludf.DUMMYFUNCTION("""COMPUTED_VALUE"""),"ISLA DE MAIPO")</f>
        <v>ISLA DE MAIPO</v>
      </c>
    </row>
    <row r="9605" spans="1:4">
      <c r="A9605" s="7">
        <f ca="1">IFERROR(__xludf.DUMMYFUNCTION("""COMPUTED_VALUE"""),44798)</f>
        <v>44798</v>
      </c>
      <c r="B9605" s="8" t="str">
        <f ca="1">IFERROR(__xludf.DUMMYFUNCTION("""COMPUTED_VALUE"""),"-33.7543200,-70.7470000")</f>
        <v>-33.7543200,-70.7470000</v>
      </c>
      <c r="C9605" s="6" t="str">
        <f ca="1">IFERROR(__xludf.DUMMYFUNCTION("""COMPUTED_VALUE"""),"CAMINO CERVERA 10")</f>
        <v>CAMINO CERVERA 10</v>
      </c>
      <c r="D9605" s="6" t="str">
        <f ca="1">IFERROR(__xludf.DUMMYFUNCTION("""COMPUTED_VALUE"""),"BUIN")</f>
        <v>BUIN</v>
      </c>
    </row>
    <row r="9606" spans="1:4">
      <c r="A9606" s="7">
        <f ca="1">IFERROR(__xludf.DUMMYFUNCTION("""COMPUTED_VALUE"""),44798)</f>
        <v>44798</v>
      </c>
      <c r="B9606" s="8" t="str">
        <f ca="1">IFERROR(__xludf.DUMMYFUNCTION("""COMPUTED_VALUE"""),"-33.7268120,-70.7358250")</f>
        <v>-33.7268120,-70.7358250</v>
      </c>
      <c r="C9606" s="6" t="str">
        <f ca="1">IFERROR(__xludf.DUMMYFUNCTION("""COMPUTED_VALUE"""),"AV EL PARQUE 0180")</f>
        <v>AV EL PARQUE 0180</v>
      </c>
      <c r="D9606" s="6" t="str">
        <f ca="1">IFERROR(__xludf.DUMMYFUNCTION("""COMPUTED_VALUE"""),"BUIN")</f>
        <v>BUIN</v>
      </c>
    </row>
    <row r="9607" spans="1:4">
      <c r="A9607" s="7">
        <f ca="1">IFERROR(__xludf.DUMMYFUNCTION("""COMPUTED_VALUE"""),44798)</f>
        <v>44798</v>
      </c>
      <c r="B9607" s="8" t="str">
        <f ca="1">IFERROR(__xludf.DUMMYFUNCTION("""COMPUTED_VALUE"""),"-33.602163,-70.788032")</f>
        <v>-33.602163,-70.788032</v>
      </c>
      <c r="C9607" s="6" t="str">
        <f ca="1">IFERROR(__xludf.DUMMYFUNCTION("""COMPUTED_VALUE"""),"MARTIN YAÑEZ LONQUEN NORTE SITIO 9")</f>
        <v>MARTIN YAÑEZ LONQUEN NORTE SITIO 9</v>
      </c>
      <c r="D9607" s="6" t="str">
        <f ca="1">IFERROR(__xludf.DUMMYFUNCTION("""COMPUTED_VALUE"""),"CALERA DE TANGO")</f>
        <v>CALERA DE TANGO</v>
      </c>
    </row>
    <row r="9608" spans="1:4">
      <c r="A9608" s="7">
        <f ca="1">IFERROR(__xludf.DUMMYFUNCTION("""COMPUTED_VALUE"""),44798)</f>
        <v>44798</v>
      </c>
      <c r="B9608" s="6" t="str">
        <f ca="1">IFERROR(__xludf.DUMMYFUNCTION("""COMPUTED_VALUE"""),"-33.675941,-70.668629")</f>
        <v>-33.675941,-70.668629</v>
      </c>
      <c r="C9608" s="6" t="str">
        <f ca="1">IFERROR(__xludf.DUMMYFUNCTION("""COMPUTED_VALUE"""),"CO. HURTADO 3")</f>
        <v>CO. HURTADO 3</v>
      </c>
      <c r="D9608" s="6" t="str">
        <f ca="1">IFERROR(__xludf.DUMMYFUNCTION("""COMPUTED_VALUE"""),"BUIN")</f>
        <v>BUIN</v>
      </c>
    </row>
    <row r="9609" spans="1:4">
      <c r="A9609" s="7">
        <f ca="1">IFERROR(__xludf.DUMMYFUNCTION("""COMPUTED_VALUE"""),44798)</f>
        <v>44798</v>
      </c>
      <c r="B9609" s="6" t="str">
        <f ca="1">IFERROR(__xludf.DUMMYFUNCTION("""COMPUTED_VALUE"""),"-33.738495,-70.688792")</f>
        <v>-33.738495,-70.688792</v>
      </c>
      <c r="C9609" s="6" t="str">
        <f ca="1">IFERROR(__xludf.DUMMYFUNCTION("""COMPUTED_VALUE"""),"LINDEROS PARC. EL PEUMO 10")</f>
        <v>LINDEROS PARC. EL PEUMO 10</v>
      </c>
      <c r="D9609" s="6" t="str">
        <f ca="1">IFERROR(__xludf.DUMMYFUNCTION("""COMPUTED_VALUE"""),"BUIN")</f>
        <v>BUIN</v>
      </c>
    </row>
    <row r="9610" spans="1:4">
      <c r="A9610" s="7">
        <f ca="1">IFERROR(__xludf.DUMMYFUNCTION("""COMPUTED_VALUE"""),44798)</f>
        <v>44798</v>
      </c>
      <c r="B9610" s="6" t="str">
        <f ca="1">IFERROR(__xludf.DUMMYFUNCTION("""COMPUTED_VALUE"""),"-34.055408,-70.993696")</f>
        <v>-34.055408,-70.993696</v>
      </c>
      <c r="C9610" s="6" t="str">
        <f ca="1">IFERROR(__xludf.DUMMYFUNCTION("""COMPUTED_VALUE"""),"TALAMI SN")</f>
        <v>TALAMI SN</v>
      </c>
      <c r="D9610" s="6" t="str">
        <f ca="1">IFERROR(__xludf.DUMMYFUNCTION("""COMPUTED_VALUE"""),"ALHUÉ")</f>
        <v>ALHUÉ</v>
      </c>
    </row>
    <row r="9611" spans="1:4">
      <c r="A9611" s="7">
        <f ca="1">IFERROR(__xludf.DUMMYFUNCTION("""COMPUTED_VALUE"""),44798)</f>
        <v>44798</v>
      </c>
      <c r="B9611" s="6" t="str">
        <f ca="1">IFERROR(__xludf.DUMMYFUNCTION("""COMPUTED_VALUE"""),"-34.059718,-70.994895")</f>
        <v>-34.059718,-70.994895</v>
      </c>
      <c r="C9611" s="6" t="str">
        <f ca="1">IFERROR(__xludf.DUMMYFUNCTION("""COMPUTED_VALUE"""),"TALAMI SN")</f>
        <v>TALAMI SN</v>
      </c>
      <c r="D9611" s="6" t="str">
        <f ca="1">IFERROR(__xludf.DUMMYFUNCTION("""COMPUTED_VALUE"""),"ALHUÉ")</f>
        <v>ALHUÉ</v>
      </c>
    </row>
    <row r="9612" spans="1:4">
      <c r="A9612" s="7">
        <f ca="1">IFERROR(__xludf.DUMMYFUNCTION("""COMPUTED_VALUE"""),44798)</f>
        <v>44798</v>
      </c>
      <c r="B9612" s="6" t="str">
        <f ca="1">IFERROR(__xludf.DUMMYFUNCTION("""COMPUTED_VALUE"""),"-34.030476,-71.085149")</f>
        <v>-34.030476,-71.085149</v>
      </c>
      <c r="C9612" s="6" t="str">
        <f ca="1">IFERROR(__xludf.DUMMYFUNCTION("""COMPUTED_VALUE"""),"IGNACIO CARRERA PINTO SN")</f>
        <v>IGNACIO CARRERA PINTO SN</v>
      </c>
      <c r="D9612" s="6" t="str">
        <f ca="1">IFERROR(__xludf.DUMMYFUNCTION("""COMPUTED_VALUE"""),"ALHUÉ")</f>
        <v>ALHUÉ</v>
      </c>
    </row>
    <row r="9613" spans="1:4">
      <c r="A9613" s="7">
        <f ca="1">IFERROR(__xludf.DUMMYFUNCTION("""COMPUTED_VALUE"""),44798)</f>
        <v>44798</v>
      </c>
      <c r="B9613" s="6" t="str">
        <f ca="1">IFERROR(__xludf.DUMMYFUNCTION("""COMPUTED_VALUE"""),"-34.032055,-71.080159")</f>
        <v>-34.032055,-71.080159</v>
      </c>
      <c r="C9613" s="6" t="str">
        <f ca="1">IFERROR(__xludf.DUMMYFUNCTION("""COMPUTED_VALUE"""),"IGNACIO CARRERA PINTO SN")</f>
        <v>IGNACIO CARRERA PINTO SN</v>
      </c>
      <c r="D9613" s="6" t="str">
        <f ca="1">IFERROR(__xludf.DUMMYFUNCTION("""COMPUTED_VALUE"""),"ALHUÉ")</f>
        <v>ALHUÉ</v>
      </c>
    </row>
    <row r="9614" spans="1:4">
      <c r="A9614" s="7">
        <f ca="1">IFERROR(__xludf.DUMMYFUNCTION("""COMPUTED_VALUE"""),44798)</f>
        <v>44798</v>
      </c>
      <c r="B9614" s="6" t="str">
        <f ca="1">IFERROR(__xludf.DUMMYFUNCTION("""COMPUTED_VALUE"""),"-33.804564,-70.737671")</f>
        <v>-33.804564,-70.737671</v>
      </c>
      <c r="C9614" s="6" t="str">
        <f ca="1">IFERROR(__xludf.DUMMYFUNCTION("""COMPUTED_VALUE"""),"CUATRO 251")</f>
        <v>CUATRO 251</v>
      </c>
      <c r="D9614" s="6" t="str">
        <f ca="1">IFERROR(__xludf.DUMMYFUNCTION("""COMPUTED_VALUE"""),"PAINE")</f>
        <v>PAINE</v>
      </c>
    </row>
    <row r="9615" spans="1:4">
      <c r="A9615" s="7">
        <f ca="1">IFERROR(__xludf.DUMMYFUNCTION("""COMPUTED_VALUE"""),44798)</f>
        <v>44798</v>
      </c>
      <c r="B9615" s="6" t="str">
        <f ca="1">IFERROR(__xludf.DUMMYFUNCTION("""COMPUTED_VALUE"""),"-33.806067,-70.858239")</f>
        <v>-33.806067,-70.858239</v>
      </c>
      <c r="C9615" s="6" t="str">
        <f ca="1">IFERROR(__xludf.DUMMYFUNCTION("""COMPUTED_VALUE"""),"AV CHILE 525")</f>
        <v>AV CHILE 525</v>
      </c>
      <c r="D9615" s="6" t="str">
        <f ca="1">IFERROR(__xludf.DUMMYFUNCTION("""COMPUTED_VALUE"""),"BUIN")</f>
        <v>BUIN</v>
      </c>
    </row>
    <row r="9616" spans="1:4">
      <c r="A9616" s="7">
        <f ca="1">IFERROR(__xludf.DUMMYFUNCTION("""COMPUTED_VALUE"""),44798)</f>
        <v>44798</v>
      </c>
      <c r="B9616" s="6" t="str">
        <f ca="1">IFERROR(__xludf.DUMMYFUNCTION("""COMPUTED_VALUE"""),"-33.4066455,-71.0745996")</f>
        <v>-33.4066455,-71.0745996</v>
      </c>
      <c r="C9616" s="6" t="str">
        <f ca="1">IFERROR(__xludf.DUMMYFUNCTION("""COMPUTED_VALUE"""),"MIRAFLORES P38")</f>
        <v>MIRAFLORES P38</v>
      </c>
      <c r="D9616" s="6" t="str">
        <f ca="1">IFERROR(__xludf.DUMMYFUNCTION("""COMPUTED_VALUE"""),"CURACAVI")</f>
        <v>CURACAVI</v>
      </c>
    </row>
    <row r="9617" spans="1:4">
      <c r="A9617" s="7">
        <f ca="1">IFERROR(__xludf.DUMMYFUNCTION("""COMPUTED_VALUE"""),44798)</f>
        <v>44798</v>
      </c>
      <c r="B9617" s="6" t="str">
        <f ca="1">IFERROR(__xludf.DUMMYFUNCTION("""COMPUTED_VALUE"""),"-33.4899399,-71.0067147")</f>
        <v>-33.4899399,-71.0067147</v>
      </c>
      <c r="C9617" s="6" t="str">
        <f ca="1">IFERROR(__xludf.DUMMYFUNCTION("""COMPUTED_VALUE"""),"SITIO 45 LOTE 9")</f>
        <v>SITIO 45 LOTE 9</v>
      </c>
      <c r="D9617" s="6" t="str">
        <f ca="1">IFERROR(__xludf.DUMMYFUNCTION("""COMPUTED_VALUE"""),"CURACAVI")</f>
        <v>CURACAVI</v>
      </c>
    </row>
    <row r="9618" spans="1:4">
      <c r="A9618" s="7">
        <f ca="1">IFERROR(__xludf.DUMMYFUNCTION("""COMPUTED_VALUE"""),44799)</f>
        <v>44799</v>
      </c>
      <c r="B9618" s="6" t="str">
        <f ca="1">IFERROR(__xludf.DUMMYFUNCTION("""COMPUTED_VALUE"""),"-33.61763-70.86186")</f>
        <v>-33.61763-70.86186</v>
      </c>
      <c r="C9618" s="6" t="str">
        <f ca="1">IFERROR(__xludf.DUMMYFUNCTION("""COMPUTED_VALUE"""),"PJE LOS NARANJOS 2044")</f>
        <v>PJE LOS NARANJOS 2044</v>
      </c>
      <c r="D9618" s="6" t="str">
        <f ca="1">IFERROR(__xludf.DUMMYFUNCTION("""COMPUTED_VALUE"""),"PEÑAFLOR")</f>
        <v>PEÑAFLOR</v>
      </c>
    </row>
    <row r="9619" spans="1:4">
      <c r="A9619" s="7">
        <f ca="1">IFERROR(__xludf.DUMMYFUNCTION("""COMPUTED_VALUE"""),44799)</f>
        <v>44799</v>
      </c>
      <c r="B9619" s="6" t="str">
        <f ca="1">IFERROR(__xludf.DUMMYFUNCTION("""COMPUTED_VALUE"""),"-34.032810-71.112689")</f>
        <v>-34.032810-71.112689</v>
      </c>
      <c r="C9619" s="6" t="str">
        <f ca="1">IFERROR(__xludf.DUMMYFUNCTION("""COMPUTED_VALUE"""),"VEINTIUNO DE MAYO S/N")</f>
        <v>VEINTIUNO DE MAYO S/N</v>
      </c>
      <c r="D9619" s="6" t="str">
        <f ca="1">IFERROR(__xludf.DUMMYFUNCTION("""COMPUTED_VALUE"""),"ALHUÉ")</f>
        <v>ALHUÉ</v>
      </c>
    </row>
    <row r="9620" spans="1:4">
      <c r="A9620" s="7">
        <f ca="1">IFERROR(__xludf.DUMMYFUNCTION("""COMPUTED_VALUE"""),44799)</f>
        <v>44799</v>
      </c>
      <c r="B9620" s="6" t="str">
        <f ca="1">IFERROR(__xludf.DUMMYFUNCTION("""COMPUTED_VALUE"""),"-33.509120-70.991327")</f>
        <v>-33.509120-70.991327</v>
      </c>
      <c r="C9620" s="6" t="str">
        <f ca="1">IFERROR(__xludf.DUMMYFUNCTION("""COMPUTED_VALUE"""),"LA PATAGUILLA 7 LOTE 6")</f>
        <v>LA PATAGUILLA 7 LOTE 6</v>
      </c>
      <c r="D9620" s="6" t="str">
        <f ca="1">IFERROR(__xludf.DUMMYFUNCTION("""COMPUTED_VALUE"""),"CURACAVI")</f>
        <v>CURACAVI</v>
      </c>
    </row>
    <row r="9621" spans="1:4">
      <c r="A9621" s="7">
        <f ca="1">IFERROR(__xludf.DUMMYFUNCTION("""COMPUTED_VALUE"""),44799)</f>
        <v>44799</v>
      </c>
      <c r="B9621" s="6" t="str">
        <f ca="1">IFERROR(__xludf.DUMMYFUNCTION("""COMPUTED_VALUE"""),"-33.503621-70.993413")</f>
        <v>-33.503621-70.993413</v>
      </c>
      <c r="C9621" s="6" t="str">
        <f ca="1">IFERROR(__xludf.DUMMYFUNCTION("""COMPUTED_VALUE"""),"LA PATAGUILLA P 70")</f>
        <v>LA PATAGUILLA P 70</v>
      </c>
      <c r="D9621" s="6" t="str">
        <f ca="1">IFERROR(__xludf.DUMMYFUNCTION("""COMPUTED_VALUE"""),"CURACAVI")</f>
        <v>CURACAVI</v>
      </c>
    </row>
    <row r="9622" spans="1:4">
      <c r="A9622" s="7">
        <f ca="1">IFERROR(__xludf.DUMMYFUNCTION("""COMPUTED_VALUE"""),44799)</f>
        <v>44799</v>
      </c>
      <c r="B9622" s="8" t="str">
        <f ca="1">IFERROR(__xludf.DUMMYFUNCTION("""COMPUTED_VALUE"""),"-33.66668,-70.530910")</f>
        <v>-33.66668,-70.530910</v>
      </c>
      <c r="C9622" s="6" t="str">
        <f ca="1">IFERROR(__xludf.DUMMYFUNCTION("""COMPUTED_VALUE"""),"STA RITA 4945")</f>
        <v>STA RITA 4945</v>
      </c>
      <c r="D9622" s="6" t="str">
        <f ca="1">IFERROR(__xludf.DUMMYFUNCTION("""COMPUTED_VALUE"""),"PIRQUE")</f>
        <v>PIRQUE</v>
      </c>
    </row>
    <row r="9623" spans="1:4">
      <c r="A9623" s="7">
        <f ca="1">IFERROR(__xludf.DUMMYFUNCTION("""COMPUTED_VALUE"""),44799)</f>
        <v>44799</v>
      </c>
      <c r="B9623" s="8" t="str">
        <f ca="1">IFERROR(__xludf.DUMMYFUNCTION("""COMPUTED_VALUE"""),"-33.723957,-70551830")</f>
        <v>-33.723957,-70551830</v>
      </c>
      <c r="C9623" s="6" t="str">
        <f ca="1">IFERROR(__xludf.DUMMYFUNCTION("""COMPUTED_VALUE"""),"LOS CORRALES 104 D")</f>
        <v>LOS CORRALES 104 D</v>
      </c>
      <c r="D9623" s="6" t="str">
        <f ca="1">IFERROR(__xludf.DUMMYFUNCTION("""COMPUTED_VALUE"""),"PIRQUE")</f>
        <v>PIRQUE</v>
      </c>
    </row>
    <row r="9624" spans="1:4">
      <c r="A9624" s="7">
        <f ca="1">IFERROR(__xludf.DUMMYFUNCTION("""COMPUTED_VALUE"""),44799)</f>
        <v>44799</v>
      </c>
      <c r="B9624" s="8" t="str">
        <f ca="1">IFERROR(__xludf.DUMMYFUNCTION("""COMPUTED_VALUE"""),"-33.726784,-70.552166")</f>
        <v>-33.726784,-70.552166</v>
      </c>
      <c r="C9624" s="6" t="str">
        <f ca="1">IFERROR(__xludf.DUMMYFUNCTION("""COMPUTED_VALUE"""),"CERRO EL CAMETON 1104")</f>
        <v>CERRO EL CAMETON 1104</v>
      </c>
      <c r="D9624" s="6" t="str">
        <f ca="1">IFERROR(__xludf.DUMMYFUNCTION("""COMPUTED_VALUE"""),"PIRQUE")</f>
        <v>PIRQUE</v>
      </c>
    </row>
    <row r="9625" spans="1:4">
      <c r="A9625" s="7">
        <f ca="1">IFERROR(__xludf.DUMMYFUNCTION("""COMPUTED_VALUE"""),44799)</f>
        <v>44799</v>
      </c>
      <c r="B9625" s="6" t="str">
        <f ca="1">IFERROR(__xludf.DUMMYFUNCTION("""COMPUTED_VALUE"""),"-33.727480,-70.776004")</f>
        <v>-33.727480,-70.776004</v>
      </c>
      <c r="C9625" s="6" t="str">
        <f ca="1">IFERROR(__xludf.DUMMYFUNCTION("""COMPUTED_VALUE"""),"LOS FIELES 154")</f>
        <v>LOS FIELES 154</v>
      </c>
      <c r="D9625" s="6" t="str">
        <f ca="1">IFERROR(__xludf.DUMMYFUNCTION("""COMPUTED_VALUE"""),"BUIN")</f>
        <v>BUIN</v>
      </c>
    </row>
    <row r="9626" spans="1:4">
      <c r="A9626" s="7">
        <f ca="1">IFERROR(__xludf.DUMMYFUNCTION("""COMPUTED_VALUE"""),44799)</f>
        <v>44799</v>
      </c>
      <c r="B9626" s="8" t="str">
        <f ca="1">IFERROR(__xludf.DUMMYFUNCTION("""COMPUTED_VALUE"""),"-34.032572,-71.102539")</f>
        <v>-34.032572,-71.102539</v>
      </c>
      <c r="C9626" s="6" t="str">
        <f ca="1">IFERROR(__xludf.DUMMYFUNCTION("""COMPUTED_VALUE"""),"CALLE 21 DE MAYO ")</f>
        <v xml:space="preserve">CALLE 21 DE MAYO </v>
      </c>
      <c r="D9626" s="6" t="str">
        <f ca="1">IFERROR(__xludf.DUMMYFUNCTION("""COMPUTED_VALUE"""),"ALHUÉ")</f>
        <v>ALHUÉ</v>
      </c>
    </row>
    <row r="9627" spans="1:4">
      <c r="A9627" s="7">
        <f ca="1">IFERROR(__xludf.DUMMYFUNCTION("""COMPUTED_VALUE"""),44799)</f>
        <v>44799</v>
      </c>
      <c r="B9627" s="8" t="str">
        <f ca="1">IFERROR(__xludf.DUMMYFUNCTION("""COMPUTED_VALUE"""),"-34.036865,-71.108816")</f>
        <v>-34.036865,-71.108816</v>
      </c>
      <c r="C9627" s="6" t="str">
        <f ca="1">IFERROR(__xludf.DUMMYFUNCTION("""COMPUTED_VALUE"""),"EL SAUCE ALHUE")</f>
        <v>EL SAUCE ALHUE</v>
      </c>
      <c r="D9627" s="6" t="str">
        <f ca="1">IFERROR(__xludf.DUMMYFUNCTION("""COMPUTED_VALUE"""),"ALHUÉ")</f>
        <v>ALHUÉ</v>
      </c>
    </row>
    <row r="9628" spans="1:4">
      <c r="A9628" s="7">
        <f ca="1">IFERROR(__xludf.DUMMYFUNCTION("""COMPUTED_VALUE"""),44799)</f>
        <v>44799</v>
      </c>
      <c r="B9628" s="8" t="str">
        <f ca="1">IFERROR(__xludf.DUMMYFUNCTION("""COMPUTED_VALUE"""),"-33.7304630,-70.1442900")</f>
        <v>-33.7304630,-70.1442900</v>
      </c>
      <c r="C9628" s="6" t="str">
        <f ca="1">IFERROR(__xludf.DUMMYFUNCTION("""COMPUTED_VALUE"""),"BULNES 165")</f>
        <v>BULNES 165</v>
      </c>
      <c r="D9628" s="6" t="str">
        <f ca="1">IFERROR(__xludf.DUMMYFUNCTION("""COMPUTED_VALUE"""),"BUIN")</f>
        <v>BUIN</v>
      </c>
    </row>
    <row r="9629" spans="1:4">
      <c r="A9629" s="7">
        <f ca="1">IFERROR(__xludf.DUMMYFUNCTION("""COMPUTED_VALUE"""),44799)</f>
        <v>44799</v>
      </c>
      <c r="B9629" s="6" t="str">
        <f ca="1">IFERROR(__xludf.DUMMYFUNCTION("""COMPUTED_VALUE"""),"-33.731355,-70.682247")</f>
        <v>-33.731355,-70.682247</v>
      </c>
      <c r="C9629" s="6" t="str">
        <f ca="1">IFERROR(__xludf.DUMMYFUNCTION("""COMPUTED_VALUE"""),"PAULA JARAQUEMADA 176")</f>
        <v>PAULA JARAQUEMADA 176</v>
      </c>
      <c r="D9629" s="6" t="str">
        <f ca="1">IFERROR(__xludf.DUMMYFUNCTION("""COMPUTED_VALUE"""),"BUIN")</f>
        <v>BUIN</v>
      </c>
    </row>
    <row r="9630" spans="1:4">
      <c r="A9630" s="7">
        <f ca="1">IFERROR(__xludf.DUMMYFUNCTION("""COMPUTED_VALUE"""),44799)</f>
        <v>44799</v>
      </c>
      <c r="B9630" s="6" t="str">
        <f ca="1">IFERROR(__xludf.DUMMYFUNCTION("""COMPUTED_VALUE"""),"-33.815506,-70.649913")</f>
        <v>-33.815506,-70.649913</v>
      </c>
      <c r="C9630" s="6" t="str">
        <f ca="1">IFERROR(__xludf.DUMMYFUNCTION("""COMPUTED_VALUE"""),"PADRE HURTADO 20")</f>
        <v>PADRE HURTADO 20</v>
      </c>
      <c r="D9630" s="6" t="str">
        <f ca="1">IFERROR(__xludf.DUMMYFUNCTION("""COMPUTED_VALUE"""),"PAINE")</f>
        <v>PAINE</v>
      </c>
    </row>
    <row r="9631" spans="1:4">
      <c r="A9631" s="7">
        <f ca="1">IFERROR(__xludf.DUMMYFUNCTION("""COMPUTED_VALUE"""),44799)</f>
        <v>44799</v>
      </c>
      <c r="B9631" s="6" t="str">
        <f ca="1">IFERROR(__xludf.DUMMYFUNCTION("""COMPUTED_VALUE"""),"-33.5746486,-71.0151664")</f>
        <v>-33.5746486,-71.0151664</v>
      </c>
      <c r="C9631" s="6" t="str">
        <f ca="1">IFERROR(__xludf.DUMMYFUNCTION("""COMPUTED_VALUE"""),"MANUEL RODRIGUEZ 67")</f>
        <v>MANUEL RODRIGUEZ 67</v>
      </c>
      <c r="D9631" s="6" t="str">
        <f ca="1">IFERROR(__xludf.DUMMYFUNCTION("""COMPUTED_VALUE"""),"MELIPILLA")</f>
        <v>MELIPILLA</v>
      </c>
    </row>
    <row r="9632" spans="1:4">
      <c r="A9632" s="7">
        <f ca="1">IFERROR(__xludf.DUMMYFUNCTION("""COMPUTED_VALUE"""),44800)</f>
        <v>44800</v>
      </c>
      <c r="B9632" s="8" t="str">
        <f ca="1">IFERROR(__xludf.DUMMYFUNCTION("""COMPUTED_VALUE"""),"-33.198709,-70.648758")</f>
        <v>-33.198709,-70.648758</v>
      </c>
      <c r="C9632" s="6" t="str">
        <f ca="1">IFERROR(__xludf.DUMMYFUNCTION("""COMPUTED_VALUE"""),"EL MOLINO 106")</f>
        <v>EL MOLINO 106</v>
      </c>
      <c r="D9632" s="6" t="str">
        <f ca="1">IFERROR(__xludf.DUMMYFUNCTION("""COMPUTED_VALUE"""),"COLINA")</f>
        <v>COLINA</v>
      </c>
    </row>
    <row r="9633" spans="1:4">
      <c r="A9633" s="7">
        <f ca="1">IFERROR(__xludf.DUMMYFUNCTION("""COMPUTED_VALUE"""),44800)</f>
        <v>44800</v>
      </c>
      <c r="B9633" s="8" t="str">
        <f ca="1">IFERROR(__xludf.DUMMYFUNCTION("""COMPUTED_VALUE"""),"-33.198709,-70.648758")</f>
        <v>-33.198709,-70.648758</v>
      </c>
      <c r="C9633" s="6" t="str">
        <f ca="1">IFERROR(__xludf.DUMMYFUNCTION("""COMPUTED_VALUE"""),"EL MOLINO 106")</f>
        <v>EL MOLINO 106</v>
      </c>
      <c r="D9633" s="6" t="str">
        <f ca="1">IFERROR(__xludf.DUMMYFUNCTION("""COMPUTED_VALUE"""),"COLINA")</f>
        <v>COLINA</v>
      </c>
    </row>
    <row r="9634" spans="1:4">
      <c r="A9634" s="7">
        <f ca="1">IFERROR(__xludf.DUMMYFUNCTION("""COMPUTED_VALUE"""),44800)</f>
        <v>44800</v>
      </c>
      <c r="B9634" s="6" t="str">
        <f ca="1">IFERROR(__xludf.DUMMYFUNCTION("""COMPUTED_VALUE"""),"-33.596126,-70.781845")</f>
        <v>-33.596126,-70.781845</v>
      </c>
      <c r="C9634" s="6" t="str">
        <f ca="1">IFERROR(__xludf.DUMMYFUNCTION("""COMPUTED_VALUE"""),"CO A LONQUEN 7 PARCELA 7")</f>
        <v>CO A LONQUEN 7 PARCELA 7</v>
      </c>
      <c r="D9634" s="6" t="str">
        <f ca="1">IFERROR(__xludf.DUMMYFUNCTION("""COMPUTED_VALUE"""),"CALERA DE TANGO")</f>
        <v>CALERA DE TANGO</v>
      </c>
    </row>
    <row r="9635" spans="1:4">
      <c r="A9635" s="7">
        <f ca="1">IFERROR(__xludf.DUMMYFUNCTION("""COMPUTED_VALUE"""),44802)</f>
        <v>44802</v>
      </c>
      <c r="B9635" s="8" t="str">
        <f ca="1">IFERROR(__xludf.DUMMYFUNCTION("""COMPUTED_VALUE"""),"-33.5606448, -70.6528592")</f>
        <v>-33.5606448, -70.6528592</v>
      </c>
      <c r="C9635" s="6" t="str">
        <f ca="1">IFERROR(__xludf.DUMMYFUNCTION("""COMPUTED_VALUE"""),"CENTENARIO 152")</f>
        <v>CENTENARIO 152</v>
      </c>
      <c r="D9635" s="6" t="str">
        <f ca="1">IFERROR(__xludf.DUMMYFUNCTION("""COMPUTED_VALUE"""),"PEÑAFLOR")</f>
        <v>PEÑAFLOR</v>
      </c>
    </row>
    <row r="9636" spans="1:4">
      <c r="A9636" s="7">
        <f ca="1">IFERROR(__xludf.DUMMYFUNCTION("""COMPUTED_VALUE"""),44802)</f>
        <v>44802</v>
      </c>
      <c r="B9636" s="8" t="str">
        <f ca="1">IFERROR(__xludf.DUMMYFUNCTION("""COMPUTED_VALUE"""),"-33.739775, -70.7434883")</f>
        <v>-33.739775, -70.7434883</v>
      </c>
      <c r="C9636" s="6" t="str">
        <f ca="1">IFERROR(__xludf.DUMMYFUNCTION("""COMPUTED_VALUE"""),"SAN FELIX 457")</f>
        <v>SAN FELIX 457</v>
      </c>
      <c r="D9636" s="6" t="str">
        <f ca="1">IFERROR(__xludf.DUMMYFUNCTION("""COMPUTED_VALUE"""),"BUIN")</f>
        <v>BUIN</v>
      </c>
    </row>
    <row r="9637" spans="1:4">
      <c r="A9637" s="7">
        <f ca="1">IFERROR(__xludf.DUMMYFUNCTION("""COMPUTED_VALUE"""),44802)</f>
        <v>44802</v>
      </c>
      <c r="B9637" s="8" t="str">
        <f ca="1">IFERROR(__xludf.DUMMYFUNCTION("""COMPUTED_VALUE"""),"33.5963229, -70.8761766")</f>
        <v>33.5963229, -70.8761766</v>
      </c>
      <c r="C9637" s="6" t="str">
        <f ca="1">IFERROR(__xludf.DUMMYFUNCTION("""COMPUTED_VALUE"""),"PAJARITOS 2290")</f>
        <v>PAJARITOS 2290</v>
      </c>
      <c r="D9637" s="6" t="str">
        <f ca="1">IFERROR(__xludf.DUMMYFUNCTION("""COMPUTED_VALUE"""),"PEÑAFLOR")</f>
        <v>PEÑAFLOR</v>
      </c>
    </row>
    <row r="9638" spans="1:4">
      <c r="A9638" s="7">
        <f ca="1">IFERROR(__xludf.DUMMYFUNCTION("""COMPUTED_VALUE"""),44802)</f>
        <v>44802</v>
      </c>
      <c r="B9638" s="8" t="str">
        <f ca="1">IFERROR(__xludf.DUMMYFUNCTION("""COMPUTED_VALUE"""),"-33.6802663, -71.2210422")</f>
        <v>-33.6802663, -71.2210422</v>
      </c>
      <c r="C9638" s="6" t="str">
        <f ca="1">IFERROR(__xludf.DUMMYFUNCTION("""COMPUTED_VALUE"""),"EL CEDRO 1019")</f>
        <v>EL CEDRO 1019</v>
      </c>
      <c r="D9638" s="6" t="str">
        <f ca="1">IFERROR(__xludf.DUMMYFUNCTION("""COMPUTED_VALUE"""),"MELIPILLA")</f>
        <v>MELIPILLA</v>
      </c>
    </row>
    <row r="9639" spans="1:4">
      <c r="A9639" s="7">
        <f ca="1">IFERROR(__xludf.DUMMYFUNCTION("""COMPUTED_VALUE"""),44802)</f>
        <v>44802</v>
      </c>
      <c r="B9639" s="8" t="str">
        <f ca="1">IFERROR(__xludf.DUMMYFUNCTION("""COMPUTED_VALUE"""),"-33.7583511, -71.2965393")</f>
        <v>-33.7583511, -71.2965393</v>
      </c>
      <c r="C9639" s="6" t="str">
        <f ca="1">IFERROR(__xludf.DUMMYFUNCTION("""COMPUTED_VALUE"""),"SAN MANUEL 6")</f>
        <v>SAN MANUEL 6</v>
      </c>
      <c r="D9639" s="6" t="str">
        <f ca="1">IFERROR(__xludf.DUMMYFUNCTION("""COMPUTED_VALUE"""),"MELIPILLA")</f>
        <v>MELIPILLA</v>
      </c>
    </row>
    <row r="9640" spans="1:4">
      <c r="A9640" s="7">
        <f ca="1">IFERROR(__xludf.DUMMYFUNCTION("""COMPUTED_VALUE"""),44802)</f>
        <v>44802</v>
      </c>
      <c r="B9640" s="8" t="str">
        <f ca="1">IFERROR(__xludf.DUMMYFUNCTION("""COMPUTED_VALUE"""),"33.87231, -70.7167867")</f>
        <v>33.87231, -70.7167867</v>
      </c>
      <c r="C9640" s="6" t="str">
        <f ca="1">IFERROR(__xludf.DUMMYFUNCTION("""COMPUTED_VALUE"""),"COLONIA KENEDY 98")</f>
        <v>COLONIA KENEDY 98</v>
      </c>
      <c r="D9640" s="6" t="str">
        <f ca="1">IFERROR(__xludf.DUMMYFUNCTION("""COMPUTED_VALUE"""),"PAINE")</f>
        <v>PAINE</v>
      </c>
    </row>
    <row r="9641" spans="1:4">
      <c r="A9641" s="7">
        <f ca="1">IFERROR(__xludf.DUMMYFUNCTION("""COMPUTED_VALUE"""),44802)</f>
        <v>44802</v>
      </c>
      <c r="B9641" s="8" t="str">
        <f ca="1">IFERROR(__xludf.DUMMYFUNCTION("""COMPUTED_VALUE"""),"-33.7424975, -70.8682313")</f>
        <v>-33.7424975, -70.8682313</v>
      </c>
      <c r="C9641" s="6" t="str">
        <f ca="1">IFERROR(__xludf.DUMMYFUNCTION("""COMPUTED_VALUE"""),"LUIS BECERRA 377")</f>
        <v>LUIS BECERRA 377</v>
      </c>
      <c r="D9641" s="6" t="str">
        <f ca="1">IFERROR(__xludf.DUMMYFUNCTION("""COMPUTED_VALUE"""),"ISLA DE MAIPO")</f>
        <v>ISLA DE MAIPO</v>
      </c>
    </row>
    <row r="9642" spans="1:4">
      <c r="A9642" s="7">
        <f ca="1">IFERROR(__xludf.DUMMYFUNCTION("""COMPUTED_VALUE"""),44802)</f>
        <v>44802</v>
      </c>
      <c r="B9642" s="6" t="str">
        <f ca="1">IFERROR(__xludf.DUMMYFUNCTION("""COMPUTED_VALUE"""),"-33.16471-70.78996")</f>
        <v>-33.16471-70.78996</v>
      </c>
      <c r="C9642" s="6" t="str">
        <f ca="1">IFERROR(__xludf.DUMMYFUNCTION("""COMPUTED_VALUE"""),"LOS PRADOS 259")</f>
        <v>LOS PRADOS 259</v>
      </c>
      <c r="D9642" s="6" t="str">
        <f ca="1">IFERROR(__xludf.DUMMYFUNCTION("""COMPUTED_VALUE"""),"TIL TIL")</f>
        <v>TIL TIL</v>
      </c>
    </row>
    <row r="9643" spans="1:4">
      <c r="A9643" s="7">
        <f ca="1">IFERROR(__xludf.DUMMYFUNCTION("""COMPUTED_VALUE"""),44802)</f>
        <v>44802</v>
      </c>
      <c r="B9643" s="6" t="str">
        <f ca="1">IFERROR(__xludf.DUMMYFUNCTION("""COMPUTED_VALUE"""),"-33.12642-70.86089")</f>
        <v>-33.12642-70.86089</v>
      </c>
      <c r="C9643" s="6" t="str">
        <f ca="1">IFERROR(__xludf.DUMMYFUNCTION("""COMPUTED_VALUE"""),"PARCELACION EL TRANQUE 2 S/N")</f>
        <v>PARCELACION EL TRANQUE 2 S/N</v>
      </c>
      <c r="D9643" s="6" t="str">
        <f ca="1">IFERROR(__xludf.DUMMYFUNCTION("""COMPUTED_VALUE"""),"TIL TIL")</f>
        <v>TIL TIL</v>
      </c>
    </row>
    <row r="9644" spans="1:4">
      <c r="A9644" s="7">
        <f ca="1">IFERROR(__xludf.DUMMYFUNCTION("""COMPUTED_VALUE"""),44802)</f>
        <v>44802</v>
      </c>
      <c r="B9644" s="6" t="str">
        <f ca="1">IFERROR(__xludf.DUMMYFUNCTION("""COMPUTED_VALUE"""),"-33.599938-70.853970")</f>
        <v>-33.599938-70.853970</v>
      </c>
      <c r="C9644" s="6" t="str">
        <f ca="1">IFERROR(__xludf.DUMMYFUNCTION("""COMPUTED_VALUE"""),"LA CAMPANA 471")</f>
        <v>LA CAMPANA 471</v>
      </c>
      <c r="D9644" s="6" t="str">
        <f ca="1">IFERROR(__xludf.DUMMYFUNCTION("""COMPUTED_VALUE"""),"PEÑAFLOR")</f>
        <v>PEÑAFLOR</v>
      </c>
    </row>
    <row r="9645" spans="1:4">
      <c r="A9645" s="7">
        <f ca="1">IFERROR(__xludf.DUMMYFUNCTION("""COMPUTED_VALUE"""),44802)</f>
        <v>44802</v>
      </c>
      <c r="B9645" s="6" t="str">
        <f ca="1">IFERROR(__xludf.DUMMYFUNCTION("""COMPUTED_VALUE"""),"-33.571467-70.8038263")</f>
        <v>-33.571467-70.8038263</v>
      </c>
      <c r="C9645" s="6" t="str">
        <f ca="1">IFERROR(__xludf.DUMMYFUNCTION("""COMPUTED_VALUE"""),"VALENCIA 1697")</f>
        <v>VALENCIA 1697</v>
      </c>
      <c r="D9645" s="6" t="str">
        <f ca="1">IFERROR(__xludf.DUMMYFUNCTION("""COMPUTED_VALUE"""),"PADRE HURTADO")</f>
        <v>PADRE HURTADO</v>
      </c>
    </row>
    <row r="9646" spans="1:4">
      <c r="A9646" s="7">
        <f ca="1">IFERROR(__xludf.DUMMYFUNCTION("""COMPUTED_VALUE"""),44802)</f>
        <v>44802</v>
      </c>
      <c r="B9646" s="8" t="str">
        <f ca="1">IFERROR(__xludf.DUMMYFUNCTION("""COMPUTED_VALUE"""),"-33.689894,-70.578792")</f>
        <v>-33.689894,-70.578792</v>
      </c>
      <c r="C9646" s="6" t="str">
        <f ca="1">IFERROR(__xludf.DUMMYFUNCTION("""COMPUTED_VALUE"""),"LO ARCAYA 10")</f>
        <v>LO ARCAYA 10</v>
      </c>
      <c r="D9646" s="6" t="str">
        <f ca="1">IFERROR(__xludf.DUMMYFUNCTION("""COMPUTED_VALUE"""),"PIRQUE")</f>
        <v>PIRQUE</v>
      </c>
    </row>
    <row r="9647" spans="1:4">
      <c r="A9647" s="7">
        <f ca="1">IFERROR(__xludf.DUMMYFUNCTION("""COMPUTED_VALUE"""),44802)</f>
        <v>44802</v>
      </c>
      <c r="B9647" s="8" t="str">
        <f ca="1">IFERROR(__xludf.DUMMYFUNCTION("""COMPUTED_VALUE"""),"-33.720478,-70.558468")</f>
        <v>-33.720478,-70.558468</v>
      </c>
      <c r="C9647" s="6" t="str">
        <f ca="1">IFERROR(__xludf.DUMMYFUNCTION("""COMPUTED_VALUE"""),"EL PRINCIPAL 128")</f>
        <v>EL PRINCIPAL 128</v>
      </c>
      <c r="D9647" s="6" t="str">
        <f ca="1">IFERROR(__xludf.DUMMYFUNCTION("""COMPUTED_VALUE"""),"PIRQUE")</f>
        <v>PIRQUE</v>
      </c>
    </row>
    <row r="9648" spans="1:4">
      <c r="A9648" s="7">
        <f ca="1">IFERROR(__xludf.DUMMYFUNCTION("""COMPUTED_VALUE"""),44802)</f>
        <v>44802</v>
      </c>
      <c r="B9648" s="6" t="str">
        <f ca="1">IFERROR(__xludf.DUMMYFUNCTION("""COMPUTED_VALUE"""),"-33.732635,-70.907577")</f>
        <v>-33.732635,-70.907577</v>
      </c>
      <c r="C9648" s="6" t="str">
        <f ca="1">IFERROR(__xludf.DUMMYFUNCTION("""COMPUTED_VALUE"""),"EL MANZANO 1085")</f>
        <v>EL MANZANO 1085</v>
      </c>
      <c r="D9648" s="6" t="str">
        <f ca="1">IFERROR(__xludf.DUMMYFUNCTION("""COMPUTED_VALUE"""),"ISLA DE MAIPO")</f>
        <v>ISLA DE MAIPO</v>
      </c>
    </row>
    <row r="9649" spans="1:4">
      <c r="A9649" s="7">
        <f ca="1">IFERROR(__xludf.DUMMYFUNCTION("""COMPUTED_VALUE"""),44802)</f>
        <v>44802</v>
      </c>
      <c r="B9649" s="6" t="str">
        <f ca="1">IFERROR(__xludf.DUMMYFUNCTION("""COMPUTED_VALUE"""),"-33.599637,-70.857937")</f>
        <v>-33.599637,-70.857937</v>
      </c>
      <c r="C9649" s="6" t="str">
        <f ca="1">IFERROR(__xludf.DUMMYFUNCTION("""COMPUTED_VALUE"""),"NUEVA FLORIDA 534")</f>
        <v>NUEVA FLORIDA 534</v>
      </c>
      <c r="D9649" s="6" t="str">
        <f ca="1">IFERROR(__xludf.DUMMYFUNCTION("""COMPUTED_VALUE"""),"PEÑAFLOR")</f>
        <v>PEÑAFLOR</v>
      </c>
    </row>
    <row r="9650" spans="1:4">
      <c r="A9650" s="7">
        <f ca="1">IFERROR(__xludf.DUMMYFUNCTION("""COMPUTED_VALUE"""),44802)</f>
        <v>44802</v>
      </c>
      <c r="B9650" s="8" t="str">
        <f ca="1">IFERROR(__xludf.DUMMYFUNCTION("""COMPUTED_VALUE"""),"-34.055432,-71.230000")</f>
        <v>-34.055432,-71.230000</v>
      </c>
      <c r="C9650" s="6" t="str">
        <f ca="1">IFERROR(__xludf.DUMMYFUNCTION("""COMPUTED_VALUE"""),"LOS ALAMOS ")</f>
        <v xml:space="preserve">LOS ALAMOS </v>
      </c>
      <c r="D9650" s="6" t="str">
        <f ca="1">IFERROR(__xludf.DUMMYFUNCTION("""COMPUTED_VALUE"""),"ALHUÉ")</f>
        <v>ALHUÉ</v>
      </c>
    </row>
    <row r="9651" spans="1:4">
      <c r="A9651" s="7">
        <f ca="1">IFERROR(__xludf.DUMMYFUNCTION("""COMPUTED_VALUE"""),44802)</f>
        <v>44802</v>
      </c>
      <c r="B9651" s="8" t="str">
        <f ca="1">IFERROR(__xludf.DUMMYFUNCTION("""COMPUTED_VALUE"""),"-34.067113,-71.266310")</f>
        <v>-34.067113,-71.266310</v>
      </c>
      <c r="C9651" s="6" t="str">
        <f ca="1">IFERROR(__xludf.DUMMYFUNCTION("""COMPUTED_VALUE"""),"QUILAMUTA S/N")</f>
        <v>QUILAMUTA S/N</v>
      </c>
      <c r="D9651" s="6" t="str">
        <f ca="1">IFERROR(__xludf.DUMMYFUNCTION("""COMPUTED_VALUE"""),"ALHUÉ")</f>
        <v>ALHUÉ</v>
      </c>
    </row>
    <row r="9652" spans="1:4">
      <c r="A9652" s="7">
        <f ca="1">IFERROR(__xludf.DUMMYFUNCTION("""COMPUTED_VALUE"""),44802)</f>
        <v>44802</v>
      </c>
      <c r="B9652" s="6" t="str">
        <f ca="1">IFERROR(__xludf.DUMMYFUNCTION("""COMPUTED_VALUE"""),"-33.801048,-70.738591")</f>
        <v>-33.801048,-70.738591</v>
      </c>
      <c r="C9652" s="6" t="str">
        <f ca="1">IFERROR(__xludf.DUMMYFUNCTION("""COMPUTED_VALUE"""),"PASAJE B 310")</f>
        <v>PASAJE B 310</v>
      </c>
      <c r="D9652" s="6" t="str">
        <f ca="1">IFERROR(__xludf.DUMMYFUNCTION("""COMPUTED_VALUE"""),"PAINE")</f>
        <v>PAINE</v>
      </c>
    </row>
    <row r="9653" spans="1:4">
      <c r="A9653" s="7">
        <f ca="1">IFERROR(__xludf.DUMMYFUNCTION("""COMPUTED_VALUE"""),44802)</f>
        <v>44802</v>
      </c>
      <c r="B9653" s="6" t="str">
        <f ca="1">IFERROR(__xludf.DUMMYFUNCTION("""COMPUTED_VALUE"""),"-33.804278,-70.727889")</f>
        <v>-33.804278,-70.727889</v>
      </c>
      <c r="C9653" s="6" t="str">
        <f ca="1">IFERROR(__xludf.DUMMYFUNCTION("""COMPUTED_VALUE"""),"MARIO MUÑOZ 796")</f>
        <v>MARIO MUÑOZ 796</v>
      </c>
      <c r="D9653" s="6" t="str">
        <f ca="1">IFERROR(__xludf.DUMMYFUNCTION("""COMPUTED_VALUE"""),"PAINE")</f>
        <v>PAINE</v>
      </c>
    </row>
    <row r="9654" spans="1:4">
      <c r="A9654" s="7">
        <f ca="1">IFERROR(__xludf.DUMMYFUNCTION("""COMPUTED_VALUE"""),44803)</f>
        <v>44803</v>
      </c>
      <c r="B9654" s="6" t="str">
        <f ca="1">IFERROR(__xludf.DUMMYFUNCTION("""COMPUTED_VALUE"""),"-33.64226-70.34716")</f>
        <v>-33.64226-70.34716</v>
      </c>
      <c r="C9654" s="6" t="str">
        <f ca="1">IFERROR(__xludf.DUMMYFUNCTION("""COMPUTED_VALUE"""),"AV. VIRGEN DEL CARMEN S/N")</f>
        <v>AV. VIRGEN DEL CARMEN S/N</v>
      </c>
      <c r="D9654" s="6" t="str">
        <f ca="1">IFERROR(__xludf.DUMMYFUNCTION("""COMPUTED_VALUE"""),"SAN JOSE DE MAIPO")</f>
        <v>SAN JOSE DE MAIPO</v>
      </c>
    </row>
    <row r="9655" spans="1:4">
      <c r="A9655" s="7">
        <f ca="1">IFERROR(__xludf.DUMMYFUNCTION("""COMPUTED_VALUE"""),44803)</f>
        <v>44803</v>
      </c>
      <c r="B9655" s="6" t="str">
        <f ca="1">IFERROR(__xludf.DUMMYFUNCTION("""COMPUTED_VALUE"""),"-34.029826-71.086371")</f>
        <v>-34.029826-71.086371</v>
      </c>
      <c r="C9655" s="6" t="str">
        <f ca="1">IFERROR(__xludf.DUMMYFUNCTION("""COMPUTED_VALUE"""),"IGNACIO CARRERA PINTO S/N")</f>
        <v>IGNACIO CARRERA PINTO S/N</v>
      </c>
      <c r="D9655" s="6" t="str">
        <f ca="1">IFERROR(__xludf.DUMMYFUNCTION("""COMPUTED_VALUE"""),"ALHUÉ")</f>
        <v>ALHUÉ</v>
      </c>
    </row>
    <row r="9656" spans="1:4">
      <c r="A9656" s="7">
        <f ca="1">IFERROR(__xludf.DUMMYFUNCTION("""COMPUTED_VALUE"""),44803)</f>
        <v>44803</v>
      </c>
      <c r="B9656" s="8" t="str">
        <f ca="1">IFERROR(__xludf.DUMMYFUNCTION("""COMPUTED_VALUE"""),"-33.681440,-71.002157")</f>
        <v>-33.681440,-71.002157</v>
      </c>
      <c r="C9656" s="6" t="str">
        <f ca="1">IFERROR(__xludf.DUMMYFUNCTION("""COMPUTED_VALUE"""),"CAM CARRETAS 844 F")</f>
        <v>CAM CARRETAS 844 F</v>
      </c>
      <c r="D9656" s="6" t="str">
        <f ca="1">IFERROR(__xludf.DUMMYFUNCTION("""COMPUTED_VALUE"""),"EL MONTE")</f>
        <v>EL MONTE</v>
      </c>
    </row>
    <row r="9657" spans="1:4">
      <c r="A9657" s="7">
        <f ca="1">IFERROR(__xludf.DUMMYFUNCTION("""COMPUTED_VALUE"""),44803)</f>
        <v>44803</v>
      </c>
      <c r="B9657" s="8" t="str">
        <f ca="1">IFERROR(__xludf.DUMMYFUNCTION("""COMPUTED_VALUE"""),"-33.686117,-71.025733")</f>
        <v>-33.686117,-71.025733</v>
      </c>
      <c r="C9657" s="6" t="str">
        <f ca="1">IFERROR(__xludf.DUMMYFUNCTION("""COMPUTED_VALUE"""),"LAGO RANCO 1333 B")</f>
        <v>LAGO RANCO 1333 B</v>
      </c>
      <c r="D9657" s="6" t="str">
        <f ca="1">IFERROR(__xludf.DUMMYFUNCTION("""COMPUTED_VALUE"""),"EL MONTE")</f>
        <v>EL MONTE</v>
      </c>
    </row>
    <row r="9658" spans="1:4">
      <c r="A9658" s="7">
        <f ca="1">IFERROR(__xludf.DUMMYFUNCTION("""COMPUTED_VALUE"""),44803)</f>
        <v>44803</v>
      </c>
      <c r="B9658" s="8" t="str">
        <f ca="1">IFERROR(__xludf.DUMMYFUNCTION("""COMPUTED_VALUE"""),"-33.684438,-71.025011")</f>
        <v>-33.684438,-71.025011</v>
      </c>
      <c r="C9658" s="6" t="str">
        <f ca="1">IFERROR(__xludf.DUMMYFUNCTION("""COMPUTED_VALUE"""),"LAGO COLBUN 1315 B")</f>
        <v>LAGO COLBUN 1315 B</v>
      </c>
      <c r="D9658" s="6" t="str">
        <f ca="1">IFERROR(__xludf.DUMMYFUNCTION("""COMPUTED_VALUE"""),"EL MONTE")</f>
        <v>EL MONTE</v>
      </c>
    </row>
    <row r="9659" spans="1:4">
      <c r="A9659" s="7">
        <f ca="1">IFERROR(__xludf.DUMMYFUNCTION("""COMPUTED_VALUE"""),44803)</f>
        <v>44803</v>
      </c>
      <c r="B9659" s="8" t="str">
        <f ca="1">IFERROR(__xludf.DUMMYFUNCTION("""COMPUTED_VALUE"""),"-33.681440,-71.002157")</f>
        <v>-33.681440,-71.002157</v>
      </c>
      <c r="C9659" s="6" t="str">
        <f ca="1">IFERROR(__xludf.DUMMYFUNCTION("""COMPUTED_VALUE"""),"LOS CARRERAS 844 F")</f>
        <v>LOS CARRERAS 844 F</v>
      </c>
      <c r="D9659" s="6" t="str">
        <f ca="1">IFERROR(__xludf.DUMMYFUNCTION("""COMPUTED_VALUE"""),"EL MONTE")</f>
        <v>EL MONTE</v>
      </c>
    </row>
    <row r="9660" spans="1:4">
      <c r="A9660" s="7">
        <f ca="1">IFERROR(__xludf.DUMMYFUNCTION("""COMPUTED_VALUE"""),44803)</f>
        <v>44803</v>
      </c>
      <c r="B9660" s="8" t="str">
        <f ca="1">IFERROR(__xludf.DUMMYFUNCTION("""COMPUTED_VALUE"""),"-33.275816,-70.709847")</f>
        <v>-33.275816,-70.709847</v>
      </c>
      <c r="C9660" s="6" t="str">
        <f ca="1">IFERROR(__xludf.DUMMYFUNCTION("""COMPUTED_VALUE"""),"ALGARROBAL DE CHICUREO 7 K 8")</f>
        <v>ALGARROBAL DE CHICUREO 7 K 8</v>
      </c>
      <c r="D9660" s="6" t="str">
        <f ca="1">IFERROR(__xludf.DUMMYFUNCTION("""COMPUTED_VALUE"""),"COLINA")</f>
        <v>COLINA</v>
      </c>
    </row>
    <row r="9661" spans="1:4">
      <c r="A9661" s="7">
        <f ca="1">IFERROR(__xludf.DUMMYFUNCTION("""COMPUTED_VALUE"""),44803)</f>
        <v>44803</v>
      </c>
      <c r="B9661" s="8" t="str">
        <f ca="1">IFERROR(__xludf.DUMMYFUNCTION("""COMPUTED_VALUE"""),"-33.180693,-70.660505")</f>
        <v>-33.180693,-70.660505</v>
      </c>
      <c r="C9661" s="6" t="str">
        <f ca="1">IFERROR(__xludf.DUMMYFUNCTION("""COMPUTED_VALUE"""),"LOS LITRES 1350")</f>
        <v>LOS LITRES 1350</v>
      </c>
      <c r="D9661" s="6" t="str">
        <f ca="1">IFERROR(__xludf.DUMMYFUNCTION("""COMPUTED_VALUE"""),"COLINA")</f>
        <v>COLINA</v>
      </c>
    </row>
    <row r="9662" spans="1:4">
      <c r="A9662" s="7">
        <f ca="1">IFERROR(__xludf.DUMMYFUNCTION("""COMPUTED_VALUE"""),44803)</f>
        <v>44803</v>
      </c>
      <c r="B9662" s="6" t="str">
        <f ca="1">IFERROR(__xludf.DUMMYFUNCTION("""COMPUTED_VALUE"""),"-33.743990,-70.870717")</f>
        <v>-33.743990,-70.870717</v>
      </c>
      <c r="C9662" s="6" t="str">
        <f ca="1">IFERROR(__xludf.DUMMYFUNCTION("""COMPUTED_VALUE"""),"DIREC SARA RODRIGUEZ ADASME 501")</f>
        <v>DIREC SARA RODRIGUEZ ADASME 501</v>
      </c>
      <c r="D9662" s="6" t="str">
        <f ca="1">IFERROR(__xludf.DUMMYFUNCTION("""COMPUTED_VALUE"""),"ISLA DE MAIPO")</f>
        <v>ISLA DE MAIPO</v>
      </c>
    </row>
    <row r="9663" spans="1:4">
      <c r="A9663" s="7">
        <f ca="1">IFERROR(__xludf.DUMMYFUNCTION("""COMPUTED_VALUE"""),44803)</f>
        <v>44803</v>
      </c>
      <c r="B9663" s="8" t="str">
        <f ca="1">IFERROR(__xludf.DUMMYFUNCTION("""COMPUTED_VALUE"""),"-33.796934,-70.761614")</f>
        <v>-33.796934,-70.761614</v>
      </c>
      <c r="C9663" s="6" t="str">
        <f ca="1">IFERROR(__xludf.DUMMYFUNCTION("""COMPUTED_VALUE"""),"RAFAEL ZAMORANO 42")</f>
        <v>RAFAEL ZAMORANO 42</v>
      </c>
      <c r="D9663" s="6" t="str">
        <f ca="1">IFERROR(__xludf.DUMMYFUNCTION("""COMPUTED_VALUE"""),"BUIN")</f>
        <v>BUIN</v>
      </c>
    </row>
    <row r="9664" spans="1:4">
      <c r="A9664" s="7">
        <f ca="1">IFERROR(__xludf.DUMMYFUNCTION("""COMPUTED_VALUE"""),44803)</f>
        <v>44803</v>
      </c>
      <c r="B9664" s="8" t="str">
        <f ca="1">IFERROR(__xludf.DUMMYFUNCTION("""COMPUTED_VALUE"""),"-33.720632,70.743694")</f>
        <v>-33.720632,70.743694</v>
      </c>
      <c r="C9664" s="6" t="str">
        <f ca="1">IFERROR(__xludf.DUMMYFUNCTION("""COMPUTED_VALUE"""),"RUBEN FLORES 831")</f>
        <v>RUBEN FLORES 831</v>
      </c>
      <c r="D9664" s="6" t="str">
        <f ca="1">IFERROR(__xludf.DUMMYFUNCTION("""COMPUTED_VALUE"""),"BUIN")</f>
        <v>BUIN</v>
      </c>
    </row>
    <row r="9665" spans="1:4">
      <c r="A9665" s="7">
        <f ca="1">IFERROR(__xludf.DUMMYFUNCTION("""COMPUTED_VALUE"""),44803)</f>
        <v>44803</v>
      </c>
      <c r="B9665" s="6" t="str">
        <f ca="1">IFERROR(__xludf.DUMMYFUNCTION("""COMPUTED_VALUE"""),"-33.779822,-70.795059")</f>
        <v>-33.779822,-70.795059</v>
      </c>
      <c r="C9665" s="6" t="str">
        <f ca="1">IFERROR(__xludf.DUMMYFUNCTION("""COMPUTED_VALUE"""),"STA. FILOMENA 10")</f>
        <v>STA. FILOMENA 10</v>
      </c>
      <c r="D9665" s="6" t="str">
        <f ca="1">IFERROR(__xludf.DUMMYFUNCTION("""COMPUTED_VALUE"""),"BUIN")</f>
        <v>BUIN</v>
      </c>
    </row>
    <row r="9666" spans="1:4">
      <c r="A9666" s="7">
        <f ca="1">IFERROR(__xludf.DUMMYFUNCTION("""COMPUTED_VALUE"""),44803)</f>
        <v>44803</v>
      </c>
      <c r="B9666" s="6" t="str">
        <f ca="1">IFERROR(__xludf.DUMMYFUNCTION("""COMPUTED_VALUE"""),"-33.812946,-70.856654")</f>
        <v>-33.812946,-70.856654</v>
      </c>
      <c r="C9666" s="6" t="str">
        <f ca="1">IFERROR(__xludf.DUMMYFUNCTION("""COMPUTED_VALUE"""),"LAS PATAGUAS 1154")</f>
        <v>LAS PATAGUAS 1154</v>
      </c>
      <c r="D9666" s="6" t="str">
        <f ca="1">IFERROR(__xludf.DUMMYFUNCTION("""COMPUTED_VALUE"""),"BUIN")</f>
        <v>BUIN</v>
      </c>
    </row>
    <row r="9667" spans="1:4">
      <c r="A9667" s="7">
        <f ca="1">IFERROR(__xludf.DUMMYFUNCTION("""COMPUTED_VALUE"""),44803)</f>
        <v>44803</v>
      </c>
      <c r="B9667" s="6" t="str">
        <f ca="1">IFERROR(__xludf.DUMMYFUNCTION("""COMPUTED_VALUE"""),"-34.027057,-71.085200")</f>
        <v>-34.027057,-71.085200</v>
      </c>
      <c r="C9667" s="6" t="str">
        <f ca="1">IFERROR(__xludf.DUMMYFUNCTION("""COMPUTED_VALUE"""),"IGNACIO CARRERA PINTO S/N")</f>
        <v>IGNACIO CARRERA PINTO S/N</v>
      </c>
      <c r="D9667" s="6" t="str">
        <f ca="1">IFERROR(__xludf.DUMMYFUNCTION("""COMPUTED_VALUE"""),"ALHUÉ")</f>
        <v>ALHUÉ</v>
      </c>
    </row>
    <row r="9668" spans="1:4">
      <c r="A9668" s="7">
        <f ca="1">IFERROR(__xludf.DUMMYFUNCTION("""COMPUTED_VALUE"""),44803)</f>
        <v>44803</v>
      </c>
      <c r="B9668" s="6" t="str">
        <f ca="1">IFERROR(__xludf.DUMMYFUNCTION("""COMPUTED_VALUE"""),"-34.029864,-71.086546")</f>
        <v>-34.029864,-71.086546</v>
      </c>
      <c r="C9668" s="6" t="str">
        <f ca="1">IFERROR(__xludf.DUMMYFUNCTION("""COMPUTED_VALUE"""),"IGNACIO CARRERA PINTO S/N")</f>
        <v>IGNACIO CARRERA PINTO S/N</v>
      </c>
      <c r="D9668" s="6" t="str">
        <f ca="1">IFERROR(__xludf.DUMMYFUNCTION("""COMPUTED_VALUE"""),"ALHUÉ")</f>
        <v>ALHUÉ</v>
      </c>
    </row>
    <row r="9669" spans="1:4">
      <c r="A9669" s="7">
        <f ca="1">IFERROR(__xludf.DUMMYFUNCTION("""COMPUTED_VALUE"""),44803)</f>
        <v>44803</v>
      </c>
      <c r="B9669" s="6" t="str">
        <f ca="1">IFERROR(__xludf.DUMMYFUNCTION("""COMPUTED_VALUE"""),"-34.032165,-71.079993")</f>
        <v>-34.032165,-71.079993</v>
      </c>
      <c r="C9669" s="6" t="str">
        <f ca="1">IFERROR(__xludf.DUMMYFUNCTION("""COMPUTED_VALUE"""),"IGNACIO CARRERA PINTO S/N")</f>
        <v>IGNACIO CARRERA PINTO S/N</v>
      </c>
      <c r="D9669" s="6" t="str">
        <f ca="1">IFERROR(__xludf.DUMMYFUNCTION("""COMPUTED_VALUE"""),"ALHUÉ")</f>
        <v>ALHUÉ</v>
      </c>
    </row>
    <row r="9670" spans="1:4">
      <c r="A9670" s="7">
        <f ca="1">IFERROR(__xludf.DUMMYFUNCTION("""COMPUTED_VALUE"""),44803)</f>
        <v>44803</v>
      </c>
      <c r="B9670" s="6" t="str">
        <f ca="1">IFERROR(__xludf.DUMMYFUNCTION("""COMPUTED_VALUE"""),"-34.032244,-71.098670")</f>
        <v>-34.032244,-71.098670</v>
      </c>
      <c r="C9670" s="6" t="str">
        <f ca="1">IFERROR(__xludf.DUMMYFUNCTION("""COMPUTED_VALUE"""),"ESMERALDA S/N")</f>
        <v>ESMERALDA S/N</v>
      </c>
      <c r="D9670" s="6" t="str">
        <f ca="1">IFERROR(__xludf.DUMMYFUNCTION("""COMPUTED_VALUE"""),"ALHUÉ")</f>
        <v>ALHUÉ</v>
      </c>
    </row>
    <row r="9671" spans="1:4">
      <c r="A9671" s="7">
        <f ca="1">IFERROR(__xludf.DUMMYFUNCTION("""COMPUTED_VALUE"""),44803)</f>
        <v>44803</v>
      </c>
      <c r="B9671" s="6" t="str">
        <f ca="1">IFERROR(__xludf.DUMMYFUNCTION("""COMPUTED_VALUE"""),"-33.4057861,-71.1448979")</f>
        <v>-33.4057861,-71.1448979</v>
      </c>
      <c r="C9671" s="6" t="str">
        <f ca="1">IFERROR(__xludf.DUMMYFUNCTION("""COMPUTED_VALUE"""),"ANTEQUILES 253")</f>
        <v>ANTEQUILES 253</v>
      </c>
      <c r="D9671" s="6" t="str">
        <f ca="1">IFERROR(__xludf.DUMMYFUNCTION("""COMPUTED_VALUE"""),"CURACAVI")</f>
        <v>CURACAVI</v>
      </c>
    </row>
    <row r="9672" spans="1:4">
      <c r="A9672" s="7">
        <f ca="1">IFERROR(__xludf.DUMMYFUNCTION("""COMPUTED_VALUE"""),44804)</f>
        <v>44804</v>
      </c>
      <c r="B9672" s="8" t="str">
        <f ca="1">IFERROR(__xludf.DUMMYFUNCTION("""COMPUTED_VALUE"""),"-33.5628622, -70.7108667")</f>
        <v>-33.5628622, -70.7108667</v>
      </c>
      <c r="C9672" s="6" t="str">
        <f ca="1">IFERROR(__xludf.DUMMYFUNCTION("""COMPUTED_VALUE"""),"JUAN ALACARCON SALAZAR 58")</f>
        <v>JUAN ALACARCON SALAZAR 58</v>
      </c>
      <c r="D9672" s="6" t="str">
        <f ca="1">IFERROR(__xludf.DUMMYFUNCTION("""COMPUTED_VALUE"""),"PAINE")</f>
        <v>PAINE</v>
      </c>
    </row>
    <row r="9673" spans="1:4">
      <c r="A9673" s="7">
        <f ca="1">IFERROR(__xludf.DUMMYFUNCTION("""COMPUTED_VALUE"""),44804)</f>
        <v>44804</v>
      </c>
      <c r="B9673" s="6" t="str">
        <f ca="1">IFERROR(__xludf.DUMMYFUNCTION("""COMPUTED_VALUE"""),"-33.674962-71.213940")</f>
        <v>-33.674962-71.213940</v>
      </c>
      <c r="C9673" s="6" t="str">
        <f ca="1">IFERROR(__xludf.DUMMYFUNCTION("""COMPUTED_VALUE"""),"PATRICIO LARRAIN 182")</f>
        <v>PATRICIO LARRAIN 182</v>
      </c>
      <c r="D9673" s="6" t="str">
        <f ca="1">IFERROR(__xludf.DUMMYFUNCTION("""COMPUTED_VALUE"""),"MELIPILLA")</f>
        <v>MELIPILLA</v>
      </c>
    </row>
    <row r="9674" spans="1:4">
      <c r="A9674" s="7">
        <f ca="1">IFERROR(__xludf.DUMMYFUNCTION("""COMPUTED_VALUE"""),44804)</f>
        <v>44804</v>
      </c>
      <c r="B9674" s="6" t="str">
        <f ca="1">IFERROR(__xludf.DUMMYFUNCTION("""COMPUTED_VALUE"""),"-33.684005-70.950051")</f>
        <v>-33.684005-70.950051</v>
      </c>
      <c r="C9674" s="6" t="str">
        <f ca="1">IFERROR(__xludf.DUMMYFUNCTION("""COMPUTED_VALUE"""),"TEGUALDA 1186")</f>
        <v>TEGUALDA 1186</v>
      </c>
      <c r="D9674" s="6" t="str">
        <f ca="1">IFERROR(__xludf.DUMMYFUNCTION("""COMPUTED_VALUE"""),"TALAGANTE")</f>
        <v>TALAGANTE</v>
      </c>
    </row>
    <row r="9675" spans="1:4">
      <c r="A9675" s="7">
        <f ca="1">IFERROR(__xludf.DUMMYFUNCTION("""COMPUTED_VALUE"""),44804)</f>
        <v>44804</v>
      </c>
      <c r="B9675" s="6" t="str">
        <f ca="1">IFERROR(__xludf.DUMMYFUNCTION("""COMPUTED_VALUE"""),"-33.414469-71.156440")</f>
        <v>-33.414469-71.156440</v>
      </c>
      <c r="C9675" s="6" t="str">
        <f ca="1">IFERROR(__xludf.DUMMYFUNCTION("""COMPUTED_VALUE"""),"REGIDOR ONOFRE JARA 260")</f>
        <v>REGIDOR ONOFRE JARA 260</v>
      </c>
      <c r="D9675" s="6" t="str">
        <f ca="1">IFERROR(__xludf.DUMMYFUNCTION("""COMPUTED_VALUE"""),"CURACAVI")</f>
        <v>CURACAVI</v>
      </c>
    </row>
    <row r="9676" spans="1:4">
      <c r="A9676" s="7">
        <f ca="1">IFERROR(__xludf.DUMMYFUNCTION("""COMPUTED_VALUE"""),44804)</f>
        <v>44804</v>
      </c>
      <c r="B9676" s="6" t="str">
        <f ca="1">IFERROR(__xludf.DUMMYFUNCTION("""COMPUTED_VALUE"""),"-33.400206-71.120028")</f>
        <v>-33.400206-71.120028</v>
      </c>
      <c r="C9676" s="6" t="str">
        <f ca="1">IFERROR(__xludf.DUMMYFUNCTION("""COMPUTED_VALUE"""),"PJE UNO 215")</f>
        <v>PJE UNO 215</v>
      </c>
      <c r="D9676" s="6" t="str">
        <f ca="1">IFERROR(__xludf.DUMMYFUNCTION("""COMPUTED_VALUE"""),"CURACAVI")</f>
        <v>CURACAVI</v>
      </c>
    </row>
    <row r="9677" spans="1:4">
      <c r="A9677" s="7">
        <f ca="1">IFERROR(__xludf.DUMMYFUNCTION("""COMPUTED_VALUE"""),44804)</f>
        <v>44804</v>
      </c>
      <c r="B9677" s="8" t="str">
        <f ca="1">IFERROR(__xludf.DUMMYFUNCTION("""COMPUTED_VALUE"""),"-33.354182,-69.141527")</f>
        <v>-33.354182,-69.141527</v>
      </c>
      <c r="C9677" s="6" t="str">
        <f ca="1">IFERROR(__xludf.DUMMYFUNCTION("""COMPUTED_VALUE"""),"EL PRINCIPAL 128")</f>
        <v>EL PRINCIPAL 128</v>
      </c>
      <c r="D9677" s="6" t="str">
        <f ca="1">IFERROR(__xludf.DUMMYFUNCTION("""COMPUTED_VALUE"""),"PIRQUE")</f>
        <v>PIRQUE</v>
      </c>
    </row>
    <row r="9678" spans="1:4">
      <c r="A9678" s="7">
        <f ca="1">IFERROR(__xludf.DUMMYFUNCTION("""COMPUTED_VALUE"""),44804)</f>
        <v>44804</v>
      </c>
      <c r="B9678" s="8" t="str">
        <f ca="1">IFERROR(__xludf.DUMMYFUNCTION("""COMPUTED_VALUE"""),"-33.720533,-70.558476")</f>
        <v>-33.720533,-70.558476</v>
      </c>
      <c r="C9678" s="6" t="str">
        <f ca="1">IFERROR(__xludf.DUMMYFUNCTION("""COMPUTED_VALUE"""),"EL PRINCIPAL 128")</f>
        <v>EL PRINCIPAL 128</v>
      </c>
      <c r="D9678" s="6" t="str">
        <f ca="1">IFERROR(__xludf.DUMMYFUNCTION("""COMPUTED_VALUE"""),"PIRQUE")</f>
        <v>PIRQUE</v>
      </c>
    </row>
    <row r="9679" spans="1:4">
      <c r="A9679" s="7">
        <f ca="1">IFERROR(__xludf.DUMMYFUNCTION("""COMPUTED_VALUE"""),44804)</f>
        <v>44804</v>
      </c>
      <c r="B9679" s="6" t="str">
        <f ca="1">IFERROR(__xludf.DUMMYFUNCTION("""COMPUTED_VALUE"""),"-33.803263,-70.699128")</f>
        <v>-33.803263,-70.699128</v>
      </c>
      <c r="C9679" s="6" t="str">
        <f ca="1">IFERROR(__xludf.DUMMYFUNCTION("""COMPUTED_VALUE"""),"AV DIECIOCHO DE SEPTIEMBRE 125")</f>
        <v>AV DIECIOCHO DE SEPTIEMBRE 125</v>
      </c>
      <c r="D9679" s="6" t="str">
        <f ca="1">IFERROR(__xludf.DUMMYFUNCTION("""COMPUTED_VALUE"""),"PAINE")</f>
        <v>PAINE</v>
      </c>
    </row>
    <row r="9680" spans="1:4">
      <c r="A9680" s="7">
        <f ca="1">IFERROR(__xludf.DUMMYFUNCTION("""COMPUTED_VALUE"""),44804)</f>
        <v>44804</v>
      </c>
      <c r="B9680" s="8" t="str">
        <f ca="1">IFERROR(__xludf.DUMMYFUNCTION("""COMPUTED_VALUE"""),"-33.745373,-70.680595")</f>
        <v>-33.745373,-70.680595</v>
      </c>
      <c r="C9680" s="6" t="str">
        <f ca="1">IFERROR(__xludf.DUMMYFUNCTION("""COMPUTED_VALUE"""),"GILBERTO SALGADO 34")</f>
        <v>GILBERTO SALGADO 34</v>
      </c>
      <c r="D9680" s="6" t="str">
        <f ca="1">IFERROR(__xludf.DUMMYFUNCTION("""COMPUTED_VALUE"""),"BUIN")</f>
        <v>BUIN</v>
      </c>
    </row>
    <row r="9681" spans="1:4">
      <c r="A9681" s="7">
        <f ca="1">IFERROR(__xludf.DUMMYFUNCTION("""COMPUTED_VALUE"""),44804)</f>
        <v>44804</v>
      </c>
      <c r="B9681" s="8" t="str">
        <f ca="1">IFERROR(__xludf.DUMMYFUNCTION("""COMPUTED_VALUE"""),"-33.757751,-70.7337980")</f>
        <v>-33.757751,-70.7337980</v>
      </c>
      <c r="C9681" s="6" t="str">
        <f ca="1">IFERROR(__xludf.DUMMYFUNCTION("""COMPUTED_VALUE"""),"FCO. JAVIER KRUGGER 3484 CASA 10")</f>
        <v>FCO. JAVIER KRUGGER 3484 CASA 10</v>
      </c>
      <c r="D9681" s="6" t="str">
        <f ca="1">IFERROR(__xludf.DUMMYFUNCTION("""COMPUTED_VALUE"""),"BUIN")</f>
        <v>BUIN</v>
      </c>
    </row>
    <row r="9682" spans="1:4">
      <c r="A9682" s="7">
        <f ca="1">IFERROR(__xludf.DUMMYFUNCTION("""COMPUTED_VALUE"""),44804)</f>
        <v>44804</v>
      </c>
      <c r="B9682" s="6" t="str">
        <f ca="1">IFERROR(__xludf.DUMMYFUNCTION("""COMPUTED_VALUE"""),"-33.698679,-70.711090")</f>
        <v>-33.698679,-70.711090</v>
      </c>
      <c r="C9682" s="6" t="str">
        <f ca="1">IFERROR(__xludf.DUMMYFUNCTION("""COMPUTED_VALUE"""),"PJE LOS VILCHES 18")</f>
        <v>PJE LOS VILCHES 18</v>
      </c>
      <c r="D9682" s="6" t="str">
        <f ca="1">IFERROR(__xludf.DUMMYFUNCTION("""COMPUTED_VALUE"""),"BUIN")</f>
        <v>BUIN</v>
      </c>
    </row>
    <row r="9683" spans="1:4">
      <c r="A9683" s="7">
        <f ca="1">IFERROR(__xludf.DUMMYFUNCTION("""COMPUTED_VALUE"""),44804)</f>
        <v>44804</v>
      </c>
      <c r="B9683" s="6" t="str">
        <f ca="1">IFERROR(__xludf.DUMMYFUNCTION("""COMPUTED_VALUE"""),"-33.732734,-70.682503")</f>
        <v>-33.732734,-70.682503</v>
      </c>
      <c r="C9683" s="6" t="str">
        <f ca="1">IFERROR(__xludf.DUMMYFUNCTION("""COMPUTED_VALUE"""),"MARTA RAMOS 299")</f>
        <v>MARTA RAMOS 299</v>
      </c>
      <c r="D9683" s="6" t="str">
        <f ca="1">IFERROR(__xludf.DUMMYFUNCTION("""COMPUTED_VALUE"""),"BUIN")</f>
        <v>BUIN</v>
      </c>
    </row>
    <row r="9684" spans="1:4">
      <c r="A9684" s="7">
        <f ca="1">IFERROR(__xludf.DUMMYFUNCTION("""COMPUTED_VALUE"""),44804)</f>
        <v>44804</v>
      </c>
      <c r="B9684" s="6" t="str">
        <f ca="1">IFERROR(__xludf.DUMMYFUNCTION("""COMPUTED_VALUE"""),"-33.810864,-70.729725")</f>
        <v>-33.810864,-70.729725</v>
      </c>
      <c r="C9684" s="6" t="str">
        <f ca="1">IFERROR(__xludf.DUMMYFUNCTION("""COMPUTED_VALUE"""),"YAIMA 601")</f>
        <v>YAIMA 601</v>
      </c>
      <c r="D9684" s="6" t="str">
        <f ca="1">IFERROR(__xludf.DUMMYFUNCTION("""COMPUTED_VALUE"""),"PAINE")</f>
        <v>PAINE</v>
      </c>
    </row>
    <row r="9685" spans="1:4">
      <c r="A9685" s="7">
        <f ca="1">IFERROR(__xludf.DUMMYFUNCTION("""COMPUTED_VALUE"""),44804)</f>
        <v>44804</v>
      </c>
      <c r="B9685" s="6" t="str">
        <f ca="1">IFERROR(__xludf.DUMMYFUNCTION("""COMPUTED_VALUE"""),"-33.859939,-70.670827")</f>
        <v>-33.859939,-70.670827</v>
      </c>
      <c r="C9685" s="6" t="str">
        <f ca="1">IFERROR(__xludf.DUMMYFUNCTION("""COMPUTED_VALUE"""),"CARDONAL BAJO 8")</f>
        <v>CARDONAL BAJO 8</v>
      </c>
      <c r="D9685" s="6" t="str">
        <f ca="1">IFERROR(__xludf.DUMMYFUNCTION("""COMPUTED_VALUE"""),"PAINE")</f>
        <v>PAINE</v>
      </c>
    </row>
    <row r="9686" spans="1:4">
      <c r="A9686" s="7">
        <f ca="1">IFERROR(__xludf.DUMMYFUNCTION("""COMPUTED_VALUE"""),44804)</f>
        <v>44804</v>
      </c>
      <c r="B9686" s="6" t="str">
        <f ca="1">IFERROR(__xludf.DUMMYFUNCTION("""COMPUTED_VALUE"""),"-33.4885293,-70.9978721")</f>
        <v>-33.4885293,-70.9978721</v>
      </c>
      <c r="C9686" s="6" t="str">
        <f ca="1">IFERROR(__xludf.DUMMYFUNCTION("""COMPUTED_VALUE"""),"SANTA INES 47")</f>
        <v>SANTA INES 47</v>
      </c>
      <c r="D9686" s="6" t="str">
        <f ca="1">IFERROR(__xludf.DUMMYFUNCTION("""COMPUTED_VALUE"""),"CURACAVI")</f>
        <v>CURACAVI</v>
      </c>
    </row>
    <row r="9687" spans="1:4">
      <c r="A9687" s="7">
        <f ca="1">IFERROR(__xludf.DUMMYFUNCTION("""COMPUTED_VALUE"""),44804)</f>
        <v>44804</v>
      </c>
      <c r="B9687" s="6" t="str">
        <f ca="1">IFERROR(__xludf.DUMMYFUNCTION("""COMPUTED_VALUE"""),"-33.5116705,-70.9886380")</f>
        <v>-33.5116705,-70.9886380</v>
      </c>
      <c r="C9687" s="6" t="str">
        <f ca="1">IFERROR(__xludf.DUMMYFUNCTION("""COMPUTED_VALUE"""),"SANTA INES S/N")</f>
        <v>SANTA INES S/N</v>
      </c>
      <c r="D9687" s="6" t="str">
        <f ca="1">IFERROR(__xludf.DUMMYFUNCTION("""COMPUTED_VALUE"""),"CURACAVI")</f>
        <v>CURACAVI</v>
      </c>
    </row>
    <row r="9688" spans="1:4">
      <c r="A9688" s="7">
        <f ca="1">IFERROR(__xludf.DUMMYFUNCTION("""COMPUTED_VALUE"""),44805)</f>
        <v>44805</v>
      </c>
      <c r="B9688" s="6" t="str">
        <f ca="1">IFERROR(__xludf.DUMMYFUNCTION("""COMPUTED_VALUE"""),"-33.72709-70.74458")</f>
        <v>-33.72709-70.74458</v>
      </c>
      <c r="C9688" s="6" t="str">
        <f ca="1">IFERROR(__xludf.DUMMYFUNCTION("""COMPUTED_VALUE"""),"MANUEL BULNES 02")</f>
        <v>MANUEL BULNES 02</v>
      </c>
      <c r="D9688" s="6" t="str">
        <f ca="1">IFERROR(__xludf.DUMMYFUNCTION("""COMPUTED_VALUE"""),"BUIN")</f>
        <v>BUIN</v>
      </c>
    </row>
    <row r="9689" spans="1:4">
      <c r="A9689" s="7">
        <f ca="1">IFERROR(__xludf.DUMMYFUNCTION("""COMPUTED_VALUE"""),44805)</f>
        <v>44805</v>
      </c>
      <c r="B9689" s="6" t="str">
        <f ca="1">IFERROR(__xludf.DUMMYFUNCTION("""COMPUTED_VALUE"""),"-33.60280-70.87164")</f>
        <v>-33.60280-70.87164</v>
      </c>
      <c r="C9689" s="6" t="str">
        <f ca="1">IFERROR(__xludf.DUMMYFUNCTION("""COMPUTED_VALUE"""),"SANTA ADRIANA 1741")</f>
        <v>SANTA ADRIANA 1741</v>
      </c>
      <c r="D9689" s="6" t="str">
        <f ca="1">IFERROR(__xludf.DUMMYFUNCTION("""COMPUTED_VALUE"""),"PEÑAFLOR")</f>
        <v>PEÑAFLOR</v>
      </c>
    </row>
    <row r="9690" spans="1:4">
      <c r="A9690" s="7">
        <f ca="1">IFERROR(__xludf.DUMMYFUNCTION("""COMPUTED_VALUE"""),44805)</f>
        <v>44805</v>
      </c>
      <c r="B9690" s="6" t="str">
        <f ca="1">IFERROR(__xludf.DUMMYFUNCTION("""COMPUTED_VALUE"""),"-34.028267-71.074847")</f>
        <v>-34.028267-71.074847</v>
      </c>
      <c r="C9690" s="6" t="str">
        <f ca="1">IFERROR(__xludf.DUMMYFUNCTION("""COMPUTED_VALUE"""),"IGNACIO CARRERA PINTO LOTE 6")</f>
        <v>IGNACIO CARRERA PINTO LOTE 6</v>
      </c>
      <c r="D9690" s="6" t="str">
        <f ca="1">IFERROR(__xludf.DUMMYFUNCTION("""COMPUTED_VALUE"""),"ALHUÉ")</f>
        <v>ALHUÉ</v>
      </c>
    </row>
    <row r="9691" spans="1:4">
      <c r="A9691" s="7">
        <f ca="1">IFERROR(__xludf.DUMMYFUNCTION("""COMPUTED_VALUE"""),44805)</f>
        <v>44805</v>
      </c>
      <c r="B9691" s="6" t="str">
        <f ca="1">IFERROR(__xludf.DUMMYFUNCTION("""COMPUTED_VALUE"""),"-34.052701-70.884142")</f>
        <v>-34.052701-70.884142</v>
      </c>
      <c r="C9691" s="6" t="str">
        <f ca="1">IFERROR(__xludf.DUMMYFUNCTION("""COMPUTED_VALUE"""),"PORVENIR S/N")</f>
        <v>PORVENIR S/N</v>
      </c>
      <c r="D9691" s="6" t="str">
        <f ca="1">IFERROR(__xludf.DUMMYFUNCTION("""COMPUTED_VALUE"""),"ALHUÉ")</f>
        <v>ALHUÉ</v>
      </c>
    </row>
    <row r="9692" spans="1:4">
      <c r="A9692" s="7">
        <f ca="1">IFERROR(__xludf.DUMMYFUNCTION("""COMPUTED_VALUE"""),44805)</f>
        <v>44805</v>
      </c>
      <c r="B9692" s="8" t="str">
        <f ca="1">IFERROR(__xludf.DUMMYFUNCTION("""COMPUTED_VALUE"""),"-33.690264,-70.581416")</f>
        <v>-33.690264,-70.581416</v>
      </c>
      <c r="C9692" s="6" t="str">
        <f ca="1">IFERROR(__xludf.DUMMYFUNCTION("""COMPUTED_VALUE"""),"LO ARCAYA 5")</f>
        <v>LO ARCAYA 5</v>
      </c>
      <c r="D9692" s="6" t="str">
        <f ca="1">IFERROR(__xludf.DUMMYFUNCTION("""COMPUTED_VALUE"""),"PIRQUE")</f>
        <v>PIRQUE</v>
      </c>
    </row>
    <row r="9693" spans="1:4">
      <c r="A9693" s="7">
        <f ca="1">IFERROR(__xludf.DUMMYFUNCTION("""COMPUTED_VALUE"""),44805)</f>
        <v>44805</v>
      </c>
      <c r="B9693" s="8" t="str">
        <f ca="1">IFERROR(__xludf.DUMMYFUNCTION("""COMPUTED_VALUE"""),"-33.271477,-70.693007")</f>
        <v>-33.271477,-70.693007</v>
      </c>
      <c r="C9693" s="6" t="str">
        <f ca="1">IFERROR(__xludf.DUMMYFUNCTION("""COMPUTED_VALUE"""),"LOS ALMENDROS PARC 5 B")</f>
        <v>LOS ALMENDROS PARC 5 B</v>
      </c>
      <c r="D9693" s="6" t="str">
        <f ca="1">IFERROR(__xludf.DUMMYFUNCTION("""COMPUTED_VALUE"""),"COLINA")</f>
        <v>COLINA</v>
      </c>
    </row>
    <row r="9694" spans="1:4">
      <c r="A9694" s="7">
        <f ca="1">IFERROR(__xludf.DUMMYFUNCTION("""COMPUTED_VALUE"""),44805)</f>
        <v>44805</v>
      </c>
      <c r="B9694" s="8" t="str">
        <f ca="1">IFERROR(__xludf.DUMMYFUNCTION("""COMPUTED_VALUE"""),"-33.271477,-70.693007")</f>
        <v>-33.271477,-70.693007</v>
      </c>
      <c r="C9694" s="6" t="str">
        <f ca="1">IFERROR(__xludf.DUMMYFUNCTION("""COMPUTED_VALUE"""),"LOS ALMENDROS PARC 5 B")</f>
        <v>LOS ALMENDROS PARC 5 B</v>
      </c>
      <c r="D9694" s="6" t="str">
        <f ca="1">IFERROR(__xludf.DUMMYFUNCTION("""COMPUTED_VALUE"""),"COLINA")</f>
        <v>COLINA</v>
      </c>
    </row>
    <row r="9695" spans="1:4">
      <c r="A9695" s="7">
        <f ca="1">IFERROR(__xludf.DUMMYFUNCTION("""COMPUTED_VALUE"""),44805)</f>
        <v>44805</v>
      </c>
      <c r="B9695" s="8" t="str">
        <f ca="1">IFERROR(__xludf.DUMMYFUNCTION("""COMPUTED_VALUE"""),"-33.707149,-70.534160")</f>
        <v>-33.707149,-70.534160</v>
      </c>
      <c r="C9695" s="6" t="str">
        <f ca="1">IFERROR(__xludf.DUMMYFUNCTION("""COMPUTED_VALUE"""),"EL PRINCIPAL H 5 S 169")</f>
        <v>EL PRINCIPAL H 5 S 169</v>
      </c>
      <c r="D9695" s="6" t="str">
        <f ca="1">IFERROR(__xludf.DUMMYFUNCTION("""COMPUTED_VALUE"""),"PIRQUE")</f>
        <v>PIRQUE</v>
      </c>
    </row>
    <row r="9696" spans="1:4">
      <c r="A9696" s="7">
        <f ca="1">IFERROR(__xludf.DUMMYFUNCTION("""COMPUTED_VALUE"""),44805)</f>
        <v>44805</v>
      </c>
      <c r="B9696" s="6" t="str">
        <f ca="1">IFERROR(__xludf.DUMMYFUNCTION("""COMPUTED_VALUE"""),"-33.193748,-70.670419")</f>
        <v>-33.193748,-70.670419</v>
      </c>
      <c r="C9696" s="6" t="str">
        <f ca="1">IFERROR(__xludf.DUMMYFUNCTION("""COMPUTED_VALUE"""),"EL RETIRO 440")</f>
        <v>EL RETIRO 440</v>
      </c>
      <c r="D9696" s="6" t="str">
        <f ca="1">IFERROR(__xludf.DUMMYFUNCTION("""COMPUTED_VALUE"""),"COLINA")</f>
        <v>COLINA</v>
      </c>
    </row>
    <row r="9697" spans="1:4">
      <c r="A9697" s="7">
        <f ca="1">IFERROR(__xludf.DUMMYFUNCTION("""COMPUTED_VALUE"""),44805)</f>
        <v>44805</v>
      </c>
      <c r="B9697" s="6" t="str">
        <f ca="1">IFERROR(__xludf.DUMMYFUNCTION("""COMPUTED_VALUE"""),"-33.738187,-70.921375")</f>
        <v>-33.738187,-70.921375</v>
      </c>
      <c r="C9697" s="6" t="str">
        <f ca="1">IFERROR(__xludf.DUMMYFUNCTION("""COMPUTED_VALUE"""),"SAN LUIS 958 PRCC 23")</f>
        <v>SAN LUIS 958 PRCC 23</v>
      </c>
      <c r="D9697" s="6" t="str">
        <f ca="1">IFERROR(__xludf.DUMMYFUNCTION("""COMPUTED_VALUE"""),"ISLA DE MAIPO")</f>
        <v>ISLA DE MAIPO</v>
      </c>
    </row>
    <row r="9698" spans="1:4">
      <c r="A9698" s="7">
        <f ca="1">IFERROR(__xludf.DUMMYFUNCTION("""COMPUTED_VALUE"""),44805)</f>
        <v>44805</v>
      </c>
      <c r="B9698" s="8" t="str">
        <f ca="1">IFERROR(__xludf.DUMMYFUNCTION("""COMPUTED_VALUE"""),"-33.278145,-70.8868690")</f>
        <v>-33.278145,-70.8868690</v>
      </c>
      <c r="C9698" s="6" t="str">
        <f ca="1">IFERROR(__xludf.DUMMYFUNCTION("""COMPUTED_VALUE"""),"MANUEL RODRIGUEZ 189 CASA 37")</f>
        <v>MANUEL RODRIGUEZ 189 CASA 37</v>
      </c>
      <c r="D9698" s="6" t="str">
        <f ca="1">IFERROR(__xludf.DUMMYFUNCTION("""COMPUTED_VALUE"""),"LAMPA")</f>
        <v>LAMPA</v>
      </c>
    </row>
    <row r="9699" spans="1:4">
      <c r="A9699" s="7">
        <f ca="1">IFERROR(__xludf.DUMMYFUNCTION("""COMPUTED_VALUE"""),44805)</f>
        <v>44805</v>
      </c>
      <c r="B9699" s="8" t="str">
        <f ca="1">IFERROR(__xludf.DUMMYFUNCTION("""COMPUTED_VALUE"""),"-33.286362,-70.799545")</f>
        <v>-33.286362,-70.799545</v>
      </c>
      <c r="C9699" s="6" t="str">
        <f ca="1">IFERROR(__xludf.DUMMYFUNCTION("""COMPUTED_VALUE"""),"LOS ACACIOS 144 ")</f>
        <v xml:space="preserve">LOS ACACIOS 144 </v>
      </c>
      <c r="D9699" s="6" t="str">
        <f ca="1">IFERROR(__xludf.DUMMYFUNCTION("""COMPUTED_VALUE"""),"LAMPA")</f>
        <v>LAMPA</v>
      </c>
    </row>
    <row r="9700" spans="1:4">
      <c r="A9700" s="7">
        <f ca="1">IFERROR(__xludf.DUMMYFUNCTION("""COMPUTED_VALUE"""),44805)</f>
        <v>44805</v>
      </c>
      <c r="B9700" s="8" t="str">
        <f ca="1">IFERROR(__xludf.DUMMYFUNCTION("""COMPUTED_VALUE"""),"-33.625915,-70.801792")</f>
        <v>-33.625915,-70.801792</v>
      </c>
      <c r="C9700" s="6" t="str">
        <f ca="1">IFERROR(__xludf.DUMMYFUNCTION("""COMPUTED_VALUE"""),"LONQUEN SUR P 18 PARCELA 7 ")</f>
        <v xml:space="preserve">LONQUEN SUR P 18 PARCELA 7 </v>
      </c>
      <c r="D9700" s="6" t="str">
        <f ca="1">IFERROR(__xludf.DUMMYFUNCTION("""COMPUTED_VALUE"""),"CALERA DE TANGO")</f>
        <v>CALERA DE TANGO</v>
      </c>
    </row>
    <row r="9701" spans="1:4">
      <c r="A9701" s="7">
        <f ca="1">IFERROR(__xludf.DUMMYFUNCTION("""COMPUTED_VALUE"""),44805)</f>
        <v>44805</v>
      </c>
      <c r="B9701" s="8" t="str">
        <f ca="1">IFERROR(__xludf.DUMMYFUNCTION("""COMPUTED_VALUE"""),"-33.625915,-70.801792")</f>
        <v>-33.625915,-70.801792</v>
      </c>
      <c r="C9701" s="6" t="str">
        <f ca="1">IFERROR(__xludf.DUMMYFUNCTION("""COMPUTED_VALUE"""),"LONQUEN SUR P 18 PARCELA 7 ")</f>
        <v xml:space="preserve">LONQUEN SUR P 18 PARCELA 7 </v>
      </c>
      <c r="D9701" s="6" t="str">
        <f ca="1">IFERROR(__xludf.DUMMYFUNCTION("""COMPUTED_VALUE"""),"CALERA DE TANGO")</f>
        <v>CALERA DE TANGO</v>
      </c>
    </row>
    <row r="9702" spans="1:4">
      <c r="A9702" s="7">
        <f ca="1">IFERROR(__xludf.DUMMYFUNCTION("""COMPUTED_VALUE"""),44805)</f>
        <v>44805</v>
      </c>
      <c r="B9702" s="6" t="str">
        <f ca="1">IFERROR(__xludf.DUMMYFUNCTION("""COMPUTED_VALUE"""),"-33.697376,-70.710969")</f>
        <v>-33.697376,-70.710969</v>
      </c>
      <c r="C9702" s="6" t="str">
        <f ca="1">IFERROR(__xludf.DUMMYFUNCTION("""COMPUTED_VALUE"""),"CA. GENERAL BACHELET 105")</f>
        <v>CA. GENERAL BACHELET 105</v>
      </c>
      <c r="D9702" s="6" t="str">
        <f ca="1">IFERROR(__xludf.DUMMYFUNCTION("""COMPUTED_VALUE"""),"BUIN")</f>
        <v>BUIN</v>
      </c>
    </row>
    <row r="9703" spans="1:4">
      <c r="A9703" s="7">
        <f ca="1">IFERROR(__xludf.DUMMYFUNCTION("""COMPUTED_VALUE"""),44805)</f>
        <v>44805</v>
      </c>
      <c r="B9703" s="6" t="str">
        <f ca="1">IFERROR(__xludf.DUMMYFUNCTION("""COMPUTED_VALUE"""),"-33.696862,-70.709485")</f>
        <v>-33.696862,-70.709485</v>
      </c>
      <c r="C9703" s="6" t="str">
        <f ca="1">IFERROR(__xludf.DUMMYFUNCTION("""COMPUTED_VALUE"""),"CO. EL RECURSO 1251")</f>
        <v>CO. EL RECURSO 1251</v>
      </c>
      <c r="D9703" s="6" t="str">
        <f ca="1">IFERROR(__xludf.DUMMYFUNCTION("""COMPUTED_VALUE"""),"BUIN")</f>
        <v>BUIN</v>
      </c>
    </row>
    <row r="9704" spans="1:4">
      <c r="A9704" s="7">
        <f ca="1">IFERROR(__xludf.DUMMYFUNCTION("""COMPUTED_VALUE"""),44805)</f>
        <v>44805</v>
      </c>
      <c r="B9704" s="6" t="str">
        <f ca="1">IFERROR(__xludf.DUMMYFUNCTION("""COMPUTED_VALUE"""),"-34.036792,-71.103347")</f>
        <v>-34.036792,-71.103347</v>
      </c>
      <c r="C9704" s="6" t="str">
        <f ca="1">IFERROR(__xludf.DUMMYFUNCTION("""COMPUTED_VALUE"""),"C. EL SAUCE S/N")</f>
        <v>C. EL SAUCE S/N</v>
      </c>
      <c r="D9704" s="6" t="str">
        <f ca="1">IFERROR(__xludf.DUMMYFUNCTION("""COMPUTED_VALUE"""),"ALHUÉ")</f>
        <v>ALHUÉ</v>
      </c>
    </row>
    <row r="9705" spans="1:4">
      <c r="A9705" s="7">
        <f ca="1">IFERROR(__xludf.DUMMYFUNCTION("""COMPUTED_VALUE"""),44805)</f>
        <v>44805</v>
      </c>
      <c r="B9705" s="6" t="str">
        <f ca="1">IFERROR(__xludf.DUMMYFUNCTION("""COMPUTED_VALUE"""),"-34.037380,-71.223785")</f>
        <v>-34.037380,-71.223785</v>
      </c>
      <c r="C9705" s="6" t="str">
        <f ca="1">IFERROR(__xludf.DUMMYFUNCTION("""COMPUTED_VALUE"""),"CAM. LA LINEA S/N")</f>
        <v>CAM. LA LINEA S/N</v>
      </c>
      <c r="D9705" s="6" t="str">
        <f ca="1">IFERROR(__xludf.DUMMYFUNCTION("""COMPUTED_VALUE"""),"ALHUÉ")</f>
        <v>ALHUÉ</v>
      </c>
    </row>
    <row r="9706" spans="1:4">
      <c r="A9706" s="7">
        <f ca="1">IFERROR(__xludf.DUMMYFUNCTION("""COMPUTED_VALUE"""),44805)</f>
        <v>44805</v>
      </c>
      <c r="B9706" s="6" t="str">
        <f ca="1">IFERROR(__xludf.DUMMYFUNCTION("""COMPUTED_VALUE"""),"-33.625316,-71.271131")</f>
        <v>-33.625316,-71.271131</v>
      </c>
      <c r="C9706" s="6" t="str">
        <f ca="1">IFERROR(__xludf.DUMMYFUNCTION("""COMPUTED_VALUE"""),"C. SAN BERNARDO OHIGGINS S/N")</f>
        <v>C. SAN BERNARDO OHIGGINS S/N</v>
      </c>
      <c r="D9706" s="6" t="str">
        <f ca="1">IFERROR(__xludf.DUMMYFUNCTION("""COMPUTED_VALUE"""),"MELIPILLA")</f>
        <v>MELIPILLA</v>
      </c>
    </row>
    <row r="9707" spans="1:4">
      <c r="A9707" s="7">
        <f ca="1">IFERROR(__xludf.DUMMYFUNCTION("""COMPUTED_VALUE"""),44806)</f>
        <v>44806</v>
      </c>
      <c r="B9707" s="6" t="str">
        <f ca="1">IFERROR(__xludf.DUMMYFUNCTION("""COMPUTED_VALUE"""),"-33.596191-70.872243")</f>
        <v>-33.596191-70.872243</v>
      </c>
      <c r="C9707" s="6" t="str">
        <f ca="1">IFERROR(__xludf.DUMMYFUNCTION("""COMPUTED_VALUE"""),"AV. FRANCISCO BILBAO 02128")</f>
        <v>AV. FRANCISCO BILBAO 02128</v>
      </c>
      <c r="D9707" s="6" t="str">
        <f ca="1">IFERROR(__xludf.DUMMYFUNCTION("""COMPUTED_VALUE"""),"PEÑAFLOR")</f>
        <v>PEÑAFLOR</v>
      </c>
    </row>
    <row r="9708" spans="1:4">
      <c r="A9708" s="7">
        <f ca="1">IFERROR(__xludf.DUMMYFUNCTION("""COMPUTED_VALUE"""),44806)</f>
        <v>44806</v>
      </c>
      <c r="B9708" s="6" t="str">
        <f ca="1">IFERROR(__xludf.DUMMYFUNCTION("""COMPUTED_VALUE"""),"-33.597631-70.920398")</f>
        <v>-33.597631-70.920398</v>
      </c>
      <c r="C9708" s="6" t="str">
        <f ca="1">IFERROR(__xludf.DUMMYFUNCTION("""COMPUTED_VALUE"""),"CAMINO MALLARAUCO P 23 LOTE 2")</f>
        <v>CAMINO MALLARAUCO P 23 LOTE 2</v>
      </c>
      <c r="D9708" s="6" t="str">
        <f ca="1">IFERROR(__xludf.DUMMYFUNCTION("""COMPUTED_VALUE"""),"PEÑAFLOR")</f>
        <v>PEÑAFLOR</v>
      </c>
    </row>
    <row r="9709" spans="1:4">
      <c r="A9709" s="7">
        <f ca="1">IFERROR(__xludf.DUMMYFUNCTION("""COMPUTED_VALUE"""),44806)</f>
        <v>44806</v>
      </c>
      <c r="B9709" s="6" t="str">
        <f ca="1">IFERROR(__xludf.DUMMYFUNCTION("""COMPUTED_VALUE"""),"-33.597631-70.920398")</f>
        <v>-33.597631-70.920398</v>
      </c>
      <c r="C9709" s="6" t="str">
        <f ca="1">IFERROR(__xludf.DUMMYFUNCTION("""COMPUTED_VALUE"""),"CAMINO MALLARAUCO P 23 LOTE 2")</f>
        <v>CAMINO MALLARAUCO P 23 LOTE 2</v>
      </c>
      <c r="D9709" s="6" t="str">
        <f ca="1">IFERROR(__xludf.DUMMYFUNCTION("""COMPUTED_VALUE"""),"PEÑAFLOR")</f>
        <v>PEÑAFLOR</v>
      </c>
    </row>
    <row r="9710" spans="1:4">
      <c r="A9710" s="7">
        <f ca="1">IFERROR(__xludf.DUMMYFUNCTION("""COMPUTED_VALUE"""),44806)</f>
        <v>44806</v>
      </c>
      <c r="B9710" s="6" t="str">
        <f ca="1">IFERROR(__xludf.DUMMYFUNCTION("""COMPUTED_VALUE"""),"-34.032756-71.098126")</f>
        <v>-34.032756-71.098126</v>
      </c>
      <c r="C9710" s="6" t="str">
        <f ca="1">IFERROR(__xludf.DUMMYFUNCTION("""COMPUTED_VALUE"""),"DIECISEIS DE AGOSTO S/N")</f>
        <v>DIECISEIS DE AGOSTO S/N</v>
      </c>
      <c r="D9710" s="6" t="str">
        <f ca="1">IFERROR(__xludf.DUMMYFUNCTION("""COMPUTED_VALUE"""),"ALHUÉ")</f>
        <v>ALHUÉ</v>
      </c>
    </row>
    <row r="9711" spans="1:4">
      <c r="A9711" s="7">
        <f ca="1">IFERROR(__xludf.DUMMYFUNCTION("""COMPUTED_VALUE"""),44806)</f>
        <v>44806</v>
      </c>
      <c r="B9711" s="6" t="str">
        <f ca="1">IFERROR(__xludf.DUMMYFUNCTION("""COMPUTED_VALUE"""),"-34.028460-71.082716")</f>
        <v>-34.028460-71.082716</v>
      </c>
      <c r="C9711" s="6" t="str">
        <f ca="1">IFERROR(__xludf.DUMMYFUNCTION("""COMPUTED_VALUE"""),"VEINTIUNO DE MAYO S/N")</f>
        <v>VEINTIUNO DE MAYO S/N</v>
      </c>
      <c r="D9711" s="6" t="str">
        <f ca="1">IFERROR(__xludf.DUMMYFUNCTION("""COMPUTED_VALUE"""),"ALHUÉ")</f>
        <v>ALHUÉ</v>
      </c>
    </row>
    <row r="9712" spans="1:4">
      <c r="A9712" s="7">
        <f ca="1">IFERROR(__xludf.DUMMYFUNCTION("""COMPUTED_VALUE"""),44806)</f>
        <v>44806</v>
      </c>
      <c r="B9712" s="6" t="str">
        <f ca="1">IFERROR(__xludf.DUMMYFUNCTION("""COMPUTED_VALUE"""),"-34.034279-71.097992")</f>
        <v>-34.034279-71.097992</v>
      </c>
      <c r="C9712" s="6" t="str">
        <f ca="1">IFERROR(__xludf.DUMMYFUNCTION("""COMPUTED_VALUE"""),"DIECISEIS DE AGOSTO S/N")</f>
        <v>DIECISEIS DE AGOSTO S/N</v>
      </c>
      <c r="D9712" s="6" t="str">
        <f ca="1">IFERROR(__xludf.DUMMYFUNCTION("""COMPUTED_VALUE"""),"ALHUÉ")</f>
        <v>ALHUÉ</v>
      </c>
    </row>
    <row r="9713" spans="1:4">
      <c r="A9713" s="7">
        <f ca="1">IFERROR(__xludf.DUMMYFUNCTION("""COMPUTED_VALUE"""),44806)</f>
        <v>44806</v>
      </c>
      <c r="B9713" s="6" t="str">
        <f ca="1">IFERROR(__xludf.DUMMYFUNCTION("""COMPUTED_VALUE"""),"-34.032564-71.116921")</f>
        <v>-34.032564-71.116921</v>
      </c>
      <c r="C9713" s="6" t="str">
        <f ca="1">IFERROR(__xludf.DUMMYFUNCTION("""COMPUTED_VALUE"""),"VEINTIUNO DE MAYO S/N")</f>
        <v>VEINTIUNO DE MAYO S/N</v>
      </c>
      <c r="D9713" s="6" t="str">
        <f ca="1">IFERROR(__xludf.DUMMYFUNCTION("""COMPUTED_VALUE"""),"ALHUÉ")</f>
        <v>ALHUÉ</v>
      </c>
    </row>
    <row r="9714" spans="1:4">
      <c r="A9714" s="7">
        <f ca="1">IFERROR(__xludf.DUMMYFUNCTION("""COMPUTED_VALUE"""),44806)</f>
        <v>44806</v>
      </c>
      <c r="B9714" s="6" t="str">
        <f ca="1">IFERROR(__xludf.DUMMYFUNCTION("""COMPUTED_VALUE"""),"-33.623083-70.541949")</f>
        <v>-33.623083-70.541949</v>
      </c>
      <c r="C9714" s="6" t="str">
        <f ca="1">IFERROR(__xludf.DUMMYFUNCTION("""COMPUTED_VALUE"""),"RAMON SUBERCASEAUX 419")</f>
        <v>RAMON SUBERCASEAUX 419</v>
      </c>
      <c r="D9714" s="6" t="str">
        <f ca="1">IFERROR(__xludf.DUMMYFUNCTION("""COMPUTED_VALUE"""),"PIRQUE")</f>
        <v>PIRQUE</v>
      </c>
    </row>
    <row r="9715" spans="1:4">
      <c r="A9715" s="7">
        <f ca="1">IFERROR(__xludf.DUMMYFUNCTION("""COMPUTED_VALUE"""),44806)</f>
        <v>44806</v>
      </c>
      <c r="B9715" s="6" t="str">
        <f ca="1">IFERROR(__xludf.DUMMYFUNCTION("""COMPUTED_VALUE"""),"-33.623083-70.541949")</f>
        <v>-33.623083-70.541949</v>
      </c>
      <c r="C9715" s="6" t="str">
        <f ca="1">IFERROR(__xludf.DUMMYFUNCTION("""COMPUTED_VALUE"""),"RAMON SUBERCASEAUX 419")</f>
        <v>RAMON SUBERCASEAUX 419</v>
      </c>
      <c r="D9715" s="6" t="str">
        <f ca="1">IFERROR(__xludf.DUMMYFUNCTION("""COMPUTED_VALUE"""),"PIRQUE")</f>
        <v>PIRQUE</v>
      </c>
    </row>
    <row r="9716" spans="1:4">
      <c r="A9716" s="7">
        <f ca="1">IFERROR(__xludf.DUMMYFUNCTION("""COMPUTED_VALUE"""),44806)</f>
        <v>44806</v>
      </c>
      <c r="B9716" s="6" t="str">
        <f ca="1">IFERROR(__xludf.DUMMYFUNCTION("""COMPUTED_VALUE"""),"-33.65117-70.57293")</f>
        <v>-33.65117-70.57293</v>
      </c>
      <c r="C9716" s="6" t="str">
        <f ca="1">IFERROR(__xludf.DUMMYFUNCTION("""COMPUTED_VALUE"""),"PABLO NERUDA 44")</f>
        <v>PABLO NERUDA 44</v>
      </c>
      <c r="D9716" s="6" t="str">
        <f ca="1">IFERROR(__xludf.DUMMYFUNCTION("""COMPUTED_VALUE"""),"PIRQUE")</f>
        <v>PIRQUE</v>
      </c>
    </row>
    <row r="9717" spans="1:4">
      <c r="A9717" s="7">
        <f ca="1">IFERROR(__xludf.DUMMYFUNCTION("""COMPUTED_VALUE"""),44806)</f>
        <v>44806</v>
      </c>
      <c r="B9717" s="6" t="str">
        <f ca="1">IFERROR(__xludf.DUMMYFUNCTION("""COMPUTED_VALUE"""),"-33.71828-70.53278")</f>
        <v>-33.71828-70.53278</v>
      </c>
      <c r="C9717" s="6" t="str">
        <f ca="1">IFERROR(__xludf.DUMMYFUNCTION("""COMPUTED_VALUE"""),"PRINCIPAL S/N")</f>
        <v>PRINCIPAL S/N</v>
      </c>
      <c r="D9717" s="6" t="str">
        <f ca="1">IFERROR(__xludf.DUMMYFUNCTION("""COMPUTED_VALUE"""),"PIRQUE")</f>
        <v>PIRQUE</v>
      </c>
    </row>
    <row r="9718" spans="1:4">
      <c r="A9718" s="7">
        <f ca="1">IFERROR(__xludf.DUMMYFUNCTION("""COMPUTED_VALUE"""),44806)</f>
        <v>44806</v>
      </c>
      <c r="B9718" s="8" t="str">
        <f ca="1">IFERROR(__xludf.DUMMYFUNCTION("""COMPUTED_VALUE"""),"-33.676362,-70.999045")</f>
        <v>-33.676362,-70.999045</v>
      </c>
      <c r="C9718" s="6" t="str">
        <f ca="1">IFERROR(__xludf.DUMMYFUNCTION("""COMPUTED_VALUE"""),"FRESIA 852")</f>
        <v>FRESIA 852</v>
      </c>
      <c r="D9718" s="6" t="str">
        <f ca="1">IFERROR(__xludf.DUMMYFUNCTION("""COMPUTED_VALUE"""),"EL MONTE")</f>
        <v>EL MONTE</v>
      </c>
    </row>
    <row r="9719" spans="1:4">
      <c r="A9719" s="7">
        <f ca="1">IFERROR(__xludf.DUMMYFUNCTION("""COMPUTED_VALUE"""),44806)</f>
        <v>44806</v>
      </c>
      <c r="B9719" s="8" t="str">
        <f ca="1">IFERROR(__xludf.DUMMYFUNCTION("""COMPUTED_VALUE"""),"-33.661641,-70.632175")</f>
        <v>-33.661641,-70.632175</v>
      </c>
      <c r="C9719" s="6" t="str">
        <f ca="1">IFERROR(__xludf.DUMMYFUNCTION("""COMPUTED_VALUE"""),"SAN VICENTE PARC.55")</f>
        <v>SAN VICENTE PARC.55</v>
      </c>
      <c r="D9719" s="6" t="str">
        <f ca="1">IFERROR(__xludf.DUMMYFUNCTION("""COMPUTED_VALUE"""),"PIRQUE")</f>
        <v>PIRQUE</v>
      </c>
    </row>
    <row r="9720" spans="1:4">
      <c r="A9720" s="7">
        <f ca="1">IFERROR(__xludf.DUMMYFUNCTION("""COMPUTED_VALUE"""),44806)</f>
        <v>44806</v>
      </c>
      <c r="B9720" s="8" t="str">
        <f ca="1">IFERROR(__xludf.DUMMYFUNCTION("""COMPUTED_VALUE"""),"-33.661641,-70.632175")</f>
        <v>-33.661641,-70.632175</v>
      </c>
      <c r="C9720" s="6" t="str">
        <f ca="1">IFERROR(__xludf.DUMMYFUNCTION("""COMPUTED_VALUE"""),"SAN VICENTE PARC.55")</f>
        <v>SAN VICENTE PARC.55</v>
      </c>
      <c r="D9720" s="6" t="str">
        <f ca="1">IFERROR(__xludf.DUMMYFUNCTION("""COMPUTED_VALUE"""),"PIRQUE")</f>
        <v>PIRQUE</v>
      </c>
    </row>
    <row r="9721" spans="1:4">
      <c r="A9721" s="7">
        <f ca="1">IFERROR(__xludf.DUMMYFUNCTION("""COMPUTED_VALUE"""),44806)</f>
        <v>44806</v>
      </c>
      <c r="B9721" s="8" t="str">
        <f ca="1">IFERROR(__xludf.DUMMYFUNCTION("""COMPUTED_VALUE"""),"-33.721233,-70.556305")</f>
        <v>-33.721233,-70.556305</v>
      </c>
      <c r="C9721" s="6" t="str">
        <f ca="1">IFERROR(__xludf.DUMMYFUNCTION("""COMPUTED_VALUE"""),"EL PRINCIPAL 1208")</f>
        <v>EL PRINCIPAL 1208</v>
      </c>
      <c r="D9721" s="6" t="str">
        <f ca="1">IFERROR(__xludf.DUMMYFUNCTION("""COMPUTED_VALUE"""),"PIRQUE")</f>
        <v>PIRQUE</v>
      </c>
    </row>
    <row r="9722" spans="1:4">
      <c r="A9722" s="7">
        <f ca="1">IFERROR(__xludf.DUMMYFUNCTION("""COMPUTED_VALUE"""),44806)</f>
        <v>44806</v>
      </c>
      <c r="B9722" s="8" t="str">
        <f ca="1">IFERROR(__xludf.DUMMYFUNCTION("""COMPUTED_VALUE"""),"-33.275802,-70.709755")</f>
        <v>-33.275802,-70.709755</v>
      </c>
      <c r="C9722" s="6" t="str">
        <f ca="1">IFERROR(__xludf.DUMMYFUNCTION("""COMPUTED_VALUE"""),"ALGARROBAL DE CHICUREO  K 8")</f>
        <v>ALGARROBAL DE CHICUREO  K 8</v>
      </c>
      <c r="D9722" s="6" t="str">
        <f ca="1">IFERROR(__xludf.DUMMYFUNCTION("""COMPUTED_VALUE"""),"COLINA")</f>
        <v>COLINA</v>
      </c>
    </row>
    <row r="9723" spans="1:4">
      <c r="A9723" s="7">
        <f ca="1">IFERROR(__xludf.DUMMYFUNCTION("""COMPUTED_VALUE"""),44806)</f>
        <v>44806</v>
      </c>
      <c r="B9723" s="6" t="str">
        <f ca="1">IFERROR(__xludf.DUMMYFUNCTION("""COMPUTED_VALUE"""),"-33.745273,-70.897129")</f>
        <v>-33.745273,-70.897129</v>
      </c>
      <c r="C9723" s="6" t="str">
        <f ca="1">IFERROR(__xludf.DUMMYFUNCTION("""COMPUTED_VALUE"""),"LAS PETUNIAS 1446 VILLA ESL ESFUERZO")</f>
        <v>LAS PETUNIAS 1446 VILLA ESL ESFUERZO</v>
      </c>
      <c r="D9723" s="6" t="str">
        <f ca="1">IFERROR(__xludf.DUMMYFUNCTION("""COMPUTED_VALUE"""),"ISLA DE MAIPO")</f>
        <v>ISLA DE MAIPO</v>
      </c>
    </row>
    <row r="9724" spans="1:4">
      <c r="A9724" s="7">
        <f ca="1">IFERROR(__xludf.DUMMYFUNCTION("""COMPUTED_VALUE"""),44806)</f>
        <v>44806</v>
      </c>
      <c r="B9724" s="6" t="str">
        <f ca="1">IFERROR(__xludf.DUMMYFUNCTION("""COMPUTED_VALUE"""),"-33.750510,-70.861594")</f>
        <v>-33.750510,-70.861594</v>
      </c>
      <c r="C9724" s="6" t="str">
        <f ca="1">IFERROR(__xludf.DUMMYFUNCTION("""COMPUTED_VALUE"""),"PA EL LITRE 483 CH ALTO CANTILLANA")</f>
        <v>PA EL LITRE 483 CH ALTO CANTILLANA</v>
      </c>
      <c r="D9724" s="6" t="str">
        <f ca="1">IFERROR(__xludf.DUMMYFUNCTION("""COMPUTED_VALUE"""),"ISLA DE MAIPO")</f>
        <v>ISLA DE MAIPO</v>
      </c>
    </row>
    <row r="9725" spans="1:4">
      <c r="A9725" s="7">
        <f ca="1">IFERROR(__xludf.DUMMYFUNCTION("""COMPUTED_VALUE"""),44806)</f>
        <v>44806</v>
      </c>
      <c r="B9725" s="8" t="str">
        <f ca="1">IFERROR(__xludf.DUMMYFUNCTION("""COMPUTED_VALUE"""),"-33.733685,-70.763199")</f>
        <v>-33.733685,-70.763199</v>
      </c>
      <c r="C9725" s="6" t="str">
        <f ca="1">IFERROR(__xludf.DUMMYFUNCTION("""COMPUTED_VALUE"""),"CAMINO BUIN MAIPO 2035")</f>
        <v>CAMINO BUIN MAIPO 2035</v>
      </c>
      <c r="D9725" s="6" t="str">
        <f ca="1">IFERROR(__xludf.DUMMYFUNCTION("""COMPUTED_VALUE"""),"BUIN")</f>
        <v>BUIN</v>
      </c>
    </row>
    <row r="9726" spans="1:4">
      <c r="A9726" s="7">
        <f ca="1">IFERROR(__xludf.DUMMYFUNCTION("""COMPUTED_VALUE"""),44806)</f>
        <v>44806</v>
      </c>
      <c r="B9726" s="8" t="str">
        <f ca="1">IFERROR(__xludf.DUMMYFUNCTION("""COMPUTED_VALUE"""),"-33.727853,-70.7782300")</f>
        <v>-33.727853,-70.7782300</v>
      </c>
      <c r="C9726" s="6" t="str">
        <f ca="1">IFERROR(__xludf.DUMMYFUNCTION("""COMPUTED_VALUE"""),"LOS CEIBOS 278")</f>
        <v>LOS CEIBOS 278</v>
      </c>
      <c r="D9726" s="6" t="str">
        <f ca="1">IFERROR(__xludf.DUMMYFUNCTION("""COMPUTED_VALUE"""),"BUIN")</f>
        <v>BUIN</v>
      </c>
    </row>
    <row r="9727" spans="1:4">
      <c r="A9727" s="7">
        <f ca="1">IFERROR(__xludf.DUMMYFUNCTION("""COMPUTED_VALUE"""),44806)</f>
        <v>44806</v>
      </c>
      <c r="B9727" s="8" t="str">
        <f ca="1">IFERROR(__xludf.DUMMYFUNCTION("""COMPUTED_VALUE"""),"-33.7303600,-70.7724160")</f>
        <v>-33.7303600,-70.7724160</v>
      </c>
      <c r="C9727" s="6" t="str">
        <f ca="1">IFERROR(__xludf.DUMMYFUNCTION("""COMPUTED_VALUE"""),"FLORENTINO DURAN 201")</f>
        <v>FLORENTINO DURAN 201</v>
      </c>
      <c r="D9727" s="6" t="str">
        <f ca="1">IFERROR(__xludf.DUMMYFUNCTION("""COMPUTED_VALUE"""),"BUIN")</f>
        <v>BUIN</v>
      </c>
    </row>
    <row r="9728" spans="1:4">
      <c r="A9728" s="7">
        <f ca="1">IFERROR(__xludf.DUMMYFUNCTION("""COMPUTED_VALUE"""),44806)</f>
        <v>44806</v>
      </c>
      <c r="B9728" s="8" t="str">
        <f ca="1">IFERROR(__xludf.DUMMYFUNCTION("""COMPUTED_VALUE"""),"-33.745537,-71.193444")</f>
        <v>-33.745537,-71.193444</v>
      </c>
      <c r="C9728" s="6" t="str">
        <f ca="1">IFERROR(__xludf.DUMMYFUNCTION("""COMPUTED_VALUE"""),"POBLACION PABELLON ")</f>
        <v xml:space="preserve">POBLACION PABELLON </v>
      </c>
      <c r="D9728" s="6" t="str">
        <f ca="1">IFERROR(__xludf.DUMMYFUNCTION("""COMPUTED_VALUE"""),"MELIPILLA")</f>
        <v>MELIPILLA</v>
      </c>
    </row>
    <row r="9729" spans="1:4">
      <c r="A9729" s="7">
        <f ca="1">IFERROR(__xludf.DUMMYFUNCTION("""COMPUTED_VALUE"""),44806)</f>
        <v>44806</v>
      </c>
      <c r="B9729" s="6" t="str">
        <f ca="1">IFERROR(__xludf.DUMMYFUNCTION("""COMPUTED_VALUE"""),"-33.696488,-70.711445")</f>
        <v>-33.696488,-70.711445</v>
      </c>
      <c r="C9729" s="6" t="str">
        <f ca="1">IFERROR(__xludf.DUMMYFUNCTION("""COMPUTED_VALUE"""),"CA. JUAN SAEZ 148")</f>
        <v>CA. JUAN SAEZ 148</v>
      </c>
      <c r="D9729" s="6" t="str">
        <f ca="1">IFERROR(__xludf.DUMMYFUNCTION("""COMPUTED_VALUE"""),"BUIN")</f>
        <v>BUIN</v>
      </c>
    </row>
    <row r="9730" spans="1:4">
      <c r="A9730" s="7">
        <f ca="1">IFERROR(__xludf.DUMMYFUNCTION("""COMPUTED_VALUE"""),44806)</f>
        <v>44806</v>
      </c>
      <c r="B9730" s="6" t="str">
        <f ca="1">IFERROR(__xludf.DUMMYFUNCTION("""COMPUTED_VALUE"""),"-33.742386,-70.681150")</f>
        <v>-33.742386,-70.681150</v>
      </c>
      <c r="C9730" s="6" t="str">
        <f ca="1">IFERROR(__xludf.DUMMYFUNCTION("""COMPUTED_VALUE"""),"PJE. JOEL PEREZ C9")</f>
        <v>PJE. JOEL PEREZ C9</v>
      </c>
      <c r="D9730" s="6" t="str">
        <f ca="1">IFERROR(__xludf.DUMMYFUNCTION("""COMPUTED_VALUE"""),"BUIN")</f>
        <v>BUIN</v>
      </c>
    </row>
    <row r="9731" spans="1:4">
      <c r="A9731" s="7">
        <f ca="1">IFERROR(__xludf.DUMMYFUNCTION("""COMPUTED_VALUE"""),44806)</f>
        <v>44806</v>
      </c>
      <c r="B9731" s="6" t="str">
        <f ca="1">IFERROR(__xludf.DUMMYFUNCTION("""COMPUTED_VALUE"""),"-33.661719,-70.664063")</f>
        <v>-33.661719,-70.664063</v>
      </c>
      <c r="C9731" s="6" t="str">
        <f ca="1">IFERROR(__xludf.DUMMYFUNCTION("""COMPUTED_VALUE"""),"RIO MAIPO 175")</f>
        <v>RIO MAIPO 175</v>
      </c>
      <c r="D9731" s="6" t="str">
        <f ca="1">IFERROR(__xludf.DUMMYFUNCTION("""COMPUTED_VALUE"""),"BUIN")</f>
        <v>BUIN</v>
      </c>
    </row>
    <row r="9732" spans="1:4">
      <c r="A9732" s="7">
        <f ca="1">IFERROR(__xludf.DUMMYFUNCTION("""COMPUTED_VALUE"""),44806)</f>
        <v>44806</v>
      </c>
      <c r="B9732" s="6" t="str">
        <f ca="1">IFERROR(__xludf.DUMMYFUNCTION("""COMPUTED_VALUE"""),"-33.732382,-70.7584404")</f>
        <v>-33.732382,-70.7584404</v>
      </c>
      <c r="C9732" s="6" t="str">
        <f ca="1">IFERROR(__xludf.DUMMYFUNCTION("""COMPUTED_VALUE"""),"SALINAS 856")</f>
        <v>SALINAS 856</v>
      </c>
      <c r="D9732" s="6" t="str">
        <f ca="1">IFERROR(__xludf.DUMMYFUNCTION("""COMPUTED_VALUE"""),"BUIN")</f>
        <v>BUIN</v>
      </c>
    </row>
    <row r="9733" spans="1:4">
      <c r="A9733" s="7">
        <f ca="1">IFERROR(__xludf.DUMMYFUNCTION("""COMPUTED_VALUE"""),44806)</f>
        <v>44806</v>
      </c>
      <c r="B9733" s="6" t="str">
        <f ca="1">IFERROR(__xludf.DUMMYFUNCTION("""COMPUTED_VALUE"""),"-33.714079,-70.740923")</f>
        <v>-33.714079,-70.740923</v>
      </c>
      <c r="C9733" s="6" t="str">
        <f ca="1">IFERROR(__xludf.DUMMYFUNCTION("""COMPUTED_VALUE"""),"PAUL ORTEGA 1484")</f>
        <v>PAUL ORTEGA 1484</v>
      </c>
      <c r="D9733" s="6" t="str">
        <f ca="1">IFERROR(__xludf.DUMMYFUNCTION("""COMPUTED_VALUE"""),"BUIN")</f>
        <v>BUIN</v>
      </c>
    </row>
    <row r="9734" spans="1:4">
      <c r="A9734" s="7">
        <f ca="1">IFERROR(__xludf.DUMMYFUNCTION("""COMPUTED_VALUE"""),44806)</f>
        <v>44806</v>
      </c>
      <c r="B9734" s="6" t="str">
        <f ca="1">IFERROR(__xludf.DUMMYFUNCTION("""COMPUTED_VALUE"""),"-33.8212504,-70.7430730")</f>
        <v>-33.8212504,-70.7430730</v>
      </c>
      <c r="C9734" s="6" t="str">
        <f ca="1">IFERROR(__xludf.DUMMYFUNCTION("""COMPUTED_VALUE"""),"EL CASTAÑO 1728")</f>
        <v>EL CASTAÑO 1728</v>
      </c>
      <c r="D9734" s="6" t="str">
        <f ca="1">IFERROR(__xludf.DUMMYFUNCTION("""COMPUTED_VALUE"""),"PAINE")</f>
        <v>PAINE</v>
      </c>
    </row>
    <row r="9735" spans="1:4">
      <c r="A9735" s="7">
        <f ca="1">IFERROR(__xludf.DUMMYFUNCTION("""COMPUTED_VALUE"""),44806)</f>
        <v>44806</v>
      </c>
      <c r="B9735" s="6" t="str">
        <f ca="1">IFERROR(__xludf.DUMMYFUNCTION("""COMPUTED_VALUE"""),"-33.380794,-71.174185")</f>
        <v>-33.380794,-71.174185</v>
      </c>
      <c r="C9735" s="6" t="str">
        <f ca="1">IFERROR(__xludf.DUMMYFUNCTION("""COMPUTED_VALUE"""),"LOS SOLES PARCELA 16")</f>
        <v>LOS SOLES PARCELA 16</v>
      </c>
      <c r="D9735" s="6" t="str">
        <f ca="1">IFERROR(__xludf.DUMMYFUNCTION("""COMPUTED_VALUE"""),"CURACAVI")</f>
        <v>CURACAVI</v>
      </c>
    </row>
    <row r="9736" spans="1:4">
      <c r="A9736" s="7">
        <f ca="1">IFERROR(__xludf.DUMMYFUNCTION("""COMPUTED_VALUE"""),44807)</f>
        <v>44807</v>
      </c>
      <c r="B9736" s="6" t="str">
        <f ca="1">IFERROR(__xludf.DUMMYFUNCTION("""COMPUTED_VALUE"""),"-33.603812-70.889668")</f>
        <v>-33.603812-70.889668</v>
      </c>
      <c r="C9736" s="6" t="str">
        <f ca="1">IFERROR(__xludf.DUMMYFUNCTION("""COMPUTED_VALUE"""),"LOS TILOS 3138")</f>
        <v>LOS TILOS 3138</v>
      </c>
      <c r="D9736" s="6" t="str">
        <f ca="1">IFERROR(__xludf.DUMMYFUNCTION("""COMPUTED_VALUE"""),"PEÑAFLOR")</f>
        <v>PEÑAFLOR</v>
      </c>
    </row>
    <row r="9737" spans="1:4">
      <c r="A9737" s="7">
        <f ca="1">IFERROR(__xludf.DUMMYFUNCTION("""COMPUTED_VALUE"""),44807)</f>
        <v>44807</v>
      </c>
      <c r="B9737" s="6" t="str">
        <f ca="1">IFERROR(__xludf.DUMMYFUNCTION("""COMPUTED_VALUE"""),"-33.412692-71.153084")</f>
        <v>-33.412692-71.153084</v>
      </c>
      <c r="C9737" s="6" t="str">
        <f ca="1">IFERROR(__xludf.DUMMYFUNCTION("""COMPUTED_VALUE"""),"PJE DOS 55")</f>
        <v>PJE DOS 55</v>
      </c>
      <c r="D9737" s="6" t="str">
        <f ca="1">IFERROR(__xludf.DUMMYFUNCTION("""COMPUTED_VALUE"""),"CURACAVI")</f>
        <v>CURACAVI</v>
      </c>
    </row>
    <row r="9738" spans="1:4">
      <c r="A9738" s="7">
        <f ca="1">IFERROR(__xludf.DUMMYFUNCTION("""COMPUTED_VALUE"""),44807)</f>
        <v>44807</v>
      </c>
      <c r="B9738" s="8" t="str">
        <f ca="1">IFERROR(__xludf.DUMMYFUNCTION("""COMPUTED_VALUE"""),"-33.258572,-70.697221")</f>
        <v>-33.258572,-70.697221</v>
      </c>
      <c r="C9738" s="6" t="str">
        <f ca="1">IFERROR(__xludf.DUMMYFUNCTION("""COMPUTED_VALUE"""),"LO ARCAYA P 20")</f>
        <v>LO ARCAYA P 20</v>
      </c>
      <c r="D9738" s="6" t="str">
        <f ca="1">IFERROR(__xludf.DUMMYFUNCTION("""COMPUTED_VALUE"""),"COLINA")</f>
        <v>COLINA</v>
      </c>
    </row>
    <row r="9739" spans="1:4">
      <c r="A9739" s="7">
        <f ca="1">IFERROR(__xludf.DUMMYFUNCTION("""COMPUTED_VALUE"""),44809)</f>
        <v>44809</v>
      </c>
      <c r="B9739" s="6" t="str">
        <f ca="1">IFERROR(__xludf.DUMMYFUNCTION("""COMPUTED_VALUE"""),"-33.71492-70.74109")</f>
        <v>-33.71492-70.74109</v>
      </c>
      <c r="C9739" s="6" t="str">
        <f ca="1">IFERROR(__xludf.DUMMYFUNCTION("""COMPUTED_VALUE"""),"PORTADA DEL MAIPO 0169")</f>
        <v>PORTADA DEL MAIPO 0169</v>
      </c>
      <c r="D9739" s="6" t="str">
        <f ca="1">IFERROR(__xludf.DUMMYFUNCTION("""COMPUTED_VALUE"""),"BUIN")</f>
        <v>BUIN</v>
      </c>
    </row>
    <row r="9740" spans="1:4">
      <c r="A9740" s="7">
        <f ca="1">IFERROR(__xludf.DUMMYFUNCTION("""COMPUTED_VALUE"""),44809)</f>
        <v>44809</v>
      </c>
      <c r="B9740" s="6" t="str">
        <f ca="1">IFERROR(__xludf.DUMMYFUNCTION("""COMPUTED_VALUE"""),"-33.71492-70.74105")</f>
        <v>-33.71492-70.74105</v>
      </c>
      <c r="C9740" s="6" t="str">
        <f ca="1">IFERROR(__xludf.DUMMYFUNCTION("""COMPUTED_VALUE"""),"PORTADA DEL MAIPO 0152")</f>
        <v>PORTADA DEL MAIPO 0152</v>
      </c>
      <c r="D9740" s="6" t="str">
        <f ca="1">IFERROR(__xludf.DUMMYFUNCTION("""COMPUTED_VALUE"""),"BUIN")</f>
        <v>BUIN</v>
      </c>
    </row>
    <row r="9741" spans="1:4">
      <c r="A9741" s="7">
        <f ca="1">IFERROR(__xludf.DUMMYFUNCTION("""COMPUTED_VALUE"""),44809)</f>
        <v>44809</v>
      </c>
      <c r="B9741" s="8" t="str">
        <f ca="1">IFERROR(__xludf.DUMMYFUNCTION("""COMPUTED_VALUE"""),"-33.626374,-70.547032")</f>
        <v>-33.626374,-70.547032</v>
      </c>
      <c r="C9741" s="6" t="str">
        <f ca="1">IFERROR(__xludf.DUMMYFUNCTION("""COMPUTED_VALUE"""),"OSCAR AZUA 2992")</f>
        <v>OSCAR AZUA 2992</v>
      </c>
      <c r="D9741" s="6" t="str">
        <f ca="1">IFERROR(__xludf.DUMMYFUNCTION("""COMPUTED_VALUE"""),"PIRQUE")</f>
        <v>PIRQUE</v>
      </c>
    </row>
    <row r="9742" spans="1:4">
      <c r="A9742" s="7">
        <f ca="1">IFERROR(__xludf.DUMMYFUNCTION("""COMPUTED_VALUE"""),44809)</f>
        <v>44809</v>
      </c>
      <c r="B9742" s="8" t="str">
        <f ca="1">IFERROR(__xludf.DUMMYFUNCTION("""COMPUTED_VALUE"""),"-33.724660,-70.539876")</f>
        <v>-33.724660,-70.539876</v>
      </c>
      <c r="C9742" s="6" t="str">
        <f ca="1">IFERROR(__xludf.DUMMYFUNCTION("""COMPUTED_VALUE"""),"LOS CEREZOS ")</f>
        <v xml:space="preserve">LOS CEREZOS </v>
      </c>
      <c r="D9742" s="6" t="str">
        <f ca="1">IFERROR(__xludf.DUMMYFUNCTION("""COMPUTED_VALUE"""),"PIRQUE")</f>
        <v>PIRQUE</v>
      </c>
    </row>
    <row r="9743" spans="1:4">
      <c r="A9743" s="7">
        <f ca="1">IFERROR(__xludf.DUMMYFUNCTION("""COMPUTED_VALUE"""),44809)</f>
        <v>44809</v>
      </c>
      <c r="B9743" s="8" t="str">
        <f ca="1">IFERROR(__xludf.DUMMYFUNCTION("""COMPUTED_VALUE"""),"-33.684255,-71.020702")</f>
        <v>-33.684255,-71.020702</v>
      </c>
      <c r="C9743" s="6" t="str">
        <f ca="1">IFERROR(__xludf.DUMMYFUNCTION("""COMPUTED_VALUE"""),"LAS ACACIAS 1104")</f>
        <v>LAS ACACIAS 1104</v>
      </c>
      <c r="D9743" s="6" t="str">
        <f ca="1">IFERROR(__xludf.DUMMYFUNCTION("""COMPUTED_VALUE"""),"EL MONTE")</f>
        <v>EL MONTE</v>
      </c>
    </row>
    <row r="9744" spans="1:4">
      <c r="A9744" s="7">
        <f ca="1">IFERROR(__xludf.DUMMYFUNCTION("""COMPUTED_VALUE"""),44809)</f>
        <v>44809</v>
      </c>
      <c r="B9744" s="8" t="str">
        <f ca="1">IFERROR(__xludf.DUMMYFUNCTION("""COMPUTED_VALUE"""),"-33.684255,-71.020702")</f>
        <v>-33.684255,-71.020702</v>
      </c>
      <c r="C9744" s="6" t="str">
        <f ca="1">IFERROR(__xludf.DUMMYFUNCTION("""COMPUTED_VALUE"""),"LAS ACACIAS 1104")</f>
        <v>LAS ACACIAS 1104</v>
      </c>
      <c r="D9744" s="6" t="str">
        <f ca="1">IFERROR(__xludf.DUMMYFUNCTION("""COMPUTED_VALUE"""),"EL MONTE")</f>
        <v>EL MONTE</v>
      </c>
    </row>
    <row r="9745" spans="1:4">
      <c r="A9745" s="7">
        <f ca="1">IFERROR(__xludf.DUMMYFUNCTION("""COMPUTED_VALUE"""),44809)</f>
        <v>44809</v>
      </c>
      <c r="B9745" s="6" t="str">
        <f ca="1">IFERROR(__xludf.DUMMYFUNCTION("""COMPUTED_VALUE"""),"-33.824163,-70.764671")</f>
        <v>-33.824163,-70.764671</v>
      </c>
      <c r="C9745" s="6" t="str">
        <f ca="1">IFERROR(__xludf.DUMMYFUNCTION("""COMPUTED_VALUE"""),"SIN CALLE S/N COLONIAS PAINE PARC 24")</f>
        <v>SIN CALLE S/N COLONIAS PAINE PARC 24</v>
      </c>
      <c r="D9745" s="6" t="str">
        <f ca="1">IFERROR(__xludf.DUMMYFUNCTION("""COMPUTED_VALUE"""),"PAINE")</f>
        <v>PAINE</v>
      </c>
    </row>
    <row r="9746" spans="1:4">
      <c r="A9746" s="7">
        <f ca="1">IFERROR(__xludf.DUMMYFUNCTION("""COMPUTED_VALUE"""),44809)</f>
        <v>44809</v>
      </c>
      <c r="B9746" s="6" t="str">
        <f ca="1">IFERROR(__xludf.DUMMYFUNCTION("""COMPUTED_VALUE"""),"-33.287734,-70878611")</f>
        <v>-33.287734,-70878611</v>
      </c>
      <c r="C9746" s="6" t="str">
        <f ca="1">IFERROR(__xludf.DUMMYFUNCTION("""COMPUTED_VALUE"""),"ALC JOSE SOLANO B80")</f>
        <v>ALC JOSE SOLANO B80</v>
      </c>
      <c r="D9746" s="6" t="str">
        <f ca="1">IFERROR(__xludf.DUMMYFUNCTION("""COMPUTED_VALUE"""),"LAMPA")</f>
        <v>LAMPA</v>
      </c>
    </row>
    <row r="9747" spans="1:4">
      <c r="A9747" s="7">
        <f ca="1">IFERROR(__xludf.DUMMYFUNCTION("""COMPUTED_VALUE"""),44809)</f>
        <v>44809</v>
      </c>
      <c r="B9747" s="8" t="str">
        <f ca="1">IFERROR(__xludf.DUMMYFUNCTION("""COMPUTED_VALUE"""),"-33.802818,-70.769997")</f>
        <v>-33.802818,-70.769997</v>
      </c>
      <c r="C9747" s="6" t="str">
        <f ca="1">IFERROR(__xludf.DUMMYFUNCTION("""COMPUTED_VALUE"""),"CAMINO PAINE LONQUEN 2750")</f>
        <v>CAMINO PAINE LONQUEN 2750</v>
      </c>
      <c r="D9747" s="6" t="str">
        <f ca="1">IFERROR(__xludf.DUMMYFUNCTION("""COMPUTED_VALUE"""),"BUIN")</f>
        <v>BUIN</v>
      </c>
    </row>
    <row r="9748" spans="1:4">
      <c r="A9748" s="7">
        <f ca="1">IFERROR(__xludf.DUMMYFUNCTION("""COMPUTED_VALUE"""),44809)</f>
        <v>44809</v>
      </c>
      <c r="B9748" s="8" t="str">
        <f ca="1">IFERROR(__xludf.DUMMYFUNCTION("""COMPUTED_VALUE"""),"-33.7651120,-70.7356970")</f>
        <v>-33.7651120,-70.7356970</v>
      </c>
      <c r="C9748" s="6" t="str">
        <f ca="1">IFERROR(__xludf.DUMMYFUNCTION("""COMPUTED_VALUE"""),"FCO JAVIER KRUGGER 0238")</f>
        <v>FCO JAVIER KRUGGER 0238</v>
      </c>
      <c r="D9748" s="6" t="str">
        <f ca="1">IFERROR(__xludf.DUMMYFUNCTION("""COMPUTED_VALUE"""),"BUIN")</f>
        <v>BUIN</v>
      </c>
    </row>
    <row r="9749" spans="1:4">
      <c r="A9749" s="7">
        <f ca="1">IFERROR(__xludf.DUMMYFUNCTION("""COMPUTED_VALUE"""),44809)</f>
        <v>44809</v>
      </c>
      <c r="B9749" s="8" t="str">
        <f ca="1">IFERROR(__xludf.DUMMYFUNCTION("""COMPUTED_VALUE"""),"-33.620985,-70.798793")</f>
        <v>-33.620985,-70.798793</v>
      </c>
      <c r="C9749" s="6" t="str">
        <f ca="1">IFERROR(__xludf.DUMMYFUNCTION("""COMPUTED_VALUE"""),"AV CALERA DE TANGO PARCELA 3 ")</f>
        <v xml:space="preserve">AV CALERA DE TANGO PARCELA 3 </v>
      </c>
      <c r="D9749" s="6" t="str">
        <f ca="1">IFERROR(__xludf.DUMMYFUNCTION("""COMPUTED_VALUE"""),"CALERA DE TANGO")</f>
        <v>CALERA DE TANGO</v>
      </c>
    </row>
    <row r="9750" spans="1:4">
      <c r="A9750" s="7">
        <f ca="1">IFERROR(__xludf.DUMMYFUNCTION("""COMPUTED_VALUE"""),44809)</f>
        <v>44809</v>
      </c>
      <c r="B9750" s="8" t="str">
        <f ca="1">IFERROR(__xludf.DUMMYFUNCTION("""COMPUTED_VALUE"""),"-33.620985,-70.798793")</f>
        <v>-33.620985,-70.798793</v>
      </c>
      <c r="C9750" s="6" t="str">
        <f ca="1">IFERROR(__xludf.DUMMYFUNCTION("""COMPUTED_VALUE"""),"AV CALERA DE TANGO PARCELA 4")</f>
        <v>AV CALERA DE TANGO PARCELA 4</v>
      </c>
      <c r="D9750" s="6" t="str">
        <f ca="1">IFERROR(__xludf.DUMMYFUNCTION("""COMPUTED_VALUE"""),"CALERA DE TANGO")</f>
        <v>CALERA DE TANGO</v>
      </c>
    </row>
    <row r="9751" spans="1:4">
      <c r="A9751" s="7">
        <f ca="1">IFERROR(__xludf.DUMMYFUNCTION("""COMPUTED_VALUE"""),44809)</f>
        <v>44809</v>
      </c>
      <c r="B9751" s="6" t="str">
        <f ca="1">IFERROR(__xludf.DUMMYFUNCTION("""COMPUTED_VALUE"""),"-33.749378,-70.749527")</f>
        <v>-33.749378,-70.749527</v>
      </c>
      <c r="C9751" s="6" t="str">
        <f ca="1">IFERROR(__xludf.DUMMYFUNCTION("""COMPUTED_VALUE"""),"PA. CARLOS LLORENS 729")</f>
        <v>PA. CARLOS LLORENS 729</v>
      </c>
      <c r="D9751" s="6" t="str">
        <f ca="1">IFERROR(__xludf.DUMMYFUNCTION("""COMPUTED_VALUE"""),"BUIN")</f>
        <v>BUIN</v>
      </c>
    </row>
    <row r="9752" spans="1:4">
      <c r="A9752" s="7">
        <f ca="1">IFERROR(__xludf.DUMMYFUNCTION("""COMPUTED_VALUE"""),44809)</f>
        <v>44809</v>
      </c>
      <c r="B9752" s="6" t="str">
        <f ca="1">IFERROR(__xludf.DUMMYFUNCTION("""COMPUTED_VALUE"""),"-33.862905,-70.854173")</f>
        <v>-33.862905,-70.854173</v>
      </c>
      <c r="C9752" s="6" t="str">
        <f ca="1">IFERROR(__xludf.DUMMYFUNCTION("""COMPUTED_VALUE"""),"PARC. ABRANTES ST 21")</f>
        <v>PARC. ABRANTES ST 21</v>
      </c>
      <c r="D9752" s="6" t="str">
        <f ca="1">IFERROR(__xludf.DUMMYFUNCTION("""COMPUTED_VALUE"""),"PAINE")</f>
        <v>PAINE</v>
      </c>
    </row>
    <row r="9753" spans="1:4">
      <c r="A9753" s="7">
        <f ca="1">IFERROR(__xludf.DUMMYFUNCTION("""COMPUTED_VALUE"""),44809)</f>
        <v>44809</v>
      </c>
      <c r="B9753" s="6" t="str">
        <f ca="1">IFERROR(__xludf.DUMMYFUNCTION("""COMPUTED_VALUE"""),"-33.4919004,-71.1279949")</f>
        <v>-33.4919004,-71.1279949</v>
      </c>
      <c r="C9753" s="6" t="str">
        <f ca="1">IFERROR(__xludf.DUMMYFUNCTION("""COMPUTED_VALUE"""),"P. MORAGA 1034")</f>
        <v>P. MORAGA 1034</v>
      </c>
      <c r="D9753" s="6" t="str">
        <f ca="1">IFERROR(__xludf.DUMMYFUNCTION("""COMPUTED_VALUE"""),"CURACAVI")</f>
        <v>CURACAVI</v>
      </c>
    </row>
    <row r="9754" spans="1:4">
      <c r="A9754" s="7">
        <f ca="1">IFERROR(__xludf.DUMMYFUNCTION("""COMPUTED_VALUE"""),44809)</f>
        <v>44809</v>
      </c>
      <c r="B9754" s="6" t="str">
        <f ca="1">IFERROR(__xludf.DUMMYFUNCTION("""COMPUTED_VALUE"""),"-33.1568512,-70.9845621")</f>
        <v>-33.1568512,-70.9845621</v>
      </c>
      <c r="C9754" s="6" t="str">
        <f ca="1">IFERROR(__xludf.DUMMYFUNCTION("""COMPUTED_VALUE"""),"MANUEL DE SALAS 2139")</f>
        <v>MANUEL DE SALAS 2139</v>
      </c>
      <c r="D9754" s="6" t="str">
        <f ca="1">IFERROR(__xludf.DUMMYFUNCTION("""COMPUTED_VALUE"""),"CURACAVI")</f>
        <v>CURACAVI</v>
      </c>
    </row>
    <row r="9755" spans="1:4">
      <c r="A9755" s="7">
        <f ca="1">IFERROR(__xludf.DUMMYFUNCTION("""COMPUTED_VALUE"""),44810)</f>
        <v>44810</v>
      </c>
      <c r="B9755" s="8" t="str">
        <f ca="1">IFERROR(__xludf.DUMMYFUNCTION("""COMPUTED_VALUE"""),"-33.8033596, -70.7328386")</f>
        <v>-33.8033596, -70.7328386</v>
      </c>
      <c r="C9755" s="6" t="str">
        <f ca="1">IFERROR(__xludf.DUMMYFUNCTION("""COMPUTED_VALUE"""),"GRAN AVENIDA S/N")</f>
        <v>GRAN AVENIDA S/N</v>
      </c>
      <c r="D9755" s="6" t="str">
        <f ca="1">IFERROR(__xludf.DUMMYFUNCTION("""COMPUTED_VALUE"""),"PAINE")</f>
        <v>PAINE</v>
      </c>
    </row>
    <row r="9756" spans="1:4">
      <c r="A9756" s="7">
        <f ca="1">IFERROR(__xludf.DUMMYFUNCTION("""COMPUTED_VALUE"""),44810)</f>
        <v>44810</v>
      </c>
      <c r="B9756" s="8" t="str">
        <f ca="1">IFERROR(__xludf.DUMMYFUNCTION("""COMPUTED_VALUE"""),"-33.8042757, -70.7328711")</f>
        <v>-33.8042757, -70.7328711</v>
      </c>
      <c r="C9756" s="6" t="str">
        <f ca="1">IFERROR(__xludf.DUMMYFUNCTION("""COMPUTED_VALUE"""),"LOS ESPINOS 500")</f>
        <v>LOS ESPINOS 500</v>
      </c>
      <c r="D9756" s="6" t="str">
        <f ca="1">IFERROR(__xludf.DUMMYFUNCTION("""COMPUTED_VALUE"""),"PAINE")</f>
        <v>PAINE</v>
      </c>
    </row>
    <row r="9757" spans="1:4">
      <c r="A9757" s="7">
        <f ca="1">IFERROR(__xludf.DUMMYFUNCTION("""COMPUTED_VALUE"""),44810)</f>
        <v>44810</v>
      </c>
      <c r="B9757" s="8" t="str">
        <f ca="1">IFERROR(__xludf.DUMMYFUNCTION("""COMPUTED_VALUE"""),"-33.5998569, -70.8494382")</f>
        <v>-33.5998569, -70.8494382</v>
      </c>
      <c r="C9757" s="6" t="str">
        <f ca="1">IFERROR(__xludf.DUMMYFUNCTION("""COMPUTED_VALUE"""),"SANTA TERESA DE CALCULA 0116")</f>
        <v>SANTA TERESA DE CALCULA 0116</v>
      </c>
      <c r="D9757" s="6" t="str">
        <f ca="1">IFERROR(__xludf.DUMMYFUNCTION("""COMPUTED_VALUE"""),"PEÑAFLOR")</f>
        <v>PEÑAFLOR</v>
      </c>
    </row>
    <row r="9758" spans="1:4">
      <c r="A9758" s="7">
        <f ca="1">IFERROR(__xludf.DUMMYFUNCTION("""COMPUTED_VALUE"""),44810)</f>
        <v>44810</v>
      </c>
      <c r="B9758" s="8" t="str">
        <f ca="1">IFERROR(__xludf.DUMMYFUNCTION("""COMPUTED_VALUE"""),"-33.4352797, -70.6836917")</f>
        <v>-33.4352797, -70.6836917</v>
      </c>
      <c r="C9758" s="6" t="str">
        <f ca="1">IFERROR(__xludf.DUMMYFUNCTION("""COMPUTED_VALUE"""),"CAMINO EL VOLCAN 4851")</f>
        <v>CAMINO EL VOLCAN 4851</v>
      </c>
      <c r="D9758" s="6" t="str">
        <f ca="1">IFERROR(__xludf.DUMMYFUNCTION("""COMPUTED_VALUE"""),"SAN JOSE DE MAIPO")</f>
        <v>SAN JOSE DE MAIPO</v>
      </c>
    </row>
    <row r="9759" spans="1:4">
      <c r="A9759" s="7">
        <f ca="1">IFERROR(__xludf.DUMMYFUNCTION("""COMPUTED_VALUE"""),44810)</f>
        <v>44810</v>
      </c>
      <c r="B9759" s="8" t="str">
        <f ca="1">IFERROR(__xludf.DUMMYFUNCTION("""COMPUTED_VALUE"""),"-33.4352797, -70.6836917")</f>
        <v>-33.4352797, -70.6836917</v>
      </c>
      <c r="C9759" s="6" t="str">
        <f ca="1">IFERROR(__xludf.DUMMYFUNCTION("""COMPUTED_VALUE"""),"CAMINO AL VOLCAN 4851")</f>
        <v>CAMINO AL VOLCAN 4851</v>
      </c>
      <c r="D9759" s="6" t="str">
        <f ca="1">IFERROR(__xludf.DUMMYFUNCTION("""COMPUTED_VALUE"""),"SAN JOSE DE MAIPO")</f>
        <v>SAN JOSE DE MAIPO</v>
      </c>
    </row>
    <row r="9760" spans="1:4">
      <c r="A9760" s="7">
        <f ca="1">IFERROR(__xludf.DUMMYFUNCTION("""COMPUTED_VALUE"""),44810)</f>
        <v>44810</v>
      </c>
      <c r="B9760" s="8" t="str">
        <f ca="1">IFERROR(__xludf.DUMMYFUNCTION("""COMPUTED_VALUE"""),"-33.6902174, -71.2210846")</f>
        <v>-33.6902174, -71.2210846</v>
      </c>
      <c r="C9760" s="6" t="str">
        <f ca="1">IFERROR(__xludf.DUMMYFUNCTION("""COMPUTED_VALUE"""),"PASAJE CINCO 860")</f>
        <v>PASAJE CINCO 860</v>
      </c>
      <c r="D9760" s="6" t="str">
        <f ca="1">IFERROR(__xludf.DUMMYFUNCTION("""COMPUTED_VALUE"""),"MELIPILLA")</f>
        <v>MELIPILLA</v>
      </c>
    </row>
    <row r="9761" spans="1:4">
      <c r="A9761" s="7">
        <f ca="1">IFERROR(__xludf.DUMMYFUNCTION("""COMPUTED_VALUE"""),44810)</f>
        <v>44810</v>
      </c>
      <c r="B9761" s="6" t="str">
        <f ca="1">IFERROR(__xludf.DUMMYFUNCTION("""COMPUTED_VALUE"""),"-34.031739-71.117459")</f>
        <v>-34.031739-71.117459</v>
      </c>
      <c r="C9761" s="6" t="str">
        <f ca="1">IFERROR(__xludf.DUMMYFUNCTION("""COMPUTED_VALUE"""),"VEINTIUNO DE MAYO S/N")</f>
        <v>VEINTIUNO DE MAYO S/N</v>
      </c>
      <c r="D9761" s="6" t="str">
        <f ca="1">IFERROR(__xludf.DUMMYFUNCTION("""COMPUTED_VALUE"""),"ALHUÉ")</f>
        <v>ALHUÉ</v>
      </c>
    </row>
    <row r="9762" spans="1:4">
      <c r="A9762" s="7">
        <f ca="1">IFERROR(__xludf.DUMMYFUNCTION("""COMPUTED_VALUE"""),44810)</f>
        <v>44810</v>
      </c>
      <c r="B9762" s="6" t="str">
        <f ca="1">IFERROR(__xludf.DUMMYFUNCTION("""COMPUTED_VALUE"""),"-34.031739-71.117459")</f>
        <v>-34.031739-71.117459</v>
      </c>
      <c r="C9762" s="6" t="str">
        <f ca="1">IFERROR(__xludf.DUMMYFUNCTION("""COMPUTED_VALUE"""),"VEINTIUNO DE MAYO S/N")</f>
        <v>VEINTIUNO DE MAYO S/N</v>
      </c>
      <c r="D9762" s="6" t="str">
        <f ca="1">IFERROR(__xludf.DUMMYFUNCTION("""COMPUTED_VALUE"""),"ALHUÉ")</f>
        <v>ALHUÉ</v>
      </c>
    </row>
    <row r="9763" spans="1:4">
      <c r="A9763" s="7">
        <f ca="1">IFERROR(__xludf.DUMMYFUNCTION("""COMPUTED_VALUE"""),44810)</f>
        <v>44810</v>
      </c>
      <c r="B9763" s="6" t="str">
        <f ca="1">IFERROR(__xludf.DUMMYFUNCTION("""COMPUTED_VALUE"""),"-34.028358-71.089617")</f>
        <v>-34.028358-71.089617</v>
      </c>
      <c r="C9763" s="6" t="str">
        <f ca="1">IFERROR(__xludf.DUMMYFUNCTION("""COMPUTED_VALUE"""),"LOS ALAMOS 501")</f>
        <v>LOS ALAMOS 501</v>
      </c>
      <c r="D9763" s="6" t="str">
        <f ca="1">IFERROR(__xludf.DUMMYFUNCTION("""COMPUTED_VALUE"""),"ALHUÉ")</f>
        <v>ALHUÉ</v>
      </c>
    </row>
    <row r="9764" spans="1:4">
      <c r="A9764" s="7">
        <f ca="1">IFERROR(__xludf.DUMMYFUNCTION("""COMPUTED_VALUE"""),44810)</f>
        <v>44810</v>
      </c>
      <c r="B9764" s="6" t="str">
        <f ca="1">IFERROR(__xludf.DUMMYFUNCTION("""COMPUTED_VALUE"""),"-34.029857-71.101126")</f>
        <v>-34.029857-71.101126</v>
      </c>
      <c r="C9764" s="6" t="str">
        <f ca="1">IFERROR(__xludf.DUMMYFUNCTION("""COMPUTED_VALUE"""),"CACIQUE 065")</f>
        <v>CACIQUE 065</v>
      </c>
      <c r="D9764" s="6" t="str">
        <f ca="1">IFERROR(__xludf.DUMMYFUNCTION("""COMPUTED_VALUE"""),"ALHUÉ")</f>
        <v>ALHUÉ</v>
      </c>
    </row>
    <row r="9765" spans="1:4">
      <c r="A9765" s="7">
        <f ca="1">IFERROR(__xludf.DUMMYFUNCTION("""COMPUTED_VALUE"""),44810)</f>
        <v>44810</v>
      </c>
      <c r="B9765" s="6" t="str">
        <f ca="1">IFERROR(__xludf.DUMMYFUNCTION("""COMPUTED_VALUE"""),"-34.031237-71.079260")</f>
        <v>-34.031237-71.079260</v>
      </c>
      <c r="C9765" s="6" t="str">
        <f ca="1">IFERROR(__xludf.DUMMYFUNCTION("""COMPUTED_VALUE"""),"IGNACIO CARRERA PINTO S/N")</f>
        <v>IGNACIO CARRERA PINTO S/N</v>
      </c>
      <c r="D9765" s="6" t="str">
        <f ca="1">IFERROR(__xludf.DUMMYFUNCTION("""COMPUTED_VALUE"""),"ALHUÉ")</f>
        <v>ALHUÉ</v>
      </c>
    </row>
    <row r="9766" spans="1:4">
      <c r="A9766" s="7">
        <f ca="1">IFERROR(__xludf.DUMMYFUNCTION("""COMPUTED_VALUE"""),44810)</f>
        <v>44810</v>
      </c>
      <c r="B9766" s="6" t="str">
        <f ca="1">IFERROR(__xludf.DUMMYFUNCTION("""COMPUTED_VALUE"""),"-34.031747-71.077823")</f>
        <v>-34.031747-71.077823</v>
      </c>
      <c r="C9766" s="6" t="str">
        <f ca="1">IFERROR(__xludf.DUMMYFUNCTION("""COMPUTED_VALUE"""),"IGNACIO CARRERA PINTO S/N")</f>
        <v>IGNACIO CARRERA PINTO S/N</v>
      </c>
      <c r="D9766" s="6" t="str">
        <f ca="1">IFERROR(__xludf.DUMMYFUNCTION("""COMPUTED_VALUE"""),"ALHUÉ")</f>
        <v>ALHUÉ</v>
      </c>
    </row>
    <row r="9767" spans="1:4">
      <c r="A9767" s="7">
        <f ca="1">IFERROR(__xludf.DUMMYFUNCTION("""COMPUTED_VALUE"""),44810)</f>
        <v>44810</v>
      </c>
      <c r="B9767" s="6" t="str">
        <f ca="1">IFERROR(__xludf.DUMMYFUNCTION("""COMPUTED_VALUE"""),"-34.023309-71.081298")</f>
        <v>-34.023309-71.081298</v>
      </c>
      <c r="C9767" s="6" t="str">
        <f ca="1">IFERROR(__xludf.DUMMYFUNCTION("""COMPUTED_VALUE"""),"IGNACIO CARRERA PINTO S/N")</f>
        <v>IGNACIO CARRERA PINTO S/N</v>
      </c>
      <c r="D9767" s="6" t="str">
        <f ca="1">IFERROR(__xludf.DUMMYFUNCTION("""COMPUTED_VALUE"""),"ALHUÉ")</f>
        <v>ALHUÉ</v>
      </c>
    </row>
    <row r="9768" spans="1:4">
      <c r="A9768" s="7">
        <f ca="1">IFERROR(__xludf.DUMMYFUNCTION("""COMPUTED_VALUE"""),44810)</f>
        <v>44810</v>
      </c>
      <c r="B9768" s="6" t="str">
        <f ca="1">IFERROR(__xludf.DUMMYFUNCTION("""COMPUTED_VALUE"""),"-34.016400-70.994298")</f>
        <v>-34.016400-70.994298</v>
      </c>
      <c r="C9768" s="6" t="str">
        <f ca="1">IFERROR(__xludf.DUMMYFUNCTION("""COMPUTED_VALUE"""),"EL ASIENTO 35")</f>
        <v>EL ASIENTO 35</v>
      </c>
      <c r="D9768" s="6" t="str">
        <f ca="1">IFERROR(__xludf.DUMMYFUNCTION("""COMPUTED_VALUE"""),"ALHUÉ")</f>
        <v>ALHUÉ</v>
      </c>
    </row>
    <row r="9769" spans="1:4">
      <c r="A9769" s="7">
        <f ca="1">IFERROR(__xludf.DUMMYFUNCTION("""COMPUTED_VALUE"""),44810)</f>
        <v>44810</v>
      </c>
      <c r="B9769" s="8" t="str">
        <f ca="1">IFERROR(__xludf.DUMMYFUNCTION("""COMPUTED_VALUE"""),"-33.689559,-70.582867")</f>
        <v>-33.689559,-70.582867</v>
      </c>
      <c r="C9769" s="6" t="str">
        <f ca="1">IFERROR(__xludf.DUMMYFUNCTION("""COMPUTED_VALUE"""),"LOS QUILLAYES 3 ")</f>
        <v xml:space="preserve">LOS QUILLAYES 3 </v>
      </c>
      <c r="D9769" s="6" t="str">
        <f ca="1">IFERROR(__xludf.DUMMYFUNCTION("""COMPUTED_VALUE"""),"PIRQUE")</f>
        <v>PIRQUE</v>
      </c>
    </row>
    <row r="9770" spans="1:4">
      <c r="A9770" s="7">
        <f ca="1">IFERROR(__xludf.DUMMYFUNCTION("""COMPUTED_VALUE"""),44810)</f>
        <v>44810</v>
      </c>
      <c r="B9770" s="8" t="str">
        <f ca="1">IFERROR(__xludf.DUMMYFUNCTION("""COMPUTED_VALUE"""),"-33.705195,-70.565420")</f>
        <v>-33.705195,-70.565420</v>
      </c>
      <c r="C9770" s="6" t="str">
        <f ca="1">IFERROR(__xludf.DUMMYFUNCTION("""COMPUTED_VALUE"""),"EL PRINCIPAL S/ 25 LOTE E")</f>
        <v>EL PRINCIPAL S/ 25 LOTE E</v>
      </c>
      <c r="D9770" s="6" t="str">
        <f ca="1">IFERROR(__xludf.DUMMYFUNCTION("""COMPUTED_VALUE"""),"PIRQUE")</f>
        <v>PIRQUE</v>
      </c>
    </row>
    <row r="9771" spans="1:4">
      <c r="A9771" s="7">
        <f ca="1">IFERROR(__xludf.DUMMYFUNCTION("""COMPUTED_VALUE"""),44810)</f>
        <v>44810</v>
      </c>
      <c r="B9771" s="8" t="str">
        <f ca="1">IFERROR(__xludf.DUMMYFUNCTION("""COMPUTED_VALUE"""),"-33.757351,-70.734103")</f>
        <v>-33.757351,-70.734103</v>
      </c>
      <c r="C9771" s="6" t="str">
        <f ca="1">IFERROR(__xludf.DUMMYFUNCTION("""COMPUTED_VALUE"""),"FCO JAVIER KANGGER 427-19A")</f>
        <v>FCO JAVIER KANGGER 427-19A</v>
      </c>
      <c r="D9771" s="6" t="str">
        <f ca="1">IFERROR(__xludf.DUMMYFUNCTION("""COMPUTED_VALUE"""),"BUIN")</f>
        <v>BUIN</v>
      </c>
    </row>
    <row r="9772" spans="1:4">
      <c r="A9772" s="7">
        <f ca="1">IFERROR(__xludf.DUMMYFUNCTION("""COMPUTED_VALUE"""),44810)</f>
        <v>44810</v>
      </c>
      <c r="B9772" s="6" t="str">
        <f ca="1">IFERROR(__xludf.DUMMYFUNCTION("""COMPUTED_VALUE"""),"-33.274014,-70.886030")</f>
        <v>-33.274014,-70.886030</v>
      </c>
      <c r="C9772" s="6" t="str">
        <f ca="1">IFERROR(__xludf.DUMMYFUNCTION("""COMPUTED_VALUE"""),"CAMPAMENTO MEDIA LUNA S/N")</f>
        <v>CAMPAMENTO MEDIA LUNA S/N</v>
      </c>
      <c r="D9772" s="6" t="str">
        <f ca="1">IFERROR(__xludf.DUMMYFUNCTION("""COMPUTED_VALUE"""),"LAMPA")</f>
        <v>LAMPA</v>
      </c>
    </row>
    <row r="9773" spans="1:4">
      <c r="A9773" s="7">
        <f ca="1">IFERROR(__xludf.DUMMYFUNCTION("""COMPUTED_VALUE"""),44810)</f>
        <v>44810</v>
      </c>
      <c r="B9773" s="6" t="str">
        <f ca="1">IFERROR(__xludf.DUMMYFUNCTION("""COMPUTED_VALUE"""),"-33.732702,-70.966983")</f>
        <v>-33.732702,-70.966983</v>
      </c>
      <c r="C9773" s="6" t="str">
        <f ca="1">IFERROR(__xludf.DUMMYFUNCTION("""COMPUTED_VALUE"""),"SAN ANTONIO 5748")</f>
        <v>SAN ANTONIO 5748</v>
      </c>
      <c r="D9773" s="6" t="str">
        <f ca="1">IFERROR(__xludf.DUMMYFUNCTION("""COMPUTED_VALUE"""),"ISLA DE MAIPO")</f>
        <v>ISLA DE MAIPO</v>
      </c>
    </row>
    <row r="9774" spans="1:4">
      <c r="A9774" s="7">
        <f ca="1">IFERROR(__xludf.DUMMYFUNCTION("""COMPUTED_VALUE"""),44810)</f>
        <v>44810</v>
      </c>
      <c r="B9774" s="8" t="str">
        <f ca="1">IFERROR(__xludf.DUMMYFUNCTION("""COMPUTED_VALUE"""),"-33.667982,-70.916823")</f>
        <v>-33.667982,-70.916823</v>
      </c>
      <c r="C9774" s="6" t="str">
        <f ca="1">IFERROR(__xludf.DUMMYFUNCTION("""COMPUTED_VALUE"""),"CAMINO MELIPILLA 614")</f>
        <v>CAMINO MELIPILLA 614</v>
      </c>
      <c r="D9774" s="6" t="str">
        <f ca="1">IFERROR(__xludf.DUMMYFUNCTION("""COMPUTED_VALUE"""),"TALAGANTE")</f>
        <v>TALAGANTE</v>
      </c>
    </row>
    <row r="9775" spans="1:4">
      <c r="A9775" s="7">
        <f ca="1">IFERROR(__xludf.DUMMYFUNCTION("""COMPUTED_VALUE"""),44810)</f>
        <v>44810</v>
      </c>
      <c r="B9775" s="8" t="str">
        <f ca="1">IFERROR(__xludf.DUMMYFUNCTION("""COMPUTED_VALUE"""),"-33.663651,-70.918292")</f>
        <v>-33.663651,-70.918292</v>
      </c>
      <c r="C9775" s="6" t="str">
        <f ca="1">IFERROR(__xludf.DUMMYFUNCTION("""COMPUTED_VALUE"""),"VILLA NIÑO JESUS 1176")</f>
        <v>VILLA NIÑO JESUS 1176</v>
      </c>
      <c r="D9775" s="6" t="str">
        <f ca="1">IFERROR(__xludf.DUMMYFUNCTION("""COMPUTED_VALUE"""),"TALAGANTE")</f>
        <v>TALAGANTE</v>
      </c>
    </row>
    <row r="9776" spans="1:4">
      <c r="A9776" s="7">
        <f ca="1">IFERROR(__xludf.DUMMYFUNCTION("""COMPUTED_VALUE"""),44810)</f>
        <v>44810</v>
      </c>
      <c r="B9776" s="8" t="str">
        <f ca="1">IFERROR(__xludf.DUMMYFUNCTION("""COMPUTED_VALUE"""),"-33.205769,-70.67657")</f>
        <v>-33.205769,-70.67657</v>
      </c>
      <c r="C9776" s="6" t="str">
        <f ca="1">IFERROR(__xludf.DUMMYFUNCTION("""COMPUTED_VALUE"""),"CAUPOLICAN 014")</f>
        <v>CAUPOLICAN 014</v>
      </c>
      <c r="D9776" s="6" t="str">
        <f ca="1">IFERROR(__xludf.DUMMYFUNCTION("""COMPUTED_VALUE"""),"COLINA")</f>
        <v>COLINA</v>
      </c>
    </row>
    <row r="9777" spans="1:4">
      <c r="A9777" s="7">
        <f ca="1">IFERROR(__xludf.DUMMYFUNCTION("""COMPUTED_VALUE"""),44810)</f>
        <v>44810</v>
      </c>
      <c r="B9777" s="6" t="str">
        <f ca="1">IFERROR(__xludf.DUMMYFUNCTION("""COMPUTED_VALUE"""),"-33.664478,-70.582413")</f>
        <v>-33.664478,-70.582413</v>
      </c>
      <c r="C9777" s="6" t="str">
        <f ca="1">IFERROR(__xludf.DUMMYFUNCTION("""COMPUTED_VALUE"""),"LOS ACACIOS PARC. 18")</f>
        <v>LOS ACACIOS PARC. 18</v>
      </c>
      <c r="D9777" s="6" t="str">
        <f ca="1">IFERROR(__xludf.DUMMYFUNCTION("""COMPUTED_VALUE"""),"PIRQUE")</f>
        <v>PIRQUE</v>
      </c>
    </row>
    <row r="9778" spans="1:4">
      <c r="A9778" s="7">
        <f ca="1">IFERROR(__xludf.DUMMYFUNCTION("""COMPUTED_VALUE"""),44810)</f>
        <v>44810</v>
      </c>
      <c r="B9778" s="6" t="str">
        <f ca="1">IFERROR(__xludf.DUMMYFUNCTION("""COMPUTED_VALUE"""),"-33.664478,-70.582413")</f>
        <v>-33.664478,-70.582413</v>
      </c>
      <c r="C9778" s="6" t="str">
        <f ca="1">IFERROR(__xludf.DUMMYFUNCTION("""COMPUTED_VALUE"""),"LOS ACACIOS PARC. 18")</f>
        <v>LOS ACACIOS PARC. 18</v>
      </c>
      <c r="D9778" s="6" t="str">
        <f ca="1">IFERROR(__xludf.DUMMYFUNCTION("""COMPUTED_VALUE"""),"PIRQUE")</f>
        <v>PIRQUE</v>
      </c>
    </row>
    <row r="9779" spans="1:4">
      <c r="A9779" s="7">
        <f ca="1">IFERROR(__xludf.DUMMYFUNCTION("""COMPUTED_VALUE"""),44810)</f>
        <v>44810</v>
      </c>
      <c r="B9779" s="6" t="str">
        <f ca="1">IFERROR(__xludf.DUMMYFUNCTION("""COMPUTED_VALUE"""),"-33.7196118,-71.1847178")</f>
        <v>-33.7196118,-71.1847178</v>
      </c>
      <c r="C9779" s="6" t="str">
        <f ca="1">IFERROR(__xludf.DUMMYFUNCTION("""COMPUTED_VALUE"""),"LA VEGA S/N")</f>
        <v>LA VEGA S/N</v>
      </c>
      <c r="D9779" s="6" t="str">
        <f ca="1">IFERROR(__xludf.DUMMYFUNCTION("""COMPUTED_VALUE"""),"MELIPILLA")</f>
        <v>MELIPILLA</v>
      </c>
    </row>
    <row r="9780" spans="1:4">
      <c r="A9780" s="7">
        <f ca="1">IFERROR(__xludf.DUMMYFUNCTION("""COMPUTED_VALUE"""),44810)</f>
        <v>44810</v>
      </c>
      <c r="B9780" s="6" t="str">
        <f ca="1">IFERROR(__xludf.DUMMYFUNCTION("""COMPUTED_VALUE"""),"-36.949673,-73.019218")</f>
        <v>-36.949673,-73.019218</v>
      </c>
      <c r="C9780" s="6" t="str">
        <f ca="1">IFERROR(__xludf.DUMMYFUNCTION("""COMPUTED_VALUE"""),"SUIZA 2939")</f>
        <v>SUIZA 2939</v>
      </c>
      <c r="D9780" s="6" t="str">
        <f ca="1">IFERROR(__xludf.DUMMYFUNCTION("""COMPUTED_VALUE"""),"CONCEPCIÓN")</f>
        <v>CONCEPCIÓN</v>
      </c>
    </row>
    <row r="9781" spans="1:4">
      <c r="A9781" s="7">
        <f ca="1">IFERROR(__xludf.DUMMYFUNCTION("""COMPUTED_VALUE"""),44810)</f>
        <v>44810</v>
      </c>
      <c r="B9781" s="6" t="str">
        <f ca="1">IFERROR(__xludf.DUMMYFUNCTION("""COMPUTED_VALUE"""),"-36.952587,-73.014603")</f>
        <v>-36.952587,-73.014603</v>
      </c>
      <c r="C9781" s="6" t="str">
        <f ca="1">IFERROR(__xludf.DUMMYFUNCTION("""COMPUTED_VALUE"""),"PA ESMERALDA 43 LEONERA")</f>
        <v>PA ESMERALDA 43 LEONERA</v>
      </c>
      <c r="D9781" s="6" t="str">
        <f ca="1">IFERROR(__xludf.DUMMYFUNCTION("""COMPUTED_VALUE"""),"CONCEPCIÓN")</f>
        <v>CONCEPCIÓN</v>
      </c>
    </row>
    <row r="9782" spans="1:4">
      <c r="A9782" s="7">
        <f ca="1">IFERROR(__xludf.DUMMYFUNCTION("""COMPUTED_VALUE"""),44811)</f>
        <v>44811</v>
      </c>
      <c r="B9782" s="8" t="str">
        <f ca="1">IFERROR(__xludf.DUMMYFUNCTION("""COMPUTED_VALUE"""),"-33.6872188, -71.0273263")</f>
        <v>-33.6872188, -71.0273263</v>
      </c>
      <c r="C9782" s="6" t="str">
        <f ca="1">IFERROR(__xludf.DUMMYFUNCTION("""COMPUTED_VALUE"""),"LOS LIBERTADORES 1322")</f>
        <v>LOS LIBERTADORES 1322</v>
      </c>
      <c r="D9782" s="6" t="str">
        <f ca="1">IFERROR(__xludf.DUMMYFUNCTION("""COMPUTED_VALUE"""),"EL MONTE")</f>
        <v>EL MONTE</v>
      </c>
    </row>
    <row r="9783" spans="1:4">
      <c r="A9783" s="7">
        <f ca="1">IFERROR(__xludf.DUMMYFUNCTION("""COMPUTED_VALUE"""),44811)</f>
        <v>44811</v>
      </c>
      <c r="B9783" s="8" t="str">
        <f ca="1">IFERROR(__xludf.DUMMYFUNCTION("""COMPUTED_VALUE"""),"-33..255133,-70.798731")</f>
        <v>-33..255133,-70.798731</v>
      </c>
      <c r="C9783" s="6" t="str">
        <f ca="1">IFERROR(__xludf.DUMMYFUNCTION("""COMPUTED_VALUE"""),"CON EL ALGARROBAL II S/ W75")</f>
        <v>CON EL ALGARROBAL II S/ W75</v>
      </c>
      <c r="D9783" s="6" t="str">
        <f ca="1">IFERROR(__xludf.DUMMYFUNCTION("""COMPUTED_VALUE"""),"COLINA")</f>
        <v>COLINA</v>
      </c>
    </row>
    <row r="9784" spans="1:4">
      <c r="A9784" s="7">
        <f ca="1">IFERROR(__xludf.DUMMYFUNCTION("""COMPUTED_VALUE"""),44811)</f>
        <v>44811</v>
      </c>
      <c r="B9784" s="6" t="str">
        <f ca="1">IFERROR(__xludf.DUMMYFUNCTION("""COMPUTED_VALUE"""),"-33.293627,-70.870883")</f>
        <v>-33.293627,-70.870883</v>
      </c>
      <c r="C9784" s="6" t="str">
        <f ca="1">IFERROR(__xludf.DUMMYFUNCTION("""COMPUTED_VALUE"""),"LA FRONTERA 1729")</f>
        <v>LA FRONTERA 1729</v>
      </c>
      <c r="D9784" s="6" t="str">
        <f ca="1">IFERROR(__xludf.DUMMYFUNCTION("""COMPUTED_VALUE"""),"LAMPA")</f>
        <v>LAMPA</v>
      </c>
    </row>
    <row r="9785" spans="1:4">
      <c r="A9785" s="7">
        <f ca="1">IFERROR(__xludf.DUMMYFUNCTION("""COMPUTED_VALUE"""),44811)</f>
        <v>44811</v>
      </c>
      <c r="B9785" s="6" t="str">
        <f ca="1">IFERROR(__xludf.DUMMYFUNCTION("""COMPUTED_VALUE"""),"-33.750834,-70.861802")</f>
        <v>-33.750834,-70.861802</v>
      </c>
      <c r="C9785" s="6" t="str">
        <f ca="1">IFERROR(__xludf.DUMMYFUNCTION("""COMPUTED_VALUE"""),"EL CIPRES DE LA CORDILLERA 482")</f>
        <v>EL CIPRES DE LA CORDILLERA 482</v>
      </c>
      <c r="D9785" s="6" t="str">
        <f ca="1">IFERROR(__xludf.DUMMYFUNCTION("""COMPUTED_VALUE"""),"ISLA DE MAIPO")</f>
        <v>ISLA DE MAIPO</v>
      </c>
    </row>
    <row r="9786" spans="1:4">
      <c r="A9786" s="7">
        <f ca="1">IFERROR(__xludf.DUMMYFUNCTION("""COMPUTED_VALUE"""),44811)</f>
        <v>44811</v>
      </c>
      <c r="B9786" s="8" t="str">
        <f ca="1">IFERROR(__xludf.DUMMYFUNCTION("""COMPUTED_VALUE"""),"-33.229820,-70.801872")</f>
        <v>-33.229820,-70.801872</v>
      </c>
      <c r="C9786" s="6" t="str">
        <f ca="1">IFERROR(__xludf.DUMMYFUNCTION("""COMPUTED_VALUE"""),"SURINAME 722")</f>
        <v>SURINAME 722</v>
      </c>
      <c r="D9786" s="6" t="str">
        <f ca="1">IFERROR(__xludf.DUMMYFUNCTION("""COMPUTED_VALUE"""),"LAMPA")</f>
        <v>LAMPA</v>
      </c>
    </row>
    <row r="9787" spans="1:4">
      <c r="A9787" s="7">
        <f ca="1">IFERROR(__xludf.DUMMYFUNCTION("""COMPUTED_VALUE"""),44811)</f>
        <v>44811</v>
      </c>
      <c r="B9787" s="8" t="str">
        <f ca="1">IFERROR(__xludf.DUMMYFUNCTION("""COMPUTED_VALUE"""),"-33.3324940,-70.8557230")</f>
        <v>-33.3324940,-70.8557230</v>
      </c>
      <c r="C9787" s="6" t="str">
        <f ca="1">IFERROR(__xludf.DUMMYFUNCTION("""COMPUTED_VALUE"""),"CENTRAL LABBE PARCELA 14")</f>
        <v>CENTRAL LABBE PARCELA 14</v>
      </c>
      <c r="D9787" s="6" t="str">
        <f ca="1">IFERROR(__xludf.DUMMYFUNCTION("""COMPUTED_VALUE"""),"LAMPA")</f>
        <v>LAMPA</v>
      </c>
    </row>
    <row r="9788" spans="1:4">
      <c r="A9788" s="7">
        <f ca="1">IFERROR(__xludf.DUMMYFUNCTION("""COMPUTED_VALUE"""),44811)</f>
        <v>44811</v>
      </c>
      <c r="B9788" s="6" t="str">
        <f ca="1">IFERROR(__xludf.DUMMYFUNCTION("""COMPUTED_VALUE"""),"-33.874014,-70.744432")</f>
        <v>-33.874014,-70.744432</v>
      </c>
      <c r="C9788" s="6" t="str">
        <f ca="1">IFERROR(__xludf.DUMMYFUNCTION("""COMPUTED_VALUE"""),"EL PORVENIR 26")</f>
        <v>EL PORVENIR 26</v>
      </c>
      <c r="D9788" s="6" t="str">
        <f ca="1">IFERROR(__xludf.DUMMYFUNCTION("""COMPUTED_VALUE"""),"PAINE")</f>
        <v>PAINE</v>
      </c>
    </row>
    <row r="9789" spans="1:4">
      <c r="A9789" s="7">
        <f ca="1">IFERROR(__xludf.DUMMYFUNCTION("""COMPUTED_VALUE"""),44811)</f>
        <v>44811</v>
      </c>
      <c r="B9789" s="6" t="str">
        <f ca="1">IFERROR(__xludf.DUMMYFUNCTION("""COMPUTED_VALUE"""),"-33.652288,-70.570093")</f>
        <v>-33.652288,-70.570093</v>
      </c>
      <c r="C9789" s="6" t="str">
        <f ca="1">IFERROR(__xludf.DUMMYFUNCTION("""COMPUTED_VALUE"""),"EL LLANO P/11")</f>
        <v>EL LLANO P/11</v>
      </c>
      <c r="D9789" s="6" t="str">
        <f ca="1">IFERROR(__xludf.DUMMYFUNCTION("""COMPUTED_VALUE"""),"PIRQUE")</f>
        <v>PIRQUE</v>
      </c>
    </row>
    <row r="9790" spans="1:4">
      <c r="A9790" s="7">
        <f ca="1">IFERROR(__xludf.DUMMYFUNCTION("""COMPUTED_VALUE"""),44811)</f>
        <v>44811</v>
      </c>
      <c r="B9790" s="6" t="str">
        <f ca="1">IFERROR(__xludf.DUMMYFUNCTION("""COMPUTED_VALUE"""),"-33.825223,-70.732549")</f>
        <v>-33.825223,-70.732549</v>
      </c>
      <c r="C9790" s="6" t="str">
        <f ca="1">IFERROR(__xludf.DUMMYFUNCTION("""COMPUTED_VALUE"""),"ARACENA 916")</f>
        <v>ARACENA 916</v>
      </c>
      <c r="D9790" s="6" t="str">
        <f ca="1">IFERROR(__xludf.DUMMYFUNCTION("""COMPUTED_VALUE"""),"PAINE")</f>
        <v>PAINE</v>
      </c>
    </row>
    <row r="9791" spans="1:4">
      <c r="A9791" s="7">
        <f ca="1">IFERROR(__xludf.DUMMYFUNCTION("""COMPUTED_VALUE"""),44811)</f>
        <v>44811</v>
      </c>
      <c r="B9791" s="6" t="str">
        <f ca="1">IFERROR(__xludf.DUMMYFUNCTION("""COMPUTED_VALUE"""),"-36.9571830,-73.0145220")</f>
        <v>-36.9571830,-73.0145220</v>
      </c>
      <c r="C9791" s="6" t="str">
        <f ca="1">IFERROR(__xludf.DUMMYFUNCTION("""COMPUTED_VALUE"""),"PORTUGAL 171")</f>
        <v>PORTUGAL 171</v>
      </c>
      <c r="D9791" s="6" t="str">
        <f ca="1">IFERROR(__xludf.DUMMYFUNCTION("""COMPUTED_VALUE"""),"CONCEPCIÓN")</f>
        <v>CONCEPCIÓN</v>
      </c>
    </row>
    <row r="9792" spans="1:4">
      <c r="A9792" s="7">
        <f ca="1">IFERROR(__xludf.DUMMYFUNCTION("""COMPUTED_VALUE"""),44811)</f>
        <v>44811</v>
      </c>
      <c r="B9792" s="12" t="str">
        <f ca="1">IFERROR(__xludf.DUMMYFUNCTION("""COMPUTED_VALUE"""),"-36957298,-73.014450")</f>
        <v>-36957298,-73.014450</v>
      </c>
      <c r="C9792" s="6" t="str">
        <f ca="1">IFERROR(__xludf.DUMMYFUNCTION("""COMPUTED_VALUE"""),"PORTUGAL 172")</f>
        <v>PORTUGAL 172</v>
      </c>
      <c r="D9792" s="6" t="str">
        <f ca="1">IFERROR(__xludf.DUMMYFUNCTION("""COMPUTED_VALUE"""),"CONCEPCIÓN")</f>
        <v>CONCEPCIÓN</v>
      </c>
    </row>
    <row r="9793" spans="1:4">
      <c r="A9793" s="7">
        <f ca="1">IFERROR(__xludf.DUMMYFUNCTION("""COMPUTED_VALUE"""),44811)</f>
        <v>44811</v>
      </c>
      <c r="B9793" s="6" t="str">
        <f ca="1">IFERROR(__xludf.DUMMYFUNCTION("""COMPUTED_VALUE"""),"-36.956463,-73.013588")</f>
        <v>-36.956463,-73.013588</v>
      </c>
      <c r="C9793" s="6" t="str">
        <f ca="1">IFERROR(__xludf.DUMMYFUNCTION("""COMPUTED_VALUE"""),"BULGARIA 3815")</f>
        <v>BULGARIA 3815</v>
      </c>
      <c r="D9793" s="6" t="str">
        <f ca="1">IFERROR(__xludf.DUMMYFUNCTION("""COMPUTED_VALUE"""),"CONCEPCIÓN")</f>
        <v>CONCEPCIÓN</v>
      </c>
    </row>
    <row r="9794" spans="1:4">
      <c r="A9794" s="7">
        <f ca="1">IFERROR(__xludf.DUMMYFUNCTION("""COMPUTED_VALUE"""),44811)</f>
        <v>44811</v>
      </c>
      <c r="B9794" s="6" t="str">
        <f ca="1">IFERROR(__xludf.DUMMYFUNCTION("""COMPUTED_VALUE"""),"-36.9474779,-73.0262592")</f>
        <v>-36.9474779,-73.0262592</v>
      </c>
      <c r="C9794" s="6" t="str">
        <f ca="1">IFERROR(__xludf.DUMMYFUNCTION("""COMPUTED_VALUE"""),"CALLE DOS 76")</f>
        <v>CALLE DOS 76</v>
      </c>
      <c r="D9794" s="6" t="str">
        <f ca="1">IFERROR(__xludf.DUMMYFUNCTION("""COMPUTED_VALUE"""),"CONCEPCIÓN")</f>
        <v>CONCEPCIÓN</v>
      </c>
    </row>
    <row r="9795" spans="1:4">
      <c r="A9795" s="7">
        <f ca="1">IFERROR(__xludf.DUMMYFUNCTION("""COMPUTED_VALUE"""),44811)</f>
        <v>44811</v>
      </c>
      <c r="B9795" s="6" t="str">
        <f ca="1">IFERROR(__xludf.DUMMYFUNCTION("""COMPUTED_VALUE"""),"-36.974998,-73.134521")</f>
        <v>-36.974998,-73.134521</v>
      </c>
      <c r="C9795" s="6" t="str">
        <f ca="1">IFERROR(__xludf.DUMMYFUNCTION("""COMPUTED_VALUE"""),"PUKEN 4480")</f>
        <v>PUKEN 4480</v>
      </c>
      <c r="D9795" s="6" t="str">
        <f ca="1">IFERROR(__xludf.DUMMYFUNCTION("""COMPUTED_VALUE"""),"CONCEPCIÓN")</f>
        <v>CONCEPCIÓN</v>
      </c>
    </row>
    <row r="9796" spans="1:4">
      <c r="A9796" s="7">
        <f ca="1">IFERROR(__xludf.DUMMYFUNCTION("""COMPUTED_VALUE"""),44812)</f>
        <v>44812</v>
      </c>
      <c r="B9796" s="6" t="str">
        <f ca="1">IFERROR(__xludf.DUMMYFUNCTION("""COMPUTED_VALUE"""),"-33.819543-70.737561")</f>
        <v>-33.819543-70.737561</v>
      </c>
      <c r="C9796" s="6" t="str">
        <f ca="1">IFERROR(__xludf.DUMMYFUNCTION("""COMPUTED_VALUE"""),"PUERTO RICO 1547")</f>
        <v>PUERTO RICO 1547</v>
      </c>
      <c r="D9796" s="6" t="str">
        <f ca="1">IFERROR(__xludf.DUMMYFUNCTION("""COMPUTED_VALUE"""),"PAINE")</f>
        <v>PAINE</v>
      </c>
    </row>
    <row r="9797" spans="1:4">
      <c r="A9797" s="7">
        <f ca="1">IFERROR(__xludf.DUMMYFUNCTION("""COMPUTED_VALUE"""),44812)</f>
        <v>44812</v>
      </c>
      <c r="B9797" s="6" t="str">
        <f ca="1">IFERROR(__xludf.DUMMYFUNCTION("""COMPUTED_VALUE"""),"-33.804724-70.728038")</f>
        <v>-33.804724-70.728038</v>
      </c>
      <c r="C9797" s="6" t="str">
        <f ca="1">IFERROR(__xludf.DUMMYFUNCTION("""COMPUTED_VALUE"""),"RIO CUTIPAY 125")</f>
        <v>RIO CUTIPAY 125</v>
      </c>
      <c r="D9797" s="6" t="str">
        <f ca="1">IFERROR(__xludf.DUMMYFUNCTION("""COMPUTED_VALUE"""),"PAINE")</f>
        <v>PAINE</v>
      </c>
    </row>
    <row r="9798" spans="1:4">
      <c r="A9798" s="7">
        <f ca="1">IFERROR(__xludf.DUMMYFUNCTION("""COMPUTED_VALUE"""),44812)</f>
        <v>44812</v>
      </c>
      <c r="B9798" s="6" t="str">
        <f ca="1">IFERROR(__xludf.DUMMYFUNCTION("""COMPUTED_VALUE"""),"-33.805545-70.728500")</f>
        <v>-33.805545-70.728500</v>
      </c>
      <c r="C9798" s="6" t="str">
        <f ca="1">IFERROR(__xludf.DUMMYFUNCTION("""COMPUTED_VALUE"""),"PJE RIO YELCHO 184")</f>
        <v>PJE RIO YELCHO 184</v>
      </c>
      <c r="D9798" s="6" t="str">
        <f ca="1">IFERROR(__xludf.DUMMYFUNCTION("""COMPUTED_VALUE"""),"PAINE")</f>
        <v>PAINE</v>
      </c>
    </row>
    <row r="9799" spans="1:4">
      <c r="A9799" s="7">
        <f ca="1">IFERROR(__xludf.DUMMYFUNCTION("""COMPUTED_VALUE"""),44812)</f>
        <v>44812</v>
      </c>
      <c r="B9799" s="6" t="str">
        <f ca="1">IFERROR(__xludf.DUMMYFUNCTION("""COMPUTED_VALUE"""),"-34.034350-71.094494")</f>
        <v>-34.034350-71.094494</v>
      </c>
      <c r="C9799" s="6" t="str">
        <f ca="1">IFERROR(__xludf.DUMMYFUNCTION("""COMPUTED_VALUE"""),"CHACABUCO 789")</f>
        <v>CHACABUCO 789</v>
      </c>
      <c r="D9799" s="6" t="str">
        <f ca="1">IFERROR(__xludf.DUMMYFUNCTION("""COMPUTED_VALUE"""),"ALHUÉ")</f>
        <v>ALHUÉ</v>
      </c>
    </row>
    <row r="9800" spans="1:4">
      <c r="A9800" s="7">
        <f ca="1">IFERROR(__xludf.DUMMYFUNCTION("""COMPUTED_VALUE"""),44812)</f>
        <v>44812</v>
      </c>
      <c r="B9800" s="6" t="str">
        <f ca="1">IFERROR(__xludf.DUMMYFUNCTION("""COMPUTED_VALUE"""),"-34.032275-71.255232")</f>
        <v>-34.032275-71.255232</v>
      </c>
      <c r="C9800" s="6" t="str">
        <f ca="1">IFERROR(__xludf.DUMMYFUNCTION("""COMPUTED_VALUE"""),"VEINTIUNO DE MAYO S/N")</f>
        <v>VEINTIUNO DE MAYO S/N</v>
      </c>
      <c r="D9800" s="6" t="str">
        <f ca="1">IFERROR(__xludf.DUMMYFUNCTION("""COMPUTED_VALUE"""),"ALHUÉ")</f>
        <v>ALHUÉ</v>
      </c>
    </row>
    <row r="9801" spans="1:4">
      <c r="A9801" s="7">
        <f ca="1">IFERROR(__xludf.DUMMYFUNCTION("""COMPUTED_VALUE"""),44812)</f>
        <v>44812</v>
      </c>
      <c r="B9801" s="6" t="str">
        <f ca="1">IFERROR(__xludf.DUMMYFUNCTION("""COMPUTED_VALUE"""),"-34.032623-71.093003")</f>
        <v>-34.032623-71.093003</v>
      </c>
      <c r="C9801" s="6" t="str">
        <f ca="1">IFERROR(__xludf.DUMMYFUNCTION("""COMPUTED_VALUE"""),"CHORRILLO S/N")</f>
        <v>CHORRILLO S/N</v>
      </c>
      <c r="D9801" s="6" t="str">
        <f ca="1">IFERROR(__xludf.DUMMYFUNCTION("""COMPUTED_VALUE"""),"ALHUÉ")</f>
        <v>ALHUÉ</v>
      </c>
    </row>
    <row r="9802" spans="1:4">
      <c r="A9802" s="7">
        <f ca="1">IFERROR(__xludf.DUMMYFUNCTION("""COMPUTED_VALUE"""),44812)</f>
        <v>44812</v>
      </c>
      <c r="B9802" s="6" t="str">
        <f ca="1">IFERROR(__xludf.DUMMYFUNCTION("""COMPUTED_VALUE"""),"-33.577714,-70.803468")</f>
        <v>-33.577714,-70.803468</v>
      </c>
      <c r="C9802" s="6" t="str">
        <f ca="1">IFERROR(__xludf.DUMMYFUNCTION("""COMPUTED_VALUE"""),"RIO ÑUBLE 1549 ")</f>
        <v xml:space="preserve">RIO ÑUBLE 1549 </v>
      </c>
      <c r="D9802" s="6" t="str">
        <f ca="1">IFERROR(__xludf.DUMMYFUNCTION("""COMPUTED_VALUE"""),"PADRE HURTADO")</f>
        <v>PADRE HURTADO</v>
      </c>
    </row>
    <row r="9803" spans="1:4">
      <c r="A9803" s="7">
        <f ca="1">IFERROR(__xludf.DUMMYFUNCTION("""COMPUTED_VALUE"""),44812)</f>
        <v>44812</v>
      </c>
      <c r="B9803" s="8" t="str">
        <f ca="1">IFERROR(__xludf.DUMMYFUNCTION("""COMPUTED_VALUE"""),"-33.735008,-70.776520")</f>
        <v>-33.735008,-70.776520</v>
      </c>
      <c r="C9803" s="6" t="str">
        <f ca="1">IFERROR(__xludf.DUMMYFUNCTION("""COMPUTED_VALUE"""),"EL PERCHERON 452")</f>
        <v>EL PERCHERON 452</v>
      </c>
      <c r="D9803" s="6" t="str">
        <f ca="1">IFERROR(__xludf.DUMMYFUNCTION("""COMPUTED_VALUE"""),"BUIN")</f>
        <v>BUIN</v>
      </c>
    </row>
    <row r="9804" spans="1:4">
      <c r="A9804" s="7">
        <f ca="1">IFERROR(__xludf.DUMMYFUNCTION("""COMPUTED_VALUE"""),44812)</f>
        <v>44812</v>
      </c>
      <c r="B9804" s="8" t="str">
        <f ca="1">IFERROR(__xludf.DUMMYFUNCTION("""COMPUTED_VALUE"""),"-33.7325850,-70.7659700")</f>
        <v>-33.7325850,-70.7659700</v>
      </c>
      <c r="C9804" s="6" t="str">
        <f ca="1">IFERROR(__xludf.DUMMYFUNCTION("""COMPUTED_VALUE"""),"SANTA ADELA 3 , LO SALINA ")</f>
        <v xml:space="preserve">SANTA ADELA 3 , LO SALINA </v>
      </c>
      <c r="D9804" s="6" t="str">
        <f ca="1">IFERROR(__xludf.DUMMYFUNCTION("""COMPUTED_VALUE"""),"BUIN")</f>
        <v>BUIN</v>
      </c>
    </row>
    <row r="9805" spans="1:4">
      <c r="A9805" s="7">
        <f ca="1">IFERROR(__xludf.DUMMYFUNCTION("""COMPUTED_VALUE"""),44812)</f>
        <v>44812</v>
      </c>
      <c r="B9805" s="8" t="str">
        <f ca="1">IFERROR(__xludf.DUMMYFUNCTION("""COMPUTED_VALUE"""),"-33.788710,-71.283357")</f>
        <v>-33.788710,-71.283357</v>
      </c>
      <c r="C9805" s="6" t="str">
        <f ca="1">IFERROR(__xludf.DUMMYFUNCTION("""COMPUTED_VALUE"""),"CAMINO VIEJO NUMERO 12 ")</f>
        <v xml:space="preserve">CAMINO VIEJO NUMERO 12 </v>
      </c>
      <c r="D9805" s="6" t="str">
        <f ca="1">IFERROR(__xludf.DUMMYFUNCTION("""COMPUTED_VALUE"""),"MELIPILLA")</f>
        <v>MELIPILLA</v>
      </c>
    </row>
    <row r="9806" spans="1:4">
      <c r="A9806" s="7">
        <f ca="1">IFERROR(__xludf.DUMMYFUNCTION("""COMPUTED_VALUE"""),44812)</f>
        <v>44812</v>
      </c>
      <c r="B9806" s="6" t="str">
        <f ca="1">IFERROR(__xludf.DUMMYFUNCTION("""COMPUTED_VALUE"""),"-36.837627,-73.145294")</f>
        <v>-36.837627,-73.145294</v>
      </c>
      <c r="C9806" s="6" t="str">
        <f ca="1">IFERROR(__xludf.DUMMYFUNCTION("""COMPUTED_VALUE""")," PA DOS 530 BOCA SUR")</f>
        <v xml:space="preserve"> PA DOS 530 BOCA SUR</v>
      </c>
      <c r="D9806" s="6" t="str">
        <f ca="1">IFERROR(__xludf.DUMMYFUNCTION("""COMPUTED_VALUE"""),"CONCEPCIÓN")</f>
        <v>CONCEPCIÓN</v>
      </c>
    </row>
    <row r="9807" spans="1:4">
      <c r="A9807" s="7">
        <f ca="1">IFERROR(__xludf.DUMMYFUNCTION("""COMPUTED_VALUE"""),44812)</f>
        <v>44812</v>
      </c>
      <c r="B9807" s="6" t="str">
        <f ca="1">IFERROR(__xludf.DUMMYFUNCTION("""COMPUTED_VALUE"""),"-36.949829,-73.024025")</f>
        <v>-36.949829,-73.024025</v>
      </c>
      <c r="C9807" s="6" t="str">
        <f ca="1">IFERROR(__xludf.DUMMYFUNCTION("""COMPUTED_VALUE"""),"PA LOS AVELLANOS 73")</f>
        <v>PA LOS AVELLANOS 73</v>
      </c>
      <c r="D9807" s="6" t="str">
        <f ca="1">IFERROR(__xludf.DUMMYFUNCTION("""COMPUTED_VALUE"""),"CONCEPCIÓN")</f>
        <v>CONCEPCIÓN</v>
      </c>
    </row>
    <row r="9808" spans="1:4">
      <c r="A9808" s="7">
        <f ca="1">IFERROR(__xludf.DUMMYFUNCTION("""COMPUTED_VALUE"""),44812)</f>
        <v>44812</v>
      </c>
      <c r="B9808" s="6" t="str">
        <f ca="1">IFERROR(__xludf.DUMMYFUNCTION("""COMPUTED_VALUE"""),"-36.836788,-72.998886")</f>
        <v>-36.836788,-72.998886</v>
      </c>
      <c r="C9808" s="6" t="str">
        <f ca="1">IFERROR(__xludf.DUMMYFUNCTION("""COMPUTED_VALUE"""),"TREINTA DE OCTUBRE N°880")</f>
        <v>TREINTA DE OCTUBRE N°880</v>
      </c>
      <c r="D9808" s="6" t="str">
        <f ca="1">IFERROR(__xludf.DUMMYFUNCTION("""COMPUTED_VALUE"""),"CONCEPCIÓN")</f>
        <v>CONCEPCIÓN</v>
      </c>
    </row>
    <row r="9809" spans="1:4">
      <c r="A9809" s="7">
        <f ca="1">IFERROR(__xludf.DUMMYFUNCTION("""COMPUTED_VALUE"""),44813)</f>
        <v>44813</v>
      </c>
      <c r="B9809" s="6" t="str">
        <f ca="1">IFERROR(__xludf.DUMMYFUNCTION("""COMPUTED_VALUE"""),"-34.029297-71.088186")</f>
        <v>-34.029297-71.088186</v>
      </c>
      <c r="C9809" s="6" t="str">
        <f ca="1">IFERROR(__xludf.DUMMYFUNCTION("""COMPUTED_VALUE"""),"EL ASIENTO S/N")</f>
        <v>EL ASIENTO S/N</v>
      </c>
      <c r="D9809" s="6" t="str">
        <f ca="1">IFERROR(__xludf.DUMMYFUNCTION("""COMPUTED_VALUE"""),"ALHUÉ")</f>
        <v>ALHUÉ</v>
      </c>
    </row>
    <row r="9810" spans="1:4">
      <c r="A9810" s="7">
        <f ca="1">IFERROR(__xludf.DUMMYFUNCTION("""COMPUTED_VALUE"""),44813)</f>
        <v>44813</v>
      </c>
      <c r="B9810" s="6" t="str">
        <f ca="1">IFERROR(__xludf.DUMMYFUNCTION("""COMPUTED_VALUE"""),"-33.32556-70.74787")</f>
        <v>-33.32556-70.74787</v>
      </c>
      <c r="C9810" s="6" t="str">
        <f ca="1">IFERROR(__xludf.DUMMYFUNCTION("""COMPUTED_VALUE"""),"SAN MATEO 2680")</f>
        <v>SAN MATEO 2680</v>
      </c>
      <c r="D9810" s="6" t="str">
        <f ca="1">IFERROR(__xludf.DUMMYFUNCTION("""COMPUTED_VALUE"""),"LAMPA")</f>
        <v>LAMPA</v>
      </c>
    </row>
    <row r="9811" spans="1:4">
      <c r="A9811" s="7">
        <f ca="1">IFERROR(__xludf.DUMMYFUNCTION("""COMPUTED_VALUE"""),44813)</f>
        <v>44813</v>
      </c>
      <c r="B9811" s="6" t="str">
        <f ca="1">IFERROR(__xludf.DUMMYFUNCTION("""COMPUTED_VALUE"""),"-33.751706,-70.861583")</f>
        <v>-33.751706,-70.861583</v>
      </c>
      <c r="C9811" s="6" t="str">
        <f ca="1">IFERROR(__xludf.DUMMYFUNCTION("""COMPUTED_VALUE"""),"LA ARAUCARIA  541")</f>
        <v>LA ARAUCARIA  541</v>
      </c>
      <c r="D9811" s="6" t="str">
        <f ca="1">IFERROR(__xludf.DUMMYFUNCTION("""COMPUTED_VALUE"""),"ISLA DE MAIPO")</f>
        <v>ISLA DE MAIPO</v>
      </c>
    </row>
    <row r="9812" spans="1:4">
      <c r="A9812" s="7">
        <f ca="1">IFERROR(__xludf.DUMMYFUNCTION("""COMPUTED_VALUE"""),44813)</f>
        <v>44813</v>
      </c>
      <c r="B9812" s="8" t="str">
        <f ca="1">IFERROR(__xludf.DUMMYFUNCTION("""COMPUTED_VALUE"""),"-33.729095,-70.780518")</f>
        <v>-33.729095,-70.780518</v>
      </c>
      <c r="C9812" s="6" t="str">
        <f ca="1">IFERROR(__xludf.DUMMYFUNCTION("""COMPUTED_VALUE"""),"CALLE LA PALOMA 167")</f>
        <v>CALLE LA PALOMA 167</v>
      </c>
      <c r="D9812" s="6" t="str">
        <f ca="1">IFERROR(__xludf.DUMMYFUNCTION("""COMPUTED_VALUE"""),"BUIN")</f>
        <v>BUIN</v>
      </c>
    </row>
    <row r="9813" spans="1:4">
      <c r="A9813" s="7">
        <f ca="1">IFERROR(__xludf.DUMMYFUNCTION("""COMPUTED_VALUE"""),44813)</f>
        <v>44813</v>
      </c>
      <c r="B9813" s="8" t="str">
        <f ca="1">IFERROR(__xludf.DUMMYFUNCTION("""COMPUTED_VALUE"""),"-33.651473,-70.850290")</f>
        <v>-33.651473,-70.850290</v>
      </c>
      <c r="C9813" s="6" t="str">
        <f ca="1">IFERROR(__xludf.DUMMYFUNCTION("""COMPUTED_VALUE"""),"CAMINO EL PILON PARCELA 4 ")</f>
        <v xml:space="preserve">CAMINO EL PILON PARCELA 4 </v>
      </c>
      <c r="D9813" s="6" t="str">
        <f ca="1">IFERROR(__xludf.DUMMYFUNCTION("""COMPUTED_VALUE"""),"CALERA DE TANGO")</f>
        <v>CALERA DE TANGO</v>
      </c>
    </row>
    <row r="9814" spans="1:4">
      <c r="A9814" s="7">
        <f ca="1">IFERROR(__xludf.DUMMYFUNCTION("""COMPUTED_VALUE"""),44813)</f>
        <v>44813</v>
      </c>
      <c r="B9814" s="8" t="str">
        <f ca="1">IFERROR(__xludf.DUMMYFUNCTION("""COMPUTED_VALUE"""),"-33.621741,-70.798948")</f>
        <v>-33.621741,-70.798948</v>
      </c>
      <c r="C9814" s="6" t="str">
        <f ca="1">IFERROR(__xludf.DUMMYFUNCTION("""COMPUTED_VALUE"""),"PASAJE LA CRUZ PARCELA 3 ")</f>
        <v xml:space="preserve">PASAJE LA CRUZ PARCELA 3 </v>
      </c>
      <c r="D9814" s="6" t="str">
        <f ca="1">IFERROR(__xludf.DUMMYFUNCTION("""COMPUTED_VALUE"""),"CALERA DE TANGO")</f>
        <v>CALERA DE TANGO</v>
      </c>
    </row>
    <row r="9815" spans="1:4">
      <c r="A9815" s="7">
        <f ca="1">IFERROR(__xludf.DUMMYFUNCTION("""COMPUTED_VALUE"""),44813)</f>
        <v>44813</v>
      </c>
      <c r="B9815" s="6" t="str">
        <f ca="1">IFERROR(__xludf.DUMMYFUNCTION("""COMPUTED_VALUE"""),"-33.6017014,-70.8790123")</f>
        <v>-33.6017014,-70.8790123</v>
      </c>
      <c r="C9815" s="6" t="str">
        <f ca="1">IFERROR(__xludf.DUMMYFUNCTION("""COMPUTED_VALUE"""),"DOCE SEPTIEMBRE 2401")</f>
        <v>DOCE SEPTIEMBRE 2401</v>
      </c>
      <c r="D9815" s="6" t="str">
        <f ca="1">IFERROR(__xludf.DUMMYFUNCTION("""COMPUTED_VALUE"""),"PEÑAFLOR")</f>
        <v>PEÑAFLOR</v>
      </c>
    </row>
    <row r="9816" spans="1:4">
      <c r="A9816" s="7">
        <f ca="1">IFERROR(__xludf.DUMMYFUNCTION("""COMPUTED_VALUE"""),44813)</f>
        <v>44813</v>
      </c>
      <c r="B9816" s="6" t="str">
        <f ca="1">IFERROR(__xludf.DUMMYFUNCTION("""COMPUTED_VALUE"""),"-33.732398,-70.758607")</f>
        <v>-33.732398,-70.758607</v>
      </c>
      <c r="C9816" s="6" t="str">
        <f ca="1">IFERROR(__xludf.DUMMYFUNCTION("""COMPUTED_VALUE"""),"SALINAS 856")</f>
        <v>SALINAS 856</v>
      </c>
      <c r="D9816" s="6" t="str">
        <f ca="1">IFERROR(__xludf.DUMMYFUNCTION("""COMPUTED_VALUE"""),"BUIN")</f>
        <v>BUIN</v>
      </c>
    </row>
    <row r="9817" spans="1:4">
      <c r="A9817" s="7">
        <f ca="1">IFERROR(__xludf.DUMMYFUNCTION("""COMPUTED_VALUE"""),44813)</f>
        <v>44813</v>
      </c>
      <c r="B9817" s="6" t="str">
        <f ca="1">IFERROR(__xludf.DUMMYFUNCTION("""COMPUTED_VALUE"""),"-33.8603550,-70.7477180")</f>
        <v>-33.8603550,-70.7477180</v>
      </c>
      <c r="C9817" s="6" t="str">
        <f ca="1">IFERROR(__xludf.DUMMYFUNCTION("""COMPUTED_VALUE"""),"LOS ALAMOS HUERTO 89-3")</f>
        <v>LOS ALAMOS HUERTO 89-3</v>
      </c>
      <c r="D9817" s="6" t="str">
        <f ca="1">IFERROR(__xludf.DUMMYFUNCTION("""COMPUTED_VALUE"""),"PAINE")</f>
        <v>PAINE</v>
      </c>
    </row>
    <row r="9818" spans="1:4">
      <c r="A9818" s="7">
        <f ca="1">IFERROR(__xludf.DUMMYFUNCTION("""COMPUTED_VALUE"""),44813)</f>
        <v>44813</v>
      </c>
      <c r="B9818" s="6" t="str">
        <f ca="1">IFERROR(__xludf.DUMMYFUNCTION("""COMPUTED_VALUE"""),"-33.628366,-70.540124")</f>
        <v>-33.628366,-70.540124</v>
      </c>
      <c r="C9818" s="6" t="str">
        <f ca="1">IFERROR(__xludf.DUMMYFUNCTION("""COMPUTED_VALUE"""),"LAGO DEL SUR 3547")</f>
        <v>LAGO DEL SUR 3547</v>
      </c>
      <c r="D9818" s="6" t="str">
        <f ca="1">IFERROR(__xludf.DUMMYFUNCTION("""COMPUTED_VALUE"""),"PAINE")</f>
        <v>PAINE</v>
      </c>
    </row>
    <row r="9819" spans="1:4">
      <c r="A9819" s="7">
        <f ca="1">IFERROR(__xludf.DUMMYFUNCTION("""COMPUTED_VALUE"""),44813)</f>
        <v>44813</v>
      </c>
      <c r="B9819" s="6" t="str">
        <f ca="1">IFERROR(__xludf.DUMMYFUNCTION("""COMPUTED_VALUE"""),"-33.3871758,-71.1152949")</f>
        <v>-33.3871758,-71.1152949</v>
      </c>
      <c r="C9819" s="6" t="str">
        <f ca="1">IFERROR(__xludf.DUMMYFUNCTION("""COMPUTED_VALUE"""),"LOS PARRONALES PC-6 SITIO A")</f>
        <v>LOS PARRONALES PC-6 SITIO A</v>
      </c>
      <c r="D9819" s="6" t="str">
        <f ca="1">IFERROR(__xludf.DUMMYFUNCTION("""COMPUTED_VALUE"""),"CURACAVI")</f>
        <v>CURACAVI</v>
      </c>
    </row>
    <row r="9820" spans="1:4">
      <c r="A9820" s="7">
        <f ca="1">IFERROR(__xludf.DUMMYFUNCTION("""COMPUTED_VALUE"""),44813)</f>
        <v>44813</v>
      </c>
      <c r="B9820" s="6" t="str">
        <f ca="1">IFERROR(__xludf.DUMMYFUNCTION("""COMPUTED_VALUE"""),"-33.3871758,-71.1152949")</f>
        <v>-33.3871758,-71.1152949</v>
      </c>
      <c r="C9820" s="6" t="str">
        <f ca="1">IFERROR(__xludf.DUMMYFUNCTION("""COMPUTED_VALUE"""),"LOS PARRONALES PC-6 SITIO A")</f>
        <v>LOS PARRONALES PC-6 SITIO A</v>
      </c>
      <c r="D9820" s="6" t="str">
        <f ca="1">IFERROR(__xludf.DUMMYFUNCTION("""COMPUTED_VALUE"""),"CURACAVI")</f>
        <v>CURACAVI</v>
      </c>
    </row>
    <row r="9821" spans="1:4">
      <c r="A9821" s="7">
        <f ca="1">IFERROR(__xludf.DUMMYFUNCTION("""COMPUTED_VALUE"""),44814)</f>
        <v>44814</v>
      </c>
      <c r="B9821" s="6" t="str">
        <f ca="1">IFERROR(__xludf.DUMMYFUNCTION("""COMPUTED_VALUE"""),"-33.183426-70.653818")</f>
        <v>-33.183426-70.653818</v>
      </c>
      <c r="C9821" s="6" t="str">
        <f ca="1">IFERROR(__xludf.DUMMYFUNCTION("""COMPUTED_VALUE"""),"SAN NICOLAS 2915")</f>
        <v>SAN NICOLAS 2915</v>
      </c>
      <c r="D9821" s="6" t="str">
        <f ca="1">IFERROR(__xludf.DUMMYFUNCTION("""COMPUTED_VALUE"""),"COLINA")</f>
        <v>COLINA</v>
      </c>
    </row>
    <row r="9822" spans="1:4">
      <c r="A9822" s="7">
        <f ca="1">IFERROR(__xludf.DUMMYFUNCTION("""COMPUTED_VALUE"""),44816)</f>
        <v>44816</v>
      </c>
      <c r="B9822" s="6" t="str">
        <f ca="1">IFERROR(__xludf.DUMMYFUNCTION("""COMPUTED_VALUE"""),"-33.095719-70.929635")</f>
        <v>-33.095719-70.929635</v>
      </c>
      <c r="C9822" s="6" t="str">
        <f ca="1">IFERROR(__xludf.DUMMYFUNCTION("""COMPUTED_VALUE"""),"ARTURO PRAT 0681")</f>
        <v>ARTURO PRAT 0681</v>
      </c>
      <c r="D9822" s="6" t="str">
        <f ca="1">IFERROR(__xludf.DUMMYFUNCTION("""COMPUTED_VALUE"""),"TIL TIL")</f>
        <v>TIL TIL</v>
      </c>
    </row>
    <row r="9823" spans="1:4">
      <c r="A9823" s="7">
        <f ca="1">IFERROR(__xludf.DUMMYFUNCTION("""COMPUTED_VALUE"""),44816)</f>
        <v>44816</v>
      </c>
      <c r="B9823" s="8" t="str">
        <f ca="1">IFERROR(__xludf.DUMMYFUNCTION("""COMPUTED_VALUE"""),"-33.704959,-70.565470")</f>
        <v>-33.704959,-70.565470</v>
      </c>
      <c r="C9823" s="6" t="str">
        <f ca="1">IFERROR(__xludf.DUMMYFUNCTION("""COMPUTED_VALUE"""),"EL PRINCIPAL 25 KM 8")</f>
        <v>EL PRINCIPAL 25 KM 8</v>
      </c>
      <c r="D9823" s="6" t="str">
        <f ca="1">IFERROR(__xludf.DUMMYFUNCTION("""COMPUTED_VALUE"""),"PIRQUE")</f>
        <v>PIRQUE</v>
      </c>
    </row>
    <row r="9824" spans="1:4">
      <c r="A9824" s="7">
        <f ca="1">IFERROR(__xludf.DUMMYFUNCTION("""COMPUTED_VALUE"""),44816)</f>
        <v>44816</v>
      </c>
      <c r="B9824" s="8" t="str">
        <f ca="1">IFERROR(__xludf.DUMMYFUNCTION("""COMPUTED_VALUE"""),"-33.454359,-70.584776")</f>
        <v>-33.454359,-70.584776</v>
      </c>
      <c r="C9824" s="6" t="str">
        <f ca="1">IFERROR(__xludf.DUMMYFUNCTION("""COMPUTED_VALUE"""),"EL PRINCIPAL 128 LOTE B")</f>
        <v>EL PRINCIPAL 128 LOTE B</v>
      </c>
      <c r="D9824" s="6" t="str">
        <f ca="1">IFERROR(__xludf.DUMMYFUNCTION("""COMPUTED_VALUE"""),"PIRQUE")</f>
        <v>PIRQUE</v>
      </c>
    </row>
    <row r="9825" spans="1:4">
      <c r="A9825" s="7">
        <f ca="1">IFERROR(__xludf.DUMMYFUNCTION("""COMPUTED_VALUE"""),44816)</f>
        <v>44816</v>
      </c>
      <c r="B9825" s="8" t="str">
        <f ca="1">IFERROR(__xludf.DUMMYFUNCTION("""COMPUTED_VALUE"""),"-33.283617,-70.728152")</f>
        <v>-33.283617,-70.728152</v>
      </c>
      <c r="C9825" s="6" t="str">
        <f ca="1">IFERROR(__xludf.DUMMYFUNCTION("""COMPUTED_VALUE"""),"LOS SAUCES PC 15")</f>
        <v>LOS SAUCES PC 15</v>
      </c>
      <c r="D9825" s="6" t="str">
        <f ca="1">IFERROR(__xludf.DUMMYFUNCTION("""COMPUTED_VALUE"""),"COLINA")</f>
        <v>COLINA</v>
      </c>
    </row>
    <row r="9826" spans="1:4">
      <c r="A9826" s="7">
        <f ca="1">IFERROR(__xludf.DUMMYFUNCTION("""COMPUTED_VALUE"""),44816)</f>
        <v>44816</v>
      </c>
      <c r="B9826" s="8" t="str">
        <f ca="1">IFERROR(__xludf.DUMMYFUNCTION("""COMPUTED_VALUE"""),"-33.283617,-70.728152")</f>
        <v>-33.283617,-70.728152</v>
      </c>
      <c r="C9826" s="6" t="str">
        <f ca="1">IFERROR(__xludf.DUMMYFUNCTION("""COMPUTED_VALUE"""),"LOS SAUCES PC 15")</f>
        <v>LOS SAUCES PC 15</v>
      </c>
      <c r="D9826" s="6" t="str">
        <f ca="1">IFERROR(__xludf.DUMMYFUNCTION("""COMPUTED_VALUE"""),"COLINA")</f>
        <v>COLINA</v>
      </c>
    </row>
    <row r="9827" spans="1:4">
      <c r="A9827" s="7">
        <f ca="1">IFERROR(__xludf.DUMMYFUNCTION("""COMPUTED_VALUE"""),44816)</f>
        <v>44816</v>
      </c>
      <c r="B9827" s="6" t="str">
        <f ca="1">IFERROR(__xludf.DUMMYFUNCTION("""COMPUTED_VALUE"""),"-33.752303,-70.887517")</f>
        <v>-33.752303,-70.887517</v>
      </c>
      <c r="C9827" s="6" t="str">
        <f ca="1">IFERROR(__xludf.DUMMYFUNCTION("""COMPUTED_VALUE"""),"LAS ARAUCARIAS 487")</f>
        <v>LAS ARAUCARIAS 487</v>
      </c>
      <c r="D9827" s="6" t="str">
        <f ca="1">IFERROR(__xludf.DUMMYFUNCTION("""COMPUTED_VALUE"""),"ISLA DE MAIPO")</f>
        <v>ISLA DE MAIPO</v>
      </c>
    </row>
    <row r="9828" spans="1:4">
      <c r="A9828" s="7">
        <f ca="1">IFERROR(__xludf.DUMMYFUNCTION("""COMPUTED_VALUE"""),44816)</f>
        <v>44816</v>
      </c>
      <c r="B9828" s="6" t="str">
        <f ca="1">IFERROR(__xludf.DUMMYFUNCTION("""COMPUTED_VALUE"""),"-33.744565,-70869560")</f>
        <v>-33.744565,-70869560</v>
      </c>
      <c r="C9828" s="6" t="str">
        <f ca="1">IFERROR(__xludf.DUMMYFUNCTION("""COMPUTED_VALUE"""),"PA ARQUITECTO ALBERTO MOREIRA 384")</f>
        <v>PA ARQUITECTO ALBERTO MOREIRA 384</v>
      </c>
      <c r="D9828" s="6" t="str">
        <f ca="1">IFERROR(__xludf.DUMMYFUNCTION("""COMPUTED_VALUE"""),"ISLA DE MAIPO")</f>
        <v>ISLA DE MAIPO</v>
      </c>
    </row>
    <row r="9829" spans="1:4">
      <c r="A9829" s="7">
        <f ca="1">IFERROR(__xludf.DUMMYFUNCTION("""COMPUTED_VALUE"""),44816)</f>
        <v>44816</v>
      </c>
      <c r="B9829" s="6" t="str">
        <f ca="1">IFERROR(__xludf.DUMMYFUNCTION("""COMPUTED_VALUE"""),"-33.785320,-70890446")</f>
        <v>-33.785320,-70890446</v>
      </c>
      <c r="C9829" s="6" t="str">
        <f ca="1">IFERROR(__xludf.DUMMYFUNCTION("""COMPUTED_VALUE"""),"SAN MARTIRIAN 487 ")</f>
        <v xml:space="preserve">SAN MARTIRIAN 487 </v>
      </c>
      <c r="D9829" s="6" t="str">
        <f ca="1">IFERROR(__xludf.DUMMYFUNCTION("""COMPUTED_VALUE"""),"ISLA DE MAIPO")</f>
        <v>ISLA DE MAIPO</v>
      </c>
    </row>
    <row r="9830" spans="1:4">
      <c r="A9830" s="7">
        <f ca="1">IFERROR(__xludf.DUMMYFUNCTION("""COMPUTED_VALUE"""),44816)</f>
        <v>44816</v>
      </c>
      <c r="B9830" s="8" t="str">
        <f ca="1">IFERROR(__xludf.DUMMYFUNCTION("""COMPUTED_VALUE"""),"-34.028566,-71.083512")</f>
        <v>-34.028566,-71.083512</v>
      </c>
      <c r="C9830" s="6" t="str">
        <f ca="1">IFERROR(__xludf.DUMMYFUNCTION("""COMPUTED_VALUE"""),"POBLACION IGNACIO CARRERA PINTO ")</f>
        <v xml:space="preserve">POBLACION IGNACIO CARRERA PINTO </v>
      </c>
      <c r="D9830" s="6" t="str">
        <f ca="1">IFERROR(__xludf.DUMMYFUNCTION("""COMPUTED_VALUE"""),"ALHUÉ")</f>
        <v>ALHUÉ</v>
      </c>
    </row>
    <row r="9831" spans="1:4">
      <c r="A9831" s="7">
        <f ca="1">IFERROR(__xludf.DUMMYFUNCTION("""COMPUTED_VALUE"""),44816)</f>
        <v>44816</v>
      </c>
      <c r="B9831" s="8" t="str">
        <f ca="1">IFERROR(__xludf.DUMMYFUNCTION("""COMPUTED_VALUE"""),"-34.023757,-71.112607")</f>
        <v>-34.023757,-71.112607</v>
      </c>
      <c r="C9831" s="6" t="str">
        <f ca="1">IFERROR(__xludf.DUMMYFUNCTION("""COMPUTED_VALUE"""),"HIJUELAS DE POLULO ")</f>
        <v xml:space="preserve">HIJUELAS DE POLULO </v>
      </c>
      <c r="D9831" s="6" t="str">
        <f ca="1">IFERROR(__xludf.DUMMYFUNCTION("""COMPUTED_VALUE"""),"ALHUÉ")</f>
        <v>ALHUÉ</v>
      </c>
    </row>
    <row r="9832" spans="1:4">
      <c r="A9832" s="7">
        <f ca="1">IFERROR(__xludf.DUMMYFUNCTION("""COMPUTED_VALUE"""),44816)</f>
        <v>44816</v>
      </c>
      <c r="B9832" s="6" t="str">
        <f ca="1">IFERROR(__xludf.DUMMYFUNCTION("""COMPUTED_VALUE"""),"-33.782497,-70.638512")</f>
        <v>-33.782497,-70.638512</v>
      </c>
      <c r="C9832" s="6" t="str">
        <f ca="1">IFERROR(__xludf.DUMMYFUNCTION("""COMPUTED_VALUE"""),"APARICION N°14")</f>
        <v>APARICION N°14</v>
      </c>
      <c r="D9832" s="6" t="str">
        <f ca="1">IFERROR(__xludf.DUMMYFUNCTION("""COMPUTED_VALUE"""),"PAINE")</f>
        <v>PAINE</v>
      </c>
    </row>
    <row r="9833" spans="1:4">
      <c r="A9833" s="7">
        <f ca="1">IFERROR(__xludf.DUMMYFUNCTION("""COMPUTED_VALUE"""),44817)</f>
        <v>44817</v>
      </c>
      <c r="B9833" s="8" t="str">
        <f ca="1">IFERROR(__xludf.DUMMYFUNCTION("""COMPUTED_VALUE"""),"33.800066, -70.7974265")</f>
        <v>33.800066, -70.7974265</v>
      </c>
      <c r="C9833" s="6" t="str">
        <f ca="1">IFERROR(__xludf.DUMMYFUNCTION("""COMPUTED_VALUE"""),"LAS VERTIENTES 501")</f>
        <v>LAS VERTIENTES 501</v>
      </c>
      <c r="D9833" s="6" t="str">
        <f ca="1">IFERROR(__xludf.DUMMYFUNCTION("""COMPUTED_VALUE"""),"BUIN")</f>
        <v>BUIN</v>
      </c>
    </row>
    <row r="9834" spans="1:4">
      <c r="A9834" s="7">
        <f ca="1">IFERROR(__xludf.DUMMYFUNCTION("""COMPUTED_VALUE"""),44817)</f>
        <v>44817</v>
      </c>
      <c r="B9834" s="8" t="str">
        <f ca="1">IFERROR(__xludf.DUMMYFUNCTION("""COMPUTED_VALUE"""),"-33.7375036, -70.6874603")</f>
        <v>-33.7375036, -70.6874603</v>
      </c>
      <c r="C9834" s="6" t="str">
        <f ca="1">IFERROR(__xludf.DUMMYFUNCTION("""COMPUTED_VALUE"""),"BIDERMILIA DE BOZAN 886")</f>
        <v>BIDERMILIA DE BOZAN 886</v>
      </c>
      <c r="D9834" s="6" t="str">
        <f ca="1">IFERROR(__xludf.DUMMYFUNCTION("""COMPUTED_VALUE"""),"BUIN")</f>
        <v>BUIN</v>
      </c>
    </row>
    <row r="9835" spans="1:4">
      <c r="A9835" s="7">
        <f ca="1">IFERROR(__xludf.DUMMYFUNCTION("""COMPUTED_VALUE"""),44817)</f>
        <v>44817</v>
      </c>
      <c r="B9835" s="6" t="str">
        <f ca="1">IFERROR(__xludf.DUMMYFUNCTION("""COMPUTED_VALUE"""),"-33.406566-71.138141")</f>
        <v>-33.406566-71.138141</v>
      </c>
      <c r="C9835" s="6" t="str">
        <f ca="1">IFERROR(__xludf.DUMMYFUNCTION("""COMPUTED_VALUE"""),"MORALES 152")</f>
        <v>MORALES 152</v>
      </c>
      <c r="D9835" s="6" t="str">
        <f ca="1">IFERROR(__xludf.DUMMYFUNCTION("""COMPUTED_VALUE"""),"CURACAVI")</f>
        <v>CURACAVI</v>
      </c>
    </row>
    <row r="9836" spans="1:4">
      <c r="A9836" s="7">
        <f ca="1">IFERROR(__xludf.DUMMYFUNCTION("""COMPUTED_VALUE"""),44817)</f>
        <v>44817</v>
      </c>
      <c r="B9836" s="6" t="str">
        <f ca="1">IFERROR(__xludf.DUMMYFUNCTION("""COMPUTED_VALUE"""),"-33.805474-70.683321")</f>
        <v>-33.805474-70.683321</v>
      </c>
      <c r="C9836" s="6" t="str">
        <f ca="1">IFERROR(__xludf.DUMMYFUNCTION("""COMPUTED_VALUE"""),"LOS TILOS 3138")</f>
        <v>LOS TILOS 3138</v>
      </c>
      <c r="D9836" s="6" t="str">
        <f ca="1">IFERROR(__xludf.DUMMYFUNCTION("""COMPUTED_VALUE"""),"PEÑAFLOR")</f>
        <v>PEÑAFLOR</v>
      </c>
    </row>
    <row r="9837" spans="1:4">
      <c r="A9837" s="7">
        <f ca="1">IFERROR(__xludf.DUMMYFUNCTION("""COMPUTED_VALUE"""),44817)</f>
        <v>44817</v>
      </c>
      <c r="B9837" s="8" t="str">
        <f ca="1">IFERROR(__xludf.DUMMYFUNCTION("""COMPUTED_VALUE"""),"-33.649274,-70.606978")</f>
        <v>-33.649274,-70.606978</v>
      </c>
      <c r="C9837" s="6" t="str">
        <f ca="1">IFERROR(__xludf.DUMMYFUNCTION("""COMPUTED_VALUE"""),"VIRGINIA SUBERCASEUX PARC 4")</f>
        <v>VIRGINIA SUBERCASEUX PARC 4</v>
      </c>
      <c r="D9837" s="6" t="str">
        <f ca="1">IFERROR(__xludf.DUMMYFUNCTION("""COMPUTED_VALUE"""),"PIRQUE")</f>
        <v>PIRQUE</v>
      </c>
    </row>
    <row r="9838" spans="1:4">
      <c r="A9838" s="7">
        <f ca="1">IFERROR(__xludf.DUMMYFUNCTION("""COMPUTED_VALUE"""),44817)</f>
        <v>44817</v>
      </c>
      <c r="B9838" s="8" t="str">
        <f ca="1">IFERROR(__xludf.DUMMYFUNCTION("""COMPUTED_VALUE"""),"-33.649274,-70.606978")</f>
        <v>-33.649274,-70.606978</v>
      </c>
      <c r="C9838" s="6" t="str">
        <f ca="1">IFERROR(__xludf.DUMMYFUNCTION("""COMPUTED_VALUE"""),"VIRGINIA SUBERCASEUX PARC 4")</f>
        <v>VIRGINIA SUBERCASEUX PARC 4</v>
      </c>
      <c r="D9838" s="6" t="str">
        <f ca="1">IFERROR(__xludf.DUMMYFUNCTION("""COMPUTED_VALUE"""),"PIRQUE")</f>
        <v>PIRQUE</v>
      </c>
    </row>
    <row r="9839" spans="1:4">
      <c r="A9839" s="7">
        <f ca="1">IFERROR(__xludf.DUMMYFUNCTION("""COMPUTED_VALUE"""),44817)</f>
        <v>44817</v>
      </c>
      <c r="B9839" s="6" t="str">
        <f ca="1">IFERROR(__xludf.DUMMYFUNCTION("""COMPUTED_VALUE"""),"-33.667835,-71.110743")</f>
        <v>-33.667835,-71.110743</v>
      </c>
      <c r="C9839" s="6" t="str">
        <f ca="1">IFERROR(__xludf.DUMMYFUNCTION("""COMPUTED_VALUE"""),"CHINIHUE LAS ROSAS S/N ")</f>
        <v xml:space="preserve">CHINIHUE LAS ROSAS S/N </v>
      </c>
      <c r="D9839" s="6" t="str">
        <f ca="1">IFERROR(__xludf.DUMMYFUNCTION("""COMPUTED_VALUE"""),"MELIPILLA")</f>
        <v>MELIPILLA</v>
      </c>
    </row>
    <row r="9840" spans="1:4">
      <c r="A9840" s="7">
        <f ca="1">IFERROR(__xludf.DUMMYFUNCTION("""COMPUTED_VALUE"""),44817)</f>
        <v>44817</v>
      </c>
      <c r="B9840" s="6" t="str">
        <f ca="1">IFERROR(__xludf.DUMMYFUNCTION("""COMPUTED_VALUE"""),"-33.753698,-70.890023")</f>
        <v>-33.753698,-70.890023</v>
      </c>
      <c r="C9840" s="6" t="str">
        <f ca="1">IFERROR(__xludf.DUMMYFUNCTION("""COMPUTED_VALUE"""),"FARELLONES 245")</f>
        <v>FARELLONES 245</v>
      </c>
      <c r="D9840" s="6" t="str">
        <f ca="1">IFERROR(__xludf.DUMMYFUNCTION("""COMPUTED_VALUE"""),"ISLA DE MAIPO")</f>
        <v>ISLA DE MAIPO</v>
      </c>
    </row>
    <row r="9841" spans="1:4">
      <c r="A9841" s="7">
        <f ca="1">IFERROR(__xludf.DUMMYFUNCTION("""COMPUTED_VALUE"""),44817)</f>
        <v>44817</v>
      </c>
      <c r="B9841" s="6" t="str">
        <f ca="1">IFERROR(__xludf.DUMMYFUNCTION("""COMPUTED_VALUE"""),"-33.691530,-70.701145")</f>
        <v>-33.691530,-70.701145</v>
      </c>
      <c r="C9841" s="6" t="str">
        <f ca="1">IFERROR(__xludf.DUMMYFUNCTION("""COMPUTED_VALUE"""),"EL RECURSO 40A")</f>
        <v>EL RECURSO 40A</v>
      </c>
      <c r="D9841" s="6" t="str">
        <f ca="1">IFERROR(__xludf.DUMMYFUNCTION("""COMPUTED_VALUE"""),"BUIN")</f>
        <v>BUIN</v>
      </c>
    </row>
    <row r="9842" spans="1:4">
      <c r="A9842" s="7">
        <f ca="1">IFERROR(__xludf.DUMMYFUNCTION("""COMPUTED_VALUE"""),44817)</f>
        <v>44817</v>
      </c>
      <c r="B9842" s="6" t="str">
        <f ca="1">IFERROR(__xludf.DUMMYFUNCTION("""COMPUTED_VALUE"""),"-34.037814,-71.093323")</f>
        <v>-34.037814,-71.093323</v>
      </c>
      <c r="C9842" s="6" t="str">
        <f ca="1">IFERROR(__xludf.DUMMYFUNCTION("""COMPUTED_VALUE"""),"CA. CHORRILLOS S/N CV14")</f>
        <v>CA. CHORRILLOS S/N CV14</v>
      </c>
      <c r="D9842" s="6" t="str">
        <f ca="1">IFERROR(__xludf.DUMMYFUNCTION("""COMPUTED_VALUE"""),"ALHUÉ")</f>
        <v>ALHUÉ</v>
      </c>
    </row>
    <row r="9843" spans="1:4">
      <c r="A9843" s="7">
        <f ca="1">IFERROR(__xludf.DUMMYFUNCTION("""COMPUTED_VALUE"""),44817)</f>
        <v>44817</v>
      </c>
      <c r="B9843" s="6" t="str">
        <f ca="1">IFERROR(__xludf.DUMMYFUNCTION("""COMPUTED_VALUE"""),"-34.031261,-71.079215")</f>
        <v>-34.031261,-71.079215</v>
      </c>
      <c r="C9843" s="6" t="str">
        <f ca="1">IFERROR(__xludf.DUMMYFUNCTION("""COMPUTED_VALUE"""),"IGNACIO CARRERA PINTO S/N ST2")</f>
        <v>IGNACIO CARRERA PINTO S/N ST2</v>
      </c>
      <c r="D9843" s="6" t="str">
        <f ca="1">IFERROR(__xludf.DUMMYFUNCTION("""COMPUTED_VALUE"""),"ALHUÉ")</f>
        <v>ALHUÉ</v>
      </c>
    </row>
    <row r="9844" spans="1:4">
      <c r="A9844" s="7">
        <f ca="1">IFERROR(__xludf.DUMMYFUNCTION("""COMPUTED_VALUE"""),44817)</f>
        <v>44817</v>
      </c>
      <c r="B9844" s="6" t="str">
        <f ca="1">IFERROR(__xludf.DUMMYFUNCTION("""COMPUTED_VALUE"""),"-34.057509,-70.996499")</f>
        <v>-34.057509,-70.996499</v>
      </c>
      <c r="C9844" s="6" t="str">
        <f ca="1">IFERROR(__xludf.DUMMYFUNCTION("""COMPUTED_VALUE"""),"TACAMI S/N")</f>
        <v>TACAMI S/N</v>
      </c>
      <c r="D9844" s="6" t="str">
        <f ca="1">IFERROR(__xludf.DUMMYFUNCTION("""COMPUTED_VALUE"""),"ALHUÉ")</f>
        <v>ALHUÉ</v>
      </c>
    </row>
    <row r="9845" spans="1:4">
      <c r="A9845" s="7">
        <f ca="1">IFERROR(__xludf.DUMMYFUNCTION("""COMPUTED_VALUE"""),44817)</f>
        <v>44817</v>
      </c>
      <c r="B9845" s="6" t="str">
        <f ca="1">IFERROR(__xludf.DUMMYFUNCTION("""COMPUTED_VALUE"""),"-34.034368,-71.001424")</f>
        <v>-34.034368,-71.001424</v>
      </c>
      <c r="C9845" s="6" t="str">
        <f ca="1">IFERROR(__xludf.DUMMYFUNCTION("""COMPUTED_VALUE"""),"TACAMI S/N EL ASIENTO ")</f>
        <v xml:space="preserve">TACAMI S/N EL ASIENTO </v>
      </c>
      <c r="D9845" s="6" t="str">
        <f ca="1">IFERROR(__xludf.DUMMYFUNCTION("""COMPUTED_VALUE"""),"ALHUÉ")</f>
        <v>ALHUÉ</v>
      </c>
    </row>
    <row r="9846" spans="1:4">
      <c r="A9846" s="7">
        <f ca="1">IFERROR(__xludf.DUMMYFUNCTION("""COMPUTED_VALUE"""),44817)</f>
        <v>44817</v>
      </c>
      <c r="B9846" s="6" t="str">
        <f ca="1">IFERROR(__xludf.DUMMYFUNCTION("""COMPUTED_VALUE"""),"-33.812827,-70.729655")</f>
        <v>-33.812827,-70.729655</v>
      </c>
      <c r="C9846" s="6" t="str">
        <f ca="1">IFERROR(__xludf.DUMMYFUNCTION("""COMPUTED_VALUE"""),"KUYEN 913")</f>
        <v>KUYEN 913</v>
      </c>
      <c r="D9846" s="6" t="str">
        <f ca="1">IFERROR(__xludf.DUMMYFUNCTION("""COMPUTED_VALUE"""),"PAINE")</f>
        <v>PAINE</v>
      </c>
    </row>
    <row r="9847" spans="1:4">
      <c r="A9847" s="7">
        <f ca="1">IFERROR(__xludf.DUMMYFUNCTION("""COMPUTED_VALUE"""),44817)</f>
        <v>44817</v>
      </c>
      <c r="B9847" s="6" t="str">
        <f ca="1">IFERROR(__xludf.DUMMYFUNCTION("""COMPUTED_VALUE"""),"-33.6602000,-71.216835")</f>
        <v>-33.6602000,-71.216835</v>
      </c>
      <c r="C9847" s="6" t="str">
        <f ca="1">IFERROR(__xludf.DUMMYFUNCTION("""COMPUTED_VALUE"""),"SANTA JULIA 244")</f>
        <v>SANTA JULIA 244</v>
      </c>
      <c r="D9847" s="6" t="str">
        <f ca="1">IFERROR(__xludf.DUMMYFUNCTION("""COMPUTED_VALUE"""),"MELIPILLA")</f>
        <v>MELIPILLA</v>
      </c>
    </row>
    <row r="9848" spans="1:4">
      <c r="A9848" s="7">
        <f ca="1">IFERROR(__xludf.DUMMYFUNCTION("""COMPUTED_VALUE"""),44818)</f>
        <v>44818</v>
      </c>
      <c r="B9848" s="8" t="str">
        <f ca="1">IFERROR(__xludf.DUMMYFUNCTION("""COMPUTED_VALUE"""),"-33.807650,-70.852619")</f>
        <v>-33.807650,-70.852619</v>
      </c>
      <c r="C9848" s="6" t="str">
        <f ca="1">IFERROR(__xludf.DUMMYFUNCTION("""COMPUTED_VALUE"""),"LAS LILAS 399")</f>
        <v>LAS LILAS 399</v>
      </c>
      <c r="D9848" s="6" t="str">
        <f ca="1">IFERROR(__xludf.DUMMYFUNCTION("""COMPUTED_VALUE"""),"BUIN")</f>
        <v>BUIN</v>
      </c>
    </row>
    <row r="9849" spans="1:4">
      <c r="A9849" s="7">
        <f ca="1">IFERROR(__xludf.DUMMYFUNCTION("""COMPUTED_VALUE"""),44818)</f>
        <v>44818</v>
      </c>
      <c r="B9849" s="8" t="str">
        <f ca="1">IFERROR(__xludf.DUMMYFUNCTION("""COMPUTED_VALUE"""),"-33.807650,-70.852619")</f>
        <v>-33.807650,-70.852619</v>
      </c>
      <c r="C9849" s="6" t="str">
        <f ca="1">IFERROR(__xludf.DUMMYFUNCTION("""COMPUTED_VALUE"""),"LAS LILAS 399")</f>
        <v>LAS LILAS 399</v>
      </c>
      <c r="D9849" s="6" t="str">
        <f ca="1">IFERROR(__xludf.DUMMYFUNCTION("""COMPUTED_VALUE"""),"BUIN")</f>
        <v>BUIN</v>
      </c>
    </row>
    <row r="9850" spans="1:4">
      <c r="A9850" s="7">
        <f ca="1">IFERROR(__xludf.DUMMYFUNCTION("""COMPUTED_VALUE"""),44818)</f>
        <v>44818</v>
      </c>
      <c r="B9850" s="8" t="str">
        <f ca="1">IFERROR(__xludf.DUMMYFUNCTION("""COMPUTED_VALUE"""),"-33.720410,-70.7405696")</f>
        <v>-33.720410,-70.7405696</v>
      </c>
      <c r="C9850" s="6" t="str">
        <f ca="1">IFERROR(__xludf.DUMMYFUNCTION("""COMPUTED_VALUE"""),"LA OBRA 10")</f>
        <v>LA OBRA 10</v>
      </c>
      <c r="D9850" s="6" t="str">
        <f ca="1">IFERROR(__xludf.DUMMYFUNCTION("""COMPUTED_VALUE"""),"BUIN")</f>
        <v>BUIN</v>
      </c>
    </row>
    <row r="9851" spans="1:4">
      <c r="A9851" s="7">
        <f ca="1">IFERROR(__xludf.DUMMYFUNCTION("""COMPUTED_VALUE"""),44818)</f>
        <v>44818</v>
      </c>
      <c r="B9851" s="8" t="str">
        <f ca="1">IFERROR(__xludf.DUMMYFUNCTION("""COMPUTED_VALUE"""),"-33.720410,-70.7405696")</f>
        <v>-33.720410,-70.7405696</v>
      </c>
      <c r="C9851" s="6" t="str">
        <f ca="1">IFERROR(__xludf.DUMMYFUNCTION("""COMPUTED_VALUE"""),"LA OBRA 10")</f>
        <v>LA OBRA 10</v>
      </c>
      <c r="D9851" s="6" t="str">
        <f ca="1">IFERROR(__xludf.DUMMYFUNCTION("""COMPUTED_VALUE"""),"BUIN")</f>
        <v>BUIN</v>
      </c>
    </row>
    <row r="9852" spans="1:4">
      <c r="A9852" s="7">
        <f ca="1">IFERROR(__xludf.DUMMYFUNCTION("""COMPUTED_VALUE"""),44818)</f>
        <v>44818</v>
      </c>
      <c r="B9852" s="6" t="str">
        <f ca="1">IFERROR(__xludf.DUMMYFUNCTION("""COMPUTED_VALUE"""),"-33.841486,-70.801004")</f>
        <v>-33.841486,-70.801004</v>
      </c>
      <c r="C9852" s="6" t="str">
        <f ca="1">IFERROR(__xludf.DUMMYFUNCTION("""COMPUTED_VALUE"""),"VINCULO 335")</f>
        <v>VINCULO 335</v>
      </c>
      <c r="D9852" s="6" t="str">
        <f ca="1">IFERROR(__xludf.DUMMYFUNCTION("""COMPUTED_VALUE"""),"PAINE")</f>
        <v>PAINE</v>
      </c>
    </row>
    <row r="9853" spans="1:4">
      <c r="A9853" s="7">
        <f ca="1">IFERROR(__xludf.DUMMYFUNCTION("""COMPUTED_VALUE"""),44818)</f>
        <v>44818</v>
      </c>
      <c r="B9853" s="6" t="str">
        <f ca="1">IFERROR(__xludf.DUMMYFUNCTION("""COMPUTED_VALUE"""),"-33.609333,-71.220301")</f>
        <v>-33.609333,-71.220301</v>
      </c>
      <c r="C9853" s="6" t="str">
        <f ca="1">IFERROR(__xludf.DUMMYFUNCTION("""COMPUTED_VALUE"""),"PASAJE LAS POLMAS 167")</f>
        <v>PASAJE LAS POLMAS 167</v>
      </c>
      <c r="D9853" s="6" t="str">
        <f ca="1">IFERROR(__xludf.DUMMYFUNCTION("""COMPUTED_VALUE"""),"MELIPILLA")</f>
        <v>MELIPILLA</v>
      </c>
    </row>
    <row r="9854" spans="1:4">
      <c r="A9854" s="7">
        <f ca="1">IFERROR(__xludf.DUMMYFUNCTION("""COMPUTED_VALUE"""),44818)</f>
        <v>44818</v>
      </c>
      <c r="B9854" s="8" t="str">
        <f ca="1">IFERROR(__xludf.DUMMYFUNCTION("""COMPUTED_VALUE"""),"-33.7229520,-70.7725330")</f>
        <v>-33.7229520,-70.7725330</v>
      </c>
      <c r="C9854" s="6" t="str">
        <f ca="1">IFERROR(__xludf.DUMMYFUNCTION("""COMPUTED_VALUE"""),"CALLE JOSE BARRIENTOS 200 MAIPO")</f>
        <v>CALLE JOSE BARRIENTOS 200 MAIPO</v>
      </c>
      <c r="D9854" s="6" t="str">
        <f ca="1">IFERROR(__xludf.DUMMYFUNCTION("""COMPUTED_VALUE"""),"BUIN")</f>
        <v>BUIN</v>
      </c>
    </row>
    <row r="9855" spans="1:4">
      <c r="A9855" s="7">
        <f ca="1">IFERROR(__xludf.DUMMYFUNCTION("""COMPUTED_VALUE"""),44818)</f>
        <v>44818</v>
      </c>
      <c r="B9855" s="8" t="str">
        <f ca="1">IFERROR(__xludf.DUMMYFUNCTION("""COMPUTED_VALUE"""),"-33.678802,-71.237859")</f>
        <v>-33.678802,-71.237859</v>
      </c>
      <c r="C9855" s="6" t="str">
        <f ca="1">IFERROR(__xludf.DUMMYFUNCTION("""COMPUTED_VALUE"""),"BICENTENARIO PASAJE 12")</f>
        <v>BICENTENARIO PASAJE 12</v>
      </c>
      <c r="D9855" s="6" t="str">
        <f ca="1">IFERROR(__xludf.DUMMYFUNCTION("""COMPUTED_VALUE"""),"MELIPILLA")</f>
        <v>MELIPILLA</v>
      </c>
    </row>
    <row r="9856" spans="1:4">
      <c r="A9856" s="7">
        <f ca="1">IFERROR(__xludf.DUMMYFUNCTION("""COMPUTED_VALUE"""),44818)</f>
        <v>44818</v>
      </c>
      <c r="B9856" s="6" t="str">
        <f ca="1">IFERROR(__xludf.DUMMYFUNCTION("""COMPUTED_VALUE"""),"-34.032734,-71.098820")</f>
        <v>-34.032734,-71.098820</v>
      </c>
      <c r="C9856" s="6" t="str">
        <f ca="1">IFERROR(__xludf.DUMMYFUNCTION("""COMPUTED_VALUE"""),"CINCO DE ABRIL S/N ")</f>
        <v xml:space="preserve">CINCO DE ABRIL S/N </v>
      </c>
      <c r="D9856" s="6" t="str">
        <f ca="1">IFERROR(__xludf.DUMMYFUNCTION("""COMPUTED_VALUE"""),"ALHUÉ")</f>
        <v>ALHUÉ</v>
      </c>
    </row>
    <row r="9857" spans="1:4">
      <c r="A9857" s="7">
        <f ca="1">IFERROR(__xludf.DUMMYFUNCTION("""COMPUTED_VALUE"""),44818)</f>
        <v>44818</v>
      </c>
      <c r="B9857" s="6" t="str">
        <f ca="1">IFERROR(__xludf.DUMMYFUNCTION("""COMPUTED_VALUE"""),"-33.570963,-71.210986")</f>
        <v>-33.570963,-71.210986</v>
      </c>
      <c r="C9857" s="6" t="str">
        <f ca="1">IFERROR(__xludf.DUMMYFUNCTION("""COMPUTED_VALUE"""),"C. RANCAGUA 82")</f>
        <v>C. RANCAGUA 82</v>
      </c>
      <c r="D9857" s="6" t="str">
        <f ca="1">IFERROR(__xludf.DUMMYFUNCTION("""COMPUTED_VALUE"""),"MELIPILLA")</f>
        <v>MELIPILLA</v>
      </c>
    </row>
    <row r="9858" spans="1:4">
      <c r="A9858" s="7">
        <f ca="1">IFERROR(__xludf.DUMMYFUNCTION("""COMPUTED_VALUE"""),44818)</f>
        <v>44818</v>
      </c>
      <c r="B9858" s="6" t="str">
        <f ca="1">IFERROR(__xludf.DUMMYFUNCTION("""COMPUTED_VALUE"""),"-33.797351,-70.724319")</f>
        <v>-33.797351,-70.724319</v>
      </c>
      <c r="C9858" s="6" t="str">
        <f ca="1">IFERROR(__xludf.DUMMYFUNCTION("""COMPUTED_VALUE"""),"LA TRILLA 1167")</f>
        <v>LA TRILLA 1167</v>
      </c>
      <c r="D9858" s="6" t="str">
        <f ca="1">IFERROR(__xludf.DUMMYFUNCTION("""COMPUTED_VALUE"""),"PAINE")</f>
        <v>PAINE</v>
      </c>
    </row>
    <row r="9859" spans="1:4">
      <c r="A9859" s="7">
        <f ca="1">IFERROR(__xludf.DUMMYFUNCTION("""COMPUTED_VALUE"""),44818)</f>
        <v>44818</v>
      </c>
      <c r="B9859" s="6" t="str">
        <f ca="1">IFERROR(__xludf.DUMMYFUNCTION("""COMPUTED_VALUE"""),"-33.733067,-70.682365")</f>
        <v>-33.733067,-70.682365</v>
      </c>
      <c r="C9859" s="6" t="str">
        <f ca="1">IFERROR(__xludf.DUMMYFUNCTION("""COMPUTED_VALUE"""),"MARTA RAMOS 303")</f>
        <v>MARTA RAMOS 303</v>
      </c>
      <c r="D9859" s="6" t="str">
        <f ca="1">IFERROR(__xludf.DUMMYFUNCTION("""COMPUTED_VALUE"""),"BUIN")</f>
        <v>BUIN</v>
      </c>
    </row>
    <row r="9860" spans="1:4">
      <c r="A9860" s="7">
        <f ca="1">IFERROR(__xludf.DUMMYFUNCTION("""COMPUTED_VALUE"""),44818)</f>
        <v>44818</v>
      </c>
      <c r="B9860" s="6" t="str">
        <f ca="1">IFERROR(__xludf.DUMMYFUNCTION("""COMPUTED_VALUE"""),"-33.700639,-70.563200")</f>
        <v>-33.700639,-70.563200</v>
      </c>
      <c r="C9860" s="6" t="str">
        <f ca="1">IFERROR(__xludf.DUMMYFUNCTION("""COMPUTED_VALUE"""),"EL PRINCIPAL 12")</f>
        <v>EL PRINCIPAL 12</v>
      </c>
      <c r="D9860" s="6" t="str">
        <f ca="1">IFERROR(__xludf.DUMMYFUNCTION("""COMPUTED_VALUE"""),"PIRQUE")</f>
        <v>PIRQUE</v>
      </c>
    </row>
    <row r="9861" spans="1:4">
      <c r="A9861" s="7">
        <f ca="1">IFERROR(__xludf.DUMMYFUNCTION("""COMPUTED_VALUE"""),44818)</f>
        <v>44818</v>
      </c>
      <c r="B9861" s="6" t="str">
        <f ca="1">IFERROR(__xludf.DUMMYFUNCTION("""COMPUTED_VALUE"""),"-33.823499,-70.944932")</f>
        <v>-33.823499,-70.944932</v>
      </c>
      <c r="C9861" s="6" t="str">
        <f ca="1">IFERROR(__xludf.DUMMYFUNCTION("""COMPUTED_VALUE"""),"RANGUE A 12 P1")</f>
        <v>RANGUE A 12 P1</v>
      </c>
      <c r="D9861" s="6" t="str">
        <f ca="1">IFERROR(__xludf.DUMMYFUNCTION("""COMPUTED_VALUE"""),"PAINE")</f>
        <v>PAINE</v>
      </c>
    </row>
    <row r="9862" spans="1:4">
      <c r="A9862" s="7">
        <f ca="1">IFERROR(__xludf.DUMMYFUNCTION("""COMPUTED_VALUE"""),44818)</f>
        <v>44818</v>
      </c>
      <c r="B9862" s="6" t="str">
        <f ca="1">IFERROR(__xludf.DUMMYFUNCTION("""COMPUTED_VALUE"""),"-33.823499,-70.944932")</f>
        <v>-33.823499,-70.944932</v>
      </c>
      <c r="C9862" s="6" t="str">
        <f ca="1">IFERROR(__xludf.DUMMYFUNCTION("""COMPUTED_VALUE"""),"RANGUE A 12 P1")</f>
        <v>RANGUE A 12 P1</v>
      </c>
      <c r="D9862" s="6" t="str">
        <f ca="1">IFERROR(__xludf.DUMMYFUNCTION("""COMPUTED_VALUE"""),"PAINE")</f>
        <v>PAINE</v>
      </c>
    </row>
    <row r="9863" spans="1:4">
      <c r="A9863" s="7">
        <f ca="1">IFERROR(__xludf.DUMMYFUNCTION("""COMPUTED_VALUE"""),44819)</f>
        <v>44819</v>
      </c>
      <c r="B9863" s="8" t="str">
        <f ca="1">IFERROR(__xludf.DUMMYFUNCTION("""COMPUTED_VALUE"""),"-33.7296373, -70.7037401")</f>
        <v>-33.7296373, -70.7037401</v>
      </c>
      <c r="C9863" s="6" t="str">
        <f ca="1">IFERROR(__xludf.DUMMYFUNCTION("""COMPUTED_VALUE"""),"MANUEL PENALILLO 96")</f>
        <v>MANUEL PENALILLO 96</v>
      </c>
      <c r="D9863" s="6" t="str">
        <f ca="1">IFERROR(__xludf.DUMMYFUNCTION("""COMPUTED_VALUE"""),"BUIN")</f>
        <v>BUIN</v>
      </c>
    </row>
    <row r="9864" spans="1:4">
      <c r="A9864" s="7">
        <f ca="1">IFERROR(__xludf.DUMMYFUNCTION("""COMPUTED_VALUE"""),44819)</f>
        <v>44819</v>
      </c>
      <c r="B9864" s="6" t="str">
        <f ca="1">IFERROR(__xludf.DUMMYFUNCTION("""COMPUTED_VALUE"""),"-33.399708-71.222689")</f>
        <v>-33.399708-71.222689</v>
      </c>
      <c r="C9864" s="6" t="str">
        <f ca="1">IFERROR(__xludf.DUMMYFUNCTION("""COMPUTED_VALUE"""),"CORREA 1030")</f>
        <v>CORREA 1030</v>
      </c>
      <c r="D9864" s="6" t="str">
        <f ca="1">IFERROR(__xludf.DUMMYFUNCTION("""COMPUTED_VALUE"""),"MELIPILLA")</f>
        <v>MELIPILLA</v>
      </c>
    </row>
    <row r="9865" spans="1:4">
      <c r="A9865" s="7">
        <f ca="1">IFERROR(__xludf.DUMMYFUNCTION("""COMPUTED_VALUE"""),44819)</f>
        <v>44819</v>
      </c>
      <c r="B9865" s="6" t="str">
        <f ca="1">IFERROR(__xludf.DUMMYFUNCTION("""COMPUTED_VALUE"""),"-33.68047-71.23372")</f>
        <v>-33.68047-71.23372</v>
      </c>
      <c r="C9865" s="6" t="str">
        <f ca="1">IFERROR(__xludf.DUMMYFUNCTION("""COMPUTED_VALUE"""),"LASTERIA ALVAREZ 2250")</f>
        <v>LASTERIA ALVAREZ 2250</v>
      </c>
      <c r="D9865" s="6" t="str">
        <f ca="1">IFERROR(__xludf.DUMMYFUNCTION("""COMPUTED_VALUE"""),"MELIPILLA")</f>
        <v>MELIPILLA</v>
      </c>
    </row>
    <row r="9866" spans="1:4">
      <c r="A9866" s="7">
        <f ca="1">IFERROR(__xludf.DUMMYFUNCTION("""COMPUTED_VALUE"""),44819)</f>
        <v>44819</v>
      </c>
      <c r="B9866" s="8" t="str">
        <f ca="1">IFERROR(__xludf.DUMMYFUNCTION("""COMPUTED_VALUE"""),"-33.797735,-70.847157")</f>
        <v>-33.797735,-70.847157</v>
      </c>
      <c r="C9866" s="6" t="str">
        <f ca="1">IFERROR(__xludf.DUMMYFUNCTION("""COMPUTED_VALUE"""),"HUERTOS FAMILIARES 4820")</f>
        <v>HUERTOS FAMILIARES 4820</v>
      </c>
      <c r="D9866" s="6" t="str">
        <f ca="1">IFERROR(__xludf.DUMMYFUNCTION("""COMPUTED_VALUE"""),"BUIN")</f>
        <v>BUIN</v>
      </c>
    </row>
    <row r="9867" spans="1:4">
      <c r="A9867" s="7">
        <f ca="1">IFERROR(__xludf.DUMMYFUNCTION("""COMPUTED_VALUE"""),44819)</f>
        <v>44819</v>
      </c>
      <c r="B9867" s="8" t="str">
        <f ca="1">IFERROR(__xludf.DUMMYFUNCTION("""COMPUTED_VALUE"""),"-33.808445,-70.858616")</f>
        <v>-33.808445,-70.858616</v>
      </c>
      <c r="C9867" s="6" t="str">
        <f ca="1">IFERROR(__xludf.DUMMYFUNCTION("""COMPUTED_VALUE"""),"AV CHILE 744")</f>
        <v>AV CHILE 744</v>
      </c>
      <c r="D9867" s="6" t="str">
        <f ca="1">IFERROR(__xludf.DUMMYFUNCTION("""COMPUTED_VALUE"""),"BUIN")</f>
        <v>BUIN</v>
      </c>
    </row>
    <row r="9868" spans="1:4">
      <c r="A9868" s="7">
        <f ca="1">IFERROR(__xludf.DUMMYFUNCTION("""COMPUTED_VALUE"""),44819)</f>
        <v>44819</v>
      </c>
      <c r="B9868" s="8" t="str">
        <f ca="1">IFERROR(__xludf.DUMMYFUNCTION("""COMPUTED_VALUE"""),"-33.757779,-70.7340380")</f>
        <v>-33.757779,-70.7340380</v>
      </c>
      <c r="C9868" s="6" t="str">
        <f ca="1">IFERROR(__xludf.DUMMYFUNCTION("""COMPUTED_VALUE"""),"FCO. JAVIER KRUGGER 202")</f>
        <v>FCO. JAVIER KRUGGER 202</v>
      </c>
      <c r="D9868" s="6" t="str">
        <f ca="1">IFERROR(__xludf.DUMMYFUNCTION("""COMPUTED_VALUE"""),"BUIN")</f>
        <v>BUIN</v>
      </c>
    </row>
    <row r="9869" spans="1:4">
      <c r="A9869" s="7">
        <f ca="1">IFERROR(__xludf.DUMMYFUNCTION("""COMPUTED_VALUE"""),44819)</f>
        <v>44819</v>
      </c>
      <c r="B9869" s="8" t="str">
        <f ca="1">IFERROR(__xludf.DUMMYFUNCTION("""COMPUTED_VALUE"""),"-33.737081,-70.7615350")</f>
        <v>-33.737081,-70.7615350</v>
      </c>
      <c r="C9869" s="6" t="str">
        <f ca="1">IFERROR(__xludf.DUMMYFUNCTION("""COMPUTED_VALUE"""),"RAFAEL ZAMORANO 67")</f>
        <v>RAFAEL ZAMORANO 67</v>
      </c>
      <c r="D9869" s="6" t="str">
        <f ca="1">IFERROR(__xludf.DUMMYFUNCTION("""COMPUTED_VALUE"""),"BUIN")</f>
        <v>BUIN</v>
      </c>
    </row>
    <row r="9870" spans="1:4">
      <c r="A9870" s="7">
        <f ca="1">IFERROR(__xludf.DUMMYFUNCTION("""COMPUTED_VALUE"""),44819)</f>
        <v>44819</v>
      </c>
      <c r="B9870" s="8" t="str">
        <f ca="1">IFERROR(__xludf.DUMMYFUNCTION("""COMPUTED_VALUE"""),"-33.7296190,-70.7807810")</f>
        <v>-33.7296190,-70.7807810</v>
      </c>
      <c r="C9870" s="6" t="str">
        <f ca="1">IFERROR(__xludf.DUMMYFUNCTION("""COMPUTED_VALUE"""),"LA PALOMA 167")</f>
        <v>LA PALOMA 167</v>
      </c>
      <c r="D9870" s="6" t="str">
        <f ca="1">IFERROR(__xludf.DUMMYFUNCTION("""COMPUTED_VALUE"""),"BUIN")</f>
        <v>BUIN</v>
      </c>
    </row>
    <row r="9871" spans="1:4">
      <c r="A9871" s="7">
        <f ca="1">IFERROR(__xludf.DUMMYFUNCTION("""COMPUTED_VALUE"""),44819)</f>
        <v>44819</v>
      </c>
      <c r="B9871" s="8" t="str">
        <f ca="1">IFERROR(__xludf.DUMMYFUNCTION("""COMPUTED_VALUE"""),"-33.622427,-70.798791")</f>
        <v>-33.622427,-70.798791</v>
      </c>
      <c r="C9871" s="6" t="str">
        <f ca="1">IFERROR(__xludf.DUMMYFUNCTION("""COMPUTED_VALUE"""),"LONQUEN NORTE ")</f>
        <v xml:space="preserve">LONQUEN NORTE </v>
      </c>
      <c r="D9871" s="6" t="str">
        <f ca="1">IFERROR(__xludf.DUMMYFUNCTION("""COMPUTED_VALUE"""),"CALERA DE TANGO")</f>
        <v>CALERA DE TANGO</v>
      </c>
    </row>
    <row r="9872" spans="1:4">
      <c r="A9872" s="7">
        <f ca="1">IFERROR(__xludf.DUMMYFUNCTION("""COMPUTED_VALUE"""),44819)</f>
        <v>44819</v>
      </c>
      <c r="B9872" s="8" t="str">
        <f ca="1">IFERROR(__xludf.DUMMYFUNCTION("""COMPUTED_VALUE"""),"-33.671940,-70.939564")</f>
        <v>-33.671940,-70.939564</v>
      </c>
      <c r="C9872" s="6" t="str">
        <f ca="1">IFERROR(__xludf.DUMMYFUNCTION("""COMPUTED_VALUE"""),"CHAQUIRA 2209 ")</f>
        <v xml:space="preserve">CHAQUIRA 2209 </v>
      </c>
      <c r="D9872" s="6" t="str">
        <f ca="1">IFERROR(__xludf.DUMMYFUNCTION("""COMPUTED_VALUE"""),"TALAGANTE")</f>
        <v>TALAGANTE</v>
      </c>
    </row>
    <row r="9873" spans="1:4">
      <c r="A9873" s="7">
        <f ca="1">IFERROR(__xludf.DUMMYFUNCTION("""COMPUTED_VALUE"""),44819)</f>
        <v>44819</v>
      </c>
      <c r="B9873" s="6" t="str">
        <f ca="1">IFERROR(__xludf.DUMMYFUNCTION("""COMPUTED_VALUE"""),"-33.511231,-71.3211621")</f>
        <v>-33.511231,-71.3211621</v>
      </c>
      <c r="C9873" s="6" t="str">
        <f ca="1">IFERROR(__xludf.DUMMYFUNCTION("""COMPUTED_VALUE"""),"LECAROS 367")</f>
        <v>LECAROS 367</v>
      </c>
      <c r="D9873" s="6" t="str">
        <f ca="1">IFERROR(__xludf.DUMMYFUNCTION("""COMPUTED_VALUE"""),"MELIPILLA")</f>
        <v>MELIPILLA</v>
      </c>
    </row>
    <row r="9874" spans="1:4">
      <c r="A9874" s="7">
        <f ca="1">IFERROR(__xludf.DUMMYFUNCTION("""COMPUTED_VALUE"""),44819)</f>
        <v>44819</v>
      </c>
      <c r="B9874" s="6" t="str">
        <f ca="1">IFERROR(__xludf.DUMMYFUNCTION("""COMPUTED_VALUE"""),"-33.560676,-70.848787")</f>
        <v>-33.560676,-70.848787</v>
      </c>
      <c r="C9874" s="6" t="str">
        <f ca="1">IFERROR(__xludf.DUMMYFUNCTION("""COMPUTED_VALUE"""),"JOSE LUIS CARO 2792")</f>
        <v>JOSE LUIS CARO 2792</v>
      </c>
      <c r="D9874" s="6" t="str">
        <f ca="1">IFERROR(__xludf.DUMMYFUNCTION("""COMPUTED_VALUE"""),"PADRE HURTADO")</f>
        <v>PADRE HURTADO</v>
      </c>
    </row>
    <row r="9875" spans="1:4">
      <c r="A9875" s="7">
        <f ca="1">IFERROR(__xludf.DUMMYFUNCTION("""COMPUTED_VALUE"""),44824)</f>
        <v>44824</v>
      </c>
      <c r="B9875" s="6" t="str">
        <f ca="1">IFERROR(__xludf.DUMMYFUNCTION("""COMPUTED_VALUE"""),"-33.64753-71.43285")</f>
        <v>-33.64753-71.43285</v>
      </c>
      <c r="C9875" s="6" t="str">
        <f ca="1">IFERROR(__xludf.DUMMYFUNCTION("""COMPUTED_VALUE"""),"PARQUE NACIONAL PATAGONIA 952")</f>
        <v>PARQUE NACIONAL PATAGONIA 952</v>
      </c>
      <c r="D9875" s="6" t="str">
        <f ca="1">IFERROR(__xludf.DUMMYFUNCTION("""COMPUTED_VALUE"""),"MELIPILLA")</f>
        <v>MELIPILLA</v>
      </c>
    </row>
    <row r="9876" spans="1:4">
      <c r="A9876" s="7">
        <f ca="1">IFERROR(__xludf.DUMMYFUNCTION("""COMPUTED_VALUE"""),44824)</f>
        <v>44824</v>
      </c>
      <c r="B9876" s="6" t="str">
        <f ca="1">IFERROR(__xludf.DUMMYFUNCTION("""COMPUTED_VALUE"""),"-33.68678-71.23479")</f>
        <v>-33.68678-71.23479</v>
      </c>
      <c r="C9876" s="6" t="str">
        <f ca="1">IFERROR(__xludf.DUMMYFUNCTION("""COMPUTED_VALUE"""),"VOLCAN CALBUCO 906")</f>
        <v>VOLCAN CALBUCO 906</v>
      </c>
      <c r="D9876" s="6" t="str">
        <f ca="1">IFERROR(__xludf.DUMMYFUNCTION("""COMPUTED_VALUE"""),"MELIPILLA")</f>
        <v>MELIPILLA</v>
      </c>
    </row>
    <row r="9877" spans="1:4">
      <c r="A9877" s="7">
        <f ca="1">IFERROR(__xludf.DUMMYFUNCTION("""COMPUTED_VALUE"""),44824)</f>
        <v>44824</v>
      </c>
      <c r="B9877" s="6" t="str">
        <f ca="1">IFERROR(__xludf.DUMMYFUNCTION("""COMPUTED_VALUE"""),"-33.67696-71.20820")</f>
        <v>-33.67696-71.20820</v>
      </c>
      <c r="C9877" s="6" t="str">
        <f ca="1">IFERROR(__xludf.DUMMYFUNCTION("""COMPUTED_VALUE"""),"GABRIEL SILVA 224")</f>
        <v>GABRIEL SILVA 224</v>
      </c>
      <c r="D9877" s="6" t="str">
        <f ca="1">IFERROR(__xludf.DUMMYFUNCTION("""COMPUTED_VALUE"""),"MELIPILLA")</f>
        <v>MELIPILLA</v>
      </c>
    </row>
    <row r="9878" spans="1:4">
      <c r="A9878" s="7">
        <f ca="1">IFERROR(__xludf.DUMMYFUNCTION("""COMPUTED_VALUE"""),44824)</f>
        <v>44824</v>
      </c>
      <c r="B9878" s="6" t="str">
        <f ca="1">IFERROR(__xludf.DUMMYFUNCTION("""COMPUTED_VALUE"""),"-33.404417-71.128797")</f>
        <v>-33.404417-71.128797</v>
      </c>
      <c r="C9878" s="6" t="str">
        <f ca="1">IFERROR(__xludf.DUMMYFUNCTION("""COMPUTED_VALUE"""),"PRESBITERO MORAGA 66")</f>
        <v>PRESBITERO MORAGA 66</v>
      </c>
      <c r="D9878" s="6" t="str">
        <f ca="1">IFERROR(__xludf.DUMMYFUNCTION("""COMPUTED_VALUE"""),"CURACAVI")</f>
        <v>CURACAVI</v>
      </c>
    </row>
    <row r="9879" spans="1:4">
      <c r="A9879" s="7">
        <f ca="1">IFERROR(__xludf.DUMMYFUNCTION("""COMPUTED_VALUE"""),44824)</f>
        <v>44824</v>
      </c>
      <c r="B9879" s="6" t="str">
        <f ca="1">IFERROR(__xludf.DUMMYFUNCTION("""COMPUTED_VALUE"""),"-33.404417-71.128797")</f>
        <v>-33.404417-71.128797</v>
      </c>
      <c r="C9879" s="6" t="str">
        <f ca="1">IFERROR(__xludf.DUMMYFUNCTION("""COMPUTED_VALUE"""),"PRESBITERO MORAGA 66")</f>
        <v>PRESBITERO MORAGA 66</v>
      </c>
      <c r="D9879" s="6" t="str">
        <f ca="1">IFERROR(__xludf.DUMMYFUNCTION("""COMPUTED_VALUE"""),"CURACAVI")</f>
        <v>CURACAVI</v>
      </c>
    </row>
    <row r="9880" spans="1:4">
      <c r="A9880" s="7">
        <f ca="1">IFERROR(__xludf.DUMMYFUNCTION("""COMPUTED_VALUE"""),44824)</f>
        <v>44824</v>
      </c>
      <c r="B9880" s="6" t="str">
        <f ca="1">IFERROR(__xludf.DUMMYFUNCTION("""COMPUTED_VALUE"""),"-33.571017-70.806336")</f>
        <v>-33.571017-70.806336</v>
      </c>
      <c r="C9880" s="6" t="str">
        <f ca="1">IFERROR(__xludf.DUMMYFUNCTION("""COMPUTED_VALUE"""),"PRIMERA TRANSVERSAL 1815")</f>
        <v>PRIMERA TRANSVERSAL 1815</v>
      </c>
      <c r="D9880" s="6" t="str">
        <f ca="1">IFERROR(__xludf.DUMMYFUNCTION("""COMPUTED_VALUE"""),"PADRE HURTADO")</f>
        <v>PADRE HURTADO</v>
      </c>
    </row>
    <row r="9881" spans="1:4">
      <c r="A9881" s="7">
        <f ca="1">IFERROR(__xludf.DUMMYFUNCTION("""COMPUTED_VALUE"""),44824)</f>
        <v>44824</v>
      </c>
      <c r="B9881" s="8" t="str">
        <f ca="1">IFERROR(__xludf.DUMMYFUNCTION("""COMPUTED_VALUE"""),"-33.757088,-70.753911")</f>
        <v>-33.757088,-70.753911</v>
      </c>
      <c r="C9881" s="6" t="str">
        <f ca="1">IFERROR(__xludf.DUMMYFUNCTION("""COMPUTED_VALUE"""),"MARIO VARGAS 347")</f>
        <v>MARIO VARGAS 347</v>
      </c>
      <c r="D9881" s="6" t="str">
        <f ca="1">IFERROR(__xludf.DUMMYFUNCTION("""COMPUTED_VALUE"""),"BUIN")</f>
        <v>BUIN</v>
      </c>
    </row>
    <row r="9882" spans="1:4">
      <c r="A9882" s="7">
        <f ca="1">IFERROR(__xludf.DUMMYFUNCTION("""COMPUTED_VALUE"""),44824)</f>
        <v>44824</v>
      </c>
      <c r="B9882" s="6" t="str">
        <f ca="1">IFERROR(__xludf.DUMMYFUNCTION("""COMPUTED_VALUE"""),"-33.750103,-71.190988")</f>
        <v>-33.750103,-71.190988</v>
      </c>
      <c r="C9882" s="6" t="str">
        <f ca="1">IFERROR(__xludf.DUMMYFUNCTION("""COMPUTED_VALUE"""),"PABELLON 34 ")</f>
        <v xml:space="preserve">PABELLON 34 </v>
      </c>
      <c r="D9882" s="6" t="str">
        <f ca="1">IFERROR(__xludf.DUMMYFUNCTION("""COMPUTED_VALUE"""),"MELIPILLA")</f>
        <v>MELIPILLA</v>
      </c>
    </row>
    <row r="9883" spans="1:4">
      <c r="A9883" s="7">
        <f ca="1">IFERROR(__xludf.DUMMYFUNCTION("""COMPUTED_VALUE"""),44824)</f>
        <v>44824</v>
      </c>
      <c r="B9883" s="8" t="str">
        <f ca="1">IFERROR(__xludf.DUMMYFUNCTION("""COMPUTED_VALUE"""),"-33.735167,-70.776320")</f>
        <v>-33.735167,-70.776320</v>
      </c>
      <c r="C9883" s="6" t="str">
        <f ca="1">IFERROR(__xludf.DUMMYFUNCTION("""COMPUTED_VALUE"""),"EL PERCHERON 474")</f>
        <v>EL PERCHERON 474</v>
      </c>
      <c r="D9883" s="6" t="str">
        <f ca="1">IFERROR(__xludf.DUMMYFUNCTION("""COMPUTED_VALUE"""),"BUIN")</f>
        <v>BUIN</v>
      </c>
    </row>
    <row r="9884" spans="1:4">
      <c r="A9884" s="7">
        <f ca="1">IFERROR(__xludf.DUMMYFUNCTION("""COMPUTED_VALUE"""),44824)</f>
        <v>44824</v>
      </c>
      <c r="B9884" s="8" t="str">
        <f ca="1">IFERROR(__xludf.DUMMYFUNCTION("""COMPUTED_VALUE"""),"-33.803231,-70.728828")</f>
        <v>-33.803231,-70.728828</v>
      </c>
      <c r="C9884" s="6" t="str">
        <f ca="1">IFERROR(__xludf.DUMMYFUNCTION("""COMPUTED_VALUE"""),"RIO YELCHO N 33")</f>
        <v>RIO YELCHO N 33</v>
      </c>
      <c r="D9884" s="6" t="str">
        <f ca="1">IFERROR(__xludf.DUMMYFUNCTION("""COMPUTED_VALUE"""),"PAINE")</f>
        <v>PAINE</v>
      </c>
    </row>
    <row r="9885" spans="1:4">
      <c r="A9885" s="7">
        <f ca="1">IFERROR(__xludf.DUMMYFUNCTION("""COMPUTED_VALUE"""),44825)</f>
        <v>44825</v>
      </c>
      <c r="B9885" s="8" t="str">
        <f ca="1">IFERROR(__xludf.DUMMYFUNCTION("""COMPUTED_VALUE"""),"-33.7941634, -70.7469842")</f>
        <v>-33.7941634, -70.7469842</v>
      </c>
      <c r="C9885" s="6" t="str">
        <f ca="1">IFERROR(__xludf.DUMMYFUNCTION("""COMPUTED_VALUE"""),"BERNARDO OHIGGINS 947")</f>
        <v>BERNARDO OHIGGINS 947</v>
      </c>
      <c r="D9885" s="6" t="str">
        <f ca="1">IFERROR(__xludf.DUMMYFUNCTION("""COMPUTED_VALUE"""),"PAINE")</f>
        <v>PAINE</v>
      </c>
    </row>
    <row r="9886" spans="1:4">
      <c r="A9886" s="7">
        <f ca="1">IFERROR(__xludf.DUMMYFUNCTION("""COMPUTED_VALUE"""),44825)</f>
        <v>44825</v>
      </c>
      <c r="B9886" s="8" t="str">
        <f ca="1">IFERROR(__xludf.DUMMYFUNCTION("""COMPUTED_VALUE"""),"-33.8133722, -70.7361055")</f>
        <v>-33.8133722, -70.7361055</v>
      </c>
      <c r="C9886" s="6" t="str">
        <f ca="1">IFERROR(__xludf.DUMMYFUNCTION("""COMPUTED_VALUE"""),"IGNACIO CARRERA PINTO 620")</f>
        <v>IGNACIO CARRERA PINTO 620</v>
      </c>
      <c r="D9886" s="6" t="str">
        <f ca="1">IFERROR(__xludf.DUMMYFUNCTION("""COMPUTED_VALUE"""),"PAINE")</f>
        <v>PAINE</v>
      </c>
    </row>
    <row r="9887" spans="1:4">
      <c r="A9887" s="7">
        <f ca="1">IFERROR(__xludf.DUMMYFUNCTION("""COMPUTED_VALUE"""),44825)</f>
        <v>44825</v>
      </c>
      <c r="B9887" s="6" t="str">
        <f ca="1">IFERROR(__xludf.DUMMYFUNCTION("""COMPUTED_VALUE"""),"-33.577327-70.808159")</f>
        <v>-33.577327-70.808159</v>
      </c>
      <c r="C9887" s="6" t="str">
        <f ca="1">IFERROR(__xludf.DUMMYFUNCTION("""COMPUTED_VALUE"""),"EL PROGRESO S/N")</f>
        <v>EL PROGRESO S/N</v>
      </c>
      <c r="D9887" s="6" t="str">
        <f ca="1">IFERROR(__xludf.DUMMYFUNCTION("""COMPUTED_VALUE"""),"PADRE HURTADO")</f>
        <v>PADRE HURTADO</v>
      </c>
    </row>
    <row r="9888" spans="1:4">
      <c r="A9888" s="7">
        <f ca="1">IFERROR(__xludf.DUMMYFUNCTION("""COMPUTED_VALUE"""),44825)</f>
        <v>44825</v>
      </c>
      <c r="B9888" s="6" t="str">
        <f ca="1">IFERROR(__xludf.DUMMYFUNCTION("""COMPUTED_VALUE"""),"-33.718867-71.1688023")</f>
        <v>-33.718867-71.1688023</v>
      </c>
      <c r="C9888" s="6" t="str">
        <f ca="1">IFERROR(__xludf.DUMMYFUNCTION("""COMPUTED_VALUE"""),"CHILCO 2648")</f>
        <v>CHILCO 2648</v>
      </c>
      <c r="D9888" s="6" t="str">
        <f ca="1">IFERROR(__xludf.DUMMYFUNCTION("""COMPUTED_VALUE"""),"MELIPILLA")</f>
        <v>MELIPILLA</v>
      </c>
    </row>
    <row r="9889" spans="1:4">
      <c r="A9889" s="7">
        <f ca="1">IFERROR(__xludf.DUMMYFUNCTION("""COMPUTED_VALUE"""),44825)</f>
        <v>44825</v>
      </c>
      <c r="B9889" s="6" t="str">
        <f ca="1">IFERROR(__xludf.DUMMYFUNCTION("""COMPUTED_VALUE"""),"-33.786986-71.317569")</f>
        <v>-33.786986-71.317569</v>
      </c>
      <c r="C9889" s="6" t="str">
        <f ca="1">IFERROR(__xludf.DUMMYFUNCTION("""COMPUTED_VALUE"""),"LOMAS DE SAN ANTONIO 1976")</f>
        <v>LOMAS DE SAN ANTONIO 1976</v>
      </c>
      <c r="D9889" s="6" t="str">
        <f ca="1">IFERROR(__xludf.DUMMYFUNCTION("""COMPUTED_VALUE"""),"MELIPILLA")</f>
        <v>MELIPILLA</v>
      </c>
    </row>
    <row r="9890" spans="1:4">
      <c r="A9890" s="7">
        <f ca="1">IFERROR(__xludf.DUMMYFUNCTION("""COMPUTED_VALUE"""),44825)</f>
        <v>44825</v>
      </c>
      <c r="B9890" s="6" t="str">
        <f ca="1">IFERROR(__xludf.DUMMYFUNCTION("""COMPUTED_VALUE"""),"-33.786986-71.317569")</f>
        <v>-33.786986-71.317569</v>
      </c>
      <c r="C9890" s="6" t="str">
        <f ca="1">IFERROR(__xludf.DUMMYFUNCTION("""COMPUTED_VALUE"""),"LOMAS DE SAN ANTONIO 1976")</f>
        <v>LOMAS DE SAN ANTONIO 1976</v>
      </c>
      <c r="D9890" s="6" t="str">
        <f ca="1">IFERROR(__xludf.DUMMYFUNCTION("""COMPUTED_VALUE"""),"MELIPILLA")</f>
        <v>MELIPILLA</v>
      </c>
    </row>
    <row r="9891" spans="1:4">
      <c r="A9891" s="7">
        <f ca="1">IFERROR(__xludf.DUMMYFUNCTION("""COMPUTED_VALUE"""),44825)</f>
        <v>44825</v>
      </c>
      <c r="B9891" s="8" t="str">
        <f ca="1">IFERROR(__xludf.DUMMYFUNCTION("""COMPUTED_VALUE"""),"-33.399808,-71.129856")</f>
        <v>-33.399808,-71.129856</v>
      </c>
      <c r="C9891" s="6" t="str">
        <f ca="1">IFERROR(__xludf.DUMMYFUNCTION("""COMPUTED_VALUE"""),"GERMAN RIESCO 381")</f>
        <v>GERMAN RIESCO 381</v>
      </c>
      <c r="D9891" s="6" t="str">
        <f ca="1">IFERROR(__xludf.DUMMYFUNCTION("""COMPUTED_VALUE"""),"CURACAVI")</f>
        <v>CURACAVI</v>
      </c>
    </row>
    <row r="9892" spans="1:4">
      <c r="A9892" s="7">
        <f ca="1">IFERROR(__xludf.DUMMYFUNCTION("""COMPUTED_VALUE"""),44825)</f>
        <v>44825</v>
      </c>
      <c r="B9892" s="8" t="str">
        <f ca="1">IFERROR(__xludf.DUMMYFUNCTION("""COMPUTED_VALUE"""),"-33.399808,-71.129856")</f>
        <v>-33.399808,-71.129856</v>
      </c>
      <c r="C9892" s="6" t="str">
        <f ca="1">IFERROR(__xludf.DUMMYFUNCTION("""COMPUTED_VALUE"""),"GERMAN RIESCO 381")</f>
        <v>GERMAN RIESCO 381</v>
      </c>
      <c r="D9892" s="6" t="str">
        <f ca="1">IFERROR(__xludf.DUMMYFUNCTION("""COMPUTED_VALUE"""),"CURACAVI")</f>
        <v>CURACAVI</v>
      </c>
    </row>
    <row r="9893" spans="1:4">
      <c r="A9893" s="7">
        <f ca="1">IFERROR(__xludf.DUMMYFUNCTION("""COMPUTED_VALUE"""),44825)</f>
        <v>44825</v>
      </c>
      <c r="B9893" s="8" t="str">
        <f ca="1">IFERROR(__xludf.DUMMYFUNCTION("""COMPUTED_VALUE"""),"-33.415660,-71.003976")</f>
        <v>-33.415660,-71.003976</v>
      </c>
      <c r="C9893" s="6" t="str">
        <f ca="1">IFERROR(__xludf.DUMMYFUNCTION("""COMPUTED_VALUE"""),"LA AURORA KM 395")</f>
        <v>LA AURORA KM 395</v>
      </c>
      <c r="D9893" s="6" t="str">
        <f ca="1">IFERROR(__xludf.DUMMYFUNCTION("""COMPUTED_VALUE"""),"CURACAVI")</f>
        <v>CURACAVI</v>
      </c>
    </row>
    <row r="9894" spans="1:4">
      <c r="A9894" s="7">
        <f ca="1">IFERROR(__xludf.DUMMYFUNCTION("""COMPUTED_VALUE"""),44825)</f>
        <v>44825</v>
      </c>
      <c r="B9894" s="8" t="str">
        <f ca="1">IFERROR(__xludf.DUMMYFUNCTION("""COMPUTED_VALUE"""),"-33.673940,-71.234846")</f>
        <v>-33.673940,-71.234846</v>
      </c>
      <c r="C9894" s="6" t="str">
        <f ca="1">IFERROR(__xludf.DUMMYFUNCTION("""COMPUTED_VALUE"""),"PJE AYENCUL 2519")</f>
        <v>PJE AYENCUL 2519</v>
      </c>
      <c r="D9894" s="6" t="str">
        <f ca="1">IFERROR(__xludf.DUMMYFUNCTION("""COMPUTED_VALUE"""),"MELIPILLA")</f>
        <v>MELIPILLA</v>
      </c>
    </row>
    <row r="9895" spans="1:4">
      <c r="A9895" s="7">
        <f ca="1">IFERROR(__xludf.DUMMYFUNCTION("""COMPUTED_VALUE"""),44825)</f>
        <v>44825</v>
      </c>
      <c r="B9895" s="8" t="str">
        <f ca="1">IFERROR(__xludf.DUMMYFUNCTION("""COMPUTED_VALUE"""),"33.673688,-71.235166")</f>
        <v>33.673688,-71.235166</v>
      </c>
      <c r="C9895" s="6" t="str">
        <f ca="1">IFERROR(__xludf.DUMMYFUNCTION("""COMPUTED_VALUE"""),"PJE ANTUCO 2538")</f>
        <v>PJE ANTUCO 2538</v>
      </c>
      <c r="D9895" s="6" t="str">
        <f ca="1">IFERROR(__xludf.DUMMYFUNCTION("""COMPUTED_VALUE"""),"MELIPILLA")</f>
        <v>MELIPILLA</v>
      </c>
    </row>
    <row r="9896" spans="1:4">
      <c r="A9896" s="7">
        <f ca="1">IFERROR(__xludf.DUMMYFUNCTION("""COMPUTED_VALUE"""),44825)</f>
        <v>44825</v>
      </c>
      <c r="B9896" s="8" t="str">
        <f ca="1">IFERROR(__xludf.DUMMYFUNCTION("""COMPUTED_VALUE"""),"-33.680280,-70.976559")</f>
        <v>-33.680280,-70.976559</v>
      </c>
      <c r="C9896" s="6" t="str">
        <f ca="1">IFERROR(__xludf.DUMMYFUNCTION("""COMPUTED_VALUE"""),"SAN FRANCISCO 092")</f>
        <v>SAN FRANCISCO 092</v>
      </c>
      <c r="D9896" s="6" t="str">
        <f ca="1">IFERROR(__xludf.DUMMYFUNCTION("""COMPUTED_VALUE"""),"EL MONTE")</f>
        <v>EL MONTE</v>
      </c>
    </row>
    <row r="9897" spans="1:4">
      <c r="A9897" s="7">
        <f ca="1">IFERROR(__xludf.DUMMYFUNCTION("""COMPUTED_VALUE"""),44825)</f>
        <v>44825</v>
      </c>
      <c r="B9897" s="6" t="str">
        <f ca="1">IFERROR(__xludf.DUMMYFUNCTION("""COMPUTED_VALUE"""),"-33.841135,-70.801017")</f>
        <v>-33.841135,-70.801017</v>
      </c>
      <c r="C9897" s="6" t="str">
        <f ca="1">IFERROR(__xludf.DUMMYFUNCTION("""COMPUTED_VALUE"""),"SIN CALLE S/N PARCE M 17")</f>
        <v>SIN CALLE S/N PARCE M 17</v>
      </c>
      <c r="D9897" s="6" t="str">
        <f ca="1">IFERROR(__xludf.DUMMYFUNCTION("""COMPUTED_VALUE"""),"PAINE")</f>
        <v>PAINE</v>
      </c>
    </row>
    <row r="9898" spans="1:4">
      <c r="A9898" s="7">
        <f ca="1">IFERROR(__xludf.DUMMYFUNCTION("""COMPUTED_VALUE"""),44825)</f>
        <v>44825</v>
      </c>
      <c r="B9898" s="6" t="str">
        <f ca="1">IFERROR(__xludf.DUMMYFUNCTION("""COMPUTED_VALUE"""),"-33.244942,-70.701616")</f>
        <v>-33.244942,-70.701616</v>
      </c>
      <c r="C9898" s="6" t="str">
        <f ca="1">IFERROR(__xludf.DUMMYFUNCTION("""COMPUTED_VALUE"""),"SAN JORGE S/N 5B")</f>
        <v>SAN JORGE S/N 5B</v>
      </c>
      <c r="D9898" s="6" t="str">
        <f ca="1">IFERROR(__xludf.DUMMYFUNCTION("""COMPUTED_VALUE"""),"COLINA")</f>
        <v>COLINA</v>
      </c>
    </row>
    <row r="9899" spans="1:4">
      <c r="A9899" s="7">
        <f ca="1">IFERROR(__xludf.DUMMYFUNCTION("""COMPUTED_VALUE"""),44825)</f>
        <v>44825</v>
      </c>
      <c r="B9899" s="6" t="str">
        <f ca="1">IFERROR(__xludf.DUMMYFUNCTION("""COMPUTED_VALUE"""),"-33.8134534,-70.7366634")</f>
        <v>-33.8134534,-70.7366634</v>
      </c>
      <c r="C9899" s="6" t="str">
        <f ca="1">IFERROR(__xludf.DUMMYFUNCTION("""COMPUTED_VALUE"""),"PINTO 585")</f>
        <v>PINTO 585</v>
      </c>
      <c r="D9899" s="6" t="str">
        <f ca="1">IFERROR(__xludf.DUMMYFUNCTION("""COMPUTED_VALUE"""),"PAINE")</f>
        <v>PAINE</v>
      </c>
    </row>
    <row r="9900" spans="1:4">
      <c r="A9900" s="7">
        <f ca="1">IFERROR(__xludf.DUMMYFUNCTION("""COMPUTED_VALUE"""),44825)</f>
        <v>44825</v>
      </c>
      <c r="B9900" s="6" t="str">
        <f ca="1">IFERROR(__xludf.DUMMYFUNCTION("""COMPUTED_VALUE"""),"-33.872024,-70.705727")</f>
        <v>-33.872024,-70.705727</v>
      </c>
      <c r="C9900" s="6" t="str">
        <f ca="1">IFERROR(__xludf.DUMMYFUNCTION("""COMPUTED_VALUE"""),"EL DIVISADERO 78")</f>
        <v>EL DIVISADERO 78</v>
      </c>
      <c r="D9900" s="6" t="str">
        <f ca="1">IFERROR(__xludf.DUMMYFUNCTION("""COMPUTED_VALUE"""),"PAINE")</f>
        <v>PAINE</v>
      </c>
    </row>
    <row r="9901" spans="1:4">
      <c r="A9901" s="7">
        <f ca="1">IFERROR(__xludf.DUMMYFUNCTION("""COMPUTED_VALUE"""),44825)</f>
        <v>44825</v>
      </c>
      <c r="B9901" s="6" t="str">
        <f ca="1">IFERROR(__xludf.DUMMYFUNCTION("""COMPUTED_VALUE"""),"-33.805358,-70.854013")</f>
        <v>-33.805358,-70.854013</v>
      </c>
      <c r="C9901" s="6" t="str">
        <f ca="1">IFERROR(__xludf.DUMMYFUNCTION("""COMPUTED_VALUE"""),"LAS ACACIAS 114")</f>
        <v>LAS ACACIAS 114</v>
      </c>
      <c r="D9901" s="6" t="str">
        <f ca="1">IFERROR(__xludf.DUMMYFUNCTION("""COMPUTED_VALUE"""),"BUIN")</f>
        <v>BUIN</v>
      </c>
    </row>
    <row r="9902" spans="1:4">
      <c r="A9902" s="7">
        <f ca="1">IFERROR(__xludf.DUMMYFUNCTION("""COMPUTED_VALUE"""),44826)</f>
        <v>44826</v>
      </c>
      <c r="B9902" s="8" t="str">
        <f ca="1">IFERROR(__xludf.DUMMYFUNCTION("""COMPUTED_VALUE"""),"-33.7605267, -70.7380549")</f>
        <v>-33.7605267, -70.7380549</v>
      </c>
      <c r="C9902" s="6" t="str">
        <f ca="1">IFERROR(__xludf.DUMMYFUNCTION("""COMPUTED_VALUE"""),"LAS CAMELIAS 2365")</f>
        <v>LAS CAMELIAS 2365</v>
      </c>
      <c r="D9902" s="6" t="str">
        <f ca="1">IFERROR(__xludf.DUMMYFUNCTION("""COMPUTED_VALUE"""),"BUIN")</f>
        <v>BUIN</v>
      </c>
    </row>
    <row r="9903" spans="1:4">
      <c r="A9903" s="7">
        <f ca="1">IFERROR(__xludf.DUMMYFUNCTION("""COMPUTED_VALUE"""),44826)</f>
        <v>44826</v>
      </c>
      <c r="B9903" s="8" t="str">
        <f ca="1">IFERROR(__xludf.DUMMYFUNCTION("""COMPUTED_VALUE"""),"33.7605554, -70.738224")</f>
        <v>33.7605554, -70.738224</v>
      </c>
      <c r="C9903" s="6" t="str">
        <f ca="1">IFERROR(__xludf.DUMMYFUNCTION("""COMPUTED_VALUE"""),"LAS CAMELIAS 2371")</f>
        <v>LAS CAMELIAS 2371</v>
      </c>
      <c r="D9903" s="6" t="str">
        <f ca="1">IFERROR(__xludf.DUMMYFUNCTION("""COMPUTED_VALUE"""),"BUIN")</f>
        <v>BUIN</v>
      </c>
    </row>
    <row r="9904" spans="1:4">
      <c r="A9904" s="7">
        <f ca="1">IFERROR(__xludf.DUMMYFUNCTION("""COMPUTED_VALUE"""),44826)</f>
        <v>44826</v>
      </c>
      <c r="B9904" s="6" t="str">
        <f ca="1">IFERROR(__xludf.DUMMYFUNCTION("""COMPUTED_VALUE"""),"-33.60989-70.87493")</f>
        <v>-33.60989-70.87493</v>
      </c>
      <c r="C9904" s="6" t="str">
        <f ca="1">IFERROR(__xludf.DUMMYFUNCTION("""COMPUTED_VALUE"""),"LOS GUINDOS 1145")</f>
        <v>LOS GUINDOS 1145</v>
      </c>
      <c r="D9904" s="6" t="str">
        <f ca="1">IFERROR(__xludf.DUMMYFUNCTION("""COMPUTED_VALUE"""),"PEÑAFLOR")</f>
        <v>PEÑAFLOR</v>
      </c>
    </row>
    <row r="9905" spans="1:4">
      <c r="A9905" s="7">
        <f ca="1">IFERROR(__xludf.DUMMYFUNCTION("""COMPUTED_VALUE"""),44826)</f>
        <v>44826</v>
      </c>
      <c r="B9905" s="6" t="str">
        <f ca="1">IFERROR(__xludf.DUMMYFUNCTION("""COMPUTED_VALUE"""),"-33.61220-70.88655")</f>
        <v>-33.61220-70.88655</v>
      </c>
      <c r="C9905" s="6" t="str">
        <f ca="1">IFERROR(__xludf.DUMMYFUNCTION("""COMPUTED_VALUE"""),"PEDRO COFRE 114")</f>
        <v>PEDRO COFRE 114</v>
      </c>
      <c r="D9905" s="6" t="str">
        <f ca="1">IFERROR(__xludf.DUMMYFUNCTION("""COMPUTED_VALUE"""),"PEÑAFLOR")</f>
        <v>PEÑAFLOR</v>
      </c>
    </row>
    <row r="9906" spans="1:4">
      <c r="A9906" s="7">
        <f ca="1">IFERROR(__xludf.DUMMYFUNCTION("""COMPUTED_VALUE"""),44826)</f>
        <v>44826</v>
      </c>
      <c r="B9906" s="6" t="str">
        <f ca="1">IFERROR(__xludf.DUMMYFUNCTION("""COMPUTED_VALUE"""),"-33.60042-70.86697")</f>
        <v>-33.60042-70.86697</v>
      </c>
      <c r="C9906" s="6" t="str">
        <f ca="1">IFERROR(__xludf.DUMMYFUNCTION("""COMPUTED_VALUE"""),"LOS ROSALES 2071")</f>
        <v>LOS ROSALES 2071</v>
      </c>
      <c r="D9906" s="6" t="str">
        <f ca="1">IFERROR(__xludf.DUMMYFUNCTION("""COMPUTED_VALUE"""),"PEÑAFLOR")</f>
        <v>PEÑAFLOR</v>
      </c>
    </row>
    <row r="9907" spans="1:4">
      <c r="A9907" s="7">
        <f ca="1">IFERROR(__xludf.DUMMYFUNCTION("""COMPUTED_VALUE"""),44826)</f>
        <v>44826</v>
      </c>
      <c r="B9907" s="6" t="str">
        <f ca="1">IFERROR(__xludf.DUMMYFUNCTION("""COMPUTED_VALUE"""),"-33.084311-70.923395")</f>
        <v>-33.084311-70.923395</v>
      </c>
      <c r="C9907" s="6" t="str">
        <f ca="1">IFERROR(__xludf.DUMMYFUNCTION("""COMPUTED_VALUE"""),"CHACABUCO 475")</f>
        <v>CHACABUCO 475</v>
      </c>
      <c r="D9907" s="6" t="str">
        <f ca="1">IFERROR(__xludf.DUMMYFUNCTION("""COMPUTED_VALUE"""),"TIL TIL")</f>
        <v>TIL TIL</v>
      </c>
    </row>
    <row r="9908" spans="1:4">
      <c r="A9908" s="7">
        <f ca="1">IFERROR(__xludf.DUMMYFUNCTION("""COMPUTED_VALUE"""),44826)</f>
        <v>44826</v>
      </c>
      <c r="B9908" s="6" t="str">
        <f ca="1">IFERROR(__xludf.DUMMYFUNCTION("""COMPUTED_VALUE"""),"-33.804771-70.728172")</f>
        <v>-33.804771-70.728172</v>
      </c>
      <c r="C9908" s="6" t="str">
        <f ca="1">IFERROR(__xludf.DUMMYFUNCTION("""COMPUTED_VALUE"""),"PJE RIO CUTIPAY 129")</f>
        <v>PJE RIO CUTIPAY 129</v>
      </c>
      <c r="D9908" s="6" t="str">
        <f ca="1">IFERROR(__xludf.DUMMYFUNCTION("""COMPUTED_VALUE"""),"PAINE")</f>
        <v>PAINE</v>
      </c>
    </row>
    <row r="9909" spans="1:4">
      <c r="A9909" s="7">
        <f ca="1">IFERROR(__xludf.DUMMYFUNCTION("""COMPUTED_VALUE"""),44826)</f>
        <v>44826</v>
      </c>
      <c r="B9909" s="6" t="str">
        <f ca="1">IFERROR(__xludf.DUMMYFUNCTION("""COMPUTED_VALUE"""),"-33.822952-70.732592")</f>
        <v>-33.822952-70.732592</v>
      </c>
      <c r="C9909" s="6" t="str">
        <f ca="1">IFERROR(__xludf.DUMMYFUNCTION("""COMPUTED_VALUE"""),"MANUEL MORALES OLIVOS 893")</f>
        <v>MANUEL MORALES OLIVOS 893</v>
      </c>
      <c r="D9909" s="6" t="str">
        <f ca="1">IFERROR(__xludf.DUMMYFUNCTION("""COMPUTED_VALUE"""),"PAINE")</f>
        <v>PAINE</v>
      </c>
    </row>
    <row r="9910" spans="1:4">
      <c r="A9910" s="7">
        <f ca="1">IFERROR(__xludf.DUMMYFUNCTION("""COMPUTED_VALUE"""),44826)</f>
        <v>44826</v>
      </c>
      <c r="B9910" s="8" t="str">
        <f ca="1">IFERROR(__xludf.DUMMYFUNCTION("""COMPUTED_VALUE"""),"-33.194246,-70.681888")</f>
        <v>-33.194246,-70.681888</v>
      </c>
      <c r="C9910" s="6" t="str">
        <f ca="1">IFERROR(__xludf.DUMMYFUNCTION("""COMPUTED_VALUE"""),"LOS MANZANOS 794")</f>
        <v>LOS MANZANOS 794</v>
      </c>
      <c r="D9910" s="6" t="str">
        <f ca="1">IFERROR(__xludf.DUMMYFUNCTION("""COMPUTED_VALUE"""),"COLINA")</f>
        <v>COLINA</v>
      </c>
    </row>
    <row r="9911" spans="1:4">
      <c r="A9911" s="7">
        <f ca="1">IFERROR(__xludf.DUMMYFUNCTION("""COMPUTED_VALUE"""),44826)</f>
        <v>44826</v>
      </c>
      <c r="B9911" s="8" t="str">
        <f ca="1">IFERROR(__xludf.DUMMYFUNCTION("""COMPUTED_VALUE"""),"-33.717892,-70.551240")</f>
        <v>-33.717892,-70.551240</v>
      </c>
      <c r="C9911" s="6" t="str">
        <f ca="1">IFERROR(__xludf.DUMMYFUNCTION("""COMPUTED_VALUE"""),"EL CHALACO 67")</f>
        <v>EL CHALACO 67</v>
      </c>
      <c r="D9911" s="6" t="str">
        <f ca="1">IFERROR(__xludf.DUMMYFUNCTION("""COMPUTED_VALUE"""),"PIRQUE")</f>
        <v>PIRQUE</v>
      </c>
    </row>
    <row r="9912" spans="1:4">
      <c r="A9912" s="7">
        <f ca="1">IFERROR(__xludf.DUMMYFUNCTION("""COMPUTED_VALUE"""),44826)</f>
        <v>44826</v>
      </c>
      <c r="B9912" s="8" t="str">
        <f ca="1">IFERROR(__xludf.DUMMYFUNCTION("""COMPUTED_VALUE"""),"-33.706745,-70.558537")</f>
        <v>-33.706745,-70.558537</v>
      </c>
      <c r="C9912" s="6" t="str">
        <f ca="1">IFERROR(__xludf.DUMMYFUNCTION("""COMPUTED_VALUE"""),"EL OLIVO 7964")</f>
        <v>EL OLIVO 7964</v>
      </c>
      <c r="D9912" s="6" t="str">
        <f ca="1">IFERROR(__xludf.DUMMYFUNCTION("""COMPUTED_VALUE"""),"PIRQUE")</f>
        <v>PIRQUE</v>
      </c>
    </row>
    <row r="9913" spans="1:4">
      <c r="A9913" s="7">
        <f ca="1">IFERROR(__xludf.DUMMYFUNCTION("""COMPUTED_VALUE"""),44826)</f>
        <v>44826</v>
      </c>
      <c r="B9913" s="8" t="str">
        <f ca="1">IFERROR(__xludf.DUMMYFUNCTION("""COMPUTED_VALUE"""),"-33.706438,-70.558519")</f>
        <v>-33.706438,-70.558519</v>
      </c>
      <c r="C9913" s="6" t="str">
        <f ca="1">IFERROR(__xludf.DUMMYFUNCTION("""COMPUTED_VALUE"""),"EL OLIVO 7956")</f>
        <v>EL OLIVO 7956</v>
      </c>
      <c r="D9913" s="6" t="str">
        <f ca="1">IFERROR(__xludf.DUMMYFUNCTION("""COMPUTED_VALUE"""),"PIRQUE")</f>
        <v>PIRQUE</v>
      </c>
    </row>
    <row r="9914" spans="1:4">
      <c r="A9914" s="7">
        <f ca="1">IFERROR(__xludf.DUMMYFUNCTION("""COMPUTED_VALUE"""),44826)</f>
        <v>44826</v>
      </c>
      <c r="B9914" s="8" t="str">
        <f ca="1">IFERROR(__xludf.DUMMYFUNCTION("""COMPUTED_VALUE"""),"-33.629111,-70.575844")</f>
        <v>-33.629111,-70.575844</v>
      </c>
      <c r="C9914" s="6" t="str">
        <f ca="1">IFERROR(__xludf.DUMMYFUNCTION("""COMPUTED_VALUE"""),"CACHAPOAL 73")</f>
        <v>CACHAPOAL 73</v>
      </c>
      <c r="D9914" s="6" t="str">
        <f ca="1">IFERROR(__xludf.DUMMYFUNCTION("""COMPUTED_VALUE"""),"PIRQUE")</f>
        <v>PIRQUE</v>
      </c>
    </row>
    <row r="9915" spans="1:4">
      <c r="A9915" s="7">
        <f ca="1">IFERROR(__xludf.DUMMYFUNCTION("""COMPUTED_VALUE"""),44826)</f>
        <v>44826</v>
      </c>
      <c r="B9915" s="6" t="str">
        <f ca="1">IFERROR(__xludf.DUMMYFUNCTION("""COMPUTED_VALUE"""),"-33.274137,-70.885960")</f>
        <v>-33.274137,-70.885960</v>
      </c>
      <c r="C9915" s="6" t="str">
        <f ca="1">IFERROR(__xludf.DUMMYFUNCTION("""COMPUTED_VALUE"""),"CAMAPAMENTO MEDIO LUNA S/N")</f>
        <v>CAMAPAMENTO MEDIO LUNA S/N</v>
      </c>
      <c r="D9915" s="6" t="str">
        <f ca="1">IFERROR(__xludf.DUMMYFUNCTION("""COMPUTED_VALUE"""),"LAMPA")</f>
        <v>LAMPA</v>
      </c>
    </row>
    <row r="9916" spans="1:4">
      <c r="A9916" s="7">
        <f ca="1">IFERROR(__xludf.DUMMYFUNCTION("""COMPUTED_VALUE"""),44826)</f>
        <v>44826</v>
      </c>
      <c r="B9916" s="6" t="str">
        <f ca="1">IFERROR(__xludf.DUMMYFUNCTION("""COMPUTED_VALUE"""),"-33.274165,-70.886042")</f>
        <v>-33.274165,-70.886042</v>
      </c>
      <c r="C9916" s="6" t="str">
        <f ca="1">IFERROR(__xludf.DUMMYFUNCTION("""COMPUTED_VALUE"""),"CAMPAMENTO MEDIA LUNA S/N")</f>
        <v>CAMPAMENTO MEDIA LUNA S/N</v>
      </c>
      <c r="D9916" s="6" t="str">
        <f ca="1">IFERROR(__xludf.DUMMYFUNCTION("""COMPUTED_VALUE"""),"LAMPA")</f>
        <v>LAMPA</v>
      </c>
    </row>
    <row r="9917" spans="1:4">
      <c r="A9917" s="7">
        <f ca="1">IFERROR(__xludf.DUMMYFUNCTION("""COMPUTED_VALUE"""),44826)</f>
        <v>44826</v>
      </c>
      <c r="B9917" s="8" t="str">
        <f ca="1">IFERROR(__xludf.DUMMYFUNCTION("""COMPUTED_VALUE"""),"-33.770050,-70.762772")</f>
        <v>-33.770050,-70.762772</v>
      </c>
      <c r="C9917" s="6" t="str">
        <f ca="1">IFERROR(__xludf.DUMMYFUNCTION("""COMPUTED_VALUE"""),"CERVERA 1000 PARCELA 3 B ")</f>
        <v xml:space="preserve">CERVERA 1000 PARCELA 3 B </v>
      </c>
      <c r="D9917" s="6" t="str">
        <f ca="1">IFERROR(__xludf.DUMMYFUNCTION("""COMPUTED_VALUE"""),"BUIN")</f>
        <v>BUIN</v>
      </c>
    </row>
    <row r="9918" spans="1:4">
      <c r="A9918" s="7">
        <f ca="1">IFERROR(__xludf.DUMMYFUNCTION("""COMPUTED_VALUE"""),44826)</f>
        <v>44826</v>
      </c>
      <c r="B9918" s="8" t="str">
        <f ca="1">IFERROR(__xludf.DUMMYFUNCTION("""COMPUTED_VALUE"""),"-33.694049,-70.9251300")</f>
        <v>-33.694049,-70.9251300</v>
      </c>
      <c r="C9918" s="6" t="str">
        <f ca="1">IFERROR(__xludf.DUMMYFUNCTION("""COMPUTED_VALUE"""),"AV JAIME GUZMAN P3")</f>
        <v>AV JAIME GUZMAN P3</v>
      </c>
      <c r="D9918" s="6" t="str">
        <f ca="1">IFERROR(__xludf.DUMMYFUNCTION("""COMPUTED_VALUE"""),"TALAGANTE")</f>
        <v>TALAGANTE</v>
      </c>
    </row>
    <row r="9919" spans="1:4">
      <c r="A9919" s="7">
        <f ca="1">IFERROR(__xludf.DUMMYFUNCTION("""COMPUTED_VALUE"""),44826)</f>
        <v>44826</v>
      </c>
      <c r="B9919" s="8" t="str">
        <f ca="1">IFERROR(__xludf.DUMMYFUNCTION("""COMPUTED_VALUE"""),"-33.605515,-70.783905")</f>
        <v>-33.605515,-70.783905</v>
      </c>
      <c r="C9919" s="6" t="str">
        <f ca="1">IFERROR(__xludf.DUMMYFUNCTION("""COMPUTED_VALUE"""),"CALLE LONQUEN NORTE P 37")</f>
        <v>CALLE LONQUEN NORTE P 37</v>
      </c>
      <c r="D9919" s="6" t="str">
        <f ca="1">IFERROR(__xludf.DUMMYFUNCTION("""COMPUTED_VALUE"""),"CALERA DE TANGO")</f>
        <v>CALERA DE TANGO</v>
      </c>
    </row>
    <row r="9920" spans="1:4">
      <c r="A9920" s="7">
        <f ca="1">IFERROR(__xludf.DUMMYFUNCTION("""COMPUTED_VALUE"""),44826)</f>
        <v>44826</v>
      </c>
      <c r="B9920" s="12" t="str">
        <f ca="1">IFERROR(__xludf.DUMMYFUNCTION("""COMPUTED_VALUE"""),"-33.780935,-70.794227")</f>
        <v>-33.780935,-70.794227</v>
      </c>
      <c r="C9920" s="6" t="str">
        <f ca="1">IFERROR(__xludf.DUMMYFUNCTION("""COMPUTED_VALUE"""),"LAS ACACIAS 5890")</f>
        <v>LAS ACACIAS 5890</v>
      </c>
      <c r="D9920" s="6" t="str">
        <f ca="1">IFERROR(__xludf.DUMMYFUNCTION("""COMPUTED_VALUE"""),"BUIN")</f>
        <v>BUIN</v>
      </c>
    </row>
    <row r="9921" spans="1:4">
      <c r="A9921" s="7">
        <f ca="1">IFERROR(__xludf.DUMMYFUNCTION("""COMPUTED_VALUE"""),44826)</f>
        <v>44826</v>
      </c>
      <c r="B9921" s="6" t="str">
        <f ca="1">IFERROR(__xludf.DUMMYFUNCTION("""COMPUTED_VALUE"""),"-33.564498,-70.789790")</f>
        <v>-33.564498,-70.789790</v>
      </c>
      <c r="C9921" s="6" t="str">
        <f ca="1">IFERROR(__xludf.DUMMYFUNCTION("""COMPUTED_VALUE"""),"SEGUNDA TRANSVERSAL 131")</f>
        <v>SEGUNDA TRANSVERSAL 131</v>
      </c>
      <c r="D9921" s="6" t="str">
        <f ca="1">IFERROR(__xludf.DUMMYFUNCTION("""COMPUTED_VALUE"""),"PADRE HURTADO")</f>
        <v>PADRE HURTADO</v>
      </c>
    </row>
    <row r="9922" spans="1:4">
      <c r="A9922" s="7">
        <f ca="1">IFERROR(__xludf.DUMMYFUNCTION("""COMPUTED_VALUE"""),44827)</f>
        <v>44827</v>
      </c>
      <c r="B9922" s="8" t="str">
        <f ca="1">IFERROR(__xludf.DUMMYFUNCTION("""COMPUTED_VALUE"""),"-33.6856553, -71.2335935")</f>
        <v>-33.6856553, -71.2335935</v>
      </c>
      <c r="C9922" s="6" t="str">
        <f ca="1">IFERROR(__xludf.DUMMYFUNCTION("""COMPUTED_VALUE"""),"EL TINEO 2089")</f>
        <v>EL TINEO 2089</v>
      </c>
      <c r="D9922" s="6" t="str">
        <f ca="1">IFERROR(__xludf.DUMMYFUNCTION("""COMPUTED_VALUE"""),"MELIPILLA")</f>
        <v>MELIPILLA</v>
      </c>
    </row>
    <row r="9923" spans="1:4">
      <c r="A9923" s="7">
        <f ca="1">IFERROR(__xludf.DUMMYFUNCTION("""COMPUTED_VALUE"""),44827)</f>
        <v>44827</v>
      </c>
      <c r="B9923" s="6" t="str">
        <f ca="1">IFERROR(__xludf.DUMMYFUNCTION("""COMPUTED_VALUE"""),"-33.651294-70.921876")</f>
        <v>-33.651294-70.921876</v>
      </c>
      <c r="C9923" s="6" t="str">
        <f ca="1">IFERROR(__xludf.DUMMYFUNCTION("""COMPUTED_VALUE"""),"TRANSVERSAL 16")</f>
        <v>TRANSVERSAL 16</v>
      </c>
      <c r="D9923" s="6" t="str">
        <f ca="1">IFERROR(__xludf.DUMMYFUNCTION("""COMPUTED_VALUE"""),"TALAGANTE")</f>
        <v>TALAGANTE</v>
      </c>
    </row>
    <row r="9924" spans="1:4">
      <c r="A9924" s="7">
        <f ca="1">IFERROR(__xludf.DUMMYFUNCTION("""COMPUTED_VALUE"""),44827)</f>
        <v>44827</v>
      </c>
      <c r="B9924" s="6" t="str">
        <f ca="1">IFERROR(__xludf.DUMMYFUNCTION("""COMPUTED_VALUE"""),"-34.028428-70.993728")</f>
        <v>-34.028428-70.993728</v>
      </c>
      <c r="C9924" s="6" t="str">
        <f ca="1">IFERROR(__xludf.DUMMYFUNCTION("""COMPUTED_VALUE"""),"EL ASIENTO PC 3")</f>
        <v>EL ASIENTO PC 3</v>
      </c>
      <c r="D9924" s="6" t="str">
        <f ca="1">IFERROR(__xludf.DUMMYFUNCTION("""COMPUTED_VALUE"""),"ALHUÉ")</f>
        <v>ALHUÉ</v>
      </c>
    </row>
    <row r="9925" spans="1:4">
      <c r="A9925" s="7">
        <f ca="1">IFERROR(__xludf.DUMMYFUNCTION("""COMPUTED_VALUE"""),44827)</f>
        <v>44827</v>
      </c>
      <c r="B9925" s="6" t="str">
        <f ca="1">IFERROR(__xludf.DUMMYFUNCTION("""COMPUTED_VALUE"""),"-34.024193-70.991335")</f>
        <v>-34.024193-70.991335</v>
      </c>
      <c r="C9925" s="6" t="str">
        <f ca="1">IFERROR(__xludf.DUMMYFUNCTION("""COMPUTED_VALUE"""),"EL ASIENTO LOTE 1")</f>
        <v>EL ASIENTO LOTE 1</v>
      </c>
      <c r="D9925" s="6" t="str">
        <f ca="1">IFERROR(__xludf.DUMMYFUNCTION("""COMPUTED_VALUE"""),"ALHUÉ")</f>
        <v>ALHUÉ</v>
      </c>
    </row>
    <row r="9926" spans="1:4">
      <c r="A9926" s="7">
        <f ca="1">IFERROR(__xludf.DUMMYFUNCTION("""COMPUTED_VALUE"""),44827)</f>
        <v>44827</v>
      </c>
      <c r="B9926" s="6" t="str">
        <f ca="1">IFERROR(__xludf.DUMMYFUNCTION("""COMPUTED_VALUE"""),"-34.028748-71.081636")</f>
        <v>-34.028748-71.081636</v>
      </c>
      <c r="C9926" s="6" t="str">
        <f ca="1">IFERROR(__xludf.DUMMYFUNCTION("""COMPUTED_VALUE"""),"IGNACIO CARRERA PINTO S/N")</f>
        <v>IGNACIO CARRERA PINTO S/N</v>
      </c>
      <c r="D9926" s="6" t="str">
        <f ca="1">IFERROR(__xludf.DUMMYFUNCTION("""COMPUTED_VALUE"""),"ALHUÉ")</f>
        <v>ALHUÉ</v>
      </c>
    </row>
    <row r="9927" spans="1:4">
      <c r="A9927" s="7">
        <f ca="1">IFERROR(__xludf.DUMMYFUNCTION("""COMPUTED_VALUE"""),44827)</f>
        <v>44827</v>
      </c>
      <c r="B9927" s="6" t="str">
        <f ca="1">IFERROR(__xludf.DUMMYFUNCTION("""COMPUTED_VALUE"""),"-34.032022-71.080432")</f>
        <v>-34.032022-71.080432</v>
      </c>
      <c r="C9927" s="6" t="str">
        <f ca="1">IFERROR(__xludf.DUMMYFUNCTION("""COMPUTED_VALUE"""),"EL ASIENTO S/N")</f>
        <v>EL ASIENTO S/N</v>
      </c>
      <c r="D9927" s="6" t="str">
        <f ca="1">IFERROR(__xludf.DUMMYFUNCTION("""COMPUTED_VALUE"""),"ALHUÉ")</f>
        <v>ALHUÉ</v>
      </c>
    </row>
    <row r="9928" spans="1:4">
      <c r="A9928" s="7">
        <f ca="1">IFERROR(__xludf.DUMMYFUNCTION("""COMPUTED_VALUE"""),44827)</f>
        <v>44827</v>
      </c>
      <c r="B9928" s="6" t="str">
        <f ca="1">IFERROR(__xludf.DUMMYFUNCTION("""COMPUTED_VALUE"""),"-34.032827-71.102278")</f>
        <v>-34.032827-71.102278</v>
      </c>
      <c r="C9928" s="6" t="str">
        <f ca="1">IFERROR(__xludf.DUMMYFUNCTION("""COMPUTED_VALUE"""),"VEINTIUNO DE MAYO S/N")</f>
        <v>VEINTIUNO DE MAYO S/N</v>
      </c>
      <c r="D9928" s="6" t="str">
        <f ca="1">IFERROR(__xludf.DUMMYFUNCTION("""COMPUTED_VALUE"""),"ALHUÉ")</f>
        <v>ALHUÉ</v>
      </c>
    </row>
    <row r="9929" spans="1:4">
      <c r="A9929" s="7">
        <f ca="1">IFERROR(__xludf.DUMMYFUNCTION("""COMPUTED_VALUE"""),44827)</f>
        <v>44827</v>
      </c>
      <c r="B9929" s="6" t="str">
        <f ca="1">IFERROR(__xludf.DUMMYFUNCTION("""COMPUTED_VALUE"""),"-33.574403-70.806888")</f>
        <v>-33.574403-70.806888</v>
      </c>
      <c r="C9929" s="6" t="str">
        <f ca="1">IFERROR(__xludf.DUMMYFUNCTION("""COMPUTED_VALUE"""),"SAN BERNABE 2131")</f>
        <v>SAN BERNABE 2131</v>
      </c>
      <c r="D9929" s="6" t="str">
        <f ca="1">IFERROR(__xludf.DUMMYFUNCTION("""COMPUTED_VALUE"""),"PADRE HURTADO")</f>
        <v>PADRE HURTADO</v>
      </c>
    </row>
    <row r="9930" spans="1:4">
      <c r="A9930" s="7">
        <f ca="1">IFERROR(__xludf.DUMMYFUNCTION("""COMPUTED_VALUE"""),44827)</f>
        <v>44827</v>
      </c>
      <c r="B9930" s="6" t="str">
        <f ca="1">IFERROR(__xludf.DUMMYFUNCTION("""COMPUTED_VALUE"""),"-33.574702-70.806415")</f>
        <v>-33.574702-70.806415</v>
      </c>
      <c r="C9930" s="6" t="str">
        <f ca="1">IFERROR(__xludf.DUMMYFUNCTION("""COMPUTED_VALUE"""),"SAN BERNABE 2094")</f>
        <v>SAN BERNABE 2094</v>
      </c>
      <c r="D9930" s="6" t="str">
        <f ca="1">IFERROR(__xludf.DUMMYFUNCTION("""COMPUTED_VALUE"""),"PADRE HURTADO")</f>
        <v>PADRE HURTADO</v>
      </c>
    </row>
    <row r="9931" spans="1:4">
      <c r="A9931" s="7">
        <f ca="1">IFERROR(__xludf.DUMMYFUNCTION("""COMPUTED_VALUE"""),44827)</f>
        <v>44827</v>
      </c>
      <c r="B9931" s="6" t="str">
        <f ca="1">IFERROR(__xludf.DUMMYFUNCTION("""COMPUTED_VALUE"""),"-33.721013-70.55147")</f>
        <v>-33.721013-70.55147</v>
      </c>
      <c r="C9931" s="6" t="str">
        <f ca="1">IFERROR(__xludf.DUMMYFUNCTION("""COMPUTED_VALUE"""),"LOS CORRALES 106 A")</f>
        <v>LOS CORRALES 106 A</v>
      </c>
      <c r="D9931" s="6" t="str">
        <f ca="1">IFERROR(__xludf.DUMMYFUNCTION("""COMPUTED_VALUE"""),"PIRQUE")</f>
        <v>PIRQUE</v>
      </c>
    </row>
    <row r="9932" spans="1:4">
      <c r="A9932" s="7">
        <f ca="1">IFERROR(__xludf.DUMMYFUNCTION("""COMPUTED_VALUE"""),44827)</f>
        <v>44827</v>
      </c>
      <c r="B9932" s="6" t="str">
        <f ca="1">IFERROR(__xludf.DUMMYFUNCTION("""COMPUTED_VALUE"""),"-33.70621-70.57225")</f>
        <v>-33.70621-70.57225</v>
      </c>
      <c r="C9932" s="6" t="str">
        <f ca="1">IFERROR(__xludf.DUMMYFUNCTION("""COMPUTED_VALUE"""),"EL PRINCIPAL 30")</f>
        <v>EL PRINCIPAL 30</v>
      </c>
      <c r="D9932" s="6" t="str">
        <f ca="1">IFERROR(__xludf.DUMMYFUNCTION("""COMPUTED_VALUE"""),"PIRQUE")</f>
        <v>PIRQUE</v>
      </c>
    </row>
    <row r="9933" spans="1:4">
      <c r="A9933" s="7">
        <f ca="1">IFERROR(__xludf.DUMMYFUNCTION("""COMPUTED_VALUE"""),44827)</f>
        <v>44827</v>
      </c>
      <c r="B9933" s="8" t="str">
        <f ca="1">IFERROR(__xludf.DUMMYFUNCTION("""COMPUTED_VALUE"""),"-33.199420,-70.647566")</f>
        <v>-33.199420,-70.647566</v>
      </c>
      <c r="C9933" s="6" t="str">
        <f ca="1">IFERROR(__xludf.DUMMYFUNCTION("""COMPUTED_VALUE"""),"CASA DE PIEDRA 276")</f>
        <v>CASA DE PIEDRA 276</v>
      </c>
      <c r="D9933" s="6" t="str">
        <f ca="1">IFERROR(__xludf.DUMMYFUNCTION("""COMPUTED_VALUE"""),"COLINA")</f>
        <v>COLINA</v>
      </c>
    </row>
    <row r="9934" spans="1:4">
      <c r="A9934" s="7">
        <f ca="1">IFERROR(__xludf.DUMMYFUNCTION("""COMPUTED_VALUE"""),44827)</f>
        <v>44827</v>
      </c>
      <c r="B9934" s="8" t="str">
        <f ca="1">IFERROR(__xludf.DUMMYFUNCTION("""COMPUTED_VALUE"""),"-33.199420,-70.647566")</f>
        <v>-33.199420,-70.647566</v>
      </c>
      <c r="C9934" s="6" t="str">
        <f ca="1">IFERROR(__xludf.DUMMYFUNCTION("""COMPUTED_VALUE"""),"CASA DE PIEDRA 276")</f>
        <v>CASA DE PIEDRA 276</v>
      </c>
      <c r="D9934" s="6" t="str">
        <f ca="1">IFERROR(__xludf.DUMMYFUNCTION("""COMPUTED_VALUE"""),"COLINA")</f>
        <v>COLINA</v>
      </c>
    </row>
    <row r="9935" spans="1:4">
      <c r="A9935" s="7">
        <f ca="1">IFERROR(__xludf.DUMMYFUNCTION("""COMPUTED_VALUE"""),44827)</f>
        <v>44827</v>
      </c>
      <c r="B9935" s="6" t="str">
        <f ca="1">IFERROR(__xludf.DUMMYFUNCTION("""COMPUTED_VALUE"""),"-33.274165,-70.886042")</f>
        <v>-33.274165,-70.886042</v>
      </c>
      <c r="C9935" s="6" t="str">
        <f ca="1">IFERROR(__xludf.DUMMYFUNCTION("""COMPUTED_VALUE"""),"CAMPAMENTO MEDIA LUNA S/N")</f>
        <v>CAMPAMENTO MEDIA LUNA S/N</v>
      </c>
      <c r="D9935" s="6" t="str">
        <f ca="1">IFERROR(__xludf.DUMMYFUNCTION("""COMPUTED_VALUE"""),"LAMPA")</f>
        <v>LAMPA</v>
      </c>
    </row>
    <row r="9936" spans="1:4">
      <c r="A9936" s="7">
        <f ca="1">IFERROR(__xludf.DUMMYFUNCTION("""COMPUTED_VALUE"""),44827)</f>
        <v>44827</v>
      </c>
      <c r="B9936" s="6" t="str">
        <f ca="1">IFERROR(__xludf.DUMMYFUNCTION("""COMPUTED_VALUE"""),"-33.273856,-70.886310")</f>
        <v>-33.273856,-70.886310</v>
      </c>
      <c r="C9936" s="6" t="str">
        <f ca="1">IFERROR(__xludf.DUMMYFUNCTION("""COMPUTED_VALUE"""),"CAMPAMENTO MEDIA LUNA S/N")</f>
        <v>CAMPAMENTO MEDIA LUNA S/N</v>
      </c>
      <c r="D9936" s="6" t="str">
        <f ca="1">IFERROR(__xludf.DUMMYFUNCTION("""COMPUTED_VALUE"""),"LAMPA")</f>
        <v>LAMPA</v>
      </c>
    </row>
    <row r="9937" spans="1:4">
      <c r="A9937" s="7">
        <f ca="1">IFERROR(__xludf.DUMMYFUNCTION("""COMPUTED_VALUE"""),44827)</f>
        <v>44827</v>
      </c>
      <c r="B9937" s="6" t="str">
        <f ca="1">IFERROR(__xludf.DUMMYFUNCTION("""COMPUTED_VALUE"""),"-33.742095,-70.869825")</f>
        <v>-33.742095,-70.869825</v>
      </c>
      <c r="C9937" s="6" t="str">
        <f ca="1">IFERROR(__xludf.DUMMYFUNCTION("""COMPUTED_VALUE"""),"PA FABRICIO LEVERA PACETI 516 VILLA BICENTENARIO")</f>
        <v>PA FABRICIO LEVERA PACETI 516 VILLA BICENTENARIO</v>
      </c>
      <c r="D9937" s="6" t="str">
        <f ca="1">IFERROR(__xludf.DUMMYFUNCTION("""COMPUTED_VALUE"""),"ISLA DE MAIPO")</f>
        <v>ISLA DE MAIPO</v>
      </c>
    </row>
    <row r="9938" spans="1:4">
      <c r="A9938" s="7">
        <f ca="1">IFERROR(__xludf.DUMMYFUNCTION("""COMPUTED_VALUE"""),44827)</f>
        <v>44827</v>
      </c>
      <c r="B9938" s="8" t="str">
        <f ca="1">IFERROR(__xludf.DUMMYFUNCTION("""COMPUTED_VALUE"""),"-34.026261,-71.118019")</f>
        <v>-34.026261,-71.118019</v>
      </c>
      <c r="C9938" s="6" t="str">
        <f ca="1">IFERROR(__xludf.DUMMYFUNCTION("""COMPUTED_VALUE"""),"HIJUELAS DE POLULO S/N")</f>
        <v>HIJUELAS DE POLULO S/N</v>
      </c>
      <c r="D9938" s="6" t="str">
        <f ca="1">IFERROR(__xludf.DUMMYFUNCTION("""COMPUTED_VALUE"""),"ALHUÉ")</f>
        <v>ALHUÉ</v>
      </c>
    </row>
    <row r="9939" spans="1:4">
      <c r="A9939" s="7">
        <f ca="1">IFERROR(__xludf.DUMMYFUNCTION("""COMPUTED_VALUE"""),44827)</f>
        <v>44827</v>
      </c>
      <c r="B9939" s="8" t="str">
        <f ca="1">IFERROR(__xludf.DUMMYFUNCTION("""COMPUTED_VALUE"""),"-33.984399,-71.063114")</f>
        <v>-33.984399,-71.063114</v>
      </c>
      <c r="C9939" s="6" t="str">
        <f ca="1">IFERROR(__xludf.DUMMYFUNCTION("""COMPUTED_VALUE"""),"BARRANCAS DE PICHI ")</f>
        <v xml:space="preserve">BARRANCAS DE PICHI </v>
      </c>
      <c r="D9939" s="6" t="str">
        <f ca="1">IFERROR(__xludf.DUMMYFUNCTION("""COMPUTED_VALUE"""),"ALHUÉ")</f>
        <v>ALHUÉ</v>
      </c>
    </row>
    <row r="9940" spans="1:4">
      <c r="A9940" s="7">
        <f ca="1">IFERROR(__xludf.DUMMYFUNCTION("""COMPUTED_VALUE"""),44827)</f>
        <v>44827</v>
      </c>
      <c r="B9940" s="6" t="str">
        <f ca="1">IFERROR(__xludf.DUMMYFUNCTION("""COMPUTED_VALUE"""),"-33.882178,-70.739324")</f>
        <v>-33.882178,-70.739324</v>
      </c>
      <c r="C9940" s="6" t="str">
        <f ca="1">IFERROR(__xludf.DUMMYFUNCTION("""COMPUTED_VALUE"""),"LONGITUDINAL SUR S/N 216")</f>
        <v>LONGITUDINAL SUR S/N 216</v>
      </c>
      <c r="D9940" s="6" t="str">
        <f ca="1">IFERROR(__xludf.DUMMYFUNCTION("""COMPUTED_VALUE"""),"PAINE")</f>
        <v>PAINE</v>
      </c>
    </row>
    <row r="9941" spans="1:4">
      <c r="A9941" s="7">
        <f ca="1">IFERROR(__xludf.DUMMYFUNCTION("""COMPUTED_VALUE"""),44827)</f>
        <v>44827</v>
      </c>
      <c r="B9941" s="6" t="str">
        <f ca="1">IFERROR(__xludf.DUMMYFUNCTION("""COMPUTED_VALUE"""),"-33.4049951,-70.9925872")</f>
        <v>-33.4049951,-70.9925872</v>
      </c>
      <c r="C9941" s="6" t="str">
        <f ca="1">IFERROR(__xludf.DUMMYFUNCTION("""COMPUTED_VALUE"""),"LA AURORA P95 ")</f>
        <v xml:space="preserve">LA AURORA P95 </v>
      </c>
      <c r="D9941" s="6" t="str">
        <f ca="1">IFERROR(__xludf.DUMMYFUNCTION("""COMPUTED_VALUE"""),"CURACAVI")</f>
        <v>CURACAVI</v>
      </c>
    </row>
    <row r="9942" spans="1:4">
      <c r="A9942" s="7">
        <f ca="1">IFERROR(__xludf.DUMMYFUNCTION("""COMPUTED_VALUE"""),44828)</f>
        <v>44828</v>
      </c>
      <c r="B9942" s="6" t="str">
        <f ca="1">IFERROR(__xludf.DUMMYFUNCTION("""COMPUTED_VALUE"""),"-33.361457-70.801230")</f>
        <v>-33.361457-70.801230</v>
      </c>
      <c r="C9942" s="6" t="str">
        <f ca="1">IFERROR(__xludf.DUMMYFUNCTION("""COMPUTED_VALUE"""),"EL NOGAL 630")</f>
        <v>EL NOGAL 630</v>
      </c>
      <c r="D9942" s="6" t="str">
        <f ca="1">IFERROR(__xludf.DUMMYFUNCTION("""COMPUTED_VALUE"""),"PADRE HURTADO")</f>
        <v>PADRE HURTADO</v>
      </c>
    </row>
    <row r="9943" spans="1:4">
      <c r="A9943" s="7">
        <f ca="1">IFERROR(__xludf.DUMMYFUNCTION("""COMPUTED_VALUE"""),44828)</f>
        <v>44828</v>
      </c>
      <c r="B9943" s="6" t="str">
        <f ca="1">IFERROR(__xludf.DUMMYFUNCTION("""COMPUTED_VALUE"""),"-33.408417-71.150222")</f>
        <v>-33.408417-71.150222</v>
      </c>
      <c r="C9943" s="6" t="str">
        <f ca="1">IFERROR(__xludf.DUMMYFUNCTION("""COMPUTED_VALUE"""),"ISABEL RIQUELME 449")</f>
        <v>ISABEL RIQUELME 449</v>
      </c>
      <c r="D9943" s="6" t="str">
        <f ca="1">IFERROR(__xludf.DUMMYFUNCTION("""COMPUTED_VALUE"""),"CURACAVI")</f>
        <v>CURACAVI</v>
      </c>
    </row>
    <row r="9944" spans="1:4">
      <c r="A9944" s="7">
        <f ca="1">IFERROR(__xludf.DUMMYFUNCTION("""COMPUTED_VALUE"""),44828)</f>
        <v>44828</v>
      </c>
      <c r="B9944" s="6" t="str">
        <f ca="1">IFERROR(__xludf.DUMMYFUNCTION("""COMPUTED_VALUE"""),"-33.236714-71.143361")</f>
        <v>-33.236714-71.143361</v>
      </c>
      <c r="C9944" s="6" t="str">
        <f ca="1">IFERROR(__xludf.DUMMYFUNCTION("""COMPUTED_VALUE"""),"SAN JOSE 112")</f>
        <v>SAN JOSE 112</v>
      </c>
      <c r="D9944" s="6" t="str">
        <f ca="1">IFERROR(__xludf.DUMMYFUNCTION("""COMPUTED_VALUE"""),"CURACAVI")</f>
        <v>CURACAVI</v>
      </c>
    </row>
    <row r="9945" spans="1:4">
      <c r="A9945" s="7">
        <f ca="1">IFERROR(__xludf.DUMMYFUNCTION("""COMPUTED_VALUE"""),44830)</f>
        <v>44830</v>
      </c>
      <c r="B9945" s="8" t="str">
        <f ca="1">IFERROR(__xludf.DUMMYFUNCTION("""COMPUTED_VALUE"""),"-33.2877423, -70.877833")</f>
        <v>-33.2877423, -70.877833</v>
      </c>
      <c r="C9945" s="6" t="str">
        <f ca="1">IFERROR(__xludf.DUMMYFUNCTION("""COMPUTED_VALUE"""),"SEBASTIAN YENEZ 132")</f>
        <v>SEBASTIAN YENEZ 132</v>
      </c>
      <c r="D9945" s="6" t="str">
        <f ca="1">IFERROR(__xludf.DUMMYFUNCTION("""COMPUTED_VALUE"""),"LAMPA")</f>
        <v>LAMPA</v>
      </c>
    </row>
    <row r="9946" spans="1:4">
      <c r="A9946" s="7">
        <f ca="1">IFERROR(__xludf.DUMMYFUNCTION("""COMPUTED_VALUE"""),44830)</f>
        <v>44830</v>
      </c>
      <c r="B9946" s="8" t="str">
        <f ca="1">IFERROR(__xludf.DUMMYFUNCTION("""COMPUTED_VALUE"""),"-33.2285751, -70.7624223")</f>
        <v>-33.2285751, -70.7624223</v>
      </c>
      <c r="C9946" s="6" t="str">
        <f ca="1">IFERROR(__xludf.DUMMYFUNCTION("""COMPUTED_VALUE"""),"PANAMERICANA NORTE 27 PARCELA 12")</f>
        <v>PANAMERICANA NORTE 27 PARCELA 12</v>
      </c>
      <c r="D9946" s="6" t="str">
        <f ca="1">IFERROR(__xludf.DUMMYFUNCTION("""COMPUTED_VALUE"""),"LAMPA")</f>
        <v>LAMPA</v>
      </c>
    </row>
    <row r="9947" spans="1:4">
      <c r="A9947" s="7">
        <f ca="1">IFERROR(__xludf.DUMMYFUNCTION("""COMPUTED_VALUE"""),44830)</f>
        <v>44830</v>
      </c>
      <c r="B9947" s="8" t="str">
        <f ca="1">IFERROR(__xludf.DUMMYFUNCTION("""COMPUTED_VALUE"""),"-33.693372, -71.222436")</f>
        <v>-33.693372, -71.222436</v>
      </c>
      <c r="C9947" s="6" t="str">
        <f ca="1">IFERROR(__xludf.DUMMYFUNCTION("""COMPUTED_VALUE"""),"PASEJE SEIS 1031")</f>
        <v>PASEJE SEIS 1031</v>
      </c>
      <c r="D9947" s="6" t="str">
        <f ca="1">IFERROR(__xludf.DUMMYFUNCTION("""COMPUTED_VALUE"""),"MELIPILLA")</f>
        <v>MELIPILLA</v>
      </c>
    </row>
    <row r="9948" spans="1:4">
      <c r="A9948" s="7">
        <f ca="1">IFERROR(__xludf.DUMMYFUNCTION("""COMPUTED_VALUE"""),44830)</f>
        <v>44830</v>
      </c>
      <c r="B9948" s="6" t="str">
        <f ca="1">IFERROR(__xludf.DUMMYFUNCTION("""COMPUTED_VALUE"""),"-33.235341-70.813265")</f>
        <v>-33.235341-70.813265</v>
      </c>
      <c r="C9948" s="6" t="str">
        <f ca="1">IFERROR(__xludf.DUMMYFUNCTION("""COMPUTED_VALUE"""),"PEDRO MONTT 90")</f>
        <v>PEDRO MONTT 90</v>
      </c>
      <c r="D9948" s="6" t="str">
        <f ca="1">IFERROR(__xludf.DUMMYFUNCTION("""COMPUTED_VALUE"""),"LAMPA")</f>
        <v>LAMPA</v>
      </c>
    </row>
    <row r="9949" spans="1:4">
      <c r="A9949" s="7">
        <f ca="1">IFERROR(__xludf.DUMMYFUNCTION("""COMPUTED_VALUE"""),44830)</f>
        <v>44830</v>
      </c>
      <c r="B9949" s="6" t="str">
        <f ca="1">IFERROR(__xludf.DUMMYFUNCTION("""COMPUTED_VALUE"""),"-33.598536-70.873651")</f>
        <v>-33.598536-70.873651</v>
      </c>
      <c r="C9949" s="6" t="str">
        <f ca="1">IFERROR(__xludf.DUMMYFUNCTION("""COMPUTED_VALUE"""),"AV. MIRAFLORES 2145")</f>
        <v>AV. MIRAFLORES 2145</v>
      </c>
      <c r="D9949" s="6" t="str">
        <f ca="1">IFERROR(__xludf.DUMMYFUNCTION("""COMPUTED_VALUE"""),"PEÑAFLOR")</f>
        <v>PEÑAFLOR</v>
      </c>
    </row>
    <row r="9950" spans="1:4">
      <c r="A9950" s="7">
        <f ca="1">IFERROR(__xludf.DUMMYFUNCTION("""COMPUTED_VALUE"""),44830)</f>
        <v>44830</v>
      </c>
      <c r="B9950" s="6" t="str">
        <f ca="1">IFERROR(__xludf.DUMMYFUNCTION("""COMPUTED_VALUE"""),"-33.576488-70.803411")</f>
        <v>-33.576488-70.803411</v>
      </c>
      <c r="C9950" s="6" t="str">
        <f ca="1">IFERROR(__xludf.DUMMYFUNCTION("""COMPUTED_VALUE"""),"VALLE DE LA LUNA 2016")</f>
        <v>VALLE DE LA LUNA 2016</v>
      </c>
      <c r="D9950" s="6" t="str">
        <f ca="1">IFERROR(__xludf.DUMMYFUNCTION("""COMPUTED_VALUE"""),"PADRE HURTADO")</f>
        <v>PADRE HURTADO</v>
      </c>
    </row>
    <row r="9951" spans="1:4">
      <c r="A9951" s="7">
        <f ca="1">IFERROR(__xludf.DUMMYFUNCTION("""COMPUTED_VALUE"""),44830)</f>
        <v>44830</v>
      </c>
      <c r="B9951" s="6" t="str">
        <f ca="1">IFERROR(__xludf.DUMMYFUNCTION("""COMPUTED_VALUE"""),"-33.78332-70.23808")</f>
        <v>-33.78332-70.23808</v>
      </c>
      <c r="C9951" s="6" t="str">
        <f ca="1">IFERROR(__xludf.DUMMYFUNCTION("""COMPUTED_VALUE"""),"CAMINO AL VOLCAN 41590")</f>
        <v>CAMINO AL VOLCAN 41590</v>
      </c>
      <c r="D9951" s="6" t="str">
        <f ca="1">IFERROR(__xludf.DUMMYFUNCTION("""COMPUTED_VALUE"""),"SAN JOSE DE MAIPO")</f>
        <v>SAN JOSE DE MAIPO</v>
      </c>
    </row>
    <row r="9952" spans="1:4">
      <c r="A9952" s="7">
        <f ca="1">IFERROR(__xludf.DUMMYFUNCTION("""COMPUTED_VALUE"""),44830)</f>
        <v>44830</v>
      </c>
      <c r="B9952" s="6" t="str">
        <f ca="1">IFERROR(__xludf.DUMMYFUNCTION("""COMPUTED_VALUE"""),"-33.64002-70.34778")</f>
        <v>-33.64002-70.34778</v>
      </c>
      <c r="C9952" s="6" t="str">
        <f ca="1">IFERROR(__xludf.DUMMYFUNCTION("""COMPUTED_VALUE"""),"LAS ROSAS 14717")</f>
        <v>LAS ROSAS 14717</v>
      </c>
      <c r="D9952" s="6" t="str">
        <f ca="1">IFERROR(__xludf.DUMMYFUNCTION("""COMPUTED_VALUE"""),"SAN JOSE DE MAIPO")</f>
        <v>SAN JOSE DE MAIPO</v>
      </c>
    </row>
    <row r="9953" spans="1:4">
      <c r="A9953" s="7">
        <f ca="1">IFERROR(__xludf.DUMMYFUNCTION("""COMPUTED_VALUE"""),44830)</f>
        <v>44830</v>
      </c>
      <c r="B9953" s="8" t="str">
        <f ca="1">IFERROR(__xludf.DUMMYFUNCTION("""COMPUTED_VALUE"""),"-33.405902,-71127456")</f>
        <v>-33.405902,-71127456</v>
      </c>
      <c r="C9953" s="6" t="str">
        <f ca="1">IFERROR(__xludf.DUMMYFUNCTION("""COMPUTED_VALUE"""),"EL PANGAL 1821")</f>
        <v>EL PANGAL 1821</v>
      </c>
      <c r="D9953" s="6" t="str">
        <f ca="1">IFERROR(__xludf.DUMMYFUNCTION("""COMPUTED_VALUE"""),"CURACAVI")</f>
        <v>CURACAVI</v>
      </c>
    </row>
    <row r="9954" spans="1:4">
      <c r="A9954" s="7">
        <f ca="1">IFERROR(__xludf.DUMMYFUNCTION("""COMPUTED_VALUE"""),44830)</f>
        <v>44830</v>
      </c>
      <c r="B9954" s="8" t="str">
        <f ca="1">IFERROR(__xludf.DUMMYFUNCTION("""COMPUTED_VALUE"""),"-33.412265,-71.121353")</f>
        <v>-33.412265,-71.121353</v>
      </c>
      <c r="C9954" s="6" t="str">
        <f ca="1">IFERROR(__xludf.DUMMYFUNCTION("""COMPUTED_VALUE"""),"LAS ROSAS 2")</f>
        <v>LAS ROSAS 2</v>
      </c>
      <c r="D9954" s="6" t="str">
        <f ca="1">IFERROR(__xludf.DUMMYFUNCTION("""COMPUTED_VALUE"""),"CURACAVI")</f>
        <v>CURACAVI</v>
      </c>
    </row>
    <row r="9955" spans="1:4">
      <c r="A9955" s="7">
        <f ca="1">IFERROR(__xludf.DUMMYFUNCTION("""COMPUTED_VALUE"""),44830)</f>
        <v>44830</v>
      </c>
      <c r="B9955" s="6" t="str">
        <f ca="1">IFERROR(__xludf.DUMMYFUNCTION("""COMPUTED_VALUE"""),"-33.755510,-70.898890")</f>
        <v>-33.755510,-70.898890</v>
      </c>
      <c r="C9955" s="6" t="str">
        <f ca="1">IFERROR(__xludf.DUMMYFUNCTION("""COMPUTED_VALUE"""),"AVENIDA SANTELICES 258")</f>
        <v>AVENIDA SANTELICES 258</v>
      </c>
      <c r="D9955" s="6" t="str">
        <f ca="1">IFERROR(__xludf.DUMMYFUNCTION("""COMPUTED_VALUE"""),"ISLA DE MAIPO")</f>
        <v>ISLA DE MAIPO</v>
      </c>
    </row>
    <row r="9956" spans="1:4">
      <c r="A9956" s="7">
        <f ca="1">IFERROR(__xludf.DUMMYFUNCTION("""COMPUTED_VALUE"""),44830)</f>
        <v>44830</v>
      </c>
      <c r="B9956" s="6" t="str">
        <f ca="1">IFERROR(__xludf.DUMMYFUNCTION("""COMPUTED_VALUE"""),"-33.8141090,-70.7354628")</f>
        <v>-33.8141090,-70.7354628</v>
      </c>
      <c r="C9956" s="6" t="str">
        <f ca="1">IFERROR(__xludf.DUMMYFUNCTION("""COMPUTED_VALUE"""),"PASAJE CINCO 991")</f>
        <v>PASAJE CINCO 991</v>
      </c>
      <c r="D9956" s="6" t="str">
        <f ca="1">IFERROR(__xludf.DUMMYFUNCTION("""COMPUTED_VALUE"""),"PAINE")</f>
        <v>PAINE</v>
      </c>
    </row>
    <row r="9957" spans="1:4">
      <c r="A9957" s="7">
        <f ca="1">IFERROR(__xludf.DUMMYFUNCTION("""COMPUTED_VALUE"""),44830)</f>
        <v>44830</v>
      </c>
      <c r="B9957" s="6" t="str">
        <f ca="1">IFERROR(__xludf.DUMMYFUNCTION("""COMPUTED_VALUE"""),"-33.8168690,-70.7407172")</f>
        <v>-33.8168690,-70.7407172</v>
      </c>
      <c r="C9957" s="6" t="str">
        <f ca="1">IFERROR(__xludf.DUMMYFUNCTION("""COMPUTED_VALUE"""),"ARRECIFE 1327")</f>
        <v>ARRECIFE 1327</v>
      </c>
      <c r="D9957" s="6" t="str">
        <f ca="1">IFERROR(__xludf.DUMMYFUNCTION("""COMPUTED_VALUE"""),"PAINE")</f>
        <v>PAINE</v>
      </c>
    </row>
    <row r="9958" spans="1:4">
      <c r="A9958" s="7">
        <f ca="1">IFERROR(__xludf.DUMMYFUNCTION("""COMPUTED_VALUE"""),44830)</f>
        <v>44830</v>
      </c>
      <c r="B9958" s="6" t="str">
        <f ca="1">IFERROR(__xludf.DUMMYFUNCTION("""COMPUTED_VALUE"""),"-33.184171,-70.650094")</f>
        <v>-33.184171,-70.650094</v>
      </c>
      <c r="C9958" s="6" t="str">
        <f ca="1">IFERROR(__xludf.DUMMYFUNCTION("""COMPUTED_VALUE"""),"EL SAUCE 12")</f>
        <v>EL SAUCE 12</v>
      </c>
      <c r="D9958" s="6" t="str">
        <f ca="1">IFERROR(__xludf.DUMMYFUNCTION("""COMPUTED_VALUE"""),"COLINA")</f>
        <v>COLINA</v>
      </c>
    </row>
    <row r="9959" spans="1:4">
      <c r="A9959" s="7">
        <f ca="1">IFERROR(__xludf.DUMMYFUNCTION("""COMPUTED_VALUE"""),44831)</f>
        <v>44831</v>
      </c>
      <c r="B9959" s="6" t="str">
        <f ca="1">IFERROR(__xludf.DUMMYFUNCTION("""COMPUTED_VALUE"""),"-33.406563-71.127786")</f>
        <v>-33.406563-71.127786</v>
      </c>
      <c r="C9959" s="6" t="str">
        <f ca="1">IFERROR(__xludf.DUMMYFUNCTION("""COMPUTED_VALUE"""),"EL MELOCOTON 1818")</f>
        <v>EL MELOCOTON 1818</v>
      </c>
      <c r="D9959" s="6" t="str">
        <f ca="1">IFERROR(__xludf.DUMMYFUNCTION("""COMPUTED_VALUE"""),"CURACAVI")</f>
        <v>CURACAVI</v>
      </c>
    </row>
    <row r="9960" spans="1:4">
      <c r="A9960" s="7">
        <f ca="1">IFERROR(__xludf.DUMMYFUNCTION("""COMPUTED_VALUE"""),44831)</f>
        <v>44831</v>
      </c>
      <c r="B9960" s="6" t="str">
        <f ca="1">IFERROR(__xludf.DUMMYFUNCTION("""COMPUTED_VALUE"""),"-34.025358-70.994121")</f>
        <v>-34.025358-70.994121</v>
      </c>
      <c r="C9960" s="6" t="str">
        <f ca="1">IFERROR(__xludf.DUMMYFUNCTION("""COMPUTED_VALUE"""),"EL ASIENTO PC3")</f>
        <v>EL ASIENTO PC3</v>
      </c>
      <c r="D9960" s="6" t="str">
        <f ca="1">IFERROR(__xludf.DUMMYFUNCTION("""COMPUTED_VALUE"""),"ALHUÉ")</f>
        <v>ALHUÉ</v>
      </c>
    </row>
    <row r="9961" spans="1:4">
      <c r="A9961" s="7">
        <f ca="1">IFERROR(__xludf.DUMMYFUNCTION("""COMPUTED_VALUE"""),44831)</f>
        <v>44831</v>
      </c>
      <c r="B9961" s="6" t="str">
        <f ca="1">IFERROR(__xludf.DUMMYFUNCTION("""COMPUTED_VALUE"""),"-34.025358-70.994121")</f>
        <v>-34.025358-70.994121</v>
      </c>
      <c r="C9961" s="6" t="str">
        <f ca="1">IFERROR(__xludf.DUMMYFUNCTION("""COMPUTED_VALUE"""),"EL ASIENTO PC3")</f>
        <v>EL ASIENTO PC3</v>
      </c>
      <c r="D9961" s="6" t="str">
        <f ca="1">IFERROR(__xludf.DUMMYFUNCTION("""COMPUTED_VALUE"""),"ALHUÉ")</f>
        <v>ALHUÉ</v>
      </c>
    </row>
    <row r="9962" spans="1:4">
      <c r="A9962" s="7">
        <f ca="1">IFERROR(__xludf.DUMMYFUNCTION("""COMPUTED_VALUE"""),44831)</f>
        <v>44831</v>
      </c>
      <c r="B9962" s="6" t="str">
        <f ca="1">IFERROR(__xludf.DUMMYFUNCTION("""COMPUTED_VALUE"""),"-34.028866-71.087636")</f>
        <v>-34.028866-71.087636</v>
      </c>
      <c r="C9962" s="6" t="str">
        <f ca="1">IFERROR(__xludf.DUMMYFUNCTION("""COMPUTED_VALUE"""),"EL ASIENTO S/N")</f>
        <v>EL ASIENTO S/N</v>
      </c>
      <c r="D9962" s="6" t="str">
        <f ca="1">IFERROR(__xludf.DUMMYFUNCTION("""COMPUTED_VALUE"""),"ALHUÉ")</f>
        <v>ALHUÉ</v>
      </c>
    </row>
    <row r="9963" spans="1:4">
      <c r="A9963" s="7">
        <f ca="1">IFERROR(__xludf.DUMMYFUNCTION("""COMPUTED_VALUE"""),44831)</f>
        <v>44831</v>
      </c>
      <c r="B9963" s="6" t="str">
        <f ca="1">IFERROR(__xludf.DUMMYFUNCTION("""COMPUTED_VALUE"""),"-34.029171-71.087547")</f>
        <v>-34.029171-71.087547</v>
      </c>
      <c r="C9963" s="6" t="str">
        <f ca="1">IFERROR(__xludf.DUMMYFUNCTION("""COMPUTED_VALUE"""),"IGNACIO CARRERA PINTO 1")</f>
        <v>IGNACIO CARRERA PINTO 1</v>
      </c>
      <c r="D9963" s="6" t="str">
        <f ca="1">IFERROR(__xludf.DUMMYFUNCTION("""COMPUTED_VALUE"""),"ALHUÉ")</f>
        <v>ALHUÉ</v>
      </c>
    </row>
    <row r="9964" spans="1:4">
      <c r="A9964" s="7">
        <f ca="1">IFERROR(__xludf.DUMMYFUNCTION("""COMPUTED_VALUE"""),44831)</f>
        <v>44831</v>
      </c>
      <c r="B9964" s="6" t="str">
        <f ca="1">IFERROR(__xludf.DUMMYFUNCTION("""COMPUTED_VALUE"""),"-34.017261-71.086241")</f>
        <v>-34.017261-71.086241</v>
      </c>
      <c r="C9964" s="6" t="str">
        <f ca="1">IFERROR(__xludf.DUMMYFUNCTION("""COMPUTED_VALUE"""),"FUNDO POLULO S/N")</f>
        <v>FUNDO POLULO S/N</v>
      </c>
      <c r="D9964" s="6" t="str">
        <f ca="1">IFERROR(__xludf.DUMMYFUNCTION("""COMPUTED_VALUE"""),"ALHUÉ")</f>
        <v>ALHUÉ</v>
      </c>
    </row>
    <row r="9965" spans="1:4">
      <c r="A9965" s="7">
        <f ca="1">IFERROR(__xludf.DUMMYFUNCTION("""COMPUTED_VALUE"""),44831)</f>
        <v>44831</v>
      </c>
      <c r="B9965" s="8" t="str">
        <f ca="1">IFERROR(__xludf.DUMMYFUNCTION("""COMPUTED_VALUE"""),"-33.201065,-70.646976")</f>
        <v>-33.201065,-70.646976</v>
      </c>
      <c r="C9965" s="6" t="str">
        <f ca="1">IFERROR(__xludf.DUMMYFUNCTION("""COMPUTED_VALUE"""),"AV. CASA DE PIEDRA 276-60")</f>
        <v>AV. CASA DE PIEDRA 276-60</v>
      </c>
      <c r="D9965" s="6" t="str">
        <f ca="1">IFERROR(__xludf.DUMMYFUNCTION("""COMPUTED_VALUE"""),"COLINA")</f>
        <v>COLINA</v>
      </c>
    </row>
    <row r="9966" spans="1:4">
      <c r="A9966" s="7">
        <f ca="1">IFERROR(__xludf.DUMMYFUNCTION("""COMPUTED_VALUE"""),44831)</f>
        <v>44831</v>
      </c>
      <c r="B9966" s="8" t="str">
        <f ca="1">IFERROR(__xludf.DUMMYFUNCTION("""COMPUTED_VALUE"""),"-33.201065,-70.646976")</f>
        <v>-33.201065,-70.646976</v>
      </c>
      <c r="C9966" s="6" t="str">
        <f ca="1">IFERROR(__xludf.DUMMYFUNCTION("""COMPUTED_VALUE"""),"AV. CASA DE PIEDRA 276-60")</f>
        <v>AV. CASA DE PIEDRA 276-60</v>
      </c>
      <c r="D9966" s="6" t="str">
        <f ca="1">IFERROR(__xludf.DUMMYFUNCTION("""COMPUTED_VALUE"""),"COLINA")</f>
        <v>COLINA</v>
      </c>
    </row>
    <row r="9967" spans="1:4">
      <c r="A9967" s="7">
        <f ca="1">IFERROR(__xludf.DUMMYFUNCTION("""COMPUTED_VALUE"""),44831)</f>
        <v>44831</v>
      </c>
      <c r="B9967" s="6" t="str">
        <f ca="1">IFERROR(__xludf.DUMMYFUNCTION("""COMPUTED_VALUE"""),"-33.753273,-70.890210")</f>
        <v>-33.753273,-70.890210</v>
      </c>
      <c r="C9967" s="6" t="str">
        <f ca="1">IFERROR(__xludf.DUMMYFUNCTION("""COMPUTED_VALUE"""),"LA PARVA 473")</f>
        <v>LA PARVA 473</v>
      </c>
      <c r="D9967" s="6" t="str">
        <f ca="1">IFERROR(__xludf.DUMMYFUNCTION("""COMPUTED_VALUE"""),"ISLA DE MAIPO")</f>
        <v>ISLA DE MAIPO</v>
      </c>
    </row>
    <row r="9968" spans="1:4">
      <c r="A9968" s="7">
        <f ca="1">IFERROR(__xludf.DUMMYFUNCTION("""COMPUTED_VALUE"""),44831)</f>
        <v>44831</v>
      </c>
      <c r="B9968" s="6" t="str">
        <f ca="1">IFERROR(__xludf.DUMMYFUNCTION("""COMPUTED_VALUE"""),"-33.273864,-70886264")</f>
        <v>-33.273864,-70886264</v>
      </c>
      <c r="C9968" s="6" t="str">
        <f ca="1">IFERROR(__xludf.DUMMYFUNCTION("""COMPUTED_VALUE"""),"CAMPAMENTO MEDIA LUNA S/N")</f>
        <v>CAMPAMENTO MEDIA LUNA S/N</v>
      </c>
      <c r="D9968" s="6" t="str">
        <f ca="1">IFERROR(__xludf.DUMMYFUNCTION("""COMPUTED_VALUE"""),"LAMPA")</f>
        <v>LAMPA</v>
      </c>
    </row>
    <row r="9969" spans="1:4">
      <c r="A9969" s="7">
        <f ca="1">IFERROR(__xludf.DUMMYFUNCTION("""COMPUTED_VALUE"""),44831)</f>
        <v>44831</v>
      </c>
      <c r="B9969" s="6" t="str">
        <f ca="1">IFERROR(__xludf.DUMMYFUNCTION("""COMPUTED_VALUE"""),"-33.273981,-70.885848")</f>
        <v>-33.273981,-70.885848</v>
      </c>
      <c r="C9969" s="6" t="str">
        <f ca="1">IFERROR(__xludf.DUMMYFUNCTION("""COMPUTED_VALUE"""),"CAMPAMENTO MEDIA LUNA S/N")</f>
        <v>CAMPAMENTO MEDIA LUNA S/N</v>
      </c>
      <c r="D9969" s="6" t="str">
        <f ca="1">IFERROR(__xludf.DUMMYFUNCTION("""COMPUTED_VALUE"""),"LAMPA")</f>
        <v>LAMPA</v>
      </c>
    </row>
    <row r="9970" spans="1:4">
      <c r="A9970" s="7">
        <f ca="1">IFERROR(__xludf.DUMMYFUNCTION("""COMPUTED_VALUE"""),44831)</f>
        <v>44831</v>
      </c>
      <c r="B9970" s="8" t="str">
        <f ca="1">IFERROR(__xludf.DUMMYFUNCTION("""COMPUTED_VALUE"""),"-33.803276,-70.728813")</f>
        <v>-33.803276,-70.728813</v>
      </c>
      <c r="C9970" s="6" t="str">
        <f ca="1">IFERROR(__xludf.DUMMYFUNCTION("""COMPUTED_VALUE"""),"RIO YELCHO 33 ")</f>
        <v xml:space="preserve">RIO YELCHO 33 </v>
      </c>
      <c r="D9970" s="6" t="str">
        <f ca="1">IFERROR(__xludf.DUMMYFUNCTION("""COMPUTED_VALUE"""),"PAINE")</f>
        <v>PAINE</v>
      </c>
    </row>
    <row r="9971" spans="1:4">
      <c r="A9971" s="7">
        <f ca="1">IFERROR(__xludf.DUMMYFUNCTION("""COMPUTED_VALUE"""),44831)</f>
        <v>44831</v>
      </c>
      <c r="B9971" s="6" t="str">
        <f ca="1">IFERROR(__xludf.DUMMYFUNCTION("""COMPUTED_VALUE"""),"-33.8062635,-70.7317715")</f>
        <v>-33.8062635,-70.7317715</v>
      </c>
      <c r="C9971" s="6" t="str">
        <f ca="1">IFERROR(__xludf.DUMMYFUNCTION("""COMPUTED_VALUE"""),"BLANCA LEYTON 533")</f>
        <v>BLANCA LEYTON 533</v>
      </c>
      <c r="D9971" s="6" t="str">
        <f ca="1">IFERROR(__xludf.DUMMYFUNCTION("""COMPUTED_VALUE"""),"PAINE")</f>
        <v>PAINE</v>
      </c>
    </row>
    <row r="9972" spans="1:4">
      <c r="A9972" s="7">
        <f ca="1">IFERROR(__xludf.DUMMYFUNCTION("""COMPUTED_VALUE"""),44831)</f>
        <v>44831</v>
      </c>
      <c r="B9972" s="6" t="str">
        <f ca="1">IFERROR(__xludf.DUMMYFUNCTION("""COMPUTED_VALUE"""),"-33.806829,-70.731790")</f>
        <v>-33.806829,-70.731790</v>
      </c>
      <c r="C9972" s="6" t="str">
        <f ca="1">IFERROR(__xludf.DUMMYFUNCTION("""COMPUTED_VALUE"""),"DIECIOCHO DE SEPTIEMBRE 721")</f>
        <v>DIECIOCHO DE SEPTIEMBRE 721</v>
      </c>
      <c r="D9972" s="6" t="str">
        <f ca="1">IFERROR(__xludf.DUMMYFUNCTION("""COMPUTED_VALUE"""),"PAINE")</f>
        <v>PAINE</v>
      </c>
    </row>
    <row r="9973" spans="1:4">
      <c r="A9973" s="7">
        <f ca="1">IFERROR(__xludf.DUMMYFUNCTION("""COMPUTED_VALUE"""),44831)</f>
        <v>44831</v>
      </c>
      <c r="B9973" s="6" t="str">
        <f ca="1">IFERROR(__xludf.DUMMYFUNCTION("""COMPUTED_VALUE"""),"-33.575393,-70.812369")</f>
        <v>-33.575393,-70.812369</v>
      </c>
      <c r="C9973" s="6" t="str">
        <f ca="1">IFERROR(__xludf.DUMMYFUNCTION("""COMPUTED_VALUE"""),"VOLCAN ANTUCO 700")</f>
        <v>VOLCAN ANTUCO 700</v>
      </c>
      <c r="D9973" s="6" t="str">
        <f ca="1">IFERROR(__xludf.DUMMYFUNCTION("""COMPUTED_VALUE"""),"PADRE HURTADO")</f>
        <v>PADRE HURTADO</v>
      </c>
    </row>
    <row r="9974" spans="1:4">
      <c r="A9974" s="7">
        <f ca="1">IFERROR(__xludf.DUMMYFUNCTION("""COMPUTED_VALUE"""),44831)</f>
        <v>44831</v>
      </c>
      <c r="B9974" s="6" t="str">
        <f ca="1">IFERROR(__xludf.DUMMYFUNCTION("""COMPUTED_VALUE"""),"-33.535898,-70.903902")</f>
        <v>-33.535898,-70.903902</v>
      </c>
      <c r="C9974" s="6" t="str">
        <f ca="1">IFERROR(__xludf.DUMMYFUNCTION("""COMPUTED_VALUE"""),"SANTA MONICA 26")</f>
        <v>SANTA MONICA 26</v>
      </c>
      <c r="D9974" s="6" t="str">
        <f ca="1">IFERROR(__xludf.DUMMYFUNCTION("""COMPUTED_VALUE"""),"PADRE HURTADO")</f>
        <v>PADRE HURTADO</v>
      </c>
    </row>
    <row r="9975" spans="1:4">
      <c r="A9975" s="7">
        <f ca="1">IFERROR(__xludf.DUMMYFUNCTION("""COMPUTED_VALUE"""),44832)</f>
        <v>44832</v>
      </c>
      <c r="B9975" s="6" t="str">
        <f ca="1">IFERROR(__xludf.DUMMYFUNCTION("""COMPUTED_VALUE"""),"-33.450862-71.027192")</f>
        <v>-33.450862-71.027192</v>
      </c>
      <c r="C9975" s="6" t="str">
        <f ca="1">IFERROR(__xludf.DUMMYFUNCTION("""COMPUTED_VALUE"""),"UNION CHILENA 26")</f>
        <v>UNION CHILENA 26</v>
      </c>
      <c r="D9975" s="6" t="str">
        <f ca="1">IFERROR(__xludf.DUMMYFUNCTION("""COMPUTED_VALUE"""),"CURACAVI")</f>
        <v>CURACAVI</v>
      </c>
    </row>
    <row r="9976" spans="1:4">
      <c r="A9976" s="7">
        <f ca="1">IFERROR(__xludf.DUMMYFUNCTION("""COMPUTED_VALUE"""),44832)</f>
        <v>44832</v>
      </c>
      <c r="B9976" s="6" t="str">
        <f ca="1">IFERROR(__xludf.DUMMYFUNCTION("""COMPUTED_VALUE"""),"-33.756427,-70.892556")</f>
        <v>-33.756427,-70.892556</v>
      </c>
      <c r="C9976" s="6" t="str">
        <f ca="1">IFERROR(__xludf.DUMMYFUNCTION("""COMPUTED_VALUE"""),"PRIMAVERA SUR 340")</f>
        <v>PRIMAVERA SUR 340</v>
      </c>
      <c r="D9976" s="6" t="str">
        <f ca="1">IFERROR(__xludf.DUMMYFUNCTION("""COMPUTED_VALUE"""),"ISLA DE MAIPO")</f>
        <v>ISLA DE MAIPO</v>
      </c>
    </row>
    <row r="9977" spans="1:4">
      <c r="A9977" s="7">
        <f ca="1">IFERROR(__xludf.DUMMYFUNCTION("""COMPUTED_VALUE"""),44832)</f>
        <v>44832</v>
      </c>
      <c r="B9977" s="8" t="str">
        <f ca="1">IFERROR(__xludf.DUMMYFUNCTION("""COMPUTED_VALUE"""),"-33.2063260,-70.6800700")</f>
        <v>-33.2063260,-70.6800700</v>
      </c>
      <c r="C9977" s="6" t="str">
        <f ca="1">IFERROR(__xludf.DUMMYFUNCTION("""COMPUTED_VALUE"""),"CAUPOLICAN 034")</f>
        <v>CAUPOLICAN 034</v>
      </c>
      <c r="D9977" s="6" t="str">
        <f ca="1">IFERROR(__xludf.DUMMYFUNCTION("""COMPUTED_VALUE"""),"COLINA")</f>
        <v>COLINA</v>
      </c>
    </row>
    <row r="9978" spans="1:4">
      <c r="A9978" s="7">
        <f ca="1">IFERROR(__xludf.DUMMYFUNCTION("""COMPUTED_VALUE"""),44832)</f>
        <v>44832</v>
      </c>
      <c r="B9978" s="8" t="str">
        <f ca="1">IFERROR(__xludf.DUMMYFUNCTION("""COMPUTED_VALUE"""),"-33.2057040,-70.6800500")</f>
        <v>-33.2057040,-70.6800500</v>
      </c>
      <c r="C9978" s="6" t="str">
        <f ca="1">IFERROR(__xludf.DUMMYFUNCTION("""COMPUTED_VALUE"""),"LAUTARO # 015")</f>
        <v>LAUTARO # 015</v>
      </c>
      <c r="D9978" s="6" t="str">
        <f ca="1">IFERROR(__xludf.DUMMYFUNCTION("""COMPUTED_VALUE"""),"COLINA")</f>
        <v>COLINA</v>
      </c>
    </row>
    <row r="9979" spans="1:4">
      <c r="A9979" s="7">
        <f ca="1">IFERROR(__xludf.DUMMYFUNCTION("""COMPUTED_VALUE"""),44832)</f>
        <v>44832</v>
      </c>
      <c r="B9979" s="6" t="str">
        <f ca="1">IFERROR(__xludf.DUMMYFUNCTION("""COMPUTED_VALUE"""),"-33.8125856,-70.7366745")</f>
        <v>-33.8125856,-70.7366745</v>
      </c>
      <c r="C9979" s="6" t="str">
        <f ca="1">IFERROR(__xludf.DUMMYFUNCTION("""COMPUTED_VALUE"""),"SAGRADA 574")</f>
        <v>SAGRADA 574</v>
      </c>
      <c r="D9979" s="6" t="str">
        <f ca="1">IFERROR(__xludf.DUMMYFUNCTION("""COMPUTED_VALUE"""),"PAINE")</f>
        <v>PAINE</v>
      </c>
    </row>
    <row r="9980" spans="1:4">
      <c r="A9980" s="7">
        <f ca="1">IFERROR(__xludf.DUMMYFUNCTION("""COMPUTED_VALUE"""),44832)</f>
        <v>44832</v>
      </c>
      <c r="B9980" s="6" t="str">
        <f ca="1">IFERROR(__xludf.DUMMYFUNCTION("""COMPUTED_VALUE"""),"-33.8132729,-70.7344396")</f>
        <v>-33.8132729,-70.7344396</v>
      </c>
      <c r="C9980" s="6" t="str">
        <f ca="1">IFERROR(__xludf.DUMMYFUNCTION("""COMPUTED_VALUE"""),"LOS HEROES 957")</f>
        <v>LOS HEROES 957</v>
      </c>
      <c r="D9980" s="6" t="str">
        <f ca="1">IFERROR(__xludf.DUMMYFUNCTION("""COMPUTED_VALUE"""),"PAINE")</f>
        <v>PAINE</v>
      </c>
    </row>
    <row r="9981" spans="1:4">
      <c r="A9981" s="7">
        <f ca="1">IFERROR(__xludf.DUMMYFUNCTION("""COMPUTED_VALUE"""),44832)</f>
        <v>44832</v>
      </c>
      <c r="B9981" s="6" t="str">
        <f ca="1">IFERROR(__xludf.DUMMYFUNCTION("""COMPUTED_VALUE"""),"-33.200637,-70.679756")</f>
        <v>-33.200637,-70.679756</v>
      </c>
      <c r="C9981" s="6" t="str">
        <f ca="1">IFERROR(__xludf.DUMMYFUNCTION("""COMPUTED_VALUE"""),"PASAJE MENTA 0517")</f>
        <v>PASAJE MENTA 0517</v>
      </c>
      <c r="D9981" s="6" t="str">
        <f ca="1">IFERROR(__xludf.DUMMYFUNCTION("""COMPUTED_VALUE"""),"COLINA")</f>
        <v>COLINA</v>
      </c>
    </row>
    <row r="9982" spans="1:4">
      <c r="A9982" s="7">
        <f ca="1">IFERROR(__xludf.DUMMYFUNCTION("""COMPUTED_VALUE"""),44832)</f>
        <v>44832</v>
      </c>
      <c r="B9982" s="6" t="str">
        <f ca="1">IFERROR(__xludf.DUMMYFUNCTION("""COMPUTED_VALUE"""),"-33.729957,-70.551577")</f>
        <v>-33.729957,-70.551577</v>
      </c>
      <c r="C9982" s="6" t="str">
        <f ca="1">IFERROR(__xludf.DUMMYFUNCTION("""COMPUTED_VALUE"""),"CERRO PURGATORIO 2266")</f>
        <v>CERRO PURGATORIO 2266</v>
      </c>
      <c r="D9982" s="6" t="str">
        <f ca="1">IFERROR(__xludf.DUMMYFUNCTION("""COMPUTED_VALUE"""),"PIRQUE")</f>
        <v>PIRQUE</v>
      </c>
    </row>
    <row r="9983" spans="1:4">
      <c r="A9983" s="7">
        <f ca="1">IFERROR(__xludf.DUMMYFUNCTION("""COMPUTED_VALUE"""),44832)</f>
        <v>44832</v>
      </c>
      <c r="B9983" s="6" t="str">
        <f ca="1">IFERROR(__xludf.DUMMYFUNCTION("""COMPUTED_VALUE"""),"-33.563191,-70.887193")</f>
        <v>-33.563191,-70.887193</v>
      </c>
      <c r="C9983" s="6" t="str">
        <f ca="1">IFERROR(__xludf.DUMMYFUNCTION("""COMPUTED_VALUE"""),"LOS AROMOS 11")</f>
        <v>LOS AROMOS 11</v>
      </c>
      <c r="D9983" s="6" t="str">
        <f ca="1">IFERROR(__xludf.DUMMYFUNCTION("""COMPUTED_VALUE"""),"PADRE HURTADO")</f>
        <v>PADRE HURTADO</v>
      </c>
    </row>
    <row r="9984" spans="1:4">
      <c r="A9984" s="7">
        <f ca="1">IFERROR(__xludf.DUMMYFUNCTION("""COMPUTED_VALUE"""),44833)</f>
        <v>44833</v>
      </c>
      <c r="B9984" s="8" t="str">
        <f ca="1">IFERROR(__xludf.DUMMYFUNCTION("""COMPUTED_VALUE"""),"-33.2736138, -70.8867003")</f>
        <v>-33.2736138, -70.8867003</v>
      </c>
      <c r="C9984" s="6" t="str">
        <f ca="1">IFERROR(__xludf.DUMMYFUNCTION("""COMPUTED_VALUE"""),"CAMPAMENTO MEDIA LUNA")</f>
        <v>CAMPAMENTO MEDIA LUNA</v>
      </c>
      <c r="D9984" s="6" t="str">
        <f ca="1">IFERROR(__xludf.DUMMYFUNCTION("""COMPUTED_VALUE"""),"LAMPA")</f>
        <v>LAMPA</v>
      </c>
    </row>
    <row r="9985" spans="1:4">
      <c r="A9985" s="7">
        <f ca="1">IFERROR(__xludf.DUMMYFUNCTION("""COMPUTED_VALUE"""),44833)</f>
        <v>44833</v>
      </c>
      <c r="B9985" s="8" t="str">
        <f ca="1">IFERROR(__xludf.DUMMYFUNCTION("""COMPUTED_VALUE"""),"-33.7282092, -70.7760061")</f>
        <v>-33.7282092, -70.7760061</v>
      </c>
      <c r="C9985" s="6" t="str">
        <f ca="1">IFERROR(__xludf.DUMMYFUNCTION("""COMPUTED_VALUE"""),"EL PARRAGO 212")</f>
        <v>EL PARRAGO 212</v>
      </c>
      <c r="D9985" s="6" t="str">
        <f ca="1">IFERROR(__xludf.DUMMYFUNCTION("""COMPUTED_VALUE"""),"BUIN")</f>
        <v>BUIN</v>
      </c>
    </row>
    <row r="9986" spans="1:4">
      <c r="A9986" s="7">
        <f ca="1">IFERROR(__xludf.DUMMYFUNCTION("""COMPUTED_VALUE"""),44833)</f>
        <v>44833</v>
      </c>
      <c r="B9986" s="8" t="str">
        <f ca="1">IFERROR(__xludf.DUMMYFUNCTION("""COMPUTED_VALUE"""),"-33.2229672, -70.794245")</f>
        <v>-33.2229672, -70.794245</v>
      </c>
      <c r="C9986" s="6" t="str">
        <f ca="1">IFERROR(__xludf.DUMMYFUNCTION("""COMPUTED_VALUE"""),"CAMINO INTERIOR 3789")</f>
        <v>CAMINO INTERIOR 3789</v>
      </c>
      <c r="D9986" s="6" t="str">
        <f ca="1">IFERROR(__xludf.DUMMYFUNCTION("""COMPUTED_VALUE"""),"LAMPA")</f>
        <v>LAMPA</v>
      </c>
    </row>
    <row r="9987" spans="1:4">
      <c r="A9987" s="7">
        <f ca="1">IFERROR(__xludf.DUMMYFUNCTION("""COMPUTED_VALUE"""),44833)</f>
        <v>44833</v>
      </c>
      <c r="B9987" s="8" t="str">
        <f ca="1">IFERROR(__xludf.DUMMYFUNCTION("""COMPUTED_VALUE"""),"-33.7330383,-70.7151583")</f>
        <v>-33.7330383,-70.7151583</v>
      </c>
      <c r="C9987" s="6" t="str">
        <f ca="1">IFERROR(__xludf.DUMMYFUNCTION("""COMPUTED_VALUE"""),"PATRICIO RIOS VERGARA 321")</f>
        <v>PATRICIO RIOS VERGARA 321</v>
      </c>
      <c r="D9987" s="6" t="str">
        <f ca="1">IFERROR(__xludf.DUMMYFUNCTION("""COMPUTED_VALUE"""),"BUIN")</f>
        <v>BUIN</v>
      </c>
    </row>
    <row r="9988" spans="1:4">
      <c r="A9988" s="7">
        <f ca="1">IFERROR(__xludf.DUMMYFUNCTION("""COMPUTED_VALUE"""),44833)</f>
        <v>44833</v>
      </c>
      <c r="B9988" s="8" t="str">
        <f ca="1">IFERROR(__xludf.DUMMYFUNCTION("""COMPUTED_VALUE"""),"-33.6915444,-71.2230342")</f>
        <v>-33.6915444,-71.2230342</v>
      </c>
      <c r="C9988" s="6" t="str">
        <f ca="1">IFERROR(__xludf.DUMMYFUNCTION("""COMPUTED_VALUE"""),"LAS ACACIAS 11203")</f>
        <v>LAS ACACIAS 11203</v>
      </c>
      <c r="D9988" s="6" t="str">
        <f ca="1">IFERROR(__xludf.DUMMYFUNCTION("""COMPUTED_VALUE"""),"PIRQUE")</f>
        <v>PIRQUE</v>
      </c>
    </row>
    <row r="9989" spans="1:4">
      <c r="A9989" s="7">
        <f ca="1">IFERROR(__xludf.DUMMYFUNCTION("""COMPUTED_VALUE"""),44833)</f>
        <v>44833</v>
      </c>
      <c r="B9989" s="6" t="str">
        <f ca="1">IFERROR(__xludf.DUMMYFUNCTION("""COMPUTED_VALUE"""),"-34.033676-71.095521")</f>
        <v>-34.033676-71.095521</v>
      </c>
      <c r="C9989" s="6" t="str">
        <f ca="1">IFERROR(__xludf.DUMMYFUNCTION("""COMPUTED_VALUE"""),"DIECISEIS DE AGOSTO S/N")</f>
        <v>DIECISEIS DE AGOSTO S/N</v>
      </c>
      <c r="D9989" s="6" t="str">
        <f ca="1">IFERROR(__xludf.DUMMYFUNCTION("""COMPUTED_VALUE"""),"ALHUÉ")</f>
        <v>ALHUÉ</v>
      </c>
    </row>
    <row r="9990" spans="1:4">
      <c r="A9990" s="7">
        <f ca="1">IFERROR(__xludf.DUMMYFUNCTION("""COMPUTED_VALUE"""),44833)</f>
        <v>44833</v>
      </c>
      <c r="B9990" s="6" t="str">
        <f ca="1">IFERROR(__xludf.DUMMYFUNCTION("""COMPUTED_VALUE"""),"-34.034432-71.095474")</f>
        <v>-34.034432-71.095474</v>
      </c>
      <c r="C9990" s="6" t="str">
        <f ca="1">IFERROR(__xludf.DUMMYFUNCTION("""COMPUTED_VALUE"""),"CHACABUCO 789")</f>
        <v>CHACABUCO 789</v>
      </c>
      <c r="D9990" s="6" t="str">
        <f ca="1">IFERROR(__xludf.DUMMYFUNCTION("""COMPUTED_VALUE"""),"ALHUÉ")</f>
        <v>ALHUÉ</v>
      </c>
    </row>
    <row r="9991" spans="1:4">
      <c r="A9991" s="7">
        <f ca="1">IFERROR(__xludf.DUMMYFUNCTION("""COMPUTED_VALUE"""),44833)</f>
        <v>44833</v>
      </c>
      <c r="B9991" s="6" t="str">
        <f ca="1">IFERROR(__xludf.DUMMYFUNCTION("""COMPUTED_VALUE"""),"-34.026382-71.083976")</f>
        <v>-34.026382-71.083976</v>
      </c>
      <c r="C9991" s="6" t="str">
        <f ca="1">IFERROR(__xludf.DUMMYFUNCTION("""COMPUTED_VALUE"""),"IGNACIO CARRERA PINTO S/N")</f>
        <v>IGNACIO CARRERA PINTO S/N</v>
      </c>
      <c r="D9991" s="6" t="str">
        <f ca="1">IFERROR(__xludf.DUMMYFUNCTION("""COMPUTED_VALUE"""),"ALHUÉ")</f>
        <v>ALHUÉ</v>
      </c>
    </row>
    <row r="9992" spans="1:4">
      <c r="A9992" s="7">
        <f ca="1">IFERROR(__xludf.DUMMYFUNCTION("""COMPUTED_VALUE"""),44833)</f>
        <v>44833</v>
      </c>
      <c r="B9992" s="6" t="str">
        <f ca="1">IFERROR(__xludf.DUMMYFUNCTION("""COMPUTED_VALUE"""),"-34.026139-71.084580")</f>
        <v>-34.026139-71.084580</v>
      </c>
      <c r="C9992" s="6" t="str">
        <f ca="1">IFERROR(__xludf.DUMMYFUNCTION("""COMPUTED_VALUE"""),"IGNACIO CARRERA PINTO CV7")</f>
        <v>IGNACIO CARRERA PINTO CV7</v>
      </c>
      <c r="D9992" s="6" t="str">
        <f ca="1">IFERROR(__xludf.DUMMYFUNCTION("""COMPUTED_VALUE"""),"ALHUÉ")</f>
        <v>ALHUÉ</v>
      </c>
    </row>
    <row r="9993" spans="1:4">
      <c r="A9993" s="7">
        <f ca="1">IFERROR(__xludf.DUMMYFUNCTION("""COMPUTED_VALUE"""),44833)</f>
        <v>44833</v>
      </c>
      <c r="B9993" s="6" t="str">
        <f ca="1">IFERROR(__xludf.DUMMYFUNCTION("""COMPUTED_VALUE"""),"-34.028624-71.082459")</f>
        <v>-34.028624-71.082459</v>
      </c>
      <c r="C9993" s="6" t="str">
        <f ca="1">IFERROR(__xludf.DUMMYFUNCTION("""COMPUTED_VALUE"""),"IGNACIO CARRERA PINTO S/N")</f>
        <v>IGNACIO CARRERA PINTO S/N</v>
      </c>
      <c r="D9993" s="6" t="str">
        <f ca="1">IFERROR(__xludf.DUMMYFUNCTION("""COMPUTED_VALUE"""),"ALHUÉ")</f>
        <v>ALHUÉ</v>
      </c>
    </row>
    <row r="9994" spans="1:4">
      <c r="A9994" s="7">
        <f ca="1">IFERROR(__xludf.DUMMYFUNCTION("""COMPUTED_VALUE"""),44833)</f>
        <v>44833</v>
      </c>
      <c r="B9994" s="6" t="str">
        <f ca="1">IFERROR(__xludf.DUMMYFUNCTION("""COMPUTED_VALUE"""),"-34.028412-71.082246")</f>
        <v>-34.028412-71.082246</v>
      </c>
      <c r="C9994" s="6" t="str">
        <f ca="1">IFERROR(__xludf.DUMMYFUNCTION("""COMPUTED_VALUE"""),"IGNACIO CARRERA PINTO S/N")</f>
        <v>IGNACIO CARRERA PINTO S/N</v>
      </c>
      <c r="D9994" s="6" t="str">
        <f ca="1">IFERROR(__xludf.DUMMYFUNCTION("""COMPUTED_VALUE"""),"ALHUÉ")</f>
        <v>ALHUÉ</v>
      </c>
    </row>
    <row r="9995" spans="1:4">
      <c r="A9995" s="7">
        <f ca="1">IFERROR(__xludf.DUMMYFUNCTION("""COMPUTED_VALUE"""),44833)</f>
        <v>44833</v>
      </c>
      <c r="B9995" s="6" t="str">
        <f ca="1">IFERROR(__xludf.DUMMYFUNCTION("""COMPUTED_VALUE"""),"-34.025772-71.181521")</f>
        <v>-34.025772-71.181521</v>
      </c>
      <c r="C9995" s="6" t="str">
        <f ca="1">IFERROR(__xludf.DUMMYFUNCTION("""COMPUTED_VALUE"""),"SECTOR CAMINO A PICHE S/N")</f>
        <v>SECTOR CAMINO A PICHE S/N</v>
      </c>
      <c r="D9995" s="6" t="str">
        <f ca="1">IFERROR(__xludf.DUMMYFUNCTION("""COMPUTED_VALUE"""),"ALHUÉ")</f>
        <v>ALHUÉ</v>
      </c>
    </row>
    <row r="9996" spans="1:4">
      <c r="A9996" s="7">
        <f ca="1">IFERROR(__xludf.DUMMYFUNCTION("""COMPUTED_VALUE"""),44833)</f>
        <v>44833</v>
      </c>
      <c r="B9996" s="8" t="str">
        <f ca="1">IFERROR(__xludf.DUMMYFUNCTION("""COMPUTED_VALUE"""),"-33.724940,-70.540934")</f>
        <v>-33.724940,-70.540934</v>
      </c>
      <c r="C9996" s="6" t="str">
        <f ca="1">IFERROR(__xludf.DUMMYFUNCTION("""COMPUTED_VALUE"""),"LA ESCUELA 80")</f>
        <v>LA ESCUELA 80</v>
      </c>
      <c r="D9996" s="6" t="str">
        <f ca="1">IFERROR(__xludf.DUMMYFUNCTION("""COMPUTED_VALUE"""),"PIRQUE")</f>
        <v>PIRQUE</v>
      </c>
    </row>
    <row r="9997" spans="1:4">
      <c r="A9997" s="7">
        <f ca="1">IFERROR(__xludf.DUMMYFUNCTION("""COMPUTED_VALUE"""),44833)</f>
        <v>44833</v>
      </c>
      <c r="B9997" s="8" t="str">
        <f ca="1">IFERROR(__xludf.DUMMYFUNCTION("""COMPUTED_VALUE"""),"-33.724940,-70.540934")</f>
        <v>-33.724940,-70.540934</v>
      </c>
      <c r="C9997" s="6" t="str">
        <f ca="1">IFERROR(__xludf.DUMMYFUNCTION("""COMPUTED_VALUE"""),"LA ESCUELA 80")</f>
        <v>LA ESCUELA 80</v>
      </c>
      <c r="D9997" s="6" t="str">
        <f ca="1">IFERROR(__xludf.DUMMYFUNCTION("""COMPUTED_VALUE"""),"PIRQUE")</f>
        <v>PIRQUE</v>
      </c>
    </row>
    <row r="9998" spans="1:4">
      <c r="A9998" s="7">
        <f ca="1">IFERROR(__xludf.DUMMYFUNCTION("""COMPUTED_VALUE"""),44833)</f>
        <v>44833</v>
      </c>
      <c r="B9998" s="6" t="str">
        <f ca="1">IFERROR(__xludf.DUMMYFUNCTION("""COMPUTED_VALUE"""),"-33.735272,-70860090")</f>
        <v>-33.735272,-70860090</v>
      </c>
      <c r="C9998" s="6" t="str">
        <f ca="1">IFERROR(__xludf.DUMMYFUNCTION("""COMPUTED_VALUE"""),"PA CERRO PERALILLO 4552")</f>
        <v>PA CERRO PERALILLO 4552</v>
      </c>
      <c r="D9998" s="6" t="str">
        <f ca="1">IFERROR(__xludf.DUMMYFUNCTION("""COMPUTED_VALUE"""),"ISLA DE MAIPO")</f>
        <v>ISLA DE MAIPO</v>
      </c>
    </row>
    <row r="9999" spans="1:4">
      <c r="A9999" s="7">
        <f ca="1">IFERROR(__xludf.DUMMYFUNCTION("""COMPUTED_VALUE"""),44833)</f>
        <v>44833</v>
      </c>
      <c r="B9999" s="8" t="str">
        <f ca="1">IFERROR(__xludf.DUMMYFUNCTION("""COMPUTED_VALUE"""),".-33.227119,-70.814606")</f>
        <v>.-33.227119,-70.814606</v>
      </c>
      <c r="C9999" s="6" t="str">
        <f ca="1">IFERROR(__xludf.DUMMYFUNCTION("""COMPUTED_VALUE"""),"URIBE 106")</f>
        <v>URIBE 106</v>
      </c>
      <c r="D9999" s="6" t="str">
        <f ca="1">IFERROR(__xludf.DUMMYFUNCTION("""COMPUTED_VALUE"""),"LAMPA")</f>
        <v>LAMPA</v>
      </c>
    </row>
    <row r="10000" spans="1:4">
      <c r="A10000" s="7">
        <f ca="1">IFERROR(__xludf.DUMMYFUNCTION("""COMPUTED_VALUE"""),44833)</f>
        <v>44833</v>
      </c>
      <c r="B10000" s="8" t="str">
        <f ca="1">IFERROR(__xludf.DUMMYFUNCTION("""COMPUTED_VALUE"""),"-33.305740,-70.861481")</f>
        <v>-33.305740,-70.861481</v>
      </c>
      <c r="C10000" s="6" t="str">
        <f ca="1">IFERROR(__xludf.DUMMYFUNCTION("""COMPUTED_VALUE"""),"LOS NARANJOS 505")</f>
        <v>LOS NARANJOS 505</v>
      </c>
      <c r="D10000" s="6" t="str">
        <f ca="1">IFERROR(__xludf.DUMMYFUNCTION("""COMPUTED_VALUE"""),"LAMPA")</f>
        <v>LAMPA</v>
      </c>
    </row>
    <row r="10001" spans="1:4">
      <c r="A10001" s="7">
        <f ca="1">IFERROR(__xludf.DUMMYFUNCTION("""COMPUTED_VALUE"""),44833)</f>
        <v>44833</v>
      </c>
      <c r="B10001" s="8" t="str">
        <f ca="1">IFERROR(__xludf.DUMMYFUNCTION("""COMPUTED_VALUE"""),"-33.027441,-71.083064")</f>
        <v>-33.027441,-71.083064</v>
      </c>
      <c r="C10001" s="6" t="str">
        <f ca="1">IFERROR(__xludf.DUMMYFUNCTION("""COMPUTED_VALUE"""),"POBLACION IGNACIO CARRERA PINTO ")</f>
        <v xml:space="preserve">POBLACION IGNACIO CARRERA PINTO </v>
      </c>
      <c r="D10001" s="6" t="str">
        <f ca="1">IFERROR(__xludf.DUMMYFUNCTION("""COMPUTED_VALUE"""),"ALHUÉ")</f>
        <v>ALHUÉ</v>
      </c>
    </row>
    <row r="10002" spans="1:4">
      <c r="A10002" s="7">
        <f ca="1">IFERROR(__xludf.DUMMYFUNCTION("""COMPUTED_VALUE"""),44833)</f>
        <v>44833</v>
      </c>
      <c r="B10002" s="6" t="str">
        <f ca="1">IFERROR(__xludf.DUMMYFUNCTION("""COMPUTED_VALUE"""),"-33.8130799,-70.7364311")</f>
        <v>-33.8130799,-70.7364311</v>
      </c>
      <c r="C10002" s="6" t="str">
        <f ca="1">IFERROR(__xludf.DUMMYFUNCTION("""COMPUTED_VALUE"""),"LOS BOLDOS 956")</f>
        <v>LOS BOLDOS 956</v>
      </c>
      <c r="D10002" s="6" t="str">
        <f ca="1">IFERROR(__xludf.DUMMYFUNCTION("""COMPUTED_VALUE"""),"PAINE")</f>
        <v>PAINE</v>
      </c>
    </row>
    <row r="10003" spans="1:4">
      <c r="A10003" s="7">
        <f ca="1">IFERROR(__xludf.DUMMYFUNCTION("""COMPUTED_VALUE"""),44833)</f>
        <v>44833</v>
      </c>
      <c r="B10003" s="6" t="str">
        <f ca="1">IFERROR(__xludf.DUMMYFUNCTION("""COMPUTED_VALUE"""),"-33.8137579,-70.7365375")</f>
        <v>-33.8137579,-70.7365375</v>
      </c>
      <c r="C10003" s="6" t="str">
        <f ca="1">IFERROR(__xludf.DUMMYFUNCTION("""COMPUTED_VALUE"""),"PASAJE 3 993")</f>
        <v>PASAJE 3 993</v>
      </c>
      <c r="D10003" s="6" t="str">
        <f ca="1">IFERROR(__xludf.DUMMYFUNCTION("""COMPUTED_VALUE"""),"PAINE")</f>
        <v>PAINE</v>
      </c>
    </row>
    <row r="10004" spans="1:4">
      <c r="A10004" s="7">
        <f ca="1">IFERROR(__xludf.DUMMYFUNCTION("""COMPUTED_VALUE"""),44834)</f>
        <v>44834</v>
      </c>
      <c r="B10004" s="8" t="str">
        <f ca="1">IFERROR(__xludf.DUMMYFUNCTION("""COMPUTED_VALUE"""),"-33.69147,-71.22302")</f>
        <v>-33.69147,-71.22302</v>
      </c>
      <c r="C10004" s="6" t="str">
        <f ca="1">IFERROR(__xludf.DUMMYFUNCTION("""COMPUTED_VALUE"""),"PASAJE SEIS 946")</f>
        <v>PASAJE SEIS 946</v>
      </c>
      <c r="D10004" s="6" t="str">
        <f ca="1">IFERROR(__xludf.DUMMYFUNCTION("""COMPUTED_VALUE"""),"MELIPILLA")</f>
        <v>MELIPILLA</v>
      </c>
    </row>
    <row r="10005" spans="1:4">
      <c r="A10005" s="7">
        <f ca="1">IFERROR(__xludf.DUMMYFUNCTION("""COMPUTED_VALUE"""),44834)</f>
        <v>44834</v>
      </c>
      <c r="B10005" s="8" t="str">
        <f ca="1">IFERROR(__xludf.DUMMYFUNCTION("""COMPUTED_VALUE"""),"-33.2739444,-70.88729")</f>
        <v>-33.2739444,-70.88729</v>
      </c>
      <c r="C10005" s="6" t="str">
        <f ca="1">IFERROR(__xludf.DUMMYFUNCTION("""COMPUTED_VALUE"""),"CAMPAMENTO MEDIA LUNA ")</f>
        <v xml:space="preserve">CAMPAMENTO MEDIA LUNA </v>
      </c>
      <c r="D10005" s="6" t="str">
        <f ca="1">IFERROR(__xludf.DUMMYFUNCTION("""COMPUTED_VALUE"""),"LAMPA")</f>
        <v>LAMPA</v>
      </c>
    </row>
    <row r="10006" spans="1:4">
      <c r="A10006" s="7">
        <f ca="1">IFERROR(__xludf.DUMMYFUNCTION("""COMPUTED_VALUE"""),44834)</f>
        <v>44834</v>
      </c>
      <c r="B10006" s="8" t="str">
        <f ca="1">IFERROR(__xludf.DUMMYFUNCTION("""COMPUTED_VALUE"""),"-33.2739444,-70.88729")</f>
        <v>-33.2739444,-70.88729</v>
      </c>
      <c r="C10006" s="6" t="str">
        <f ca="1">IFERROR(__xludf.DUMMYFUNCTION("""COMPUTED_VALUE"""),"CAMPAMENTO MEDIA LUNA ")</f>
        <v xml:space="preserve">CAMPAMENTO MEDIA LUNA </v>
      </c>
      <c r="D10006" s="6" t="str">
        <f ca="1">IFERROR(__xludf.DUMMYFUNCTION("""COMPUTED_VALUE"""),"LAMPA")</f>
        <v>LAMPA</v>
      </c>
    </row>
    <row r="10007" spans="1:4">
      <c r="A10007" s="7">
        <f ca="1">IFERROR(__xludf.DUMMYFUNCTION("""COMPUTED_VALUE"""),44834)</f>
        <v>44834</v>
      </c>
      <c r="B10007" s="8" t="str">
        <f ca="1">IFERROR(__xludf.DUMMYFUNCTION("""COMPUTED_VALUE"""),"-33.8023456,-70.7074546")</f>
        <v>-33.8023456,-70.7074546</v>
      </c>
      <c r="C10007" s="6" t="str">
        <f ca="1">IFERROR(__xludf.DUMMYFUNCTION("""COMPUTED_VALUE"""),"SANTA ROSA SITIO 28 ")</f>
        <v xml:space="preserve">SANTA ROSA SITIO 28 </v>
      </c>
      <c r="D10007" s="6" t="str">
        <f ca="1">IFERROR(__xludf.DUMMYFUNCTION("""COMPUTED_VALUE"""),"PAINE")</f>
        <v>PAINE</v>
      </c>
    </row>
    <row r="10008" spans="1:4">
      <c r="A10008" s="7">
        <f ca="1">IFERROR(__xludf.DUMMYFUNCTION("""COMPUTED_VALUE"""),44834)</f>
        <v>44834</v>
      </c>
      <c r="B10008" s="8" t="str">
        <f ca="1">IFERROR(__xludf.DUMMYFUNCTION("""COMPUTED_VALUE"""),"-33.728836,-70.554445")</f>
        <v>-33.728836,-70.554445</v>
      </c>
      <c r="C10008" s="6" t="str">
        <f ca="1">IFERROR(__xludf.DUMMYFUNCTION("""COMPUTED_VALUE"""),"LOS CORRALES 94 A")</f>
        <v>LOS CORRALES 94 A</v>
      </c>
      <c r="D10008" s="6" t="str">
        <f ca="1">IFERROR(__xludf.DUMMYFUNCTION("""COMPUTED_VALUE"""),"PIRQUE")</f>
        <v>PIRQUE</v>
      </c>
    </row>
    <row r="10009" spans="1:4">
      <c r="A10009" s="7">
        <f ca="1">IFERROR(__xludf.DUMMYFUNCTION("""COMPUTED_VALUE"""),44834)</f>
        <v>44834</v>
      </c>
      <c r="B10009" s="8" t="str">
        <f ca="1">IFERROR(__xludf.DUMMYFUNCTION("""COMPUTED_VALUE"""),"-33.434279,-70.33160W")</f>
        <v>-33.434279,-70.33160W</v>
      </c>
      <c r="C10009" s="6" t="str">
        <f ca="1">IFERROR(__xludf.DUMMYFUNCTION("""COMPUTED_VALUE"""),"LOS CORRALES 94")</f>
        <v>LOS CORRALES 94</v>
      </c>
      <c r="D10009" s="6" t="str">
        <f ca="1">IFERROR(__xludf.DUMMYFUNCTION("""COMPUTED_VALUE"""),"PIRQUE")</f>
        <v>PIRQUE</v>
      </c>
    </row>
    <row r="10010" spans="1:4">
      <c r="A10010" s="7">
        <f ca="1">IFERROR(__xludf.DUMMYFUNCTION("""COMPUTED_VALUE"""),44834)</f>
        <v>44834</v>
      </c>
      <c r="B10010" s="8" t="str">
        <f ca="1">IFERROR(__xludf.DUMMYFUNCTION("""COMPUTED_VALUE"""),"-33.774341,-70.794616")</f>
        <v>-33.774341,-70.794616</v>
      </c>
      <c r="C10010" s="6" t="str">
        <f ca="1">IFERROR(__xludf.DUMMYFUNCTION("""COMPUTED_VALUE"""),"MAIPO-VILUCO 4566")</f>
        <v>MAIPO-VILUCO 4566</v>
      </c>
      <c r="D10010" s="6" t="str">
        <f ca="1">IFERROR(__xludf.DUMMYFUNCTION("""COMPUTED_VALUE"""),"BUIN")</f>
        <v>BUIN</v>
      </c>
    </row>
    <row r="10011" spans="1:4">
      <c r="A10011" s="7">
        <f ca="1">IFERROR(__xludf.DUMMYFUNCTION("""COMPUTED_VALUE"""),44834)</f>
        <v>44834</v>
      </c>
      <c r="B10011" s="6" t="str">
        <f ca="1">IFERROR(__xludf.DUMMYFUNCTION("""COMPUTED_VALUE"""),"-33.715469,-70.544778")</f>
        <v>-33.715469,-70.544778</v>
      </c>
      <c r="C10011" s="6" t="str">
        <f ca="1">IFERROR(__xludf.DUMMYFUNCTION("""COMPUTED_VALUE"""),"CAMINO EL CHALACO 66B")</f>
        <v>CAMINO EL CHALACO 66B</v>
      </c>
      <c r="D10011" s="6" t="str">
        <f ca="1">IFERROR(__xludf.DUMMYFUNCTION("""COMPUTED_VALUE"""),"PIRQUE")</f>
        <v>PIRQUE</v>
      </c>
    </row>
    <row r="10012" spans="1:4">
      <c r="A10012" s="7">
        <f ca="1">IFERROR(__xludf.DUMMYFUNCTION("""COMPUTED_VALUE"""),44834)</f>
        <v>44834</v>
      </c>
      <c r="B10012" s="6" t="str">
        <f ca="1">IFERROR(__xludf.DUMMYFUNCTION("""COMPUTED_VALUE"""),"-33.656182,-70.578318")</f>
        <v>-33.656182,-70.578318</v>
      </c>
      <c r="C10012" s="6" t="str">
        <f ca="1">IFERROR(__xludf.DUMMYFUNCTION("""COMPUTED_VALUE"""),"EL LLANO 4")</f>
        <v>EL LLANO 4</v>
      </c>
      <c r="D10012" s="6" t="str">
        <f ca="1">IFERROR(__xludf.DUMMYFUNCTION("""COMPUTED_VALUE"""),"PIRQUE")</f>
        <v>PIRQUE</v>
      </c>
    </row>
    <row r="10013" spans="1:4">
      <c r="A10013" s="7">
        <f ca="1">IFERROR(__xludf.DUMMYFUNCTION("""COMPUTED_VALUE"""),44835)</f>
        <v>44835</v>
      </c>
      <c r="B10013" s="6" t="str">
        <f ca="1">IFERROR(__xludf.DUMMYFUNCTION("""COMPUTED_VALUE"""),"-33.401959-71.131890")</f>
        <v>-33.401959-71.131890</v>
      </c>
      <c r="C10013" s="6" t="str">
        <f ca="1">IFERROR(__xludf.DUMMYFUNCTION("""COMPUTED_VALUE"""),"WILLIAMS REBOLLEDO 1708")</f>
        <v>WILLIAMS REBOLLEDO 1708</v>
      </c>
      <c r="D10013" s="6" t="str">
        <f ca="1">IFERROR(__xludf.DUMMYFUNCTION("""COMPUTED_VALUE"""),"CURACAVI")</f>
        <v>CURACAVI</v>
      </c>
    </row>
    <row r="10014" spans="1:4">
      <c r="A10014" s="7">
        <f ca="1">IFERROR(__xludf.DUMMYFUNCTION("""COMPUTED_VALUE"""),44835)</f>
        <v>44835</v>
      </c>
      <c r="B10014" s="6" t="str">
        <f ca="1">IFERROR(__xludf.DUMMYFUNCTION("""COMPUTED_VALUE"""),"-33.406944-71.127247")</f>
        <v>-33.406944-71.127247</v>
      </c>
      <c r="C10014" s="6" t="str">
        <f ca="1">IFERROR(__xludf.DUMMYFUNCTION("""COMPUTED_VALUE"""),"PE EL AVELLANO 1827")</f>
        <v>PE EL AVELLANO 1827</v>
      </c>
      <c r="D10014" s="6" t="str">
        <f ca="1">IFERROR(__xludf.DUMMYFUNCTION("""COMPUTED_VALUE"""),"CURACAVI")</f>
        <v>CURACAVI</v>
      </c>
    </row>
    <row r="10015" spans="1:4">
      <c r="A10015" s="7">
        <f ca="1">IFERROR(__xludf.DUMMYFUNCTION("""COMPUTED_VALUE"""),44837)</f>
        <v>44837</v>
      </c>
      <c r="B10015" s="8" t="str">
        <f ca="1">IFERROR(__xludf.DUMMYFUNCTION("""COMPUTED_VALUE"""),"-33.288076,-70.8787327")</f>
        <v>-33.288076,-70.8787327</v>
      </c>
      <c r="C10015" s="6" t="str">
        <f ca="1">IFERROR(__xludf.DUMMYFUNCTION("""COMPUTED_VALUE"""),"ALCALDE JOSÉ SOLANO B 80")</f>
        <v>ALCALDE JOSÉ SOLANO B 80</v>
      </c>
      <c r="D10015" s="6" t="str">
        <f ca="1">IFERROR(__xludf.DUMMYFUNCTION("""COMPUTED_VALUE"""),"LAMPA")</f>
        <v>LAMPA</v>
      </c>
    </row>
    <row r="10016" spans="1:4">
      <c r="A10016" s="7">
        <f ca="1">IFERROR(__xludf.DUMMYFUNCTION("""COMPUTED_VALUE"""),44837)</f>
        <v>44837</v>
      </c>
      <c r="B10016" s="8" t="str">
        <f ca="1">IFERROR(__xludf.DUMMYFUNCTION("""COMPUTED_VALUE"""),"-33.7294834,-70.5511325")</f>
        <v>-33.7294834,-70.5511325</v>
      </c>
      <c r="C10016" s="6" t="str">
        <f ca="1">IFERROR(__xludf.DUMMYFUNCTION("""COMPUTED_VALUE"""),"LOS ESPINOS 12244")</f>
        <v>LOS ESPINOS 12244</v>
      </c>
      <c r="D10016" s="6" t="str">
        <f ca="1">IFERROR(__xludf.DUMMYFUNCTION("""COMPUTED_VALUE"""),"PIRQUE")</f>
        <v>PIRQUE</v>
      </c>
    </row>
    <row r="10017" spans="1:4">
      <c r="A10017" s="7">
        <f ca="1">IFERROR(__xludf.DUMMYFUNCTION("""COMPUTED_VALUE"""),44837)</f>
        <v>44837</v>
      </c>
      <c r="B10017" s="8" t="str">
        <f ca="1">IFERROR(__xludf.DUMMYFUNCTION("""COMPUTED_VALUE"""),"-33.2881188,-70.8785746")</f>
        <v>-33.2881188,-70.8785746</v>
      </c>
      <c r="C10017" s="6" t="str">
        <f ca="1">IFERROR(__xludf.DUMMYFUNCTION("""COMPUTED_VALUE"""),"ALCALDE JOSE SOLANO B 68")</f>
        <v>ALCALDE JOSE SOLANO B 68</v>
      </c>
      <c r="D10017" s="6" t="str">
        <f ca="1">IFERROR(__xludf.DUMMYFUNCTION("""COMPUTED_VALUE"""),"LAMPA")</f>
        <v>LAMPA</v>
      </c>
    </row>
    <row r="10018" spans="1:4">
      <c r="A10018" s="7">
        <f ca="1">IFERROR(__xludf.DUMMYFUNCTION("""COMPUTED_VALUE"""),44837)</f>
        <v>44837</v>
      </c>
      <c r="B10018" s="8" t="str">
        <f ca="1">IFERROR(__xludf.DUMMYFUNCTION("""COMPUTED_VALUE"""),"-33.8754751,-70.6856721")</f>
        <v>-33.8754751,-70.6856721</v>
      </c>
      <c r="C10018" s="6" t="str">
        <f ca="1">IFERROR(__xludf.DUMMYFUNCTION("""COMPUTED_VALUE"""),"CHADA LOTE 12")</f>
        <v>CHADA LOTE 12</v>
      </c>
      <c r="D10018" s="6" t="str">
        <f ca="1">IFERROR(__xludf.DUMMYFUNCTION("""COMPUTED_VALUE"""),"PAINE")</f>
        <v>PAINE</v>
      </c>
    </row>
    <row r="10019" spans="1:4">
      <c r="A10019" s="7">
        <f ca="1">IFERROR(__xludf.DUMMYFUNCTION("""COMPUTED_VALUE"""),44837)</f>
        <v>44837</v>
      </c>
      <c r="B10019" s="6" t="str">
        <f ca="1">IFERROR(__xludf.DUMMYFUNCTION("""COMPUTED_VALUE"""),"-33.565864-70.800599")</f>
        <v>-33.565864-70.800599</v>
      </c>
      <c r="C10019" s="6" t="str">
        <f ca="1">IFERROR(__xludf.DUMMYFUNCTION("""COMPUTED_VALUE"""),"GABRIELA MISTRAL 942")</f>
        <v>GABRIELA MISTRAL 942</v>
      </c>
      <c r="D10019" s="6" t="str">
        <f ca="1">IFERROR(__xludf.DUMMYFUNCTION("""COMPUTED_VALUE"""),"PADRE HURTADO")</f>
        <v>PADRE HURTADO</v>
      </c>
    </row>
    <row r="10020" spans="1:4">
      <c r="A10020" s="7">
        <f ca="1">IFERROR(__xludf.DUMMYFUNCTION("""COMPUTED_VALUE"""),44837)</f>
        <v>44837</v>
      </c>
      <c r="B10020" s="6" t="str">
        <f ca="1">IFERROR(__xludf.DUMMYFUNCTION("""COMPUTED_VALUE"""),"-33.430233-71.167715")</f>
        <v>-33.430233-71.167715</v>
      </c>
      <c r="C10020" s="6" t="str">
        <f ca="1">IFERROR(__xludf.DUMMYFUNCTION("""COMPUTED_VALUE"""),"SECTOR LOS CAPACHOS PARC 13")</f>
        <v>SECTOR LOS CAPACHOS PARC 13</v>
      </c>
      <c r="D10020" s="6" t="str">
        <f ca="1">IFERROR(__xludf.DUMMYFUNCTION("""COMPUTED_VALUE"""),"CURACAVI")</f>
        <v>CURACAVI</v>
      </c>
    </row>
    <row r="10021" spans="1:4">
      <c r="A10021" s="7">
        <f ca="1">IFERROR(__xludf.DUMMYFUNCTION("""COMPUTED_VALUE"""),44837)</f>
        <v>44837</v>
      </c>
      <c r="B10021" s="6" t="str">
        <f ca="1">IFERROR(__xludf.DUMMYFUNCTION("""COMPUTED_VALUE"""),"-33.686539-71.209532")</f>
        <v>-33.686539-71.209532</v>
      </c>
      <c r="C10021" s="6" t="str">
        <f ca="1">IFERROR(__xludf.DUMMYFUNCTION("""COMPUTED_VALUE"""),"SAN AGUSTIN 191")</f>
        <v>SAN AGUSTIN 191</v>
      </c>
      <c r="D10021" s="6" t="str">
        <f ca="1">IFERROR(__xludf.DUMMYFUNCTION("""COMPUTED_VALUE"""),"MELIPILLA")</f>
        <v>MELIPILLA</v>
      </c>
    </row>
    <row r="10022" spans="1:4">
      <c r="A10022" s="7">
        <f ca="1">IFERROR(__xludf.DUMMYFUNCTION("""COMPUTED_VALUE"""),44837)</f>
        <v>44837</v>
      </c>
      <c r="B10022" s="6" t="str">
        <f ca="1">IFERROR(__xludf.DUMMYFUNCTION("""COMPUTED_VALUE"""),"-33.693234-71.222476")</f>
        <v>-33.693234-71.222476</v>
      </c>
      <c r="C10022" s="6" t="str">
        <f ca="1">IFERROR(__xludf.DUMMYFUNCTION("""COMPUTED_VALUE"""),"PJE TRES 1061")</f>
        <v>PJE TRES 1061</v>
      </c>
      <c r="D10022" s="6" t="str">
        <f ca="1">IFERROR(__xludf.DUMMYFUNCTION("""COMPUTED_VALUE"""),"MELIPILLA")</f>
        <v>MELIPILLA</v>
      </c>
    </row>
    <row r="10023" spans="1:4">
      <c r="A10023" s="7">
        <f ca="1">IFERROR(__xludf.DUMMYFUNCTION("""COMPUTED_VALUE"""),44837)</f>
        <v>44837</v>
      </c>
      <c r="B10023" s="6" t="str">
        <f ca="1">IFERROR(__xludf.DUMMYFUNCTION("""COMPUTED_VALUE"""),"-33.63684-70.35551")</f>
        <v>-33.63684-70.35551</v>
      </c>
      <c r="C10023" s="6" t="str">
        <f ca="1">IFERROR(__xludf.DUMMYFUNCTION("""COMPUTED_VALUE"""),"CALLE B 519")</f>
        <v>CALLE B 519</v>
      </c>
      <c r="D10023" s="6" t="str">
        <f ca="1">IFERROR(__xludf.DUMMYFUNCTION("""COMPUTED_VALUE"""),"SAN JOSE DE MAIPO")</f>
        <v>SAN JOSE DE MAIPO</v>
      </c>
    </row>
    <row r="10024" spans="1:4">
      <c r="A10024" s="7">
        <f ca="1">IFERROR(__xludf.DUMMYFUNCTION("""COMPUTED_VALUE"""),44837)</f>
        <v>44837</v>
      </c>
      <c r="B10024" s="6" t="str">
        <f ca="1">IFERROR(__xludf.DUMMYFUNCTION("""COMPUTED_VALUE"""),"-33.63107-70.35073")</f>
        <v>-33.63107-70.35073</v>
      </c>
      <c r="C10024" s="6" t="str">
        <f ca="1">IFERROR(__xludf.DUMMYFUNCTION("""COMPUTED_VALUE"""),"AV. EL ESFUERZO 539")</f>
        <v>AV. EL ESFUERZO 539</v>
      </c>
      <c r="D10024" s="6" t="str">
        <f ca="1">IFERROR(__xludf.DUMMYFUNCTION("""COMPUTED_VALUE"""),"SAN JOSE DE MAIPO")</f>
        <v>SAN JOSE DE MAIPO</v>
      </c>
    </row>
    <row r="10025" spans="1:4">
      <c r="A10025" s="7">
        <f ca="1">IFERROR(__xludf.DUMMYFUNCTION("""COMPUTED_VALUE"""),44837)</f>
        <v>44837</v>
      </c>
      <c r="B10025" s="6" t="str">
        <f ca="1">IFERROR(__xludf.DUMMYFUNCTION("""COMPUTED_VALUE"""),"-33.540257-70.765165")</f>
        <v>-33.540257-70.765165</v>
      </c>
      <c r="C10025" s="6" t="str">
        <f ca="1">IFERROR(__xludf.DUMMYFUNCTION("""COMPUTED_VALUE"""),"UNION CHILENA 33")</f>
        <v>UNION CHILENA 33</v>
      </c>
      <c r="D10025" s="6" t="str">
        <f ca="1">IFERROR(__xludf.DUMMYFUNCTION("""COMPUTED_VALUE"""),"CURACAVI")</f>
        <v>CURACAVI</v>
      </c>
    </row>
    <row r="10026" spans="1:4">
      <c r="A10026" s="7">
        <f ca="1">IFERROR(__xludf.DUMMYFUNCTION("""COMPUTED_VALUE"""),44837)</f>
        <v>44837</v>
      </c>
      <c r="B10026" s="8" t="str">
        <f ca="1">IFERROR(__xludf.DUMMYFUNCTION("""COMPUTED_VALUE"""),"-33.676417,-70.987798")</f>
        <v>-33.676417,-70.987798</v>
      </c>
      <c r="C10026" s="6" t="str">
        <f ca="1">IFERROR(__xludf.DUMMYFUNCTION("""COMPUTED_VALUE"""),"PJE 13 CASA 23")</f>
        <v>PJE 13 CASA 23</v>
      </c>
      <c r="D10026" s="6" t="str">
        <f ca="1">IFERROR(__xludf.DUMMYFUNCTION("""COMPUTED_VALUE"""),"EL MONTE")</f>
        <v>EL MONTE</v>
      </c>
    </row>
    <row r="10027" spans="1:4">
      <c r="A10027" s="7">
        <f ca="1">IFERROR(__xludf.DUMMYFUNCTION("""COMPUTED_VALUE"""),44837)</f>
        <v>44837</v>
      </c>
      <c r="B10027" s="8" t="str">
        <f ca="1">IFERROR(__xludf.DUMMYFUNCTION("""COMPUTED_VALUE"""),"-33.676417,-70.987798")</f>
        <v>-33.676417,-70.987798</v>
      </c>
      <c r="C10027" s="6" t="str">
        <f ca="1">IFERROR(__xludf.DUMMYFUNCTION("""COMPUTED_VALUE"""),"PJE 13 CASA 23")</f>
        <v>PJE 13 CASA 23</v>
      </c>
      <c r="D10027" s="6" t="str">
        <f ca="1">IFERROR(__xludf.DUMMYFUNCTION("""COMPUTED_VALUE"""),"EL MONTE")</f>
        <v>EL MONTE</v>
      </c>
    </row>
    <row r="10028" spans="1:4">
      <c r="A10028" s="7">
        <f ca="1">IFERROR(__xludf.DUMMYFUNCTION("""COMPUTED_VALUE"""),44837)</f>
        <v>44837</v>
      </c>
      <c r="B10028" s="8" t="str">
        <f ca="1">IFERROR(__xludf.DUMMYFUNCTION("""COMPUTED_VALUE"""),"-33.689017,-71.002897")</f>
        <v>-33.689017,-71.002897</v>
      </c>
      <c r="C10028" s="6" t="str">
        <f ca="1">IFERROR(__xludf.DUMMYFUNCTION("""COMPUTED_VALUE"""),"AC DEL REY 846")</f>
        <v>AC DEL REY 846</v>
      </c>
      <c r="D10028" s="6" t="str">
        <f ca="1">IFERROR(__xludf.DUMMYFUNCTION("""COMPUTED_VALUE"""),"EL MONTE")</f>
        <v>EL MONTE</v>
      </c>
    </row>
    <row r="10029" spans="1:4">
      <c r="A10029" s="7">
        <f ca="1">IFERROR(__xludf.DUMMYFUNCTION("""COMPUTED_VALUE"""),44837)</f>
        <v>44837</v>
      </c>
      <c r="B10029" s="8" t="str">
        <f ca="1">IFERROR(__xludf.DUMMYFUNCTION("""COMPUTED_VALUE"""),"-33.649597,-70.607277")</f>
        <v>-33.649597,-70.607277</v>
      </c>
      <c r="C10029" s="6" t="str">
        <f ca="1">IFERROR(__xludf.DUMMYFUNCTION("""COMPUTED_VALUE"""),"VIRGINIA SUBERCASEUX PARC 4 3600")</f>
        <v>VIRGINIA SUBERCASEUX PARC 4 3600</v>
      </c>
      <c r="D10029" s="6" t="str">
        <f ca="1">IFERROR(__xludf.DUMMYFUNCTION("""COMPUTED_VALUE"""),"PIRQUE")</f>
        <v>PIRQUE</v>
      </c>
    </row>
    <row r="10030" spans="1:4">
      <c r="A10030" s="7">
        <f ca="1">IFERROR(__xludf.DUMMYFUNCTION("""COMPUTED_VALUE"""),44837)</f>
        <v>44837</v>
      </c>
      <c r="B10030" s="8" t="str">
        <f ca="1">IFERROR(__xludf.DUMMYFUNCTION("""COMPUTED_VALUE"""),"-33.800525,-70.774160")</f>
        <v>-33.800525,-70.774160</v>
      </c>
      <c r="C10030" s="6" t="str">
        <f ca="1">IFERROR(__xludf.DUMMYFUNCTION("""COMPUTED_VALUE"""),"AV. VILUCO 2970 S/34")</f>
        <v>AV. VILUCO 2970 S/34</v>
      </c>
      <c r="D10030" s="6" t="str">
        <f ca="1">IFERROR(__xludf.DUMMYFUNCTION("""COMPUTED_VALUE"""),"BUIN")</f>
        <v>BUIN</v>
      </c>
    </row>
    <row r="10031" spans="1:4">
      <c r="A10031" s="7">
        <f ca="1">IFERROR(__xludf.DUMMYFUNCTION("""COMPUTED_VALUE"""),44837)</f>
        <v>44837</v>
      </c>
      <c r="B10031" s="8" t="str">
        <f ca="1">IFERROR(__xludf.DUMMYFUNCTION("""COMPUTED_VALUE"""),"-33.234056,-70.713480")</f>
        <v>-33.234056,-70.713480</v>
      </c>
      <c r="C10031" s="6" t="str">
        <f ca="1">IFERROR(__xludf.DUMMYFUNCTION("""COMPUTED_VALUE"""),"EL BOLDAL PARC 8")</f>
        <v>EL BOLDAL PARC 8</v>
      </c>
      <c r="D10031" s="6" t="str">
        <f ca="1">IFERROR(__xludf.DUMMYFUNCTION("""COMPUTED_VALUE"""),"COLINA")</f>
        <v>COLINA</v>
      </c>
    </row>
    <row r="10032" spans="1:4">
      <c r="A10032" s="7">
        <f ca="1">IFERROR(__xludf.DUMMYFUNCTION("""COMPUTED_VALUE"""),44837)</f>
        <v>44837</v>
      </c>
      <c r="B10032" s="6" t="str">
        <f ca="1">IFERROR(__xludf.DUMMYFUNCTION("""COMPUTED_VALUE"""),"-33.738716,-70.738770")</f>
        <v>-33.738716,-70.738770</v>
      </c>
      <c r="C10032" s="6" t="str">
        <f ca="1">IFERROR(__xludf.DUMMYFUNCTION("""COMPUTED_VALUE"""),"SENDERO ROCINANTE 740 POB QUIJOTE ")</f>
        <v xml:space="preserve">SENDERO ROCINANTE 740 POB QUIJOTE </v>
      </c>
      <c r="D10032" s="6" t="str">
        <f ca="1">IFERROR(__xludf.DUMMYFUNCTION("""COMPUTED_VALUE"""),"BUIN")</f>
        <v>BUIN</v>
      </c>
    </row>
    <row r="10033" spans="1:4">
      <c r="A10033" s="7">
        <f ca="1">IFERROR(__xludf.DUMMYFUNCTION("""COMPUTED_VALUE"""),44837)</f>
        <v>44837</v>
      </c>
      <c r="B10033" s="6" t="str">
        <f ca="1">IFERROR(__xludf.DUMMYFUNCTION("""COMPUTED_VALUE"""),"-33.774225,-70.896917")</f>
        <v>-33.774225,-70.896917</v>
      </c>
      <c r="C10033" s="6" t="str">
        <f ca="1">IFERROR(__xludf.DUMMYFUNCTION("""COMPUTED_VALUE"""),"OLEA 508 LOTE C")</f>
        <v>OLEA 508 LOTE C</v>
      </c>
      <c r="D10033" s="6" t="str">
        <f ca="1">IFERROR(__xludf.DUMMYFUNCTION("""COMPUTED_VALUE"""),"ISLA DE MAIPO")</f>
        <v>ISLA DE MAIPO</v>
      </c>
    </row>
    <row r="10034" spans="1:4">
      <c r="A10034" s="7">
        <f ca="1">IFERROR(__xludf.DUMMYFUNCTION("""COMPUTED_VALUE"""),44837)</f>
        <v>44837</v>
      </c>
      <c r="B10034" s="8" t="str">
        <f ca="1">IFERROR(__xludf.DUMMYFUNCTION("""COMPUTED_VALUE"""),"-34.041804,-71.228233")</f>
        <v>-34.041804,-71.228233</v>
      </c>
      <c r="C10034" s="6" t="str">
        <f ca="1">IFERROR(__xludf.DUMMYFUNCTION("""COMPUTED_VALUE"""),"LA LINEA ALHUE S/N")</f>
        <v>LA LINEA ALHUE S/N</v>
      </c>
      <c r="D10034" s="6" t="str">
        <f ca="1">IFERROR(__xludf.DUMMYFUNCTION("""COMPUTED_VALUE"""),"ALHUÉ")</f>
        <v>ALHUÉ</v>
      </c>
    </row>
    <row r="10035" spans="1:4">
      <c r="A10035" s="7">
        <f ca="1">IFERROR(__xludf.DUMMYFUNCTION("""COMPUTED_VALUE"""),44837)</f>
        <v>44837</v>
      </c>
      <c r="B10035" s="8" t="str">
        <f ca="1">IFERROR(__xludf.DUMMYFUNCTION("""COMPUTED_VALUE"""),"-33.046222,-71.227379")</f>
        <v>-33.046222,-71.227379</v>
      </c>
      <c r="C10035" s="6" t="str">
        <f ca="1">IFERROR(__xludf.DUMMYFUNCTION("""COMPUTED_VALUE"""),"LA LINEA S/N ALHUE ")</f>
        <v xml:space="preserve">LA LINEA S/N ALHUE </v>
      </c>
      <c r="D10035" s="6" t="str">
        <f ca="1">IFERROR(__xludf.DUMMYFUNCTION("""COMPUTED_VALUE"""),"ALHUÉ")</f>
        <v>ALHUÉ</v>
      </c>
    </row>
    <row r="10036" spans="1:4">
      <c r="A10036" s="7">
        <f ca="1">IFERROR(__xludf.DUMMYFUNCTION("""COMPUTED_VALUE"""),44837)</f>
        <v>44837</v>
      </c>
      <c r="B10036" s="6" t="str">
        <f ca="1">IFERROR(__xludf.DUMMYFUNCTION("""COMPUTED_VALUE"""),"-33.8140356,-70.7369538")</f>
        <v>-33.8140356,-70.7369538</v>
      </c>
      <c r="C10036" s="6" t="str">
        <f ca="1">IFERROR(__xludf.DUMMYFUNCTION("""COMPUTED_VALUE"""),"OHIGGINS 998")</f>
        <v>OHIGGINS 998</v>
      </c>
      <c r="D10036" s="6" t="str">
        <f ca="1">IFERROR(__xludf.DUMMYFUNCTION("""COMPUTED_VALUE"""),"PAINE")</f>
        <v>PAINE</v>
      </c>
    </row>
    <row r="10037" spans="1:4">
      <c r="A10037" s="7">
        <f ca="1">IFERROR(__xludf.DUMMYFUNCTION("""COMPUTED_VALUE"""),44837)</f>
        <v>44837</v>
      </c>
      <c r="B10037" s="6" t="str">
        <f ca="1">IFERROR(__xludf.DUMMYFUNCTION("""COMPUTED_VALUE"""),"-33.535956,-70.904130")</f>
        <v>-33.535956,-70.904130</v>
      </c>
      <c r="C10037" s="6" t="str">
        <f ca="1">IFERROR(__xludf.DUMMYFUNCTION("""COMPUTED_VALUE"""),"SANTA FE 29")</f>
        <v>SANTA FE 29</v>
      </c>
      <c r="D10037" s="6" t="str">
        <f ca="1">IFERROR(__xludf.DUMMYFUNCTION("""COMPUTED_VALUE"""),"PADRE HURTADO")</f>
        <v>PADRE HURTADO</v>
      </c>
    </row>
    <row r="10038" spans="1:4">
      <c r="A10038" s="7">
        <f ca="1">IFERROR(__xludf.DUMMYFUNCTION("""COMPUTED_VALUE"""),44837)</f>
        <v>44837</v>
      </c>
      <c r="B10038" s="6" t="str">
        <f ca="1">IFERROR(__xludf.DUMMYFUNCTION("""COMPUTED_VALUE"""),"-33.535956,-70.904130")</f>
        <v>-33.535956,-70.904130</v>
      </c>
      <c r="C10038" s="6" t="str">
        <f ca="1">IFERROR(__xludf.DUMMYFUNCTION("""COMPUTED_VALUE"""),"SANTA FE 29")</f>
        <v>SANTA FE 29</v>
      </c>
      <c r="D10038" s="6" t="str">
        <f ca="1">IFERROR(__xludf.DUMMYFUNCTION("""COMPUTED_VALUE"""),"PADRE HURTADO")</f>
        <v>PADRE HURTADO</v>
      </c>
    </row>
    <row r="10039" spans="1:4">
      <c r="A10039" s="7">
        <f ca="1">IFERROR(__xludf.DUMMYFUNCTION("""COMPUTED_VALUE"""),44837)</f>
        <v>44837</v>
      </c>
      <c r="B10039" s="12" t="str">
        <f ca="1">IFERROR(__xludf.DUMMYFUNCTION("""COMPUTED_VALUE"""),"-33.535922,-70.903979")</f>
        <v>-33.535922,-70.903979</v>
      </c>
      <c r="C10039" s="6" t="str">
        <f ca="1">IFERROR(__xludf.DUMMYFUNCTION("""COMPUTED_VALUE"""),"SANTA FE 28")</f>
        <v>SANTA FE 28</v>
      </c>
      <c r="D10039" s="6" t="str">
        <f ca="1">IFERROR(__xludf.DUMMYFUNCTION("""COMPUTED_VALUE"""),"PADRE HURTADO")</f>
        <v>PADRE HURTADO</v>
      </c>
    </row>
    <row r="10040" spans="1:4">
      <c r="A10040" s="7">
        <f ca="1">IFERROR(__xludf.DUMMYFUNCTION("""COMPUTED_VALUE"""),44838)</f>
        <v>44838</v>
      </c>
      <c r="B10040" s="8" t="str">
        <f ca="1">IFERROR(__xludf.DUMMYFUNCTION("""COMPUTED_VALUE"""),"-33.2828137,-70.8877698")</f>
        <v>-33.2828137,-70.8877698</v>
      </c>
      <c r="C10040" s="6" t="str">
        <f ca="1">IFERROR(__xludf.DUMMYFUNCTION("""COMPUTED_VALUE"""),"BALMACEDA 34")</f>
        <v>BALMACEDA 34</v>
      </c>
      <c r="D10040" s="6" t="str">
        <f ca="1">IFERROR(__xludf.DUMMYFUNCTION("""COMPUTED_VALUE"""),"LAMPA")</f>
        <v>LAMPA</v>
      </c>
    </row>
    <row r="10041" spans="1:4">
      <c r="A10041" s="7">
        <f ca="1">IFERROR(__xludf.DUMMYFUNCTION("""COMPUTED_VALUE"""),44838)</f>
        <v>44838</v>
      </c>
      <c r="B10041" s="8" t="str">
        <f ca="1">IFERROR(__xludf.DUMMYFUNCTION("""COMPUTED_VALUE"""),"-33.8178577,-70.7419718")</f>
        <v>-33.8178577,-70.7419718</v>
      </c>
      <c r="C10041" s="6" t="str">
        <f ca="1">IFERROR(__xludf.DUMMYFUNCTION("""COMPUTED_VALUE"""),"PASAJE 3 164")</f>
        <v>PASAJE 3 164</v>
      </c>
      <c r="D10041" s="6" t="str">
        <f ca="1">IFERROR(__xludf.DUMMYFUNCTION("""COMPUTED_VALUE"""),"PAINE")</f>
        <v>PAINE</v>
      </c>
    </row>
    <row r="10042" spans="1:4">
      <c r="A10042" s="7">
        <f ca="1">IFERROR(__xludf.DUMMYFUNCTION("""COMPUTED_VALUE"""),44838)</f>
        <v>44838</v>
      </c>
      <c r="B10042" s="8" t="str">
        <f ca="1">IFERROR(__xludf.DUMMYFUNCTION("""COMPUTED_VALUE"""),"-33.813247,-70.7389298")</f>
        <v>-33.813247,-70.7389298</v>
      </c>
      <c r="C10042" s="6" t="str">
        <f ca="1">IFERROR(__xludf.DUMMYFUNCTION("""COMPUTED_VALUE"""),"LAS ARICHAS 915")</f>
        <v>LAS ARICHAS 915</v>
      </c>
      <c r="D10042" s="6" t="str">
        <f ca="1">IFERROR(__xludf.DUMMYFUNCTION("""COMPUTED_VALUE"""),"PAINE")</f>
        <v>PAINE</v>
      </c>
    </row>
    <row r="10043" spans="1:4">
      <c r="A10043" s="7">
        <f ca="1">IFERROR(__xludf.DUMMYFUNCTION("""COMPUTED_VALUE"""),44838)</f>
        <v>44838</v>
      </c>
      <c r="B10043" s="8" t="str">
        <f ca="1">IFERROR(__xludf.DUMMYFUNCTION("""COMPUTED_VALUE"""),"-33.6108289,-70.9235283")</f>
        <v>-33.6108289,-70.9235283</v>
      </c>
      <c r="C10043" s="6" t="str">
        <f ca="1">IFERROR(__xludf.DUMMYFUNCTION("""COMPUTED_VALUE"""),"CAMINO A PELVIN ")</f>
        <v xml:space="preserve">CAMINO A PELVIN </v>
      </c>
      <c r="D10043" s="6" t="str">
        <f ca="1">IFERROR(__xludf.DUMMYFUNCTION("""COMPUTED_VALUE"""),"PEÑAFLOR")</f>
        <v>PEÑAFLOR</v>
      </c>
    </row>
    <row r="10044" spans="1:4">
      <c r="A10044" s="7">
        <f ca="1">IFERROR(__xludf.DUMMYFUNCTION("""COMPUTED_VALUE"""),44838)</f>
        <v>44838</v>
      </c>
      <c r="B10044" s="8" t="str">
        <f ca="1">IFERROR(__xludf.DUMMYFUNCTION("""COMPUTED_VALUE"""),"-33.867557,-70.851546")</f>
        <v>-33.867557,-70.851546</v>
      </c>
      <c r="C10044" s="6" t="str">
        <f ca="1">IFERROR(__xludf.DUMMYFUNCTION("""COMPUTED_VALUE"""),"HUTICALAN 10")</f>
        <v>HUTICALAN 10</v>
      </c>
      <c r="D10044" s="6" t="str">
        <f ca="1">IFERROR(__xludf.DUMMYFUNCTION("""COMPUTED_VALUE"""),"PAINE")</f>
        <v>PAINE</v>
      </c>
    </row>
    <row r="10045" spans="1:4">
      <c r="A10045" s="7">
        <f ca="1">IFERROR(__xludf.DUMMYFUNCTION("""COMPUTED_VALUE"""),44838)</f>
        <v>44838</v>
      </c>
      <c r="B10045" s="8" t="str">
        <f ca="1">IFERROR(__xludf.DUMMYFUNCTION("""COMPUTED_VALUE"""),"-33.867557,-70.851546")</f>
        <v>-33.867557,-70.851546</v>
      </c>
      <c r="C10045" s="6" t="str">
        <f ca="1">IFERROR(__xludf.DUMMYFUNCTION("""COMPUTED_VALUE"""),"HUTICALAN 10")</f>
        <v>HUTICALAN 10</v>
      </c>
      <c r="D10045" s="6" t="str">
        <f ca="1">IFERROR(__xludf.DUMMYFUNCTION("""COMPUTED_VALUE"""),"PAINE")</f>
        <v>PAINE</v>
      </c>
    </row>
    <row r="10046" spans="1:4">
      <c r="A10046" s="7">
        <f ca="1">IFERROR(__xludf.DUMMYFUNCTION("""COMPUTED_VALUE"""),44838)</f>
        <v>44838</v>
      </c>
      <c r="B10046" s="6" t="str">
        <f ca="1">IFERROR(__xludf.DUMMYFUNCTION("""COMPUTED_VALUE"""),"-33.501759-70.992204")</f>
        <v>-33.501759-70.992204</v>
      </c>
      <c r="C10046" s="6" t="str">
        <f ca="1">IFERROR(__xludf.DUMMYFUNCTION("""COMPUTED_VALUE"""),"LA PATAGUILLA LOTE B SITIO 57")</f>
        <v>LA PATAGUILLA LOTE B SITIO 57</v>
      </c>
      <c r="D10046" s="6" t="str">
        <f ca="1">IFERROR(__xludf.DUMMYFUNCTION("""COMPUTED_VALUE"""),"CURACAVI")</f>
        <v>CURACAVI</v>
      </c>
    </row>
    <row r="10047" spans="1:4">
      <c r="A10047" s="7">
        <f ca="1">IFERROR(__xludf.DUMMYFUNCTION("""COMPUTED_VALUE"""),44838)</f>
        <v>44838</v>
      </c>
      <c r="B10047" s="6" t="str">
        <f ca="1">IFERROR(__xludf.DUMMYFUNCTION("""COMPUTED_VALUE"""),"-33.407160-71.148640")</f>
        <v>-33.407160-71.148640</v>
      </c>
      <c r="C10047" s="6" t="str">
        <f ca="1">IFERROR(__xludf.DUMMYFUNCTION("""COMPUTED_VALUE"""),"PJE LA CHICHA 186")</f>
        <v>PJE LA CHICHA 186</v>
      </c>
      <c r="D10047" s="6" t="str">
        <f ca="1">IFERROR(__xludf.DUMMYFUNCTION("""COMPUTED_VALUE"""),"CURACAVI")</f>
        <v>CURACAVI</v>
      </c>
    </row>
    <row r="10048" spans="1:4">
      <c r="A10048" s="7">
        <f ca="1">IFERROR(__xludf.DUMMYFUNCTION("""COMPUTED_VALUE"""),44838)</f>
        <v>44838</v>
      </c>
      <c r="B10048" s="6" t="str">
        <f ca="1">IFERROR(__xludf.DUMMYFUNCTION("""COMPUTED_VALUE"""),"-33.076078-70.926923")</f>
        <v>-33.076078-70.926923</v>
      </c>
      <c r="C10048" s="6" t="str">
        <f ca="1">IFERROR(__xludf.DUMMYFUNCTION("""COMPUTED_VALUE"""),"AV. MARIA DE LA PAZ 014")</f>
        <v>AV. MARIA DE LA PAZ 014</v>
      </c>
      <c r="D10048" s="6" t="str">
        <f ca="1">IFERROR(__xludf.DUMMYFUNCTION("""COMPUTED_VALUE"""),"TIL TIL")</f>
        <v>TIL TIL</v>
      </c>
    </row>
    <row r="10049" spans="1:4">
      <c r="A10049" s="7">
        <f ca="1">IFERROR(__xludf.DUMMYFUNCTION("""COMPUTED_VALUE"""),44838)</f>
        <v>44838</v>
      </c>
      <c r="B10049" s="6" t="str">
        <f ca="1">IFERROR(__xludf.DUMMYFUNCTION("""COMPUTED_VALUE"""),"-33.67604-71.20691")</f>
        <v>-33.67604-71.20691</v>
      </c>
      <c r="C10049" s="6" t="str">
        <f ca="1">IFERROR(__xludf.DUMMYFUNCTION("""COMPUTED_VALUE"""),"PEDRO MENDEZ 221")</f>
        <v>PEDRO MENDEZ 221</v>
      </c>
      <c r="D10049" s="6" t="str">
        <f ca="1">IFERROR(__xludf.DUMMYFUNCTION("""COMPUTED_VALUE"""),"MELIPILLA")</f>
        <v>MELIPILLA</v>
      </c>
    </row>
    <row r="10050" spans="1:4">
      <c r="A10050" s="7">
        <f ca="1">IFERROR(__xludf.DUMMYFUNCTION("""COMPUTED_VALUE"""),44838)</f>
        <v>44838</v>
      </c>
      <c r="B10050" s="6" t="str">
        <f ca="1">IFERROR(__xludf.DUMMYFUNCTION("""COMPUTED_VALUE"""),"-33.684764-71.23486")</f>
        <v>-33.684764-71.23486</v>
      </c>
      <c r="C10050" s="6" t="str">
        <f ca="1">IFERROR(__xludf.DUMMYFUNCTION("""COMPUTED_VALUE"""),"ONOFRE CANTILLANA 608")</f>
        <v>ONOFRE CANTILLANA 608</v>
      </c>
      <c r="D10050" s="6" t="str">
        <f ca="1">IFERROR(__xludf.DUMMYFUNCTION("""COMPUTED_VALUE"""),"MELIPILLA")</f>
        <v>MELIPILLA</v>
      </c>
    </row>
    <row r="10051" spans="1:4">
      <c r="A10051" s="7">
        <f ca="1">IFERROR(__xludf.DUMMYFUNCTION("""COMPUTED_VALUE"""),44838)</f>
        <v>44838</v>
      </c>
      <c r="B10051" s="6" t="str">
        <f ca="1">IFERROR(__xludf.DUMMYFUNCTION("""COMPUTED_VALUE"""),"-33.68721-71.23533")</f>
        <v>-33.68721-71.23533</v>
      </c>
      <c r="C10051" s="6" t="str">
        <f ca="1">IFERROR(__xludf.DUMMYFUNCTION("""COMPUTED_VALUE"""),"VOLCAN CALBUCO 918")</f>
        <v>VOLCAN CALBUCO 918</v>
      </c>
      <c r="D10051" s="6" t="str">
        <f ca="1">IFERROR(__xludf.DUMMYFUNCTION("""COMPUTED_VALUE"""),"MELIPILLA")</f>
        <v>MELIPILLA</v>
      </c>
    </row>
    <row r="10052" spans="1:4">
      <c r="A10052" s="7">
        <f ca="1">IFERROR(__xludf.DUMMYFUNCTION("""COMPUTED_VALUE"""),44838)</f>
        <v>44838</v>
      </c>
      <c r="B10052" s="6" t="str">
        <f ca="1">IFERROR(__xludf.DUMMYFUNCTION("""COMPUTED_VALUE"""),"-33.68441-71.23172")</f>
        <v>-33.68441-71.23172</v>
      </c>
      <c r="C10052" s="6" t="str">
        <f ca="1">IFERROR(__xludf.DUMMYFUNCTION("""COMPUTED_VALUE"""),"JOSE SANTIAGO ALDUNATE TORO 2012")</f>
        <v>JOSE SANTIAGO ALDUNATE TORO 2012</v>
      </c>
      <c r="D10052" s="6" t="str">
        <f ca="1">IFERROR(__xludf.DUMMYFUNCTION("""COMPUTED_VALUE"""),"MELIPILLA")</f>
        <v>MELIPILLA</v>
      </c>
    </row>
    <row r="10053" spans="1:4">
      <c r="A10053" s="7">
        <f ca="1">IFERROR(__xludf.DUMMYFUNCTION("""COMPUTED_VALUE"""),44838)</f>
        <v>44838</v>
      </c>
      <c r="B10053" s="6" t="str">
        <f ca="1">IFERROR(__xludf.DUMMYFUNCTION("""COMPUTED_VALUE"""),"-34.028695-71.082423")</f>
        <v>-34.028695-71.082423</v>
      </c>
      <c r="C10053" s="6" t="str">
        <f ca="1">IFERROR(__xludf.DUMMYFUNCTION("""COMPUTED_VALUE"""),"IGNACIO CARRERA PINTO S/N")</f>
        <v>IGNACIO CARRERA PINTO S/N</v>
      </c>
      <c r="D10053" s="6" t="str">
        <f ca="1">IFERROR(__xludf.DUMMYFUNCTION("""COMPUTED_VALUE"""),"ALHUÉ")</f>
        <v>ALHUÉ</v>
      </c>
    </row>
    <row r="10054" spans="1:4">
      <c r="A10054" s="7">
        <f ca="1">IFERROR(__xludf.DUMMYFUNCTION("""COMPUTED_VALUE"""),44838)</f>
        <v>44838</v>
      </c>
      <c r="B10054" s="6" t="str">
        <f ca="1">IFERROR(__xludf.DUMMYFUNCTION("""COMPUTED_VALUE"""),"-33.987457-71.064582")</f>
        <v>-33.987457-71.064582</v>
      </c>
      <c r="C10054" s="6" t="str">
        <f ca="1">IFERROR(__xludf.DUMMYFUNCTION("""COMPUTED_VALUE"""),"SECTOR BARRANCAS DE PICHE S/N")</f>
        <v>SECTOR BARRANCAS DE PICHE S/N</v>
      </c>
      <c r="D10054" s="6" t="str">
        <f ca="1">IFERROR(__xludf.DUMMYFUNCTION("""COMPUTED_VALUE"""),"ALHUÉ")</f>
        <v>ALHUÉ</v>
      </c>
    </row>
    <row r="10055" spans="1:4">
      <c r="A10055" s="7">
        <f ca="1">IFERROR(__xludf.DUMMYFUNCTION("""COMPUTED_VALUE"""),44838)</f>
        <v>44838</v>
      </c>
      <c r="B10055" s="6" t="str">
        <f ca="1">IFERROR(__xludf.DUMMYFUNCTION("""COMPUTED_VALUE"""),"-34.029786-71.085689")</f>
        <v>-34.029786-71.085689</v>
      </c>
      <c r="C10055" s="6" t="str">
        <f ca="1">IFERROR(__xludf.DUMMYFUNCTION("""COMPUTED_VALUE"""),"IGNACIO CARRERA PINTO S/N")</f>
        <v>IGNACIO CARRERA PINTO S/N</v>
      </c>
      <c r="D10055" s="6" t="str">
        <f ca="1">IFERROR(__xludf.DUMMYFUNCTION("""COMPUTED_VALUE"""),"ALHUÉ")</f>
        <v>ALHUÉ</v>
      </c>
    </row>
    <row r="10056" spans="1:4">
      <c r="A10056" s="7">
        <f ca="1">IFERROR(__xludf.DUMMYFUNCTION("""COMPUTED_VALUE"""),44838)</f>
        <v>44838</v>
      </c>
      <c r="B10056" s="6" t="str">
        <f ca="1">IFERROR(__xludf.DUMMYFUNCTION("""COMPUTED_VALUE"""),"-34.025277-71.072251")</f>
        <v>-34.025277-71.072251</v>
      </c>
      <c r="C10056" s="6" t="str">
        <f ca="1">IFERROR(__xludf.DUMMYFUNCTION("""COMPUTED_VALUE"""),"ESPERANZA S/N")</f>
        <v>ESPERANZA S/N</v>
      </c>
      <c r="D10056" s="6" t="str">
        <f ca="1">IFERROR(__xludf.DUMMYFUNCTION("""COMPUTED_VALUE"""),"ALHUÉ")</f>
        <v>ALHUÉ</v>
      </c>
    </row>
    <row r="10057" spans="1:4">
      <c r="A10057" s="7">
        <f ca="1">IFERROR(__xludf.DUMMYFUNCTION("""COMPUTED_VALUE"""),44838)</f>
        <v>44838</v>
      </c>
      <c r="B10057" s="6" t="str">
        <f ca="1">IFERROR(__xludf.DUMMYFUNCTION("""COMPUTED_VALUE"""),"-34.026099-71.084367")</f>
        <v>-34.026099-71.084367</v>
      </c>
      <c r="C10057" s="6" t="str">
        <f ca="1">IFERROR(__xludf.DUMMYFUNCTION("""COMPUTED_VALUE"""),"SECTOR CAMINO A PICHI S/N")</f>
        <v>SECTOR CAMINO A PICHI S/N</v>
      </c>
      <c r="D10057" s="6" t="str">
        <f ca="1">IFERROR(__xludf.DUMMYFUNCTION("""COMPUTED_VALUE"""),"ALHUÉ")</f>
        <v>ALHUÉ</v>
      </c>
    </row>
    <row r="10058" spans="1:4">
      <c r="A10058" s="7">
        <f ca="1">IFERROR(__xludf.DUMMYFUNCTION("""COMPUTED_VALUE"""),44838)</f>
        <v>44838</v>
      </c>
      <c r="B10058" s="8" t="str">
        <f ca="1">IFERROR(__xludf.DUMMYFUNCTION("""COMPUTED_VALUE"""),"-33.194477,-70.684885")</f>
        <v>-33.194477,-70.684885</v>
      </c>
      <c r="C10058" s="6" t="str">
        <f ca="1">IFERROR(__xludf.DUMMYFUNCTION("""COMPUTED_VALUE"""),"CALLE MELI 766")</f>
        <v>CALLE MELI 766</v>
      </c>
      <c r="D10058" s="6" t="str">
        <f ca="1">IFERROR(__xludf.DUMMYFUNCTION("""COMPUTED_VALUE"""),"COLINA")</f>
        <v>COLINA</v>
      </c>
    </row>
    <row r="10059" spans="1:4">
      <c r="A10059" s="7">
        <f ca="1">IFERROR(__xludf.DUMMYFUNCTION("""COMPUTED_VALUE"""),44838)</f>
        <v>44838</v>
      </c>
      <c r="B10059" s="8" t="str">
        <f ca="1">IFERROR(__xludf.DUMMYFUNCTION("""COMPUTED_VALUE"""),"-33.199422,-70.647549")</f>
        <v>-33.199422,-70.647549</v>
      </c>
      <c r="C10059" s="6" t="str">
        <f ca="1">IFERROR(__xludf.DUMMYFUNCTION("""COMPUTED_VALUE"""),"CASA DE PIEDRA 276")</f>
        <v>CASA DE PIEDRA 276</v>
      </c>
      <c r="D10059" s="6" t="str">
        <f ca="1">IFERROR(__xludf.DUMMYFUNCTION("""COMPUTED_VALUE"""),"COLINA")</f>
        <v>COLINA</v>
      </c>
    </row>
    <row r="10060" spans="1:4">
      <c r="A10060" s="7">
        <f ca="1">IFERROR(__xludf.DUMMYFUNCTION("""COMPUTED_VALUE"""),44838)</f>
        <v>44838</v>
      </c>
      <c r="B10060" s="8" t="str">
        <f ca="1">IFERROR(__xludf.DUMMYFUNCTION("""COMPUTED_VALUE"""),"-33.218829,-70.806498")</f>
        <v>-33.218829,-70.806498</v>
      </c>
      <c r="C10060" s="6" t="str">
        <f ca="1">IFERROR(__xludf.DUMMYFUNCTION("""COMPUTED_VALUE"""),"URIBE 618")</f>
        <v>URIBE 618</v>
      </c>
      <c r="D10060" s="6" t="str">
        <f ca="1">IFERROR(__xludf.DUMMYFUNCTION("""COMPUTED_VALUE"""),"LAMPA")</f>
        <v>LAMPA</v>
      </c>
    </row>
    <row r="10061" spans="1:4">
      <c r="A10061" s="7">
        <f ca="1">IFERROR(__xludf.DUMMYFUNCTION("""COMPUTED_VALUE"""),44838)</f>
        <v>44838</v>
      </c>
      <c r="B10061" s="8" t="str">
        <f ca="1">IFERROR(__xludf.DUMMYFUNCTION("""COMPUTED_VALUE"""),"-33.983404,-71.066306")</f>
        <v>-33.983404,-71.066306</v>
      </c>
      <c r="C10061" s="6" t="str">
        <f ca="1">IFERROR(__xludf.DUMMYFUNCTION("""COMPUTED_VALUE"""),"BARRANCAS DE PICHI ")</f>
        <v xml:space="preserve">BARRANCAS DE PICHI </v>
      </c>
      <c r="D10061" s="6" t="str">
        <f ca="1">IFERROR(__xludf.DUMMYFUNCTION("""COMPUTED_VALUE"""),"ALHUÉ")</f>
        <v>ALHUÉ</v>
      </c>
    </row>
    <row r="10062" spans="1:4">
      <c r="A10062" s="7">
        <f ca="1">IFERROR(__xludf.DUMMYFUNCTION("""COMPUTED_VALUE"""),44838)</f>
        <v>44838</v>
      </c>
      <c r="B10062" s="6" t="str">
        <f ca="1">IFERROR(__xludf.DUMMYFUNCTION("""COMPUTED_VALUE"""),"-33.278904,-70.883738")</f>
        <v>-33.278904,-70.883738</v>
      </c>
      <c r="C10062" s="6" t="str">
        <f ca="1">IFERROR(__xludf.DUMMYFUNCTION("""COMPUTED_VALUE"""),"PJE. LOS BOLDOS 105")</f>
        <v>PJE. LOS BOLDOS 105</v>
      </c>
      <c r="D10062" s="6" t="str">
        <f ca="1">IFERROR(__xludf.DUMMYFUNCTION("""COMPUTED_VALUE"""),"LAMPA")</f>
        <v>LAMPA</v>
      </c>
    </row>
    <row r="10063" spans="1:4">
      <c r="A10063" s="7">
        <f ca="1">IFERROR(__xludf.DUMMYFUNCTION("""COMPUTED_VALUE"""),44838)</f>
        <v>44838</v>
      </c>
      <c r="B10063" s="6" t="str">
        <f ca="1">IFERROR(__xludf.DUMMYFUNCTION("""COMPUTED_VALUE"""),"-33.812502,-70.741632")</f>
        <v>-33.812502,-70.741632</v>
      </c>
      <c r="C10063" s="6" t="str">
        <f ca="1">IFERROR(__xludf.DUMMYFUNCTION("""COMPUTED_VALUE"""),"RAUL SANCHEZ 14")</f>
        <v>RAUL SANCHEZ 14</v>
      </c>
      <c r="D10063" s="6" t="str">
        <f ca="1">IFERROR(__xludf.DUMMYFUNCTION("""COMPUTED_VALUE"""),"PAINE")</f>
        <v>PAINE</v>
      </c>
    </row>
    <row r="10064" spans="1:4">
      <c r="A10064" s="7">
        <f ca="1">IFERROR(__xludf.DUMMYFUNCTION("""COMPUTED_VALUE"""),44838)</f>
        <v>44838</v>
      </c>
      <c r="B10064" s="6" t="str">
        <f ca="1">IFERROR(__xludf.DUMMYFUNCTION("""COMPUTED_VALUE"""),"-33.851840,-70.943573")</f>
        <v>-33.851840,-70.943573</v>
      </c>
      <c r="C10064" s="6" t="str">
        <f ca="1">IFERROR(__xludf.DUMMYFUNCTION("""COMPUTED_VALUE"""),"RESERVA CERRO 56")</f>
        <v>RESERVA CERRO 56</v>
      </c>
      <c r="D10064" s="6" t="str">
        <f ca="1">IFERROR(__xludf.DUMMYFUNCTION("""COMPUTED_VALUE"""),"PAINE")</f>
        <v>PAINE</v>
      </c>
    </row>
    <row r="10065" spans="1:4">
      <c r="A10065" s="7">
        <f ca="1">IFERROR(__xludf.DUMMYFUNCTION("""COMPUTED_VALUE"""),44838)</f>
        <v>44838</v>
      </c>
      <c r="B10065" s="6" t="str">
        <f ca="1">IFERROR(__xludf.DUMMYFUNCTION("""COMPUTED_VALUE"""),"-33.821033,-70.7401299")</f>
        <v>-33.821033,-70.7401299</v>
      </c>
      <c r="C10065" s="6" t="str">
        <f ca="1">IFERROR(__xludf.DUMMYFUNCTION("""COMPUTED_VALUE"""),"ECUADOR 280")</f>
        <v>ECUADOR 280</v>
      </c>
      <c r="D10065" s="6" t="str">
        <f ca="1">IFERROR(__xludf.DUMMYFUNCTION("""COMPUTED_VALUE"""),"PAINE")</f>
        <v>PAINE</v>
      </c>
    </row>
    <row r="10066" spans="1:4">
      <c r="A10066" s="7">
        <f ca="1">IFERROR(__xludf.DUMMYFUNCTION("""COMPUTED_VALUE"""),44838)</f>
        <v>44838</v>
      </c>
      <c r="B10066" s="6" t="str">
        <f ca="1">IFERROR(__xludf.DUMMYFUNCTION("""COMPUTED_VALUE"""),"-33.8249237,-70.7314668")</f>
        <v>-33.8249237,-70.7314668</v>
      </c>
      <c r="C10066" s="6" t="str">
        <f ca="1">IFERROR(__xludf.DUMMYFUNCTION("""COMPUTED_VALUE"""),"CLAUDIO MATTE 1869")</f>
        <v>CLAUDIO MATTE 1869</v>
      </c>
      <c r="D10066" s="6" t="str">
        <f ca="1">IFERROR(__xludf.DUMMYFUNCTION("""COMPUTED_VALUE"""),"PAINE")</f>
        <v>PAINE</v>
      </c>
    </row>
    <row r="10067" spans="1:4">
      <c r="A10067" s="7">
        <f ca="1">IFERROR(__xludf.DUMMYFUNCTION("""COMPUTED_VALUE"""),44839)</f>
        <v>44839</v>
      </c>
      <c r="B10067" s="8" t="str">
        <f ca="1">IFERROR(__xludf.DUMMYFUNCTION("""COMPUTED_VALUE"""),"-33.3272145,-70.764815")</f>
        <v>-33.3272145,-70.764815</v>
      </c>
      <c r="C10067" s="6" t="str">
        <f ca="1">IFERROR(__xludf.DUMMYFUNCTION("""COMPUTED_VALUE"""),"PEYEHUE 850")</f>
        <v>PEYEHUE 850</v>
      </c>
      <c r="D10067" s="6" t="str">
        <f ca="1">IFERROR(__xludf.DUMMYFUNCTION("""COMPUTED_VALUE"""),"LAMPA")</f>
        <v>LAMPA</v>
      </c>
    </row>
    <row r="10068" spans="1:4">
      <c r="A10068" s="7">
        <f ca="1">IFERROR(__xludf.DUMMYFUNCTION("""COMPUTED_VALUE"""),44839)</f>
        <v>44839</v>
      </c>
      <c r="B10068" s="6" t="str">
        <f ca="1">IFERROR(__xludf.DUMMYFUNCTION("""COMPUTED_VALUE"""),"-33.609921-70.892432")</f>
        <v>-33.609921-70.892432</v>
      </c>
      <c r="C10068" s="6" t="str">
        <f ca="1">IFERROR(__xludf.DUMMYFUNCTION("""COMPUTED_VALUE"""),"PJE DOS 2229")</f>
        <v>PJE DOS 2229</v>
      </c>
      <c r="D10068" s="6" t="str">
        <f ca="1">IFERROR(__xludf.DUMMYFUNCTION("""COMPUTED_VALUE"""),"PEÑAFLOR")</f>
        <v>PEÑAFLOR</v>
      </c>
    </row>
    <row r="10069" spans="1:4">
      <c r="A10069" s="7">
        <f ca="1">IFERROR(__xludf.DUMMYFUNCTION("""COMPUTED_VALUE"""),44839)</f>
        <v>44839</v>
      </c>
      <c r="B10069" s="6" t="str">
        <f ca="1">IFERROR(__xludf.DUMMYFUNCTION("""COMPUTED_VALUE"""),"-33.679805-71.223646")</f>
        <v>-33.679805-71.223646</v>
      </c>
      <c r="C10069" s="6" t="str">
        <f ca="1">IFERROR(__xludf.DUMMYFUNCTION("""COMPUTED_VALUE"""),"LOS CANELOS 1221")</f>
        <v>LOS CANELOS 1221</v>
      </c>
      <c r="D10069" s="6" t="str">
        <f ca="1">IFERROR(__xludf.DUMMYFUNCTION("""COMPUTED_VALUE"""),"MELIPILLA")</f>
        <v>MELIPILLA</v>
      </c>
    </row>
    <row r="10070" spans="1:4">
      <c r="A10070" s="7">
        <f ca="1">IFERROR(__xludf.DUMMYFUNCTION("""COMPUTED_VALUE"""),44839)</f>
        <v>44839</v>
      </c>
      <c r="B10070" s="6" t="str">
        <f ca="1">IFERROR(__xludf.DUMMYFUNCTION("""COMPUTED_VALUE"""),"-33.760377-70.733451")</f>
        <v>-33.760377-70.733451</v>
      </c>
      <c r="C10070" s="6" t="str">
        <f ca="1">IFERROR(__xludf.DUMMYFUNCTION("""COMPUTED_VALUE"""),"VALERIO LOPEZ 044")</f>
        <v>VALERIO LOPEZ 044</v>
      </c>
      <c r="D10070" s="6" t="str">
        <f ca="1">IFERROR(__xludf.DUMMYFUNCTION("""COMPUTED_VALUE"""),"BUIN")</f>
        <v>BUIN</v>
      </c>
    </row>
    <row r="10071" spans="1:4">
      <c r="A10071" s="7">
        <f ca="1">IFERROR(__xludf.DUMMYFUNCTION("""COMPUTED_VALUE"""),44839)</f>
        <v>44839</v>
      </c>
      <c r="B10071" s="6" t="str">
        <f ca="1">IFERROR(__xludf.DUMMYFUNCTION("""COMPUTED_VALUE"""),"-33.819771-70.739935")</f>
        <v>-33.819771-70.739935</v>
      </c>
      <c r="C10071" s="6" t="str">
        <f ca="1">IFERROR(__xludf.DUMMYFUNCTION("""COMPUTED_VALUE"""),"PUERTO RICO 1547")</f>
        <v>PUERTO RICO 1547</v>
      </c>
      <c r="D10071" s="6" t="str">
        <f ca="1">IFERROR(__xludf.DUMMYFUNCTION("""COMPUTED_VALUE"""),"PAINE")</f>
        <v>PAINE</v>
      </c>
    </row>
    <row r="10072" spans="1:4">
      <c r="A10072" s="7">
        <f ca="1">IFERROR(__xludf.DUMMYFUNCTION("""COMPUTED_VALUE"""),44839)</f>
        <v>44839</v>
      </c>
      <c r="B10072" s="8" t="str">
        <f ca="1">IFERROR(__xludf.DUMMYFUNCTION("""COMPUTED_VALUE"""),"-33.609236,-71.222313")</f>
        <v>-33.609236,-71.222313</v>
      </c>
      <c r="C10072" s="6" t="str">
        <f ca="1">IFERROR(__xludf.DUMMYFUNCTION("""COMPUTED_VALUE"""),"LAS PERDICES")</f>
        <v>LAS PERDICES</v>
      </c>
      <c r="D10072" s="6" t="str">
        <f ca="1">IFERROR(__xludf.DUMMYFUNCTION("""COMPUTED_VALUE"""),"MELIPILLA")</f>
        <v>MELIPILLA</v>
      </c>
    </row>
    <row r="10073" spans="1:4">
      <c r="A10073" s="7">
        <f ca="1">IFERROR(__xludf.DUMMYFUNCTION("""COMPUTED_VALUE"""),44839)</f>
        <v>44839</v>
      </c>
      <c r="B10073" s="8" t="str">
        <f ca="1">IFERROR(__xludf.DUMMYFUNCTION("""COMPUTED_VALUE"""),"-33.789989,-71.379886")</f>
        <v>-33.789989,-71.379886</v>
      </c>
      <c r="C10073" s="6" t="str">
        <f ca="1">IFERROR(__xludf.DUMMYFUNCTION("""COMPUTED_VALUE"""),"LA UNIO S/N")</f>
        <v>LA UNIO S/N</v>
      </c>
      <c r="D10073" s="6" t="str">
        <f ca="1">IFERROR(__xludf.DUMMYFUNCTION("""COMPUTED_VALUE"""),"MELIPILLA")</f>
        <v>MELIPILLA</v>
      </c>
    </row>
    <row r="10074" spans="1:4">
      <c r="A10074" s="7">
        <f ca="1">IFERROR(__xludf.DUMMYFUNCTION("""COMPUTED_VALUE"""),44839)</f>
        <v>44839</v>
      </c>
      <c r="B10074" s="6" t="str">
        <f ca="1">IFERROR(__xludf.DUMMYFUNCTION("""COMPUTED_VALUE"""),"-33.739081,-70680991")</f>
        <v>-33.739081,-70680991</v>
      </c>
      <c r="C10074" s="6" t="str">
        <f ca="1">IFERROR(__xludf.DUMMYFUNCTION("""COMPUTED_VALUE"""),"PA CARMENERE 24")</f>
        <v>PA CARMENERE 24</v>
      </c>
      <c r="D10074" s="6" t="str">
        <f ca="1">IFERROR(__xludf.DUMMYFUNCTION("""COMPUTED_VALUE"""),"BUIN")</f>
        <v>BUIN</v>
      </c>
    </row>
    <row r="10075" spans="1:4">
      <c r="A10075" s="7">
        <f ca="1">IFERROR(__xludf.DUMMYFUNCTION("""COMPUTED_VALUE"""),44839)</f>
        <v>44839</v>
      </c>
      <c r="B10075" s="6" t="str">
        <f ca="1">IFERROR(__xludf.DUMMYFUNCTION("""COMPUTED_VALUE"""),"-33.761979,-70.911801")</f>
        <v>-33.761979,-70.911801</v>
      </c>
      <c r="C10075" s="6" t="str">
        <f ca="1">IFERROR(__xludf.DUMMYFUNCTION("""COMPUTED_VALUE"""),"ALVAREZ 556 A")</f>
        <v>ALVAREZ 556 A</v>
      </c>
      <c r="D10075" s="6" t="str">
        <f ca="1">IFERROR(__xludf.DUMMYFUNCTION("""COMPUTED_VALUE"""),"ISLA DE MAIPO")</f>
        <v>ISLA DE MAIPO</v>
      </c>
    </row>
    <row r="10076" spans="1:4">
      <c r="A10076" s="7">
        <f ca="1">IFERROR(__xludf.DUMMYFUNCTION("""COMPUTED_VALUE"""),44839)</f>
        <v>44839</v>
      </c>
      <c r="B10076" s="8" t="str">
        <f ca="1">IFERROR(__xludf.DUMMYFUNCTION("""COMPUTED_VALUE"""),"-33.838512,-70.639336")</f>
        <v>-33.838512,-70.639336</v>
      </c>
      <c r="C10076" s="6" t="str">
        <f ca="1">IFERROR(__xludf.DUMMYFUNCTION("""COMPUTED_VALUE"""),"LA VICTORIA  SITIO O")</f>
        <v>LA VICTORIA  SITIO O</v>
      </c>
      <c r="D10076" s="6" t="str">
        <f ca="1">IFERROR(__xludf.DUMMYFUNCTION("""COMPUTED_VALUE"""),"PAINE")</f>
        <v>PAINE</v>
      </c>
    </row>
    <row r="10077" spans="1:4">
      <c r="A10077" s="7">
        <f ca="1">IFERROR(__xludf.DUMMYFUNCTION("""COMPUTED_VALUE"""),44839)</f>
        <v>44839</v>
      </c>
      <c r="B10077" s="8" t="str">
        <f ca="1">IFERROR(__xludf.DUMMYFUNCTION("""COMPUTED_VALUE"""),"-33.6294840,-70.8219090")</f>
        <v>-33.6294840,-70.8219090</v>
      </c>
      <c r="C10077" s="6" t="str">
        <f ca="1">IFERROR(__xludf.DUMMYFUNCTION("""COMPUTED_VALUE"""),"AMANECER SITIO 9")</f>
        <v>AMANECER SITIO 9</v>
      </c>
      <c r="D10077" s="6" t="str">
        <f ca="1">IFERROR(__xludf.DUMMYFUNCTION("""COMPUTED_VALUE"""),"CALERA DE TANGO")</f>
        <v>CALERA DE TANGO</v>
      </c>
    </row>
    <row r="10078" spans="1:4">
      <c r="A10078" s="7">
        <f ca="1">IFERROR(__xludf.DUMMYFUNCTION("""COMPUTED_VALUE"""),44839)</f>
        <v>44839</v>
      </c>
      <c r="B10078" s="8" t="str">
        <f ca="1">IFERROR(__xludf.DUMMYFUNCTION("""COMPUTED_VALUE"""),"-33.986449:-71.063526")</f>
        <v>-33.986449:-71.063526</v>
      </c>
      <c r="C10078" s="6" t="str">
        <f ca="1">IFERROR(__xludf.DUMMYFUNCTION("""COMPUTED_VALUE"""),"BARRANCAS DE PICHI ")</f>
        <v xml:space="preserve">BARRANCAS DE PICHI </v>
      </c>
      <c r="D10078" s="6" t="str">
        <f ca="1">IFERROR(__xludf.DUMMYFUNCTION("""COMPUTED_VALUE"""),"ALHUÉ")</f>
        <v>ALHUÉ</v>
      </c>
    </row>
    <row r="10079" spans="1:4">
      <c r="A10079" s="7">
        <f ca="1">IFERROR(__xludf.DUMMYFUNCTION("""COMPUTED_VALUE"""),44839)</f>
        <v>44839</v>
      </c>
      <c r="B10079" s="8" t="str">
        <f ca="1">IFERROR(__xludf.DUMMYFUNCTION("""COMPUTED_VALUE"""),"-33.046222,-71.227379")</f>
        <v>-33.046222,-71.227379</v>
      </c>
      <c r="C10079" s="6" t="str">
        <f ca="1">IFERROR(__xludf.DUMMYFUNCTION("""COMPUTED_VALUE"""),"LA LINEA S/N ALHUE ")</f>
        <v xml:space="preserve">LA LINEA S/N ALHUE </v>
      </c>
      <c r="D10079" s="6" t="str">
        <f ca="1">IFERROR(__xludf.DUMMYFUNCTION("""COMPUTED_VALUE"""),"ALHUÉ")</f>
        <v>ALHUÉ</v>
      </c>
    </row>
    <row r="10080" spans="1:4">
      <c r="A10080" s="7">
        <f ca="1">IFERROR(__xludf.DUMMYFUNCTION("""COMPUTED_VALUE"""),44840)</f>
        <v>44840</v>
      </c>
      <c r="B10080" s="6" t="str">
        <f ca="1">IFERROR(__xludf.DUMMYFUNCTION("""COMPUTED_VALUE"""),"-34.031896-71.115208")</f>
        <v>-34.031896-71.115208</v>
      </c>
      <c r="C10080" s="6" t="str">
        <f ca="1">IFERROR(__xludf.DUMMYFUNCTION("""COMPUTED_VALUE"""),"VEINTIUNO DE MAYO S/N")</f>
        <v>VEINTIUNO DE MAYO S/N</v>
      </c>
      <c r="D10080" s="6" t="str">
        <f ca="1">IFERROR(__xludf.DUMMYFUNCTION("""COMPUTED_VALUE"""),"ALHUÉ")</f>
        <v>ALHUÉ</v>
      </c>
    </row>
    <row r="10081" spans="1:4">
      <c r="A10081" s="7">
        <f ca="1">IFERROR(__xludf.DUMMYFUNCTION("""COMPUTED_VALUE"""),44840)</f>
        <v>44840</v>
      </c>
      <c r="B10081" s="6" t="str">
        <f ca="1">IFERROR(__xludf.DUMMYFUNCTION("""COMPUTED_VALUE"""),"-34.030212-71.079256")</f>
        <v>-34.030212-71.079256</v>
      </c>
      <c r="C10081" s="6" t="str">
        <f ca="1">IFERROR(__xludf.DUMMYFUNCTION("""COMPUTED_VALUE"""),"IGNACIO CARRERA PINTO S/N")</f>
        <v>IGNACIO CARRERA PINTO S/N</v>
      </c>
      <c r="D10081" s="6" t="str">
        <f ca="1">IFERROR(__xludf.DUMMYFUNCTION("""COMPUTED_VALUE"""),"ALHUÉ")</f>
        <v>ALHUÉ</v>
      </c>
    </row>
    <row r="10082" spans="1:4">
      <c r="A10082" s="7">
        <f ca="1">IFERROR(__xludf.DUMMYFUNCTION("""COMPUTED_VALUE"""),44840)</f>
        <v>44840</v>
      </c>
      <c r="B10082" s="6" t="str">
        <f ca="1">IFERROR(__xludf.DUMMYFUNCTION("""COMPUTED_VALUE"""),"-34.025674-71.108582")</f>
        <v>-34.025674-71.108582</v>
      </c>
      <c r="C10082" s="6" t="str">
        <f ca="1">IFERROR(__xludf.DUMMYFUNCTION("""COMPUTED_VALUE"""),"SECTOR HIJUELA DE POLULO S/N")</f>
        <v>SECTOR HIJUELA DE POLULO S/N</v>
      </c>
      <c r="D10082" s="6" t="str">
        <f ca="1">IFERROR(__xludf.DUMMYFUNCTION("""COMPUTED_VALUE"""),"ALHUÉ")</f>
        <v>ALHUÉ</v>
      </c>
    </row>
    <row r="10083" spans="1:4">
      <c r="A10083" s="7">
        <f ca="1">IFERROR(__xludf.DUMMYFUNCTION("""COMPUTED_VALUE"""),44840)</f>
        <v>44840</v>
      </c>
      <c r="B10083" s="6" t="str">
        <f ca="1">IFERROR(__xludf.DUMMYFUNCTION("""COMPUTED_VALUE"""),"-33.63843-70.56546")</f>
        <v>-33.63843-70.56546</v>
      </c>
      <c r="C10083" s="6" t="str">
        <f ca="1">IFERROR(__xludf.DUMMYFUNCTION("""COMPUTED_VALUE"""),"LOS OLIVOS 133")</f>
        <v>LOS OLIVOS 133</v>
      </c>
      <c r="D10083" s="6" t="str">
        <f ca="1">IFERROR(__xludf.DUMMYFUNCTION("""COMPUTED_VALUE"""),"PIRQUE")</f>
        <v>PIRQUE</v>
      </c>
    </row>
    <row r="10084" spans="1:4">
      <c r="A10084" s="7">
        <f ca="1">IFERROR(__xludf.DUMMYFUNCTION("""COMPUTED_VALUE"""),44840)</f>
        <v>44840</v>
      </c>
      <c r="B10084" s="6" t="str">
        <f ca="1">IFERROR(__xludf.DUMMYFUNCTION("""COMPUTED_VALUE"""),"-33.71962-70.56261")</f>
        <v>-33.71962-70.56261</v>
      </c>
      <c r="C10084" s="6" t="str">
        <f ca="1">IFERROR(__xludf.DUMMYFUNCTION("""COMPUTED_VALUE"""),"LOS OLIVOS 133")</f>
        <v>LOS OLIVOS 133</v>
      </c>
      <c r="D10084" s="6" t="str">
        <f ca="1">IFERROR(__xludf.DUMMYFUNCTION("""COMPUTED_VALUE"""),"PIRQUE")</f>
        <v>PIRQUE</v>
      </c>
    </row>
    <row r="10085" spans="1:4">
      <c r="A10085" s="7">
        <f ca="1">IFERROR(__xludf.DUMMYFUNCTION("""COMPUTED_VALUE"""),44840)</f>
        <v>44840</v>
      </c>
      <c r="B10085" s="6" t="str">
        <f ca="1">IFERROR(__xludf.DUMMYFUNCTION("""COMPUTED_VALUE"""),"-33.987827-71.064766")</f>
        <v>-33.987827-71.064766</v>
      </c>
      <c r="C10085" s="6" t="str">
        <f ca="1">IFERROR(__xludf.DUMMYFUNCTION("""COMPUTED_VALUE"""),"BARRANCAS DE PICHI S/N")</f>
        <v>BARRANCAS DE PICHI S/N</v>
      </c>
      <c r="D10085" s="6" t="str">
        <f ca="1">IFERROR(__xludf.DUMMYFUNCTION("""COMPUTED_VALUE"""),"ALHUÉ")</f>
        <v>ALHUÉ</v>
      </c>
    </row>
    <row r="10086" spans="1:4">
      <c r="A10086" s="7">
        <f ca="1">IFERROR(__xludf.DUMMYFUNCTION("""COMPUTED_VALUE"""),44840)</f>
        <v>44840</v>
      </c>
      <c r="B10086" s="6" t="str">
        <f ca="1">IFERROR(__xludf.DUMMYFUNCTION("""COMPUTED_VALUE"""),"-33.987968-71.064770")</f>
        <v>-33.987968-71.064770</v>
      </c>
      <c r="C10086" s="6" t="str">
        <f ca="1">IFERROR(__xludf.DUMMYFUNCTION("""COMPUTED_VALUE"""),"BARRANCAS DE PICHI S/N")</f>
        <v>BARRANCAS DE PICHI S/N</v>
      </c>
      <c r="D10086" s="6" t="str">
        <f ca="1">IFERROR(__xludf.DUMMYFUNCTION("""COMPUTED_VALUE"""),"ALHUÉ")</f>
        <v>ALHUÉ</v>
      </c>
    </row>
    <row r="10087" spans="1:4">
      <c r="A10087" s="7">
        <f ca="1">IFERROR(__xludf.DUMMYFUNCTION("""COMPUTED_VALUE"""),44840)</f>
        <v>44840</v>
      </c>
      <c r="B10087" s="6" t="str">
        <f ca="1">IFERROR(__xludf.DUMMYFUNCTION("""COMPUTED_VALUE"""),"-33.979720-71.061616")</f>
        <v>-33.979720-71.061616</v>
      </c>
      <c r="C10087" s="6" t="str">
        <f ca="1">IFERROR(__xludf.DUMMYFUNCTION("""COMPUTED_VALUE"""),"BARRANCAS DE PICHI S/N")</f>
        <v>BARRANCAS DE PICHI S/N</v>
      </c>
      <c r="D10087" s="6" t="str">
        <f ca="1">IFERROR(__xludf.DUMMYFUNCTION("""COMPUTED_VALUE"""),"ALHUÉ")</f>
        <v>ALHUÉ</v>
      </c>
    </row>
    <row r="10088" spans="1:4">
      <c r="A10088" s="7">
        <f ca="1">IFERROR(__xludf.DUMMYFUNCTION("""COMPUTED_VALUE"""),44840)</f>
        <v>44840</v>
      </c>
      <c r="B10088" s="6" t="str">
        <f ca="1">IFERROR(__xludf.DUMMYFUNCTION("""COMPUTED_VALUE"""),"-34.028498-71.082460")</f>
        <v>-34.028498-71.082460</v>
      </c>
      <c r="C10088" s="6" t="str">
        <f ca="1">IFERROR(__xludf.DUMMYFUNCTION("""COMPUTED_VALUE"""),"IGNACIO CARRERA PINTO S/N")</f>
        <v>IGNACIO CARRERA PINTO S/N</v>
      </c>
      <c r="D10088" s="6" t="str">
        <f ca="1">IFERROR(__xludf.DUMMYFUNCTION("""COMPUTED_VALUE"""),"ALHUÉ")</f>
        <v>ALHUÉ</v>
      </c>
    </row>
    <row r="10089" spans="1:4">
      <c r="A10089" s="7">
        <f ca="1">IFERROR(__xludf.DUMMYFUNCTION("""COMPUTED_VALUE"""),44840)</f>
        <v>44840</v>
      </c>
      <c r="B10089" s="6" t="str">
        <f ca="1">IFERROR(__xludf.DUMMYFUNCTION("""COMPUTED_VALUE"""),"-34.028498-71.082460")</f>
        <v>-34.028498-71.082460</v>
      </c>
      <c r="C10089" s="6" t="str">
        <f ca="1">IFERROR(__xludf.DUMMYFUNCTION("""COMPUTED_VALUE"""),"IGNACIO CARRERA PINTO S/N")</f>
        <v>IGNACIO CARRERA PINTO S/N</v>
      </c>
      <c r="D10089" s="6" t="str">
        <f ca="1">IFERROR(__xludf.DUMMYFUNCTION("""COMPUTED_VALUE"""),"ALHUÉ")</f>
        <v>ALHUÉ</v>
      </c>
    </row>
    <row r="10090" spans="1:4">
      <c r="A10090" s="7">
        <f ca="1">IFERROR(__xludf.DUMMYFUNCTION("""COMPUTED_VALUE"""),44840)</f>
        <v>44840</v>
      </c>
      <c r="B10090" s="6" t="str">
        <f ca="1">IFERROR(__xludf.DUMMYFUNCTION("""COMPUTED_VALUE"""),"-34.038084-71.093978")</f>
        <v>-34.038084-71.093978</v>
      </c>
      <c r="C10090" s="6" t="str">
        <f ca="1">IFERROR(__xludf.DUMMYFUNCTION("""COMPUTED_VALUE"""),"CHACABUCO S/N")</f>
        <v>CHACABUCO S/N</v>
      </c>
      <c r="D10090" s="6" t="str">
        <f ca="1">IFERROR(__xludf.DUMMYFUNCTION("""COMPUTED_VALUE"""),"ALHUÉ")</f>
        <v>ALHUÉ</v>
      </c>
    </row>
    <row r="10091" spans="1:4">
      <c r="A10091" s="7">
        <f ca="1">IFERROR(__xludf.DUMMYFUNCTION("""COMPUTED_VALUE"""),44840)</f>
        <v>44840</v>
      </c>
      <c r="B10091" s="6" t="str">
        <f ca="1">IFERROR(__xludf.DUMMYFUNCTION("""COMPUTED_VALUE"""),"-34.027328-71.-080028")</f>
        <v>-34.027328-71.-080028</v>
      </c>
      <c r="C10091" s="6" t="str">
        <f ca="1">IFERROR(__xludf.DUMMYFUNCTION("""COMPUTED_VALUE"""),"IGNACIO CARRERA PINTO S/N")</f>
        <v>IGNACIO CARRERA PINTO S/N</v>
      </c>
      <c r="D10091" s="6" t="str">
        <f ca="1">IFERROR(__xludf.DUMMYFUNCTION("""COMPUTED_VALUE"""),"ALHUÉ")</f>
        <v>ALHUÉ</v>
      </c>
    </row>
    <row r="10092" spans="1:4">
      <c r="A10092" s="7">
        <f ca="1">IFERROR(__xludf.DUMMYFUNCTION("""COMPUTED_VALUE"""),44840)</f>
        <v>44840</v>
      </c>
      <c r="B10092" s="8" t="str">
        <f ca="1">IFERROR(__xludf.DUMMYFUNCTION("""COMPUTED_VALUE"""),"-33.608384,-70.495742")</f>
        <v>-33.608384,-70.495742</v>
      </c>
      <c r="C10092" s="6" t="str">
        <f ca="1">IFERROR(__xludf.DUMMYFUNCTION("""COMPUTED_VALUE"""),"EL RACO S/N ")</f>
        <v xml:space="preserve">EL RACO S/N </v>
      </c>
      <c r="D10092" s="6" t="str">
        <f ca="1">IFERROR(__xludf.DUMMYFUNCTION("""COMPUTED_VALUE"""),"PIRQUE")</f>
        <v>PIRQUE</v>
      </c>
    </row>
    <row r="10093" spans="1:4">
      <c r="A10093" s="7">
        <f ca="1">IFERROR(__xludf.DUMMYFUNCTION("""COMPUTED_VALUE"""),44840)</f>
        <v>44840</v>
      </c>
      <c r="B10093" s="6" t="str">
        <f ca="1">IFERROR(__xludf.DUMMYFUNCTION("""COMPUTED_VALUE"""),"-33.761979,-70.911801")</f>
        <v>-33.761979,-70.911801</v>
      </c>
      <c r="C10093" s="6" t="str">
        <f ca="1">IFERROR(__xludf.DUMMYFUNCTION("""COMPUTED_VALUE"""),"ALVAREZ 556 A")</f>
        <v>ALVAREZ 556 A</v>
      </c>
      <c r="D10093" s="6" t="str">
        <f ca="1">IFERROR(__xludf.DUMMYFUNCTION("""COMPUTED_VALUE"""),"ISLA DE MAIPO")</f>
        <v>ISLA DE MAIPO</v>
      </c>
    </row>
    <row r="10094" spans="1:4">
      <c r="A10094" s="7">
        <f ca="1">IFERROR(__xludf.DUMMYFUNCTION("""COMPUTED_VALUE"""),44840)</f>
        <v>44840</v>
      </c>
      <c r="B10094" s="6" t="str">
        <f ca="1">IFERROR(__xludf.DUMMYFUNCTION("""COMPUTED_VALUE"""),"-33.246434,-70.701215")</f>
        <v>-33.246434,-70.701215</v>
      </c>
      <c r="C10094" s="6" t="str">
        <f ca="1">IFERROR(__xludf.DUMMYFUNCTION("""COMPUTED_VALUE"""),"PASAJE SAN JOSE S/N HIJ F LOT1")</f>
        <v>PASAJE SAN JOSE S/N HIJ F LOT1</v>
      </c>
      <c r="D10094" s="6" t="str">
        <f ca="1">IFERROR(__xludf.DUMMYFUNCTION("""COMPUTED_VALUE"""),"COLINA")</f>
        <v>COLINA</v>
      </c>
    </row>
    <row r="10095" spans="1:4">
      <c r="A10095" s="7">
        <f ca="1">IFERROR(__xludf.DUMMYFUNCTION("""COMPUTED_VALUE"""),44840)</f>
        <v>44840</v>
      </c>
      <c r="B10095" s="6" t="str">
        <f ca="1">IFERROR(__xludf.DUMMYFUNCTION("""COMPUTED_VALUE"""),"-33.8060556,-70.7351667")</f>
        <v>-33.8060556,-70.7351667</v>
      </c>
      <c r="C10095" s="6" t="str">
        <f ca="1">IFERROR(__xludf.DUMMYFUNCTION("""COMPUTED_VALUE"""),"LAS ARAUCARIAS 165")</f>
        <v>LAS ARAUCARIAS 165</v>
      </c>
      <c r="D10095" s="6" t="str">
        <f ca="1">IFERROR(__xludf.DUMMYFUNCTION("""COMPUTED_VALUE"""),"PAINE")</f>
        <v>PAINE</v>
      </c>
    </row>
    <row r="10096" spans="1:4">
      <c r="A10096" s="7">
        <f ca="1">IFERROR(__xludf.DUMMYFUNCTION("""COMPUTED_VALUE"""),44840)</f>
        <v>44840</v>
      </c>
      <c r="B10096" s="6" t="str">
        <f ca="1">IFERROR(__xludf.DUMMYFUNCTION("""COMPUTED_VALUE"""),"-33.")</f>
        <v>-33.</v>
      </c>
      <c r="C10096" s="6" t="str">
        <f ca="1">IFERROR(__xludf.DUMMYFUNCTION("""COMPUTED_VALUE"""),"CATALAN 151")</f>
        <v>CATALAN 151</v>
      </c>
      <c r="D10096" s="6" t="str">
        <f ca="1">IFERROR(__xludf.DUMMYFUNCTION("""COMPUTED_VALUE"""),"CURACAVI")</f>
        <v>CURACAVI</v>
      </c>
    </row>
    <row r="10097" spans="1:4">
      <c r="A10097" s="7">
        <f ca="1">IFERROR(__xludf.DUMMYFUNCTION("""COMPUTED_VALUE"""),44841)</f>
        <v>44841</v>
      </c>
      <c r="B10097" s="8" t="str">
        <f ca="1">IFERROR(__xludf.DUMMYFUNCTION("""COMPUTED_VALUE"""),"-33.2829806,-70.8879348")</f>
        <v>-33.2829806,-70.8879348</v>
      </c>
      <c r="C10097" s="6" t="str">
        <f ca="1">IFERROR(__xludf.DUMMYFUNCTION("""COMPUTED_VALUE"""),"BALMACEDA 34 ")</f>
        <v xml:space="preserve">BALMACEDA 34 </v>
      </c>
      <c r="D10097" s="6" t="str">
        <f ca="1">IFERROR(__xludf.DUMMYFUNCTION("""COMPUTED_VALUE"""),"LAMPA")</f>
        <v>LAMPA</v>
      </c>
    </row>
    <row r="10098" spans="1:4">
      <c r="A10098" s="7">
        <f ca="1">IFERROR(__xludf.DUMMYFUNCTION("""COMPUTED_VALUE"""),44841)</f>
        <v>44841</v>
      </c>
      <c r="B10098" s="8" t="str">
        <f ca="1">IFERROR(__xludf.DUMMYFUNCTION("""COMPUTED_VALUE"""),"-33.222522,-70.808563")</f>
        <v>-33.222522,-70.808563</v>
      </c>
      <c r="C10098" s="6" t="str">
        <f ca="1">IFERROR(__xludf.DUMMYFUNCTION("""COMPUTED_VALUE"""),"URIBE 618")</f>
        <v>URIBE 618</v>
      </c>
      <c r="D10098" s="6" t="str">
        <f ca="1">IFERROR(__xludf.DUMMYFUNCTION("""COMPUTED_VALUE"""),"LAMPA")</f>
        <v>LAMPA</v>
      </c>
    </row>
    <row r="10099" spans="1:4">
      <c r="A10099" s="7">
        <f ca="1">IFERROR(__xludf.DUMMYFUNCTION("""COMPUTED_VALUE"""),44841)</f>
        <v>44841</v>
      </c>
      <c r="B10099" s="8" t="str">
        <f ca="1">IFERROR(__xludf.DUMMYFUNCTION("""COMPUTED_VALUE"""),"-33.223552,-70.809650")</f>
        <v>-33.223552,-70.809650</v>
      </c>
      <c r="C10099" s="6" t="str">
        <f ca="1">IFERROR(__xludf.DUMMYFUNCTION("""COMPUTED_VALUE"""),"URIBE 662")</f>
        <v>URIBE 662</v>
      </c>
      <c r="D10099" s="6" t="str">
        <f ca="1">IFERROR(__xludf.DUMMYFUNCTION("""COMPUTED_VALUE"""),"LAMPA")</f>
        <v>LAMPA</v>
      </c>
    </row>
    <row r="10100" spans="1:4">
      <c r="A10100" s="7">
        <f ca="1">IFERROR(__xludf.DUMMYFUNCTION("""COMPUTED_VALUE"""),44841)</f>
        <v>44841</v>
      </c>
      <c r="B10100" s="6" t="str">
        <f ca="1">IFERROR(__xludf.DUMMYFUNCTION("""COMPUTED_VALUE"""),"-33.756821,-70910660")</f>
        <v>-33.756821,-70910660</v>
      </c>
      <c r="C10100" s="6" t="str">
        <f ca="1">IFERROR(__xludf.DUMMYFUNCTION("""COMPUTED_VALUE"""),"SAN PEDRO 768")</f>
        <v>SAN PEDRO 768</v>
      </c>
      <c r="D10100" s="6" t="str">
        <f ca="1">IFERROR(__xludf.DUMMYFUNCTION("""COMPUTED_VALUE"""),"ISLA DE MAIPO")</f>
        <v>ISLA DE MAIPO</v>
      </c>
    </row>
    <row r="10101" spans="1:4">
      <c r="A10101" s="7">
        <f ca="1">IFERROR(__xludf.DUMMYFUNCTION("""COMPUTED_VALUE"""),44841)</f>
        <v>44841</v>
      </c>
      <c r="B10101" s="6" t="str">
        <f ca="1">IFERROR(__xludf.DUMMYFUNCTION("""COMPUTED_VALUE"""),"-33.605596,-70.890289")</f>
        <v>-33.605596,-70.890289</v>
      </c>
      <c r="C10101" s="6" t="str">
        <f ca="1">IFERROR(__xludf.DUMMYFUNCTION("""COMPUTED_VALUE"""),"VEINTIUNO DE MAYO 3442")</f>
        <v>VEINTIUNO DE MAYO 3442</v>
      </c>
      <c r="D10101" s="6" t="str">
        <f ca="1">IFERROR(__xludf.DUMMYFUNCTION("""COMPUTED_VALUE"""),"PEÑAFLOR")</f>
        <v>PEÑAFLOR</v>
      </c>
    </row>
    <row r="10102" spans="1:4">
      <c r="A10102" s="7">
        <f ca="1">IFERROR(__xludf.DUMMYFUNCTION("""COMPUTED_VALUE"""),44841)</f>
        <v>44841</v>
      </c>
      <c r="B10102" s="8" t="str">
        <f ca="1">IFERROR(__xludf.DUMMYFUNCTION("""COMPUTED_VALUE"""),"-33.807297:-70.732079")</f>
        <v>-33.807297:-70.732079</v>
      </c>
      <c r="C10102" s="6" t="str">
        <f ca="1">IFERROR(__xludf.DUMMYFUNCTION("""COMPUTED_VALUE"""),"Av.18 DE SEP 710")</f>
        <v>Av.18 DE SEP 710</v>
      </c>
      <c r="D10102" s="6" t="str">
        <f ca="1">IFERROR(__xludf.DUMMYFUNCTION("""COMPUTED_VALUE"""),"PAINE")</f>
        <v>PAINE</v>
      </c>
    </row>
    <row r="10103" spans="1:4">
      <c r="A10103" s="7">
        <f ca="1">IFERROR(__xludf.DUMMYFUNCTION("""COMPUTED_VALUE"""),44841)</f>
        <v>44841</v>
      </c>
      <c r="B10103" s="8" t="str">
        <f ca="1">IFERROR(__xludf.DUMMYFUNCTION("""COMPUTED_VALUE"""),"-33.732569:-70.765876")</f>
        <v>-33.732569:-70.765876</v>
      </c>
      <c r="C10103" s="6" t="str">
        <f ca="1">IFERROR(__xludf.DUMMYFUNCTION("""COMPUTED_VALUE"""),"STA ADELA 23 ")</f>
        <v xml:space="preserve">STA ADELA 23 </v>
      </c>
      <c r="D10103" s="6" t="str">
        <f ca="1">IFERROR(__xludf.DUMMYFUNCTION("""COMPUTED_VALUE"""),"BUIN")</f>
        <v>BUIN</v>
      </c>
    </row>
    <row r="10104" spans="1:4">
      <c r="A10104" s="7">
        <f ca="1">IFERROR(__xludf.DUMMYFUNCTION("""COMPUTED_VALUE"""),44841)</f>
        <v>44841</v>
      </c>
      <c r="B10104" s="8" t="str">
        <f ca="1">IFERROR(__xludf.DUMMYFUNCTION("""COMPUTED_VALUE"""),"-33.731884:-70.753756")</f>
        <v>-33.731884:-70.753756</v>
      </c>
      <c r="C10104" s="6" t="str">
        <f ca="1">IFERROR(__xludf.DUMMYFUNCTION("""COMPUTED_VALUE"""),"CAMINO BUIN MAIPO ")</f>
        <v xml:space="preserve">CAMINO BUIN MAIPO </v>
      </c>
      <c r="D10104" s="6" t="str">
        <f ca="1">IFERROR(__xludf.DUMMYFUNCTION("""COMPUTED_VALUE"""),"BUIN")</f>
        <v>BUIN</v>
      </c>
    </row>
    <row r="10105" spans="1:4">
      <c r="A10105" s="7">
        <f ca="1">IFERROR(__xludf.DUMMYFUNCTION("""COMPUTED_VALUE"""),44841)</f>
        <v>44841</v>
      </c>
      <c r="B10105" s="8" t="str">
        <f ca="1">IFERROR(__xludf.DUMMYFUNCTION("""COMPUTED_VALUE"""),"-33.640867:-70.7384940")</f>
        <v>-33.640867:-70.7384940</v>
      </c>
      <c r="C10105" s="6" t="str">
        <f ca="1">IFERROR(__xludf.DUMMYFUNCTION("""COMPUTED_VALUE"""),"ORLANDO VALDIVIA 63")</f>
        <v>ORLANDO VALDIVIA 63</v>
      </c>
      <c r="D10105" s="6" t="str">
        <f ca="1">IFERROR(__xludf.DUMMYFUNCTION("""COMPUTED_VALUE"""),"BUIN")</f>
        <v>BUIN</v>
      </c>
    </row>
    <row r="10106" spans="1:4">
      <c r="A10106" s="7">
        <f ca="1">IFERROR(__xludf.DUMMYFUNCTION("""COMPUTED_VALUE"""),44841)</f>
        <v>44841</v>
      </c>
      <c r="B10106" s="6" t="str">
        <f ca="1">IFERROR(__xludf.DUMMYFUNCTION("""COMPUTED_VALUE"""),"-33.806383,-70.733950")</f>
        <v>-33.806383,-70.733950</v>
      </c>
      <c r="C10106" s="6" t="str">
        <f ca="1">IFERROR(__xludf.DUMMYFUNCTION("""COMPUTED_VALUE"""),"AVELLANITA 202")</f>
        <v>AVELLANITA 202</v>
      </c>
      <c r="D10106" s="6" t="str">
        <f ca="1">IFERROR(__xludf.DUMMYFUNCTION("""COMPUTED_VALUE"""),"PAINE")</f>
        <v>PAINE</v>
      </c>
    </row>
    <row r="10107" spans="1:4">
      <c r="A10107" s="7">
        <f ca="1">IFERROR(__xludf.DUMMYFUNCTION("""COMPUTED_VALUE"""),44841)</f>
        <v>44841</v>
      </c>
      <c r="B10107" s="6" t="str">
        <f ca="1">IFERROR(__xludf.DUMMYFUNCTION("""COMPUTED_VALUE"""),"-33.564928,-70.802856")</f>
        <v>-33.564928,-70.802856</v>
      </c>
      <c r="C10107" s="6" t="str">
        <f ca="1">IFERROR(__xludf.DUMMYFUNCTION("""COMPUTED_VALUE"""),"BRASILIA 1010")</f>
        <v>BRASILIA 1010</v>
      </c>
      <c r="D10107" s="6" t="str">
        <f ca="1">IFERROR(__xludf.DUMMYFUNCTION("""COMPUTED_VALUE"""),"PADRE HURTADO")</f>
        <v>PADRE HURTADO</v>
      </c>
    </row>
    <row r="10108" spans="1:4">
      <c r="A10108" s="7">
        <f ca="1">IFERROR(__xludf.DUMMYFUNCTION("""COMPUTED_VALUE"""),44841)</f>
        <v>44841</v>
      </c>
      <c r="B10108" s="6" t="str">
        <f ca="1">IFERROR(__xludf.DUMMYFUNCTION("""COMPUTED_VALUE"""),"-33.6738659,-71.2166079")</f>
        <v>-33.6738659,-71.2166079</v>
      </c>
      <c r="C10108" s="6" t="str">
        <f ca="1">IFERROR(__xludf.DUMMYFUNCTION("""COMPUTED_VALUE"""),"VALPARAISO 500")</f>
        <v>VALPARAISO 500</v>
      </c>
      <c r="D10108" s="6" t="str">
        <f ca="1">IFERROR(__xludf.DUMMYFUNCTION("""COMPUTED_VALUE"""),"MELIPILLA")</f>
        <v>MELIPILLA</v>
      </c>
    </row>
    <row r="10109" spans="1:4">
      <c r="A10109" s="7">
        <f ca="1">IFERROR(__xludf.DUMMYFUNCTION("""COMPUTED_VALUE"""),44842)</f>
        <v>44842</v>
      </c>
      <c r="B10109" s="6" t="str">
        <f ca="1">IFERROR(__xludf.DUMMYFUNCTION("""COMPUTED_VALUE"""),"-33.651607-70.885485")</f>
        <v>-33.651607-70.885485</v>
      </c>
      <c r="C10109" s="6" t="str">
        <f ca="1">IFERROR(__xludf.DUMMYFUNCTION("""COMPUTED_VALUE"""),"CAMINO EL OLIVETO 271")</f>
        <v>CAMINO EL OLIVETO 271</v>
      </c>
      <c r="D10109" s="6" t="str">
        <f ca="1">IFERROR(__xludf.DUMMYFUNCTION("""COMPUTED_VALUE"""),"TALAGANTE")</f>
        <v>TALAGANTE</v>
      </c>
    </row>
    <row r="10110" spans="1:4">
      <c r="A10110" s="7">
        <f ca="1">IFERROR(__xludf.DUMMYFUNCTION("""COMPUTED_VALUE"""),44842)</f>
        <v>44842</v>
      </c>
      <c r="B10110" s="8" t="str">
        <f ca="1">IFERROR(__xludf.DUMMYFUNCTION("""COMPUTED_VALUE"""),"-33.199422,-70.647549")</f>
        <v>-33.199422,-70.647549</v>
      </c>
      <c r="C10110" s="6" t="str">
        <f ca="1">IFERROR(__xludf.DUMMYFUNCTION("""COMPUTED_VALUE"""),"CASA DE PIEDRA 276")</f>
        <v>CASA DE PIEDRA 276</v>
      </c>
      <c r="D10110" s="6" t="str">
        <f ca="1">IFERROR(__xludf.DUMMYFUNCTION("""COMPUTED_VALUE"""),"COLINA")</f>
        <v>COLINA</v>
      </c>
    </row>
    <row r="10111" spans="1:4">
      <c r="A10111" s="7">
        <f ca="1">IFERROR(__xludf.DUMMYFUNCTION("""COMPUTED_VALUE"""),44842)</f>
        <v>44842</v>
      </c>
      <c r="B10111" s="6" t="str">
        <f ca="1">IFERROR(__xludf.DUMMYFUNCTION("""COMPUTED_VALUE"""),"-33.752835,-70763307")</f>
        <v>-33.752835,-70763307</v>
      </c>
      <c r="C10111" s="6" t="str">
        <f ca="1">IFERROR(__xludf.DUMMYFUNCTION("""COMPUTED_VALUE"""),"PJE PAULINA GOMEZ CAREPPA 74")</f>
        <v>PJE PAULINA GOMEZ CAREPPA 74</v>
      </c>
      <c r="D10111" s="6" t="str">
        <f ca="1">IFERROR(__xludf.DUMMYFUNCTION("""COMPUTED_VALUE"""),"BUIN")</f>
        <v>BUIN</v>
      </c>
    </row>
    <row r="10112" spans="1:4">
      <c r="A10112" s="7">
        <f ca="1">IFERROR(__xludf.DUMMYFUNCTION("""COMPUTED_VALUE"""),44842)</f>
        <v>44842</v>
      </c>
      <c r="B10112" s="6" t="str">
        <f ca="1">IFERROR(__xludf.DUMMYFUNCTION("""COMPUTED_VALUE"""),"-33.609519,-70.481151")</f>
        <v>-33.609519,-70.481151</v>
      </c>
      <c r="C10112" s="6" t="str">
        <f ca="1">IFERROR(__xludf.DUMMYFUNCTION("""COMPUTED_VALUE"""),"SAN JUAN DE PIRQUE")</f>
        <v>SAN JUAN DE PIRQUE</v>
      </c>
      <c r="D10112" s="6" t="str">
        <f ca="1">IFERROR(__xludf.DUMMYFUNCTION("""COMPUTED_VALUE"""),"PIRQUE")</f>
        <v>PIRQUE</v>
      </c>
    </row>
    <row r="10113" spans="1:4">
      <c r="A10113" s="7">
        <f ca="1">IFERROR(__xludf.DUMMYFUNCTION("""COMPUTED_VALUE"""),44843)</f>
        <v>44843</v>
      </c>
      <c r="B10113" s="6" t="str">
        <f ca="1">IFERROR(__xludf.DUMMYFUNCTION("""COMPUTED_VALUE"""),"-33.424765,-70.54091")</f>
        <v>-33.424765,-70.54091</v>
      </c>
      <c r="C10113" s="6" t="str">
        <f ca="1">IFERROR(__xludf.DUMMYFUNCTION("""COMPUTED_VALUE"""),"CARAMPANGUE 1270 PARCELA 36")</f>
        <v>CARAMPANGUE 1270 PARCELA 36</v>
      </c>
      <c r="D10113" s="6" t="str">
        <f ca="1">IFERROR(__xludf.DUMMYFUNCTION("""COMPUTED_VALUE"""),"ISLA DE MAIPO")</f>
        <v>ISLA DE MAIPO</v>
      </c>
    </row>
    <row r="10114" spans="1:4">
      <c r="A10114" s="7">
        <f ca="1">IFERROR(__xludf.DUMMYFUNCTION("""COMPUTED_VALUE"""),44845)</f>
        <v>44845</v>
      </c>
      <c r="B10114" s="6" t="str">
        <f ca="1">IFERROR(__xludf.DUMMYFUNCTION("""COMPUTED_VALUE"""),"-33.706097-70.572227")</f>
        <v>-33.706097-70.572227</v>
      </c>
      <c r="C10114" s="6" t="str">
        <f ca="1">IFERROR(__xludf.DUMMYFUNCTION("""COMPUTED_VALUE"""),"LOS CRATEOS KM42 A")</f>
        <v>LOS CRATEOS KM42 A</v>
      </c>
      <c r="D10114" s="6" t="str">
        <f ca="1">IFERROR(__xludf.DUMMYFUNCTION("""COMPUTED_VALUE"""),"PIRQUE")</f>
        <v>PIRQUE</v>
      </c>
    </row>
    <row r="10115" spans="1:4">
      <c r="A10115" s="7">
        <f ca="1">IFERROR(__xludf.DUMMYFUNCTION("""COMPUTED_VALUE"""),44845)</f>
        <v>44845</v>
      </c>
      <c r="B10115" s="6" t="str">
        <f ca="1">IFERROR(__xludf.DUMMYFUNCTION("""COMPUTED_VALUE"""),"-33.65585-70.57253")</f>
        <v>-33.65585-70.57253</v>
      </c>
      <c r="C10115" s="6" t="str">
        <f ca="1">IFERROR(__xludf.DUMMYFUNCTION("""COMPUTED_VALUE"""),"EL LLANO S/N PARC 1")</f>
        <v>EL LLANO S/N PARC 1</v>
      </c>
      <c r="D10115" s="6" t="str">
        <f ca="1">IFERROR(__xludf.DUMMYFUNCTION("""COMPUTED_VALUE"""),"PIRQUE")</f>
        <v>PIRQUE</v>
      </c>
    </row>
    <row r="10116" spans="1:4">
      <c r="A10116" s="7">
        <f ca="1">IFERROR(__xludf.DUMMYFUNCTION("""COMPUTED_VALUE"""),44845)</f>
        <v>44845</v>
      </c>
      <c r="B10116" s="6" t="str">
        <f ca="1">IFERROR(__xludf.DUMMYFUNCTION("""COMPUTED_VALUE"""),"-33.65143-70.57236")</f>
        <v>-33.65143-70.57236</v>
      </c>
      <c r="C10116" s="6" t="str">
        <f ca="1">IFERROR(__xludf.DUMMYFUNCTION("""COMPUTED_VALUE"""),"CAMINO PIA BARROS 1743")</f>
        <v>CAMINO PIA BARROS 1743</v>
      </c>
      <c r="D10116" s="6" t="str">
        <f ca="1">IFERROR(__xludf.DUMMYFUNCTION("""COMPUTED_VALUE"""),"PIRQUE")</f>
        <v>PIRQUE</v>
      </c>
    </row>
    <row r="10117" spans="1:4">
      <c r="A10117" s="7">
        <f ca="1">IFERROR(__xludf.DUMMYFUNCTION("""COMPUTED_VALUE"""),44845)</f>
        <v>44845</v>
      </c>
      <c r="B10117" s="8" t="str">
        <f ca="1">IFERROR(__xludf.DUMMYFUNCTION("""COMPUTED_VALUE"""),"-33.192184,-70.683273")</f>
        <v>-33.192184,-70.683273</v>
      </c>
      <c r="C10117" s="6" t="str">
        <f ca="1">IFERROR(__xludf.DUMMYFUNCTION("""COMPUTED_VALUE"""),"EL CANELILLO 921")</f>
        <v>EL CANELILLO 921</v>
      </c>
      <c r="D10117" s="6" t="str">
        <f ca="1">IFERROR(__xludf.DUMMYFUNCTION("""COMPUTED_VALUE"""),"COLINA")</f>
        <v>COLINA</v>
      </c>
    </row>
    <row r="10118" spans="1:4">
      <c r="A10118" s="7">
        <f ca="1">IFERROR(__xludf.DUMMYFUNCTION("""COMPUTED_VALUE"""),44845)</f>
        <v>44845</v>
      </c>
      <c r="B10118" s="8" t="str">
        <f ca="1">IFERROR(__xludf.DUMMYFUNCTION("""COMPUTED_VALUE"""),"-33.246210,-70.874348")</f>
        <v>-33.246210,-70.874348</v>
      </c>
      <c r="C10118" s="6" t="str">
        <f ca="1">IFERROR(__xludf.DUMMYFUNCTION("""COMPUTED_VALUE"""),"LA HACIENDA 3008 C 123")</f>
        <v>LA HACIENDA 3008 C 123</v>
      </c>
      <c r="D10118" s="6" t="str">
        <f ca="1">IFERROR(__xludf.DUMMYFUNCTION("""COMPUTED_VALUE"""),"LAMPA")</f>
        <v>LAMPA</v>
      </c>
    </row>
    <row r="10119" spans="1:4">
      <c r="A10119" s="7">
        <f ca="1">IFERROR(__xludf.DUMMYFUNCTION("""COMPUTED_VALUE"""),44845)</f>
        <v>44845</v>
      </c>
      <c r="B10119" s="6" t="str">
        <f ca="1">IFERROR(__xludf.DUMMYFUNCTION("""COMPUTED_VALUE"""),"-33.730690,-70.958960")</f>
        <v>-33.730690,-70.958960</v>
      </c>
      <c r="C10119" s="6" t="str">
        <f ca="1">IFERROR(__xludf.DUMMYFUNCTION("""COMPUTED_VALUE"""),"EL RIO 5029")</f>
        <v>EL RIO 5029</v>
      </c>
      <c r="D10119" s="6" t="str">
        <f ca="1">IFERROR(__xludf.DUMMYFUNCTION("""COMPUTED_VALUE"""),"ISLA DE MAIPO")</f>
        <v>ISLA DE MAIPO</v>
      </c>
    </row>
    <row r="10120" spans="1:4">
      <c r="A10120" s="7">
        <f ca="1">IFERROR(__xludf.DUMMYFUNCTION("""COMPUTED_VALUE"""),44846)</f>
        <v>44846</v>
      </c>
      <c r="B10120" s="6" t="str">
        <f ca="1">IFERROR(__xludf.DUMMYFUNCTION("""COMPUTED_VALUE"""),"-33.286300-70.875615")</f>
        <v>-33.286300-70.875615</v>
      </c>
      <c r="C10120" s="6" t="str">
        <f ca="1">IFERROR(__xludf.DUMMYFUNCTION("""COMPUTED_VALUE"""),"CALLE INTERIOR PORVENIR  P18")</f>
        <v>CALLE INTERIOR PORVENIR  P18</v>
      </c>
      <c r="D10120" s="6" t="str">
        <f ca="1">IFERROR(__xludf.DUMMYFUNCTION("""COMPUTED_VALUE"""),"LAMPA")</f>
        <v>LAMPA</v>
      </c>
    </row>
    <row r="10121" spans="1:4">
      <c r="A10121" s="7">
        <f ca="1">IFERROR(__xludf.DUMMYFUNCTION("""COMPUTED_VALUE"""),44846)</f>
        <v>44846</v>
      </c>
      <c r="B10121" s="6" t="str">
        <f ca="1">IFERROR(__xludf.DUMMYFUNCTION("""COMPUTED_VALUE"""),"-33.4022289-71.1293733")</f>
        <v>-33.4022289-71.1293733</v>
      </c>
      <c r="C10121" s="6" t="str">
        <f ca="1">IFERROR(__xludf.DUMMYFUNCTION("""COMPUTED_VALUE"""),"BATALLA DE SAN JUAN S/N LOTE B")</f>
        <v>BATALLA DE SAN JUAN S/N LOTE B</v>
      </c>
      <c r="D10121" s="6" t="str">
        <f ca="1">IFERROR(__xludf.DUMMYFUNCTION("""COMPUTED_VALUE"""),"CURACAVI")</f>
        <v>CURACAVI</v>
      </c>
    </row>
    <row r="10122" spans="1:4">
      <c r="A10122" s="7">
        <f ca="1">IFERROR(__xludf.DUMMYFUNCTION("""COMPUTED_VALUE"""),44846)</f>
        <v>44846</v>
      </c>
      <c r="B10122" s="8" t="str">
        <f ca="1">IFERROR(__xludf.DUMMYFUNCTION("""COMPUTED_VALUE"""),"-33.306225,-70.861182")</f>
        <v>-33.306225,-70.861182</v>
      </c>
      <c r="C10122" s="6" t="str">
        <f ca="1">IFERROR(__xludf.DUMMYFUNCTION("""COMPUTED_VALUE"""),"LOS NARANJOS 511")</f>
        <v>LOS NARANJOS 511</v>
      </c>
      <c r="D10122" s="6" t="str">
        <f ca="1">IFERROR(__xludf.DUMMYFUNCTION("""COMPUTED_VALUE"""),"LAMPA")</f>
        <v>LAMPA</v>
      </c>
    </row>
    <row r="10123" spans="1:4">
      <c r="A10123" s="7">
        <f ca="1">IFERROR(__xludf.DUMMYFUNCTION("""COMPUTED_VALUE"""),44846)</f>
        <v>44846</v>
      </c>
      <c r="B10123" s="8" t="str">
        <f ca="1">IFERROR(__xludf.DUMMYFUNCTION("""COMPUTED_VALUE"""),"-33.305958,-70.861644")</f>
        <v>-33.305958,-70.861644</v>
      </c>
      <c r="C10123" s="6" t="str">
        <f ca="1">IFERROR(__xludf.DUMMYFUNCTION("""COMPUTED_VALUE"""),"LOS NARANJOS 508")</f>
        <v>LOS NARANJOS 508</v>
      </c>
      <c r="D10123" s="6" t="str">
        <f ca="1">IFERROR(__xludf.DUMMYFUNCTION("""COMPUTED_VALUE"""),"LAMPA")</f>
        <v>LAMPA</v>
      </c>
    </row>
    <row r="10124" spans="1:4">
      <c r="A10124" s="7">
        <f ca="1">IFERROR(__xludf.DUMMYFUNCTION("""COMPUTED_VALUE"""),44846)</f>
        <v>44846</v>
      </c>
      <c r="B10124" s="8" t="str">
        <f ca="1">IFERROR(__xludf.DUMMYFUNCTION("""COMPUTED_VALUE"""),"-33.6561950,-70.5687780")</f>
        <v>-33.6561950,-70.5687780</v>
      </c>
      <c r="C10124" s="6" t="str">
        <f ca="1">IFERROR(__xludf.DUMMYFUNCTION("""COMPUTED_VALUE"""),"LOS MAITENES 90")</f>
        <v>LOS MAITENES 90</v>
      </c>
      <c r="D10124" s="6" t="str">
        <f ca="1">IFERROR(__xludf.DUMMYFUNCTION("""COMPUTED_VALUE"""),"PIRQUE")</f>
        <v>PIRQUE</v>
      </c>
    </row>
    <row r="10125" spans="1:4">
      <c r="A10125" s="7">
        <f ca="1">IFERROR(__xludf.DUMMYFUNCTION("""COMPUTED_VALUE"""),44846)</f>
        <v>44846</v>
      </c>
      <c r="B10125" s="6" t="str">
        <f ca="1">IFERROR(__xludf.DUMMYFUNCTION("""COMPUTED_VALUE"""),"-33.730453,-70.958928")</f>
        <v>-33.730453,-70.958928</v>
      </c>
      <c r="C10125" s="6" t="str">
        <f ca="1">IFERROR(__xludf.DUMMYFUNCTION("""COMPUTED_VALUE"""),"EL RIO 5029")</f>
        <v>EL RIO 5029</v>
      </c>
      <c r="D10125" s="6" t="str">
        <f ca="1">IFERROR(__xludf.DUMMYFUNCTION("""COMPUTED_VALUE"""),"ISLA DE MAIPO")</f>
        <v>ISLA DE MAIPO</v>
      </c>
    </row>
    <row r="10126" spans="1:4">
      <c r="A10126" s="7">
        <f ca="1">IFERROR(__xludf.DUMMYFUNCTION("""COMPUTED_VALUE"""),44846)</f>
        <v>44846</v>
      </c>
      <c r="B10126" s="6" t="str">
        <f ca="1">IFERROR(__xludf.DUMMYFUNCTION("""COMPUTED_VALUE"""),"-33.487709,-71.149369")</f>
        <v>-33.487709,-71.149369</v>
      </c>
      <c r="C10126" s="6" t="str">
        <f ca="1">IFERROR(__xludf.DUMMYFUNCTION("""COMPUTED_VALUE"""),"EL REDIL S/N ")</f>
        <v xml:space="preserve">EL REDIL S/N </v>
      </c>
      <c r="D10126" s="6" t="str">
        <f ca="1">IFERROR(__xludf.DUMMYFUNCTION("""COMPUTED_VALUE"""),"MARIA PINTO")</f>
        <v>MARIA PINTO</v>
      </c>
    </row>
    <row r="10127" spans="1:4">
      <c r="A10127" s="7">
        <f ca="1">IFERROR(__xludf.DUMMYFUNCTION("""COMPUTED_VALUE"""),44846)</f>
        <v>44846</v>
      </c>
      <c r="B10127" s="6" t="str">
        <f ca="1">IFERROR(__xludf.DUMMYFUNCTION("""COMPUTED_VALUE"""),"-33.8054136,-70.7239970")</f>
        <v>-33.8054136,-70.7239970</v>
      </c>
      <c r="C10127" s="6" t="str">
        <f ca="1">IFERROR(__xludf.DUMMYFUNCTION("""COMPUTED_VALUE"""),"LAS MERCEDES 262")</f>
        <v>LAS MERCEDES 262</v>
      </c>
      <c r="D10127" s="6" t="str">
        <f ca="1">IFERROR(__xludf.DUMMYFUNCTION("""COMPUTED_VALUE"""),"PAINE")</f>
        <v>PAINE</v>
      </c>
    </row>
    <row r="10128" spans="1:4">
      <c r="A10128" s="7">
        <f ca="1">IFERROR(__xludf.DUMMYFUNCTION("""COMPUTED_VALUE"""),44846)</f>
        <v>44846</v>
      </c>
      <c r="B10128" s="6" t="str">
        <f ca="1">IFERROR(__xludf.DUMMYFUNCTION("""COMPUTED_VALUE"""),"-33.8149317,-70.7362515")</f>
        <v>-33.8149317,-70.7362515</v>
      </c>
      <c r="C10128" s="6" t="str">
        <f ca="1">IFERROR(__xludf.DUMMYFUNCTION("""COMPUTED_VALUE"""),"PEREZ CANTO 632")</f>
        <v>PEREZ CANTO 632</v>
      </c>
      <c r="D10128" s="6" t="str">
        <f ca="1">IFERROR(__xludf.DUMMYFUNCTION("""COMPUTED_VALUE"""),"PAINE")</f>
        <v>PAINE</v>
      </c>
    </row>
    <row r="10129" spans="1:4">
      <c r="A10129" s="7">
        <f ca="1">IFERROR(__xludf.DUMMYFUNCTION("""COMPUTED_VALUE"""),44846)</f>
        <v>44846</v>
      </c>
      <c r="B10129" s="6" t="str">
        <f ca="1">IFERROR(__xludf.DUMMYFUNCTION("""COMPUTED_VALUE"""),"-33.6968060,-71.2189880")</f>
        <v>-33.6968060,-71.2189880</v>
      </c>
      <c r="C10129" s="6" t="str">
        <f ca="1">IFERROR(__xludf.DUMMYFUNCTION("""COMPUTED_VALUE"""),"PAROLO 1388")</f>
        <v>PAROLO 1388</v>
      </c>
      <c r="D10129" s="6" t="str">
        <f ca="1">IFERROR(__xludf.DUMMYFUNCTION("""COMPUTED_VALUE"""),"MELIPILLA")</f>
        <v>MELIPILLA</v>
      </c>
    </row>
    <row r="10130" spans="1:4">
      <c r="A10130" s="7">
        <f ca="1">IFERROR(__xludf.DUMMYFUNCTION("""COMPUTED_VALUE"""),44846)</f>
        <v>44846</v>
      </c>
      <c r="B10130" s="6" t="str">
        <f ca="1">IFERROR(__xludf.DUMMYFUNCTION("""COMPUTED_VALUE"""),"-33.6888116,-71.2249327")</f>
        <v>-33.6888116,-71.2249327</v>
      </c>
      <c r="C10130" s="6" t="str">
        <f ca="1">IFERROR(__xludf.DUMMYFUNCTION("""COMPUTED_VALUE"""),"HORTENCIA 1113")</f>
        <v>HORTENCIA 1113</v>
      </c>
      <c r="D10130" s="6" t="str">
        <f ca="1">IFERROR(__xludf.DUMMYFUNCTION("""COMPUTED_VALUE"""),"MELIPILLA")</f>
        <v>MELIPILLA</v>
      </c>
    </row>
    <row r="10131" spans="1:4">
      <c r="A10131" s="7">
        <f ca="1">IFERROR(__xludf.DUMMYFUNCTION("""COMPUTED_VALUE"""),44847)</f>
        <v>44847</v>
      </c>
      <c r="B10131" s="6" t="str">
        <f ca="1">IFERROR(__xludf.DUMMYFUNCTION("""COMPUTED_VALUE"""),"-33.398771-71.128903")</f>
        <v>-33.398771-71.128903</v>
      </c>
      <c r="C10131" s="6" t="str">
        <f ca="1">IFERROR(__xludf.DUMMYFUNCTION("""COMPUTED_VALUE"""),"CARLOS BRULL 866")</f>
        <v>CARLOS BRULL 866</v>
      </c>
      <c r="D10131" s="6" t="str">
        <f ca="1">IFERROR(__xludf.DUMMYFUNCTION("""COMPUTED_VALUE"""),"CURACAVI")</f>
        <v>CURACAVI</v>
      </c>
    </row>
    <row r="10132" spans="1:4">
      <c r="A10132" s="7">
        <f ca="1">IFERROR(__xludf.DUMMYFUNCTION("""COMPUTED_VALUE"""),44847)</f>
        <v>44847</v>
      </c>
      <c r="B10132" s="6" t="str">
        <f ca="1">IFERROR(__xludf.DUMMYFUNCTION("""COMPUTED_VALUE"""),"-33.408185-71.165835")</f>
        <v>-33.408185-71.165835</v>
      </c>
      <c r="C10132" s="6" t="str">
        <f ca="1">IFERROR(__xludf.DUMMYFUNCTION("""COMPUTED_VALUE"""),"EL NARANJO PARCELA 60 CASA 2")</f>
        <v>EL NARANJO PARCELA 60 CASA 2</v>
      </c>
      <c r="D10132" s="6" t="str">
        <f ca="1">IFERROR(__xludf.DUMMYFUNCTION("""COMPUTED_VALUE"""),"CURACAVI")</f>
        <v>CURACAVI</v>
      </c>
    </row>
    <row r="10133" spans="1:4">
      <c r="A10133" s="7">
        <f ca="1">IFERROR(__xludf.DUMMYFUNCTION("""COMPUTED_VALUE"""),44847)</f>
        <v>44847</v>
      </c>
      <c r="B10133" s="6" t="str">
        <f ca="1">IFERROR(__xludf.DUMMYFUNCTION("""COMPUTED_VALUE"""),"-33.405732-71.124907")</f>
        <v>-33.405732-71.124907</v>
      </c>
      <c r="C10133" s="6" t="str">
        <f ca="1">IFERROR(__xludf.DUMMYFUNCTION("""COMPUTED_VALUE"""),"PJE LEPE 63")</f>
        <v>PJE LEPE 63</v>
      </c>
      <c r="D10133" s="6" t="str">
        <f ca="1">IFERROR(__xludf.DUMMYFUNCTION("""COMPUTED_VALUE"""),"CURACAVI")</f>
        <v>CURACAVI</v>
      </c>
    </row>
    <row r="10134" spans="1:4">
      <c r="A10134" s="7">
        <f ca="1">IFERROR(__xludf.DUMMYFUNCTION("""COMPUTED_VALUE"""),44847)</f>
        <v>44847</v>
      </c>
      <c r="B10134" s="6" t="str">
        <f ca="1">IFERROR(__xludf.DUMMYFUNCTION("""COMPUTED_VALUE"""),"-33.576255-70.803487")</f>
        <v>-33.576255-70.803487</v>
      </c>
      <c r="C10134" s="6" t="str">
        <f ca="1">IFERROR(__xludf.DUMMYFUNCTION("""COMPUTED_VALUE"""),"VALLE DE LA LUNA 2016")</f>
        <v>VALLE DE LA LUNA 2016</v>
      </c>
      <c r="D10134" s="6" t="str">
        <f ca="1">IFERROR(__xludf.DUMMYFUNCTION("""COMPUTED_VALUE"""),"PADRE HURTADO")</f>
        <v>PADRE HURTADO</v>
      </c>
    </row>
    <row r="10135" spans="1:4">
      <c r="A10135" s="7">
        <f ca="1">IFERROR(__xludf.DUMMYFUNCTION("""COMPUTED_VALUE"""),44847)</f>
        <v>44847</v>
      </c>
      <c r="B10135" s="8" t="str">
        <f ca="1">IFERROR(__xludf.DUMMYFUNCTION("""COMPUTED_VALUE"""),"-33..305643,-70.855823")</f>
        <v>-33..305643,-70.855823</v>
      </c>
      <c r="C10135" s="6" t="str">
        <f ca="1">IFERROR(__xludf.DUMMYFUNCTION("""COMPUTED_VALUE"""),"LOS NARANJOS 514")</f>
        <v>LOS NARANJOS 514</v>
      </c>
      <c r="D10135" s="6" t="str">
        <f ca="1">IFERROR(__xludf.DUMMYFUNCTION("""COMPUTED_VALUE"""),"LAMPA")</f>
        <v>LAMPA</v>
      </c>
    </row>
    <row r="10136" spans="1:4">
      <c r="A10136" s="7">
        <f ca="1">IFERROR(__xludf.DUMMYFUNCTION("""COMPUTED_VALUE"""),44847)</f>
        <v>44847</v>
      </c>
      <c r="B10136" s="8" t="str">
        <f ca="1">IFERROR(__xludf.DUMMYFUNCTION("""COMPUTED_VALUE"""),"-33.305643,-70.855823")</f>
        <v>-33.305643,-70.855823</v>
      </c>
      <c r="C10136" s="6" t="str">
        <f ca="1">IFERROR(__xludf.DUMMYFUNCTION("""COMPUTED_VALUE"""),"IRENE FREY 104")</f>
        <v>IRENE FREY 104</v>
      </c>
      <c r="D10136" s="6" t="str">
        <f ca="1">IFERROR(__xludf.DUMMYFUNCTION("""COMPUTED_VALUE"""),"LAMPA")</f>
        <v>LAMPA</v>
      </c>
    </row>
    <row r="10137" spans="1:4">
      <c r="A10137" s="7">
        <f ca="1">IFERROR(__xludf.DUMMYFUNCTION("""COMPUTED_VALUE"""),44847)</f>
        <v>44847</v>
      </c>
      <c r="B10137" s="8" t="str">
        <f ca="1">IFERROR(__xludf.DUMMYFUNCTION("""COMPUTED_VALUE"""),"-33.120175,-70.38539N")</f>
        <v>-33.120175,-70.38539N</v>
      </c>
      <c r="C10137" s="6" t="str">
        <f ca="1">IFERROR(__xludf.DUMMYFUNCTION("""COMPUTED_VALUE"""),"CASA DE PIEDRA 103")</f>
        <v>CASA DE PIEDRA 103</v>
      </c>
      <c r="D10137" s="6" t="str">
        <f ca="1">IFERROR(__xludf.DUMMYFUNCTION("""COMPUTED_VALUE"""),"COLINA")</f>
        <v>COLINA</v>
      </c>
    </row>
    <row r="10138" spans="1:4">
      <c r="A10138" s="7">
        <f ca="1">IFERROR(__xludf.DUMMYFUNCTION("""COMPUTED_VALUE"""),44847)</f>
        <v>44847</v>
      </c>
      <c r="B10138" s="6" t="str">
        <f ca="1">IFERROR(__xludf.DUMMYFUNCTION("""COMPUTED_VALUE"""),"-33.730372,-70.958424")</f>
        <v>-33.730372,-70.958424</v>
      </c>
      <c r="C10138" s="6" t="str">
        <f ca="1">IFERROR(__xludf.DUMMYFUNCTION("""COMPUTED_VALUE"""),"AVDA SAN ANTONIO DE NALTAGUA 4950")</f>
        <v>AVDA SAN ANTONIO DE NALTAGUA 4950</v>
      </c>
      <c r="D10138" s="6" t="str">
        <f ca="1">IFERROR(__xludf.DUMMYFUNCTION("""COMPUTED_VALUE"""),"ISLA DE MAIPO")</f>
        <v>ISLA DE MAIPO</v>
      </c>
    </row>
    <row r="10139" spans="1:4">
      <c r="A10139" s="7">
        <f ca="1">IFERROR(__xludf.DUMMYFUNCTION("""COMPUTED_VALUE"""),44847)</f>
        <v>44847</v>
      </c>
      <c r="B10139" s="6" t="str">
        <f ca="1">IFERROR(__xludf.DUMMYFUNCTION("""COMPUTED_VALUE"""),"-33.606418,-70.862291")</f>
        <v>-33.606418,-70.862291</v>
      </c>
      <c r="C10139" s="6" t="str">
        <f ca="1">IFERROR(__xludf.DUMMYFUNCTION("""COMPUTED_VALUE"""),"ROSALES 0758")</f>
        <v>ROSALES 0758</v>
      </c>
      <c r="D10139" s="6" t="str">
        <f ca="1">IFERROR(__xludf.DUMMYFUNCTION("""COMPUTED_VALUE"""),"PEÑAFLOR")</f>
        <v>PEÑAFLOR</v>
      </c>
    </row>
    <row r="10140" spans="1:4">
      <c r="A10140" s="7">
        <f ca="1">IFERROR(__xludf.DUMMYFUNCTION("""COMPUTED_VALUE"""),44847)</f>
        <v>44847</v>
      </c>
      <c r="B10140" s="8" t="str">
        <f ca="1">IFERROR(__xludf.DUMMYFUNCTION("""COMPUTED_VALUE"""),"-33.3059690:-70.8605890")</f>
        <v>-33.3059690:-70.8605890</v>
      </c>
      <c r="C10140" s="6" t="str">
        <f ca="1">IFERROR(__xludf.DUMMYFUNCTION("""COMPUTED_VALUE"""),"LOS MAITENES 384")</f>
        <v>LOS MAITENES 384</v>
      </c>
      <c r="D10140" s="6" t="str">
        <f ca="1">IFERROR(__xludf.DUMMYFUNCTION("""COMPUTED_VALUE"""),"LAMPA")</f>
        <v>LAMPA</v>
      </c>
    </row>
    <row r="10141" spans="1:4">
      <c r="A10141" s="7">
        <f ca="1">IFERROR(__xludf.DUMMYFUNCTION("""COMPUTED_VALUE"""),44847)</f>
        <v>44847</v>
      </c>
      <c r="B10141" s="6" t="str">
        <f ca="1">IFERROR(__xludf.DUMMYFUNCTION("""COMPUTED_VALUE"""),"-33.216304,-70.703290")</f>
        <v>-33.216304,-70.703290</v>
      </c>
      <c r="C10141" s="6" t="str">
        <f ca="1">IFERROR(__xludf.DUMMYFUNCTION("""COMPUTED_VALUE"""),"STA. ESTHER SITIO11")</f>
        <v>STA. ESTHER SITIO11</v>
      </c>
      <c r="D10141" s="6" t="str">
        <f ca="1">IFERROR(__xludf.DUMMYFUNCTION("""COMPUTED_VALUE"""),"COLINA")</f>
        <v>COLINA</v>
      </c>
    </row>
    <row r="10142" spans="1:4">
      <c r="A10142" s="7">
        <f ca="1">IFERROR(__xludf.DUMMYFUNCTION("""COMPUTED_VALUE"""),44847)</f>
        <v>44847</v>
      </c>
      <c r="B10142" s="6" t="str">
        <f ca="1">IFERROR(__xludf.DUMMYFUNCTION("""COMPUTED_VALUE"""),"-33.8080257,-71.2543741")</f>
        <v>-33.8080257,-71.2543741</v>
      </c>
      <c r="C10142" s="6" t="str">
        <f ca="1">IFERROR(__xludf.DUMMYFUNCTION("""COMPUTED_VALUE"""),"LAS CHILCAS P 292")</f>
        <v>LAS CHILCAS P 292</v>
      </c>
      <c r="D10142" s="6" t="str">
        <f ca="1">IFERROR(__xludf.DUMMYFUNCTION("""COMPUTED_VALUE"""),"MELIPILLA")</f>
        <v>MELIPILLA</v>
      </c>
    </row>
    <row r="10143" spans="1:4">
      <c r="A10143" s="7">
        <f ca="1">IFERROR(__xludf.DUMMYFUNCTION("""COMPUTED_VALUE"""),44847)</f>
        <v>44847</v>
      </c>
      <c r="B10143" s="6" t="str">
        <f ca="1">IFERROR(__xludf.DUMMYFUNCTION("""COMPUTED_VALUE"""),"-33.6102559,-71.2236146")</f>
        <v>-33.6102559,-71.2236146</v>
      </c>
      <c r="C10143" s="6" t="str">
        <f ca="1">IFERROR(__xludf.DUMMYFUNCTION("""COMPUTED_VALUE"""),"LAS TORCAZAS 50")</f>
        <v>LAS TORCAZAS 50</v>
      </c>
      <c r="D10143" s="6" t="str">
        <f ca="1">IFERROR(__xludf.DUMMYFUNCTION("""COMPUTED_VALUE"""),"MELIPILLA")</f>
        <v>MELIPILLA</v>
      </c>
    </row>
    <row r="10144" spans="1:4">
      <c r="A10144" s="7">
        <f ca="1">IFERROR(__xludf.DUMMYFUNCTION("""COMPUTED_VALUE"""),44848)</f>
        <v>44848</v>
      </c>
      <c r="B10144" s="8" t="str">
        <f ca="1">IFERROR(__xludf.DUMMYFUNCTION("""COMPUTED_VALUE"""),"-33.684589,-70.996748")</f>
        <v>-33.684589,-70.996748</v>
      </c>
      <c r="C10144" s="6" t="str">
        <f ca="1">IFERROR(__xludf.DUMMYFUNCTION("""COMPUTED_VALUE"""),"PJE JADE 788 ")</f>
        <v xml:space="preserve">PJE JADE 788 </v>
      </c>
      <c r="D10144" s="6" t="str">
        <f ca="1">IFERROR(__xludf.DUMMYFUNCTION("""COMPUTED_VALUE"""),"EL MONTE")</f>
        <v>EL MONTE</v>
      </c>
    </row>
    <row r="10145" spans="1:4">
      <c r="A10145" s="7">
        <f ca="1">IFERROR(__xludf.DUMMYFUNCTION("""COMPUTED_VALUE"""),44848)</f>
        <v>44848</v>
      </c>
      <c r="B10145" s="8" t="str">
        <f ca="1">IFERROR(__xludf.DUMMYFUNCTION("""COMPUTED_VALUE"""),"-33.683021,-70.533690")</f>
        <v>-33.683021,-70.533690</v>
      </c>
      <c r="C10145" s="6" t="str">
        <f ca="1">IFERROR(__xludf.DUMMYFUNCTION("""COMPUTED_VALUE"""),"LOS MAITENES S 8 LOTE B")</f>
        <v>LOS MAITENES S 8 LOTE B</v>
      </c>
      <c r="D10145" s="6" t="str">
        <f ca="1">IFERROR(__xludf.DUMMYFUNCTION("""COMPUTED_VALUE"""),"PIRQUE")</f>
        <v>PIRQUE</v>
      </c>
    </row>
    <row r="10146" spans="1:4">
      <c r="A10146" s="7">
        <f ca="1">IFERROR(__xludf.DUMMYFUNCTION("""COMPUTED_VALUE"""),44848)</f>
        <v>44848</v>
      </c>
      <c r="B10146" s="6" t="str">
        <f ca="1">IFERROR(__xludf.DUMMYFUNCTION("""COMPUTED_VALUE"""),"-33.74980,-70.863238")</f>
        <v>-33.74980,-70.863238</v>
      </c>
      <c r="C10146" s="6" t="str">
        <f ca="1">IFERROR(__xludf.DUMMYFUNCTION("""COMPUTED_VALUE"""),"LAS CORDORNICES 3060 ")</f>
        <v xml:space="preserve">LAS CORDORNICES 3060 </v>
      </c>
      <c r="D10146" s="6" t="str">
        <f ca="1">IFERROR(__xludf.DUMMYFUNCTION("""COMPUTED_VALUE"""),"ISLA DE MAIPO")</f>
        <v>ISLA DE MAIPO</v>
      </c>
    </row>
    <row r="10147" spans="1:4">
      <c r="A10147" s="7">
        <f ca="1">IFERROR(__xludf.DUMMYFUNCTION("""COMPUTED_VALUE"""),44849)</f>
        <v>44849</v>
      </c>
      <c r="B10147" s="6" t="str">
        <f ca="1">IFERROR(__xludf.DUMMYFUNCTION("""COMPUTED_VALUE"""),"-33.227769-70.8104")</f>
        <v>-33.227769-70.8104</v>
      </c>
      <c r="C10147" s="6" t="str">
        <f ca="1">IFERROR(__xludf.DUMMYFUNCTION("""COMPUTED_VALUE"""),"SIMON BOLIVAR 432")</f>
        <v>SIMON BOLIVAR 432</v>
      </c>
      <c r="D10147" s="6" t="str">
        <f ca="1">IFERROR(__xludf.DUMMYFUNCTION("""COMPUTED_VALUE"""),"LAMPA")</f>
        <v>LAMPA</v>
      </c>
    </row>
    <row r="10148" spans="1:4">
      <c r="A10148" s="7">
        <f ca="1">IFERROR(__xludf.DUMMYFUNCTION("""COMPUTED_VALUE"""),44849)</f>
        <v>44849</v>
      </c>
      <c r="B10148" s="6" t="str">
        <f ca="1">IFERROR(__xludf.DUMMYFUNCTION("""COMPUTED_VALUE"""),"-34.031527-71.107081")</f>
        <v>-34.031527-71.107081</v>
      </c>
      <c r="C10148" s="6" t="str">
        <f ca="1">IFERROR(__xludf.DUMMYFUNCTION("""COMPUTED_VALUE"""),"CACIQUE 4")</f>
        <v>CACIQUE 4</v>
      </c>
      <c r="D10148" s="6" t="str">
        <f ca="1">IFERROR(__xludf.DUMMYFUNCTION("""COMPUTED_VALUE"""),"ALHUÉ")</f>
        <v>ALHUÉ</v>
      </c>
    </row>
    <row r="10149" spans="1:4">
      <c r="A10149" s="7">
        <f ca="1">IFERROR(__xludf.DUMMYFUNCTION("""COMPUTED_VALUE"""),44849)</f>
        <v>44849</v>
      </c>
      <c r="B10149" s="6" t="str">
        <f ca="1">IFERROR(__xludf.DUMMYFUNCTION("""COMPUTED_VALUE"""),"-34.030739-71.105697")</f>
        <v>-34.030739-71.105697</v>
      </c>
      <c r="C10149" s="6" t="str">
        <f ca="1">IFERROR(__xludf.DUMMYFUNCTION("""COMPUTED_VALUE"""),"CALLE CASQUE S/N")</f>
        <v>CALLE CASQUE S/N</v>
      </c>
      <c r="D10149" s="6" t="str">
        <f ca="1">IFERROR(__xludf.DUMMYFUNCTION("""COMPUTED_VALUE"""),"ALHUÉ")</f>
        <v>ALHUÉ</v>
      </c>
    </row>
    <row r="10150" spans="1:4">
      <c r="A10150" s="7">
        <f ca="1">IFERROR(__xludf.DUMMYFUNCTION("""COMPUTED_VALUE"""),44849)</f>
        <v>44849</v>
      </c>
      <c r="B10150" s="6" t="str">
        <f ca="1">IFERROR(__xludf.DUMMYFUNCTION("""COMPUTED_VALUE"""),"-34.030747-71.079991")</f>
        <v>-34.030747-71.079991</v>
      </c>
      <c r="C10150" s="6" t="str">
        <f ca="1">IFERROR(__xludf.DUMMYFUNCTION("""COMPUTED_VALUE"""),"IGNACIO CARRERA PINTO S/N")</f>
        <v>IGNACIO CARRERA PINTO S/N</v>
      </c>
      <c r="D10150" s="6" t="str">
        <f ca="1">IFERROR(__xludf.DUMMYFUNCTION("""COMPUTED_VALUE"""),"ALHUÉ")</f>
        <v>ALHUÉ</v>
      </c>
    </row>
    <row r="10151" spans="1:4">
      <c r="A10151" s="7">
        <f ca="1">IFERROR(__xludf.DUMMYFUNCTION("""COMPUTED_VALUE"""),44849)</f>
        <v>44849</v>
      </c>
      <c r="B10151" s="6" t="str">
        <f ca="1">IFERROR(__xludf.DUMMYFUNCTION("""COMPUTED_VALUE"""),"-34.026117-71.110348")</f>
        <v>-34.026117-71.110348</v>
      </c>
      <c r="C10151" s="6" t="str">
        <f ca="1">IFERROR(__xludf.DUMMYFUNCTION("""COMPUTED_VALUE"""),"HIJUELAS DE POLULO S/N")</f>
        <v>HIJUELAS DE POLULO S/N</v>
      </c>
      <c r="D10151" s="6" t="str">
        <f ca="1">IFERROR(__xludf.DUMMYFUNCTION("""COMPUTED_VALUE"""),"ALHUÉ")</f>
        <v>ALHUÉ</v>
      </c>
    </row>
    <row r="10152" spans="1:4">
      <c r="A10152" s="7">
        <f ca="1">IFERROR(__xludf.DUMMYFUNCTION("""COMPUTED_VALUE"""),44849)</f>
        <v>44849</v>
      </c>
      <c r="B10152" s="6" t="str">
        <f ca="1">IFERROR(__xludf.DUMMYFUNCTION("""COMPUTED_VALUE"""),"-33.234781,-70.810929")</f>
        <v>-33.234781,-70.810929</v>
      </c>
      <c r="C10152" s="6" t="str">
        <f ca="1">IFERROR(__xludf.DUMMYFUNCTION("""COMPUTED_VALUE"""),"PEDRO MONTT 270")</f>
        <v>PEDRO MONTT 270</v>
      </c>
      <c r="D10152" s="6" t="str">
        <f ca="1">IFERROR(__xludf.DUMMYFUNCTION("""COMPUTED_VALUE"""),"LAMPA")</f>
        <v>LAMPA</v>
      </c>
    </row>
    <row r="10153" spans="1:4">
      <c r="A10153" s="7">
        <f ca="1">IFERROR(__xludf.DUMMYFUNCTION("""COMPUTED_VALUE"""),44851)</f>
        <v>44851</v>
      </c>
      <c r="B10153" s="6" t="str">
        <f ca="1">IFERROR(__xludf.DUMMYFUNCTION("""COMPUTED_VALUE"""),"-33.70614-70.57203")</f>
        <v>-33.70614-70.57203</v>
      </c>
      <c r="C10153" s="6" t="str">
        <f ca="1">IFERROR(__xludf.DUMMYFUNCTION("""COMPUTED_VALUE"""),"LOS CRATEOS KM42 A")</f>
        <v>LOS CRATEOS KM42 A</v>
      </c>
      <c r="D10153" s="6" t="str">
        <f ca="1">IFERROR(__xludf.DUMMYFUNCTION("""COMPUTED_VALUE"""),"PIRQUE")</f>
        <v>PIRQUE</v>
      </c>
    </row>
    <row r="10154" spans="1:4">
      <c r="A10154" s="7">
        <f ca="1">IFERROR(__xludf.DUMMYFUNCTION("""COMPUTED_VALUE"""),44851)</f>
        <v>44851</v>
      </c>
      <c r="B10154" s="6" t="str">
        <f ca="1">IFERROR(__xludf.DUMMYFUNCTION("""COMPUTED_VALUE"""),"-33.70351-70.57133")</f>
        <v>-33.70351-70.57133</v>
      </c>
      <c r="C10154" s="6" t="str">
        <f ca="1">IFERROR(__xludf.DUMMYFUNCTION("""COMPUTED_VALUE"""),"LOS CRATEOS KM42 A")</f>
        <v>LOS CRATEOS KM42 A</v>
      </c>
      <c r="D10154" s="6" t="str">
        <f ca="1">IFERROR(__xludf.DUMMYFUNCTION("""COMPUTED_VALUE"""),"PIRQUE")</f>
        <v>PIRQUE</v>
      </c>
    </row>
    <row r="10155" spans="1:4">
      <c r="A10155" s="7">
        <f ca="1">IFERROR(__xludf.DUMMYFUNCTION("""COMPUTED_VALUE"""),44851)</f>
        <v>44851</v>
      </c>
      <c r="B10155" s="6" t="str">
        <f ca="1">IFERROR(__xludf.DUMMYFUNCTION("""COMPUTED_VALUE"""),"-33.773309,-70.905685")</f>
        <v>-33.773309,-70.905685</v>
      </c>
      <c r="C10155" s="6" t="str">
        <f ca="1">IFERROR(__xludf.DUMMYFUNCTION("""COMPUTED_VALUE"""),"CRUCERO 296")</f>
        <v>CRUCERO 296</v>
      </c>
      <c r="D10155" s="6" t="str">
        <f ca="1">IFERROR(__xludf.DUMMYFUNCTION("""COMPUTED_VALUE"""),"ISLA DE MAIPO")</f>
        <v>ISLA DE MAIPO</v>
      </c>
    </row>
    <row r="10156" spans="1:4">
      <c r="A10156" s="7">
        <f ca="1">IFERROR(__xludf.DUMMYFUNCTION("""COMPUTED_VALUE"""),44851)</f>
        <v>44851</v>
      </c>
      <c r="B10156" s="6" t="str">
        <f ca="1">IFERROR(__xludf.DUMMYFUNCTION("""COMPUTED_VALUE"""),"-33.715660,-70.587475")</f>
        <v>-33.715660,-70.587475</v>
      </c>
      <c r="C10156" s="6" t="str">
        <f ca="1">IFERROR(__xludf.DUMMYFUNCTION("""COMPUTED_VALUE"""),"LAS BANDURRIAS P/2")</f>
        <v>LAS BANDURRIAS P/2</v>
      </c>
      <c r="D10156" s="6" t="str">
        <f ca="1">IFERROR(__xludf.DUMMYFUNCTION("""COMPUTED_VALUE"""),"PIRQUE")</f>
        <v>PIRQUE</v>
      </c>
    </row>
    <row r="10157" spans="1:4">
      <c r="A10157" s="7">
        <f ca="1">IFERROR(__xludf.DUMMYFUNCTION("""COMPUTED_VALUE"""),44851)</f>
        <v>44851</v>
      </c>
      <c r="B10157" s="6" t="str">
        <f ca="1">IFERROR(__xludf.DUMMYFUNCTION("""COMPUTED_VALUE"""),"-33.275135,-70.884637")</f>
        <v>-33.275135,-70.884637</v>
      </c>
      <c r="C10157" s="6" t="str">
        <f ca="1">IFERROR(__xludf.DUMMYFUNCTION("""COMPUTED_VALUE"""),"MANUEL MANTT 128")</f>
        <v>MANUEL MANTT 128</v>
      </c>
      <c r="D10157" s="6" t="str">
        <f ca="1">IFERROR(__xludf.DUMMYFUNCTION("""COMPUTED_VALUE"""),"LAMPA")</f>
        <v>LAMPA</v>
      </c>
    </row>
    <row r="10158" spans="1:4">
      <c r="A10158" s="7">
        <f ca="1">IFERROR(__xludf.DUMMYFUNCTION("""COMPUTED_VALUE"""),44852)</f>
        <v>44852</v>
      </c>
      <c r="B10158" s="6" t="str">
        <f ca="1">IFERROR(__xludf.DUMMYFUNCTION("""COMPUTED_VALUE"""),"-34.030233-71.078762")</f>
        <v>-34.030233-71.078762</v>
      </c>
      <c r="C10158" s="6" t="str">
        <f ca="1">IFERROR(__xludf.DUMMYFUNCTION("""COMPUTED_VALUE"""),"IGNACIO CARRERA PINTO S/N")</f>
        <v>IGNACIO CARRERA PINTO S/N</v>
      </c>
      <c r="D10158" s="6" t="str">
        <f ca="1">IFERROR(__xludf.DUMMYFUNCTION("""COMPUTED_VALUE"""),"ALHUÉ")</f>
        <v>ALHUÉ</v>
      </c>
    </row>
    <row r="10159" spans="1:4">
      <c r="A10159" s="7">
        <f ca="1">IFERROR(__xludf.DUMMYFUNCTION("""COMPUTED_VALUE"""),44852)</f>
        <v>44852</v>
      </c>
      <c r="B10159" s="6" t="str">
        <f ca="1">IFERROR(__xludf.DUMMYFUNCTION("""COMPUTED_VALUE"""),"-34.033315-71.105952")</f>
        <v>-34.033315-71.105952</v>
      </c>
      <c r="C10159" s="6" t="str">
        <f ca="1">IFERROR(__xludf.DUMMYFUNCTION("""COMPUTED_VALUE"""),"VEINTIUNO DE MAYO S/N")</f>
        <v>VEINTIUNO DE MAYO S/N</v>
      </c>
      <c r="D10159" s="6" t="str">
        <f ca="1">IFERROR(__xludf.DUMMYFUNCTION("""COMPUTED_VALUE"""),"ALHUÉ")</f>
        <v>ALHUÉ</v>
      </c>
    </row>
    <row r="10160" spans="1:4">
      <c r="A10160" s="7">
        <f ca="1">IFERROR(__xludf.DUMMYFUNCTION("""COMPUTED_VALUE"""),44852)</f>
        <v>44852</v>
      </c>
      <c r="B10160" s="6" t="str">
        <f ca="1">IFERROR(__xludf.DUMMYFUNCTION("""COMPUTED_VALUE"""),"-34.033315-71.105952")</f>
        <v>-34.033315-71.105952</v>
      </c>
      <c r="C10160" s="6" t="str">
        <f ca="1">IFERROR(__xludf.DUMMYFUNCTION("""COMPUTED_VALUE"""),"VEINTIUNO DE MAYO S/N")</f>
        <v>VEINTIUNO DE MAYO S/N</v>
      </c>
      <c r="D10160" s="6" t="str">
        <f ca="1">IFERROR(__xludf.DUMMYFUNCTION("""COMPUTED_VALUE"""),"ALHUÉ")</f>
        <v>ALHUÉ</v>
      </c>
    </row>
    <row r="10161" spans="1:4">
      <c r="A10161" s="7">
        <f ca="1">IFERROR(__xludf.DUMMYFUNCTION("""COMPUTED_VALUE"""),44852)</f>
        <v>44852</v>
      </c>
      <c r="B10161" s="8" t="str">
        <f ca="1">IFERROR(__xludf.DUMMYFUNCTION("""COMPUTED_VALUE"""),"-34.045479,-71.218368")</f>
        <v>-34.045479,-71.218368</v>
      </c>
      <c r="C10161" s="6" t="str">
        <f ca="1">IFERROR(__xludf.DUMMYFUNCTION("""COMPUTED_VALUE"""),"LA LINIA S/N")</f>
        <v>LA LINIA S/N</v>
      </c>
      <c r="D10161" s="6" t="str">
        <f ca="1">IFERROR(__xludf.DUMMYFUNCTION("""COMPUTED_VALUE"""),"MELIPILLA")</f>
        <v>MELIPILLA</v>
      </c>
    </row>
    <row r="10162" spans="1:4">
      <c r="A10162" s="7">
        <f ca="1">IFERROR(__xludf.DUMMYFUNCTION("""COMPUTED_VALUE"""),44852)</f>
        <v>44852</v>
      </c>
      <c r="B10162" s="6" t="str">
        <f ca="1">IFERROR(__xludf.DUMMYFUNCTION("""COMPUTED_VALUE"""),"-33.748137,-70.894242")</f>
        <v>-33.748137,-70.894242</v>
      </c>
      <c r="C10162" s="6" t="str">
        <f ca="1">IFERROR(__xludf.DUMMYFUNCTION("""COMPUTED_VALUE"""),"YERBAS BUENAS 180")</f>
        <v>YERBAS BUENAS 180</v>
      </c>
      <c r="D10162" s="6" t="str">
        <f ca="1">IFERROR(__xludf.DUMMYFUNCTION("""COMPUTED_VALUE"""),"ISLA DE MAIPO")</f>
        <v>ISLA DE MAIPO</v>
      </c>
    </row>
    <row r="10163" spans="1:4">
      <c r="A10163" s="7">
        <f ca="1">IFERROR(__xludf.DUMMYFUNCTION("""COMPUTED_VALUE"""),44852)</f>
        <v>44852</v>
      </c>
      <c r="B10163" s="6" t="str">
        <f ca="1">IFERROR(__xludf.DUMMYFUNCTION("""COMPUTED_VALUE"""),"-33.773309,-70.905685")</f>
        <v>-33.773309,-70.905685</v>
      </c>
      <c r="C10163" s="6" t="str">
        <f ca="1">IFERROR(__xludf.DUMMYFUNCTION("""COMPUTED_VALUE"""),"CRUCERO 242")</f>
        <v>CRUCERO 242</v>
      </c>
      <c r="D10163" s="6" t="str">
        <f ca="1">IFERROR(__xludf.DUMMYFUNCTION("""COMPUTED_VALUE"""),"ISLA DE MAIPO")</f>
        <v>ISLA DE MAIPO</v>
      </c>
    </row>
    <row r="10164" spans="1:4">
      <c r="A10164" s="7">
        <f ca="1">IFERROR(__xludf.DUMMYFUNCTION("""COMPUTED_VALUE"""),44852)</f>
        <v>44852</v>
      </c>
      <c r="B10164" s="6" t="str">
        <f ca="1">IFERROR(__xludf.DUMMYFUNCTION("""COMPUTED_VALUE"""),"-33.732991,-70.762976")</f>
        <v>-33.732991,-70.762976</v>
      </c>
      <c r="C10164" s="6" t="str">
        <f ca="1">IFERROR(__xludf.DUMMYFUNCTION("""COMPUTED_VALUE"""),"PA RUDECINDO RIVEROS 67")</f>
        <v>PA RUDECINDO RIVEROS 67</v>
      </c>
      <c r="D10164" s="6" t="str">
        <f ca="1">IFERROR(__xludf.DUMMYFUNCTION("""COMPUTED_VALUE"""),"BUIN")</f>
        <v>BUIN</v>
      </c>
    </row>
    <row r="10165" spans="1:4">
      <c r="A10165" s="7">
        <f ca="1">IFERROR(__xludf.DUMMYFUNCTION("""COMPUTED_VALUE"""),44852)</f>
        <v>44852</v>
      </c>
      <c r="B10165" s="6" t="str">
        <f ca="1">IFERROR(__xludf.DUMMYFUNCTION("""COMPUTED_VALUE"""),"-33.733011,-70.7628867")</f>
        <v>-33.733011,-70.7628867</v>
      </c>
      <c r="C10165" s="6" t="str">
        <f ca="1">IFERROR(__xludf.DUMMYFUNCTION("""COMPUTED_VALUE"""),"PA RUDECINDO RIVEROS 62")</f>
        <v>PA RUDECINDO RIVEROS 62</v>
      </c>
      <c r="D10165" s="6" t="str">
        <f ca="1">IFERROR(__xludf.DUMMYFUNCTION("""COMPUTED_VALUE"""),"BUIN")</f>
        <v>BUIN</v>
      </c>
    </row>
    <row r="10166" spans="1:4">
      <c r="A10166" s="7">
        <f ca="1">IFERROR(__xludf.DUMMYFUNCTION("""COMPUTED_VALUE"""),44852)</f>
        <v>44852</v>
      </c>
      <c r="B10166" s="6" t="str">
        <f ca="1">IFERROR(__xludf.DUMMYFUNCTION("""COMPUTED_VALUE"""),"-33.733193,-70.764287")</f>
        <v>-33.733193,-70.764287</v>
      </c>
      <c r="C10166" s="6" t="str">
        <f ca="1">IFERROR(__xludf.DUMMYFUNCTION("""COMPUTED_VALUE"""),"YURI OPAZO 2207")</f>
        <v>YURI OPAZO 2207</v>
      </c>
      <c r="D10166" s="6" t="str">
        <f ca="1">IFERROR(__xludf.DUMMYFUNCTION("""COMPUTED_VALUE"""),"BUIN")</f>
        <v>BUIN</v>
      </c>
    </row>
    <row r="10167" spans="1:4">
      <c r="A10167" s="7">
        <f ca="1">IFERROR(__xludf.DUMMYFUNCTION("""COMPUTED_VALUE"""),44852)</f>
        <v>44852</v>
      </c>
      <c r="B10167" s="6" t="str">
        <f ca="1">IFERROR(__xludf.DUMMYFUNCTION("""COMPUTED_VALUE"""),"-33.820222,-70.743503")</f>
        <v>-33.820222,-70.743503</v>
      </c>
      <c r="C10167" s="6" t="str">
        <f ca="1">IFERROR(__xludf.DUMMYFUNCTION("""COMPUTED_VALUE"""),"GENERAL BAQUEDANO 1246")</f>
        <v>GENERAL BAQUEDANO 1246</v>
      </c>
      <c r="D10167" s="6" t="str">
        <f ca="1">IFERROR(__xludf.DUMMYFUNCTION("""COMPUTED_VALUE"""),"PAINE")</f>
        <v>PAINE</v>
      </c>
    </row>
    <row r="10168" spans="1:4">
      <c r="A10168" s="7">
        <f ca="1">IFERROR(__xludf.DUMMYFUNCTION("""COMPUTED_VALUE"""),44852)</f>
        <v>44852</v>
      </c>
      <c r="B10168" s="6" t="str">
        <f ca="1">IFERROR(__xludf.DUMMYFUNCTION("""COMPUTED_VALUE"""),"-33.806086,-70.734243")</f>
        <v>-33.806086,-70.734243</v>
      </c>
      <c r="C10168" s="6" t="str">
        <f ca="1">IFERROR(__xludf.DUMMYFUNCTION("""COMPUTED_VALUE"""),"JUAN ALARCON SALAZAR 1002")</f>
        <v>JUAN ALARCON SALAZAR 1002</v>
      </c>
      <c r="D10168" s="6" t="str">
        <f ca="1">IFERROR(__xludf.DUMMYFUNCTION("""COMPUTED_VALUE"""),"PAINE")</f>
        <v>PAINE</v>
      </c>
    </row>
    <row r="10169" spans="1:4">
      <c r="A10169" s="7">
        <f ca="1">IFERROR(__xludf.DUMMYFUNCTION("""COMPUTED_VALUE"""),44852)</f>
        <v>44852</v>
      </c>
      <c r="B10169" s="6" t="str">
        <f ca="1">IFERROR(__xludf.DUMMYFUNCTION("""COMPUTED_VALUE"""),"-34.026450,-71.083662")</f>
        <v>-34.026450,-71.083662</v>
      </c>
      <c r="C10169" s="6" t="str">
        <f ca="1">IFERROR(__xludf.DUMMYFUNCTION("""COMPUTED_VALUE"""),"SECTOR CAMINO PICHI S/N")</f>
        <v>SECTOR CAMINO PICHI S/N</v>
      </c>
      <c r="D10169" s="6" t="str">
        <f ca="1">IFERROR(__xludf.DUMMYFUNCTION("""COMPUTED_VALUE"""),"ALHUÉ")</f>
        <v>ALHUÉ</v>
      </c>
    </row>
    <row r="10170" spans="1:4">
      <c r="A10170" s="7">
        <f ca="1">IFERROR(__xludf.DUMMYFUNCTION("""COMPUTED_VALUE"""),44852)</f>
        <v>44852</v>
      </c>
      <c r="B10170" s="6" t="str">
        <f ca="1">IFERROR(__xludf.DUMMYFUNCTION("""COMPUTED_VALUE"""),"-34.035283,-71.093868")</f>
        <v>-34.035283,-71.093868</v>
      </c>
      <c r="C10170" s="6" t="str">
        <f ca="1">IFERROR(__xludf.DUMMYFUNCTION("""COMPUTED_VALUE"""),"LOS ROBLES 553")</f>
        <v>LOS ROBLES 553</v>
      </c>
      <c r="D10170" s="6" t="str">
        <f ca="1">IFERROR(__xludf.DUMMYFUNCTION("""COMPUTED_VALUE"""),"ALHUÉ")</f>
        <v>ALHUÉ</v>
      </c>
    </row>
    <row r="10171" spans="1:4">
      <c r="A10171" s="7">
        <f ca="1">IFERROR(__xludf.DUMMYFUNCTION("""COMPUTED_VALUE"""),44852)</f>
        <v>44852</v>
      </c>
      <c r="B10171" s="6" t="str">
        <f ca="1">IFERROR(__xludf.DUMMYFUNCTION("""COMPUTED_VALUE"""),"-34.037620,-71.093878")</f>
        <v>-34.037620,-71.093878</v>
      </c>
      <c r="C10171" s="6" t="str">
        <f ca="1">IFERROR(__xludf.DUMMYFUNCTION("""COMPUTED_VALUE"""),"C. MAIPU S/N AL CERRO")</f>
        <v>C. MAIPU S/N AL CERRO</v>
      </c>
      <c r="D10171" s="6" t="str">
        <f ca="1">IFERROR(__xludf.DUMMYFUNCTION("""COMPUTED_VALUE"""),"ALHUÉ")</f>
        <v>ALHUÉ</v>
      </c>
    </row>
    <row r="10172" spans="1:4">
      <c r="A10172" s="7">
        <f ca="1">IFERROR(__xludf.DUMMYFUNCTION("""COMPUTED_VALUE"""),44853)</f>
        <v>44853</v>
      </c>
      <c r="B10172" s="8" t="str">
        <f ca="1">IFERROR(__xludf.DUMMYFUNCTION("""COMPUTED_VALUE"""),"-33.8179966, -70.7390837")</f>
        <v>-33.8179966, -70.7390837</v>
      </c>
      <c r="C10172" s="6" t="str">
        <f ca="1">IFERROR(__xludf.DUMMYFUNCTION("""COMPUTED_VALUE"""),"EL TABO 1391")</f>
        <v>EL TABO 1391</v>
      </c>
      <c r="D10172" s="6" t="str">
        <f ca="1">IFERROR(__xludf.DUMMYFUNCTION("""COMPUTED_VALUE"""),"PAINE")</f>
        <v>PAINE</v>
      </c>
    </row>
    <row r="10173" spans="1:4">
      <c r="A10173" s="7">
        <f ca="1">IFERROR(__xludf.DUMMYFUNCTION("""COMPUTED_VALUE"""),44853)</f>
        <v>44853</v>
      </c>
      <c r="B10173" s="8" t="str">
        <f ca="1">IFERROR(__xludf.DUMMYFUNCTION("""COMPUTED_VALUE"""),"-33.5721526, -71.2113103")</f>
        <v>-33.5721526, -71.2113103</v>
      </c>
      <c r="C10173" s="6" t="str">
        <f ca="1">IFERROR(__xludf.DUMMYFUNCTION("""COMPUTED_VALUE"""),"EL MIRADOR S/N")</f>
        <v>EL MIRADOR S/N</v>
      </c>
      <c r="D10173" s="6" t="str">
        <f ca="1">IFERROR(__xludf.DUMMYFUNCTION("""COMPUTED_VALUE"""),"MELIPILLA")</f>
        <v>MELIPILLA</v>
      </c>
    </row>
    <row r="10174" spans="1:4">
      <c r="A10174" s="7">
        <f ca="1">IFERROR(__xludf.DUMMYFUNCTION("""COMPUTED_VALUE"""),44853)</f>
        <v>44853</v>
      </c>
      <c r="B10174" s="6" t="str">
        <f ca="1">IFERROR(__xludf.DUMMYFUNCTION("""COMPUTED_VALUE"""),"-33.694957,-71.008777")</f>
        <v>-33.694957,-71.008777</v>
      </c>
      <c r="C10174" s="6" t="str">
        <f ca="1">IFERROR(__xludf.DUMMYFUNCTION("""COMPUTED_VALUE"""),"SANTA ISABEL 0467 ")</f>
        <v xml:space="preserve">SANTA ISABEL 0467 </v>
      </c>
      <c r="D10174" s="6" t="str">
        <f ca="1">IFERROR(__xludf.DUMMYFUNCTION("""COMPUTED_VALUE"""),"EL MONTE")</f>
        <v>EL MONTE</v>
      </c>
    </row>
    <row r="10175" spans="1:4">
      <c r="A10175" s="7">
        <f ca="1">IFERROR(__xludf.DUMMYFUNCTION("""COMPUTED_VALUE"""),44853)</f>
        <v>44853</v>
      </c>
      <c r="B10175" s="6" t="str">
        <f ca="1">IFERROR(__xludf.DUMMYFUNCTION("""COMPUTED_VALUE"""),"-33.721245,-71.185472")</f>
        <v>-33.721245,-71.185472</v>
      </c>
      <c r="C10175" s="6" t="str">
        <f ca="1">IFERROR(__xludf.DUMMYFUNCTION("""COMPUTED_VALUE"""),"CARMEN QUINTERO 356")</f>
        <v>CARMEN QUINTERO 356</v>
      </c>
      <c r="D10175" s="6" t="str">
        <f ca="1">IFERROR(__xludf.DUMMYFUNCTION("""COMPUTED_VALUE"""),"MELIPILLA")</f>
        <v>MELIPILLA</v>
      </c>
    </row>
    <row r="10176" spans="1:4">
      <c r="A10176" s="7">
        <f ca="1">IFERROR(__xludf.DUMMYFUNCTION("""COMPUTED_VALUE"""),44853)</f>
        <v>44853</v>
      </c>
      <c r="B10176" s="6" t="str">
        <f ca="1">IFERROR(__xludf.DUMMYFUNCTION("""COMPUTED_VALUE"""),"-33.720383,-71.199284")</f>
        <v>-33.720383,-71.199284</v>
      </c>
      <c r="C10176" s="6" t="str">
        <f ca="1">IFERROR(__xludf.DUMMYFUNCTION("""COMPUTED_VALUE"""),"CARMEN BAJO 11 LTA")</f>
        <v>CARMEN BAJO 11 LTA</v>
      </c>
      <c r="D10176" s="6" t="str">
        <f ca="1">IFERROR(__xludf.DUMMYFUNCTION("""COMPUTED_VALUE"""),"MELIPILLA")</f>
        <v>MELIPILLA</v>
      </c>
    </row>
    <row r="10177" spans="1:4">
      <c r="A10177" s="7">
        <f ca="1">IFERROR(__xludf.DUMMYFUNCTION("""COMPUTED_VALUE"""),44853)</f>
        <v>44853</v>
      </c>
      <c r="B10177" s="6" t="str">
        <f ca="1">IFERROR(__xludf.DUMMYFUNCTION("""COMPUTED_VALUE"""),"-33.773114,-71.257993")</f>
        <v>-33.773114,-71.257993</v>
      </c>
      <c r="C10177" s="6" t="str">
        <f ca="1">IFERROR(__xludf.DUMMYFUNCTION("""COMPUTED_VALUE"""),"CODIGUA S/N CV10")</f>
        <v>CODIGUA S/N CV10</v>
      </c>
      <c r="D10177" s="6" t="str">
        <f ca="1">IFERROR(__xludf.DUMMYFUNCTION("""COMPUTED_VALUE"""),"MELIPILLA")</f>
        <v>MELIPILLA</v>
      </c>
    </row>
    <row r="10178" spans="1:4">
      <c r="A10178" s="7">
        <f ca="1">IFERROR(__xludf.DUMMYFUNCTION("""COMPUTED_VALUE"""),44854)</f>
        <v>44854</v>
      </c>
      <c r="B10178" s="6" t="str">
        <f ca="1">IFERROR(__xludf.DUMMYFUNCTION("""COMPUTED_VALUE"""),"-33.293211,-70.870969")</f>
        <v>-33.293211,-70.870969</v>
      </c>
      <c r="C10178" s="6" t="str">
        <f ca="1">IFERROR(__xludf.DUMMYFUNCTION("""COMPUTED_VALUE"""),"PJE LA CHABELA 1753")</f>
        <v>PJE LA CHABELA 1753</v>
      </c>
      <c r="D10178" s="6" t="str">
        <f ca="1">IFERROR(__xludf.DUMMYFUNCTION("""COMPUTED_VALUE"""),"LAMPA")</f>
        <v>LAMPA</v>
      </c>
    </row>
    <row r="10179" spans="1:4">
      <c r="A10179" s="7">
        <f ca="1">IFERROR(__xludf.DUMMYFUNCTION("""COMPUTED_VALUE"""),44854)</f>
        <v>44854</v>
      </c>
      <c r="B10179" s="6" t="str">
        <f ca="1">IFERROR(__xludf.DUMMYFUNCTION("""COMPUTED_VALUE"""),"-33.293043,-70.871225")</f>
        <v>-33.293043,-70.871225</v>
      </c>
      <c r="C10179" s="6" t="str">
        <f ca="1">IFERROR(__xludf.DUMMYFUNCTION("""COMPUTED_VALUE"""),"LA FRONTERA 2210")</f>
        <v>LA FRONTERA 2210</v>
      </c>
      <c r="D10179" s="6" t="str">
        <f ca="1">IFERROR(__xludf.DUMMYFUNCTION("""COMPUTED_VALUE"""),"LAMPA")</f>
        <v>LAMPA</v>
      </c>
    </row>
    <row r="10180" spans="1:4">
      <c r="A10180" s="7">
        <f ca="1">IFERROR(__xludf.DUMMYFUNCTION("""COMPUTED_VALUE"""),44854)</f>
        <v>44854</v>
      </c>
      <c r="B10180" s="6" t="str">
        <f ca="1">IFERROR(__xludf.DUMMYFUNCTION("""COMPUTED_VALUE"""),"-33.755793,-70.898718")</f>
        <v>-33.755793,-70.898718</v>
      </c>
      <c r="C10180" s="6" t="str">
        <f ca="1">IFERROR(__xludf.DUMMYFUNCTION("""COMPUTED_VALUE"""),"SANTELICES 258 ")</f>
        <v xml:space="preserve">SANTELICES 258 </v>
      </c>
      <c r="D10180" s="6" t="str">
        <f ca="1">IFERROR(__xludf.DUMMYFUNCTION("""COMPUTED_VALUE"""),"ISLA DE MAIPO")</f>
        <v>ISLA DE MAIPO</v>
      </c>
    </row>
    <row r="10181" spans="1:4">
      <c r="A10181" s="7">
        <f ca="1">IFERROR(__xludf.DUMMYFUNCTION("""COMPUTED_VALUE"""),44854)</f>
        <v>44854</v>
      </c>
      <c r="B10181" s="8" t="str">
        <f ca="1">IFERROR(__xludf.DUMMYFUNCTION("""COMPUTED_VALUE"""),"-33.730146:-70.771699")</f>
        <v>-33.730146:-70.771699</v>
      </c>
      <c r="C10181" s="6" t="str">
        <f ca="1">IFERROR(__xludf.DUMMYFUNCTION("""COMPUTED_VALUE"""),"FLORENTINO DURAN 249")</f>
        <v>FLORENTINO DURAN 249</v>
      </c>
      <c r="D10181" s="6" t="str">
        <f ca="1">IFERROR(__xludf.DUMMYFUNCTION("""COMPUTED_VALUE"""),"BUIN")</f>
        <v>BUIN</v>
      </c>
    </row>
    <row r="10182" spans="1:4">
      <c r="A10182" s="7">
        <f ca="1">IFERROR(__xludf.DUMMYFUNCTION("""COMPUTED_VALUE"""),44854)</f>
        <v>44854</v>
      </c>
      <c r="B10182" s="8" t="str">
        <f ca="1">IFERROR(__xludf.DUMMYFUNCTION("""COMPUTED_VALUE"""),"-33.676207;-70,970581")</f>
        <v>-33.676207;-70,970581</v>
      </c>
      <c r="C10182" s="6" t="str">
        <f ca="1">IFERROR(__xludf.DUMMYFUNCTION("""COMPUTED_VALUE"""),"SAN MIGUEL")</f>
        <v>SAN MIGUEL</v>
      </c>
      <c r="D10182" s="6" t="str">
        <f ca="1">IFERROR(__xludf.DUMMYFUNCTION("""COMPUTED_VALUE"""),"EL MONTE")</f>
        <v>EL MONTE</v>
      </c>
    </row>
    <row r="10183" spans="1:4">
      <c r="A10183" s="7">
        <f ca="1">IFERROR(__xludf.DUMMYFUNCTION("""COMPUTED_VALUE"""),44854)</f>
        <v>44854</v>
      </c>
      <c r="B10183" s="6" t="str">
        <f ca="1">IFERROR(__xludf.DUMMYFUNCTION("""COMPUTED_VALUE"""),"-33.620439,-70.807490")</f>
        <v>-33.620439,-70.807490</v>
      </c>
      <c r="C10183" s="6" t="str">
        <f ca="1">IFERROR(__xludf.DUMMYFUNCTION("""COMPUTED_VALUE"""),"PARADERO 19 LOS TILOS SITIO E")</f>
        <v>PARADERO 19 LOS TILOS SITIO E</v>
      </c>
      <c r="D10183" s="6" t="str">
        <f ca="1">IFERROR(__xludf.DUMMYFUNCTION("""COMPUTED_VALUE"""),"CALERA DE TANGO")</f>
        <v>CALERA DE TANGO</v>
      </c>
    </row>
    <row r="10184" spans="1:4">
      <c r="A10184" s="7">
        <f ca="1">IFERROR(__xludf.DUMMYFUNCTION("""COMPUTED_VALUE"""),44854)</f>
        <v>44854</v>
      </c>
      <c r="B10184" s="6" t="str">
        <f ca="1">IFERROR(__xludf.DUMMYFUNCTION("""COMPUTED_VALUE"""),"-33.620668,-70.907098")</f>
        <v>-33.620668,-70.907098</v>
      </c>
      <c r="C10184" s="6" t="str">
        <f ca="1">IFERROR(__xludf.DUMMYFUNCTION("""COMPUTED_VALUE"""),"LOS TILOS PARCELA 22C SITIO C")</f>
        <v>LOS TILOS PARCELA 22C SITIO C</v>
      </c>
      <c r="D10184" s="6" t="str">
        <f ca="1">IFERROR(__xludf.DUMMYFUNCTION("""COMPUTED_VALUE"""),"CALERA DE TANGO")</f>
        <v>CALERA DE TANGO</v>
      </c>
    </row>
    <row r="10185" spans="1:4">
      <c r="A10185" s="7">
        <f ca="1">IFERROR(__xludf.DUMMYFUNCTION("""COMPUTED_VALUE"""),44854)</f>
        <v>44854</v>
      </c>
      <c r="B10185" s="6" t="str">
        <f ca="1">IFERROR(__xludf.DUMMYFUNCTION("""COMPUTED_VALUE"""),"-34.023925,-71.082496")</f>
        <v>-34.023925,-71.082496</v>
      </c>
      <c r="C10185" s="6" t="str">
        <f ca="1">IFERROR(__xludf.DUMMYFUNCTION("""COMPUTED_VALUE"""),"I. C. PINTO S/N")</f>
        <v>I. C. PINTO S/N</v>
      </c>
      <c r="D10185" s="6" t="str">
        <f ca="1">IFERROR(__xludf.DUMMYFUNCTION("""COMPUTED_VALUE"""),"ALHUÉ")</f>
        <v>ALHUÉ</v>
      </c>
    </row>
    <row r="10186" spans="1:4">
      <c r="A10186" s="7">
        <f ca="1">IFERROR(__xludf.DUMMYFUNCTION("""COMPUTED_VALUE"""),44854)</f>
        <v>44854</v>
      </c>
      <c r="B10186" s="6" t="str">
        <f ca="1">IFERROR(__xludf.DUMMYFUNCTION("""COMPUTED_VALUE"""),"-34.026990,-71.083842")</f>
        <v>-34.026990,-71.083842</v>
      </c>
      <c r="C10186" s="6" t="str">
        <f ca="1">IFERROR(__xludf.DUMMYFUNCTION("""COMPUTED_VALUE"""),"I. C. PINTO 136638")</f>
        <v>I. C. PINTO 136638</v>
      </c>
      <c r="D10186" s="6" t="str">
        <f ca="1">IFERROR(__xludf.DUMMYFUNCTION("""COMPUTED_VALUE"""),"ALHUÉ")</f>
        <v>ALHUÉ</v>
      </c>
    </row>
    <row r="10187" spans="1:4">
      <c r="A10187" s="7">
        <f ca="1">IFERROR(__xludf.DUMMYFUNCTION("""COMPUTED_VALUE"""),44854)</f>
        <v>44854</v>
      </c>
      <c r="B10187" s="6" t="str">
        <f ca="1">IFERROR(__xludf.DUMMYFUNCTION("""COMPUTED_VALUE"""),"-34.027850,-71.087650")</f>
        <v>-34.027850,-71.087650</v>
      </c>
      <c r="C10187" s="6" t="str">
        <f ca="1">IFERROR(__xludf.DUMMYFUNCTION("""COMPUTED_VALUE"""),"SECTOR CAMINO A PICHI S/N")</f>
        <v>SECTOR CAMINO A PICHI S/N</v>
      </c>
      <c r="D10187" s="6" t="str">
        <f ca="1">IFERROR(__xludf.DUMMYFUNCTION("""COMPUTED_VALUE"""),"ALHUÉ")</f>
        <v>ALHUÉ</v>
      </c>
    </row>
    <row r="10188" spans="1:4">
      <c r="A10188" s="7">
        <f ca="1">IFERROR(__xludf.DUMMYFUNCTION("""COMPUTED_VALUE"""),44854)</f>
        <v>44854</v>
      </c>
      <c r="B10188" s="6" t="str">
        <f ca="1">IFERROR(__xludf.DUMMYFUNCTION("""COMPUTED_VALUE"""),"-33.675678,-70.669209")</f>
        <v>-33.675678,-70.669209</v>
      </c>
      <c r="C10188" s="6" t="str">
        <f ca="1">IFERROR(__xludf.DUMMYFUNCTION("""COMPUTED_VALUE"""),"CAMINO PADRE HURTADO")</f>
        <v>CAMINO PADRE HURTADO</v>
      </c>
      <c r="D10188" s="6" t="str">
        <f ca="1">IFERROR(__xludf.DUMMYFUNCTION("""COMPUTED_VALUE"""),"BUIN")</f>
        <v>BUIN</v>
      </c>
    </row>
    <row r="10189" spans="1:4">
      <c r="A10189" s="7">
        <f ca="1">IFERROR(__xludf.DUMMYFUNCTION("""COMPUTED_VALUE"""),44854)</f>
        <v>44854</v>
      </c>
      <c r="B10189" s="6" t="str">
        <f ca="1">IFERROR(__xludf.DUMMYFUNCTION("""COMPUTED_VALUE"""),"-33.811730,-70.879836")</f>
        <v>-33.811730,-70.879836</v>
      </c>
      <c r="C10189" s="6" t="str">
        <f ca="1">IFERROR(__xludf.DUMMYFUNCTION("""COMPUTED_VALUE"""),"EL ALAMO S/17")</f>
        <v>EL ALAMO S/17</v>
      </c>
      <c r="D10189" s="6" t="str">
        <f ca="1">IFERROR(__xludf.DUMMYFUNCTION("""COMPUTED_VALUE"""),"PAINE")</f>
        <v>PAINE</v>
      </c>
    </row>
    <row r="10190" spans="1:4">
      <c r="A10190" s="7">
        <f ca="1">IFERROR(__xludf.DUMMYFUNCTION("""COMPUTED_VALUE"""),44855)</f>
        <v>44855</v>
      </c>
      <c r="B10190" s="6" t="str">
        <f ca="1">IFERROR(__xludf.DUMMYFUNCTION("""COMPUTED_VALUE"""),"-33.242660-70.732589")</f>
        <v>-33.242660-70.732589</v>
      </c>
      <c r="C10190" s="6" t="str">
        <f ca="1">IFERROR(__xludf.DUMMYFUNCTION("""COMPUTED_VALUE"""),"LIRAY LOTE 2")</f>
        <v>LIRAY LOTE 2</v>
      </c>
      <c r="D10190" s="6" t="str">
        <f ca="1">IFERROR(__xludf.DUMMYFUNCTION("""COMPUTED_VALUE"""),"COLINA")</f>
        <v>COLINA</v>
      </c>
    </row>
    <row r="10191" spans="1:4">
      <c r="A10191" s="7">
        <f ca="1">IFERROR(__xludf.DUMMYFUNCTION("""COMPUTED_VALUE"""),44855)</f>
        <v>44855</v>
      </c>
      <c r="B10191" s="8" t="str">
        <f ca="1">IFERROR(__xludf.DUMMYFUNCTION("""COMPUTED_VALUE"""),"-33.093480,-70.678461")</f>
        <v>-33.093480,-70.678461</v>
      </c>
      <c r="C10191" s="6" t="str">
        <f ca="1">IFERROR(__xludf.DUMMYFUNCTION("""COMPUTED_VALUE"""),"QUILAPILUN ALTO PARC 4")</f>
        <v>QUILAPILUN ALTO PARC 4</v>
      </c>
      <c r="D10191" s="6" t="str">
        <f ca="1">IFERROR(__xludf.DUMMYFUNCTION("""COMPUTED_VALUE"""),"COLINA")</f>
        <v>COLINA</v>
      </c>
    </row>
    <row r="10192" spans="1:4">
      <c r="A10192" s="7">
        <f ca="1">IFERROR(__xludf.DUMMYFUNCTION("""COMPUTED_VALUE"""),44855)</f>
        <v>44855</v>
      </c>
      <c r="B10192" s="8" t="str">
        <f ca="1">IFERROR(__xludf.DUMMYFUNCTION("""COMPUTED_VALUE"""),"-33.093480,-70.678461")</f>
        <v>-33.093480,-70.678461</v>
      </c>
      <c r="C10192" s="6" t="str">
        <f ca="1">IFERROR(__xludf.DUMMYFUNCTION("""COMPUTED_VALUE"""),"QUILAPILUN ALTO PARC 4")</f>
        <v>QUILAPILUN ALTO PARC 4</v>
      </c>
      <c r="D10192" s="6" t="str">
        <f ca="1">IFERROR(__xludf.DUMMYFUNCTION("""COMPUTED_VALUE"""),"COLINA")</f>
        <v>COLINA</v>
      </c>
    </row>
    <row r="10193" spans="1:4">
      <c r="A10193" s="7">
        <f ca="1">IFERROR(__xludf.DUMMYFUNCTION("""COMPUTED_VALUE"""),44855)</f>
        <v>44855</v>
      </c>
      <c r="B10193" s="8" t="str">
        <f ca="1">IFERROR(__xludf.DUMMYFUNCTION("""COMPUTED_VALUE"""),"-33.093480,-70.678461")</f>
        <v>-33.093480,-70.678461</v>
      </c>
      <c r="C10193" s="6" t="str">
        <f ca="1">IFERROR(__xludf.DUMMYFUNCTION("""COMPUTED_VALUE"""),"QUILAPILUN ALTO PARC 4 S/B")</f>
        <v>QUILAPILUN ALTO PARC 4 S/B</v>
      </c>
      <c r="D10193" s="6" t="str">
        <f ca="1">IFERROR(__xludf.DUMMYFUNCTION("""COMPUTED_VALUE"""),"COLINA")</f>
        <v>COLINA</v>
      </c>
    </row>
    <row r="10194" spans="1:4">
      <c r="A10194" s="7">
        <f ca="1">IFERROR(__xludf.DUMMYFUNCTION("""COMPUTED_VALUE"""),44855)</f>
        <v>44855</v>
      </c>
      <c r="B10194" s="8" t="str">
        <f ca="1">IFERROR(__xludf.DUMMYFUNCTION("""COMPUTED_VALUE"""),"-34.035404:-71.221856")</f>
        <v>-34.035404:-71.221856</v>
      </c>
      <c r="C10194" s="6" t="str">
        <f ca="1">IFERROR(__xludf.DUMMYFUNCTION("""COMPUTED_VALUE"""),"LA LINEA ")</f>
        <v xml:space="preserve">LA LINEA </v>
      </c>
      <c r="D10194" s="6" t="str">
        <f ca="1">IFERROR(__xludf.DUMMYFUNCTION("""COMPUTED_VALUE"""),"ALHUÉ")</f>
        <v>ALHUÉ</v>
      </c>
    </row>
    <row r="10195" spans="1:4">
      <c r="A10195" s="7">
        <f ca="1">IFERROR(__xludf.DUMMYFUNCTION("""COMPUTED_VALUE"""),44855)</f>
        <v>44855</v>
      </c>
      <c r="B10195" s="8" t="str">
        <f ca="1">IFERROR(__xludf.DUMMYFUNCTION("""COMPUTED_VALUE"""),"-34.034594:-71090385")</f>
        <v>-34.034594:-71090385</v>
      </c>
      <c r="C10195" s="6" t="str">
        <f ca="1">IFERROR(__xludf.DUMMYFUNCTION("""COMPUTED_VALUE"""),"EL MOLINO ")</f>
        <v xml:space="preserve">EL MOLINO </v>
      </c>
      <c r="D10195" s="6" t="str">
        <f ca="1">IFERROR(__xludf.DUMMYFUNCTION("""COMPUTED_VALUE"""),"ALHUÉ")</f>
        <v>ALHUÉ</v>
      </c>
    </row>
    <row r="10196" spans="1:4">
      <c r="A10196" s="7">
        <f ca="1">IFERROR(__xludf.DUMMYFUNCTION("""COMPUTED_VALUE"""),44855)</f>
        <v>44855</v>
      </c>
      <c r="B10196" s="6" t="str">
        <f ca="1">IFERROR(__xludf.DUMMYFUNCTION("""COMPUTED_VALUE"""),"-34.032191,-71.114068")</f>
        <v>-34.032191,-71.114068</v>
      </c>
      <c r="C10196" s="6" t="str">
        <f ca="1">IFERROR(__xludf.DUMMYFUNCTION("""COMPUTED_VALUE"""),"FUNDO POLULO S/N LOS GANSOS 1 ")</f>
        <v xml:space="preserve">FUNDO POLULO S/N LOS GANSOS 1 </v>
      </c>
      <c r="D10196" s="6" t="str">
        <f ca="1">IFERROR(__xludf.DUMMYFUNCTION("""COMPUTED_VALUE"""),"ALHUÉ")</f>
        <v>ALHUÉ</v>
      </c>
    </row>
    <row r="10197" spans="1:4">
      <c r="A10197" s="7">
        <f ca="1">IFERROR(__xludf.DUMMYFUNCTION("""COMPUTED_VALUE"""),44855)</f>
        <v>44855</v>
      </c>
      <c r="B10197" s="6" t="str">
        <f ca="1">IFERROR(__xludf.DUMMYFUNCTION("""COMPUTED_VALUE"""),"-34.032191,-71.177714")</f>
        <v>-34.032191,-71.177714</v>
      </c>
      <c r="C10197" s="6" t="str">
        <f ca="1">IFERROR(__xludf.DUMMYFUNCTION("""COMPUTED_VALUE"""),"FUNDO POLULO 1 LOS GANSOS1")</f>
        <v>FUNDO POLULO 1 LOS GANSOS1</v>
      </c>
      <c r="D10197" s="6" t="str">
        <f ca="1">IFERROR(__xludf.DUMMYFUNCTION("""COMPUTED_VALUE"""),"ALHUÉ")</f>
        <v>ALHUÉ</v>
      </c>
    </row>
    <row r="10198" spans="1:4">
      <c r="A10198" s="7">
        <f ca="1">IFERROR(__xludf.DUMMYFUNCTION("""COMPUTED_VALUE"""),44855)</f>
        <v>44855</v>
      </c>
      <c r="B10198" s="6" t="str">
        <f ca="1">IFERROR(__xludf.DUMMYFUNCTION("""COMPUTED_VALUE"""),"-33.834648,-70.698402")</f>
        <v>-33.834648,-70.698402</v>
      </c>
      <c r="C10198" s="6" t="str">
        <f ca="1">IFERROR(__xludf.DUMMYFUNCTION("""COMPUTED_VALUE"""),"SITIO 27, SANTA ROSA")</f>
        <v>SITIO 27, SANTA ROSA</v>
      </c>
      <c r="D10198" s="6" t="str">
        <f ca="1">IFERROR(__xludf.DUMMYFUNCTION("""COMPUTED_VALUE"""),"PAINE")</f>
        <v>PAINE</v>
      </c>
    </row>
    <row r="10199" spans="1:4">
      <c r="A10199" s="7">
        <f ca="1">IFERROR(__xludf.DUMMYFUNCTION("""COMPUTED_VALUE"""),44855)</f>
        <v>44855</v>
      </c>
      <c r="B10199" s="6" t="str">
        <f ca="1">IFERROR(__xludf.DUMMYFUNCTION("""COMPUTED_VALUE"""),"-33.284255,-70.842466")</f>
        <v>-33.284255,-70.842466</v>
      </c>
      <c r="C10199" s="6" t="str">
        <f ca="1">IFERROR(__xludf.DUMMYFUNCTION("""COMPUTED_VALUE"""),"SANTA EMILIA P/15")</f>
        <v>SANTA EMILIA P/15</v>
      </c>
      <c r="D10199" s="6" t="str">
        <f ca="1">IFERROR(__xludf.DUMMYFUNCTION("""COMPUTED_VALUE"""),"LAMPA")</f>
        <v>LAMPA</v>
      </c>
    </row>
    <row r="10200" spans="1:4">
      <c r="A10200" s="7">
        <f ca="1">IFERROR(__xludf.DUMMYFUNCTION("""COMPUTED_VALUE"""),44855)</f>
        <v>44855</v>
      </c>
      <c r="B10200" s="6" t="str">
        <f ca="1">IFERROR(__xludf.DUMMYFUNCTION("""COMPUTED_VALUE"""),"-33.293184,-70.870885")</f>
        <v>-33.293184,-70.870885</v>
      </c>
      <c r="C10200" s="6" t="str">
        <f ca="1">IFERROR(__xludf.DUMMYFUNCTION("""COMPUTED_VALUE"""),"LA CHABELA 1753")</f>
        <v>LA CHABELA 1753</v>
      </c>
      <c r="D10200" s="6" t="str">
        <f ca="1">IFERROR(__xludf.DUMMYFUNCTION("""COMPUTED_VALUE"""),"LAMPA")</f>
        <v>LAMPA</v>
      </c>
    </row>
    <row r="10201" spans="1:4">
      <c r="A10201" s="7">
        <f ca="1">IFERROR(__xludf.DUMMYFUNCTION("""COMPUTED_VALUE"""),44855)</f>
        <v>44855</v>
      </c>
      <c r="B10201" s="6" t="str">
        <f ca="1">IFERROR(__xludf.DUMMYFUNCTION("""COMPUTED_VALUE"""),"-33.6205906,-70.7432703")</f>
        <v>-33.6205906,-70.7432703</v>
      </c>
      <c r="C10201" s="6" t="str">
        <f ca="1">IFERROR(__xludf.DUMMYFUNCTION("""COMPUTED_VALUE"""),"ALBERTO KRUMM 1556")</f>
        <v>ALBERTO KRUMM 1556</v>
      </c>
      <c r="D10201" s="6" t="str">
        <f ca="1">IFERROR(__xludf.DUMMYFUNCTION("""COMPUTED_VALUE"""),"PAINE")</f>
        <v>PAINE</v>
      </c>
    </row>
    <row r="10202" spans="1:4">
      <c r="A10202" s="7">
        <f ca="1">IFERROR(__xludf.DUMMYFUNCTION("""COMPUTED_VALUE"""),44856)</f>
        <v>44856</v>
      </c>
      <c r="B10202" s="6" t="str">
        <f ca="1">IFERROR(__xludf.DUMMYFUNCTION("""COMPUTED_VALUE"""),"-34.036391-71.097091")</f>
        <v>-34.036391-71.097091</v>
      </c>
      <c r="C10202" s="6" t="str">
        <f ca="1">IFERROR(__xludf.DUMMYFUNCTION("""COMPUTED_VALUE"""),"EL TRANQUE S/N")</f>
        <v>EL TRANQUE S/N</v>
      </c>
      <c r="D10202" s="6" t="str">
        <f ca="1">IFERROR(__xludf.DUMMYFUNCTION("""COMPUTED_VALUE"""),"ALHUÉ")</f>
        <v>ALHUÉ</v>
      </c>
    </row>
    <row r="10203" spans="1:4">
      <c r="A10203" s="7">
        <f ca="1">IFERROR(__xludf.DUMMYFUNCTION("""COMPUTED_VALUE"""),44856)</f>
        <v>44856</v>
      </c>
      <c r="B10203" s="6" t="str">
        <f ca="1">IFERROR(__xludf.DUMMYFUNCTION("""COMPUTED_VALUE"""),"-34.026455-71.083442")</f>
        <v>-34.026455-71.083442</v>
      </c>
      <c r="C10203" s="6" t="str">
        <f ca="1">IFERROR(__xludf.DUMMYFUNCTION("""COMPUTED_VALUE"""),"IGNACIO CARRERA PINTO S/N")</f>
        <v>IGNACIO CARRERA PINTO S/N</v>
      </c>
      <c r="D10203" s="6" t="str">
        <f ca="1">IFERROR(__xludf.DUMMYFUNCTION("""COMPUTED_VALUE"""),"ALHUÉ")</f>
        <v>ALHUÉ</v>
      </c>
    </row>
    <row r="10204" spans="1:4">
      <c r="A10204" s="7">
        <f ca="1">IFERROR(__xludf.DUMMYFUNCTION("""COMPUTED_VALUE"""),44856)</f>
        <v>44856</v>
      </c>
      <c r="B10204" s="6" t="str">
        <f ca="1">IFERROR(__xludf.DUMMYFUNCTION("""COMPUTED_VALUE"""),"-34.060358-71.105909")</f>
        <v>-34.060358-71.105909</v>
      </c>
      <c r="C10204" s="6" t="str">
        <f ca="1">IFERROR(__xludf.DUMMYFUNCTION("""COMPUTED_VALUE"""),"PORVENIR 10 LOTE 5")</f>
        <v>PORVENIR 10 LOTE 5</v>
      </c>
      <c r="D10204" s="6" t="str">
        <f ca="1">IFERROR(__xludf.DUMMYFUNCTION("""COMPUTED_VALUE"""),"ALHUÉ")</f>
        <v>ALHUÉ</v>
      </c>
    </row>
    <row r="10205" spans="1:4">
      <c r="A10205" s="7">
        <f ca="1">IFERROR(__xludf.DUMMYFUNCTION("""COMPUTED_VALUE"""),44856)</f>
        <v>44856</v>
      </c>
      <c r="B10205" s="8" t="str">
        <f ca="1">IFERROR(__xludf.DUMMYFUNCTION("""COMPUTED_VALUE"""),"-33.7158750,-70.55856")</f>
        <v>-33.7158750,-70.55856</v>
      </c>
      <c r="C10205" s="6" t="str">
        <f ca="1">IFERROR(__xludf.DUMMYFUNCTION("""COMPUTED_VALUE"""),"LA ALAMEDA P 18A")</f>
        <v>LA ALAMEDA P 18A</v>
      </c>
      <c r="D10205" s="6" t="str">
        <f ca="1">IFERROR(__xludf.DUMMYFUNCTION("""COMPUTED_VALUE"""),"PIRQUE")</f>
        <v>PIRQUE</v>
      </c>
    </row>
    <row r="10206" spans="1:4">
      <c r="A10206" s="7">
        <f ca="1">IFERROR(__xludf.DUMMYFUNCTION("""COMPUTED_VALUE"""),44856)</f>
        <v>44856</v>
      </c>
      <c r="B10206" s="6" t="str">
        <f ca="1">IFERROR(__xludf.DUMMYFUNCTION("""COMPUTED_VALUE"""),"-33.743179,-70.958799")</f>
        <v>-33.743179,-70.958799</v>
      </c>
      <c r="C10206" s="6" t="str">
        <f ca="1">IFERROR(__xludf.DUMMYFUNCTION("""COMPUTED_VALUE"""),"PARCELA 25 PARCELACION BRILLO DEL SOL")</f>
        <v>PARCELA 25 PARCELACION BRILLO DEL SOL</v>
      </c>
      <c r="D10206" s="6" t="str">
        <f ca="1">IFERROR(__xludf.DUMMYFUNCTION("""COMPUTED_VALUE"""),"ISLA DE MAIPO")</f>
        <v>ISLA DE MAIPO</v>
      </c>
    </row>
    <row r="10207" spans="1:4">
      <c r="A10207" s="7">
        <f ca="1">IFERROR(__xludf.DUMMYFUNCTION("""COMPUTED_VALUE"""),44856)</f>
        <v>44856</v>
      </c>
      <c r="B10207" s="6" t="str">
        <f ca="1">IFERROR(__xludf.DUMMYFUNCTION("""COMPUTED_VALUE"""),"-33.297132 ,-70.882958")</f>
        <v>-33.297132 ,-70.882958</v>
      </c>
      <c r="C10207" s="6" t="str">
        <f ca="1">IFERROR(__xludf.DUMMYFUNCTION("""COMPUTED_VALUE"""),"QUILLAY 2425")</f>
        <v>QUILLAY 2425</v>
      </c>
      <c r="D10207" s="6" t="str">
        <f ca="1">IFERROR(__xludf.DUMMYFUNCTION("""COMPUTED_VALUE"""),"LAMPA")</f>
        <v>LAMPA</v>
      </c>
    </row>
    <row r="10208" spans="1:4">
      <c r="A10208" s="7">
        <f ca="1">IFERROR(__xludf.DUMMYFUNCTION("""COMPUTED_VALUE"""),44856)</f>
        <v>44856</v>
      </c>
      <c r="B10208" s="6" t="str">
        <f ca="1">IFERROR(__xludf.DUMMYFUNCTION("""COMPUTED_VALUE"""),"-33.576626,-71.014150")</f>
        <v>-33.576626,-71.014150</v>
      </c>
      <c r="C10208" s="6" t="str">
        <f ca="1">IFERROR(__xludf.DUMMYFUNCTION("""COMPUTED_VALUE"""),"MA SANTA TERESA MALLARAUCO SITIO A")</f>
        <v>MA SANTA TERESA MALLARAUCO SITIO A</v>
      </c>
      <c r="D10208" s="6" t="str">
        <f ca="1">IFERROR(__xludf.DUMMYFUNCTION("""COMPUTED_VALUE"""),"MELIPILLA")</f>
        <v>MELIPILLA</v>
      </c>
    </row>
    <row r="10209" spans="1:4">
      <c r="A10209" s="7">
        <f ca="1">IFERROR(__xludf.DUMMYFUNCTION("""COMPUTED_VALUE"""),44858)</f>
        <v>44858</v>
      </c>
      <c r="B10209" s="8" t="str">
        <f ca="1">IFERROR(__xludf.DUMMYFUNCTION("""COMPUTED_VALUE"""),"-33.7588933, -71.31079")</f>
        <v>-33.7588933, -71.31079</v>
      </c>
      <c r="C10209" s="6" t="str">
        <f ca="1">IFERROR(__xludf.DUMMYFUNCTION("""COMPUTED_VALUE"""),"LOTE D PARCELA 9 CODEGUA")</f>
        <v>LOTE D PARCELA 9 CODEGUA</v>
      </c>
      <c r="D10209" s="6" t="str">
        <f ca="1">IFERROR(__xludf.DUMMYFUNCTION("""COMPUTED_VALUE"""),"MELIPILLA")</f>
        <v>MELIPILLA</v>
      </c>
    </row>
    <row r="10210" spans="1:4">
      <c r="A10210" s="7">
        <f ca="1">IFERROR(__xludf.DUMMYFUNCTION("""COMPUTED_VALUE"""),44858)</f>
        <v>44858</v>
      </c>
      <c r="B10210" s="6" t="str">
        <f ca="1">IFERROR(__xludf.DUMMYFUNCTION("""COMPUTED_VALUE"""),"-34.05823-71.24599")</f>
        <v>-34.05823-71.24599</v>
      </c>
      <c r="C10210" s="6" t="str">
        <f ca="1">IFERROR(__xludf.DUMMYFUNCTION("""COMPUTED_VALUE"""),"CAMINO LA LINEA S/N")</f>
        <v>CAMINO LA LINEA S/N</v>
      </c>
      <c r="D10210" s="6" t="str">
        <f ca="1">IFERROR(__xludf.DUMMYFUNCTION("""COMPUTED_VALUE"""),"ALHUÉ")</f>
        <v>ALHUÉ</v>
      </c>
    </row>
    <row r="10211" spans="1:4">
      <c r="A10211" s="7">
        <f ca="1">IFERROR(__xludf.DUMMYFUNCTION("""COMPUTED_VALUE"""),44858)</f>
        <v>44858</v>
      </c>
      <c r="B10211" s="6" t="str">
        <f ca="1">IFERROR(__xludf.DUMMYFUNCTION("""COMPUTED_VALUE"""),"-34.04969-71.228824")</f>
        <v>-34.04969-71.228824</v>
      </c>
      <c r="C10211" s="6" t="str">
        <f ca="1">IFERROR(__xludf.DUMMYFUNCTION("""COMPUTED_VALUE"""),"LOS ALAMOS S/N")</f>
        <v>LOS ALAMOS S/N</v>
      </c>
      <c r="D10211" s="6" t="str">
        <f ca="1">IFERROR(__xludf.DUMMYFUNCTION("""COMPUTED_VALUE"""),"ALHUÉ")</f>
        <v>ALHUÉ</v>
      </c>
    </row>
    <row r="10212" spans="1:4">
      <c r="A10212" s="7">
        <f ca="1">IFERROR(__xludf.DUMMYFUNCTION("""COMPUTED_VALUE"""),44858)</f>
        <v>44858</v>
      </c>
      <c r="B10212" s="6" t="str">
        <f ca="1">IFERROR(__xludf.DUMMYFUNCTION("""COMPUTED_VALUE"""),"-34.03140-71.21841")</f>
        <v>-34.03140-71.21841</v>
      </c>
      <c r="C10212" s="6" t="str">
        <f ca="1">IFERROR(__xludf.DUMMYFUNCTION("""COMPUTED_VALUE"""),"CAMINO LA LINEA S/N")</f>
        <v>CAMINO LA LINEA S/N</v>
      </c>
      <c r="D10212" s="6" t="str">
        <f ca="1">IFERROR(__xludf.DUMMYFUNCTION("""COMPUTED_VALUE"""),"ALHUÉ")</f>
        <v>ALHUÉ</v>
      </c>
    </row>
    <row r="10213" spans="1:4">
      <c r="A10213" s="7">
        <f ca="1">IFERROR(__xludf.DUMMYFUNCTION("""COMPUTED_VALUE"""),44858)</f>
        <v>44858</v>
      </c>
      <c r="B10213" s="6" t="str">
        <f ca="1">IFERROR(__xludf.DUMMYFUNCTION("""COMPUTED_VALUE"""),"-34.03044-71.15899")</f>
        <v>-34.03044-71.15899</v>
      </c>
      <c r="C10213" s="6" t="str">
        <f ca="1">IFERROR(__xludf.DUMMYFUNCTION("""COMPUTED_VALUE"""),"CAMINO LA LINEA S/N")</f>
        <v>CAMINO LA LINEA S/N</v>
      </c>
      <c r="D10213" s="6" t="str">
        <f ca="1">IFERROR(__xludf.DUMMYFUNCTION("""COMPUTED_VALUE"""),"ALHUÉ")</f>
        <v>ALHUÉ</v>
      </c>
    </row>
    <row r="10214" spans="1:4">
      <c r="A10214" s="7">
        <f ca="1">IFERROR(__xludf.DUMMYFUNCTION("""COMPUTED_VALUE"""),44858)</f>
        <v>44858</v>
      </c>
      <c r="B10214" s="6" t="str">
        <f ca="1">IFERROR(__xludf.DUMMYFUNCTION("""COMPUTED_VALUE"""),"-33.671424-70.893722")</f>
        <v>-33.671424-70.893722</v>
      </c>
      <c r="C10214" s="6" t="str">
        <f ca="1">IFERROR(__xludf.DUMMYFUNCTION("""COMPUTED_VALUE"""),"PARCELA 18")</f>
        <v>PARCELA 18</v>
      </c>
      <c r="D10214" s="6" t="str">
        <f ca="1">IFERROR(__xludf.DUMMYFUNCTION("""COMPUTED_VALUE"""),"TALAGANTE")</f>
        <v>TALAGANTE</v>
      </c>
    </row>
    <row r="10215" spans="1:4">
      <c r="A10215" s="7">
        <f ca="1">IFERROR(__xludf.DUMMYFUNCTION("""COMPUTED_VALUE"""),44858)</f>
        <v>44858</v>
      </c>
      <c r="B10215" s="6" t="str">
        <f ca="1">IFERROR(__xludf.DUMMYFUNCTION("""COMPUTED_VALUE"""),"-33.622473-70.349550")</f>
        <v>-33.622473-70.349550</v>
      </c>
      <c r="C10215" s="6" t="str">
        <f ca="1">IFERROR(__xludf.DUMMYFUNCTION("""COMPUTED_VALUE"""),"CAMINO AL VOLCAN 18096")</f>
        <v>CAMINO AL VOLCAN 18096</v>
      </c>
      <c r="D10215" s="6" t="str">
        <f ca="1">IFERROR(__xludf.DUMMYFUNCTION("""COMPUTED_VALUE"""),"SAN JOSE DE MAIPO")</f>
        <v>SAN JOSE DE MAIPO</v>
      </c>
    </row>
    <row r="10216" spans="1:4">
      <c r="A10216" s="7">
        <f ca="1">IFERROR(__xludf.DUMMYFUNCTION("""COMPUTED_VALUE"""),44858)</f>
        <v>44858</v>
      </c>
      <c r="B10216" s="8" t="str">
        <f ca="1">IFERROR(__xludf.DUMMYFUNCTION("""COMPUTED_VALUE"""),"-33.675381,-70.993769")</f>
        <v>-33.675381,-70.993769</v>
      </c>
      <c r="C10216" s="6" t="str">
        <f ca="1">IFERROR(__xludf.DUMMYFUNCTION("""COMPUTED_VALUE"""),"LUIS MARIN GARCIA 347")</f>
        <v>LUIS MARIN GARCIA 347</v>
      </c>
      <c r="D10216" s="6" t="str">
        <f ca="1">IFERROR(__xludf.DUMMYFUNCTION("""COMPUTED_VALUE"""),"EL MONTE")</f>
        <v>EL MONTE</v>
      </c>
    </row>
    <row r="10217" spans="1:4">
      <c r="A10217" s="7">
        <f ca="1">IFERROR(__xludf.DUMMYFUNCTION("""COMPUTED_VALUE"""),44858)</f>
        <v>44858</v>
      </c>
      <c r="B10217" s="8" t="str">
        <f ca="1">IFERROR(__xludf.DUMMYFUNCTION("""COMPUTED_VALUE"""),"-33.208152,-70.732063")</f>
        <v>-33.208152,-70.732063</v>
      </c>
      <c r="C10217" s="6" t="str">
        <f ca="1">IFERROR(__xludf.DUMMYFUNCTION("""COMPUTED_VALUE"""),"STA ELENA 659 C 92")</f>
        <v>STA ELENA 659 C 92</v>
      </c>
      <c r="D10217" s="6" t="str">
        <f ca="1">IFERROR(__xludf.DUMMYFUNCTION("""COMPUTED_VALUE"""),"COLINA")</f>
        <v>COLINA</v>
      </c>
    </row>
    <row r="10218" spans="1:4">
      <c r="A10218" s="7">
        <f ca="1">IFERROR(__xludf.DUMMYFUNCTION("""COMPUTED_VALUE"""),44858)</f>
        <v>44858</v>
      </c>
      <c r="B10218" s="8" t="str">
        <f ca="1">IFERROR(__xludf.DUMMYFUNCTION("""COMPUTED_VALUE"""),"-33.208152,-70.732063")</f>
        <v>-33.208152,-70.732063</v>
      </c>
      <c r="C10218" s="6" t="str">
        <f ca="1">IFERROR(__xludf.DUMMYFUNCTION("""COMPUTED_VALUE"""),"STA ELENA 659 C 92")</f>
        <v>STA ELENA 659 C 92</v>
      </c>
      <c r="D10218" s="6" t="str">
        <f ca="1">IFERROR(__xludf.DUMMYFUNCTION("""COMPUTED_VALUE"""),"COLINA")</f>
        <v>COLINA</v>
      </c>
    </row>
    <row r="10219" spans="1:4">
      <c r="A10219" s="7">
        <f ca="1">IFERROR(__xludf.DUMMYFUNCTION("""COMPUTED_VALUE"""),44858)</f>
        <v>44858</v>
      </c>
      <c r="B10219" s="6" t="str">
        <f ca="1">IFERROR(__xludf.DUMMYFUNCTION("""COMPUTED_VALUE"""),"-33.288074,-70.878694")</f>
        <v>-33.288074,-70.878694</v>
      </c>
      <c r="C10219" s="6" t="str">
        <f ca="1">IFERROR(__xludf.DUMMYFUNCTION("""COMPUTED_VALUE"""),"ALCALDE JOSE SOLAR 1380")</f>
        <v>ALCALDE JOSE SOLAR 1380</v>
      </c>
      <c r="D10219" s="6" t="str">
        <f ca="1">IFERROR(__xludf.DUMMYFUNCTION("""COMPUTED_VALUE"""),"LAMPA")</f>
        <v>LAMPA</v>
      </c>
    </row>
    <row r="10220" spans="1:4">
      <c r="A10220" s="7">
        <f ca="1">IFERROR(__xludf.DUMMYFUNCTION("""COMPUTED_VALUE"""),44858)</f>
        <v>44858</v>
      </c>
      <c r="B10220" s="8" t="str">
        <f ca="1">IFERROR(__xludf.DUMMYFUNCTION("""COMPUTED_VALUE"""),"-33.7700781:-70.762887")</f>
        <v>-33.7700781:-70.762887</v>
      </c>
      <c r="C10220" s="6" t="str">
        <f ca="1">IFERROR(__xludf.DUMMYFUNCTION("""COMPUTED_VALUE"""),"CERVERA 1000")</f>
        <v>CERVERA 1000</v>
      </c>
      <c r="D10220" s="6" t="str">
        <f ca="1">IFERROR(__xludf.DUMMYFUNCTION("""COMPUTED_VALUE"""),"BUIN")</f>
        <v>BUIN</v>
      </c>
    </row>
    <row r="10221" spans="1:4">
      <c r="A10221" s="7">
        <f ca="1">IFERROR(__xludf.DUMMYFUNCTION("""COMPUTED_VALUE"""),44858)</f>
        <v>44858</v>
      </c>
      <c r="B10221" s="8" t="str">
        <f ca="1">IFERROR(__xludf.DUMMYFUNCTION("""COMPUTED_VALUE"""),"-33.728754:-70.7353388")</f>
        <v>-33.728754:-70.7353388</v>
      </c>
      <c r="C10221" s="6" t="str">
        <f ca="1">IFERROR(__xludf.DUMMYFUNCTION("""COMPUTED_VALUE"""),"AVENIDA MANUEL RODRIGUEZ 0195 BUIN ")</f>
        <v xml:space="preserve">AVENIDA MANUEL RODRIGUEZ 0195 BUIN </v>
      </c>
      <c r="D10221" s="6" t="str">
        <f ca="1">IFERROR(__xludf.DUMMYFUNCTION("""COMPUTED_VALUE"""),"BUIN")</f>
        <v>BUIN</v>
      </c>
    </row>
    <row r="10222" spans="1:4">
      <c r="A10222" s="7">
        <f ca="1">IFERROR(__xludf.DUMMYFUNCTION("""COMPUTED_VALUE"""),44858)</f>
        <v>44858</v>
      </c>
      <c r="B10222" s="6" t="str">
        <f ca="1">IFERROR(__xludf.DUMMYFUNCTION("""COMPUTED_VALUE"""),"-33.8093525,-70.7398692")</f>
        <v>-33.8093525,-70.7398692</v>
      </c>
      <c r="C10222" s="6" t="str">
        <f ca="1">IFERROR(__xludf.DUMMYFUNCTION("""COMPUTED_VALUE"""),"DAGUINO 217")</f>
        <v>DAGUINO 217</v>
      </c>
      <c r="D10222" s="6" t="str">
        <f ca="1">IFERROR(__xludf.DUMMYFUNCTION("""COMPUTED_VALUE"""),"PAINE")</f>
        <v>PAINE</v>
      </c>
    </row>
    <row r="10223" spans="1:4">
      <c r="A10223" s="7">
        <f ca="1">IFERROR(__xludf.DUMMYFUNCTION("""COMPUTED_VALUE"""),44858)</f>
        <v>44858</v>
      </c>
      <c r="B10223" s="6" t="str">
        <f ca="1">IFERROR(__xludf.DUMMYFUNCTION("""COMPUTED_VALUE"""),"-33.244696,-70.905373")</f>
        <v>-33.244696,-70.905373</v>
      </c>
      <c r="C10223" s="6" t="str">
        <f ca="1">IFERROR(__xludf.DUMMYFUNCTION("""COMPUTED_VALUE"""),"EL LUCERO S/42")</f>
        <v>EL LUCERO S/42</v>
      </c>
      <c r="D10223" s="6" t="str">
        <f ca="1">IFERROR(__xludf.DUMMYFUNCTION("""COMPUTED_VALUE"""),"LAMPA")</f>
        <v>LAMPA</v>
      </c>
    </row>
    <row r="10224" spans="1:4">
      <c r="A10224" s="7">
        <f ca="1">IFERROR(__xludf.DUMMYFUNCTION("""COMPUTED_VALUE"""),44858)</f>
        <v>44858</v>
      </c>
      <c r="B10224" s="6" t="str">
        <f ca="1">IFERROR(__xludf.DUMMYFUNCTION("""COMPUTED_VALUE"""),"-33.244696,-70.905373")</f>
        <v>-33.244696,-70.905373</v>
      </c>
      <c r="C10224" s="6" t="str">
        <f ca="1">IFERROR(__xludf.DUMMYFUNCTION("""COMPUTED_VALUE"""),"EL LUCERO S/42")</f>
        <v>EL LUCERO S/42</v>
      </c>
      <c r="D10224" s="6" t="str">
        <f ca="1">IFERROR(__xludf.DUMMYFUNCTION("""COMPUTED_VALUE"""),"LAMPA")</f>
        <v>LAMPA</v>
      </c>
    </row>
    <row r="10225" spans="1:4">
      <c r="A10225" s="7">
        <f ca="1">IFERROR(__xludf.DUMMYFUNCTION("""COMPUTED_VALUE"""),44859)</f>
        <v>44859</v>
      </c>
      <c r="B10225" s="6" t="str">
        <f ca="1">IFERROR(__xludf.DUMMYFUNCTION("""COMPUTED_VALUE"""),"-33.40765-71.14712")</f>
        <v>-33.40765-71.14712</v>
      </c>
      <c r="C10225" s="6" t="str">
        <f ca="1">IFERROR(__xludf.DUMMYFUNCTION("""COMPUTED_VALUE"""),"PASAJE DOS 400")</f>
        <v>PASAJE DOS 400</v>
      </c>
      <c r="D10225" s="6" t="str">
        <f ca="1">IFERROR(__xludf.DUMMYFUNCTION("""COMPUTED_VALUE"""),"CURACAVI")</f>
        <v>CURACAVI</v>
      </c>
    </row>
    <row r="10226" spans="1:4">
      <c r="A10226" s="7">
        <f ca="1">IFERROR(__xludf.DUMMYFUNCTION("""COMPUTED_VALUE"""),44859)</f>
        <v>44859</v>
      </c>
      <c r="B10226" s="6" t="str">
        <f ca="1">IFERROR(__xludf.DUMMYFUNCTION("""COMPUTED_VALUE"""),"-33.40765-71.14712")</f>
        <v>-33.40765-71.14712</v>
      </c>
      <c r="C10226" s="6" t="str">
        <f ca="1">IFERROR(__xludf.DUMMYFUNCTION("""COMPUTED_VALUE"""),"LOS PARRONALES PARC 34")</f>
        <v>LOS PARRONALES PARC 34</v>
      </c>
      <c r="D10226" s="6" t="str">
        <f ca="1">IFERROR(__xludf.DUMMYFUNCTION("""COMPUTED_VALUE"""),"CURACAVI")</f>
        <v>CURACAVI</v>
      </c>
    </row>
    <row r="10227" spans="1:4">
      <c r="A10227" s="7">
        <f ca="1">IFERROR(__xludf.DUMMYFUNCTION("""COMPUTED_VALUE"""),44859)</f>
        <v>44859</v>
      </c>
      <c r="B10227" s="6" t="str">
        <f ca="1">IFERROR(__xludf.DUMMYFUNCTION("""COMPUTED_VALUE"""),"-34.025225-70.113778")</f>
        <v>-34.025225-70.113778</v>
      </c>
      <c r="C10227" s="6" t="str">
        <f ca="1">IFERROR(__xludf.DUMMYFUNCTION("""COMPUTED_VALUE"""),"SECTOR HIJUELA DE POLULO S/N")</f>
        <v>SECTOR HIJUELA DE POLULO S/N</v>
      </c>
      <c r="D10227" s="6" t="str">
        <f ca="1">IFERROR(__xludf.DUMMYFUNCTION("""COMPUTED_VALUE"""),"ALHUÉ")</f>
        <v>ALHUÉ</v>
      </c>
    </row>
    <row r="10228" spans="1:4">
      <c r="A10228" s="7">
        <f ca="1">IFERROR(__xludf.DUMMYFUNCTION("""COMPUTED_VALUE"""),44859)</f>
        <v>44859</v>
      </c>
      <c r="B10228" s="6" t="str">
        <f ca="1">IFERROR(__xludf.DUMMYFUNCTION("""COMPUTED_VALUE"""),"-34.973860-71.067786")</f>
        <v>-34.973860-71.067786</v>
      </c>
      <c r="C10228" s="6" t="str">
        <f ca="1">IFERROR(__xludf.DUMMYFUNCTION("""COMPUTED_VALUE"""),"SECTOR BARRANCAS DE PICHE S/N")</f>
        <v>SECTOR BARRANCAS DE PICHE S/N</v>
      </c>
      <c r="D10228" s="6" t="str">
        <f ca="1">IFERROR(__xludf.DUMMYFUNCTION("""COMPUTED_VALUE"""),"ALHUÉ")</f>
        <v>ALHUÉ</v>
      </c>
    </row>
    <row r="10229" spans="1:4">
      <c r="A10229" s="7">
        <f ca="1">IFERROR(__xludf.DUMMYFUNCTION("""COMPUTED_VALUE"""),44859)</f>
        <v>44859</v>
      </c>
      <c r="B10229" s="6" t="str">
        <f ca="1">IFERROR(__xludf.DUMMYFUNCTION("""COMPUTED_VALUE"""),"-34.973860-71.067786")</f>
        <v>-34.973860-71.067786</v>
      </c>
      <c r="C10229" s="6" t="str">
        <f ca="1">IFERROR(__xludf.DUMMYFUNCTION("""COMPUTED_VALUE"""),"SECTOR BARRANCAS DE PICHE S/N")</f>
        <v>SECTOR BARRANCAS DE PICHE S/N</v>
      </c>
      <c r="D10229" s="6" t="str">
        <f ca="1">IFERROR(__xludf.DUMMYFUNCTION("""COMPUTED_VALUE"""),"ALHUÉ")</f>
        <v>ALHUÉ</v>
      </c>
    </row>
    <row r="10230" spans="1:4">
      <c r="A10230" s="7">
        <f ca="1">IFERROR(__xludf.DUMMYFUNCTION("""COMPUTED_VALUE"""),44859)</f>
        <v>44859</v>
      </c>
      <c r="B10230" s="6" t="str">
        <f ca="1">IFERROR(__xludf.DUMMYFUNCTION("""COMPUTED_VALUE"""),"-34.042348-71.226660")</f>
        <v>-34.042348-71.226660</v>
      </c>
      <c r="C10230" s="6" t="str">
        <f ca="1">IFERROR(__xludf.DUMMYFUNCTION("""COMPUTED_VALUE"""),"LOS ALAMOS S/N")</f>
        <v>LOS ALAMOS S/N</v>
      </c>
      <c r="D10230" s="6" t="str">
        <f ca="1">IFERROR(__xludf.DUMMYFUNCTION("""COMPUTED_VALUE"""),"ALHUÉ")</f>
        <v>ALHUÉ</v>
      </c>
    </row>
    <row r="10231" spans="1:4">
      <c r="A10231" s="7">
        <f ca="1">IFERROR(__xludf.DUMMYFUNCTION("""COMPUTED_VALUE"""),44859)</f>
        <v>44859</v>
      </c>
      <c r="B10231" s="8" t="str">
        <f ca="1">IFERROR(__xludf.DUMMYFUNCTION("""COMPUTED_VALUE"""),"-34.0421599,-71.2263179")</f>
        <v>-34.0421599,-71.2263179</v>
      </c>
      <c r="C10231" s="6" t="str">
        <f ca="1">IFERROR(__xludf.DUMMYFUNCTION("""COMPUTED_VALUE"""),"LA LINEA ")</f>
        <v xml:space="preserve">LA LINEA </v>
      </c>
      <c r="D10231" s="6" t="str">
        <f ca="1">IFERROR(__xludf.DUMMYFUNCTION("""COMPUTED_VALUE"""),"MELIPILLA")</f>
        <v>MELIPILLA</v>
      </c>
    </row>
    <row r="10232" spans="1:4">
      <c r="A10232" s="7">
        <f ca="1">IFERROR(__xludf.DUMMYFUNCTION("""COMPUTED_VALUE"""),44859)</f>
        <v>44859</v>
      </c>
      <c r="B10232" s="8" t="str">
        <f ca="1">IFERROR(__xludf.DUMMYFUNCTION("""COMPUTED_VALUE"""),"-34.030083,-71.098644")</f>
        <v>-34.030083,-71.098644</v>
      </c>
      <c r="C10232" s="6" t="str">
        <f ca="1">IFERROR(__xludf.DUMMYFUNCTION("""COMPUTED_VALUE"""),"ESPERANZA S/N")</f>
        <v>ESPERANZA S/N</v>
      </c>
      <c r="D10232" s="6" t="str">
        <f ca="1">IFERROR(__xludf.DUMMYFUNCTION("""COMPUTED_VALUE"""),"MELIPILLA")</f>
        <v>MELIPILLA</v>
      </c>
    </row>
    <row r="10233" spans="1:4">
      <c r="A10233" s="7">
        <f ca="1">IFERROR(__xludf.DUMMYFUNCTION("""COMPUTED_VALUE"""),44859)</f>
        <v>44859</v>
      </c>
      <c r="B10233" s="8" t="str">
        <f ca="1">IFERROR(__xludf.DUMMYFUNCTION("""COMPUTED_VALUE"""),"-33.208152,-70.732063")</f>
        <v>-33.208152,-70.732063</v>
      </c>
      <c r="C10233" s="6" t="str">
        <f ca="1">IFERROR(__xludf.DUMMYFUNCTION("""COMPUTED_VALUE"""),"STA ELENA 659 ")</f>
        <v xml:space="preserve">STA ELENA 659 </v>
      </c>
      <c r="D10233" s="6" t="str">
        <f ca="1">IFERROR(__xludf.DUMMYFUNCTION("""COMPUTED_VALUE"""),"COLINA")</f>
        <v>COLINA</v>
      </c>
    </row>
    <row r="10234" spans="1:4">
      <c r="A10234" s="7">
        <f ca="1">IFERROR(__xludf.DUMMYFUNCTION("""COMPUTED_VALUE"""),44859)</f>
        <v>44859</v>
      </c>
      <c r="B10234" s="6" t="str">
        <f ca="1">IFERROR(__xludf.DUMMYFUNCTION("""COMPUTED_VALUE"""),"-33.741700,-70.896732")</f>
        <v>-33.741700,-70.896732</v>
      </c>
      <c r="C10234" s="6" t="str">
        <f ca="1">IFERROR(__xludf.DUMMYFUNCTION("""COMPUTED_VALUE"""),"SAN PATRICIO 1477")</f>
        <v>SAN PATRICIO 1477</v>
      </c>
      <c r="D10234" s="6" t="str">
        <f ca="1">IFERROR(__xludf.DUMMYFUNCTION("""COMPUTED_VALUE"""),"ISLA DE MAIPO")</f>
        <v>ISLA DE MAIPO</v>
      </c>
    </row>
    <row r="10235" spans="1:4">
      <c r="A10235" s="7">
        <f ca="1">IFERROR(__xludf.DUMMYFUNCTION("""COMPUTED_VALUE"""),44859)</f>
        <v>44859</v>
      </c>
      <c r="B10235" s="6" t="str">
        <f ca="1">IFERROR(__xludf.DUMMYFUNCTION("""COMPUTED_VALUE"""),"-33.293949,-70.871041")</f>
        <v>-33.293949,-70.871041</v>
      </c>
      <c r="C10235" s="6" t="str">
        <f ca="1">IFERROR(__xludf.DUMMYFUNCTION("""COMPUTED_VALUE"""),"LA FRONTERA 1729")</f>
        <v>LA FRONTERA 1729</v>
      </c>
      <c r="D10235" s="6" t="str">
        <f ca="1">IFERROR(__xludf.DUMMYFUNCTION("""COMPUTED_VALUE"""),"LAMPA")</f>
        <v>LAMPA</v>
      </c>
    </row>
    <row r="10236" spans="1:4">
      <c r="A10236" s="7">
        <f ca="1">IFERROR(__xludf.DUMMYFUNCTION("""COMPUTED_VALUE"""),44859)</f>
        <v>44859</v>
      </c>
      <c r="B10236" s="8" t="str">
        <f ca="1">IFERROR(__xludf.DUMMYFUNCTION("""COMPUTED_VALUE"""),"-33.333237:-708541126")</f>
        <v>-33.333237:-708541126</v>
      </c>
      <c r="C10236" s="6" t="str">
        <f ca="1">IFERROR(__xludf.DUMMYFUNCTION("""COMPUTED_VALUE"""),"AV CENTRAL LABBE PARCELA 6 ")</f>
        <v xml:space="preserve">AV CENTRAL LABBE PARCELA 6 </v>
      </c>
      <c r="D10236" s="6" t="str">
        <f ca="1">IFERROR(__xludf.DUMMYFUNCTION("""COMPUTED_VALUE"""),"LAMPA")</f>
        <v>LAMPA</v>
      </c>
    </row>
    <row r="10237" spans="1:4">
      <c r="A10237" s="7">
        <f ca="1">IFERROR(__xludf.DUMMYFUNCTION("""COMPUTED_VALUE"""),44859)</f>
        <v>44859</v>
      </c>
      <c r="B10237" s="8" t="str">
        <f ca="1">IFERROR(__xludf.DUMMYFUNCTION("""COMPUTED_VALUE"""),"-33.332424:-70.8551020")</f>
        <v>-33.332424:-70.8551020</v>
      </c>
      <c r="C10237" s="6" t="str">
        <f ca="1">IFERROR(__xludf.DUMMYFUNCTION("""COMPUTED_VALUE"""),"AV CENTRAL LABBE PARCELA 14")</f>
        <v>AV CENTRAL LABBE PARCELA 14</v>
      </c>
      <c r="D10237" s="6" t="str">
        <f ca="1">IFERROR(__xludf.DUMMYFUNCTION("""COMPUTED_VALUE"""),"LAMPA")</f>
        <v>LAMPA</v>
      </c>
    </row>
    <row r="10238" spans="1:4">
      <c r="A10238" s="7">
        <f ca="1">IFERROR(__xludf.DUMMYFUNCTION("""COMPUTED_VALUE"""),44859)</f>
        <v>44859</v>
      </c>
      <c r="B10238" s="8" t="str">
        <f ca="1">IFERROR(__xludf.DUMMYFUNCTION("""COMPUTED_VALUE"""),"-34,029471:-71.081910")</f>
        <v>-34,029471:-71.081910</v>
      </c>
      <c r="C10238" s="6" t="str">
        <f ca="1">IFERROR(__xludf.DUMMYFUNCTION("""COMPUTED_VALUE"""),"POBLACION IGNACIO CARRERA PINTO PS PAJARITO ")</f>
        <v xml:space="preserve">POBLACION IGNACIO CARRERA PINTO PS PAJARITO </v>
      </c>
      <c r="D10238" s="6" t="str">
        <f ca="1">IFERROR(__xludf.DUMMYFUNCTION("""COMPUTED_VALUE"""),"ALHUÉ")</f>
        <v>ALHUÉ</v>
      </c>
    </row>
    <row r="10239" spans="1:4">
      <c r="A10239" s="7">
        <f ca="1">IFERROR(__xludf.DUMMYFUNCTION("""COMPUTED_VALUE"""),44859)</f>
        <v>44859</v>
      </c>
      <c r="B10239" s="8" t="str">
        <f ca="1">IFERROR(__xludf.DUMMYFUNCTION("""COMPUTED_VALUE"""),"-34.026423:-71.104328")</f>
        <v>-34.026423:-71.104328</v>
      </c>
      <c r="C10239" s="6" t="str">
        <f ca="1">IFERROR(__xludf.DUMMYFUNCTION("""COMPUTED_VALUE"""),"LOS NOGALES 319")</f>
        <v>LOS NOGALES 319</v>
      </c>
      <c r="D10239" s="6" t="str">
        <f ca="1">IFERROR(__xludf.DUMMYFUNCTION("""COMPUTED_VALUE"""),"ALHUÉ")</f>
        <v>ALHUÉ</v>
      </c>
    </row>
    <row r="10240" spans="1:4">
      <c r="A10240" s="7">
        <f ca="1">IFERROR(__xludf.DUMMYFUNCTION("""COMPUTED_VALUE"""),44859)</f>
        <v>44859</v>
      </c>
      <c r="B10240" s="6" t="str">
        <f ca="1">IFERROR(__xludf.DUMMYFUNCTION("""COMPUTED_VALUE"""),"-33.905786,-70.749100")</f>
        <v>-33.905786,-70.749100</v>
      </c>
      <c r="C10240" s="6" t="str">
        <f ca="1">IFERROR(__xludf.DUMMYFUNCTION("""COMPUTED_VALUE"""),"AGUILA SUR 32")</f>
        <v>AGUILA SUR 32</v>
      </c>
      <c r="D10240" s="6" t="str">
        <f ca="1">IFERROR(__xludf.DUMMYFUNCTION("""COMPUTED_VALUE"""),"PAINE")</f>
        <v>PAINE</v>
      </c>
    </row>
    <row r="10241" spans="1:4">
      <c r="A10241" s="7">
        <f ca="1">IFERROR(__xludf.DUMMYFUNCTION("""COMPUTED_VALUE"""),44859)</f>
        <v>44859</v>
      </c>
      <c r="B10241" s="6" t="str">
        <f ca="1">IFERROR(__xludf.DUMMYFUNCTION("""COMPUTED_VALUE"""),"-33.727275,-70.713610")</f>
        <v>-33.727275,-70.713610</v>
      </c>
      <c r="C10241" s="6" t="str">
        <f ca="1">IFERROR(__xludf.DUMMYFUNCTION("""COMPUTED_VALUE"""),"CARLO DE GABARDO 102")</f>
        <v>CARLO DE GABARDO 102</v>
      </c>
      <c r="D10241" s="6" t="str">
        <f ca="1">IFERROR(__xludf.DUMMYFUNCTION("""COMPUTED_VALUE"""),"BUIN")</f>
        <v>BUIN</v>
      </c>
    </row>
    <row r="10242" spans="1:4">
      <c r="A10242" s="7">
        <f ca="1">IFERROR(__xludf.DUMMYFUNCTION("""COMPUTED_VALUE"""),44859)</f>
        <v>44859</v>
      </c>
      <c r="B10242" s="6" t="str">
        <f ca="1">IFERROR(__xludf.DUMMYFUNCTION("""COMPUTED_VALUE"""),"-33.7724820,-70.7370351")</f>
        <v>-33.7724820,-70.7370351</v>
      </c>
      <c r="C10242" s="6" t="str">
        <f ca="1">IFERROR(__xludf.DUMMYFUNCTION("""COMPUTED_VALUE"""),"KRUGGER 4746")</f>
        <v>KRUGGER 4746</v>
      </c>
      <c r="D10242" s="6" t="str">
        <f ca="1">IFERROR(__xludf.DUMMYFUNCTION("""COMPUTED_VALUE"""),"BUIN")</f>
        <v>BUIN</v>
      </c>
    </row>
    <row r="10243" spans="1:4">
      <c r="A10243" s="7">
        <f ca="1">IFERROR(__xludf.DUMMYFUNCTION("""COMPUTED_VALUE"""),44859)</f>
        <v>44859</v>
      </c>
      <c r="B10243" s="6" t="str">
        <f ca="1">IFERROR(__xludf.DUMMYFUNCTION("""COMPUTED_VALUE"""),"-33.7724820,-70.7370351")</f>
        <v>-33.7724820,-70.7370351</v>
      </c>
      <c r="C10243" s="6" t="str">
        <f ca="1">IFERROR(__xludf.DUMMYFUNCTION("""COMPUTED_VALUE"""),"KRUGGER 4746")</f>
        <v>KRUGGER 4746</v>
      </c>
      <c r="D10243" s="6" t="str">
        <f ca="1">IFERROR(__xludf.DUMMYFUNCTION("""COMPUTED_VALUE"""),"BUIN")</f>
        <v>BUIN</v>
      </c>
    </row>
    <row r="10244" spans="1:4">
      <c r="A10244" s="7">
        <f ca="1">IFERROR(__xludf.DUMMYFUNCTION("""COMPUTED_VALUE"""),44859)</f>
        <v>44859</v>
      </c>
      <c r="B10244" s="6" t="str">
        <f ca="1">IFERROR(__xludf.DUMMYFUNCTION("""COMPUTED_VALUE"""),"-33.790913,-70.677531")</f>
        <v>-33.790913,-70.677531</v>
      </c>
      <c r="C10244" s="6" t="str">
        <f ca="1">IFERROR(__xludf.DUMMYFUNCTION("""COMPUTED_VALUE"""),"ROUSSANN 48")</f>
        <v>ROUSSANN 48</v>
      </c>
      <c r="D10244" s="6" t="str">
        <f ca="1">IFERROR(__xludf.DUMMYFUNCTION("""COMPUTED_VALUE"""),"BUIN")</f>
        <v>BUIN</v>
      </c>
    </row>
    <row r="10245" spans="1:4">
      <c r="A10245" s="7">
        <f ca="1">IFERROR(__xludf.DUMMYFUNCTION("""COMPUTED_VALUE"""),44859)</f>
        <v>44859</v>
      </c>
      <c r="B10245" s="6" t="str">
        <f ca="1">IFERROR(__xludf.DUMMYFUNCTION("""COMPUTED_VALUE"""),"-33.710759,-70.583422")</f>
        <v>-33.710759,-70.583422</v>
      </c>
      <c r="C10245" s="6" t="str">
        <f ca="1">IFERROR(__xludf.DUMMYFUNCTION("""COMPUTED_VALUE"""),"LAS BANDURIAS P/7 Y 14")</f>
        <v>LAS BANDURIAS P/7 Y 14</v>
      </c>
      <c r="D10245" s="6" t="str">
        <f ca="1">IFERROR(__xludf.DUMMYFUNCTION("""COMPUTED_VALUE"""),"PIRQUE")</f>
        <v>PIRQUE</v>
      </c>
    </row>
    <row r="10246" spans="1:4">
      <c r="A10246" s="7">
        <f ca="1">IFERROR(__xludf.DUMMYFUNCTION("""COMPUTED_VALUE"""),44860)</f>
        <v>44860</v>
      </c>
      <c r="B10246" s="6" t="str">
        <f ca="1">IFERROR(__xludf.DUMMYFUNCTION("""COMPUTED_VALUE"""),"-33.70475-70.57244")</f>
        <v>-33.70475-70.57244</v>
      </c>
      <c r="C10246" s="6" t="str">
        <f ca="1">IFERROR(__xludf.DUMMYFUNCTION("""COMPUTED_VALUE"""),"LOS CRATEOS KM42")</f>
        <v>LOS CRATEOS KM42</v>
      </c>
      <c r="D10246" s="6" t="str">
        <f ca="1">IFERROR(__xludf.DUMMYFUNCTION("""COMPUTED_VALUE"""),"PIRQUE")</f>
        <v>PIRQUE</v>
      </c>
    </row>
    <row r="10247" spans="1:4">
      <c r="A10247" s="7">
        <f ca="1">IFERROR(__xludf.DUMMYFUNCTION("""COMPUTED_VALUE"""),44860)</f>
        <v>44860</v>
      </c>
      <c r="B10247" s="6" t="str">
        <f ca="1">IFERROR(__xludf.DUMMYFUNCTION("""COMPUTED_VALUE"""),"-33.577783-70.808063")</f>
        <v>-33.577783-70.808063</v>
      </c>
      <c r="C10247" s="6" t="str">
        <f ca="1">IFERROR(__xludf.DUMMYFUNCTION("""COMPUTED_VALUE"""),"EL PROGRESO S/N")</f>
        <v>EL PROGRESO S/N</v>
      </c>
      <c r="D10247" s="6" t="str">
        <f ca="1">IFERROR(__xludf.DUMMYFUNCTION("""COMPUTED_VALUE"""),"PADRE HURTADO")</f>
        <v>PADRE HURTADO</v>
      </c>
    </row>
    <row r="10248" spans="1:4">
      <c r="A10248" s="7">
        <f ca="1">IFERROR(__xludf.DUMMYFUNCTION("""COMPUTED_VALUE"""),44860)</f>
        <v>44860</v>
      </c>
      <c r="B10248" s="6" t="str">
        <f ca="1">IFERROR(__xludf.DUMMYFUNCTION("""COMPUTED_VALUE"""),"-33.120010-70.410001")</f>
        <v>-33.120010-70.410001</v>
      </c>
      <c r="C10248" s="6" t="str">
        <f ca="1">IFERROR(__xludf.DUMMYFUNCTION("""COMPUTED_VALUE"""),"LA RIVERA 27")</f>
        <v>LA RIVERA 27</v>
      </c>
      <c r="D10248" s="6" t="str">
        <f ca="1">IFERROR(__xludf.DUMMYFUNCTION("""COMPUTED_VALUE"""),"COLINA")</f>
        <v>COLINA</v>
      </c>
    </row>
    <row r="10249" spans="1:4">
      <c r="A10249" s="7">
        <f ca="1">IFERROR(__xludf.DUMMYFUNCTION("""COMPUTED_VALUE"""),44860)</f>
        <v>44860</v>
      </c>
      <c r="B10249" s="6" t="str">
        <f ca="1">IFERROR(__xludf.DUMMYFUNCTION("""COMPUTED_VALUE"""),"-33.120010-70.410001")</f>
        <v>-33.120010-70.410001</v>
      </c>
      <c r="C10249" s="6" t="str">
        <f ca="1">IFERROR(__xludf.DUMMYFUNCTION("""COMPUTED_VALUE"""),"LA RIVERA 27")</f>
        <v>LA RIVERA 27</v>
      </c>
      <c r="D10249" s="6" t="str">
        <f ca="1">IFERROR(__xludf.DUMMYFUNCTION("""COMPUTED_VALUE"""),"COLINA")</f>
        <v>COLINA</v>
      </c>
    </row>
    <row r="10250" spans="1:4">
      <c r="A10250" s="7">
        <f ca="1">IFERROR(__xludf.DUMMYFUNCTION("""COMPUTED_VALUE"""),44860)</f>
        <v>44860</v>
      </c>
      <c r="B10250" s="8" t="str">
        <f ca="1">IFERROR(__xludf.DUMMYFUNCTION("""COMPUTED_VALUE"""),"-33.576910,-70.810759")</f>
        <v>-33.576910,-70.810759</v>
      </c>
      <c r="C10250" s="6" t="str">
        <f ca="1">IFERROR(__xludf.DUMMYFUNCTION("""COMPUTED_VALUE"""),"VILLA STA TERESA ")</f>
        <v xml:space="preserve">VILLA STA TERESA </v>
      </c>
      <c r="D10250" s="6" t="str">
        <f ca="1">IFERROR(__xludf.DUMMYFUNCTION("""COMPUTED_VALUE"""),"BUIN")</f>
        <v>BUIN</v>
      </c>
    </row>
    <row r="10251" spans="1:4">
      <c r="A10251" s="7">
        <f ca="1">IFERROR(__xludf.DUMMYFUNCTION("""COMPUTED_VALUE"""),44860)</f>
        <v>44860</v>
      </c>
      <c r="B10251" s="6" t="str">
        <f ca="1">IFERROR(__xludf.DUMMYFUNCTION("""COMPUTED_VALUE"""),"-33.752414,-70.887535")</f>
        <v>-33.752414,-70.887535</v>
      </c>
      <c r="C10251" s="6" t="str">
        <f ca="1">IFERROR(__xludf.DUMMYFUNCTION("""COMPUTED_VALUE"""),"LAS ARAUCARIAS 508")</f>
        <v>LAS ARAUCARIAS 508</v>
      </c>
      <c r="D10251" s="6" t="str">
        <f ca="1">IFERROR(__xludf.DUMMYFUNCTION("""COMPUTED_VALUE"""),"ISLA DE MAIPO")</f>
        <v>ISLA DE MAIPO</v>
      </c>
    </row>
    <row r="10252" spans="1:4">
      <c r="A10252" s="7">
        <f ca="1">IFERROR(__xludf.DUMMYFUNCTION("""COMPUTED_VALUE"""),44860)</f>
        <v>44860</v>
      </c>
      <c r="B10252" s="6" t="str">
        <f ca="1">IFERROR(__xludf.DUMMYFUNCTION("""COMPUTED_VALUE"""),"-33.760634,-70.914232")</f>
        <v>-33.760634,-70.914232</v>
      </c>
      <c r="C10252" s="6" t="str">
        <f ca="1">IFERROR(__xludf.DUMMYFUNCTION("""COMPUTED_VALUE"""),"ALVAREZ 1361 LOTE 1- C")</f>
        <v>ALVAREZ 1361 LOTE 1- C</v>
      </c>
      <c r="D10252" s="6" t="str">
        <f ca="1">IFERROR(__xludf.DUMMYFUNCTION("""COMPUTED_VALUE"""),"ISLA DE MAIPO")</f>
        <v>ISLA DE MAIPO</v>
      </c>
    </row>
    <row r="10253" spans="1:4">
      <c r="A10253" s="7">
        <f ca="1">IFERROR(__xludf.DUMMYFUNCTION("""COMPUTED_VALUE"""),44860)</f>
        <v>44860</v>
      </c>
      <c r="B10253" s="8" t="str">
        <f ca="1">IFERROR(__xludf.DUMMYFUNCTION("""COMPUTED_VALUE"""),"-33.202457:-70.675446")</f>
        <v>-33.202457:-70.675446</v>
      </c>
      <c r="C10253" s="6" t="str">
        <f ca="1">IFERROR(__xludf.DUMMYFUNCTION("""COMPUTED_VALUE"""),"FONT 254")</f>
        <v>FONT 254</v>
      </c>
      <c r="D10253" s="6" t="str">
        <f ca="1">IFERROR(__xludf.DUMMYFUNCTION("""COMPUTED_VALUE"""),"COLINA")</f>
        <v>COLINA</v>
      </c>
    </row>
    <row r="10254" spans="1:4">
      <c r="A10254" s="7">
        <f ca="1">IFERROR(__xludf.DUMMYFUNCTION("""COMPUTED_VALUE"""),44860)</f>
        <v>44860</v>
      </c>
      <c r="B10254" s="8" t="str">
        <f ca="1">IFERROR(__xludf.DUMMYFUNCTION("""COMPUTED_VALUE"""),"-33.318666:-70.7509940")</f>
        <v>-33.318666:-70.7509940</v>
      </c>
      <c r="C10254" s="6" t="str">
        <f ca="1">IFERROR(__xludf.DUMMYFUNCTION("""COMPUTED_VALUE"""),"RIO MAULE 2610 CASA 42")</f>
        <v>RIO MAULE 2610 CASA 42</v>
      </c>
      <c r="D10254" s="6" t="str">
        <f ca="1">IFERROR(__xludf.DUMMYFUNCTION("""COMPUTED_VALUE"""),"LAMPA")</f>
        <v>LAMPA</v>
      </c>
    </row>
    <row r="10255" spans="1:4">
      <c r="A10255" s="7">
        <f ca="1">IFERROR(__xludf.DUMMYFUNCTION("""COMPUTED_VALUE"""),44860)</f>
        <v>44860</v>
      </c>
      <c r="B10255" s="8" t="str">
        <f ca="1">IFERROR(__xludf.DUMMYFUNCTION("""COMPUTED_VALUE"""),"-33.797285:-70.878988")</f>
        <v>-33.797285:-70.878988</v>
      </c>
      <c r="C10255" s="6" t="str">
        <f ca="1">IFERROR(__xludf.DUMMYFUNCTION("""COMPUTED_VALUE"""),"AV SAN JOSE 6050")</f>
        <v>AV SAN JOSE 6050</v>
      </c>
      <c r="D10255" s="6" t="str">
        <f ca="1">IFERROR(__xludf.DUMMYFUNCTION("""COMPUTED_VALUE"""),"ISLA DE MAIPO")</f>
        <v>ISLA DE MAIPO</v>
      </c>
    </row>
    <row r="10256" spans="1:4">
      <c r="A10256" s="7">
        <f ca="1">IFERROR(__xludf.DUMMYFUNCTION("""COMPUTED_VALUE"""),44860)</f>
        <v>44860</v>
      </c>
      <c r="B10256" s="6" t="str">
        <f ca="1">IFERROR(__xludf.DUMMYFUNCTION("""COMPUTED_VALUE"""),"-33.8143344,-70.7357940")</f>
        <v>-33.8143344,-70.7357940</v>
      </c>
      <c r="C10256" s="6" t="str">
        <f ca="1">IFERROR(__xludf.DUMMYFUNCTION("""COMPUTED_VALUE"""),"PASAJE 4")</f>
        <v>PASAJE 4</v>
      </c>
      <c r="D10256" s="6" t="str">
        <f ca="1">IFERROR(__xludf.DUMMYFUNCTION("""COMPUTED_VALUE"""),"PAINE")</f>
        <v>PAINE</v>
      </c>
    </row>
    <row r="10257" spans="1:4">
      <c r="A10257" s="7">
        <f ca="1">IFERROR(__xludf.DUMMYFUNCTION("""COMPUTED_VALUE"""),44860)</f>
        <v>44860</v>
      </c>
      <c r="B10257" s="6" t="str">
        <f ca="1">IFERROR(__xludf.DUMMYFUNCTION("""COMPUTED_VALUE"""),"-33.8131120,-70.7388283")</f>
        <v>-33.8131120,-70.7388283</v>
      </c>
      <c r="C10257" s="6" t="str">
        <f ca="1">IFERROR(__xludf.DUMMYFUNCTION("""COMPUTED_VALUE"""),"LAS ARCHIZAS 900")</f>
        <v>LAS ARCHIZAS 900</v>
      </c>
      <c r="D10257" s="6" t="str">
        <f ca="1">IFERROR(__xludf.DUMMYFUNCTION("""COMPUTED_VALUE"""),"PAINE")</f>
        <v>PAINE</v>
      </c>
    </row>
    <row r="10258" spans="1:4">
      <c r="A10258" s="7">
        <f ca="1">IFERROR(__xludf.DUMMYFUNCTION("""COMPUTED_VALUE"""),44860)</f>
        <v>44860</v>
      </c>
      <c r="B10258" s="6" t="str">
        <f ca="1">IFERROR(__xludf.DUMMYFUNCTION("""COMPUTED_VALUE"""),"-33.8747493,-70.6859218")</f>
        <v>-33.8747493,-70.6859218</v>
      </c>
      <c r="C10258" s="6" t="str">
        <f ca="1">IFERROR(__xludf.DUMMYFUNCTION("""COMPUTED_VALUE"""),"VILLORIO SAN PASCUAL 13A")</f>
        <v>VILLORIO SAN PASCUAL 13A</v>
      </c>
      <c r="D10258" s="6" t="str">
        <f ca="1">IFERROR(__xludf.DUMMYFUNCTION("""COMPUTED_VALUE"""),"PAINE")</f>
        <v>PAINE</v>
      </c>
    </row>
    <row r="10259" spans="1:4">
      <c r="A10259" s="7">
        <f ca="1">IFERROR(__xludf.DUMMYFUNCTION("""COMPUTED_VALUE"""),44861)</f>
        <v>44861</v>
      </c>
      <c r="B10259" s="6" t="str">
        <f ca="1">IFERROR(__xludf.DUMMYFUNCTION("""COMPUTED_VALUE"""),"-33.70754-70.57761")</f>
        <v>-33.70754-70.57761</v>
      </c>
      <c r="C10259" s="6" t="str">
        <f ca="1">IFERROR(__xludf.DUMMYFUNCTION("""COMPUTED_VALUE"""),"EL PRINCIPAL 33 B")</f>
        <v>EL PRINCIPAL 33 B</v>
      </c>
      <c r="D10259" s="6" t="str">
        <f ca="1">IFERROR(__xludf.DUMMYFUNCTION("""COMPUTED_VALUE"""),"PIRQUE")</f>
        <v>PIRQUE</v>
      </c>
    </row>
    <row r="10260" spans="1:4">
      <c r="A10260" s="7">
        <f ca="1">IFERROR(__xludf.DUMMYFUNCTION("""COMPUTED_VALUE"""),44861)</f>
        <v>44861</v>
      </c>
      <c r="B10260" s="6" t="str">
        <f ca="1">IFERROR(__xludf.DUMMYFUNCTION("""COMPUTED_VALUE"""),"-33.70762-70.56616")</f>
        <v>-33.70762-70.56616</v>
      </c>
      <c r="C10260" s="6" t="str">
        <f ca="1">IFERROR(__xludf.DUMMYFUNCTION("""COMPUTED_VALUE"""),"EL PRINCIPAL 38 B")</f>
        <v>EL PRINCIPAL 38 B</v>
      </c>
      <c r="D10260" s="6" t="str">
        <f ca="1">IFERROR(__xludf.DUMMYFUNCTION("""COMPUTED_VALUE"""),"PIRQUE")</f>
        <v>PIRQUE</v>
      </c>
    </row>
    <row r="10261" spans="1:4">
      <c r="A10261" s="7">
        <f ca="1">IFERROR(__xludf.DUMMYFUNCTION("""COMPUTED_VALUE"""),44861)</f>
        <v>44861</v>
      </c>
      <c r="B10261" s="6" t="str">
        <f ca="1">IFERROR(__xludf.DUMMYFUNCTION("""COMPUTED_VALUE"""),"-33.574702-70.806415")</f>
        <v>-33.574702-70.806415</v>
      </c>
      <c r="C10261" s="6" t="str">
        <f ca="1">IFERROR(__xludf.DUMMYFUNCTION("""COMPUTED_VALUE"""),"SAN BERNABE 2094")</f>
        <v>SAN BERNABE 2094</v>
      </c>
      <c r="D10261" s="6" t="str">
        <f ca="1">IFERROR(__xludf.DUMMYFUNCTION("""COMPUTED_VALUE"""),"PADRE HURTADO")</f>
        <v>PADRE HURTADO</v>
      </c>
    </row>
    <row r="10262" spans="1:4">
      <c r="A10262" s="7">
        <f ca="1">IFERROR(__xludf.DUMMYFUNCTION("""COMPUTED_VALUE"""),44861)</f>
        <v>44861</v>
      </c>
      <c r="B10262" s="6" t="str">
        <f ca="1">IFERROR(__xludf.DUMMYFUNCTION("""COMPUTED_VALUE"""),"-33.577840-70.808346")</f>
        <v>-33.577840-70.808346</v>
      </c>
      <c r="C10262" s="6" t="str">
        <f ca="1">IFERROR(__xludf.DUMMYFUNCTION("""COMPUTED_VALUE"""),"EL PROGRESO S/N")</f>
        <v>EL PROGRESO S/N</v>
      </c>
      <c r="D10262" s="6" t="str">
        <f ca="1">IFERROR(__xludf.DUMMYFUNCTION("""COMPUTED_VALUE"""),"PADRE HURTADO")</f>
        <v>PADRE HURTADO</v>
      </c>
    </row>
    <row r="10263" spans="1:4">
      <c r="A10263" s="7">
        <f ca="1">IFERROR(__xludf.DUMMYFUNCTION("""COMPUTED_VALUE"""),44861)</f>
        <v>44861</v>
      </c>
      <c r="B10263" s="6" t="str">
        <f ca="1">IFERROR(__xludf.DUMMYFUNCTION("""COMPUTED_VALUE"""),"-33.972603-71.067422")</f>
        <v>-33.972603-71.067422</v>
      </c>
      <c r="C10263" s="6" t="str">
        <f ca="1">IFERROR(__xludf.DUMMYFUNCTION("""COMPUTED_VALUE"""),"SECTOR BARRANCAS DE PICHE S/N")</f>
        <v>SECTOR BARRANCAS DE PICHE S/N</v>
      </c>
      <c r="D10263" s="6" t="str">
        <f ca="1">IFERROR(__xludf.DUMMYFUNCTION("""COMPUTED_VALUE"""),"ALHUÉ")</f>
        <v>ALHUÉ</v>
      </c>
    </row>
    <row r="10264" spans="1:4">
      <c r="A10264" s="7">
        <f ca="1">IFERROR(__xludf.DUMMYFUNCTION("""COMPUTED_VALUE"""),44861)</f>
        <v>44861</v>
      </c>
      <c r="B10264" s="6" t="str">
        <f ca="1">IFERROR(__xludf.DUMMYFUNCTION("""COMPUTED_VALUE"""),"-34.972942-71.069007")</f>
        <v>-34.972942-71.069007</v>
      </c>
      <c r="C10264" s="6" t="str">
        <f ca="1">IFERROR(__xludf.DUMMYFUNCTION("""COMPUTED_VALUE"""),"IGNACIO CARRERA PINTO S/N")</f>
        <v>IGNACIO CARRERA PINTO S/N</v>
      </c>
      <c r="D10264" s="6" t="str">
        <f ca="1">IFERROR(__xludf.DUMMYFUNCTION("""COMPUTED_VALUE"""),"ALHUÉ")</f>
        <v>ALHUÉ</v>
      </c>
    </row>
    <row r="10265" spans="1:4">
      <c r="A10265" s="7">
        <f ca="1">IFERROR(__xludf.DUMMYFUNCTION("""COMPUTED_VALUE"""),44861)</f>
        <v>44861</v>
      </c>
      <c r="B10265" s="8" t="str">
        <f ca="1">IFERROR(__xludf.DUMMYFUNCTION("""COMPUTED_VALUE"""),"-33.740525,-70.577021")</f>
        <v>-33.740525,-70.577021</v>
      </c>
      <c r="C10265" s="6" t="str">
        <f ca="1">IFERROR(__xludf.DUMMYFUNCTION("""COMPUTED_VALUE"""),"EL PRINCIPAL 47")</f>
        <v>EL PRINCIPAL 47</v>
      </c>
      <c r="D10265" s="6" t="str">
        <f ca="1">IFERROR(__xludf.DUMMYFUNCTION("""COMPUTED_VALUE"""),"PIRQUE")</f>
        <v>PIRQUE</v>
      </c>
    </row>
    <row r="10266" spans="1:4">
      <c r="A10266" s="7">
        <f ca="1">IFERROR(__xludf.DUMMYFUNCTION("""COMPUTED_VALUE"""),44861)</f>
        <v>44861</v>
      </c>
      <c r="B10266" s="8" t="str">
        <f ca="1">IFERROR(__xludf.DUMMYFUNCTION("""COMPUTED_VALUE"""),"-33.721023,-70.576943")</f>
        <v>-33.721023,-70.576943</v>
      </c>
      <c r="C10266" s="6" t="str">
        <f ca="1">IFERROR(__xludf.DUMMYFUNCTION("""COMPUTED_VALUE"""),"LOS MAITENES C 9 LA")</f>
        <v>LOS MAITENES C 9 LA</v>
      </c>
      <c r="D10266" s="6" t="str">
        <f ca="1">IFERROR(__xludf.DUMMYFUNCTION("""COMPUTED_VALUE"""),"PIRQUE")</f>
        <v>PIRQUE</v>
      </c>
    </row>
    <row r="10267" spans="1:4">
      <c r="A10267" s="7">
        <f ca="1">IFERROR(__xludf.DUMMYFUNCTION("""COMPUTED_VALUE"""),44861)</f>
        <v>44861</v>
      </c>
      <c r="B10267" s="8" t="str">
        <f ca="1">IFERROR(__xludf.DUMMYFUNCTION("""COMPUTED_VALUE"""),"-33.678910,-70.532929")</f>
        <v>-33.678910,-70.532929</v>
      </c>
      <c r="C10267" s="6" t="str">
        <f ca="1">IFERROR(__xludf.DUMMYFUNCTION("""COMPUTED_VALUE"""),"ALICIA VALDES S/N")</f>
        <v>ALICIA VALDES S/N</v>
      </c>
      <c r="D10267" s="6" t="str">
        <f ca="1">IFERROR(__xludf.DUMMYFUNCTION("""COMPUTED_VALUE"""),"PIRQUE")</f>
        <v>PIRQUE</v>
      </c>
    </row>
    <row r="10268" spans="1:4">
      <c r="A10268" s="7">
        <f ca="1">IFERROR(__xludf.DUMMYFUNCTION("""COMPUTED_VALUE"""),44861)</f>
        <v>44861</v>
      </c>
      <c r="B10268" s="6" t="str">
        <f ca="1">IFERROR(__xludf.DUMMYFUNCTION("""COMPUTED_VALUE"""),"-33.761931,-70.912506")</f>
        <v>-33.761931,-70.912506</v>
      </c>
      <c r="C10268" s="6" t="str">
        <f ca="1">IFERROR(__xludf.DUMMYFUNCTION("""COMPUTED_VALUE"""),"ALVAREZ S/N")</f>
        <v>ALVAREZ S/N</v>
      </c>
      <c r="D10268" s="6" t="str">
        <f ca="1">IFERROR(__xludf.DUMMYFUNCTION("""COMPUTED_VALUE"""),"ISLA DE MAIPO")</f>
        <v>ISLA DE MAIPO</v>
      </c>
    </row>
    <row r="10269" spans="1:4">
      <c r="A10269" s="7">
        <f ca="1">IFERROR(__xludf.DUMMYFUNCTION("""COMPUTED_VALUE"""),44861)</f>
        <v>44861</v>
      </c>
      <c r="B10269" s="8" t="str">
        <f ca="1">IFERROR(__xludf.DUMMYFUNCTION("""COMPUTED_VALUE"""),"-33.731388:-70.739723")</f>
        <v>-33.731388:-70.739723</v>
      </c>
      <c r="C10269" s="6" t="str">
        <f ca="1">IFERROR(__xludf.DUMMYFUNCTION("""COMPUTED_VALUE"""),"FEDERICO ERRAZURIZ 190")</f>
        <v>FEDERICO ERRAZURIZ 190</v>
      </c>
      <c r="D10269" s="6" t="str">
        <f ca="1">IFERROR(__xludf.DUMMYFUNCTION("""COMPUTED_VALUE"""),"BUIN")</f>
        <v>BUIN</v>
      </c>
    </row>
    <row r="10270" spans="1:4">
      <c r="A10270" s="7">
        <f ca="1">IFERROR(__xludf.DUMMYFUNCTION("""COMPUTED_VALUE"""),44861)</f>
        <v>44861</v>
      </c>
      <c r="B10270" s="6" t="str">
        <f ca="1">IFERROR(__xludf.DUMMYFUNCTION("""COMPUTED_VALUE"""),"-33.638475,-70.564386")</f>
        <v>-33.638475,-70.564386</v>
      </c>
      <c r="C10270" s="6" t="str">
        <f ca="1">IFERROR(__xludf.DUMMYFUNCTION("""COMPUTED_VALUE"""),"BRISAS DEL MAC0 P/36")</f>
        <v>BRISAS DEL MAC0 P/36</v>
      </c>
      <c r="D10270" s="6" t="str">
        <f ca="1">IFERROR(__xludf.DUMMYFUNCTION("""COMPUTED_VALUE"""),"PIRQUE")</f>
        <v>PIRQUE</v>
      </c>
    </row>
    <row r="10271" spans="1:4">
      <c r="A10271" s="7">
        <f ca="1">IFERROR(__xludf.DUMMYFUNCTION("""COMPUTED_VALUE"""),44861)</f>
        <v>44861</v>
      </c>
      <c r="B10271" s="6" t="str">
        <f ca="1">IFERROR(__xludf.DUMMYFUNCTION("""COMPUTED_VALUE"""),"-33.638475,-70.564386")</f>
        <v>-33.638475,-70.564386</v>
      </c>
      <c r="C10271" s="6" t="str">
        <f ca="1">IFERROR(__xludf.DUMMYFUNCTION("""COMPUTED_VALUE"""),"BRISAS DEL MAC0 P/36")</f>
        <v>BRISAS DEL MAC0 P/36</v>
      </c>
      <c r="D10271" s="6" t="str">
        <f ca="1">IFERROR(__xludf.DUMMYFUNCTION("""COMPUTED_VALUE"""),"PIRQUE")</f>
        <v>PIRQUE</v>
      </c>
    </row>
    <row r="10272" spans="1:4">
      <c r="A10272" s="7">
        <f ca="1">IFERROR(__xludf.DUMMYFUNCTION("""COMPUTED_VALUE"""),44861)</f>
        <v>44861</v>
      </c>
      <c r="B10272" s="6" t="str">
        <f ca="1">IFERROR(__xludf.DUMMYFUNCTION("""COMPUTED_VALUE"""),"-33.723096,-70.558602")</f>
        <v>-33.723096,-70.558602</v>
      </c>
      <c r="C10272" s="6" t="str">
        <f ca="1">IFERROR(__xludf.DUMMYFUNCTION("""COMPUTED_VALUE"""),"EL PRINCIPAL P/31")</f>
        <v>EL PRINCIPAL P/31</v>
      </c>
      <c r="D10272" s="6" t="str">
        <f ca="1">IFERROR(__xludf.DUMMYFUNCTION("""COMPUTED_VALUE"""),"PIRQUE")</f>
        <v>PIRQUE</v>
      </c>
    </row>
    <row r="10273" spans="1:4">
      <c r="A10273" s="7">
        <f ca="1">IFERROR(__xludf.DUMMYFUNCTION("""COMPUTED_VALUE"""),44861)</f>
        <v>44861</v>
      </c>
      <c r="B10273" s="6" t="str">
        <f ca="1">IFERROR(__xludf.DUMMYFUNCTION("""COMPUTED_VALUE"""),"-33.424765,-70.54091")</f>
        <v>-33.424765,-70.54091</v>
      </c>
      <c r="C10273" s="6" t="str">
        <f ca="1">IFERROR(__xludf.DUMMYFUNCTION("""COMPUTED_VALUE"""),"CARAMPANGUE 1270 PARCELA 38")</f>
        <v>CARAMPANGUE 1270 PARCELA 38</v>
      </c>
      <c r="D10273" s="6" t="str">
        <f ca="1">IFERROR(__xludf.DUMMYFUNCTION("""COMPUTED_VALUE"""),"ISLA DE MAIPO")</f>
        <v>ISLA DE MAIPO</v>
      </c>
    </row>
    <row r="10274" spans="1:4">
      <c r="A10274" s="7">
        <f ca="1">IFERROR(__xludf.DUMMYFUNCTION("""COMPUTED_VALUE"""),44861)</f>
        <v>44861</v>
      </c>
      <c r="B10274" s="6" t="str">
        <f ca="1">IFERROR(__xludf.DUMMYFUNCTION("""COMPUTED_VALUE"""),"-33.736877,-70.71021232")</f>
        <v>-33.736877,-70.71021232</v>
      </c>
      <c r="C10274" s="6" t="str">
        <f ca="1">IFERROR(__xludf.DUMMYFUNCTION("""COMPUTED_VALUE"""),"CALLE LAS ACACIAS 39")</f>
        <v>CALLE LAS ACACIAS 39</v>
      </c>
      <c r="D10274" s="6" t="str">
        <f ca="1">IFERROR(__xludf.DUMMYFUNCTION("""COMPUTED_VALUE"""),"ISLA DE MAIPO")</f>
        <v>ISLA DE MAIPO</v>
      </c>
    </row>
    <row r="10275" spans="1:4">
      <c r="A10275" s="7">
        <f ca="1">IFERROR(__xludf.DUMMYFUNCTION("""COMPUTED_VALUE"""),44861)</f>
        <v>44861</v>
      </c>
      <c r="B10275" s="6" t="str">
        <f ca="1">IFERROR(__xludf.DUMMYFUNCTION("""COMPUTED_VALUE"""),"-33.746685,-70.899761")</f>
        <v>-33.746685,-70.899761</v>
      </c>
      <c r="C10275" s="6" t="str">
        <f ca="1">IFERROR(__xludf.DUMMYFUNCTION("""COMPUTED_VALUE"""),"LO HERRERA 462")</f>
        <v>LO HERRERA 462</v>
      </c>
      <c r="D10275" s="6" t="str">
        <f ca="1">IFERROR(__xludf.DUMMYFUNCTION("""COMPUTED_VALUE"""),"ISLA DE MAIPO")</f>
        <v>ISLA DE MAIPO</v>
      </c>
    </row>
    <row r="10276" spans="1:4">
      <c r="A10276" s="7">
        <f ca="1">IFERROR(__xludf.DUMMYFUNCTION("""COMPUTED_VALUE"""),44861)</f>
        <v>44861</v>
      </c>
      <c r="B10276" s="6" t="str">
        <f ca="1">IFERROR(__xludf.DUMMYFUNCTION("""COMPUTED_VALUE"""),"-33.746685,-70.899761")</f>
        <v>-33.746685,-70.899761</v>
      </c>
      <c r="C10276" s="6" t="str">
        <f ca="1">IFERROR(__xludf.DUMMYFUNCTION("""COMPUTED_VALUE"""),"LO HERRERA 462")</f>
        <v>LO HERRERA 462</v>
      </c>
      <c r="D10276" s="6" t="str">
        <f ca="1">IFERROR(__xludf.DUMMYFUNCTION("""COMPUTED_VALUE"""),"ISLA DE MAIPO")</f>
        <v>ISLA DE MAIPO</v>
      </c>
    </row>
    <row r="10277" spans="1:4">
      <c r="A10277" s="7">
        <f ca="1">IFERROR(__xludf.DUMMYFUNCTION("""COMPUTED_VALUE"""),44861)</f>
        <v>44861</v>
      </c>
      <c r="B10277" s="6" t="str">
        <f ca="1">IFERROR(__xludf.DUMMYFUNCTION("""COMPUTED_VALUE"""),"-33.8075515,-71.2542568")</f>
        <v>-33.8075515,-71.2542568</v>
      </c>
      <c r="C10277" s="6" t="str">
        <f ca="1">IFERROR(__xludf.DUMMYFUNCTION("""COMPUTED_VALUE"""),"SITIO 5 292C")</f>
        <v>SITIO 5 292C</v>
      </c>
      <c r="D10277" s="6" t="str">
        <f ca="1">IFERROR(__xludf.DUMMYFUNCTION("""COMPUTED_VALUE"""),"MELIPILLA")</f>
        <v>MELIPILLA</v>
      </c>
    </row>
    <row r="10278" spans="1:4">
      <c r="A10278" s="7">
        <f ca="1">IFERROR(__xludf.DUMMYFUNCTION("""COMPUTED_VALUE"""),44861)</f>
        <v>44861</v>
      </c>
      <c r="B10278" s="6" t="str">
        <f ca="1">IFERROR(__xludf.DUMMYFUNCTION("""COMPUTED_VALUE"""),"-33.7463633,-71.2321073")</f>
        <v>-33.7463633,-71.2321073</v>
      </c>
      <c r="C10278" s="6" t="str">
        <f ca="1">IFERROR(__xludf.DUMMYFUNCTION("""COMPUTED_VALUE"""),"CHOCALAN LOTE 2")</f>
        <v>CHOCALAN LOTE 2</v>
      </c>
      <c r="D10278" s="6" t="str">
        <f ca="1">IFERROR(__xludf.DUMMYFUNCTION("""COMPUTED_VALUE"""),"MELIPILLA")</f>
        <v>MELIPILLA</v>
      </c>
    </row>
    <row r="10279" spans="1:4">
      <c r="A10279" s="7">
        <f ca="1">IFERROR(__xludf.DUMMYFUNCTION("""COMPUTED_VALUE"""),44861)</f>
        <v>44861</v>
      </c>
      <c r="B10279" s="6" t="str">
        <f ca="1">IFERROR(__xludf.DUMMYFUNCTION("""COMPUTED_VALUE"""),"-33.8130551,-70.7383937")</f>
        <v>-33.8130551,-70.7383937</v>
      </c>
      <c r="C10279" s="6" t="str">
        <f ca="1">IFERROR(__xludf.DUMMYFUNCTION("""COMPUTED_VALUE"""),"IGNACIO CARRERA PINTO 427")</f>
        <v>IGNACIO CARRERA PINTO 427</v>
      </c>
      <c r="D10279" s="6" t="str">
        <f ca="1">IFERROR(__xludf.DUMMYFUNCTION("""COMPUTED_VALUE"""),"PAINE")</f>
        <v>PAINE</v>
      </c>
    </row>
    <row r="10280" spans="1:4">
      <c r="A10280" s="7">
        <f ca="1">IFERROR(__xludf.DUMMYFUNCTION("""COMPUTED_VALUE"""),44861)</f>
        <v>44861</v>
      </c>
      <c r="B10280" s="6" t="str">
        <f ca="1">IFERROR(__xludf.DUMMYFUNCTION("""COMPUTED_VALUE"""),"-33.8141290,-70.7354520")</f>
        <v>-33.8141290,-70.7354520</v>
      </c>
      <c r="C10280" s="6" t="str">
        <f ca="1">IFERROR(__xludf.DUMMYFUNCTION("""COMPUTED_VALUE"""),"PASAJE CINCO 993")</f>
        <v>PASAJE CINCO 993</v>
      </c>
      <c r="D10280" s="6" t="str">
        <f ca="1">IFERROR(__xludf.DUMMYFUNCTION("""COMPUTED_VALUE"""),"PAINE")</f>
        <v>PAINE</v>
      </c>
    </row>
    <row r="10281" spans="1:4">
      <c r="A10281" s="7">
        <f ca="1">IFERROR(__xludf.DUMMYFUNCTION("""COMPUTED_VALUE"""),44862)</f>
        <v>44862</v>
      </c>
      <c r="B10281" s="6" t="str">
        <f ca="1">IFERROR(__xludf.DUMMYFUNCTION("""COMPUTED_VALUE"""),"-33.120071-70.410024")</f>
        <v>-33.120071-70.410024</v>
      </c>
      <c r="C10281" s="6" t="str">
        <f ca="1">IFERROR(__xludf.DUMMYFUNCTION("""COMPUTED_VALUE"""),"AV. PASEO COLINA SUR 1400")</f>
        <v>AV. PASEO COLINA SUR 1400</v>
      </c>
      <c r="D10281" s="6" t="str">
        <f ca="1">IFERROR(__xludf.DUMMYFUNCTION("""COMPUTED_VALUE"""),"COLINA")</f>
        <v>COLINA</v>
      </c>
    </row>
    <row r="10282" spans="1:4">
      <c r="A10282" s="7">
        <f ca="1">IFERROR(__xludf.DUMMYFUNCTION("""COMPUTED_VALUE"""),44862)</f>
        <v>44862</v>
      </c>
      <c r="B10282" s="8" t="str">
        <f ca="1">IFERROR(__xludf.DUMMYFUNCTION("""COMPUTED_VALUE"""),"-33.092895,-70.679110")</f>
        <v>-33.092895,-70.679110</v>
      </c>
      <c r="C10282" s="6" t="str">
        <f ca="1">IFERROR(__xludf.DUMMYFUNCTION("""COMPUTED_VALUE"""),"QUILAPILUN ALTO LOTE 3A")</f>
        <v>QUILAPILUN ALTO LOTE 3A</v>
      </c>
      <c r="D10282" s="6" t="str">
        <f ca="1">IFERROR(__xludf.DUMMYFUNCTION("""COMPUTED_VALUE"""),"COLINA")</f>
        <v>COLINA</v>
      </c>
    </row>
    <row r="10283" spans="1:4">
      <c r="A10283" s="7">
        <f ca="1">IFERROR(__xludf.DUMMYFUNCTION("""COMPUTED_VALUE"""),44862)</f>
        <v>44862</v>
      </c>
      <c r="B10283" s="8" t="str">
        <f ca="1">IFERROR(__xludf.DUMMYFUNCTION("""COMPUTED_VALUE"""),"-33.606428,-70.679725")</f>
        <v>-33.606428,-70.679725</v>
      </c>
      <c r="C10283" s="6" t="str">
        <f ca="1">IFERROR(__xludf.DUMMYFUNCTION("""COMPUTED_VALUE"""),"FERMIN VERGARA 146 A6")</f>
        <v>FERMIN VERGARA 146 A6</v>
      </c>
      <c r="D10283" s="6" t="str">
        <f ca="1">IFERROR(__xludf.DUMMYFUNCTION("""COMPUTED_VALUE"""),"COLINA")</f>
        <v>COLINA</v>
      </c>
    </row>
    <row r="10284" spans="1:4">
      <c r="A10284" s="7">
        <f ca="1">IFERROR(__xludf.DUMMYFUNCTION("""COMPUTED_VALUE"""),44862)</f>
        <v>44862</v>
      </c>
      <c r="B10284" s="8" t="str">
        <f ca="1">IFERROR(__xludf.DUMMYFUNCTION("""COMPUTED_VALUE"""),"-33.092895,-70.679110")</f>
        <v>-33.092895,-70.679110</v>
      </c>
      <c r="C10284" s="6" t="str">
        <f ca="1">IFERROR(__xludf.DUMMYFUNCTION("""COMPUTED_VALUE"""),"QUILAPILUN ALTO LOTE 3A")</f>
        <v>QUILAPILUN ALTO LOTE 3A</v>
      </c>
      <c r="D10284" s="6" t="str">
        <f ca="1">IFERROR(__xludf.DUMMYFUNCTION("""COMPUTED_VALUE"""),"COLINA")</f>
        <v>COLINA</v>
      </c>
    </row>
    <row r="10285" spans="1:4">
      <c r="A10285" s="7">
        <f ca="1">IFERROR(__xludf.DUMMYFUNCTION("""COMPUTED_VALUE"""),44862)</f>
        <v>44862</v>
      </c>
      <c r="B10285" s="6" t="str">
        <f ca="1">IFERROR(__xludf.DUMMYFUNCTION("""COMPUTED_VALUE"""),"-33.758640,-70.898390")</f>
        <v>-33.758640,-70.898390</v>
      </c>
      <c r="C10285" s="6" t="str">
        <f ca="1">IFERROR(__xludf.DUMMYFUNCTION("""COMPUTED_VALUE"""),"GALVEZ 269")</f>
        <v>GALVEZ 269</v>
      </c>
      <c r="D10285" s="6" t="str">
        <f ca="1">IFERROR(__xludf.DUMMYFUNCTION("""COMPUTED_VALUE"""),"ISLA DE MAIPO")</f>
        <v>ISLA DE MAIPO</v>
      </c>
    </row>
    <row r="10286" spans="1:4">
      <c r="A10286" s="7">
        <f ca="1">IFERROR(__xludf.DUMMYFUNCTION("""COMPUTED_VALUE"""),44862)</f>
        <v>44862</v>
      </c>
      <c r="B10286" s="6" t="str">
        <f ca="1">IFERROR(__xludf.DUMMYFUNCTION("""COMPUTED_VALUE"""),"-33.755798,-70.898754")</f>
        <v>-33.755798,-70.898754</v>
      </c>
      <c r="C10286" s="6" t="str">
        <f ca="1">IFERROR(__xludf.DUMMYFUNCTION("""COMPUTED_VALUE"""),"AVDA SANTELICES 258")</f>
        <v>AVDA SANTELICES 258</v>
      </c>
      <c r="D10286" s="6" t="str">
        <f ca="1">IFERROR(__xludf.DUMMYFUNCTION("""COMPUTED_VALUE"""),"ISLA DE MAIPO")</f>
        <v>ISLA DE MAIPO</v>
      </c>
    </row>
    <row r="10287" spans="1:4">
      <c r="A10287" s="7">
        <f ca="1">IFERROR(__xludf.DUMMYFUNCTION("""COMPUTED_VALUE"""),44862)</f>
        <v>44862</v>
      </c>
      <c r="B10287" s="8" t="str">
        <f ca="1">IFERROR(__xludf.DUMMYFUNCTION("""COMPUTED_VALUE"""),"-33.711067:-70.905090")</f>
        <v>-33.711067:-70.905090</v>
      </c>
      <c r="C10287" s="6" t="str">
        <f ca="1">IFERROR(__xludf.DUMMYFUNCTION("""COMPUTED_VALUE"""),"CARAMPANGUE 1270")</f>
        <v>CARAMPANGUE 1270</v>
      </c>
      <c r="D10287" s="6" t="str">
        <f ca="1">IFERROR(__xludf.DUMMYFUNCTION("""COMPUTED_VALUE"""),"ISLA DE MAIPO")</f>
        <v>ISLA DE MAIPO</v>
      </c>
    </row>
    <row r="10288" spans="1:4">
      <c r="A10288" s="7">
        <f ca="1">IFERROR(__xludf.DUMMYFUNCTION("""COMPUTED_VALUE"""),44862)</f>
        <v>44862</v>
      </c>
      <c r="B10288" s="8" t="str">
        <f ca="1">IFERROR(__xludf.DUMMYFUNCTION("""COMPUTED_VALUE"""),"-33.751839:-70.911324")</f>
        <v>-33.751839:-70.911324</v>
      </c>
      <c r="C10288" s="6" t="str">
        <f ca="1">IFERROR(__xludf.DUMMYFUNCTION("""COMPUTED_VALUE"""),"ACEVEDO 70 ")</f>
        <v xml:space="preserve">ACEVEDO 70 </v>
      </c>
      <c r="D10288" s="6" t="str">
        <f ca="1">IFERROR(__xludf.DUMMYFUNCTION("""COMPUTED_VALUE"""),"ISLA DE MAIPO")</f>
        <v>ISLA DE MAIPO</v>
      </c>
    </row>
    <row r="10289" spans="1:4">
      <c r="A10289" s="7">
        <f ca="1">IFERROR(__xludf.DUMMYFUNCTION("""COMPUTED_VALUE"""),44862)</f>
        <v>44862</v>
      </c>
      <c r="B10289" s="8" t="str">
        <f ca="1">IFERROR(__xludf.DUMMYFUNCTION("""COMPUTED_VALUE"""),"-34.041835:-71.228306")</f>
        <v>-34.041835:-71.228306</v>
      </c>
      <c r="C10289" s="6" t="str">
        <f ca="1">IFERROR(__xludf.DUMMYFUNCTION("""COMPUTED_VALUE"""),"LA LINEA S/N")</f>
        <v>LA LINEA S/N</v>
      </c>
      <c r="D10289" s="6" t="str">
        <f ca="1">IFERROR(__xludf.DUMMYFUNCTION("""COMPUTED_VALUE"""),"ALHUÉ")</f>
        <v>ALHUÉ</v>
      </c>
    </row>
    <row r="10290" spans="1:4">
      <c r="A10290" s="7">
        <f ca="1">IFERROR(__xludf.DUMMYFUNCTION("""COMPUTED_VALUE"""),44862)</f>
        <v>44862</v>
      </c>
      <c r="B10290" s="8" t="str">
        <f ca="1">IFERROR(__xludf.DUMMYFUNCTION("""COMPUTED_VALUE"""),"-34.027343:-71086564")</f>
        <v>-34.027343:-71086564</v>
      </c>
      <c r="C10290" s="6" t="str">
        <f ca="1">IFERROR(__xludf.DUMMYFUNCTION("""COMPUTED_VALUE"""),"POBLACION IGNACIO CARRERA PINTO ")</f>
        <v xml:space="preserve">POBLACION IGNACIO CARRERA PINTO </v>
      </c>
      <c r="D10290" s="6" t="str">
        <f ca="1">IFERROR(__xludf.DUMMYFUNCTION("""COMPUTED_VALUE"""),"ALHUÉ")</f>
        <v>ALHUÉ</v>
      </c>
    </row>
    <row r="10291" spans="1:4">
      <c r="A10291" s="7">
        <f ca="1">IFERROR(__xludf.DUMMYFUNCTION("""COMPUTED_VALUE"""),44862)</f>
        <v>44862</v>
      </c>
      <c r="B10291" s="6" t="str">
        <f ca="1">IFERROR(__xludf.DUMMYFUNCTION("""COMPUTED_VALUE"""),"-33.813925 ,-70.734042")</f>
        <v>-33.813925 ,-70.734042</v>
      </c>
      <c r="C10291" s="6" t="str">
        <f ca="1">IFERROR(__xludf.DUMMYFUNCTION("""COMPUTED_VALUE"""),"PAJAMITO 656")</f>
        <v>PAJAMITO 656</v>
      </c>
      <c r="D10291" s="6" t="str">
        <f ca="1">IFERROR(__xludf.DUMMYFUNCTION("""COMPUTED_VALUE"""),"PAINE")</f>
        <v>PAINE</v>
      </c>
    </row>
    <row r="10292" spans="1:4">
      <c r="A10292" s="7">
        <f ca="1">IFERROR(__xludf.DUMMYFUNCTION("""COMPUTED_VALUE"""),44862)</f>
        <v>44862</v>
      </c>
      <c r="B10292" s="6" t="str">
        <f ca="1">IFERROR(__xludf.DUMMYFUNCTION("""COMPUTED_VALUE"""),"-33.769993,-70.662560")</f>
        <v>-33.769993,-70.662560</v>
      </c>
      <c r="C10292" s="6" t="str">
        <f ca="1">IFERROR(__xludf.DUMMYFUNCTION("""COMPUTED_VALUE"""),"CAMINO PADRE HURTADO P/10")</f>
        <v>CAMINO PADRE HURTADO P/10</v>
      </c>
      <c r="D10292" s="6" t="str">
        <f ca="1">IFERROR(__xludf.DUMMYFUNCTION("""COMPUTED_VALUE"""),"PAINE")</f>
        <v>PAINE</v>
      </c>
    </row>
    <row r="10293" spans="1:4">
      <c r="A10293" s="7">
        <f ca="1">IFERROR(__xludf.DUMMYFUNCTION("""COMPUTED_VALUE"""),44862)</f>
        <v>44862</v>
      </c>
      <c r="B10293" s="6" t="str">
        <f ca="1">IFERROR(__xludf.DUMMYFUNCTION("""COMPUTED_VALUE"""),"-33.730019,-70.551669")</f>
        <v>-33.730019,-70.551669</v>
      </c>
      <c r="C10293" s="6" t="str">
        <f ca="1">IFERROR(__xludf.DUMMYFUNCTION("""COMPUTED_VALUE"""),"CERRO EL PURGATORIO 2280")</f>
        <v>CERRO EL PURGATORIO 2280</v>
      </c>
      <c r="D10293" s="6" t="str">
        <f ca="1">IFERROR(__xludf.DUMMYFUNCTION("""COMPUTED_VALUE"""),"PIRQUE")</f>
        <v>PIRQUE</v>
      </c>
    </row>
    <row r="10294" spans="1:4">
      <c r="A10294" s="7">
        <f ca="1">IFERROR(__xludf.DUMMYFUNCTION("""COMPUTED_VALUE"""),44862)</f>
        <v>44862</v>
      </c>
      <c r="B10294" s="6" t="str">
        <f ca="1">IFERROR(__xludf.DUMMYFUNCTION("""COMPUTED_VALUE"""),"-33.-8044432,-70.7336505")</f>
        <v>-33.-8044432,-70.7336505</v>
      </c>
      <c r="C10294" s="6" t="str">
        <f ca="1">IFERROR(__xludf.DUMMYFUNCTION("""COMPUTED_VALUE"""),"LOS ESPINOS 445")</f>
        <v>LOS ESPINOS 445</v>
      </c>
      <c r="D10294" s="6" t="str">
        <f ca="1">IFERROR(__xludf.DUMMYFUNCTION("""COMPUTED_VALUE"""),"PAINE")</f>
        <v>PAINE</v>
      </c>
    </row>
    <row r="10295" spans="1:4">
      <c r="A10295" s="7">
        <f ca="1">IFERROR(__xludf.DUMMYFUNCTION("""COMPUTED_VALUE"""),44862)</f>
        <v>44862</v>
      </c>
      <c r="B10295" s="6" t="str">
        <f ca="1">IFERROR(__xludf.DUMMYFUNCTION("""COMPUTED_VALUE"""),"-33.8217419,-70.7355223")</f>
        <v>-33.8217419,-70.7355223</v>
      </c>
      <c r="C10295" s="6" t="str">
        <f ca="1">IFERROR(__xludf.DUMMYFUNCTION("""COMPUTED_VALUE"""),"CHALLAY 691")</f>
        <v>CHALLAY 691</v>
      </c>
      <c r="D10295" s="6" t="str">
        <f ca="1">IFERROR(__xludf.DUMMYFUNCTION("""COMPUTED_VALUE"""),"PAINE")</f>
        <v>PAINE</v>
      </c>
    </row>
    <row r="10296" spans="1:4">
      <c r="A10296" s="7">
        <f ca="1">IFERROR(__xludf.DUMMYFUNCTION("""COMPUTED_VALUE"""),44862)</f>
        <v>44862</v>
      </c>
      <c r="B10296" s="6" t="str">
        <f ca="1">IFERROR(__xludf.DUMMYFUNCTION("""COMPUTED_VALUE"""),"-33.820889,-70.740906")</f>
        <v>-33.820889,-70.740906</v>
      </c>
      <c r="C10296" s="6" t="str">
        <f ca="1">IFERROR(__xludf.DUMMYFUNCTION("""COMPUTED_VALUE"""),"ANTILLAS 1624")</f>
        <v>ANTILLAS 1624</v>
      </c>
      <c r="D10296" s="6" t="str">
        <f ca="1">IFERROR(__xludf.DUMMYFUNCTION("""COMPUTED_VALUE"""),"PAINE")</f>
        <v>PAINE</v>
      </c>
    </row>
    <row r="10297" spans="1:4">
      <c r="A10297" s="7">
        <f ca="1">IFERROR(__xludf.DUMMYFUNCTION("""COMPUTED_VALUE"""),44862)</f>
        <v>44862</v>
      </c>
      <c r="B10297" s="6" t="str">
        <f ca="1">IFERROR(__xludf.DUMMYFUNCTION("""COMPUTED_VALUE"""),"-33.282764,-70.868450")</f>
        <v>-33.282764,-70.868450</v>
      </c>
      <c r="C10297" s="6" t="str">
        <f ca="1">IFERROR(__xludf.DUMMYFUNCTION("""COMPUTED_VALUE"""),"LOS AROMOS 15")</f>
        <v>LOS AROMOS 15</v>
      </c>
      <c r="D10297" s="6" t="str">
        <f ca="1">IFERROR(__xludf.DUMMYFUNCTION("""COMPUTED_VALUE"""),"LAMPA")</f>
        <v>LAMPA</v>
      </c>
    </row>
    <row r="10298" spans="1:4">
      <c r="A10298" s="7">
        <f ca="1">IFERROR(__xludf.DUMMYFUNCTION("""COMPUTED_VALUE"""),44862)</f>
        <v>44862</v>
      </c>
      <c r="B10298" s="6" t="str">
        <f ca="1">IFERROR(__xludf.DUMMYFUNCTION("""COMPUTED_VALUE"""),"-33.726561,-70.742928")</f>
        <v>-33.726561,-70.742928</v>
      </c>
      <c r="C10298" s="6" t="str">
        <f ca="1">IFERROR(__xludf.DUMMYFUNCTION("""COMPUTED_VALUE"""),"PASAJE 13")</f>
        <v>PASAJE 13</v>
      </c>
      <c r="D10298" s="6" t="str">
        <f ca="1">IFERROR(__xludf.DUMMYFUNCTION("""COMPUTED_VALUE"""),"BUIN")</f>
        <v>BUIN</v>
      </c>
    </row>
    <row r="10299" spans="1:4">
      <c r="A10299" s="7">
        <f ca="1">IFERROR(__xludf.DUMMYFUNCTION("""COMPUTED_VALUE"""),44862)</f>
        <v>44862</v>
      </c>
      <c r="B10299" s="6" t="str">
        <f ca="1">IFERROR(__xludf.DUMMYFUNCTION("""COMPUTED_VALUE"""),"-33.638000,-70.564062")</f>
        <v>-33.638000,-70.564062</v>
      </c>
      <c r="C10299" s="6" t="str">
        <f ca="1">IFERROR(__xludf.DUMMYFUNCTION("""COMPUTED_VALUE"""),"BRISAS DEL RACO PARCELA 36")</f>
        <v>BRISAS DEL RACO PARCELA 36</v>
      </c>
      <c r="D10299" s="6" t="str">
        <f ca="1">IFERROR(__xludf.DUMMYFUNCTION("""COMPUTED_VALUE"""),"PIRQUE")</f>
        <v>PIRQUE</v>
      </c>
    </row>
    <row r="10300" spans="1:4">
      <c r="A10300" s="7">
        <f ca="1">IFERROR(__xludf.DUMMYFUNCTION("""COMPUTED_VALUE"""),44862)</f>
        <v>44862</v>
      </c>
      <c r="B10300" s="6" t="str">
        <f ca="1">IFERROR(__xludf.DUMMYFUNCTION("""COMPUTED_VALUE"""),"-33.282764,-70.868450")</f>
        <v>-33.282764,-70.868450</v>
      </c>
      <c r="C10300" s="6" t="str">
        <f ca="1">IFERROR(__xludf.DUMMYFUNCTION("""COMPUTED_VALUE"""),"LOS AROMOS 15")</f>
        <v>LOS AROMOS 15</v>
      </c>
      <c r="D10300" s="6" t="str">
        <f ca="1">IFERROR(__xludf.DUMMYFUNCTION("""COMPUTED_VALUE"""),"LAMPA")</f>
        <v>LAMPA</v>
      </c>
    </row>
    <row r="10301" spans="1:4">
      <c r="A10301" s="7">
        <f ca="1">IFERROR(__xludf.DUMMYFUNCTION("""COMPUTED_VALUE"""),44862)</f>
        <v>44862</v>
      </c>
      <c r="B10301" s="6" t="str">
        <f ca="1">IFERROR(__xludf.DUMMYFUNCTION("""COMPUTED_VALUE"""),"-33.212291,-70.784090")</f>
        <v>-33.212291,-70.784090</v>
      </c>
      <c r="C10301" s="6" t="str">
        <f ca="1">IFERROR(__xludf.DUMMYFUNCTION("""COMPUTED_VALUE"""),"EL TANQUERAL 1")</f>
        <v>EL TANQUERAL 1</v>
      </c>
      <c r="D10301" s="6" t="str">
        <f ca="1">IFERROR(__xludf.DUMMYFUNCTION("""COMPUTED_VALUE"""),"LAMPA")</f>
        <v>LAMPA</v>
      </c>
    </row>
    <row r="10302" spans="1:4">
      <c r="A10302" s="7">
        <f ca="1">IFERROR(__xludf.DUMMYFUNCTION("""COMPUTED_VALUE"""),44862)</f>
        <v>44862</v>
      </c>
      <c r="B10302" s="6" t="str">
        <f ca="1">IFERROR(__xludf.DUMMYFUNCTION("""COMPUTED_VALUE"""),"-33.212291,-70.784090")</f>
        <v>-33.212291,-70.784090</v>
      </c>
      <c r="C10302" s="6" t="str">
        <f ca="1">IFERROR(__xludf.DUMMYFUNCTION("""COMPUTED_VALUE"""),"EL TANQUERAL 1")</f>
        <v>EL TANQUERAL 1</v>
      </c>
      <c r="D10302" s="6" t="str">
        <f ca="1">IFERROR(__xludf.DUMMYFUNCTION("""COMPUTED_VALUE"""),"LAMPA")</f>
        <v>LAMPA</v>
      </c>
    </row>
    <row r="10303" spans="1:4">
      <c r="A10303" s="7">
        <f ca="1">IFERROR(__xludf.DUMMYFUNCTION("""COMPUTED_VALUE"""),44863)</f>
        <v>44863</v>
      </c>
      <c r="B10303" s="6" t="str">
        <f ca="1">IFERROR(__xludf.DUMMYFUNCTION("""COMPUTED_VALUE"""),"-33.282610-70.754677")</f>
        <v>-33.282610-70.754677</v>
      </c>
      <c r="C10303" s="6" t="str">
        <f ca="1">IFERROR(__xludf.DUMMYFUNCTION("""COMPUTED_VALUE"""),"SELVA OSCURA 225 B")</f>
        <v>SELVA OSCURA 225 B</v>
      </c>
      <c r="D10303" s="6" t="str">
        <f ca="1">IFERROR(__xludf.DUMMYFUNCTION("""COMPUTED_VALUE"""),"LAMPA")</f>
        <v>LAMPA</v>
      </c>
    </row>
    <row r="10304" spans="1:4">
      <c r="A10304" s="7">
        <f ca="1">IFERROR(__xludf.DUMMYFUNCTION("""COMPUTED_VALUE"""),44863)</f>
        <v>44863</v>
      </c>
      <c r="B10304" s="6" t="str">
        <f ca="1">IFERROR(__xludf.DUMMYFUNCTION("""COMPUTED_VALUE"""),"-33.236110-70.694172")</f>
        <v>-33.236110-70.694172</v>
      </c>
      <c r="C10304" s="6" t="str">
        <f ca="1">IFERROR(__xludf.DUMMYFUNCTION("""COMPUTED_VALUE"""),"CAMINO POBLACION PUDAHUEL S/N")</f>
        <v>CAMINO POBLACION PUDAHUEL S/N</v>
      </c>
      <c r="D10304" s="6" t="str">
        <f ca="1">IFERROR(__xludf.DUMMYFUNCTION("""COMPUTED_VALUE"""),"LAMPA")</f>
        <v>LAMPA</v>
      </c>
    </row>
    <row r="10305" spans="1:4">
      <c r="A10305" s="7">
        <f ca="1">IFERROR(__xludf.DUMMYFUNCTION("""COMPUTED_VALUE"""),44863)</f>
        <v>44863</v>
      </c>
      <c r="B10305" s="8" t="str">
        <f ca="1">IFERROR(__xludf.DUMMYFUNCTION("""COMPUTED_VALUE"""),"-34.0412267,-71.2269911")</f>
        <v>-34.0412267,-71.2269911</v>
      </c>
      <c r="C10305" s="6" t="str">
        <f ca="1">IFERROR(__xludf.DUMMYFUNCTION("""COMPUTED_VALUE"""),"LOS ALAMOS")</f>
        <v>LOS ALAMOS</v>
      </c>
      <c r="D10305" s="6" t="str">
        <f ca="1">IFERROR(__xludf.DUMMYFUNCTION("""COMPUTED_VALUE"""),"MELIPILLA")</f>
        <v>MELIPILLA</v>
      </c>
    </row>
    <row r="10306" spans="1:4">
      <c r="A10306" s="7">
        <f ca="1">IFERROR(__xludf.DUMMYFUNCTION("""COMPUTED_VALUE"""),44863)</f>
        <v>44863</v>
      </c>
      <c r="B10306" s="8" t="str">
        <f ca="1">IFERROR(__xludf.DUMMYFUNCTION("""COMPUTED_VALUE"""),"-34.030083,-71.098644")</f>
        <v>-34.030083,-71.098644</v>
      </c>
      <c r="C10306" s="6" t="str">
        <f ca="1">IFERROR(__xludf.DUMMYFUNCTION("""COMPUTED_VALUE"""),"ESPERANZA S/N")</f>
        <v>ESPERANZA S/N</v>
      </c>
      <c r="D10306" s="6" t="str">
        <f ca="1">IFERROR(__xludf.DUMMYFUNCTION("""COMPUTED_VALUE"""),"MELIPILLA")</f>
        <v>MELIPILLA</v>
      </c>
    </row>
    <row r="10307" spans="1:4">
      <c r="A10307" s="7">
        <f ca="1">IFERROR(__xludf.DUMMYFUNCTION("""COMPUTED_VALUE"""),44863)</f>
        <v>44863</v>
      </c>
      <c r="B10307" s="8" t="str">
        <f ca="1">IFERROR(__xludf.DUMMYFUNCTION("""COMPUTED_VALUE"""),"-34.030083,-71.098644")</f>
        <v>-34.030083,-71.098644</v>
      </c>
      <c r="C10307" s="6" t="str">
        <f ca="1">IFERROR(__xludf.DUMMYFUNCTION("""COMPUTED_VALUE"""),"ESPERANZA S/N")</f>
        <v>ESPERANZA S/N</v>
      </c>
      <c r="D10307" s="6" t="str">
        <f ca="1">IFERROR(__xludf.DUMMYFUNCTION("""COMPUTED_VALUE"""),"MELIPILLA")</f>
        <v>MELIPILLA</v>
      </c>
    </row>
    <row r="10308" spans="1:4">
      <c r="A10308" s="7">
        <f ca="1">IFERROR(__xludf.DUMMYFUNCTION("""COMPUTED_VALUE"""),44863)</f>
        <v>44863</v>
      </c>
      <c r="B10308" s="8" t="str">
        <f ca="1">IFERROR(__xludf.DUMMYFUNCTION("""COMPUTED_VALUE"""),"-34.242075,-71.390940")</f>
        <v>-34.242075,-71.390940</v>
      </c>
      <c r="C10308" s="6" t="str">
        <f ca="1">IFERROR(__xludf.DUMMYFUNCTION("""COMPUTED_VALUE"""),"LOS PEQUENES")</f>
        <v>LOS PEQUENES</v>
      </c>
      <c r="D10308" s="6" t="str">
        <f ca="1">IFERROR(__xludf.DUMMYFUNCTION("""COMPUTED_VALUE"""),"MELIPILLA")</f>
        <v>MELIPILLA</v>
      </c>
    </row>
    <row r="10309" spans="1:4">
      <c r="A10309" s="7">
        <f ca="1">IFERROR(__xludf.DUMMYFUNCTION("""COMPUTED_VALUE"""),44863)</f>
        <v>44863</v>
      </c>
      <c r="B10309" s="8" t="str">
        <f ca="1">IFERROR(__xludf.DUMMYFUNCTION("""COMPUTED_VALUE"""),"-33.679154,-71195057")</f>
        <v>-33.679154,-71195057</v>
      </c>
      <c r="C10309" s="6" t="str">
        <f ca="1">IFERROR(__xludf.DUMMYFUNCTION("""COMPUTED_VALUE"""),"PUDETO 13")</f>
        <v>PUDETO 13</v>
      </c>
      <c r="D10309" s="6" t="str">
        <f ca="1">IFERROR(__xludf.DUMMYFUNCTION("""COMPUTED_VALUE"""),"MELIPILLA")</f>
        <v>MELIPILLA</v>
      </c>
    </row>
    <row r="10310" spans="1:4">
      <c r="A10310" s="7">
        <f ca="1">IFERROR(__xludf.DUMMYFUNCTION("""COMPUTED_VALUE"""),44863)</f>
        <v>44863</v>
      </c>
      <c r="B10310" s="8" t="str">
        <f ca="1">IFERROR(__xludf.DUMMYFUNCTION("""COMPUTED_VALUE"""),"-34.271669,-71365691")</f>
        <v>-34.271669,-71365691</v>
      </c>
      <c r="C10310" s="6" t="str">
        <f ca="1">IFERROR(__xludf.DUMMYFUNCTION("""COMPUTED_VALUE"""),"EL CARMEN 112")</f>
        <v>EL CARMEN 112</v>
      </c>
      <c r="D10310" s="6" t="str">
        <f ca="1">IFERROR(__xludf.DUMMYFUNCTION("""COMPUTED_VALUE"""),"MELIPILLA")</f>
        <v>MELIPILLA</v>
      </c>
    </row>
    <row r="10311" spans="1:4">
      <c r="A10311" s="7">
        <f ca="1">IFERROR(__xludf.DUMMYFUNCTION("""COMPUTED_VALUE"""),44863)</f>
        <v>44863</v>
      </c>
      <c r="B10311" s="6" t="str">
        <f ca="1">IFERROR(__xludf.DUMMYFUNCTION("""COMPUTED_VALUE"""),"-33.757472,-70.861203")</f>
        <v>-33.757472,-70.861203</v>
      </c>
      <c r="C10311" s="6" t="str">
        <f ca="1">IFERROR(__xludf.DUMMYFUNCTION("""COMPUTED_VALUE"""),"OLEA INTERIOR 57 PARC PORTONES STA  BEATRIZ")</f>
        <v>OLEA INTERIOR 57 PARC PORTONES STA  BEATRIZ</v>
      </c>
      <c r="D10311" s="6" t="str">
        <f ca="1">IFERROR(__xludf.DUMMYFUNCTION("""COMPUTED_VALUE"""),"ISLA DE MAIPO")</f>
        <v>ISLA DE MAIPO</v>
      </c>
    </row>
    <row r="10312" spans="1:4">
      <c r="A10312" s="7">
        <f ca="1">IFERROR(__xludf.DUMMYFUNCTION("""COMPUTED_VALUE"""),44865)</f>
        <v>44865</v>
      </c>
      <c r="B10312" s="6" t="str">
        <f ca="1">IFERROR(__xludf.DUMMYFUNCTION("""COMPUTED_VALUE"""),"-33.398901-71.124873")</f>
        <v>-33.398901-71.124873</v>
      </c>
      <c r="C10312" s="6" t="str">
        <f ca="1">IFERROR(__xludf.DUMMYFUNCTION("""COMPUTED_VALUE"""),"CUYUNCAVI 68")</f>
        <v>CUYUNCAVI 68</v>
      </c>
      <c r="D10312" s="6" t="str">
        <f ca="1">IFERROR(__xludf.DUMMYFUNCTION("""COMPUTED_VALUE"""),"CURACAVI")</f>
        <v>CURACAVI</v>
      </c>
    </row>
    <row r="10313" spans="1:4">
      <c r="A10313" s="7">
        <f ca="1">IFERROR(__xludf.DUMMYFUNCTION("""COMPUTED_VALUE"""),44865)</f>
        <v>44865</v>
      </c>
      <c r="B10313" s="6" t="str">
        <f ca="1">IFERROR(__xludf.DUMMYFUNCTION("""COMPUTED_VALUE"""),"-33.407258-71.127300")</f>
        <v>-33.407258-71.127300</v>
      </c>
      <c r="C10313" s="6" t="str">
        <f ca="1">IFERROR(__xludf.DUMMYFUNCTION("""COMPUTED_VALUE"""),"EL AVELLANO 1825")</f>
        <v>EL AVELLANO 1825</v>
      </c>
      <c r="D10313" s="6" t="str">
        <f ca="1">IFERROR(__xludf.DUMMYFUNCTION("""COMPUTED_VALUE"""),"CURACAVI")</f>
        <v>CURACAVI</v>
      </c>
    </row>
    <row r="10314" spans="1:4">
      <c r="A10314" s="7">
        <f ca="1">IFERROR(__xludf.DUMMYFUNCTION("""COMPUTED_VALUE"""),44867)</f>
        <v>44867</v>
      </c>
      <c r="B10314" s="8" t="str">
        <f ca="1">IFERROR(__xludf.DUMMYFUNCTION("""COMPUTED_VALUE"""),"-33.219355,-70.681355")</f>
        <v>-33.219355,-70.681355</v>
      </c>
      <c r="C10314" s="6" t="str">
        <f ca="1">IFERROR(__xludf.DUMMYFUNCTION("""COMPUTED_VALUE"""),"LOS ALAMOS 186")</f>
        <v>LOS ALAMOS 186</v>
      </c>
      <c r="D10314" s="6" t="str">
        <f ca="1">IFERROR(__xludf.DUMMYFUNCTION("""COMPUTED_VALUE"""),"COLINA")</f>
        <v>COLINA</v>
      </c>
    </row>
    <row r="10315" spans="1:4">
      <c r="A10315" s="7">
        <f ca="1">IFERROR(__xludf.DUMMYFUNCTION("""COMPUTED_VALUE"""),44867)</f>
        <v>44867</v>
      </c>
      <c r="B10315" s="6" t="str">
        <f ca="1">IFERROR(__xludf.DUMMYFUNCTION("""COMPUTED_VALUE"""),"-33.778339,-71.355937")</f>
        <v>-33.778339,-71.355937</v>
      </c>
      <c r="C10315" s="6" t="str">
        <f ca="1">IFERROR(__xludf.DUMMYFUNCTION("""COMPUTED_VALUE"""),"SECTOR SAN VALENTIN S/N CV 15")</f>
        <v>SECTOR SAN VALENTIN S/N CV 15</v>
      </c>
      <c r="D10315" s="6" t="str">
        <f ca="1">IFERROR(__xludf.DUMMYFUNCTION("""COMPUTED_VALUE"""),"MELIPILLA")</f>
        <v>MELIPILLA</v>
      </c>
    </row>
    <row r="10316" spans="1:4">
      <c r="A10316" s="7">
        <f ca="1">IFERROR(__xludf.DUMMYFUNCTION("""COMPUTED_VALUE"""),44867)</f>
        <v>44867</v>
      </c>
      <c r="B10316" s="6" t="str">
        <f ca="1">IFERROR(__xludf.DUMMYFUNCTION("""COMPUTED_VALUE"""),"-33.778339,-71.355937")</f>
        <v>-33.778339,-71.355937</v>
      </c>
      <c r="C10316" s="6" t="str">
        <f ca="1">IFERROR(__xludf.DUMMYFUNCTION("""COMPUTED_VALUE"""),"SECTOR SAN VALENTIN S/N CV 15")</f>
        <v>SECTOR SAN VALENTIN S/N CV 15</v>
      </c>
      <c r="D10316" s="6" t="str">
        <f ca="1">IFERROR(__xludf.DUMMYFUNCTION("""COMPUTED_VALUE"""),"MELIPILLA")</f>
        <v>MELIPILLA</v>
      </c>
    </row>
    <row r="10317" spans="1:4">
      <c r="A10317" s="7">
        <f ca="1">IFERROR(__xludf.DUMMYFUNCTION("""COMPUTED_VALUE"""),44867)</f>
        <v>44867</v>
      </c>
      <c r="B10317" s="6" t="str">
        <f ca="1">IFERROR(__xludf.DUMMYFUNCTION("""COMPUTED_VALUE"""),"-33.248541,-70.794065")</f>
        <v>-33.248541,-70.794065</v>
      </c>
      <c r="C10317" s="6" t="str">
        <f ca="1">IFERROR(__xludf.DUMMYFUNCTION("""COMPUTED_VALUE"""),"CAMINO INTERIOR S/N PAR 3 LOT 20")</f>
        <v>CAMINO INTERIOR S/N PAR 3 LOT 20</v>
      </c>
      <c r="D10317" s="6" t="str">
        <f ca="1">IFERROR(__xludf.DUMMYFUNCTION("""COMPUTED_VALUE"""),"LAMPA")</f>
        <v>LAMPA</v>
      </c>
    </row>
    <row r="10318" spans="1:4">
      <c r="A10318" s="7">
        <f ca="1">IFERROR(__xludf.DUMMYFUNCTION("""COMPUTED_VALUE"""),44867)</f>
        <v>44867</v>
      </c>
      <c r="B10318" s="8" t="str">
        <f ca="1">IFERROR(__xludf.DUMMYFUNCTION("""COMPUTED_VALUE"""),"-33.716763:-70.891434")</f>
        <v>-33.716763:-70.891434</v>
      </c>
      <c r="C10318" s="6" t="str">
        <f ca="1">IFERROR(__xludf.DUMMYFUNCTION("""COMPUTED_VALUE"""),"LAS PARCELAS 2826 ")</f>
        <v xml:space="preserve">LAS PARCELAS 2826 </v>
      </c>
      <c r="D10318" s="6" t="str">
        <f ca="1">IFERROR(__xludf.DUMMYFUNCTION("""COMPUTED_VALUE"""),"ISLA DE MAIPO")</f>
        <v>ISLA DE MAIPO</v>
      </c>
    </row>
    <row r="10319" spans="1:4">
      <c r="A10319" s="7">
        <f ca="1">IFERROR(__xludf.DUMMYFUNCTION("""COMPUTED_VALUE"""),44867)</f>
        <v>44867</v>
      </c>
      <c r="B10319" s="8" t="str">
        <f ca="1">IFERROR(__xludf.DUMMYFUNCTION("""COMPUTED_VALUE"""),"-33.7534640:-70.8896090")</f>
        <v>-33.7534640:-70.8896090</v>
      </c>
      <c r="C10319" s="6" t="str">
        <f ca="1">IFERROR(__xludf.DUMMYFUNCTION("""COMPUTED_VALUE"""),"EL COLORADO 270")</f>
        <v>EL COLORADO 270</v>
      </c>
      <c r="D10319" s="6" t="str">
        <f ca="1">IFERROR(__xludf.DUMMYFUNCTION("""COMPUTED_VALUE"""),"ISLA DE MAIPO")</f>
        <v>ISLA DE MAIPO</v>
      </c>
    </row>
    <row r="10320" spans="1:4">
      <c r="A10320" s="7">
        <f ca="1">IFERROR(__xludf.DUMMYFUNCTION("""COMPUTED_VALUE"""),44867)</f>
        <v>44867</v>
      </c>
      <c r="B10320" s="8" t="str">
        <f ca="1">IFERROR(__xludf.DUMMYFUNCTION("""COMPUTED_VALUE"""),"-33.741403:-70.903954")</f>
        <v>-33.741403:-70.903954</v>
      </c>
      <c r="C10320" s="6" t="str">
        <f ca="1">IFERROR(__xludf.DUMMYFUNCTION("""COMPUTED_VALUE"""),"AV JAIME GUZMAN 1310")</f>
        <v>AV JAIME GUZMAN 1310</v>
      </c>
      <c r="D10320" s="6" t="str">
        <f ca="1">IFERROR(__xludf.DUMMYFUNCTION("""COMPUTED_VALUE"""),"ISLA DE MAIPO")</f>
        <v>ISLA DE MAIPO</v>
      </c>
    </row>
    <row r="10321" spans="1:4">
      <c r="A10321" s="7">
        <f ca="1">IFERROR(__xludf.DUMMYFUNCTION("""COMPUTED_VALUE"""),44867)</f>
        <v>44867</v>
      </c>
      <c r="B10321" s="8" t="str">
        <f ca="1">IFERROR(__xludf.DUMMYFUNCTION("""COMPUTED_VALUE"""),"-33.745846:-70.900912")</f>
        <v>-33.745846:-70.900912</v>
      </c>
      <c r="C10321" s="6" t="str">
        <f ca="1">IFERROR(__xludf.DUMMYFUNCTION("""COMPUTED_VALUE"""),"YERBA BUENA 4155")</f>
        <v>YERBA BUENA 4155</v>
      </c>
      <c r="D10321" s="6" t="str">
        <f ca="1">IFERROR(__xludf.DUMMYFUNCTION("""COMPUTED_VALUE"""),"ISLA DE MAIPO")</f>
        <v>ISLA DE MAIPO</v>
      </c>
    </row>
    <row r="10322" spans="1:4">
      <c r="A10322" s="7">
        <f ca="1">IFERROR(__xludf.DUMMYFUNCTION("""COMPUTED_VALUE"""),44867)</f>
        <v>44867</v>
      </c>
      <c r="B10322" s="6" t="str">
        <f ca="1">IFERROR(__xludf.DUMMYFUNCTION("""COMPUTED_VALUE"""),"-33.620430,-70.807434")</f>
        <v>-33.620430,-70.807434</v>
      </c>
      <c r="C10322" s="6" t="str">
        <f ca="1">IFERROR(__xludf.DUMMYFUNCTION("""COMPUTED_VALUE"""),"LOS TILOS 22H ")</f>
        <v xml:space="preserve">LOS TILOS 22H </v>
      </c>
      <c r="D10322" s="6" t="str">
        <f ca="1">IFERROR(__xludf.DUMMYFUNCTION("""COMPUTED_VALUE"""),"CALERA DE TANGO")</f>
        <v>CALERA DE TANGO</v>
      </c>
    </row>
    <row r="10323" spans="1:4">
      <c r="A10323" s="7">
        <f ca="1">IFERROR(__xludf.DUMMYFUNCTION("""COMPUTED_VALUE"""),44867)</f>
        <v>44867</v>
      </c>
      <c r="B10323" s="6" t="str">
        <f ca="1">IFERROR(__xludf.DUMMYFUNCTION("""COMPUTED_VALUE"""),"-33.730383,-70.738460")</f>
        <v>-33.730383,-70.738460</v>
      </c>
      <c r="C10323" s="6" t="str">
        <f ca="1">IFERROR(__xludf.DUMMYFUNCTION("""COMPUTED_VALUE"""),"ANIBAL PINTO 95")</f>
        <v>ANIBAL PINTO 95</v>
      </c>
      <c r="D10323" s="6" t="str">
        <f ca="1">IFERROR(__xludf.DUMMYFUNCTION("""COMPUTED_VALUE"""),"BUIN")</f>
        <v>BUIN</v>
      </c>
    </row>
    <row r="10324" spans="1:4">
      <c r="A10324" s="7">
        <f ca="1">IFERROR(__xludf.DUMMYFUNCTION("""COMPUTED_VALUE"""),44867)</f>
        <v>44867</v>
      </c>
      <c r="B10324" s="6" t="str">
        <f ca="1">IFERROR(__xludf.DUMMYFUNCTION("""COMPUTED_VALUE"""),"-33.740318,-70.738755")</f>
        <v>-33.740318,-70.738755</v>
      </c>
      <c r="C10324" s="6" t="str">
        <f ca="1">IFERROR(__xludf.DUMMYFUNCTION("""COMPUTED_VALUE"""),"PJE. EMILIA PONCE SALINAS 44")</f>
        <v>PJE. EMILIA PONCE SALINAS 44</v>
      </c>
      <c r="D10324" s="6" t="str">
        <f ca="1">IFERROR(__xludf.DUMMYFUNCTION("""COMPUTED_VALUE"""),"BUIN")</f>
        <v>BUIN</v>
      </c>
    </row>
    <row r="10325" spans="1:4">
      <c r="A10325" s="7">
        <f ca="1">IFERROR(__xludf.DUMMYFUNCTION("""COMPUTED_VALUE"""),44867)</f>
        <v>44867</v>
      </c>
      <c r="B10325" s="6" t="str">
        <f ca="1">IFERROR(__xludf.DUMMYFUNCTION("""COMPUTED_VALUE"""),"-33.8150487,-70.7356491")</f>
        <v>-33.8150487,-70.7356491</v>
      </c>
      <c r="C10325" s="6" t="str">
        <f ca="1">IFERROR(__xludf.DUMMYFUNCTION("""COMPUTED_VALUE"""),"PEREZ CANTO 663")</f>
        <v>PEREZ CANTO 663</v>
      </c>
      <c r="D10325" s="6" t="str">
        <f ca="1">IFERROR(__xludf.DUMMYFUNCTION("""COMPUTED_VALUE"""),"PAINE")</f>
        <v>PAINE</v>
      </c>
    </row>
    <row r="10326" spans="1:4">
      <c r="A10326" s="7">
        <f ca="1">IFERROR(__xludf.DUMMYFUNCTION("""COMPUTED_VALUE"""),44868)</f>
        <v>44868</v>
      </c>
      <c r="B10326" s="6" t="str">
        <f ca="1">IFERROR(__xludf.DUMMYFUNCTION("""COMPUTED_VALUE"""),"-34.030658-71.079324")</f>
        <v>-34.030658-71.079324</v>
      </c>
      <c r="C10326" s="6" t="str">
        <f ca="1">IFERROR(__xludf.DUMMYFUNCTION("""COMPUTED_VALUE"""),"EL ASIENTO S/N")</f>
        <v>EL ASIENTO S/N</v>
      </c>
      <c r="D10326" s="6" t="str">
        <f ca="1">IFERROR(__xludf.DUMMYFUNCTION("""COMPUTED_VALUE"""),"ALHUÉ")</f>
        <v>ALHUÉ</v>
      </c>
    </row>
    <row r="10327" spans="1:4">
      <c r="A10327" s="7">
        <f ca="1">IFERROR(__xludf.DUMMYFUNCTION("""COMPUTED_VALUE"""),44868)</f>
        <v>44868</v>
      </c>
      <c r="B10327" s="6" t="str">
        <f ca="1">IFERROR(__xludf.DUMMYFUNCTION("""COMPUTED_VALUE"""),"-34.042369-71.067773")</f>
        <v>-34.042369-71.067773</v>
      </c>
      <c r="C10327" s="6" t="str">
        <f ca="1">IFERROR(__xludf.DUMMYFUNCTION("""COMPUTED_VALUE"""),"IGNACION  CARRERA PINTO S/N")</f>
        <v>IGNACION  CARRERA PINTO S/N</v>
      </c>
      <c r="D10327" s="6" t="str">
        <f ca="1">IFERROR(__xludf.DUMMYFUNCTION("""COMPUTED_VALUE"""),"ALHUÉ")</f>
        <v>ALHUÉ</v>
      </c>
    </row>
    <row r="10328" spans="1:4">
      <c r="A10328" s="7">
        <f ca="1">IFERROR(__xludf.DUMMYFUNCTION("""COMPUTED_VALUE"""),44868)</f>
        <v>44868</v>
      </c>
      <c r="B10328" s="6" t="str">
        <f ca="1">IFERROR(__xludf.DUMMYFUNCTION("""COMPUTED_VALUE"""),"-34.033928-71.095194")</f>
        <v>-34.033928-71.095194</v>
      </c>
      <c r="C10328" s="6" t="str">
        <f ca="1">IFERROR(__xludf.DUMMYFUNCTION("""COMPUTED_VALUE"""),"DIECISEIS DE AGOSTO S/N")</f>
        <v>DIECISEIS DE AGOSTO S/N</v>
      </c>
      <c r="D10328" s="6" t="str">
        <f ca="1">IFERROR(__xludf.DUMMYFUNCTION("""COMPUTED_VALUE"""),"ALHUÉ")</f>
        <v>ALHUÉ</v>
      </c>
    </row>
    <row r="10329" spans="1:4">
      <c r="A10329" s="7">
        <f ca="1">IFERROR(__xludf.DUMMYFUNCTION("""COMPUTED_VALUE"""),44868)</f>
        <v>44868</v>
      </c>
      <c r="B10329" s="6" t="str">
        <f ca="1">IFERROR(__xludf.DUMMYFUNCTION("""COMPUTED_VALUE"""),"-34.035428-71.093793")</f>
        <v>-34.035428-71.093793</v>
      </c>
      <c r="C10329" s="6" t="str">
        <f ca="1">IFERROR(__xludf.DUMMYFUNCTION("""COMPUTED_VALUE"""),"SECTOR CRUCE A PICHI S/N")</f>
        <v>SECTOR CRUCE A PICHI S/N</v>
      </c>
      <c r="D10329" s="6" t="str">
        <f ca="1">IFERROR(__xludf.DUMMYFUNCTION("""COMPUTED_VALUE"""),"ALHUÉ")</f>
        <v>ALHUÉ</v>
      </c>
    </row>
    <row r="10330" spans="1:4">
      <c r="A10330" s="7">
        <f ca="1">IFERROR(__xludf.DUMMYFUNCTION("""COMPUTED_VALUE"""),44868)</f>
        <v>44868</v>
      </c>
      <c r="B10330" s="6" t="str">
        <f ca="1">IFERROR(__xludf.DUMMYFUNCTION("""COMPUTED_VALUE"""),"-34.04504-71.23194")</f>
        <v>-34.04504-71.23194</v>
      </c>
      <c r="C10330" s="6" t="str">
        <f ca="1">IFERROR(__xludf.DUMMYFUNCTION("""COMPUTED_VALUE"""),"CAMINO LA LINEA S/N")</f>
        <v>CAMINO LA LINEA S/N</v>
      </c>
      <c r="D10330" s="6" t="str">
        <f ca="1">IFERROR(__xludf.DUMMYFUNCTION("""COMPUTED_VALUE"""),"ALHUÉ")</f>
        <v>ALHUÉ</v>
      </c>
    </row>
    <row r="10331" spans="1:4">
      <c r="A10331" s="7">
        <f ca="1">IFERROR(__xludf.DUMMYFUNCTION("""COMPUTED_VALUE"""),44868)</f>
        <v>44868</v>
      </c>
      <c r="B10331" s="6" t="str">
        <f ca="1">IFERROR(__xludf.DUMMYFUNCTION("""COMPUTED_VALUE"""),"-34.03153-71.21817")</f>
        <v>-34.03153-71.21817</v>
      </c>
      <c r="C10331" s="6" t="str">
        <f ca="1">IFERROR(__xludf.DUMMYFUNCTION("""COMPUTED_VALUE"""),"CAMINO LA LINEA S/N")</f>
        <v>CAMINO LA LINEA S/N</v>
      </c>
      <c r="D10331" s="6" t="str">
        <f ca="1">IFERROR(__xludf.DUMMYFUNCTION("""COMPUTED_VALUE"""),"ALHUÉ")</f>
        <v>ALHUÉ</v>
      </c>
    </row>
    <row r="10332" spans="1:4">
      <c r="A10332" s="7">
        <f ca="1">IFERROR(__xludf.DUMMYFUNCTION("""COMPUTED_VALUE"""),44868)</f>
        <v>44868</v>
      </c>
      <c r="B10332" s="6" t="str">
        <f ca="1">IFERROR(__xludf.DUMMYFUNCTION("""COMPUTED_VALUE"""),"-34.03088-71.21861")</f>
        <v>-34.03088-71.21861</v>
      </c>
      <c r="C10332" s="6" t="str">
        <f ca="1">IFERROR(__xludf.DUMMYFUNCTION("""COMPUTED_VALUE"""),"CAMINO LA LINEA S/N")</f>
        <v>CAMINO LA LINEA S/N</v>
      </c>
      <c r="D10332" s="6" t="str">
        <f ca="1">IFERROR(__xludf.DUMMYFUNCTION("""COMPUTED_VALUE"""),"ALHUÉ")</f>
        <v>ALHUÉ</v>
      </c>
    </row>
    <row r="10333" spans="1:4">
      <c r="A10333" s="7">
        <f ca="1">IFERROR(__xludf.DUMMYFUNCTION("""COMPUTED_VALUE"""),44868)</f>
        <v>44868</v>
      </c>
      <c r="B10333" s="6" t="str">
        <f ca="1">IFERROR(__xludf.DUMMYFUNCTION("""COMPUTED_VALUE"""),"-33.756766,-70.913428")</f>
        <v>-33.756766,-70.913428</v>
      </c>
      <c r="C10333" s="6" t="str">
        <f ca="1">IFERROR(__xludf.DUMMYFUNCTION("""COMPUTED_VALUE"""),"ACEVEDO 668")</f>
        <v>ACEVEDO 668</v>
      </c>
      <c r="D10333" s="6" t="str">
        <f ca="1">IFERROR(__xludf.DUMMYFUNCTION("""COMPUTED_VALUE"""),"ISLA DE MAIPO")</f>
        <v>ISLA DE MAIPO</v>
      </c>
    </row>
    <row r="10334" spans="1:4">
      <c r="A10334" s="7">
        <f ca="1">IFERROR(__xludf.DUMMYFUNCTION("""COMPUTED_VALUE"""),44868)</f>
        <v>44868</v>
      </c>
      <c r="B10334" s="8" t="str">
        <f ca="1">IFERROR(__xludf.DUMMYFUNCTION("""COMPUTED_VALUE"""),"-33.986968:-71065363")</f>
        <v>-33.986968:-71065363</v>
      </c>
      <c r="C10334" s="6" t="str">
        <f ca="1">IFERROR(__xludf.DUMMYFUNCTION("""COMPUTED_VALUE"""),"BARRANCAS DE PICHI")</f>
        <v>BARRANCAS DE PICHI</v>
      </c>
      <c r="D10334" s="6" t="str">
        <f ca="1">IFERROR(__xludf.DUMMYFUNCTION("""COMPUTED_VALUE"""),"ALHUÉ")</f>
        <v>ALHUÉ</v>
      </c>
    </row>
    <row r="10335" spans="1:4">
      <c r="A10335" s="7">
        <f ca="1">IFERROR(__xludf.DUMMYFUNCTION("""COMPUTED_VALUE"""),44868)</f>
        <v>44868</v>
      </c>
      <c r="B10335" s="8" t="str">
        <f ca="1">IFERROR(__xludf.DUMMYFUNCTION("""COMPUTED_VALUE"""),"-33.686507:-71.207449")</f>
        <v>-33.686507:-71.207449</v>
      </c>
      <c r="C10335" s="6" t="str">
        <f ca="1">IFERROR(__xludf.DUMMYFUNCTION("""COMPUTED_VALUE"""),"VILLA SOTOMAYOR CASA 12 ")</f>
        <v xml:space="preserve">VILLA SOTOMAYOR CASA 12 </v>
      </c>
      <c r="D10335" s="6" t="str">
        <f ca="1">IFERROR(__xludf.DUMMYFUNCTION("""COMPUTED_VALUE"""),"MELIPILLA")</f>
        <v>MELIPILLA</v>
      </c>
    </row>
    <row r="10336" spans="1:4">
      <c r="A10336" s="7">
        <f ca="1">IFERROR(__xludf.DUMMYFUNCTION("""COMPUTED_VALUE"""),44868)</f>
        <v>44868</v>
      </c>
      <c r="B10336" s="6" t="str">
        <f ca="1">IFERROR(__xludf.DUMMYFUNCTION("""COMPUTED_VALUE"""),"-33.726503,-70.769965")</f>
        <v>-33.726503,-70.769965</v>
      </c>
      <c r="C10336" s="6" t="str">
        <f ca="1">IFERROR(__xludf.DUMMYFUNCTION("""COMPUTED_VALUE"""),"PJE MERCEDES MOLINA 485")</f>
        <v>PJE MERCEDES MOLINA 485</v>
      </c>
      <c r="D10336" s="6" t="str">
        <f ca="1">IFERROR(__xludf.DUMMYFUNCTION("""COMPUTED_VALUE"""),"BUIN")</f>
        <v>BUIN</v>
      </c>
    </row>
    <row r="10337" spans="1:4">
      <c r="A10337" s="7">
        <f ca="1">IFERROR(__xludf.DUMMYFUNCTION("""COMPUTED_VALUE"""),44868)</f>
        <v>44868</v>
      </c>
      <c r="B10337" s="6" t="str">
        <f ca="1">IFERROR(__xludf.DUMMYFUNCTION("""COMPUTED_VALUE"""),"-34.032724,-71.212552")</f>
        <v>-34.032724,-71.212552</v>
      </c>
      <c r="C10337" s="6" t="str">
        <f ca="1">IFERROR(__xludf.DUMMYFUNCTION("""COMPUTED_VALUE"""),"LA LINEA140804")</f>
        <v>LA LINEA140804</v>
      </c>
      <c r="D10337" s="6" t="str">
        <f ca="1">IFERROR(__xludf.DUMMYFUNCTION("""COMPUTED_VALUE"""),"ALHUÉ")</f>
        <v>ALHUÉ</v>
      </c>
    </row>
    <row r="10338" spans="1:4">
      <c r="A10338" s="7">
        <f ca="1">IFERROR(__xludf.DUMMYFUNCTION("""COMPUTED_VALUE"""),44868)</f>
        <v>44868</v>
      </c>
      <c r="B10338" s="6" t="str">
        <f ca="1">IFERROR(__xludf.DUMMYFUNCTION("""COMPUTED_VALUE"""),"-34.032724,-71.212552")</f>
        <v>-34.032724,-71.212552</v>
      </c>
      <c r="C10338" s="6" t="str">
        <f ca="1">IFERROR(__xludf.DUMMYFUNCTION("""COMPUTED_VALUE"""),"LA LINEA140804")</f>
        <v>LA LINEA140804</v>
      </c>
      <c r="D10338" s="6" t="str">
        <f ca="1">IFERROR(__xludf.DUMMYFUNCTION("""COMPUTED_VALUE"""),"ALHUÉ")</f>
        <v>ALHUÉ</v>
      </c>
    </row>
    <row r="10339" spans="1:4">
      <c r="A10339" s="7">
        <f ca="1">IFERROR(__xludf.DUMMYFUNCTION("""COMPUTED_VALUE"""),44868)</f>
        <v>44868</v>
      </c>
      <c r="B10339" s="6" t="str">
        <f ca="1">IFERROR(__xludf.DUMMYFUNCTION("""COMPUTED_VALUE"""),"-34.038955,-71.226330")</f>
        <v>-34.038955,-71.226330</v>
      </c>
      <c r="C10339" s="6" t="str">
        <f ca="1">IFERROR(__xludf.DUMMYFUNCTION("""COMPUTED_VALUE"""),"CO. LA LINEA S/N")</f>
        <v>CO. LA LINEA S/N</v>
      </c>
      <c r="D10339" s="6" t="str">
        <f ca="1">IFERROR(__xludf.DUMMYFUNCTION("""COMPUTED_VALUE"""),"ALHUÉ")</f>
        <v>ALHUÉ</v>
      </c>
    </row>
    <row r="10340" spans="1:4">
      <c r="A10340" s="7">
        <f ca="1">IFERROR(__xludf.DUMMYFUNCTION("""COMPUTED_VALUE"""),44868)</f>
        <v>44868</v>
      </c>
      <c r="B10340" s="6" t="str">
        <f ca="1">IFERROR(__xludf.DUMMYFUNCTION("""COMPUTED_VALUE"""),"-33.8075515,-71.2542568")</f>
        <v>-33.8075515,-71.2542568</v>
      </c>
      <c r="C10340" s="6" t="str">
        <f ca="1">IFERROR(__xludf.DUMMYFUNCTION("""COMPUTED_VALUE"""),"SITIO 5 292C")</f>
        <v>SITIO 5 292C</v>
      </c>
      <c r="D10340" s="6" t="str">
        <f ca="1">IFERROR(__xludf.DUMMYFUNCTION("""COMPUTED_VALUE"""),"MELIPILLA")</f>
        <v>MELIPILLA</v>
      </c>
    </row>
    <row r="10341" spans="1:4">
      <c r="A10341" s="7">
        <f ca="1">IFERROR(__xludf.DUMMYFUNCTION("""COMPUTED_VALUE"""),44868)</f>
        <v>44868</v>
      </c>
      <c r="B10341" s="6" t="str">
        <f ca="1">IFERROR(__xludf.DUMMYFUNCTION("""COMPUTED_VALUE"""),"-33.8156274,-71.3087724")</f>
        <v>-33.8156274,-71.3087724</v>
      </c>
      <c r="C10341" s="6" t="str">
        <f ca="1">IFERROR(__xludf.DUMMYFUNCTION("""COMPUTED_VALUE"""),"POPETA S/N")</f>
        <v>POPETA S/N</v>
      </c>
      <c r="D10341" s="6" t="str">
        <f ca="1">IFERROR(__xludf.DUMMYFUNCTION("""COMPUTED_VALUE"""),"MELIPILLA")</f>
        <v>MELIPILLA</v>
      </c>
    </row>
    <row r="10342" spans="1:4">
      <c r="A10342" s="7">
        <f ca="1">IFERROR(__xludf.DUMMYFUNCTION("""COMPUTED_VALUE"""),44868)</f>
        <v>44868</v>
      </c>
      <c r="B10342" s="6" t="str">
        <f ca="1">IFERROR(__xludf.DUMMYFUNCTION("""COMPUTED_VALUE"""),"-33.8120145,-70.7407942")</f>
        <v>-33.8120145,-70.7407942</v>
      </c>
      <c r="C10342" s="6" t="str">
        <f ca="1">IFERROR(__xludf.DUMMYFUNCTION("""COMPUTED_VALUE"""),"CALLE PRINCIPAL 173")</f>
        <v>CALLE PRINCIPAL 173</v>
      </c>
      <c r="D10342" s="6" t="str">
        <f ca="1">IFERROR(__xludf.DUMMYFUNCTION("""COMPUTED_VALUE"""),"PAINE")</f>
        <v>PAINE</v>
      </c>
    </row>
    <row r="10343" spans="1:4">
      <c r="A10343" s="7">
        <f ca="1">IFERROR(__xludf.DUMMYFUNCTION("""COMPUTED_VALUE"""),44868)</f>
        <v>44868</v>
      </c>
      <c r="B10343" s="6" t="str">
        <f ca="1">IFERROR(__xludf.DUMMYFUNCTION("""COMPUTED_VALUE"""),"-33.608846,-70.733398")</f>
        <v>-33.608846,-70.733398</v>
      </c>
      <c r="C10343" s="6" t="str">
        <f ca="1">IFERROR(__xludf.DUMMYFUNCTION("""COMPUTED_VALUE"""),"CALLE 18 DE SEPTIEMBRE 0616")</f>
        <v>CALLE 18 DE SEPTIEMBRE 0616</v>
      </c>
      <c r="D10343" s="6" t="str">
        <f ca="1">IFERROR(__xludf.DUMMYFUNCTION("""COMPUTED_VALUE"""),"PAINE")</f>
        <v>PAINE</v>
      </c>
    </row>
    <row r="10344" spans="1:4">
      <c r="A10344" s="7">
        <f ca="1">IFERROR(__xludf.DUMMYFUNCTION("""COMPUTED_VALUE"""),44868)</f>
        <v>44868</v>
      </c>
      <c r="B10344" s="6" t="str">
        <f ca="1">IFERROR(__xludf.DUMMYFUNCTION("""COMPUTED_VALUE"""),"-33.863670,-70.750171")</f>
        <v>-33.863670,-70.750171</v>
      </c>
      <c r="C10344" s="6" t="str">
        <f ca="1">IFERROR(__xludf.DUMMYFUNCTION("""COMPUTED_VALUE"""),"LAS ACACIAS 1168")</f>
        <v>LAS ACACIAS 1168</v>
      </c>
      <c r="D10344" s="6" t="str">
        <f ca="1">IFERROR(__xludf.DUMMYFUNCTION("""COMPUTED_VALUE"""),"PAINE")</f>
        <v>PAINE</v>
      </c>
    </row>
    <row r="10345" spans="1:4">
      <c r="A10345" s="7">
        <f ca="1">IFERROR(__xludf.DUMMYFUNCTION("""COMPUTED_VALUE"""),44868)</f>
        <v>44868</v>
      </c>
      <c r="B10345" s="6" t="str">
        <f ca="1">IFERROR(__xludf.DUMMYFUNCTION("""COMPUTED_VALUE"""),"-33.089073,-70.916868")</f>
        <v>-33.089073,-70.916868</v>
      </c>
      <c r="C10345" s="6" t="str">
        <f ca="1">IFERROR(__xludf.DUMMYFUNCTION("""COMPUTED_VALUE"""),"MARCELA PAZ 022")</f>
        <v>MARCELA PAZ 022</v>
      </c>
      <c r="D10345" s="6" t="str">
        <f ca="1">IFERROR(__xludf.DUMMYFUNCTION("""COMPUTED_VALUE"""),"TIL TIL")</f>
        <v>TIL TIL</v>
      </c>
    </row>
    <row r="10346" spans="1:4">
      <c r="A10346" s="7">
        <f ca="1">IFERROR(__xludf.DUMMYFUNCTION("""COMPUTED_VALUE"""),44869)</f>
        <v>44869</v>
      </c>
      <c r="B10346" s="6" t="str">
        <f ca="1">IFERROR(__xludf.DUMMYFUNCTION("""COMPUTED_VALUE"""),"-33.70724-70.56609")</f>
        <v>-33.70724-70.56609</v>
      </c>
      <c r="C10346" s="6" t="str">
        <f ca="1">IFERROR(__xludf.DUMMYFUNCTION("""COMPUTED_VALUE"""),"CAMINO EL PRINCIPAL 33")</f>
        <v>CAMINO EL PRINCIPAL 33</v>
      </c>
      <c r="D10346" s="6" t="str">
        <f ca="1">IFERROR(__xludf.DUMMYFUNCTION("""COMPUTED_VALUE"""),"PIRQUE")</f>
        <v>PIRQUE</v>
      </c>
    </row>
    <row r="10347" spans="1:4">
      <c r="A10347" s="7">
        <f ca="1">IFERROR(__xludf.DUMMYFUNCTION("""COMPUTED_VALUE"""),44869)</f>
        <v>44869</v>
      </c>
      <c r="B10347" s="6" t="str">
        <f ca="1">IFERROR(__xludf.DUMMYFUNCTION("""COMPUTED_VALUE"""),"-33.70724-70.566610")</f>
        <v>-33.70724-70.566610</v>
      </c>
      <c r="C10347" s="6" t="str">
        <f ca="1">IFERROR(__xludf.DUMMYFUNCTION("""COMPUTED_VALUE"""),"CAMINO EL PRINCIPAL 33")</f>
        <v>CAMINO EL PRINCIPAL 33</v>
      </c>
      <c r="D10347" s="6" t="str">
        <f ca="1">IFERROR(__xludf.DUMMYFUNCTION("""COMPUTED_VALUE"""),"PIRQUE")</f>
        <v>PIRQUE</v>
      </c>
    </row>
    <row r="10348" spans="1:4">
      <c r="A10348" s="7">
        <f ca="1">IFERROR(__xludf.DUMMYFUNCTION("""COMPUTED_VALUE"""),44869)</f>
        <v>44869</v>
      </c>
      <c r="B10348" s="8" t="str">
        <f ca="1">IFERROR(__xludf.DUMMYFUNCTION("""COMPUTED_VALUE"""),"-33.695207,-71.080644")</f>
        <v>-33.695207,-71.080644</v>
      </c>
      <c r="C10348" s="6" t="str">
        <f ca="1">IFERROR(__xludf.DUMMYFUNCTION("""COMPUTED_VALUE"""),"LOS LIBERTADORES 4202 P.8")</f>
        <v>LOS LIBERTADORES 4202 P.8</v>
      </c>
      <c r="D10348" s="6" t="str">
        <f ca="1">IFERROR(__xludf.DUMMYFUNCTION("""COMPUTED_VALUE"""),"EL MONTE")</f>
        <v>EL MONTE</v>
      </c>
    </row>
    <row r="10349" spans="1:4">
      <c r="A10349" s="7">
        <f ca="1">IFERROR(__xludf.DUMMYFUNCTION("""COMPUTED_VALUE"""),44869)</f>
        <v>44869</v>
      </c>
      <c r="B10349" s="8" t="str">
        <f ca="1">IFERROR(__xludf.DUMMYFUNCTION("""COMPUTED_VALUE"""),"-33.297462,-70.877479")</f>
        <v>-33.297462,-70.877479</v>
      </c>
      <c r="C10349" s="6" t="str">
        <f ca="1">IFERROR(__xludf.DUMMYFUNCTION("""COMPUTED_VALUE"""),"HACIENDA DE CHACABUCO ")</f>
        <v xml:space="preserve">HACIENDA DE CHACABUCO </v>
      </c>
      <c r="D10349" s="6" t="str">
        <f ca="1">IFERROR(__xludf.DUMMYFUNCTION("""COMPUTED_VALUE"""),"COLINA")</f>
        <v>COLINA</v>
      </c>
    </row>
    <row r="10350" spans="1:4">
      <c r="A10350" s="7">
        <f ca="1">IFERROR(__xludf.DUMMYFUNCTION("""COMPUTED_VALUE"""),44869)</f>
        <v>44869</v>
      </c>
      <c r="B10350" s="6" t="str">
        <f ca="1">IFERROR(__xludf.DUMMYFUNCTION("""COMPUTED_VALUE"""),"-33.691719,-70.900165")</f>
        <v>-33.691719,-70.900165</v>
      </c>
      <c r="C10350" s="6" t="str">
        <f ca="1">IFERROR(__xludf.DUMMYFUNCTION("""COMPUTED_VALUE"""),"CARAMPANGA FUNDIDO CARAMPANGUE  S/N")</f>
        <v>CARAMPANGA FUNDIDO CARAMPANGUE  S/N</v>
      </c>
      <c r="D10350" s="6" t="str">
        <f ca="1">IFERROR(__xludf.DUMMYFUNCTION("""COMPUTED_VALUE"""),"TALAGANTE")</f>
        <v>TALAGANTE</v>
      </c>
    </row>
    <row r="10351" spans="1:4">
      <c r="A10351" s="7">
        <f ca="1">IFERROR(__xludf.DUMMYFUNCTION("""COMPUTED_VALUE"""),44869)</f>
        <v>44869</v>
      </c>
      <c r="B10351" s="6" t="str">
        <f ca="1">IFERROR(__xludf.DUMMYFUNCTION("""COMPUTED_VALUE"""),"-33.691719,-70.900165")</f>
        <v>-33.691719,-70.900165</v>
      </c>
      <c r="C10351" s="6" t="str">
        <f ca="1">IFERROR(__xludf.DUMMYFUNCTION("""COMPUTED_VALUE"""),"CARAMPANGA FUNDIDO CARAMPANGUE  S/N")</f>
        <v>CARAMPANGA FUNDIDO CARAMPANGUE  S/N</v>
      </c>
      <c r="D10351" s="6" t="str">
        <f ca="1">IFERROR(__xludf.DUMMYFUNCTION("""COMPUTED_VALUE"""),"TALAGANTE")</f>
        <v>TALAGANTE</v>
      </c>
    </row>
    <row r="10352" spans="1:4">
      <c r="A10352" s="7">
        <f ca="1">IFERROR(__xludf.DUMMYFUNCTION("""COMPUTED_VALUE"""),44869)</f>
        <v>44869</v>
      </c>
      <c r="B10352" s="6" t="str">
        <f ca="1">IFERROR(__xludf.DUMMYFUNCTION("""COMPUTED_VALUE"""),"-33.287406,-70.879241")</f>
        <v>-33.287406,-70.879241</v>
      </c>
      <c r="C10352" s="6" t="str">
        <f ca="1">IFERROR(__xludf.DUMMYFUNCTION("""COMPUTED_VALUE"""),"ALCALDE MARIO RIQUELME 120")</f>
        <v>ALCALDE MARIO RIQUELME 120</v>
      </c>
      <c r="D10352" s="6" t="str">
        <f ca="1">IFERROR(__xludf.DUMMYFUNCTION("""COMPUTED_VALUE"""),"LAMPA")</f>
        <v>LAMPA</v>
      </c>
    </row>
    <row r="10353" spans="1:4">
      <c r="A10353" s="7">
        <f ca="1">IFERROR(__xludf.DUMMYFUNCTION("""COMPUTED_VALUE"""),44869)</f>
        <v>44869</v>
      </c>
      <c r="B10353" s="6" t="str">
        <f ca="1">IFERROR(__xludf.DUMMYFUNCTION("""COMPUTED_VALUE"""),"-33.732704,-70.763236")</f>
        <v>-33.732704,-70.763236</v>
      </c>
      <c r="C10353" s="6" t="str">
        <f ca="1">IFERROR(__xludf.DUMMYFUNCTION("""COMPUTED_VALUE"""),"PAULINA GOMEZ CONEPA 80")</f>
        <v>PAULINA GOMEZ CONEPA 80</v>
      </c>
      <c r="D10353" s="6" t="str">
        <f ca="1">IFERROR(__xludf.DUMMYFUNCTION("""COMPUTED_VALUE"""),"BUIN")</f>
        <v>BUIN</v>
      </c>
    </row>
    <row r="10354" spans="1:4">
      <c r="A10354" s="7">
        <f ca="1">IFERROR(__xludf.DUMMYFUNCTION("""COMPUTED_VALUE"""),44869)</f>
        <v>44869</v>
      </c>
      <c r="B10354" s="6" t="str">
        <f ca="1">IFERROR(__xludf.DUMMYFUNCTION("""COMPUTED_VALUE"""),"-33.332673,-70.763225")</f>
        <v>-33.332673,-70.763225</v>
      </c>
      <c r="C10354" s="6" t="str">
        <f ca="1">IFERROR(__xludf.DUMMYFUNCTION("""COMPUTED_VALUE"""),"PAULINA GOMEZ CONEPA 86 ")</f>
        <v xml:space="preserve">PAULINA GOMEZ CONEPA 86 </v>
      </c>
      <c r="D10354" s="6" t="str">
        <f ca="1">IFERROR(__xludf.DUMMYFUNCTION("""COMPUTED_VALUE"""),"BUIN")</f>
        <v>BUIN</v>
      </c>
    </row>
    <row r="10355" spans="1:4">
      <c r="A10355" s="7">
        <f ca="1">IFERROR(__xludf.DUMMYFUNCTION("""COMPUTED_VALUE"""),44869)</f>
        <v>44869</v>
      </c>
      <c r="B10355" s="6" t="str">
        <f ca="1">IFERROR(__xludf.DUMMYFUNCTION("""COMPUTED_VALUE"""),"-33.293855,-70.871047")</f>
        <v>-33.293855,-70.871047</v>
      </c>
      <c r="C10355" s="6" t="str">
        <f ca="1">IFERROR(__xludf.DUMMYFUNCTION("""COMPUTED_VALUE"""),"LA FRONTERA 1768")</f>
        <v>LA FRONTERA 1768</v>
      </c>
      <c r="D10355" s="6" t="str">
        <f ca="1">IFERROR(__xludf.DUMMYFUNCTION("""COMPUTED_VALUE"""),"LAMPA")</f>
        <v>LAMPA</v>
      </c>
    </row>
    <row r="10356" spans="1:4">
      <c r="A10356" s="7">
        <f ca="1">IFERROR(__xludf.DUMMYFUNCTION("""COMPUTED_VALUE"""),44869)</f>
        <v>44869</v>
      </c>
      <c r="B10356" s="8" t="str">
        <f ca="1">IFERROR(__xludf.DUMMYFUNCTION("""COMPUTED_VALUE"""),"-33.2768780:-70.8375850")</f>
        <v>-33.2768780:-70.8375850</v>
      </c>
      <c r="C10356" s="6" t="str">
        <f ca="1">IFERROR(__xludf.DUMMYFUNCTION("""COMPUTED_VALUE"""),"SANTA INES SITIO 9 ")</f>
        <v xml:space="preserve">SANTA INES SITIO 9 </v>
      </c>
      <c r="D10356" s="6" t="str">
        <f ca="1">IFERROR(__xludf.DUMMYFUNCTION("""COMPUTED_VALUE"""),"LAMPA")</f>
        <v>LAMPA</v>
      </c>
    </row>
    <row r="10357" spans="1:4">
      <c r="A10357" s="7">
        <f ca="1">IFERROR(__xludf.DUMMYFUNCTION("""COMPUTED_VALUE"""),44869)</f>
        <v>44869</v>
      </c>
      <c r="B10357" s="8" t="str">
        <f ca="1">IFERROR(__xludf.DUMMYFUNCTION("""COMPUTED_VALUE"""),"-33.161812:-70.788353")</f>
        <v>-33.161812:-70.788353</v>
      </c>
      <c r="C10357" s="6" t="str">
        <f ca="1">IFERROR(__xludf.DUMMYFUNCTION("""COMPUTED_VALUE"""),"LOS CAMINOS 470")</f>
        <v>LOS CAMINOS 470</v>
      </c>
      <c r="D10357" s="6" t="str">
        <f ca="1">IFERROR(__xludf.DUMMYFUNCTION("""COMPUTED_VALUE"""),"TIL TIL")</f>
        <v>TIL TIL</v>
      </c>
    </row>
    <row r="10358" spans="1:4">
      <c r="A10358" s="7">
        <f ca="1">IFERROR(__xludf.DUMMYFUNCTION("""COMPUTED_VALUE"""),44869)</f>
        <v>44869</v>
      </c>
      <c r="B10358" s="8" t="str">
        <f ca="1">IFERROR(__xludf.DUMMYFUNCTION("""COMPUTED_VALUE"""),"-33.716615:-70.891506")</f>
        <v>-33.716615:-70.891506</v>
      </c>
      <c r="C10358" s="6" t="str">
        <f ca="1">IFERROR(__xludf.DUMMYFUNCTION("""COMPUTED_VALUE"""),"CAMINO LAS PARCELAS 2826")</f>
        <v>CAMINO LAS PARCELAS 2826</v>
      </c>
      <c r="D10358" s="6" t="str">
        <f ca="1">IFERROR(__xludf.DUMMYFUNCTION("""COMPUTED_VALUE"""),"ISLA DE MAIPO")</f>
        <v>ISLA DE MAIPO</v>
      </c>
    </row>
    <row r="10359" spans="1:4">
      <c r="A10359" s="7">
        <f ca="1">IFERROR(__xludf.DUMMYFUNCTION("""COMPUTED_VALUE"""),44869)</f>
        <v>44869</v>
      </c>
      <c r="B10359" s="6" t="str">
        <f ca="1">IFERROR(__xludf.DUMMYFUNCTION("""COMPUTED_VALUE"""),"-33.577475,-71.247105")</f>
        <v>-33.577475,-71.247105</v>
      </c>
      <c r="C10359" s="6" t="str">
        <f ca="1">IFERROR(__xludf.DUMMYFUNCTION("""COMPUTED_VALUE"""),"EL ALMENDRAL S/N")</f>
        <v>EL ALMENDRAL S/N</v>
      </c>
      <c r="D10359" s="6" t="str">
        <f ca="1">IFERROR(__xludf.DUMMYFUNCTION("""COMPUTED_VALUE"""),"MELIPILLA")</f>
        <v>MELIPILLA</v>
      </c>
    </row>
    <row r="10360" spans="1:4">
      <c r="A10360" s="7">
        <f ca="1">IFERROR(__xludf.DUMMYFUNCTION("""COMPUTED_VALUE"""),44869)</f>
        <v>44869</v>
      </c>
      <c r="B10360" s="6" t="str">
        <f ca="1">IFERROR(__xludf.DUMMYFUNCTION("""COMPUTED_VALUE"""),"-33.3500421,-71.1314473")</f>
        <v>-33.3500421,-71.1314473</v>
      </c>
      <c r="C10360" s="6" t="str">
        <f ca="1">IFERROR(__xludf.DUMMYFUNCTION("""COMPUTED_VALUE"""),"LOS CLANES LOTE 11")</f>
        <v>LOS CLANES LOTE 11</v>
      </c>
      <c r="D10360" s="6" t="str">
        <f ca="1">IFERROR(__xludf.DUMMYFUNCTION("""COMPUTED_VALUE"""),"CURACAVI")</f>
        <v>CURACAVI</v>
      </c>
    </row>
    <row r="10361" spans="1:4">
      <c r="A10361" s="7">
        <f ca="1">IFERROR(__xludf.DUMMYFUNCTION("""COMPUTED_VALUE"""),44869)</f>
        <v>44869</v>
      </c>
      <c r="B10361" s="6" t="str">
        <f ca="1">IFERROR(__xludf.DUMMYFUNCTION("""COMPUTED_VALUE"""),"-33.7924634,-71.2502130")</f>
        <v>-33.7924634,-71.2502130</v>
      </c>
      <c r="C10361" s="6" t="str">
        <f ca="1">IFERROR(__xludf.DUMMYFUNCTION("""COMPUTED_VALUE"""),"CULIPRON 87")</f>
        <v>CULIPRON 87</v>
      </c>
      <c r="D10361" s="6" t="str">
        <f ca="1">IFERROR(__xludf.DUMMYFUNCTION("""COMPUTED_VALUE"""),"MELIPILLA")</f>
        <v>MELIPILLA</v>
      </c>
    </row>
    <row r="10362" spans="1:4">
      <c r="A10362" s="7">
        <f ca="1">IFERROR(__xludf.DUMMYFUNCTION("""COMPUTED_VALUE"""),44869)</f>
        <v>44869</v>
      </c>
      <c r="B10362" s="6" t="str">
        <f ca="1">IFERROR(__xludf.DUMMYFUNCTION("""COMPUTED_VALUE"""),"-33.8543220,-70.71208242")</f>
        <v>-33.8543220,-70.71208242</v>
      </c>
      <c r="C10362" s="6" t="str">
        <f ca="1">IFERROR(__xludf.DUMMYFUNCTION("""COMPUTED_VALUE"""),"TANTEHUE ALTO 2739 PC 50")</f>
        <v>TANTEHUE ALTO 2739 PC 50</v>
      </c>
      <c r="D10362" s="6" t="str">
        <f ca="1">IFERROR(__xludf.DUMMYFUNCTION("""COMPUTED_VALUE"""),"MELIPILLA")</f>
        <v>MELIPILLA</v>
      </c>
    </row>
    <row r="10363" spans="1:4">
      <c r="A10363" s="7">
        <f ca="1">IFERROR(__xludf.DUMMYFUNCTION("""COMPUTED_VALUE"""),44869)</f>
        <v>44869</v>
      </c>
      <c r="B10363" s="6" t="str">
        <f ca="1">IFERROR(__xludf.DUMMYFUNCTION("""COMPUTED_VALUE"""),"-33.916478,-70.752669")</f>
        <v>-33.916478,-70.752669</v>
      </c>
      <c r="C10363" s="6" t="str">
        <f ca="1">IFERROR(__xludf.DUMMYFUNCTION("""COMPUTED_VALUE"""),"LA ENSEÑANZA SITIO 9")</f>
        <v>LA ENSEÑANZA SITIO 9</v>
      </c>
      <c r="D10363" s="6" t="str">
        <f ca="1">IFERROR(__xludf.DUMMYFUNCTION("""COMPUTED_VALUE"""),"PAINE")</f>
        <v>PAINE</v>
      </c>
    </row>
    <row r="10364" spans="1:4">
      <c r="A10364" s="7">
        <f ca="1">IFERROR(__xludf.DUMMYFUNCTION("""COMPUTED_VALUE"""),44869)</f>
        <v>44869</v>
      </c>
      <c r="B10364" s="6" t="str">
        <f ca="1">IFERROR(__xludf.DUMMYFUNCTION("""COMPUTED_VALUE"""),"-33.8134594,-70.7360142")</f>
        <v>-33.8134594,-70.7360142</v>
      </c>
      <c r="C10364" s="6" t="str">
        <f ca="1">IFERROR(__xludf.DUMMYFUNCTION("""COMPUTED_VALUE"""),"BUIN 1001")</f>
        <v>BUIN 1001</v>
      </c>
      <c r="D10364" s="6" t="str">
        <f ca="1">IFERROR(__xludf.DUMMYFUNCTION("""COMPUTED_VALUE"""),"PAINE")</f>
        <v>PAINE</v>
      </c>
    </row>
    <row r="10365" spans="1:4">
      <c r="A10365" s="7">
        <f ca="1">IFERROR(__xludf.DUMMYFUNCTION("""COMPUTED_VALUE"""),44869)</f>
        <v>44869</v>
      </c>
      <c r="B10365" s="6" t="str">
        <f ca="1">IFERROR(__xludf.DUMMYFUNCTION("""COMPUTED_VALUE"""),"-33.8087079,-70.7302501")</f>
        <v>-33.8087079,-70.7302501</v>
      </c>
      <c r="C10365" s="6" t="str">
        <f ca="1">IFERROR(__xludf.DUMMYFUNCTION("""COMPUTED_VALUE"""),"SAN SEBASTIAN 846")</f>
        <v>SAN SEBASTIAN 846</v>
      </c>
      <c r="D10365" s="6" t="str">
        <f ca="1">IFERROR(__xludf.DUMMYFUNCTION("""COMPUTED_VALUE"""),"PAINE")</f>
        <v>PAINE</v>
      </c>
    </row>
    <row r="10366" spans="1:4">
      <c r="A10366" s="7">
        <f ca="1">IFERROR(__xludf.DUMMYFUNCTION("""COMPUTED_VALUE"""),44870)</f>
        <v>44870</v>
      </c>
      <c r="B10366" s="6" t="str">
        <f ca="1">IFERROR(__xludf.DUMMYFUNCTION("""COMPUTED_VALUE"""),"-34.031458-71.107106")</f>
        <v>-34.031458-71.107106</v>
      </c>
      <c r="C10366" s="6" t="str">
        <f ca="1">IFERROR(__xludf.DUMMYFUNCTION("""COMPUTED_VALUE"""),"CACIQUE 04")</f>
        <v>CACIQUE 04</v>
      </c>
      <c r="D10366" s="6" t="str">
        <f ca="1">IFERROR(__xludf.DUMMYFUNCTION("""COMPUTED_VALUE"""),"ALHUÉ")</f>
        <v>ALHUÉ</v>
      </c>
    </row>
    <row r="10367" spans="1:4">
      <c r="A10367" s="7">
        <f ca="1">IFERROR(__xludf.DUMMYFUNCTION("""COMPUTED_VALUE"""),44870)</f>
        <v>44870</v>
      </c>
      <c r="B10367" s="6" t="str">
        <f ca="1">IFERROR(__xludf.DUMMYFUNCTION("""COMPUTED_VALUE"""),"-34.028950-71.102211")</f>
        <v>-34.028950-71.102211</v>
      </c>
      <c r="C10367" s="6" t="str">
        <f ca="1">IFERROR(__xludf.DUMMYFUNCTION("""COMPUTED_VALUE"""),"VILLA ALHUE S/N")</f>
        <v>VILLA ALHUE S/N</v>
      </c>
      <c r="D10367" s="6" t="str">
        <f ca="1">IFERROR(__xludf.DUMMYFUNCTION("""COMPUTED_VALUE"""),"ALHUÉ")</f>
        <v>ALHUÉ</v>
      </c>
    </row>
    <row r="10368" spans="1:4">
      <c r="A10368" s="7">
        <f ca="1">IFERROR(__xludf.DUMMYFUNCTION("""COMPUTED_VALUE"""),44870)</f>
        <v>44870</v>
      </c>
      <c r="B10368" s="8" t="str">
        <f ca="1">IFERROR(__xludf.DUMMYFUNCTION("""COMPUTED_VALUE"""),"-33.027397,-70.688674")</f>
        <v>-33.027397,-70.688674</v>
      </c>
      <c r="C10368" s="6" t="str">
        <f ca="1">IFERROR(__xludf.DUMMYFUNCTION("""COMPUTED_VALUE"""),"LAS MALVAS 101059")</f>
        <v>LAS MALVAS 101059</v>
      </c>
      <c r="D10368" s="6" t="str">
        <f ca="1">IFERROR(__xludf.DUMMYFUNCTION("""COMPUTED_VALUE"""),"LAMPA")</f>
        <v>LAMPA</v>
      </c>
    </row>
    <row r="10369" spans="1:4">
      <c r="A10369" s="7">
        <f ca="1">IFERROR(__xludf.DUMMYFUNCTION("""COMPUTED_VALUE"""),44870)</f>
        <v>44870</v>
      </c>
      <c r="B10369" s="6" t="str">
        <f ca="1">IFERROR(__xludf.DUMMYFUNCTION("""COMPUTED_VALUE"""),"-33.241519,-70.815003")</f>
        <v>-33.241519,-70.815003</v>
      </c>
      <c r="C10369" s="6" t="str">
        <f ca="1">IFERROR(__xludf.DUMMYFUNCTION("""COMPUTED_VALUE"""),"AVDA UNO SUR 78")</f>
        <v>AVDA UNO SUR 78</v>
      </c>
      <c r="D10369" s="6" t="str">
        <f ca="1">IFERROR(__xludf.DUMMYFUNCTION("""COMPUTED_VALUE"""),"LAMPA")</f>
        <v>LAMPA</v>
      </c>
    </row>
    <row r="10370" spans="1:4">
      <c r="A10370" s="7">
        <f ca="1">IFERROR(__xludf.DUMMYFUNCTION("""COMPUTED_VALUE"""),44870)</f>
        <v>44870</v>
      </c>
      <c r="B10370" s="6" t="str">
        <f ca="1">IFERROR(__xludf.DUMMYFUNCTION("""COMPUTED_VALUE"""),"-34.037251,-71.215433")</f>
        <v>-34.037251,-71.215433</v>
      </c>
      <c r="C10370" s="6" t="str">
        <f ca="1">IFERROR(__xludf.DUMMYFUNCTION("""COMPUTED_VALUE"""),"I. CARRERA PINTO S/N")</f>
        <v>I. CARRERA PINTO S/N</v>
      </c>
      <c r="D10370" s="6" t="str">
        <f ca="1">IFERROR(__xludf.DUMMYFUNCTION("""COMPUTED_VALUE"""),"ALHUÉ")</f>
        <v>ALHUÉ</v>
      </c>
    </row>
    <row r="10371" spans="1:4">
      <c r="A10371" s="7">
        <f ca="1">IFERROR(__xludf.DUMMYFUNCTION("""COMPUTED_VALUE"""),44870)</f>
        <v>44870</v>
      </c>
      <c r="B10371" s="6" t="str">
        <f ca="1">IFERROR(__xludf.DUMMYFUNCTION("""COMPUTED_VALUE"""),"-34.037251,-71.215433")</f>
        <v>-34.037251,-71.215433</v>
      </c>
      <c r="C10371" s="6" t="str">
        <f ca="1">IFERROR(__xludf.DUMMYFUNCTION("""COMPUTED_VALUE"""),"I. CARRERA PINTO S/N")</f>
        <v>I. CARRERA PINTO S/N</v>
      </c>
      <c r="D10371" s="6" t="str">
        <f ca="1">IFERROR(__xludf.DUMMYFUNCTION("""COMPUTED_VALUE"""),"ALHUÉ")</f>
        <v>ALHUÉ</v>
      </c>
    </row>
    <row r="10372" spans="1:4">
      <c r="A10372" s="7">
        <f ca="1">IFERROR(__xludf.DUMMYFUNCTION("""COMPUTED_VALUE"""),44872)</f>
        <v>44872</v>
      </c>
      <c r="B10372" s="8" t="str">
        <f ca="1">IFERROR(__xludf.DUMMYFUNCTION("""COMPUTED_VALUE"""),"-33.7033033, -71.2207883")</f>
        <v>-33.7033033, -71.2207883</v>
      </c>
      <c r="C10372" s="6" t="str">
        <f ca="1">IFERROR(__xludf.DUMMYFUNCTION("""COMPUTED_VALUE"""),"LAS ACACIAS 865")</f>
        <v>LAS ACACIAS 865</v>
      </c>
      <c r="D10372" s="6" t="str">
        <f ca="1">IFERROR(__xludf.DUMMYFUNCTION("""COMPUTED_VALUE"""),"MELIPILLA")</f>
        <v>MELIPILLA</v>
      </c>
    </row>
    <row r="10373" spans="1:4">
      <c r="A10373" s="7">
        <f ca="1">IFERROR(__xludf.DUMMYFUNCTION("""COMPUTED_VALUE"""),44872)</f>
        <v>44872</v>
      </c>
      <c r="B10373" s="6" t="str">
        <f ca="1">IFERROR(__xludf.DUMMYFUNCTION("""COMPUTED_VALUE"""),"-33.72710-70.53888")</f>
        <v>-33.72710-70.53888</v>
      </c>
      <c r="C10373" s="6" t="str">
        <f ca="1">IFERROR(__xludf.DUMMYFUNCTION("""COMPUTED_VALUE"""),"CALLE LA ESCUELA 81 A")</f>
        <v>CALLE LA ESCUELA 81 A</v>
      </c>
      <c r="D10373" s="6" t="str">
        <f ca="1">IFERROR(__xludf.DUMMYFUNCTION("""COMPUTED_VALUE"""),"PIRQUE")</f>
        <v>PIRQUE</v>
      </c>
    </row>
    <row r="10374" spans="1:4">
      <c r="A10374" s="7">
        <f ca="1">IFERROR(__xludf.DUMMYFUNCTION("""COMPUTED_VALUE"""),44872)</f>
        <v>44872</v>
      </c>
      <c r="B10374" s="6" t="str">
        <f ca="1">IFERROR(__xludf.DUMMYFUNCTION("""COMPUTED_VALUE"""),"-33.70744-70.56629")</f>
        <v>-33.70744-70.56629</v>
      </c>
      <c r="C10374" s="6" t="str">
        <f ca="1">IFERROR(__xludf.DUMMYFUNCTION("""COMPUTED_VALUE"""),"EL PRINCIPAL 38 B")</f>
        <v>EL PRINCIPAL 38 B</v>
      </c>
      <c r="D10374" s="6" t="str">
        <f ca="1">IFERROR(__xludf.DUMMYFUNCTION("""COMPUTED_VALUE"""),"PIRQUE")</f>
        <v>PIRQUE</v>
      </c>
    </row>
    <row r="10375" spans="1:4">
      <c r="A10375" s="7">
        <f ca="1">IFERROR(__xludf.DUMMYFUNCTION("""COMPUTED_VALUE"""),44872)</f>
        <v>44872</v>
      </c>
      <c r="B10375" s="6" t="str">
        <f ca="1">IFERROR(__xludf.DUMMYFUNCTION("""COMPUTED_VALUE"""),"-33.760227-70.733491")</f>
        <v>-33.760227-70.733491</v>
      </c>
      <c r="C10375" s="6" t="str">
        <f ca="1">IFERROR(__xludf.DUMMYFUNCTION("""COMPUTED_VALUE"""),"VALERIO LOPEZ 044")</f>
        <v>VALERIO LOPEZ 044</v>
      </c>
      <c r="D10375" s="6" t="str">
        <f ca="1">IFERROR(__xludf.DUMMYFUNCTION("""COMPUTED_VALUE"""),"BUIN")</f>
        <v>BUIN</v>
      </c>
    </row>
    <row r="10376" spans="1:4">
      <c r="A10376" s="7">
        <f ca="1">IFERROR(__xludf.DUMMYFUNCTION("""COMPUTED_VALUE"""),44872)</f>
        <v>44872</v>
      </c>
      <c r="B10376" s="6" t="str">
        <f ca="1">IFERROR(__xludf.DUMMYFUNCTION("""COMPUTED_VALUE"""),"-33.731385-70.779226")</f>
        <v>-33.731385-70.779226</v>
      </c>
      <c r="C10376" s="6" t="str">
        <f ca="1">IFERROR(__xludf.DUMMYFUNCTION("""COMPUTED_VALUE"""),"ARTURO PRAT 166")</f>
        <v>ARTURO PRAT 166</v>
      </c>
      <c r="D10376" s="6" t="str">
        <f ca="1">IFERROR(__xludf.DUMMYFUNCTION("""COMPUTED_VALUE"""),"BUIN")</f>
        <v>BUIN</v>
      </c>
    </row>
    <row r="10377" spans="1:4">
      <c r="A10377" s="7">
        <f ca="1">IFERROR(__xludf.DUMMYFUNCTION("""COMPUTED_VALUE"""),44872)</f>
        <v>44872</v>
      </c>
      <c r="B10377" s="6" t="str">
        <f ca="1">IFERROR(__xludf.DUMMYFUNCTION("""COMPUTED_VALUE"""),"-33.729621-70.777381")</f>
        <v>-33.729621-70.777381</v>
      </c>
      <c r="C10377" s="6" t="str">
        <f ca="1">IFERROR(__xludf.DUMMYFUNCTION("""COMPUTED_VALUE"""),"LOS CEIBOS 100")</f>
        <v>LOS CEIBOS 100</v>
      </c>
      <c r="D10377" s="6" t="str">
        <f ca="1">IFERROR(__xludf.DUMMYFUNCTION("""COMPUTED_VALUE"""),"BUIN")</f>
        <v>BUIN</v>
      </c>
    </row>
    <row r="10378" spans="1:4">
      <c r="A10378" s="7">
        <f ca="1">IFERROR(__xludf.DUMMYFUNCTION("""COMPUTED_VALUE"""),44872)</f>
        <v>44872</v>
      </c>
      <c r="B10378" s="6" t="str">
        <f ca="1">IFERROR(__xludf.DUMMYFUNCTION("""COMPUTED_VALUE"""),"-33.750128-70.687321")</f>
        <v>-33.750128-70.687321</v>
      </c>
      <c r="C10378" s="6" t="str">
        <f ca="1">IFERROR(__xludf.DUMMYFUNCTION("""COMPUTED_VALUE"""),"SIN CALLE S/N")</f>
        <v>SIN CALLE S/N</v>
      </c>
      <c r="D10378" s="6" t="str">
        <f ca="1">IFERROR(__xludf.DUMMYFUNCTION("""COMPUTED_VALUE"""),"PAINE")</f>
        <v>PAINE</v>
      </c>
    </row>
    <row r="10379" spans="1:4">
      <c r="A10379" s="7">
        <f ca="1">IFERROR(__xludf.DUMMYFUNCTION("""COMPUTED_VALUE"""),44872)</f>
        <v>44872</v>
      </c>
      <c r="B10379" s="6" t="str">
        <f ca="1">IFERROR(__xludf.DUMMYFUNCTION("""COMPUTED_VALUE"""),"-33.408648-71.125988")</f>
        <v>-33.408648-71.125988</v>
      </c>
      <c r="C10379" s="6" t="str">
        <f ca="1">IFERROR(__xludf.DUMMYFUNCTION("""COMPUTED_VALUE"""),"PREBITERO MORAGA SUR 551")</f>
        <v>PREBITERO MORAGA SUR 551</v>
      </c>
      <c r="D10379" s="6" t="str">
        <f ca="1">IFERROR(__xludf.DUMMYFUNCTION("""COMPUTED_VALUE"""),"CURACAVI")</f>
        <v>CURACAVI</v>
      </c>
    </row>
    <row r="10380" spans="1:4">
      <c r="A10380" s="7">
        <f ca="1">IFERROR(__xludf.DUMMYFUNCTION("""COMPUTED_VALUE"""),44872)</f>
        <v>44872</v>
      </c>
      <c r="B10380" s="6" t="str">
        <f ca="1">IFERROR(__xludf.DUMMYFUNCTION("""COMPUTED_VALUE"""),"-33.396893-71.121402")</f>
        <v>-33.396893-71.121402</v>
      </c>
      <c r="C10380" s="6" t="str">
        <f ca="1">IFERROR(__xludf.DUMMYFUNCTION("""COMPUTED_VALUE"""),"LAS ARAUCARIAS S/N")</f>
        <v>LAS ARAUCARIAS S/N</v>
      </c>
      <c r="D10380" s="6" t="str">
        <f ca="1">IFERROR(__xludf.DUMMYFUNCTION("""COMPUTED_VALUE"""),"CURACAVI")</f>
        <v>CURACAVI</v>
      </c>
    </row>
    <row r="10381" spans="1:4">
      <c r="A10381" s="7">
        <f ca="1">IFERROR(__xludf.DUMMYFUNCTION("""COMPUTED_VALUE"""),44872)</f>
        <v>44872</v>
      </c>
      <c r="B10381" s="6" t="str">
        <f ca="1">IFERROR(__xludf.DUMMYFUNCTION("""COMPUTED_VALUE"""),"-33.435196,-70.861167")</f>
        <v>-33.435196,-70.861167</v>
      </c>
      <c r="C10381" s="6" t="str">
        <f ca="1">IFERROR(__xludf.DUMMYFUNCTION("""COMPUTED_VALUE"""),"EL TAMARUGO 4507")</f>
        <v>EL TAMARUGO 4507</v>
      </c>
      <c r="D10381" s="6" t="str">
        <f ca="1">IFERROR(__xludf.DUMMYFUNCTION("""COMPUTED_VALUE"""),"ISLA DE MAIPO")</f>
        <v>ISLA DE MAIPO</v>
      </c>
    </row>
    <row r="10382" spans="1:4">
      <c r="A10382" s="7">
        <f ca="1">IFERROR(__xludf.DUMMYFUNCTION("""COMPUTED_VALUE"""),44872)</f>
        <v>44872</v>
      </c>
      <c r="B10382" s="12" t="str">
        <f ca="1">IFERROR(__xludf.DUMMYFUNCTION("""COMPUTED_VALUE"""),"-33.739900,-70.862819")</f>
        <v>-33.739900,-70.862819</v>
      </c>
      <c r="C10382" s="6" t="str">
        <f ca="1">IFERROR(__xludf.DUMMYFUNCTION("""COMPUTED_VALUE"""),"LA MAÑANA 4181")</f>
        <v>LA MAÑANA 4181</v>
      </c>
      <c r="D10382" s="6" t="str">
        <f ca="1">IFERROR(__xludf.DUMMYFUNCTION("""COMPUTED_VALUE"""),"ISLA DE MAIPO")</f>
        <v>ISLA DE MAIPO</v>
      </c>
    </row>
    <row r="10383" spans="1:4">
      <c r="A10383" s="7">
        <f ca="1">IFERROR(__xludf.DUMMYFUNCTION("""COMPUTED_VALUE"""),44872)</f>
        <v>44872</v>
      </c>
      <c r="B10383" s="6" t="str">
        <f ca="1">IFERROR(__xludf.DUMMYFUNCTION("""COMPUTED_VALUE"""),"-33.744218,-70.862951")</f>
        <v>-33.744218,-70.862951</v>
      </c>
      <c r="C10383" s="6" t="str">
        <f ca="1">IFERROR(__xludf.DUMMYFUNCTION("""COMPUTED_VALUE"""),"BALMACEDA 3716")</f>
        <v>BALMACEDA 3716</v>
      </c>
      <c r="D10383" s="6" t="str">
        <f ca="1">IFERROR(__xludf.DUMMYFUNCTION("""COMPUTED_VALUE"""),"ISLA DE MAIPO")</f>
        <v>ISLA DE MAIPO</v>
      </c>
    </row>
    <row r="10384" spans="1:4">
      <c r="A10384" s="7">
        <f ca="1">IFERROR(__xludf.DUMMYFUNCTION("""COMPUTED_VALUE"""),44872)</f>
        <v>44872</v>
      </c>
      <c r="B10384" s="8" t="str">
        <f ca="1">IFERROR(__xludf.DUMMYFUNCTION("""COMPUTED_VALUE"""),"-33.7682776:-70.887717")</f>
        <v>-33.7682776:-70.887717</v>
      </c>
      <c r="C10384" s="6" t="str">
        <f ca="1">IFERROR(__xludf.DUMMYFUNCTION("""COMPUTED_VALUE"""),"LOS MAITENES 122")</f>
        <v>LOS MAITENES 122</v>
      </c>
      <c r="D10384" s="6" t="str">
        <f ca="1">IFERROR(__xludf.DUMMYFUNCTION("""COMPUTED_VALUE"""),"ISLA DE MAIPO")</f>
        <v>ISLA DE MAIPO</v>
      </c>
    </row>
    <row r="10385" spans="1:4">
      <c r="A10385" s="7">
        <f ca="1">IFERROR(__xludf.DUMMYFUNCTION("""COMPUTED_VALUE"""),44872)</f>
        <v>44872</v>
      </c>
      <c r="B10385" s="6" t="str">
        <f ca="1">IFERROR(__xludf.DUMMYFUNCTION("""COMPUTED_VALUE"""),"-33.569497,-70.798995")</f>
        <v>-33.569497,-70.798995</v>
      </c>
      <c r="C10385" s="6" t="str">
        <f ca="1">IFERROR(__xludf.DUMMYFUNCTION("""COMPUTED_VALUE"""),"ESTANISLAO 1135")</f>
        <v>ESTANISLAO 1135</v>
      </c>
      <c r="D10385" s="6" t="str">
        <f ca="1">IFERROR(__xludf.DUMMYFUNCTION("""COMPUTED_VALUE"""),"PADRE HURTADO")</f>
        <v>PADRE HURTADO</v>
      </c>
    </row>
    <row r="10386" spans="1:4">
      <c r="A10386" s="7">
        <f ca="1">IFERROR(__xludf.DUMMYFUNCTION("""COMPUTED_VALUE"""),44872)</f>
        <v>44872</v>
      </c>
      <c r="B10386" s="6" t="str">
        <f ca="1">IFERROR(__xludf.DUMMYFUNCTION("""COMPUTED_VALUE"""),"-33.570498,-70.804705")</f>
        <v>-33.570498,-70.804705</v>
      </c>
      <c r="C10386" s="6" t="str">
        <f ca="1">IFERROR(__xludf.DUMMYFUNCTION("""COMPUTED_VALUE"""),"TENIENTE MERINO 758")</f>
        <v>TENIENTE MERINO 758</v>
      </c>
      <c r="D10386" s="6" t="str">
        <f ca="1">IFERROR(__xludf.DUMMYFUNCTION("""COMPUTED_VALUE"""),"PADRE HURTADO")</f>
        <v>PADRE HURTADO</v>
      </c>
    </row>
    <row r="10387" spans="1:4">
      <c r="A10387" s="7">
        <f ca="1">IFERROR(__xludf.DUMMYFUNCTION("""COMPUTED_VALUE"""),44872)</f>
        <v>44872</v>
      </c>
      <c r="B10387" s="6" t="str">
        <f ca="1">IFERROR(__xludf.DUMMYFUNCTION("""COMPUTED_VALUE"""),"-33.8055158,-70.7389284")</f>
        <v>-33.8055158,-70.7389284</v>
      </c>
      <c r="C10387" s="6" t="str">
        <f ca="1">IFERROR(__xludf.DUMMYFUNCTION("""COMPUTED_VALUE"""),"JOSE PEPE FUENTES 182")</f>
        <v>JOSE PEPE FUENTES 182</v>
      </c>
      <c r="D10387" s="6" t="str">
        <f ca="1">IFERROR(__xludf.DUMMYFUNCTION("""COMPUTED_VALUE"""),"PAINE")</f>
        <v>PAINE</v>
      </c>
    </row>
    <row r="10388" spans="1:4">
      <c r="A10388" s="7">
        <f ca="1">IFERROR(__xludf.DUMMYFUNCTION("""COMPUTED_VALUE"""),44872)</f>
        <v>44872</v>
      </c>
      <c r="B10388" s="6" t="str">
        <f ca="1">IFERROR(__xludf.DUMMYFUNCTION("""COMPUTED_VALUE"""),"-33.8137431,-70.7364427")</f>
        <v>-33.8137431,-70.7364427</v>
      </c>
      <c r="C10388" s="6" t="str">
        <f ca="1">IFERROR(__xludf.DUMMYFUNCTION("""COMPUTED_VALUE"""),"PASAJE TRES 976")</f>
        <v>PASAJE TRES 976</v>
      </c>
      <c r="D10388" s="6" t="str">
        <f ca="1">IFERROR(__xludf.DUMMYFUNCTION("""COMPUTED_VALUE"""),"PAINE")</f>
        <v>PAINE</v>
      </c>
    </row>
    <row r="10389" spans="1:4">
      <c r="A10389" s="7">
        <f ca="1">IFERROR(__xludf.DUMMYFUNCTION("""COMPUTED_VALUE"""),44873)</f>
        <v>44873</v>
      </c>
      <c r="B10389" s="8" t="str">
        <f ca="1">IFERROR(__xludf.DUMMYFUNCTION("""COMPUTED_VALUE"""),"-33.7033033, -71.2207883")</f>
        <v>-33.7033033, -71.2207883</v>
      </c>
      <c r="C10389" s="6" t="str">
        <f ca="1">IFERROR(__xludf.DUMMYFUNCTION("""COMPUTED_VALUE"""),"DIÓGENES CARVAJAL 698")</f>
        <v>DIÓGENES CARVAJAL 698</v>
      </c>
      <c r="D10389" s="6" t="str">
        <f ca="1">IFERROR(__xludf.DUMMYFUNCTION("""COMPUTED_VALUE"""),"PAINE")</f>
        <v>PAINE</v>
      </c>
    </row>
    <row r="10390" spans="1:4">
      <c r="A10390" s="7">
        <f ca="1">IFERROR(__xludf.DUMMYFUNCTION("""COMPUTED_VALUE"""),44873)</f>
        <v>44873</v>
      </c>
      <c r="B10390" s="8" t="str">
        <f ca="1">IFERROR(__xludf.DUMMYFUNCTION("""COMPUTED_VALUE"""),"-33.7323121, -71.0261353")</f>
        <v>-33.7323121, -71.0261353</v>
      </c>
      <c r="C10390" s="6" t="str">
        <f ca="1">IFERROR(__xludf.DUMMYFUNCTION("""COMPUTED_VALUE"""),"AV PRINCIPAL S/N")</f>
        <v>AV PRINCIPAL S/N</v>
      </c>
      <c r="D10390" s="6" t="str">
        <f ca="1">IFERROR(__xludf.DUMMYFUNCTION("""COMPUTED_VALUE"""),"ISLA DE MAIPO")</f>
        <v>ISLA DE MAIPO</v>
      </c>
    </row>
    <row r="10391" spans="1:4">
      <c r="A10391" s="7">
        <f ca="1">IFERROR(__xludf.DUMMYFUNCTION("""COMPUTED_VALUE"""),44873)</f>
        <v>44873</v>
      </c>
      <c r="B10391" s="6" t="str">
        <f ca="1">IFERROR(__xludf.DUMMYFUNCTION("""COMPUTED_VALUE"""),"-33.407237-71.128689")</f>
        <v>-33.407237-71.128689</v>
      </c>
      <c r="C10391" s="6" t="str">
        <f ca="1">IFERROR(__xludf.DUMMYFUNCTION("""COMPUTED_VALUE"""),"PASAJE UNO 1791")</f>
        <v>PASAJE UNO 1791</v>
      </c>
      <c r="D10391" s="6" t="str">
        <f ca="1">IFERROR(__xludf.DUMMYFUNCTION("""COMPUTED_VALUE"""),"CURACAVI")</f>
        <v>CURACAVI</v>
      </c>
    </row>
    <row r="10392" spans="1:4">
      <c r="A10392" s="7">
        <f ca="1">IFERROR(__xludf.DUMMYFUNCTION("""COMPUTED_VALUE"""),44873)</f>
        <v>44873</v>
      </c>
      <c r="B10392" s="6" t="str">
        <f ca="1">IFERROR(__xludf.DUMMYFUNCTION("""COMPUTED_VALUE"""),"-33.347214-71.122016")</f>
        <v>-33.347214-71.122016</v>
      </c>
      <c r="C10392" s="6" t="str">
        <f ca="1">IFERROR(__xludf.DUMMYFUNCTION("""COMPUTED_VALUE"""),"MIGUEL GUERRERO 286")</f>
        <v>MIGUEL GUERRERO 286</v>
      </c>
      <c r="D10392" s="6" t="str">
        <f ca="1">IFERROR(__xludf.DUMMYFUNCTION("""COMPUTED_VALUE"""),"CURACAVI")</f>
        <v>CURACAVI</v>
      </c>
    </row>
    <row r="10393" spans="1:4">
      <c r="A10393" s="7">
        <f ca="1">IFERROR(__xludf.DUMMYFUNCTION("""COMPUTED_VALUE"""),44873)</f>
        <v>44873</v>
      </c>
      <c r="B10393" s="6" t="str">
        <f ca="1">IFERROR(__xludf.DUMMYFUNCTION("""COMPUTED_VALUE"""),"-34.02854-71.08351")</f>
        <v>-34.02854-71.08351</v>
      </c>
      <c r="C10393" s="6" t="str">
        <f ca="1">IFERROR(__xludf.DUMMYFUNCTION("""COMPUTED_VALUE"""),"IGNACIO CARRERA PINTO S/N")</f>
        <v>IGNACIO CARRERA PINTO S/N</v>
      </c>
      <c r="D10393" s="6" t="str">
        <f ca="1">IFERROR(__xludf.DUMMYFUNCTION("""COMPUTED_VALUE"""),"ALHUÉ")</f>
        <v>ALHUÉ</v>
      </c>
    </row>
    <row r="10394" spans="1:4">
      <c r="A10394" s="7">
        <f ca="1">IFERROR(__xludf.DUMMYFUNCTION("""COMPUTED_VALUE"""),44873)</f>
        <v>44873</v>
      </c>
      <c r="B10394" s="6" t="str">
        <f ca="1">IFERROR(__xludf.DUMMYFUNCTION("""COMPUTED_VALUE"""),"-34.04416-71.23224")</f>
        <v>-34.04416-71.23224</v>
      </c>
      <c r="C10394" s="6" t="str">
        <f ca="1">IFERROR(__xludf.DUMMYFUNCTION("""COMPUTED_VALUE"""),"CAMINO LA LINEA S/N")</f>
        <v>CAMINO LA LINEA S/N</v>
      </c>
      <c r="D10394" s="6" t="str">
        <f ca="1">IFERROR(__xludf.DUMMYFUNCTION("""COMPUTED_VALUE"""),"ALHUÉ")</f>
        <v>ALHUÉ</v>
      </c>
    </row>
    <row r="10395" spans="1:4">
      <c r="A10395" s="7">
        <f ca="1">IFERROR(__xludf.DUMMYFUNCTION("""COMPUTED_VALUE"""),44873)</f>
        <v>44873</v>
      </c>
      <c r="B10395" s="6" t="str">
        <f ca="1">IFERROR(__xludf.DUMMYFUNCTION("""COMPUTED_VALUE"""),"-34.04353-71.23079")</f>
        <v>-34.04353-71.23079</v>
      </c>
      <c r="C10395" s="6" t="str">
        <f ca="1">IFERROR(__xludf.DUMMYFUNCTION("""COMPUTED_VALUE"""),"CAMINO LA LINEA 10")</f>
        <v>CAMINO LA LINEA 10</v>
      </c>
      <c r="D10395" s="6" t="str">
        <f ca="1">IFERROR(__xludf.DUMMYFUNCTION("""COMPUTED_VALUE"""),"ALHUÉ")</f>
        <v>ALHUÉ</v>
      </c>
    </row>
    <row r="10396" spans="1:4">
      <c r="A10396" s="7">
        <f ca="1">IFERROR(__xludf.DUMMYFUNCTION("""COMPUTED_VALUE"""),44873)</f>
        <v>44873</v>
      </c>
      <c r="B10396" s="6" t="str">
        <f ca="1">IFERROR(__xludf.DUMMYFUNCTION("""COMPUTED_VALUE"""),"-34.04358-71.23113")</f>
        <v>-34.04358-71.23113</v>
      </c>
      <c r="C10396" s="6" t="str">
        <f ca="1">IFERROR(__xludf.DUMMYFUNCTION("""COMPUTED_VALUE"""),"CAMINO LA LINEA S/N")</f>
        <v>CAMINO LA LINEA S/N</v>
      </c>
      <c r="D10396" s="6" t="str">
        <f ca="1">IFERROR(__xludf.DUMMYFUNCTION("""COMPUTED_VALUE"""),"ALHUÉ")</f>
        <v>ALHUÉ</v>
      </c>
    </row>
    <row r="10397" spans="1:4">
      <c r="A10397" s="7">
        <f ca="1">IFERROR(__xludf.DUMMYFUNCTION("""COMPUTED_VALUE"""),44873)</f>
        <v>44873</v>
      </c>
      <c r="B10397" s="8" t="str">
        <f ca="1">IFERROR(__xludf.DUMMYFUNCTION("""COMPUTED_VALUE"""),"-33.689024,-71.032520")</f>
        <v>-33.689024,-71.032520</v>
      </c>
      <c r="C10397" s="6" t="str">
        <f ca="1">IFERROR(__xludf.DUMMYFUNCTION("""COMPUTED_VALUE"""),"SURINAME 098")</f>
        <v>SURINAME 098</v>
      </c>
      <c r="D10397" s="6" t="str">
        <f ca="1">IFERROR(__xludf.DUMMYFUNCTION("""COMPUTED_VALUE"""),"EL MONTE")</f>
        <v>EL MONTE</v>
      </c>
    </row>
    <row r="10398" spans="1:4">
      <c r="A10398" s="7">
        <f ca="1">IFERROR(__xludf.DUMMYFUNCTION("""COMPUTED_VALUE"""),44873)</f>
        <v>44873</v>
      </c>
      <c r="B10398" s="6" t="str">
        <f ca="1">IFERROR(__xludf.DUMMYFUNCTION("""COMPUTED_VALUE"""),"-33.690865,-70.701639")</f>
        <v>-33.690865,-70.701639</v>
      </c>
      <c r="C10398" s="6" t="str">
        <f ca="1">IFERROR(__xludf.DUMMYFUNCTION("""COMPUTED_VALUE"""),"CO EL RECURSO 2522")</f>
        <v>CO EL RECURSO 2522</v>
      </c>
      <c r="D10398" s="6" t="str">
        <f ca="1">IFERROR(__xludf.DUMMYFUNCTION("""COMPUTED_VALUE"""),"BUIN")</f>
        <v>BUIN</v>
      </c>
    </row>
    <row r="10399" spans="1:4">
      <c r="A10399" s="7">
        <f ca="1">IFERROR(__xludf.DUMMYFUNCTION("""COMPUTED_VALUE"""),44873)</f>
        <v>44873</v>
      </c>
      <c r="B10399" s="8" t="str">
        <f ca="1">IFERROR(__xludf.DUMMYFUNCTION("""COMPUTED_VALUE"""),"-33.754010:-70.888674")</f>
        <v>-33.754010:-70.888674</v>
      </c>
      <c r="C10399" s="6" t="str">
        <f ca="1">IFERROR(__xludf.DUMMYFUNCTION("""COMPUTED_VALUE"""),"LIARETA 503")</f>
        <v>LIARETA 503</v>
      </c>
      <c r="D10399" s="6" t="str">
        <f ca="1">IFERROR(__xludf.DUMMYFUNCTION("""COMPUTED_VALUE"""),"ISLA DE MAIPO")</f>
        <v>ISLA DE MAIPO</v>
      </c>
    </row>
    <row r="10400" spans="1:4">
      <c r="A10400" s="7">
        <f ca="1">IFERROR(__xludf.DUMMYFUNCTION("""COMPUTED_VALUE"""),44873)</f>
        <v>44873</v>
      </c>
      <c r="B10400" s="8" t="str">
        <f ca="1">IFERROR(__xludf.DUMMYFUNCTION("""COMPUTED_VALUE"""),"-33.730033:-70.984131")</f>
        <v>-33.730033:-70.984131</v>
      </c>
      <c r="C10400" s="6" t="str">
        <f ca="1">IFERROR(__xludf.DUMMYFUNCTION("""COMPUTED_VALUE"""),"NALTAHUA 7140 P 1 ")</f>
        <v xml:space="preserve">NALTAHUA 7140 P 1 </v>
      </c>
      <c r="D10400" s="6" t="str">
        <f ca="1">IFERROR(__xludf.DUMMYFUNCTION("""COMPUTED_VALUE"""),"ISLA DE MAIPO")</f>
        <v>ISLA DE MAIPO</v>
      </c>
    </row>
    <row r="10401" spans="1:4">
      <c r="A10401" s="7">
        <f ca="1">IFERROR(__xludf.DUMMYFUNCTION("""COMPUTED_VALUE"""),44873)</f>
        <v>44873</v>
      </c>
      <c r="B10401" s="8" t="str">
        <f ca="1">IFERROR(__xludf.DUMMYFUNCTION("""COMPUTED_VALUE"""),"-33.249287:-70.681808")</f>
        <v>-33.249287:-70.681808</v>
      </c>
      <c r="C10401" s="6" t="str">
        <f ca="1">IFERROR(__xludf.DUMMYFUNCTION("""COMPUTED_VALUE"""),"SAN VICENTE LO ARCAYA P10D")</f>
        <v>SAN VICENTE LO ARCAYA P10D</v>
      </c>
      <c r="D10401" s="6" t="str">
        <f ca="1">IFERROR(__xludf.DUMMYFUNCTION("""COMPUTED_VALUE"""),"COLINA")</f>
        <v>COLINA</v>
      </c>
    </row>
    <row r="10402" spans="1:4">
      <c r="A10402" s="7">
        <f ca="1">IFERROR(__xludf.DUMMYFUNCTION("""COMPUTED_VALUE"""),44873)</f>
        <v>44873</v>
      </c>
      <c r="B10402" s="6" t="str">
        <f ca="1">IFERROR(__xludf.DUMMYFUNCTION("""COMPUTED_VALUE"""),"-33.715329,-70.544822")</f>
        <v>-33.715329,-70.544822</v>
      </c>
      <c r="C10402" s="6" t="str">
        <f ca="1">IFERROR(__xludf.DUMMYFUNCTION("""COMPUTED_VALUE"""),"EL PRINCEPAL PARCELA 13 A")</f>
        <v>EL PRINCEPAL PARCELA 13 A</v>
      </c>
      <c r="D10402" s="6" t="str">
        <f ca="1">IFERROR(__xludf.DUMMYFUNCTION("""COMPUTED_VALUE"""),"PIRQUE")</f>
        <v>PIRQUE</v>
      </c>
    </row>
    <row r="10403" spans="1:4">
      <c r="A10403" s="7">
        <f ca="1">IFERROR(__xludf.DUMMYFUNCTION("""COMPUTED_VALUE"""),44873)</f>
        <v>44873</v>
      </c>
      <c r="B10403" s="6" t="str">
        <f ca="1">IFERROR(__xludf.DUMMYFUNCTION("""COMPUTED_VALUE"""),"-33.192176,-70.801863")</f>
        <v>-33.192176,-70.801863</v>
      </c>
      <c r="C10403" s="6" t="str">
        <f ca="1">IFERROR(__xludf.DUMMYFUNCTION("""COMPUTED_VALUE"""),"SENDERO MIRADOR DEL VALLE PARC14")</f>
        <v>SENDERO MIRADOR DEL VALLE PARC14</v>
      </c>
      <c r="D10403" s="6" t="str">
        <f ca="1">IFERROR(__xludf.DUMMYFUNCTION("""COMPUTED_VALUE"""),"LAMPA")</f>
        <v>LAMPA</v>
      </c>
    </row>
    <row r="10404" spans="1:4">
      <c r="A10404" s="7">
        <f ca="1">IFERROR(__xludf.DUMMYFUNCTION("""COMPUTED_VALUE"""),44873)</f>
        <v>44873</v>
      </c>
      <c r="B10404" s="6" t="str">
        <f ca="1">IFERROR(__xludf.DUMMYFUNCTION("""COMPUTED_VALUE"""),"-33.192176,-70.801863")</f>
        <v>-33.192176,-70.801863</v>
      </c>
      <c r="C10404" s="6" t="str">
        <f ca="1">IFERROR(__xludf.DUMMYFUNCTION("""COMPUTED_VALUE"""),"SENDERO MIRADOR DEL VALLE PARC15")</f>
        <v>SENDERO MIRADOR DEL VALLE PARC15</v>
      </c>
      <c r="D10404" s="6" t="str">
        <f ca="1">IFERROR(__xludf.DUMMYFUNCTION("""COMPUTED_VALUE"""),"LAMPA")</f>
        <v>LAMPA</v>
      </c>
    </row>
    <row r="10405" spans="1:4">
      <c r="A10405" s="7">
        <f ca="1">IFERROR(__xludf.DUMMYFUNCTION("""COMPUTED_VALUE"""),44873)</f>
        <v>44873</v>
      </c>
      <c r="B10405" s="6" t="str">
        <f ca="1">IFERROR(__xludf.DUMMYFUNCTION("""COMPUTED_VALUE"""),"-33.3900421,-71.1314473")</f>
        <v>-33.3900421,-71.1314473</v>
      </c>
      <c r="C10405" s="6" t="str">
        <f ca="1">IFERROR(__xludf.DUMMYFUNCTION("""COMPUTED_VALUE"""),"LOS ALAMOS LOTE 11")</f>
        <v>LOS ALAMOS LOTE 11</v>
      </c>
      <c r="D10405" s="6" t="str">
        <f ca="1">IFERROR(__xludf.DUMMYFUNCTION("""COMPUTED_VALUE"""),"CURACAVI")</f>
        <v>CURACAVI</v>
      </c>
    </row>
    <row r="10406" spans="1:4">
      <c r="A10406" s="7">
        <f ca="1">IFERROR(__xludf.DUMMYFUNCTION("""COMPUTED_VALUE"""),44874)</f>
        <v>44874</v>
      </c>
      <c r="B10406" s="8" t="str">
        <f ca="1">IFERROR(__xludf.DUMMYFUNCTION("""COMPUTED_VALUE"""),"-33.7041981, -70.9961017")</f>
        <v>-33.7041981, -70.9961017</v>
      </c>
      <c r="C10406" s="6" t="str">
        <f ca="1">IFERROR(__xludf.DUMMYFUNCTION("""COMPUTED_VALUE"""),"LA COMPAÑIA 2059")</f>
        <v>LA COMPAÑIA 2059</v>
      </c>
      <c r="D10406" s="6" t="str">
        <f ca="1">IFERROR(__xludf.DUMMYFUNCTION("""COMPUTED_VALUE"""),"TALAGANTE")</f>
        <v>TALAGANTE</v>
      </c>
    </row>
    <row r="10407" spans="1:4">
      <c r="A10407" s="7">
        <f ca="1">IFERROR(__xludf.DUMMYFUNCTION("""COMPUTED_VALUE"""),44874)</f>
        <v>44874</v>
      </c>
      <c r="B10407" s="6" t="str">
        <f ca="1">IFERROR(__xludf.DUMMYFUNCTION("""COMPUTED_VALUE"""),"-34.032560-71.102682")</f>
        <v>-34.032560-71.102682</v>
      </c>
      <c r="C10407" s="6" t="str">
        <f ca="1">IFERROR(__xludf.DUMMYFUNCTION("""COMPUTED_VALUE"""),"VEINTIUNO DE MAYO S/N")</f>
        <v>VEINTIUNO DE MAYO S/N</v>
      </c>
      <c r="D10407" s="6" t="str">
        <f ca="1">IFERROR(__xludf.DUMMYFUNCTION("""COMPUTED_VALUE"""),"ALHUÉ")</f>
        <v>ALHUÉ</v>
      </c>
    </row>
    <row r="10408" spans="1:4">
      <c r="A10408" s="7">
        <f ca="1">IFERROR(__xludf.DUMMYFUNCTION("""COMPUTED_VALUE"""),44874)</f>
        <v>44874</v>
      </c>
      <c r="B10408" s="6" t="str">
        <f ca="1">IFERROR(__xludf.DUMMYFUNCTION("""COMPUTED_VALUE"""),"-34.032098-71.103642")</f>
        <v>-34.032098-71.103642</v>
      </c>
      <c r="C10408" s="6" t="str">
        <f ca="1">IFERROR(__xludf.DUMMYFUNCTION("""COMPUTED_VALUE"""),"VICTORIA S/N")</f>
        <v>VICTORIA S/N</v>
      </c>
      <c r="D10408" s="6" t="str">
        <f ca="1">IFERROR(__xludf.DUMMYFUNCTION("""COMPUTED_VALUE"""),"ALHUÉ")</f>
        <v>ALHUÉ</v>
      </c>
    </row>
    <row r="10409" spans="1:4">
      <c r="A10409" s="7">
        <f ca="1">IFERROR(__xludf.DUMMYFUNCTION("""COMPUTED_VALUE"""),44874)</f>
        <v>44874</v>
      </c>
      <c r="B10409" s="6" t="str">
        <f ca="1">IFERROR(__xludf.DUMMYFUNCTION("""COMPUTED_VALUE"""),"-34.024765-71.083035")</f>
        <v>-34.024765-71.083035</v>
      </c>
      <c r="C10409" s="6" t="str">
        <f ca="1">IFERROR(__xludf.DUMMYFUNCTION("""COMPUTED_VALUE"""),"FUNDO POLULO S/N")</f>
        <v>FUNDO POLULO S/N</v>
      </c>
      <c r="D10409" s="6" t="str">
        <f ca="1">IFERROR(__xludf.DUMMYFUNCTION("""COMPUTED_VALUE"""),"ALHUÉ")</f>
        <v>ALHUÉ</v>
      </c>
    </row>
    <row r="10410" spans="1:4">
      <c r="A10410" s="7">
        <f ca="1">IFERROR(__xludf.DUMMYFUNCTION("""COMPUTED_VALUE"""),44874)</f>
        <v>44874</v>
      </c>
      <c r="B10410" s="6" t="str">
        <f ca="1">IFERROR(__xludf.DUMMYFUNCTION("""COMPUTED_VALUE"""),"-34.024765-71.083035")</f>
        <v>-34.024765-71.083035</v>
      </c>
      <c r="C10410" s="6" t="str">
        <f ca="1">IFERROR(__xludf.DUMMYFUNCTION("""COMPUTED_VALUE"""),"FUNDO POLULO S/N")</f>
        <v>FUNDO POLULO S/N</v>
      </c>
      <c r="D10410" s="6" t="str">
        <f ca="1">IFERROR(__xludf.DUMMYFUNCTION("""COMPUTED_VALUE"""),"ALHUÉ")</f>
        <v>ALHUÉ</v>
      </c>
    </row>
    <row r="10411" spans="1:4">
      <c r="A10411" s="7">
        <f ca="1">IFERROR(__xludf.DUMMYFUNCTION("""COMPUTED_VALUE"""),44874)</f>
        <v>44874</v>
      </c>
      <c r="B10411" s="8" t="str">
        <f ca="1">IFERROR(__xludf.DUMMYFUNCTION("""COMPUTED_VALUE"""),"-33.757118,-70.907808")</f>
        <v>-33.757118,-70.907808</v>
      </c>
      <c r="C10411" s="6" t="str">
        <f ca="1">IFERROR(__xludf.DUMMYFUNCTION("""COMPUTED_VALUE"""),"ISLA DE MAIPO")</f>
        <v>ISLA DE MAIPO</v>
      </c>
      <c r="D10411" s="6" t="str">
        <f ca="1">IFERROR(__xludf.DUMMYFUNCTION("""COMPUTED_VALUE"""),"ISLA DE MAIPO")</f>
        <v>ISLA DE MAIPO</v>
      </c>
    </row>
    <row r="10412" spans="1:4">
      <c r="A10412" s="7">
        <f ca="1">IFERROR(__xludf.DUMMYFUNCTION("""COMPUTED_VALUE"""),44874)</f>
        <v>44874</v>
      </c>
      <c r="B10412" s="8" t="str">
        <f ca="1">IFERROR(__xludf.DUMMYFUNCTION("""COMPUTED_VALUE"""),"-33688122,-70.587320")</f>
        <v>-33688122,-70.587320</v>
      </c>
      <c r="C10412" s="6" t="str">
        <f ca="1">IFERROR(__xludf.DUMMYFUNCTION("""COMPUTED_VALUE"""),"LOS QUILLAYES SITIO 5")</f>
        <v>LOS QUILLAYES SITIO 5</v>
      </c>
      <c r="D10412" s="6" t="str">
        <f ca="1">IFERROR(__xludf.DUMMYFUNCTION("""COMPUTED_VALUE"""),"PIRQUE")</f>
        <v>PIRQUE</v>
      </c>
    </row>
    <row r="10413" spans="1:4">
      <c r="A10413" s="7">
        <f ca="1">IFERROR(__xludf.DUMMYFUNCTION("""COMPUTED_VALUE"""),44874)</f>
        <v>44874</v>
      </c>
      <c r="B10413" s="6" t="str">
        <f ca="1">IFERROR(__xludf.DUMMYFUNCTION("""COMPUTED_VALUE"""),"-33.757036,-70.914781")</f>
        <v>-33.757036,-70.914781</v>
      </c>
      <c r="C10413" s="6" t="str">
        <f ca="1">IFERROR(__xludf.DUMMYFUNCTION("""COMPUTED_VALUE"""),"ACEVEDO 612")</f>
        <v>ACEVEDO 612</v>
      </c>
      <c r="D10413" s="6" t="str">
        <f ca="1">IFERROR(__xludf.DUMMYFUNCTION("""COMPUTED_VALUE"""),"ISLA DE MAIPO")</f>
        <v>ISLA DE MAIPO</v>
      </c>
    </row>
    <row r="10414" spans="1:4">
      <c r="A10414" s="7">
        <f ca="1">IFERROR(__xludf.DUMMYFUNCTION("""COMPUTED_VALUE"""),44874)</f>
        <v>44874</v>
      </c>
      <c r="B10414" s="6" t="str">
        <f ca="1">IFERROR(__xludf.DUMMYFUNCTION("""COMPUTED_VALUE"""),"-33.694957,-71.008777")</f>
        <v>-33.694957,-71.008777</v>
      </c>
      <c r="C10414" s="6" t="str">
        <f ca="1">IFERROR(__xludf.DUMMYFUNCTION("""COMPUTED_VALUE"""),"SANTA ISABEL 0467 ")</f>
        <v xml:space="preserve">SANTA ISABEL 0467 </v>
      </c>
      <c r="D10414" s="6" t="str">
        <f ca="1">IFERROR(__xludf.DUMMYFUNCTION("""COMPUTED_VALUE"""),"EL MONTE")</f>
        <v>EL MONTE</v>
      </c>
    </row>
    <row r="10415" spans="1:4">
      <c r="A10415" s="7">
        <f ca="1">IFERROR(__xludf.DUMMYFUNCTION("""COMPUTED_VALUE"""),44874)</f>
        <v>44874</v>
      </c>
      <c r="B10415" s="8" t="str">
        <f ca="1">IFERROR(__xludf.DUMMYFUNCTION("""COMPUTED_VALUE"""),"-33.801160:-70.787318")</f>
        <v>-33.801160:-70.787318</v>
      </c>
      <c r="C10415" s="6" t="str">
        <f ca="1">IFERROR(__xludf.DUMMYFUNCTION("""COMPUTED_VALUE"""),"EL OLIVILLO ")</f>
        <v xml:space="preserve">EL OLIVILLO </v>
      </c>
      <c r="D10415" s="6" t="str">
        <f ca="1">IFERROR(__xludf.DUMMYFUNCTION("""COMPUTED_VALUE"""),"PAINE")</f>
        <v>PAINE</v>
      </c>
    </row>
    <row r="10416" spans="1:4">
      <c r="A10416" s="7">
        <f ca="1">IFERROR(__xludf.DUMMYFUNCTION("""COMPUTED_VALUE"""),44874)</f>
        <v>44874</v>
      </c>
      <c r="B10416" s="6" t="str">
        <f ca="1">IFERROR(__xludf.DUMMYFUNCTION("""COMPUTED_VALUE"""),"-33.728940,-70.773968")</f>
        <v>-33.728940,-70.773968</v>
      </c>
      <c r="C10416" s="6" t="str">
        <f ca="1">IFERROR(__xludf.DUMMYFUNCTION("""COMPUTED_VALUE"""),"GARCIA 226")</f>
        <v>GARCIA 226</v>
      </c>
      <c r="D10416" s="6" t="str">
        <f ca="1">IFERROR(__xludf.DUMMYFUNCTION("""COMPUTED_VALUE"""),"BUIN")</f>
        <v>BUIN</v>
      </c>
    </row>
    <row r="10417" spans="1:4">
      <c r="A10417" s="7">
        <f ca="1">IFERROR(__xludf.DUMMYFUNCTION("""COMPUTED_VALUE"""),44874)</f>
        <v>44874</v>
      </c>
      <c r="B10417" s="6" t="str">
        <f ca="1">IFERROR(__xludf.DUMMYFUNCTION("""COMPUTED_VALUE"""),"-34.032276,-71.102238")</f>
        <v>-34.032276,-71.102238</v>
      </c>
      <c r="C10417" s="6" t="str">
        <f ca="1">IFERROR(__xludf.DUMMYFUNCTION("""COMPUTED_VALUE"""),"21 DE MAYO S/N")</f>
        <v>21 DE MAYO S/N</v>
      </c>
      <c r="D10417" s="6" t="str">
        <f ca="1">IFERROR(__xludf.DUMMYFUNCTION("""COMPUTED_VALUE"""),"ALHUÉ")</f>
        <v>ALHUÉ</v>
      </c>
    </row>
    <row r="10418" spans="1:4">
      <c r="A10418" s="7">
        <f ca="1">IFERROR(__xludf.DUMMYFUNCTION("""COMPUTED_VALUE"""),44874)</f>
        <v>44874</v>
      </c>
      <c r="B10418" s="6" t="str">
        <f ca="1">IFERROR(__xludf.DUMMYFUNCTION("""COMPUTED_VALUE"""),"-33.270594,-70.891313")</f>
        <v>-33.270594,-70.891313</v>
      </c>
      <c r="C10418" s="6" t="str">
        <f ca="1">IFERROR(__xludf.DUMMYFUNCTION("""COMPUTED_VALUE"""),"ISABEL RIQUELME LOTE 1")</f>
        <v>ISABEL RIQUELME LOTE 1</v>
      </c>
      <c r="D10418" s="6" t="str">
        <f ca="1">IFERROR(__xludf.DUMMYFUNCTION("""COMPUTED_VALUE"""),"LAMPA")</f>
        <v>LAMPA</v>
      </c>
    </row>
    <row r="10419" spans="1:4">
      <c r="A10419" s="7">
        <f ca="1">IFERROR(__xludf.DUMMYFUNCTION("""COMPUTED_VALUE"""),44874)</f>
        <v>44874</v>
      </c>
      <c r="B10419" s="6" t="str">
        <f ca="1">IFERROR(__xludf.DUMMYFUNCTION("""COMPUTED_VALUE"""),"-33.287697,-70.883157")</f>
        <v>-33.287697,-70.883157</v>
      </c>
      <c r="C10419" s="6" t="str">
        <f ca="1">IFERROR(__xludf.DUMMYFUNCTION("""COMPUTED_VALUE"""),"JAVIERA CARRERA 66")</f>
        <v>JAVIERA CARRERA 66</v>
      </c>
      <c r="D10419" s="6" t="str">
        <f ca="1">IFERROR(__xludf.DUMMYFUNCTION("""COMPUTED_VALUE"""),"LAMPA")</f>
        <v>LAMPA</v>
      </c>
    </row>
    <row r="10420" spans="1:4">
      <c r="A10420" s="7">
        <f ca="1">IFERROR(__xludf.DUMMYFUNCTION("""COMPUTED_VALUE"""),44874)</f>
        <v>44874</v>
      </c>
      <c r="B10420" s="6" t="str">
        <f ca="1">IFERROR(__xludf.DUMMYFUNCTION("""COMPUTED_VALUE"""),"-33.236695,-70.810776")</f>
        <v>-33.236695,-70.810776</v>
      </c>
      <c r="C10420" s="6" t="str">
        <f ca="1">IFERROR(__xludf.DUMMYFUNCTION("""COMPUTED_VALUE"""),"OHIGGINS 242")</f>
        <v>OHIGGINS 242</v>
      </c>
      <c r="D10420" s="6" t="str">
        <f ca="1">IFERROR(__xludf.DUMMYFUNCTION("""COMPUTED_VALUE"""),"LAMPA")</f>
        <v>LAMPA</v>
      </c>
    </row>
    <row r="10421" spans="1:4">
      <c r="A10421" s="7">
        <f ca="1">IFERROR(__xludf.DUMMYFUNCTION("""COMPUTED_VALUE"""),44875)</f>
        <v>44875</v>
      </c>
      <c r="B10421" s="6" t="str">
        <f ca="1">IFERROR(__xludf.DUMMYFUNCTION("""COMPUTED_VALUE"""),"-34.08438-71.00137")</f>
        <v>-34.08438-71.00137</v>
      </c>
      <c r="C10421" s="6" t="str">
        <f ca="1">IFERROR(__xludf.DUMMYFUNCTION("""COMPUTED_VALUE"""),"TALAMI S/N")</f>
        <v>TALAMI S/N</v>
      </c>
      <c r="D10421" s="6" t="str">
        <f ca="1">IFERROR(__xludf.DUMMYFUNCTION("""COMPUTED_VALUE"""),"ALHUÉ")</f>
        <v>ALHUÉ</v>
      </c>
    </row>
    <row r="10422" spans="1:4">
      <c r="A10422" s="7">
        <f ca="1">IFERROR(__xludf.DUMMYFUNCTION("""COMPUTED_VALUE"""),44875)</f>
        <v>44875</v>
      </c>
      <c r="B10422" s="6" t="str">
        <f ca="1">IFERROR(__xludf.DUMMYFUNCTION("""COMPUTED_VALUE"""),"-34.04823-71.00156")</f>
        <v>-34.04823-71.00156</v>
      </c>
      <c r="C10422" s="6" t="str">
        <f ca="1">IFERROR(__xludf.DUMMYFUNCTION("""COMPUTED_VALUE"""),"TALAMI S/N")</f>
        <v>TALAMI S/N</v>
      </c>
      <c r="D10422" s="6" t="str">
        <f ca="1">IFERROR(__xludf.DUMMYFUNCTION("""COMPUTED_VALUE"""),"ALHUÉ")</f>
        <v>ALHUÉ</v>
      </c>
    </row>
    <row r="10423" spans="1:4">
      <c r="A10423" s="7">
        <f ca="1">IFERROR(__xludf.DUMMYFUNCTION("""COMPUTED_VALUE"""),44875)</f>
        <v>44875</v>
      </c>
      <c r="B10423" s="6" t="str">
        <f ca="1">IFERROR(__xludf.DUMMYFUNCTION("""COMPUTED_VALUE"""),"-34.02794-71.08338")</f>
        <v>-34.02794-71.08338</v>
      </c>
      <c r="C10423" s="6" t="str">
        <f ca="1">IFERROR(__xludf.DUMMYFUNCTION("""COMPUTED_VALUE"""),"IGNACIO CARRERA PINTO S/N")</f>
        <v>IGNACIO CARRERA PINTO S/N</v>
      </c>
      <c r="D10423" s="6" t="str">
        <f ca="1">IFERROR(__xludf.DUMMYFUNCTION("""COMPUTED_VALUE"""),"ALHUÉ")</f>
        <v>ALHUÉ</v>
      </c>
    </row>
    <row r="10424" spans="1:4">
      <c r="A10424" s="7">
        <f ca="1">IFERROR(__xludf.DUMMYFUNCTION("""COMPUTED_VALUE"""),44875)</f>
        <v>44875</v>
      </c>
      <c r="B10424" s="6" t="str">
        <f ca="1">IFERROR(__xludf.DUMMYFUNCTION("""COMPUTED_VALUE"""),"-34.04524-71.21891")</f>
        <v>-34.04524-71.21891</v>
      </c>
      <c r="C10424" s="6" t="str">
        <f ca="1">IFERROR(__xludf.DUMMYFUNCTION("""COMPUTED_VALUE"""),"CAMINO LA LINEA S/N")</f>
        <v>CAMINO LA LINEA S/N</v>
      </c>
      <c r="D10424" s="6" t="str">
        <f ca="1">IFERROR(__xludf.DUMMYFUNCTION("""COMPUTED_VALUE"""),"ALHUÉ")</f>
        <v>ALHUÉ</v>
      </c>
    </row>
    <row r="10425" spans="1:4">
      <c r="A10425" s="7">
        <f ca="1">IFERROR(__xludf.DUMMYFUNCTION("""COMPUTED_VALUE"""),44875)</f>
        <v>44875</v>
      </c>
      <c r="B10425" s="6" t="str">
        <f ca="1">IFERROR(__xludf.DUMMYFUNCTION("""COMPUTED_VALUE"""),"-33.667099,-70.935026")</f>
        <v>-33.667099,-70.935026</v>
      </c>
      <c r="C10425" s="6" t="str">
        <f ca="1">IFERROR(__xludf.DUMMYFUNCTION("""COMPUTED_VALUE"""),"PAPIROS 825")</f>
        <v>PAPIROS 825</v>
      </c>
      <c r="D10425" s="6" t="str">
        <f ca="1">IFERROR(__xludf.DUMMYFUNCTION("""COMPUTED_VALUE"""),"TALAGANTE")</f>
        <v>TALAGANTE</v>
      </c>
    </row>
    <row r="10426" spans="1:4">
      <c r="A10426" s="7">
        <f ca="1">IFERROR(__xludf.DUMMYFUNCTION("""COMPUTED_VALUE"""),44875)</f>
        <v>44875</v>
      </c>
      <c r="B10426" s="8" t="str">
        <f ca="1">IFERROR(__xludf.DUMMYFUNCTION("""COMPUTED_VALUE"""),"-33.737605:-70.858842")</f>
        <v>-33.737605:-70.858842</v>
      </c>
      <c r="C10426" s="6" t="str">
        <f ca="1">IFERROR(__xludf.DUMMYFUNCTION("""COMPUTED_VALUE"""),"PATRICIO BECERRA 083")</f>
        <v>PATRICIO BECERRA 083</v>
      </c>
      <c r="D10426" s="6" t="str">
        <f ca="1">IFERROR(__xludf.DUMMYFUNCTION("""COMPUTED_VALUE"""),"ISLA DE MAIPO")</f>
        <v>ISLA DE MAIPO</v>
      </c>
    </row>
    <row r="10427" spans="1:4">
      <c r="A10427" s="7">
        <f ca="1">IFERROR(__xludf.DUMMYFUNCTION("""COMPUTED_VALUE"""),44875)</f>
        <v>44875</v>
      </c>
      <c r="B10427" s="6" t="str">
        <f ca="1">IFERROR(__xludf.DUMMYFUNCTION("""COMPUTED_VALUE"""),"-33.740328,-70.750585")</f>
        <v>-33.740328,-70.750585</v>
      </c>
      <c r="C10427" s="6" t="str">
        <f ca="1">IFERROR(__xludf.DUMMYFUNCTION("""COMPUTED_VALUE"""),"VILLASECA 853 PARC. 9")</f>
        <v>VILLASECA 853 PARC. 9</v>
      </c>
      <c r="D10427" s="6" t="str">
        <f ca="1">IFERROR(__xludf.DUMMYFUNCTION("""COMPUTED_VALUE"""),"BUIN")</f>
        <v>BUIN</v>
      </c>
    </row>
    <row r="10428" spans="1:4">
      <c r="A10428" s="7">
        <f ca="1">IFERROR(__xludf.DUMMYFUNCTION("""COMPUTED_VALUE"""),44875)</f>
        <v>44875</v>
      </c>
      <c r="B10428" s="6" t="str">
        <f ca="1">IFERROR(__xludf.DUMMYFUNCTION("""COMPUTED_VALUE"""),"-33.566509,-71.161930")</f>
        <v>-33.566509,-71.161930</v>
      </c>
      <c r="C10428" s="6" t="str">
        <f ca="1">IFERROR(__xludf.DUMMYFUNCTION("""COMPUTED_VALUE"""),"MALLARICO 3121")</f>
        <v>MALLARICO 3121</v>
      </c>
      <c r="D10428" s="6" t="str">
        <f ca="1">IFERROR(__xludf.DUMMYFUNCTION("""COMPUTED_VALUE"""),"MELIPILLA")</f>
        <v>MELIPILLA</v>
      </c>
    </row>
    <row r="10429" spans="1:4">
      <c r="A10429" s="7">
        <f ca="1">IFERROR(__xludf.DUMMYFUNCTION("""COMPUTED_VALUE"""),44875)</f>
        <v>44875</v>
      </c>
      <c r="B10429" s="6" t="str">
        <f ca="1">IFERROR(__xludf.DUMMYFUNCTION("""COMPUTED_VALUE"""),"-33.7458672,-70.7740536")</f>
        <v>-33.7458672,-70.7740536</v>
      </c>
      <c r="C10429" s="6" t="str">
        <f ca="1">IFERROR(__xludf.DUMMYFUNCTION("""COMPUTED_VALUE"""),"CONCEPCION 906")</f>
        <v>CONCEPCION 906</v>
      </c>
      <c r="D10429" s="6" t="str">
        <f ca="1">IFERROR(__xludf.DUMMYFUNCTION("""COMPUTED_VALUE"""),"PAINE")</f>
        <v>PAINE</v>
      </c>
    </row>
    <row r="10430" spans="1:4">
      <c r="A10430" s="7">
        <f ca="1">IFERROR(__xludf.DUMMYFUNCTION("""COMPUTED_VALUE"""),44875)</f>
        <v>44875</v>
      </c>
      <c r="B10430" s="6" t="str">
        <f ca="1">IFERROR(__xludf.DUMMYFUNCTION("""COMPUTED_VALUE"""),"-33.7994690,-70.6531680")</f>
        <v>-33.7994690,-70.6531680</v>
      </c>
      <c r="C10430" s="6" t="str">
        <f ca="1">IFERROR(__xludf.DUMMYFUNCTION("""COMPUTED_VALUE"""),"PARCELA 30 CALLE PADRE HURTADO")</f>
        <v>PARCELA 30 CALLE PADRE HURTADO</v>
      </c>
      <c r="D10430" s="6" t="str">
        <f ca="1">IFERROR(__xludf.DUMMYFUNCTION("""COMPUTED_VALUE"""),"PAINE")</f>
        <v>PAINE</v>
      </c>
    </row>
    <row r="10431" spans="1:4">
      <c r="A10431" s="7">
        <f ca="1">IFERROR(__xludf.DUMMYFUNCTION("""COMPUTED_VALUE"""),44875)</f>
        <v>44875</v>
      </c>
      <c r="B10431" s="6" t="str">
        <f ca="1">IFERROR(__xludf.DUMMYFUNCTION("""COMPUTED_VALUE"""),"-32.968888,-70.839638")</f>
        <v>-32.968888,-70.839638</v>
      </c>
      <c r="C10431" s="6" t="str">
        <f ca="1">IFERROR(__xludf.DUMMYFUNCTION("""COMPUTED_VALUE"""),"COMERCIO NUMERO 5")</f>
        <v>COMERCIO NUMERO 5</v>
      </c>
      <c r="D10431" s="6" t="str">
        <f ca="1">IFERROR(__xludf.DUMMYFUNCTION("""COMPUTED_VALUE"""),"TIL TIL")</f>
        <v>TIL TIL</v>
      </c>
    </row>
    <row r="10432" spans="1:4">
      <c r="A10432" s="7">
        <f ca="1">IFERROR(__xludf.DUMMYFUNCTION("""COMPUTED_VALUE"""),44875)</f>
        <v>44875</v>
      </c>
      <c r="B10432" s="6" t="str">
        <f ca="1">IFERROR(__xludf.DUMMYFUNCTION("""COMPUTED_VALUE"""),"-33.080452,-70.930221")</f>
        <v>-33.080452,-70.930221</v>
      </c>
      <c r="C10432" s="6" t="str">
        <f ca="1">IFERROR(__xludf.DUMMYFUNCTION("""COMPUTED_VALUE"""),"OHIGGINS 446")</f>
        <v>OHIGGINS 446</v>
      </c>
      <c r="D10432" s="6" t="str">
        <f ca="1">IFERROR(__xludf.DUMMYFUNCTION("""COMPUTED_VALUE"""),"TIL TIL")</f>
        <v>TIL TIL</v>
      </c>
    </row>
    <row r="10433" spans="1:4">
      <c r="A10433" s="7">
        <f ca="1">IFERROR(__xludf.DUMMYFUNCTION("""COMPUTED_VALUE"""),44876)</f>
        <v>44876</v>
      </c>
      <c r="B10433" s="6" t="str">
        <f ca="1">IFERROR(__xludf.DUMMYFUNCTION("""COMPUTED_VALUE"""),"-34.030502-71.079636")</f>
        <v>-34.030502-71.079636</v>
      </c>
      <c r="C10433" s="6" t="str">
        <f ca="1">IFERROR(__xludf.DUMMYFUNCTION("""COMPUTED_VALUE"""),"EL ASIENTO S/N")</f>
        <v>EL ASIENTO S/N</v>
      </c>
      <c r="D10433" s="6" t="str">
        <f ca="1">IFERROR(__xludf.DUMMYFUNCTION("""COMPUTED_VALUE"""),"ALHUÉ")</f>
        <v>ALHUÉ</v>
      </c>
    </row>
    <row r="10434" spans="1:4">
      <c r="A10434" s="7">
        <f ca="1">IFERROR(__xludf.DUMMYFUNCTION("""COMPUTED_VALUE"""),44876)</f>
        <v>44876</v>
      </c>
      <c r="B10434" s="6" t="str">
        <f ca="1">IFERROR(__xludf.DUMMYFUNCTION("""COMPUTED_VALUE"""),"-34.033157-71.100336")</f>
        <v>-34.033157-71.100336</v>
      </c>
      <c r="C10434" s="6" t="str">
        <f ca="1">IFERROR(__xludf.DUMMYFUNCTION("""COMPUTED_VALUE"""),"OHIGGINS S/N")</f>
        <v>OHIGGINS S/N</v>
      </c>
      <c r="D10434" s="6" t="str">
        <f ca="1">IFERROR(__xludf.DUMMYFUNCTION("""COMPUTED_VALUE"""),"ALHUÉ")</f>
        <v>ALHUÉ</v>
      </c>
    </row>
    <row r="10435" spans="1:4">
      <c r="A10435" s="7">
        <f ca="1">IFERROR(__xludf.DUMMYFUNCTION("""COMPUTED_VALUE"""),44876)</f>
        <v>44876</v>
      </c>
      <c r="B10435" s="6" t="str">
        <f ca="1">IFERROR(__xludf.DUMMYFUNCTION("""COMPUTED_VALUE"""),"-34.037306-71.104534")</f>
        <v>-34.037306-71.104534</v>
      </c>
      <c r="C10435" s="6" t="str">
        <f ca="1">IFERROR(__xludf.DUMMYFUNCTION("""COMPUTED_VALUE"""),"CANCHAS DE CARRERA SN")</f>
        <v>CANCHAS DE CARRERA SN</v>
      </c>
      <c r="D10435" s="6" t="str">
        <f ca="1">IFERROR(__xludf.DUMMYFUNCTION("""COMPUTED_VALUE"""),"ALHUÉ")</f>
        <v>ALHUÉ</v>
      </c>
    </row>
    <row r="10436" spans="1:4">
      <c r="A10436" s="7">
        <f ca="1">IFERROR(__xludf.DUMMYFUNCTION("""COMPUTED_VALUE"""),44876)</f>
        <v>44876</v>
      </c>
      <c r="B10436" s="6" t="str">
        <f ca="1">IFERROR(__xludf.DUMMYFUNCTION("""COMPUTED_VALUE"""),"-33.410255-71.143996")</f>
        <v>-33.410255-71.143996</v>
      </c>
      <c r="C10436" s="6" t="str">
        <f ca="1">IFERROR(__xludf.DUMMYFUNCTION("""COMPUTED_VALUE"""),"LOS AROMOS 235")</f>
        <v>LOS AROMOS 235</v>
      </c>
      <c r="D10436" s="6" t="str">
        <f ca="1">IFERROR(__xludf.DUMMYFUNCTION("""COMPUTED_VALUE"""),"CURACAVI")</f>
        <v>CURACAVI</v>
      </c>
    </row>
    <row r="10437" spans="1:4">
      <c r="A10437" s="7">
        <f ca="1">IFERROR(__xludf.DUMMYFUNCTION("""COMPUTED_VALUE"""),44876)</f>
        <v>44876</v>
      </c>
      <c r="B10437" s="6" t="str">
        <f ca="1">IFERROR(__xludf.DUMMYFUNCTION("""COMPUTED_VALUE"""),"-34.026475-71.084388")</f>
        <v>-34.026475-71.084388</v>
      </c>
      <c r="C10437" s="6" t="str">
        <f ca="1">IFERROR(__xludf.DUMMYFUNCTION("""COMPUTED_VALUE"""),"IGNACIO CARRERA PINTO S/N")</f>
        <v>IGNACIO CARRERA PINTO S/N</v>
      </c>
      <c r="D10437" s="6" t="str">
        <f ca="1">IFERROR(__xludf.DUMMYFUNCTION("""COMPUTED_VALUE"""),"ALHUÉ")</f>
        <v>ALHUÉ</v>
      </c>
    </row>
    <row r="10438" spans="1:4">
      <c r="A10438" s="7">
        <f ca="1">IFERROR(__xludf.DUMMYFUNCTION("""COMPUTED_VALUE"""),44876)</f>
        <v>44876</v>
      </c>
      <c r="B10438" s="6" t="str">
        <f ca="1">IFERROR(__xludf.DUMMYFUNCTION("""COMPUTED_VALUE"""),"-34.026475-71.084388")</f>
        <v>-34.026475-71.084388</v>
      </c>
      <c r="C10438" s="6" t="str">
        <f ca="1">IFERROR(__xludf.DUMMYFUNCTION("""COMPUTED_VALUE"""),"IGNACIO CARRERA PINTO S/N")</f>
        <v>IGNACIO CARRERA PINTO S/N</v>
      </c>
      <c r="D10438" s="6" t="str">
        <f ca="1">IFERROR(__xludf.DUMMYFUNCTION("""COMPUTED_VALUE"""),"ALHUÉ")</f>
        <v>ALHUÉ</v>
      </c>
    </row>
    <row r="10439" spans="1:4">
      <c r="A10439" s="7">
        <f ca="1">IFERROR(__xludf.DUMMYFUNCTION("""COMPUTED_VALUE"""),44876)</f>
        <v>44876</v>
      </c>
      <c r="B10439" s="6" t="str">
        <f ca="1">IFERROR(__xludf.DUMMYFUNCTION("""COMPUTED_VALUE"""),"-34.024738-71.083063")</f>
        <v>-34.024738-71.083063</v>
      </c>
      <c r="C10439" s="6" t="str">
        <f ca="1">IFERROR(__xludf.DUMMYFUNCTION("""COMPUTED_VALUE"""),"PICHI S/N")</f>
        <v>PICHI S/N</v>
      </c>
      <c r="D10439" s="6" t="str">
        <f ca="1">IFERROR(__xludf.DUMMYFUNCTION("""COMPUTED_VALUE"""),"ALHUÉ")</f>
        <v>ALHUÉ</v>
      </c>
    </row>
    <row r="10440" spans="1:4">
      <c r="A10440" s="7">
        <f ca="1">IFERROR(__xludf.DUMMYFUNCTION("""COMPUTED_VALUE"""),44876)</f>
        <v>44876</v>
      </c>
      <c r="B10440" s="6" t="str">
        <f ca="1">IFERROR(__xludf.DUMMYFUNCTION("""COMPUTED_VALUE"""),"-34.024765-71.083035")</f>
        <v>-34.024765-71.083035</v>
      </c>
      <c r="C10440" s="6" t="str">
        <f ca="1">IFERROR(__xludf.DUMMYFUNCTION("""COMPUTED_VALUE"""),"CAMINO PICHI S/N")</f>
        <v>CAMINO PICHI S/N</v>
      </c>
      <c r="D10440" s="6" t="str">
        <f ca="1">IFERROR(__xludf.DUMMYFUNCTION("""COMPUTED_VALUE"""),"ALHUÉ")</f>
        <v>ALHUÉ</v>
      </c>
    </row>
    <row r="10441" spans="1:4">
      <c r="A10441" s="7">
        <f ca="1">IFERROR(__xludf.DUMMYFUNCTION("""COMPUTED_VALUE"""),44876)</f>
        <v>44876</v>
      </c>
      <c r="B10441" s="8" t="str">
        <f ca="1">IFERROR(__xludf.DUMMYFUNCTION("""COMPUTED_VALUE"""),"-33.748164,-71.200113")</f>
        <v>-33.748164,-71.200113</v>
      </c>
      <c r="C10441" s="6" t="str">
        <f ca="1">IFERROR(__xludf.DUMMYFUNCTION("""COMPUTED_VALUE"""),"CAMINO CHOLOQUI SITIO 9")</f>
        <v>CAMINO CHOLOQUI SITIO 9</v>
      </c>
      <c r="D10441" s="6" t="str">
        <f ca="1">IFERROR(__xludf.DUMMYFUNCTION("""COMPUTED_VALUE"""),"MELIPILLA")</f>
        <v>MELIPILLA</v>
      </c>
    </row>
    <row r="10442" spans="1:4">
      <c r="A10442" s="7">
        <f ca="1">IFERROR(__xludf.DUMMYFUNCTION("""COMPUTED_VALUE"""),44876)</f>
        <v>44876</v>
      </c>
      <c r="B10442" s="6" t="str">
        <f ca="1">IFERROR(__xludf.DUMMYFUNCTION("""COMPUTED_VALUE"""),"-33.677776,-70.124284")</f>
        <v>-33.677776,-70.124284</v>
      </c>
      <c r="C10442" s="6" t="str">
        <f ca="1">IFERROR(__xludf.DUMMYFUNCTION("""COMPUTED_VALUE"""),"CARAMPANGUE S/N ")</f>
        <v xml:space="preserve">CARAMPANGUE S/N </v>
      </c>
      <c r="D10442" s="6" t="str">
        <f ca="1">IFERROR(__xludf.DUMMYFUNCTION("""COMPUTED_VALUE"""),"TALAGANTE")</f>
        <v>TALAGANTE</v>
      </c>
    </row>
    <row r="10443" spans="1:4">
      <c r="A10443" s="7">
        <f ca="1">IFERROR(__xludf.DUMMYFUNCTION("""COMPUTED_VALUE"""),44876)</f>
        <v>44876</v>
      </c>
      <c r="B10443" s="6" t="str">
        <f ca="1">IFERROR(__xludf.DUMMYFUNCTION("""COMPUTED_VALUE"""),"-33.752382,-70.887562")</f>
        <v>-33.752382,-70.887562</v>
      </c>
      <c r="C10443" s="6" t="str">
        <f ca="1">IFERROR(__xludf.DUMMYFUNCTION("""COMPUTED_VALUE"""),"LAS ARAUCARIAS 496")</f>
        <v>LAS ARAUCARIAS 496</v>
      </c>
      <c r="D10443" s="6" t="str">
        <f ca="1">IFERROR(__xludf.DUMMYFUNCTION("""COMPUTED_VALUE"""),"ISLA DE MAIPO")</f>
        <v>ISLA DE MAIPO</v>
      </c>
    </row>
    <row r="10444" spans="1:4">
      <c r="A10444" s="7">
        <f ca="1">IFERROR(__xludf.DUMMYFUNCTION("""COMPUTED_VALUE"""),44876)</f>
        <v>44876</v>
      </c>
      <c r="B10444" s="8" t="str">
        <f ca="1">IFERROR(__xludf.DUMMYFUNCTION("""COMPUTED_VALUE"""),"-33.753603:-70.880034")</f>
        <v>-33.753603:-70.880034</v>
      </c>
      <c r="C10444" s="6" t="str">
        <f ca="1">IFERROR(__xludf.DUMMYFUNCTION("""COMPUTED_VALUE"""),"FARELLONES 253")</f>
        <v>FARELLONES 253</v>
      </c>
      <c r="D10444" s="6" t="str">
        <f ca="1">IFERROR(__xludf.DUMMYFUNCTION("""COMPUTED_VALUE"""),"ISLA DE MAIPO")</f>
        <v>ISLA DE MAIPO</v>
      </c>
    </row>
    <row r="10445" spans="1:4">
      <c r="A10445" s="7">
        <f ca="1">IFERROR(__xludf.DUMMYFUNCTION("""COMPUTED_VALUE"""),44876)</f>
        <v>44876</v>
      </c>
      <c r="B10445" s="8" t="str">
        <f ca="1">IFERROR(__xludf.DUMMYFUNCTION("""COMPUTED_VALUE"""),"-33.747316:-70.869625")</f>
        <v>-33.747316:-70.869625</v>
      </c>
      <c r="C10445" s="6" t="str">
        <f ca="1">IFERROR(__xludf.DUMMYFUNCTION("""COMPUTED_VALUE"""),"EL RACIMO 310 ")</f>
        <v xml:space="preserve">EL RACIMO 310 </v>
      </c>
      <c r="D10445" s="6" t="str">
        <f ca="1">IFERROR(__xludf.DUMMYFUNCTION("""COMPUTED_VALUE"""),"ISLA DE MAIPO")</f>
        <v>ISLA DE MAIPO</v>
      </c>
    </row>
    <row r="10446" spans="1:4">
      <c r="A10446" s="7">
        <f ca="1">IFERROR(__xludf.DUMMYFUNCTION("""COMPUTED_VALUE"""),44877)</f>
        <v>44877</v>
      </c>
      <c r="B10446" s="6" t="str">
        <f ca="1">IFERROR(__xludf.DUMMYFUNCTION("""COMPUTED_VALUE"""),"-33.403879-71.126492")</f>
        <v>-33.403879-71.126492</v>
      </c>
      <c r="C10446" s="6" t="str">
        <f ca="1">IFERROR(__xludf.DUMMYFUNCTION("""COMPUTED_VALUE"""),"TORIBIO CATALAN ESCOBAR 123")</f>
        <v>TORIBIO CATALAN ESCOBAR 123</v>
      </c>
      <c r="D10446" s="6" t="str">
        <f ca="1">IFERROR(__xludf.DUMMYFUNCTION("""COMPUTED_VALUE"""),"CURACAVI")</f>
        <v>CURACAVI</v>
      </c>
    </row>
    <row r="10447" spans="1:4">
      <c r="A10447" s="7">
        <f ca="1">IFERROR(__xludf.DUMMYFUNCTION("""COMPUTED_VALUE"""),44877)</f>
        <v>44877</v>
      </c>
      <c r="B10447" s="6" t="str">
        <f ca="1">IFERROR(__xludf.DUMMYFUNCTION("""COMPUTED_VALUE"""),"-33.677776,-70.124284")</f>
        <v>-33.677776,-70.124284</v>
      </c>
      <c r="C10447" s="6" t="str">
        <f ca="1">IFERROR(__xludf.DUMMYFUNCTION("""COMPUTED_VALUE"""),"CARAMPANGUE S/N ")</f>
        <v xml:space="preserve">CARAMPANGUE S/N </v>
      </c>
      <c r="D10447" s="6" t="str">
        <f ca="1">IFERROR(__xludf.DUMMYFUNCTION("""COMPUTED_VALUE"""),"TALAGANTE")</f>
        <v>TALAGANTE</v>
      </c>
    </row>
    <row r="10448" spans="1:4">
      <c r="A10448" s="7">
        <f ca="1">IFERROR(__xludf.DUMMYFUNCTION("""COMPUTED_VALUE"""),44877)</f>
        <v>44877</v>
      </c>
      <c r="B10448" s="12" t="str">
        <f ca="1">IFERROR(__xludf.DUMMYFUNCTION("""COMPUTED_VALUE"""),"-33574218,-70.830607")</f>
        <v>-33574218,-70.830607</v>
      </c>
      <c r="C10448" s="6" t="str">
        <f ca="1">IFERROR(__xludf.DUMMYFUNCTION("""COMPUTED_VALUE"""),"CARDENAL RAUL SILVA HENRIQUEZ 362 ")</f>
        <v xml:space="preserve">CARDENAL RAUL SILVA HENRIQUEZ 362 </v>
      </c>
      <c r="D10448" s="6" t="str">
        <f ca="1">IFERROR(__xludf.DUMMYFUNCTION("""COMPUTED_VALUE"""),"PADRE HURTADO")</f>
        <v>PADRE HURTADO</v>
      </c>
    </row>
    <row r="10449" spans="1:4">
      <c r="A10449" s="7">
        <f ca="1">IFERROR(__xludf.DUMMYFUNCTION("""COMPUTED_VALUE"""),44878)</f>
        <v>44878</v>
      </c>
      <c r="B10449" s="6" t="str">
        <f ca="1">IFERROR(__xludf.DUMMYFUNCTION("""COMPUTED_VALUE"""),"-34.032605-71.103444")</f>
        <v>-34.032605-71.103444</v>
      </c>
      <c r="C10449" s="6" t="str">
        <f ca="1">IFERROR(__xludf.DUMMYFUNCTION("""COMPUTED_VALUE"""),"VICTORIA S/N")</f>
        <v>VICTORIA S/N</v>
      </c>
      <c r="D10449" s="6" t="str">
        <f ca="1">IFERROR(__xludf.DUMMYFUNCTION("""COMPUTED_VALUE"""),"ALHUÉ")</f>
        <v>ALHUÉ</v>
      </c>
    </row>
    <row r="10450" spans="1:4">
      <c r="A10450" s="7">
        <f ca="1">IFERROR(__xludf.DUMMYFUNCTION("""COMPUTED_VALUE"""),44878)</f>
        <v>44878</v>
      </c>
      <c r="B10450" s="6" t="str">
        <f ca="1">IFERROR(__xludf.DUMMYFUNCTION("""COMPUTED_VALUE"""),"-34.068130-71.296333")</f>
        <v>-34.068130-71.296333</v>
      </c>
      <c r="C10450" s="6" t="str">
        <f ca="1">IFERROR(__xludf.DUMMYFUNCTION("""COMPUTED_VALUE"""),"SECTOR QUILAMUTA S/N")</f>
        <v>SECTOR QUILAMUTA S/N</v>
      </c>
      <c r="D10450" s="6" t="str">
        <f ca="1">IFERROR(__xludf.DUMMYFUNCTION("""COMPUTED_VALUE"""),"ALHUÉ")</f>
        <v>ALHUÉ</v>
      </c>
    </row>
    <row r="10451" spans="1:4">
      <c r="A10451" s="7">
        <f ca="1">IFERROR(__xludf.DUMMYFUNCTION("""COMPUTED_VALUE"""),44879)</f>
        <v>44879</v>
      </c>
      <c r="B10451" s="6" t="str">
        <f ca="1">IFERROR(__xludf.DUMMYFUNCTION("""COMPUTED_VALUE"""),"-33.70762-70.56616")</f>
        <v>-33.70762-70.56616</v>
      </c>
      <c r="C10451" s="6" t="str">
        <f ca="1">IFERROR(__xludf.DUMMYFUNCTION("""COMPUTED_VALUE"""),"EL PRINCIPAL 38 B")</f>
        <v>EL PRINCIPAL 38 B</v>
      </c>
      <c r="D10451" s="6" t="str">
        <f ca="1">IFERROR(__xludf.DUMMYFUNCTION("""COMPUTED_VALUE"""),"PIRQUE")</f>
        <v>PIRQUE</v>
      </c>
    </row>
    <row r="10452" spans="1:4">
      <c r="A10452" s="7">
        <f ca="1">IFERROR(__xludf.DUMMYFUNCTION("""COMPUTED_VALUE"""),44879)</f>
        <v>44879</v>
      </c>
      <c r="B10452" s="6" t="str">
        <f ca="1">IFERROR(__xludf.DUMMYFUNCTION("""COMPUTED_VALUE"""),"-33.70695-70.56464")</f>
        <v>-33.70695-70.56464</v>
      </c>
      <c r="C10452" s="6" t="str">
        <f ca="1">IFERROR(__xludf.DUMMYFUNCTION("""COMPUTED_VALUE"""),"AV. HERNAN PRIETO 33")</f>
        <v>AV. HERNAN PRIETO 33</v>
      </c>
      <c r="D10452" s="6" t="str">
        <f ca="1">IFERROR(__xludf.DUMMYFUNCTION("""COMPUTED_VALUE"""),"PIRQUE")</f>
        <v>PIRQUE</v>
      </c>
    </row>
    <row r="10453" spans="1:4">
      <c r="A10453" s="7">
        <f ca="1">IFERROR(__xludf.DUMMYFUNCTION("""COMPUTED_VALUE"""),44879)</f>
        <v>44879</v>
      </c>
      <c r="B10453" s="8" t="str">
        <f ca="1">IFERROR(__xludf.DUMMYFUNCTION("""COMPUTED_VALUE"""),"-33.311078,-70.838051")</f>
        <v>-33.311078,-70.838051</v>
      </c>
      <c r="C10453" s="6" t="str">
        <f ca="1">IFERROR(__xludf.DUMMYFUNCTION("""COMPUTED_VALUE"""),"SERVIDUMBRE PC.78")</f>
        <v>SERVIDUMBRE PC.78</v>
      </c>
      <c r="D10453" s="6" t="str">
        <f ca="1">IFERROR(__xludf.DUMMYFUNCTION("""COMPUTED_VALUE"""),"LAMPA")</f>
        <v>LAMPA</v>
      </c>
    </row>
    <row r="10454" spans="1:4">
      <c r="A10454" s="7">
        <f ca="1">IFERROR(__xludf.DUMMYFUNCTION("""COMPUTED_VALUE"""),44879)</f>
        <v>44879</v>
      </c>
      <c r="B10454" s="6" t="str">
        <f ca="1">IFERROR(__xludf.DUMMYFUNCTION("""COMPUTED_VALUE"""),"-33.666967,-70.915641")</f>
        <v>-33.666967,-70.915641</v>
      </c>
      <c r="C10454" s="6" t="str">
        <f ca="1">IFERROR(__xludf.DUMMYFUNCTION("""COMPUTED_VALUE"""),"FRANCISCO LEYTON LEST 345")</f>
        <v>FRANCISCO LEYTON LEST 345</v>
      </c>
      <c r="D10454" s="6" t="str">
        <f ca="1">IFERROR(__xludf.DUMMYFUNCTION("""COMPUTED_VALUE"""),"TALAGANTE")</f>
        <v>TALAGANTE</v>
      </c>
    </row>
    <row r="10455" spans="1:4">
      <c r="A10455" s="7">
        <f ca="1">IFERROR(__xludf.DUMMYFUNCTION("""COMPUTED_VALUE"""),44879)</f>
        <v>44879</v>
      </c>
      <c r="B10455" s="6" t="str">
        <f ca="1">IFERROR(__xludf.DUMMYFUNCTION("""COMPUTED_VALUE"""),"-33.747011,-70.911079")</f>
        <v>-33.747011,-70.911079</v>
      </c>
      <c r="C10455" s="6" t="str">
        <f ca="1">IFERROR(__xludf.DUMMYFUNCTION("""COMPUTED_VALUE"""),"LO MARTINEZ 1041")</f>
        <v>LO MARTINEZ 1041</v>
      </c>
      <c r="D10455" s="6" t="str">
        <f ca="1">IFERROR(__xludf.DUMMYFUNCTION("""COMPUTED_VALUE"""),"ISLA DE MAIPO")</f>
        <v>ISLA DE MAIPO</v>
      </c>
    </row>
    <row r="10456" spans="1:4">
      <c r="A10456" s="7">
        <f ca="1">IFERROR(__xludf.DUMMYFUNCTION("""COMPUTED_VALUE"""),44879)</f>
        <v>44879</v>
      </c>
      <c r="B10456" s="8" t="str">
        <f ca="1">IFERROR(__xludf.DUMMYFUNCTION("""COMPUTED_VALUE"""),"-33.744660:-70.871232")</f>
        <v>-33.744660:-70.871232</v>
      </c>
      <c r="C10456" s="6" t="str">
        <f ca="1">IFERROR(__xludf.DUMMYFUNCTION("""COMPUTED_VALUE"""),"HUGO CORVALAN 516")</f>
        <v>HUGO CORVALAN 516</v>
      </c>
      <c r="D10456" s="6" t="str">
        <f ca="1">IFERROR(__xludf.DUMMYFUNCTION("""COMPUTED_VALUE"""),"ISLA DE MAIPO")</f>
        <v>ISLA DE MAIPO</v>
      </c>
    </row>
    <row r="10457" spans="1:4">
      <c r="A10457" s="7">
        <f ca="1">IFERROR(__xludf.DUMMYFUNCTION("""COMPUTED_VALUE"""),44879)</f>
        <v>44879</v>
      </c>
      <c r="B10457" s="8" t="str">
        <f ca="1">IFERROR(__xludf.DUMMYFUNCTION("""COMPUTED_VALUE"""),"-33.742819:-70.919225")</f>
        <v>-33.742819:-70.919225</v>
      </c>
      <c r="C10457" s="6" t="str">
        <f ca="1">IFERROR(__xludf.DUMMYFUNCTION("""COMPUTED_VALUE"""),"SAN LUIS 444")</f>
        <v>SAN LUIS 444</v>
      </c>
      <c r="D10457" s="6" t="str">
        <f ca="1">IFERROR(__xludf.DUMMYFUNCTION("""COMPUTED_VALUE"""),"ISLA DE MAIPO")</f>
        <v>ISLA DE MAIPO</v>
      </c>
    </row>
    <row r="10458" spans="1:4">
      <c r="A10458" s="7">
        <f ca="1">IFERROR(__xludf.DUMMYFUNCTION("""COMPUTED_VALUE"""),44879)</f>
        <v>44879</v>
      </c>
      <c r="B10458" s="8" t="str">
        <f ca="1">IFERROR(__xludf.DUMMYFUNCTION("""COMPUTED_VALUE"""),"-33.637310.-70.528069")</f>
        <v>-33.637310.-70.528069</v>
      </c>
      <c r="C10458" s="6" t="str">
        <f ca="1">IFERROR(__xludf.DUMMYFUNCTION("""COMPUTED_VALUE"""),"FUNDO LAS MAJADAS PIRQUE ")</f>
        <v xml:space="preserve">FUNDO LAS MAJADAS PIRQUE </v>
      </c>
      <c r="D10458" s="6" t="str">
        <f ca="1">IFERROR(__xludf.DUMMYFUNCTION("""COMPUTED_VALUE"""),"PIRQUE")</f>
        <v>PIRQUE</v>
      </c>
    </row>
    <row r="10459" spans="1:4">
      <c r="A10459" s="7">
        <f ca="1">IFERROR(__xludf.DUMMYFUNCTION("""COMPUTED_VALUE"""),44879)</f>
        <v>44879</v>
      </c>
      <c r="B10459" s="6" t="str">
        <f ca="1">IFERROR(__xludf.DUMMYFUNCTION("""COMPUTED_VALUE"""),"-33.620124,-70.797891")</f>
        <v>-33.620124,-70.797891</v>
      </c>
      <c r="C10459" s="6" t="str">
        <f ca="1">IFERROR(__xludf.DUMMYFUNCTION("""COMPUTED_VALUE"""),"CAMINO LONQUEN 15")</f>
        <v>CAMINO LONQUEN 15</v>
      </c>
      <c r="D10459" s="6" t="str">
        <f ca="1">IFERROR(__xludf.DUMMYFUNCTION("""COMPUTED_VALUE"""),"CALERA DE TANGO")</f>
        <v>CALERA DE TANGO</v>
      </c>
    </row>
    <row r="10460" spans="1:4">
      <c r="A10460" s="7">
        <f ca="1">IFERROR(__xludf.DUMMYFUNCTION("""COMPUTED_VALUE"""),44879)</f>
        <v>44879</v>
      </c>
      <c r="B10460" s="6" t="str">
        <f ca="1">IFERROR(__xludf.DUMMYFUNCTION("""COMPUTED_VALUE"""),"-33.632553,-70.763376")</f>
        <v>-33.632553,-70.763376</v>
      </c>
      <c r="C10460" s="6" t="str">
        <f ca="1">IFERROR(__xludf.DUMMYFUNCTION("""COMPUTED_VALUE"""),"LOS ATACAMEÑOS 83")</f>
        <v>LOS ATACAMEÑOS 83</v>
      </c>
      <c r="D10460" s="6" t="str">
        <f ca="1">IFERROR(__xludf.DUMMYFUNCTION("""COMPUTED_VALUE"""),"CALERA DE TANGO")</f>
        <v>CALERA DE TANGO</v>
      </c>
    </row>
    <row r="10461" spans="1:4">
      <c r="A10461" s="7">
        <f ca="1">IFERROR(__xludf.DUMMYFUNCTION("""COMPUTED_VALUE"""),44879)</f>
        <v>44879</v>
      </c>
      <c r="B10461" s="6" t="str">
        <f ca="1">IFERROR(__xludf.DUMMYFUNCTION("""COMPUTED_VALUE"""),"-33.804000,-70.854222")</f>
        <v>-33.804000,-70.854222</v>
      </c>
      <c r="C10461" s="6" t="str">
        <f ca="1">IFERROR(__xludf.DUMMYFUNCTION("""COMPUTED_VALUE"""),"CHILE 105")</f>
        <v>CHILE 105</v>
      </c>
      <c r="D10461" s="6" t="str">
        <f ca="1">IFERROR(__xludf.DUMMYFUNCTION("""COMPUTED_VALUE"""),"PAINE")</f>
        <v>PAINE</v>
      </c>
    </row>
    <row r="10462" spans="1:4">
      <c r="A10462" s="7">
        <f ca="1">IFERROR(__xludf.DUMMYFUNCTION("""COMPUTED_VALUE"""),44879)</f>
        <v>44879</v>
      </c>
      <c r="B10462" s="6" t="str">
        <f ca="1">IFERROR(__xludf.DUMMYFUNCTION("""COMPUTED_VALUE"""),"-33.808472,-70.866333")</f>
        <v>-33.808472,-70.866333</v>
      </c>
      <c r="C10462" s="6" t="str">
        <f ca="1">IFERROR(__xludf.DUMMYFUNCTION("""COMPUTED_VALUE"""),"LOS LIBERALES 631")</f>
        <v>LOS LIBERALES 631</v>
      </c>
      <c r="D10462" s="6" t="str">
        <f ca="1">IFERROR(__xludf.DUMMYFUNCTION("""COMPUTED_VALUE"""),"PAINE")</f>
        <v>PAINE</v>
      </c>
    </row>
    <row r="10463" spans="1:4">
      <c r="A10463" s="7">
        <f ca="1">IFERROR(__xludf.DUMMYFUNCTION("""COMPUTED_VALUE"""),44879)</f>
        <v>44879</v>
      </c>
      <c r="B10463" s="6" t="str">
        <f ca="1">IFERROR(__xludf.DUMMYFUNCTION("""COMPUTED_VALUE"""),"-33.703241,-70.775283")</f>
        <v>-33.703241,-70.775283</v>
      </c>
      <c r="C10463" s="6" t="str">
        <f ca="1">IFERROR(__xludf.DUMMYFUNCTION("""COMPUTED_VALUE"""),"EL ALAMO 17")</f>
        <v>EL ALAMO 17</v>
      </c>
      <c r="D10463" s="6" t="str">
        <f ca="1">IFERROR(__xludf.DUMMYFUNCTION("""COMPUTED_VALUE"""),"PAINE")</f>
        <v>PAINE</v>
      </c>
    </row>
    <row r="10464" spans="1:4">
      <c r="A10464" s="7">
        <f ca="1">IFERROR(__xludf.DUMMYFUNCTION("""COMPUTED_VALUE"""),44880)</f>
        <v>44880</v>
      </c>
      <c r="B10464" s="6" t="str">
        <f ca="1">IFERROR(__xludf.DUMMYFUNCTION("""COMPUTED_VALUE"""),"-34.029650-71.079825")</f>
        <v>-34.029650-71.079825</v>
      </c>
      <c r="C10464" s="6" t="str">
        <f ca="1">IFERROR(__xludf.DUMMYFUNCTION("""COMPUTED_VALUE"""),"PICHI S/N")</f>
        <v>PICHI S/N</v>
      </c>
      <c r="D10464" s="6" t="str">
        <f ca="1">IFERROR(__xludf.DUMMYFUNCTION("""COMPUTED_VALUE"""),"ALHUÉ")</f>
        <v>ALHUÉ</v>
      </c>
    </row>
    <row r="10465" spans="1:4">
      <c r="A10465" s="7">
        <f ca="1">IFERROR(__xludf.DUMMYFUNCTION("""COMPUTED_VALUE"""),44880)</f>
        <v>44880</v>
      </c>
      <c r="B10465" s="6" t="str">
        <f ca="1">IFERROR(__xludf.DUMMYFUNCTION("""COMPUTED_VALUE"""),"-34.028686-71.102681")</f>
        <v>-34.028686-71.102681</v>
      </c>
      <c r="C10465" s="6" t="str">
        <f ca="1">IFERROR(__xludf.DUMMYFUNCTION("""COMPUTED_VALUE"""),"CALLE LA AGUADA S/N")</f>
        <v>CALLE LA AGUADA S/N</v>
      </c>
      <c r="D10465" s="6" t="str">
        <f ca="1">IFERROR(__xludf.DUMMYFUNCTION("""COMPUTED_VALUE"""),"ALHUÉ")</f>
        <v>ALHUÉ</v>
      </c>
    </row>
    <row r="10466" spans="1:4">
      <c r="A10466" s="7">
        <f ca="1">IFERROR(__xludf.DUMMYFUNCTION("""COMPUTED_VALUE"""),44880)</f>
        <v>44880</v>
      </c>
      <c r="B10466" s="6" t="str">
        <f ca="1">IFERROR(__xludf.DUMMYFUNCTION("""COMPUTED_VALUE"""),"-34.034634-71.093361")</f>
        <v>-34.034634-71.093361</v>
      </c>
      <c r="C10466" s="6" t="str">
        <f ca="1">IFERROR(__xludf.DUMMYFUNCTION("""COMPUTED_VALUE"""),"LOS ALAMOS 510")</f>
        <v>LOS ALAMOS 510</v>
      </c>
      <c r="D10466" s="6" t="str">
        <f ca="1">IFERROR(__xludf.DUMMYFUNCTION("""COMPUTED_VALUE"""),"ALHUÉ")</f>
        <v>ALHUÉ</v>
      </c>
    </row>
    <row r="10467" spans="1:4">
      <c r="A10467" s="7">
        <f ca="1">IFERROR(__xludf.DUMMYFUNCTION("""COMPUTED_VALUE"""),44880)</f>
        <v>44880</v>
      </c>
      <c r="B10467" s="6" t="str">
        <f ca="1">IFERROR(__xludf.DUMMYFUNCTION("""COMPUTED_VALUE"""),"34.031971-71.090776")</f>
        <v>34.031971-71.090776</v>
      </c>
      <c r="C10467" s="6" t="str">
        <f ca="1">IFERROR(__xludf.DUMMYFUNCTION("""COMPUTED_VALUE"""),"CINCO DE ABRIL S/N")</f>
        <v>CINCO DE ABRIL S/N</v>
      </c>
      <c r="D10467" s="6" t="str">
        <f ca="1">IFERROR(__xludf.DUMMYFUNCTION("""COMPUTED_VALUE"""),"ALHUÉ")</f>
        <v>ALHUÉ</v>
      </c>
    </row>
    <row r="10468" spans="1:4">
      <c r="A10468" s="7">
        <f ca="1">IFERROR(__xludf.DUMMYFUNCTION("""COMPUTED_VALUE"""),44880)</f>
        <v>44880</v>
      </c>
      <c r="B10468" s="6" t="str">
        <f ca="1">IFERROR(__xludf.DUMMYFUNCTION("""COMPUTED_VALUE"""),"-34.03311-71.01538")</f>
        <v>-34.03311-71.01538</v>
      </c>
      <c r="C10468" s="6" t="str">
        <f ca="1">IFERROR(__xludf.DUMMYFUNCTION("""COMPUTED_VALUE"""),"EL ASIENTO S/N")</f>
        <v>EL ASIENTO S/N</v>
      </c>
      <c r="D10468" s="6" t="str">
        <f ca="1">IFERROR(__xludf.DUMMYFUNCTION("""COMPUTED_VALUE"""),"ALHUÉ")</f>
        <v>ALHUÉ</v>
      </c>
    </row>
    <row r="10469" spans="1:4">
      <c r="A10469" s="7">
        <f ca="1">IFERROR(__xludf.DUMMYFUNCTION("""COMPUTED_VALUE"""),44880)</f>
        <v>44880</v>
      </c>
      <c r="B10469" s="6" t="str">
        <f ca="1">IFERROR(__xludf.DUMMYFUNCTION("""COMPUTED_VALUE"""),"-34.02888-71.08258")</f>
        <v>-34.02888-71.08258</v>
      </c>
      <c r="C10469" s="6" t="str">
        <f ca="1">IFERROR(__xludf.DUMMYFUNCTION("""COMPUTED_VALUE"""),"IGNACIO CARRERA PINTO S/N")</f>
        <v>IGNACIO CARRERA PINTO S/N</v>
      </c>
      <c r="D10469" s="6" t="str">
        <f ca="1">IFERROR(__xludf.DUMMYFUNCTION("""COMPUTED_VALUE"""),"ALHUÉ")</f>
        <v>ALHUÉ</v>
      </c>
    </row>
    <row r="10470" spans="1:4">
      <c r="A10470" s="7">
        <f ca="1">IFERROR(__xludf.DUMMYFUNCTION("""COMPUTED_VALUE"""),44880)</f>
        <v>44880</v>
      </c>
      <c r="B10470" s="6" t="str">
        <f ca="1">IFERROR(__xludf.DUMMYFUNCTION("""COMPUTED_VALUE"""),"-33.66536-71.30279")</f>
        <v>-33.66536-71.30279</v>
      </c>
      <c r="C10470" s="6" t="str">
        <f ca="1">IFERROR(__xludf.DUMMYFUNCTION("""COMPUTED_VALUE"""),"PUERTAS COLORADAS S/N")</f>
        <v>PUERTAS COLORADAS S/N</v>
      </c>
      <c r="D10470" s="6" t="str">
        <f ca="1">IFERROR(__xludf.DUMMYFUNCTION("""COMPUTED_VALUE"""),"MELIPILLA")</f>
        <v>MELIPILLA</v>
      </c>
    </row>
    <row r="10471" spans="1:4">
      <c r="A10471" s="7">
        <f ca="1">IFERROR(__xludf.DUMMYFUNCTION("""COMPUTED_VALUE"""),44880)</f>
        <v>44880</v>
      </c>
      <c r="B10471" s="6" t="str">
        <f ca="1">IFERROR(__xludf.DUMMYFUNCTION("""COMPUTED_VALUE"""),"-33.674560-71.0210843")</f>
        <v>-33.674560-71.0210843</v>
      </c>
      <c r="C10471" s="6" t="str">
        <f ca="1">IFERROR(__xludf.DUMMYFUNCTION("""COMPUTED_VALUE"""),"MATILDE JARA CERDA 246")</f>
        <v>MATILDE JARA CERDA 246</v>
      </c>
      <c r="D10471" s="6" t="str">
        <f ca="1">IFERROR(__xludf.DUMMYFUNCTION("""COMPUTED_VALUE"""),"MELIPILLA")</f>
        <v>MELIPILLA</v>
      </c>
    </row>
    <row r="10472" spans="1:4">
      <c r="A10472" s="7">
        <f ca="1">IFERROR(__xludf.DUMMYFUNCTION("""COMPUTED_VALUE"""),44880)</f>
        <v>44880</v>
      </c>
      <c r="B10472" s="6" t="str">
        <f ca="1">IFERROR(__xludf.DUMMYFUNCTION("""COMPUTED_VALUE"""),"-33.308083,-70.698383")</f>
        <v>-33.308083,-70.698383</v>
      </c>
      <c r="C10472" s="6" t="str">
        <f ca="1">IFERROR(__xludf.DUMMYFUNCTION("""COMPUTED_VALUE"""),"FERMIN VERGARA 80 C")</f>
        <v>FERMIN VERGARA 80 C</v>
      </c>
      <c r="D10472" s="6" t="str">
        <f ca="1">IFERROR(__xludf.DUMMYFUNCTION("""COMPUTED_VALUE"""),"COLINA")</f>
        <v>COLINA</v>
      </c>
    </row>
    <row r="10473" spans="1:4">
      <c r="A10473" s="7">
        <f ca="1">IFERROR(__xludf.DUMMYFUNCTION("""COMPUTED_VALUE"""),44880)</f>
        <v>44880</v>
      </c>
      <c r="B10473" s="8" t="str">
        <f ca="1">IFERROR(__xludf.DUMMYFUNCTION("""COMPUTED_VALUE"""),"-33.222336:-70.837746")</f>
        <v>-33.222336:-70.837746</v>
      </c>
      <c r="C10473" s="6" t="str">
        <f ca="1">IFERROR(__xludf.DUMMYFUNCTION("""COMPUTED_VALUE"""),"LAS GARZAS 40 ")</f>
        <v xml:space="preserve">LAS GARZAS 40 </v>
      </c>
      <c r="D10473" s="6" t="str">
        <f ca="1">IFERROR(__xludf.DUMMYFUNCTION("""COMPUTED_VALUE"""),"LAMPA")</f>
        <v>LAMPA</v>
      </c>
    </row>
    <row r="10474" spans="1:4">
      <c r="A10474" s="7">
        <f ca="1">IFERROR(__xludf.DUMMYFUNCTION("""COMPUTED_VALUE"""),44880)</f>
        <v>44880</v>
      </c>
      <c r="B10474" s="8" t="str">
        <f ca="1">IFERROR(__xludf.DUMMYFUNCTION("""COMPUTED_VALUE"""),"-33.788719:-70.856544")</f>
        <v>-33.788719:-70.856544</v>
      </c>
      <c r="C10474" s="6" t="str">
        <f ca="1">IFERROR(__xludf.DUMMYFUNCTION("""COMPUTED_VALUE"""),"PATRICIO BECERRA 247")</f>
        <v>PATRICIO BECERRA 247</v>
      </c>
      <c r="D10474" s="6" t="str">
        <f ca="1">IFERROR(__xludf.DUMMYFUNCTION("""COMPUTED_VALUE"""),"ISLA DE MAIPO")</f>
        <v>ISLA DE MAIPO</v>
      </c>
    </row>
    <row r="10475" spans="1:4">
      <c r="A10475" s="7">
        <f ca="1">IFERROR(__xludf.DUMMYFUNCTION("""COMPUTED_VALUE"""),44880)</f>
        <v>44880</v>
      </c>
      <c r="B10475" s="6" t="str">
        <f ca="1">IFERROR(__xludf.DUMMYFUNCTION("""COMPUTED_VALUE"""),"-33.809818,-70.732352")</f>
        <v>-33.809818,-70.732352</v>
      </c>
      <c r="C10475" s="6" t="str">
        <f ca="1">IFERROR(__xludf.DUMMYFUNCTION("""COMPUTED_VALUE"""),"LA CONCEPCION 691")</f>
        <v>LA CONCEPCION 691</v>
      </c>
      <c r="D10475" s="6" t="str">
        <f ca="1">IFERROR(__xludf.DUMMYFUNCTION("""COMPUTED_VALUE"""),"PAINE")</f>
        <v>PAINE</v>
      </c>
    </row>
    <row r="10476" spans="1:4">
      <c r="A10476" s="7">
        <f ca="1">IFERROR(__xludf.DUMMYFUNCTION("""COMPUTED_VALUE"""),44880)</f>
        <v>44880</v>
      </c>
      <c r="B10476" s="6" t="str">
        <f ca="1">IFERROR(__xludf.DUMMYFUNCTION("""COMPUTED_VALUE"""),"-33.697367,-70.711072")</f>
        <v>-33.697367,-70.711072</v>
      </c>
      <c r="C10476" s="6" t="str">
        <f ca="1">IFERROR(__xludf.DUMMYFUNCTION("""COMPUTED_VALUE"""),"CA. GENERAL BACHELET 105")</f>
        <v>CA. GENERAL BACHELET 105</v>
      </c>
      <c r="D10476" s="6" t="str">
        <f ca="1">IFERROR(__xludf.DUMMYFUNCTION("""COMPUTED_VALUE"""),"BUIN")</f>
        <v>BUIN</v>
      </c>
    </row>
    <row r="10477" spans="1:4">
      <c r="A10477" s="7">
        <f ca="1">IFERROR(__xludf.DUMMYFUNCTION("""COMPUTED_VALUE"""),44880)</f>
        <v>44880</v>
      </c>
      <c r="B10477" s="6" t="str">
        <f ca="1">IFERROR(__xludf.DUMMYFUNCTION("""COMPUTED_VALUE"""),"-33.673527,-71.210717")</f>
        <v>-33.673527,-71.210717</v>
      </c>
      <c r="C10477" s="6" t="str">
        <f ca="1">IFERROR(__xludf.DUMMYFUNCTION("""COMPUTED_VALUE"""),"PA. MATIAS NUÑEZ 292")</f>
        <v>PA. MATIAS NUÑEZ 292</v>
      </c>
      <c r="D10477" s="6" t="str">
        <f ca="1">IFERROR(__xludf.DUMMYFUNCTION("""COMPUTED_VALUE"""),"MELIPILLA")</f>
        <v>MELIPILLA</v>
      </c>
    </row>
    <row r="10478" spans="1:4">
      <c r="A10478" s="7">
        <f ca="1">IFERROR(__xludf.DUMMYFUNCTION("""COMPUTED_VALUE"""),44880)</f>
        <v>44880</v>
      </c>
      <c r="B10478" s="6" t="str">
        <f ca="1">IFERROR(__xludf.DUMMYFUNCTION("""COMPUTED_VALUE"""),"-33.679003,-71.210466")</f>
        <v>-33.679003,-71.210466</v>
      </c>
      <c r="C10478" s="6" t="str">
        <f ca="1">IFERROR(__xludf.DUMMYFUNCTION("""COMPUTED_VALUE"""),"OSTOLAZAS 2")</f>
        <v>OSTOLAZAS 2</v>
      </c>
      <c r="D10478" s="6" t="str">
        <f ca="1">IFERROR(__xludf.DUMMYFUNCTION("""COMPUTED_VALUE"""),"MELIPILLA")</f>
        <v>MELIPILLA</v>
      </c>
    </row>
    <row r="10479" spans="1:4">
      <c r="A10479" s="7">
        <f ca="1">IFERROR(__xludf.DUMMYFUNCTION("""COMPUTED_VALUE"""),44880)</f>
        <v>44880</v>
      </c>
      <c r="B10479" s="6" t="str">
        <f ca="1">IFERROR(__xludf.DUMMYFUNCTION("""COMPUTED_VALUE"""),"-33.5702551,-70.711954299")</f>
        <v>-33.5702551,-70.711954299</v>
      </c>
      <c r="C10479" s="6" t="str">
        <f ca="1">IFERROR(__xludf.DUMMYFUNCTION("""COMPUTED_VALUE"""),"LOTEO 23")</f>
        <v>LOTEO 23</v>
      </c>
      <c r="D10479" s="6" t="str">
        <f ca="1">IFERROR(__xludf.DUMMYFUNCTION("""COMPUTED_VALUE"""),"MELIPILLA")</f>
        <v>MELIPILLA</v>
      </c>
    </row>
    <row r="10480" spans="1:4">
      <c r="A10480" s="7">
        <f ca="1">IFERROR(__xludf.DUMMYFUNCTION("""COMPUTED_VALUE"""),44880)</f>
        <v>44880</v>
      </c>
      <c r="B10480" s="6" t="str">
        <f ca="1">IFERROR(__xludf.DUMMYFUNCTION("""COMPUTED_VALUE"""),"-33.7865361,-71.1427752")</f>
        <v>-33.7865361,-71.1427752</v>
      </c>
      <c r="C10480" s="6" t="str">
        <f ca="1">IFERROR(__xludf.DUMMYFUNCTION("""COMPUTED_VALUE"""),"SAN CARLOS P46")</f>
        <v>SAN CARLOS P46</v>
      </c>
      <c r="D10480" s="6" t="str">
        <f ca="1">IFERROR(__xludf.DUMMYFUNCTION("""COMPUTED_VALUE"""),"MELIPILLA")</f>
        <v>MELIPILLA</v>
      </c>
    </row>
    <row r="10481" spans="1:4">
      <c r="A10481" s="7">
        <f ca="1">IFERROR(__xludf.DUMMYFUNCTION("""COMPUTED_VALUE"""),44880)</f>
        <v>44880</v>
      </c>
      <c r="B10481" s="6" t="str">
        <f ca="1">IFERROR(__xludf.DUMMYFUNCTION("""COMPUTED_VALUE"""),"-33.4580752,-70.7782527")</f>
        <v>-33.4580752,-70.7782527</v>
      </c>
      <c r="C10481" s="6" t="str">
        <f ca="1">IFERROR(__xludf.DUMMYFUNCTION("""COMPUTED_VALUE"""),"CALLE PADRE HURTADO P-30")</f>
        <v>CALLE PADRE HURTADO P-30</v>
      </c>
      <c r="D10481" s="6" t="str">
        <f ca="1">IFERROR(__xludf.DUMMYFUNCTION("""COMPUTED_VALUE"""),"PAINE")</f>
        <v>PAINE</v>
      </c>
    </row>
    <row r="10482" spans="1:4">
      <c r="A10482" s="7">
        <f ca="1">IFERROR(__xludf.DUMMYFUNCTION("""COMPUTED_VALUE"""),44881)</f>
        <v>44881</v>
      </c>
      <c r="B10482" s="8" t="str">
        <f ca="1">IFERROR(__xludf.DUMMYFUNCTION("""COMPUTED_VALUE"""),"-33.5606173, -71.1554054")</f>
        <v>-33.5606173, -71.1554054</v>
      </c>
      <c r="C10482" s="6" t="str">
        <f ca="1">IFERROR(__xludf.DUMMYFUNCTION("""COMPUTED_VALUE"""),"SAN RAMON S/N")</f>
        <v>SAN RAMON S/N</v>
      </c>
      <c r="D10482" s="6" t="str">
        <f ca="1">IFERROR(__xludf.DUMMYFUNCTION("""COMPUTED_VALUE"""),"MELIPILLA")</f>
        <v>MELIPILLA</v>
      </c>
    </row>
    <row r="10483" spans="1:4">
      <c r="A10483" s="7">
        <f ca="1">IFERROR(__xludf.DUMMYFUNCTION("""COMPUTED_VALUE"""),44881)</f>
        <v>44881</v>
      </c>
      <c r="B10483" s="8" t="str">
        <f ca="1">IFERROR(__xludf.DUMMYFUNCTION("""COMPUTED_VALUE"""),"-33.4355024, -70.6845838")</f>
        <v>-33.4355024, -70.6845838</v>
      </c>
      <c r="C10483" s="6" t="str">
        <f ca="1">IFERROR(__xludf.DUMMYFUNCTION("""COMPUTED_VALUE"""),"EL MAITEN 332")</f>
        <v>EL MAITEN 332</v>
      </c>
      <c r="D10483" s="6" t="str">
        <f ca="1">IFERROR(__xludf.DUMMYFUNCTION("""COMPUTED_VALUE"""),"ISLA DE MAIPO")</f>
        <v>ISLA DE MAIPO</v>
      </c>
    </row>
    <row r="10484" spans="1:4">
      <c r="A10484" s="7">
        <f ca="1">IFERROR(__xludf.DUMMYFUNCTION("""COMPUTED_VALUE"""),44881)</f>
        <v>44881</v>
      </c>
      <c r="B10484" s="6" t="str">
        <f ca="1">IFERROR(__xludf.DUMMYFUNCTION("""COMPUTED_VALUE"""),"-34.027852-71.116412")</f>
        <v>-34.027852-71.116412</v>
      </c>
      <c r="C10484" s="6" t="str">
        <f ca="1">IFERROR(__xludf.DUMMYFUNCTION("""COMPUTED_VALUE"""),"VEINTIUNO DE MAYO S/N")</f>
        <v>VEINTIUNO DE MAYO S/N</v>
      </c>
      <c r="D10484" s="6" t="str">
        <f ca="1">IFERROR(__xludf.DUMMYFUNCTION("""COMPUTED_VALUE"""),"ALHUÉ")</f>
        <v>ALHUÉ</v>
      </c>
    </row>
    <row r="10485" spans="1:4">
      <c r="A10485" s="7">
        <f ca="1">IFERROR(__xludf.DUMMYFUNCTION("""COMPUTED_VALUE"""),44881)</f>
        <v>44881</v>
      </c>
      <c r="B10485" s="6" t="str">
        <f ca="1">IFERROR(__xludf.DUMMYFUNCTION("""COMPUTED_VALUE"""),"-33.743631,-70.870975")</f>
        <v>-33.743631,-70.870975</v>
      </c>
      <c r="C10485" s="6" t="str">
        <f ca="1">IFERROR(__xludf.DUMMYFUNCTION("""COMPUTED_VALUE"""),"PA DIRECTORA SARA RODRIGUEZ ADASME 532")</f>
        <v>PA DIRECTORA SARA RODRIGUEZ ADASME 532</v>
      </c>
      <c r="D10485" s="6" t="str">
        <f ca="1">IFERROR(__xludf.DUMMYFUNCTION("""COMPUTED_VALUE"""),"ISLA DE MAIPO")</f>
        <v>ISLA DE MAIPO</v>
      </c>
    </row>
    <row r="10486" spans="1:4">
      <c r="A10486" s="7">
        <f ca="1">IFERROR(__xludf.DUMMYFUNCTION("""COMPUTED_VALUE"""),44881)</f>
        <v>44881</v>
      </c>
      <c r="B10486" s="6" t="str">
        <f ca="1">IFERROR(__xludf.DUMMYFUNCTION("""COMPUTED_VALUE"""),"-33.687432,-70.910236")</f>
        <v>-33.687432,-70.910236</v>
      </c>
      <c r="C10486" s="6" t="str">
        <f ca="1">IFERROR(__xludf.DUMMYFUNCTION("""COMPUTED_VALUE"""),"CARAMPANGUE S/N ")</f>
        <v xml:space="preserve">CARAMPANGUE S/N </v>
      </c>
      <c r="D10486" s="6" t="str">
        <f ca="1">IFERROR(__xludf.DUMMYFUNCTION("""COMPUTED_VALUE"""),"TALAGANTE")</f>
        <v>TALAGANTE</v>
      </c>
    </row>
    <row r="10487" spans="1:4">
      <c r="A10487" s="7">
        <f ca="1">IFERROR(__xludf.DUMMYFUNCTION("""COMPUTED_VALUE"""),44881)</f>
        <v>44881</v>
      </c>
      <c r="B10487" s="8" t="str">
        <f ca="1">IFERROR(__xludf.DUMMYFUNCTION("""COMPUTED_VALUE"""),"-33.803082:-70.770209")</f>
        <v>-33.803082:-70.770209</v>
      </c>
      <c r="C10487" s="6" t="str">
        <f ca="1">IFERROR(__xludf.DUMMYFUNCTION("""COMPUTED_VALUE"""),"CAMINO PAINE LONQUEN ")</f>
        <v xml:space="preserve">CAMINO PAINE LONQUEN </v>
      </c>
      <c r="D10487" s="6" t="str">
        <f ca="1">IFERROR(__xludf.DUMMYFUNCTION("""COMPUTED_VALUE"""),"BUIN")</f>
        <v>BUIN</v>
      </c>
    </row>
    <row r="10488" spans="1:4">
      <c r="A10488" s="7">
        <f ca="1">IFERROR(__xludf.DUMMYFUNCTION("""COMPUTED_VALUE"""),44881)</f>
        <v>44881</v>
      </c>
      <c r="B10488" s="6" t="str">
        <f ca="1">IFERROR(__xludf.DUMMYFUNCTION("""COMPUTED_VALUE"""),"-33.801173,-70.681194")</f>
        <v>-33.801173,-70.681194</v>
      </c>
      <c r="C10488" s="6" t="str">
        <f ca="1">IFERROR(__xludf.DUMMYFUNCTION("""COMPUTED_VALUE"""),"24 DE ABRIL 77 SITIO 77 LOTE D")</f>
        <v>24 DE ABRIL 77 SITIO 77 LOTE D</v>
      </c>
      <c r="D10488" s="6" t="str">
        <f ca="1">IFERROR(__xludf.DUMMYFUNCTION("""COMPUTED_VALUE"""),"PAINE")</f>
        <v>PAINE</v>
      </c>
    </row>
    <row r="10489" spans="1:4">
      <c r="A10489" s="7">
        <f ca="1">IFERROR(__xludf.DUMMYFUNCTION("""COMPUTED_VALUE"""),44881)</f>
        <v>44881</v>
      </c>
      <c r="B10489" s="6" t="str">
        <f ca="1">IFERROR(__xludf.DUMMYFUNCTION("""COMPUTED_VALUE"""),"-33.800790,-70.681486")</f>
        <v>-33.800790,-70.681486</v>
      </c>
      <c r="C10489" s="6" t="str">
        <f ca="1">IFERROR(__xludf.DUMMYFUNCTION("""COMPUTED_VALUE"""),"24 DE ABRIL 77 LOTE E")</f>
        <v>24 DE ABRIL 77 LOTE E</v>
      </c>
      <c r="D10489" s="6" t="str">
        <f ca="1">IFERROR(__xludf.DUMMYFUNCTION("""COMPUTED_VALUE"""),"PAINE")</f>
        <v>PAINE</v>
      </c>
    </row>
    <row r="10490" spans="1:4">
      <c r="A10490" s="7">
        <f ca="1">IFERROR(__xludf.DUMMYFUNCTION("""COMPUTED_VALUE"""),44881)</f>
        <v>44881</v>
      </c>
      <c r="B10490" s="6" t="str">
        <f ca="1">IFERROR(__xludf.DUMMYFUNCTION("""COMPUTED_VALUE"""),"-33.697400,-70.710939")</f>
        <v>-33.697400,-70.710939</v>
      </c>
      <c r="C10490" s="6" t="str">
        <f ca="1">IFERROR(__xludf.DUMMYFUNCTION("""COMPUTED_VALUE"""),"GENERAL BACHELET 105")</f>
        <v>GENERAL BACHELET 105</v>
      </c>
      <c r="D10490" s="6" t="str">
        <f ca="1">IFERROR(__xludf.DUMMYFUNCTION("""COMPUTED_VALUE"""),"BUIN")</f>
        <v>BUIN</v>
      </c>
    </row>
    <row r="10491" spans="1:4">
      <c r="A10491" s="7">
        <f ca="1">IFERROR(__xludf.DUMMYFUNCTION("""COMPUTED_VALUE"""),44881)</f>
        <v>44881</v>
      </c>
      <c r="B10491" s="6" t="str">
        <f ca="1">IFERROR(__xludf.DUMMYFUNCTION("""COMPUTED_VALUE"""),"-33.770365,-70.662900")</f>
        <v>-33.770365,-70.662900</v>
      </c>
      <c r="C10491" s="6" t="str">
        <f ca="1">IFERROR(__xludf.DUMMYFUNCTION("""COMPUTED_VALUE"""),"CAMINO PADRE HURTADO4635")</f>
        <v>CAMINO PADRE HURTADO4635</v>
      </c>
      <c r="D10491" s="6" t="str">
        <f ca="1">IFERROR(__xludf.DUMMYFUNCTION("""COMPUTED_VALUE"""),"PAINE")</f>
        <v>PAINE</v>
      </c>
    </row>
    <row r="10492" spans="1:4">
      <c r="A10492" s="7">
        <f ca="1">IFERROR(__xludf.DUMMYFUNCTION("""COMPUTED_VALUE"""),44881)</f>
        <v>44881</v>
      </c>
      <c r="B10492" s="6" t="str">
        <f ca="1">IFERROR(__xludf.DUMMYFUNCTION("""COMPUTED_VALUE"""),"-34.039390,-71.226786")</f>
        <v>-34.039390,-71.226786</v>
      </c>
      <c r="C10492" s="6" t="str">
        <f ca="1">IFERROR(__xludf.DUMMYFUNCTION("""COMPUTED_VALUE"""),"CAMINO LA LINEA")</f>
        <v>CAMINO LA LINEA</v>
      </c>
      <c r="D10492" s="6" t="str">
        <f ca="1">IFERROR(__xludf.DUMMYFUNCTION("""COMPUTED_VALUE"""),"ALHUÉ")</f>
        <v>ALHUÉ</v>
      </c>
    </row>
    <row r="10493" spans="1:4">
      <c r="A10493" s="7">
        <f ca="1">IFERROR(__xludf.DUMMYFUNCTION("""COMPUTED_VALUE"""),44881)</f>
        <v>44881</v>
      </c>
      <c r="B10493" s="6" t="str">
        <f ca="1">IFERROR(__xludf.DUMMYFUNCTION("""COMPUTED_VALUE"""),"-34.030485,-71.008712")</f>
        <v>-34.030485,-71.008712</v>
      </c>
      <c r="C10493" s="6" t="str">
        <f ca="1">IFERROR(__xludf.DUMMYFUNCTION("""COMPUTED_VALUE"""),"ESMERALDA S/N")</f>
        <v>ESMERALDA S/N</v>
      </c>
      <c r="D10493" s="6" t="str">
        <f ca="1">IFERROR(__xludf.DUMMYFUNCTION("""COMPUTED_VALUE"""),"ALHUÉ")</f>
        <v>ALHUÉ</v>
      </c>
    </row>
    <row r="10494" spans="1:4">
      <c r="A10494" s="7">
        <f ca="1">IFERROR(__xludf.DUMMYFUNCTION("""COMPUTED_VALUE"""),44881)</f>
        <v>44881</v>
      </c>
      <c r="B10494" s="6" t="str">
        <f ca="1">IFERROR(__xludf.DUMMYFUNCTION("""COMPUTED_VALUE"""),"-34.039390,-71.226786")</f>
        <v>-34.039390,-71.226786</v>
      </c>
      <c r="C10494" s="6" t="str">
        <f ca="1">IFERROR(__xludf.DUMMYFUNCTION("""COMPUTED_VALUE"""),"CAMINO LA LINEA")</f>
        <v>CAMINO LA LINEA</v>
      </c>
      <c r="D10494" s="6" t="str">
        <f ca="1">IFERROR(__xludf.DUMMYFUNCTION("""COMPUTED_VALUE"""),"ALHUÉ")</f>
        <v>ALHUÉ</v>
      </c>
    </row>
    <row r="10495" spans="1:4">
      <c r="A10495" s="7">
        <f ca="1">IFERROR(__xludf.DUMMYFUNCTION("""COMPUTED_VALUE"""),44881)</f>
        <v>44881</v>
      </c>
      <c r="B10495" s="6" t="str">
        <f ca="1">IFERROR(__xludf.DUMMYFUNCTION("""COMPUTED_VALUE"""),"-33.6651395,-71.2959044")</f>
        <v>-33.6651395,-71.2959044</v>
      </c>
      <c r="C10495" s="6" t="str">
        <f ca="1">IFERROR(__xludf.DUMMYFUNCTION("""COMPUTED_VALUE"""),"CAMINO SAN ANTONIO S/N")</f>
        <v>CAMINO SAN ANTONIO S/N</v>
      </c>
      <c r="D10495" s="6" t="str">
        <f ca="1">IFERROR(__xludf.DUMMYFUNCTION("""COMPUTED_VALUE"""),"MELIPILLA")</f>
        <v>MELIPILLA</v>
      </c>
    </row>
    <row r="10496" spans="1:4">
      <c r="A10496" s="7">
        <f ca="1">IFERROR(__xludf.DUMMYFUNCTION("""COMPUTED_VALUE"""),44881)</f>
        <v>44881</v>
      </c>
      <c r="B10496" s="6" t="str">
        <f ca="1">IFERROR(__xludf.DUMMYFUNCTION("""COMPUTED_VALUE"""),"-33.7597905,-71.3092601")</f>
        <v>-33.7597905,-71.3092601</v>
      </c>
      <c r="C10496" s="6" t="str">
        <f ca="1">IFERROR(__xludf.DUMMYFUNCTION("""COMPUTED_VALUE"""),"CASA 2 CODIGUE")</f>
        <v>CASA 2 CODIGUE</v>
      </c>
      <c r="D10496" s="6" t="str">
        <f ca="1">IFERROR(__xludf.DUMMYFUNCTION("""COMPUTED_VALUE"""),"MELIPILLA")</f>
        <v>MELIPILLA</v>
      </c>
    </row>
    <row r="10497" spans="1:4">
      <c r="A10497" s="7">
        <f ca="1">IFERROR(__xludf.DUMMYFUNCTION("""COMPUTED_VALUE"""),44881)</f>
        <v>44881</v>
      </c>
      <c r="B10497" s="6" t="str">
        <f ca="1">IFERROR(__xludf.DUMMYFUNCTION("""COMPUTED_VALUE"""),"-33.852673,-70.761793")</f>
        <v>-33.852673,-70.761793</v>
      </c>
      <c r="C10497" s="6" t="str">
        <f ca="1">IFERROR(__xludf.DUMMYFUNCTION("""COMPUTED_VALUE"""),"JORGE ALESSANDRI 25")</f>
        <v>JORGE ALESSANDRI 25</v>
      </c>
      <c r="D10497" s="6" t="str">
        <f ca="1">IFERROR(__xludf.DUMMYFUNCTION("""COMPUTED_VALUE"""),"PAINE")</f>
        <v>PAINE</v>
      </c>
    </row>
    <row r="10498" spans="1:4">
      <c r="A10498" s="7">
        <f ca="1">IFERROR(__xludf.DUMMYFUNCTION("""COMPUTED_VALUE"""),44881)</f>
        <v>44881</v>
      </c>
      <c r="B10498" s="6" t="str">
        <f ca="1">IFERROR(__xludf.DUMMYFUNCTION("""COMPUTED_VALUE"""),"-33.8131892,-70.7355483")</f>
        <v>-33.8131892,-70.7355483</v>
      </c>
      <c r="C10498" s="6" t="str">
        <f ca="1">IFERROR(__xludf.DUMMYFUNCTION("""COMPUTED_VALUE"""),"EL CEDRO 706")</f>
        <v>EL CEDRO 706</v>
      </c>
      <c r="D10498" s="6" t="str">
        <f ca="1">IFERROR(__xludf.DUMMYFUNCTION("""COMPUTED_VALUE"""),"PAINE")</f>
        <v>PAINE</v>
      </c>
    </row>
    <row r="10499" spans="1:4">
      <c r="A10499" s="7">
        <f ca="1">IFERROR(__xludf.DUMMYFUNCTION("""COMPUTED_VALUE"""),44881)</f>
        <v>44881</v>
      </c>
      <c r="B10499" s="6" t="str">
        <f ca="1">IFERROR(__xludf.DUMMYFUNCTION("""COMPUTED_VALUE"""),"-33.608091,-70.790381")</f>
        <v>-33.608091,-70.790381</v>
      </c>
      <c r="C10499" s="6" t="str">
        <f ca="1">IFERROR(__xludf.DUMMYFUNCTION("""COMPUTED_VALUE"""),"LONGUE NORTE P12")</f>
        <v>LONGUE NORTE P12</v>
      </c>
      <c r="D10499" s="6" t="str">
        <f ca="1">IFERROR(__xludf.DUMMYFUNCTION("""COMPUTED_VALUE"""),"CALERA DE TANGO")</f>
        <v>CALERA DE TANGO</v>
      </c>
    </row>
    <row r="10500" spans="1:4">
      <c r="A10500" s="7">
        <f ca="1">IFERROR(__xludf.DUMMYFUNCTION("""COMPUTED_VALUE"""),44881)</f>
        <v>44881</v>
      </c>
      <c r="B10500" s="6" t="str">
        <f ca="1">IFERROR(__xludf.DUMMYFUNCTION("""COMPUTED_VALUE"""),"-33.798092,-70.764194")</f>
        <v>-33.798092,-70.764194</v>
      </c>
      <c r="C10500" s="6" t="str">
        <f ca="1">IFERROR(__xludf.DUMMYFUNCTION("""COMPUTED_VALUE"""),"LAS DALIAS SITIO 43")</f>
        <v>LAS DALIAS SITIO 43</v>
      </c>
      <c r="D10500" s="6" t="str">
        <f ca="1">IFERROR(__xludf.DUMMYFUNCTION("""COMPUTED_VALUE"""),"CALERA DE TANGO")</f>
        <v>CALERA DE TANGO</v>
      </c>
    </row>
    <row r="10501" spans="1:4">
      <c r="A10501" s="7">
        <f ca="1">IFERROR(__xludf.DUMMYFUNCTION("""COMPUTED_VALUE"""),44881)</f>
        <v>44881</v>
      </c>
      <c r="B10501" s="6" t="str">
        <f ca="1">IFERROR(__xludf.DUMMYFUNCTION("""COMPUTED_VALUE"""),"-33.872602,-70.733700")</f>
        <v>-33.872602,-70.733700</v>
      </c>
      <c r="C10501" s="6" t="str">
        <f ca="1">IFERROR(__xludf.DUMMYFUNCTION("""COMPUTED_VALUE"""),"LAS ACACIAS P/143")</f>
        <v>LAS ACACIAS P/143</v>
      </c>
      <c r="D10501" s="6" t="str">
        <f ca="1">IFERROR(__xludf.DUMMYFUNCTION("""COMPUTED_VALUE"""),"CALERA DE TANGO")</f>
        <v>CALERA DE TANGO</v>
      </c>
    </row>
    <row r="10502" spans="1:4">
      <c r="A10502" s="7">
        <f ca="1">IFERROR(__xludf.DUMMYFUNCTION("""COMPUTED_VALUE"""),44882)</f>
        <v>44882</v>
      </c>
      <c r="B10502" s="8" t="str">
        <f ca="1">IFERROR(__xludf.DUMMYFUNCTION("""COMPUTED_VALUE"""),"-33.435474, -70.6845491")</f>
        <v>-33.435474, -70.6845491</v>
      </c>
      <c r="C10502" s="6" t="str">
        <f ca="1">IFERROR(__xludf.DUMMYFUNCTION("""COMPUTED_VALUE"""),"JUAN FRANCISCO FRESCO 458")</f>
        <v>JUAN FRANCISCO FRESCO 458</v>
      </c>
      <c r="D10502" s="6" t="str">
        <f ca="1">IFERROR(__xludf.DUMMYFUNCTION("""COMPUTED_VALUE"""),"ISLA DE MAIPO")</f>
        <v>ISLA DE MAIPO</v>
      </c>
    </row>
    <row r="10503" spans="1:4">
      <c r="A10503" s="7">
        <f ca="1">IFERROR(__xludf.DUMMYFUNCTION("""COMPUTED_VALUE"""),44882)</f>
        <v>44882</v>
      </c>
      <c r="B10503" s="8" t="str">
        <f ca="1">IFERROR(__xludf.DUMMYFUNCTION("""COMPUTED_VALUE"""),"-33.7040177, -71.2158846")</f>
        <v>-33.7040177, -71.2158846</v>
      </c>
      <c r="C10503" s="6" t="str">
        <f ca="1">IFERROR(__xludf.DUMMYFUNCTION("""COMPUTED_VALUE"""),"HULCO BAJO 1138")</f>
        <v>HULCO BAJO 1138</v>
      </c>
      <c r="D10503" s="6" t="str">
        <f ca="1">IFERROR(__xludf.DUMMYFUNCTION("""COMPUTED_VALUE"""),"MELIPILLA")</f>
        <v>MELIPILLA</v>
      </c>
    </row>
    <row r="10504" spans="1:4">
      <c r="A10504" s="7">
        <f ca="1">IFERROR(__xludf.DUMMYFUNCTION("""COMPUTED_VALUE"""),44882)</f>
        <v>44882</v>
      </c>
      <c r="B10504" s="8" t="str">
        <f ca="1">IFERROR(__xludf.DUMMYFUNCTION("""COMPUTED_VALUE"""),"-33.7460663, -70.8676383")</f>
        <v>-33.7460663, -70.8676383</v>
      </c>
      <c r="C10504" s="6" t="str">
        <f ca="1">IFERROR(__xludf.DUMMYFUNCTION("""COMPUTED_VALUE"""),"SUPERINTENDENTE HUGO CORVALAN 172")</f>
        <v>SUPERINTENDENTE HUGO CORVALAN 172</v>
      </c>
      <c r="D10504" s="6" t="str">
        <f ca="1">IFERROR(__xludf.DUMMYFUNCTION("""COMPUTED_VALUE"""),"ISLA DE MAIPO")</f>
        <v>ISLA DE MAIPO</v>
      </c>
    </row>
    <row r="10505" spans="1:4">
      <c r="A10505" s="7">
        <f ca="1">IFERROR(__xludf.DUMMYFUNCTION("""COMPUTED_VALUE"""),44882)</f>
        <v>44882</v>
      </c>
      <c r="B10505" s="8" t="str">
        <f ca="1">IFERROR(__xludf.DUMMYFUNCTION("""COMPUTED_VALUE"""),"-33.6761517, -71.2350367")</f>
        <v>-33.6761517, -71.2350367</v>
      </c>
      <c r="C10505" s="6" t="str">
        <f ca="1">IFERROR(__xludf.DUMMYFUNCTION("""COMPUTED_VALUE"""),"EDMUNDO GALINDO RAMIREZ 2480")</f>
        <v>EDMUNDO GALINDO RAMIREZ 2480</v>
      </c>
      <c r="D10505" s="6" t="str">
        <f ca="1">IFERROR(__xludf.DUMMYFUNCTION("""COMPUTED_VALUE"""),"MELIPILLA")</f>
        <v>MELIPILLA</v>
      </c>
    </row>
    <row r="10506" spans="1:4">
      <c r="A10506" s="7">
        <f ca="1">IFERROR(__xludf.DUMMYFUNCTION("""COMPUTED_VALUE"""),44882)</f>
        <v>44882</v>
      </c>
      <c r="B10506" s="8" t="str">
        <f ca="1">IFERROR(__xludf.DUMMYFUNCTION("""COMPUTED_VALUE"""),"-33.2740529, -70.8866347")</f>
        <v>-33.2740529, -70.8866347</v>
      </c>
      <c r="C10506" s="6" t="str">
        <f ca="1">IFERROR(__xludf.DUMMYFUNCTION("""COMPUTED_VALUE"""),"SAAVEDRA 93")</f>
        <v>SAAVEDRA 93</v>
      </c>
      <c r="D10506" s="6" t="str">
        <f ca="1">IFERROR(__xludf.DUMMYFUNCTION("""COMPUTED_VALUE"""),"LAMPA")</f>
        <v>LAMPA</v>
      </c>
    </row>
    <row r="10507" spans="1:4">
      <c r="A10507" s="7">
        <f ca="1">IFERROR(__xludf.DUMMYFUNCTION("""COMPUTED_VALUE"""),44882)</f>
        <v>44882</v>
      </c>
      <c r="B10507" s="8" t="str">
        <f ca="1">IFERROR(__xludf.DUMMYFUNCTION("""COMPUTED_VALUE"""),"-33.745075, -70.8718084")</f>
        <v>-33.745075, -70.8718084</v>
      </c>
      <c r="C10507" s="6" t="str">
        <f ca="1">IFERROR(__xludf.DUMMYFUNCTION("""COMPUTED_VALUE"""),"CANCHA CARRERA 1450")</f>
        <v>CANCHA CARRERA 1450</v>
      </c>
      <c r="D10507" s="6" t="str">
        <f ca="1">IFERROR(__xludf.DUMMYFUNCTION("""COMPUTED_VALUE"""),"ISLA DE MAIPO")</f>
        <v>ISLA DE MAIPO</v>
      </c>
    </row>
    <row r="10508" spans="1:4">
      <c r="A10508" s="7">
        <f ca="1">IFERROR(__xludf.DUMMYFUNCTION("""COMPUTED_VALUE"""),44882)</f>
        <v>44882</v>
      </c>
      <c r="B10508" s="6" t="str">
        <f ca="1">IFERROR(__xludf.DUMMYFUNCTION("""COMPUTED_VALUE"""),"-34.01960-71.21285")</f>
        <v>-34.01960-71.21285</v>
      </c>
      <c r="C10508" s="6" t="str">
        <f ca="1">IFERROR(__xludf.DUMMYFUNCTION("""COMPUTED_VALUE"""),"LA CUESTA S/N")</f>
        <v>LA CUESTA S/N</v>
      </c>
      <c r="D10508" s="6" t="str">
        <f ca="1">IFERROR(__xludf.DUMMYFUNCTION("""COMPUTED_VALUE"""),"ALHUÉ")</f>
        <v>ALHUÉ</v>
      </c>
    </row>
    <row r="10509" spans="1:4">
      <c r="A10509" s="7">
        <f ca="1">IFERROR(__xludf.DUMMYFUNCTION("""COMPUTED_VALUE"""),44882)</f>
        <v>44882</v>
      </c>
      <c r="B10509" s="6" t="str">
        <f ca="1">IFERROR(__xludf.DUMMYFUNCTION("""COMPUTED_VALUE"""),"-34.03755-71.09838")</f>
        <v>-34.03755-71.09838</v>
      </c>
      <c r="C10509" s="6" t="str">
        <f ca="1">IFERROR(__xludf.DUMMYFUNCTION("""COMPUTED_VALUE"""),"VILLA ALHUE S/N")</f>
        <v>VILLA ALHUE S/N</v>
      </c>
      <c r="D10509" s="6" t="str">
        <f ca="1">IFERROR(__xludf.DUMMYFUNCTION("""COMPUTED_VALUE"""),"ALHUÉ")</f>
        <v>ALHUÉ</v>
      </c>
    </row>
    <row r="10510" spans="1:4">
      <c r="A10510" s="7">
        <f ca="1">IFERROR(__xludf.DUMMYFUNCTION("""COMPUTED_VALUE"""),44882)</f>
        <v>44882</v>
      </c>
      <c r="B10510" s="6" t="str">
        <f ca="1">IFERROR(__xludf.DUMMYFUNCTION("""COMPUTED_VALUE"""),"-34.03755-71.09838")</f>
        <v>-34.03755-71.09838</v>
      </c>
      <c r="C10510" s="6" t="str">
        <f ca="1">IFERROR(__xludf.DUMMYFUNCTION("""COMPUTED_VALUE"""),"LA LINEA S/N")</f>
        <v>LA LINEA S/N</v>
      </c>
      <c r="D10510" s="6" t="str">
        <f ca="1">IFERROR(__xludf.DUMMYFUNCTION("""COMPUTED_VALUE"""),"ALHUÉ")</f>
        <v>ALHUÉ</v>
      </c>
    </row>
    <row r="10511" spans="1:4">
      <c r="A10511" s="7">
        <f ca="1">IFERROR(__xludf.DUMMYFUNCTION("""COMPUTED_VALUE"""),44882)</f>
        <v>44882</v>
      </c>
      <c r="B10511" s="6" t="str">
        <f ca="1">IFERROR(__xludf.DUMMYFUNCTION("""COMPUTED_VALUE"""),"-34.02883-71.08260")</f>
        <v>-34.02883-71.08260</v>
      </c>
      <c r="C10511" s="6" t="str">
        <f ca="1">IFERROR(__xludf.DUMMYFUNCTION("""COMPUTED_VALUE"""),"IGNACIO CARRERA PINTO S/N")</f>
        <v>IGNACIO CARRERA PINTO S/N</v>
      </c>
      <c r="D10511" s="6" t="str">
        <f ca="1">IFERROR(__xludf.DUMMYFUNCTION("""COMPUTED_VALUE"""),"ALHUÉ")</f>
        <v>ALHUÉ</v>
      </c>
    </row>
    <row r="10512" spans="1:4">
      <c r="A10512" s="7">
        <f ca="1">IFERROR(__xludf.DUMMYFUNCTION("""COMPUTED_VALUE"""),44882)</f>
        <v>44882</v>
      </c>
      <c r="B10512" s="6" t="str">
        <f ca="1">IFERROR(__xludf.DUMMYFUNCTION("""COMPUTED_VALUE"""),"-33.595505-70.875694")</f>
        <v>-33.595505-70.875694</v>
      </c>
      <c r="C10512" s="6" t="str">
        <f ca="1">IFERROR(__xludf.DUMMYFUNCTION("""COMPUTED_VALUE"""),"SALVADOR SILVA 2401")</f>
        <v>SALVADOR SILVA 2401</v>
      </c>
      <c r="D10512" s="6" t="str">
        <f ca="1">IFERROR(__xludf.DUMMYFUNCTION("""COMPUTED_VALUE"""),"PEÑAFLOR")</f>
        <v>PEÑAFLOR</v>
      </c>
    </row>
    <row r="10513" spans="1:4">
      <c r="A10513" s="7">
        <f ca="1">IFERROR(__xludf.DUMMYFUNCTION("""COMPUTED_VALUE"""),44882)</f>
        <v>44882</v>
      </c>
      <c r="B10513" s="6" t="str">
        <f ca="1">IFERROR(__xludf.DUMMYFUNCTION("""COMPUTED_VALUE"""),"-33.617415-70.882953")</f>
        <v>-33.617415-70.882953</v>
      </c>
      <c r="C10513" s="6" t="str">
        <f ca="1">IFERROR(__xludf.DUMMYFUNCTION("""COMPUTED_VALUE"""),"AV. VICUÑA MACKENNA 2146 PARCELA 18 A")</f>
        <v>AV. VICUÑA MACKENNA 2146 PARCELA 18 A</v>
      </c>
      <c r="D10513" s="6" t="str">
        <f ca="1">IFERROR(__xludf.DUMMYFUNCTION("""COMPUTED_VALUE"""),"PEÑAFLOR")</f>
        <v>PEÑAFLOR</v>
      </c>
    </row>
    <row r="10514" spans="1:4">
      <c r="A10514" s="7">
        <f ca="1">IFERROR(__xludf.DUMMYFUNCTION("""COMPUTED_VALUE"""),44882)</f>
        <v>44882</v>
      </c>
      <c r="B10514" s="6" t="str">
        <f ca="1">IFERROR(__xludf.DUMMYFUNCTION("""COMPUTED_VALUE"""),"-34.032610-71.100289")</f>
        <v>-34.032610-71.100289</v>
      </c>
      <c r="C10514" s="6" t="str">
        <f ca="1">IFERROR(__xludf.DUMMYFUNCTION("""COMPUTED_VALUE"""),"VEINTIUNO DE MAYO S/N")</f>
        <v>VEINTIUNO DE MAYO S/N</v>
      </c>
      <c r="D10514" s="6" t="str">
        <f ca="1">IFERROR(__xludf.DUMMYFUNCTION("""COMPUTED_VALUE"""),"ALHUÉ")</f>
        <v>ALHUÉ</v>
      </c>
    </row>
    <row r="10515" spans="1:4">
      <c r="A10515" s="7">
        <f ca="1">IFERROR(__xludf.DUMMYFUNCTION("""COMPUTED_VALUE"""),44882)</f>
        <v>44882</v>
      </c>
      <c r="B10515" s="6" t="str">
        <f ca="1">IFERROR(__xludf.DUMMYFUNCTION("""COMPUTED_VALUE"""),"-34.034608-71.093867")</f>
        <v>-34.034608-71.093867</v>
      </c>
      <c r="C10515" s="6" t="str">
        <f ca="1">IFERROR(__xludf.DUMMYFUNCTION("""COMPUTED_VALUE"""),"LOS ALAMOS 510")</f>
        <v>LOS ALAMOS 510</v>
      </c>
      <c r="D10515" s="6" t="str">
        <f ca="1">IFERROR(__xludf.DUMMYFUNCTION("""COMPUTED_VALUE"""),"ALHUÉ")</f>
        <v>ALHUÉ</v>
      </c>
    </row>
    <row r="10516" spans="1:4">
      <c r="A10516" s="7">
        <f ca="1">IFERROR(__xludf.DUMMYFUNCTION("""COMPUTED_VALUE"""),44882)</f>
        <v>44882</v>
      </c>
      <c r="B10516" s="6" t="str">
        <f ca="1">IFERROR(__xludf.DUMMYFUNCTION("""COMPUTED_VALUE"""),"-34.033878-71.100839")</f>
        <v>-34.033878-71.100839</v>
      </c>
      <c r="C10516" s="6" t="str">
        <f ca="1">IFERROR(__xludf.DUMMYFUNCTION("""COMPUTED_VALUE"""),"ESMERALDA S/N")</f>
        <v>ESMERALDA S/N</v>
      </c>
      <c r="D10516" s="6" t="str">
        <f ca="1">IFERROR(__xludf.DUMMYFUNCTION("""COMPUTED_VALUE"""),"ALHUÉ")</f>
        <v>ALHUÉ</v>
      </c>
    </row>
    <row r="10517" spans="1:4">
      <c r="A10517" s="7">
        <f ca="1">IFERROR(__xludf.DUMMYFUNCTION("""COMPUTED_VALUE"""),44882)</f>
        <v>44882</v>
      </c>
      <c r="B10517" s="8" t="str">
        <f ca="1">IFERROR(__xludf.DUMMYFUNCTION("""COMPUTED_VALUE"""),"-33.7275546,-70.769464")</f>
        <v>-33.7275546,-70.769464</v>
      </c>
      <c r="C10517" s="6" t="str">
        <f ca="1">IFERROR(__xludf.DUMMYFUNCTION("""COMPUTED_VALUE"""),"HIPOLITO CARRASCO 2817")</f>
        <v>HIPOLITO CARRASCO 2817</v>
      </c>
      <c r="D10517" s="6" t="str">
        <f ca="1">IFERROR(__xludf.DUMMYFUNCTION("""COMPUTED_VALUE"""),"BUIN")</f>
        <v>BUIN</v>
      </c>
    </row>
    <row r="10518" spans="1:4">
      <c r="A10518" s="7">
        <f ca="1">IFERROR(__xludf.DUMMYFUNCTION("""COMPUTED_VALUE"""),44882)</f>
        <v>44882</v>
      </c>
      <c r="B10518" s="8" t="str">
        <f ca="1">IFERROR(__xludf.DUMMYFUNCTION("""COMPUTED_VALUE"""),"-33.724182,-70.737080")</f>
        <v>-33.724182,-70.737080</v>
      </c>
      <c r="C10518" s="6" t="str">
        <f ca="1">IFERROR(__xludf.DUMMYFUNCTION("""COMPUTED_VALUE"""),"EL SOLAR DE BUIN , PSJE 8 ,CASA 5")</f>
        <v>EL SOLAR DE BUIN , PSJE 8 ,CASA 5</v>
      </c>
      <c r="D10518" s="6" t="str">
        <f ca="1">IFERROR(__xludf.DUMMYFUNCTION("""COMPUTED_VALUE"""),"BUIN")</f>
        <v>BUIN</v>
      </c>
    </row>
    <row r="10519" spans="1:4">
      <c r="A10519" s="7">
        <f ca="1">IFERROR(__xludf.DUMMYFUNCTION("""COMPUTED_VALUE"""),44882)</f>
        <v>44882</v>
      </c>
      <c r="B10519" s="8" t="str">
        <f ca="1">IFERROR(__xludf.DUMMYFUNCTION("""COMPUTED_VALUE"""),"-33.724108,-70.737032")</f>
        <v>-33.724108,-70.737032</v>
      </c>
      <c r="C10519" s="6" t="str">
        <f ca="1">IFERROR(__xludf.DUMMYFUNCTION("""COMPUTED_VALUE"""),"EL SOLAR DE BUIN , PSJE 8 ,CASA 46")</f>
        <v>EL SOLAR DE BUIN , PSJE 8 ,CASA 46</v>
      </c>
      <c r="D10519" s="6" t="str">
        <f ca="1">IFERROR(__xludf.DUMMYFUNCTION("""COMPUTED_VALUE"""),"BUIN")</f>
        <v>BUIN</v>
      </c>
    </row>
    <row r="10520" spans="1:4">
      <c r="A10520" s="7">
        <f ca="1">IFERROR(__xludf.DUMMYFUNCTION("""COMPUTED_VALUE"""),44882)</f>
        <v>44882</v>
      </c>
      <c r="B10520" s="8" t="str">
        <f ca="1">IFERROR(__xludf.DUMMYFUNCTION("""COMPUTED_VALUE"""),"-33.245536,-70725074")</f>
        <v>-33.245536,-70725074</v>
      </c>
      <c r="C10520" s="6" t="str">
        <f ca="1">IFERROR(__xludf.DUMMYFUNCTION("""COMPUTED_VALUE"""),"STA MARTA S/N")</f>
        <v>STA MARTA S/N</v>
      </c>
      <c r="D10520" s="6" t="str">
        <f ca="1">IFERROR(__xludf.DUMMYFUNCTION("""COMPUTED_VALUE"""),"COLINA")</f>
        <v>COLINA</v>
      </c>
    </row>
    <row r="10521" spans="1:4">
      <c r="A10521" s="7">
        <f ca="1">IFERROR(__xludf.DUMMYFUNCTION("""COMPUTED_VALUE"""),44882)</f>
        <v>44882</v>
      </c>
      <c r="B10521" s="6" t="str">
        <f ca="1">IFERROR(__xludf.DUMMYFUNCTION("""COMPUTED_VALUE"""),"-33.751499,-70.860841")</f>
        <v>-33.751499,-70.860841</v>
      </c>
      <c r="C10521" s="6" t="str">
        <f ca="1">IFERROR(__xludf.DUMMYFUNCTION("""COMPUTED_VALUE"""),"LA PALMA CHILENA 2924")</f>
        <v>LA PALMA CHILENA 2924</v>
      </c>
      <c r="D10521" s="6" t="str">
        <f ca="1">IFERROR(__xludf.DUMMYFUNCTION("""COMPUTED_VALUE"""),"ISLA DE MAIPO")</f>
        <v>ISLA DE MAIPO</v>
      </c>
    </row>
    <row r="10522" spans="1:4">
      <c r="A10522" s="7">
        <f ca="1">IFERROR(__xludf.DUMMYFUNCTION("""COMPUTED_VALUE"""),44882)</f>
        <v>44882</v>
      </c>
      <c r="B10522" s="8" t="str">
        <f ca="1">IFERROR(__xludf.DUMMYFUNCTION("""COMPUTED_VALUE"""),"-33.698890:-71.218690")</f>
        <v>-33.698890:-71.218690</v>
      </c>
      <c r="C10522" s="6" t="str">
        <f ca="1">IFERROR(__xludf.DUMMYFUNCTION("""COMPUTED_VALUE"""),"PARDO 1587")</f>
        <v>PARDO 1587</v>
      </c>
      <c r="D10522" s="6" t="str">
        <f ca="1">IFERROR(__xludf.DUMMYFUNCTION("""COMPUTED_VALUE"""),"MELIPILLA")</f>
        <v>MELIPILLA</v>
      </c>
    </row>
    <row r="10523" spans="1:4">
      <c r="A10523" s="7">
        <f ca="1">IFERROR(__xludf.DUMMYFUNCTION("""COMPUTED_VALUE"""),44882)</f>
        <v>44882</v>
      </c>
      <c r="B10523" s="6" t="str">
        <f ca="1">IFERROR(__xludf.DUMMYFUNCTION("""COMPUTED_VALUE"""),"-33.696467,-70.711096")</f>
        <v>-33.696467,-70.711096</v>
      </c>
      <c r="C10523" s="6" t="str">
        <f ca="1">IFERROR(__xludf.DUMMYFUNCTION("""COMPUTED_VALUE"""),"JUAN SAEZ 156")</f>
        <v>JUAN SAEZ 156</v>
      </c>
      <c r="D10523" s="6" t="str">
        <f ca="1">IFERROR(__xludf.DUMMYFUNCTION("""COMPUTED_VALUE"""),"BUIN")</f>
        <v>BUIN</v>
      </c>
    </row>
    <row r="10524" spans="1:4">
      <c r="A10524" s="7">
        <f ca="1">IFERROR(__xludf.DUMMYFUNCTION("""COMPUTED_VALUE"""),44882)</f>
        <v>44882</v>
      </c>
      <c r="B10524" s="6" t="str">
        <f ca="1">IFERROR(__xludf.DUMMYFUNCTION("""COMPUTED_VALUE"""),"-33.697186,-70.709737")</f>
        <v>-33.697186,-70.709737</v>
      </c>
      <c r="C10524" s="6" t="str">
        <f ca="1">IFERROR(__xludf.DUMMYFUNCTION("""COMPUTED_VALUE"""),"EL RECURSO 1201")</f>
        <v>EL RECURSO 1201</v>
      </c>
      <c r="D10524" s="6" t="str">
        <f ca="1">IFERROR(__xludf.DUMMYFUNCTION("""COMPUTED_VALUE"""),"BUIN")</f>
        <v>BUIN</v>
      </c>
    </row>
    <row r="10525" spans="1:4">
      <c r="A10525" s="7">
        <f ca="1">IFERROR(__xludf.DUMMYFUNCTION("""COMPUTED_VALUE"""),44882)</f>
        <v>44882</v>
      </c>
      <c r="B10525" s="6" t="str">
        <f ca="1">IFERROR(__xludf.DUMMYFUNCTION("""COMPUTED_VALUE"""),"-33.7935025,-71.2167669")</f>
        <v>-33.7935025,-71.2167669</v>
      </c>
      <c r="C10525" s="6" t="str">
        <f ca="1">IFERROR(__xludf.DUMMYFUNCTION("""COMPUTED_VALUE"""),"ALIANZA P49 LOTE 3A")</f>
        <v>ALIANZA P49 LOTE 3A</v>
      </c>
      <c r="D10525" s="6" t="str">
        <f ca="1">IFERROR(__xludf.DUMMYFUNCTION("""COMPUTED_VALUE"""),"MELIPILLA")</f>
        <v>MELIPILLA</v>
      </c>
    </row>
    <row r="10526" spans="1:4">
      <c r="A10526" s="7">
        <f ca="1">IFERROR(__xludf.DUMMYFUNCTION("""COMPUTED_VALUE"""),44882)</f>
        <v>44882</v>
      </c>
      <c r="B10526" s="6" t="str">
        <f ca="1">IFERROR(__xludf.DUMMYFUNCTION("""COMPUTED_VALUE"""),"-33.7935025,-71.2167669")</f>
        <v>-33.7935025,-71.2167669</v>
      </c>
      <c r="C10526" s="6" t="str">
        <f ca="1">IFERROR(__xludf.DUMMYFUNCTION("""COMPUTED_VALUE"""),"ALIANZA P49 LOTE 3A")</f>
        <v>ALIANZA P49 LOTE 3A</v>
      </c>
      <c r="D10526" s="6" t="str">
        <f ca="1">IFERROR(__xludf.DUMMYFUNCTION("""COMPUTED_VALUE"""),"MELIPILLA")</f>
        <v>MELIPILLA</v>
      </c>
    </row>
    <row r="10527" spans="1:4">
      <c r="A10527" s="7">
        <f ca="1">IFERROR(__xludf.DUMMYFUNCTION("""COMPUTED_VALUE"""),44882)</f>
        <v>44882</v>
      </c>
      <c r="B10527" s="6" t="str">
        <f ca="1">IFERROR(__xludf.DUMMYFUNCTION("""COMPUTED_VALUE"""),"-33.4252813,-70.7852334")</f>
        <v>-33.4252813,-70.7852334</v>
      </c>
      <c r="C10527" s="6" t="str">
        <f ca="1">IFERROR(__xludf.DUMMYFUNCTION("""COMPUTED_VALUE"""),"PADRE HURTADO P-21")</f>
        <v>PADRE HURTADO P-21</v>
      </c>
      <c r="D10527" s="6" t="str">
        <f ca="1">IFERROR(__xludf.DUMMYFUNCTION("""COMPUTED_VALUE"""),"PAINE")</f>
        <v>PAINE</v>
      </c>
    </row>
    <row r="10528" spans="1:4">
      <c r="A10528" s="7">
        <f ca="1">IFERROR(__xludf.DUMMYFUNCTION("""COMPUTED_VALUE"""),44882)</f>
        <v>44882</v>
      </c>
      <c r="B10528" s="6" t="str">
        <f ca="1">IFERROR(__xludf.DUMMYFUNCTION("""COMPUTED_VALUE"""),"-33.4580752,-70.7782527")</f>
        <v>-33.4580752,-70.7782527</v>
      </c>
      <c r="C10528" s="6" t="str">
        <f ca="1">IFERROR(__xludf.DUMMYFUNCTION("""COMPUTED_VALUE"""),"CALLE PADRE HURTADO P-30")</f>
        <v>CALLE PADRE HURTADO P-30</v>
      </c>
      <c r="D10528" s="6" t="str">
        <f ca="1">IFERROR(__xludf.DUMMYFUNCTION("""COMPUTED_VALUE"""),"PAINE")</f>
        <v>PAINE</v>
      </c>
    </row>
    <row r="10529" spans="1:4">
      <c r="A10529" s="7">
        <f ca="1">IFERROR(__xludf.DUMMYFUNCTION("""COMPUTED_VALUE"""),44883)</f>
        <v>44883</v>
      </c>
      <c r="B10529" s="8" t="str">
        <f ca="1">IFERROR(__xludf.DUMMYFUNCTION("""COMPUTED_VALUE"""),"-33.2740529, -70.8866347")</f>
        <v>-33.2740529, -70.8866347</v>
      </c>
      <c r="C10529" s="6" t="str">
        <f ca="1">IFERROR(__xludf.DUMMYFUNCTION("""COMPUTED_VALUE"""),"SAN LORENZO 169")</f>
        <v>SAN LORENZO 169</v>
      </c>
      <c r="D10529" s="6" t="str">
        <f ca="1">IFERROR(__xludf.DUMMYFUNCTION("""COMPUTED_VALUE"""),"LAMPA")</f>
        <v>LAMPA</v>
      </c>
    </row>
    <row r="10530" spans="1:4">
      <c r="A10530" s="7">
        <f ca="1">IFERROR(__xludf.DUMMYFUNCTION("""COMPUTED_VALUE"""),44883)</f>
        <v>44883</v>
      </c>
      <c r="B10530" s="8" t="str">
        <f ca="1">IFERROR(__xludf.DUMMYFUNCTION("""COMPUTED_VALUE"""),"-33.6703165, -70.9462154")</f>
        <v>-33.6703165, -70.9462154</v>
      </c>
      <c r="C10530" s="6" t="str">
        <f ca="1">IFERROR(__xludf.DUMMYFUNCTION("""COMPUTED_VALUE"""),"CAMINO VIEJO 1661")</f>
        <v>CAMINO VIEJO 1661</v>
      </c>
      <c r="D10530" s="6" t="str">
        <f ca="1">IFERROR(__xludf.DUMMYFUNCTION("""COMPUTED_VALUE"""),"TALAGANTE")</f>
        <v>TALAGANTE</v>
      </c>
    </row>
    <row r="10531" spans="1:4">
      <c r="A10531" s="7">
        <f ca="1">IFERROR(__xludf.DUMMYFUNCTION("""COMPUTED_VALUE"""),44883)</f>
        <v>44883</v>
      </c>
      <c r="B10531" s="8" t="str">
        <f ca="1">IFERROR(__xludf.DUMMYFUNCTION("""COMPUTED_VALUE"""),"-33.774326,-70.794793")</f>
        <v>-33.774326,-70.794793</v>
      </c>
      <c r="C10531" s="6" t="str">
        <f ca="1">IFERROR(__xludf.DUMMYFUNCTION("""COMPUTED_VALUE"""),"MAIPO VILUCO 4566")</f>
        <v>MAIPO VILUCO 4566</v>
      </c>
      <c r="D10531" s="6" t="str">
        <f ca="1">IFERROR(__xludf.DUMMYFUNCTION("""COMPUTED_VALUE"""),"BUIN")</f>
        <v>BUIN</v>
      </c>
    </row>
    <row r="10532" spans="1:4">
      <c r="A10532" s="7">
        <f ca="1">IFERROR(__xludf.DUMMYFUNCTION("""COMPUTED_VALUE"""),44883)</f>
        <v>44883</v>
      </c>
      <c r="B10532" s="8" t="str">
        <f ca="1">IFERROR(__xludf.DUMMYFUNCTION("""COMPUTED_VALUE"""),"-33.742696,-70.736458")</f>
        <v>-33.742696,-70.736458</v>
      </c>
      <c r="C10532" s="6" t="str">
        <f ca="1">IFERROR(__xludf.DUMMYFUNCTION("""COMPUTED_VALUE"""),"VILLASECA 0152")</f>
        <v>VILLASECA 0152</v>
      </c>
      <c r="D10532" s="6" t="str">
        <f ca="1">IFERROR(__xludf.DUMMYFUNCTION("""COMPUTED_VALUE"""),"BUIN")</f>
        <v>BUIN</v>
      </c>
    </row>
    <row r="10533" spans="1:4">
      <c r="A10533" s="7">
        <f ca="1">IFERROR(__xludf.DUMMYFUNCTION("""COMPUTED_VALUE"""),44883)</f>
        <v>44883</v>
      </c>
      <c r="B10533" s="8" t="str">
        <f ca="1">IFERROR(__xludf.DUMMYFUNCTION("""COMPUTED_VALUE"""),"-33.722518,-70.735766")</f>
        <v>-33.722518,-70.735766</v>
      </c>
      <c r="C10533" s="6" t="str">
        <f ca="1">IFERROR(__xludf.DUMMYFUNCTION("""COMPUTED_VALUE"""),"PEDRO JIMENEZ 41")</f>
        <v>PEDRO JIMENEZ 41</v>
      </c>
      <c r="D10533" s="6" t="str">
        <f ca="1">IFERROR(__xludf.DUMMYFUNCTION("""COMPUTED_VALUE"""),"BUIN")</f>
        <v>BUIN</v>
      </c>
    </row>
    <row r="10534" spans="1:4">
      <c r="A10534" s="7">
        <f ca="1">IFERROR(__xludf.DUMMYFUNCTION("""COMPUTED_VALUE"""),44883)</f>
        <v>44883</v>
      </c>
      <c r="B10534" s="8" t="str">
        <f ca="1">IFERROR(__xludf.DUMMYFUNCTION("""COMPUTED_VALUE"""),"-33.130584,-70.800072")</f>
        <v>-33.130584,-70.800072</v>
      </c>
      <c r="C10534" s="6" t="str">
        <f ca="1">IFERROR(__xludf.DUMMYFUNCTION("""COMPUTED_VALUE"""),"4 ORIENTE 110 LOTE 2")</f>
        <v>4 ORIENTE 110 LOTE 2</v>
      </c>
      <c r="D10534" s="6" t="str">
        <f ca="1">IFERROR(__xludf.DUMMYFUNCTION("""COMPUTED_VALUE"""),"TIL TIL")</f>
        <v>TIL TIL</v>
      </c>
    </row>
    <row r="10535" spans="1:4">
      <c r="A10535" s="7">
        <f ca="1">IFERROR(__xludf.DUMMYFUNCTION("""COMPUTED_VALUE"""),44883)</f>
        <v>44883</v>
      </c>
      <c r="B10535" s="8" t="str">
        <f ca="1">IFERROR(__xludf.DUMMYFUNCTION("""COMPUTED_VALUE"""),"-33.130584,-70.800072")</f>
        <v>-33.130584,-70.800072</v>
      </c>
      <c r="C10535" s="6" t="str">
        <f ca="1">IFERROR(__xludf.DUMMYFUNCTION("""COMPUTED_VALUE"""),"4 ORIENTE 110 LOTE 2")</f>
        <v>4 ORIENTE 110 LOTE 2</v>
      </c>
      <c r="D10535" s="6" t="str">
        <f ca="1">IFERROR(__xludf.DUMMYFUNCTION("""COMPUTED_VALUE"""),"TIL TIL")</f>
        <v>TIL TIL</v>
      </c>
    </row>
    <row r="10536" spans="1:4">
      <c r="A10536" s="7">
        <f ca="1">IFERROR(__xludf.DUMMYFUNCTION("""COMPUTED_VALUE"""),44883)</f>
        <v>44883</v>
      </c>
      <c r="B10536" s="6" t="str">
        <f ca="1">IFERROR(__xludf.DUMMYFUNCTION("""COMPUTED_VALUE"""),"-33.708582,-70.848016")</f>
        <v>-33.708582,-70.848016</v>
      </c>
      <c r="C10536" s="6" t="str">
        <f ca="1">IFERROR(__xludf.DUMMYFUNCTION("""COMPUTED_VALUE"""),"LOS ACACIOS 681 LOTE 11")</f>
        <v>LOS ACACIOS 681 LOTE 11</v>
      </c>
      <c r="D10536" s="6" t="str">
        <f ca="1">IFERROR(__xludf.DUMMYFUNCTION("""COMPUTED_VALUE"""),"TALAGANTE")</f>
        <v>TALAGANTE</v>
      </c>
    </row>
    <row r="10537" spans="1:4">
      <c r="A10537" s="7">
        <f ca="1">IFERROR(__xludf.DUMMYFUNCTION("""COMPUTED_VALUE"""),44883)</f>
        <v>44883</v>
      </c>
      <c r="B10537" s="8" t="str">
        <f ca="1">IFERROR(__xludf.DUMMYFUNCTION("""COMPUTED_VALUE"""),"-33.7443300:-70.9002660")</f>
        <v>-33.7443300:-70.9002660</v>
      </c>
      <c r="C10537" s="6" t="str">
        <f ca="1">IFERROR(__xludf.DUMMYFUNCTION("""COMPUTED_VALUE"""),"EL COLONIAL 293 ")</f>
        <v xml:space="preserve">EL COLONIAL 293 </v>
      </c>
      <c r="D10537" s="6" t="str">
        <f ca="1">IFERROR(__xludf.DUMMYFUNCTION("""COMPUTED_VALUE"""),"ISLA DE MAIPO")</f>
        <v>ISLA DE MAIPO</v>
      </c>
    </row>
    <row r="10538" spans="1:4">
      <c r="A10538" s="7">
        <f ca="1">IFERROR(__xludf.DUMMYFUNCTION("""COMPUTED_VALUE"""),44883)</f>
        <v>44883</v>
      </c>
      <c r="B10538" s="8" t="str">
        <f ca="1">IFERROR(__xludf.DUMMYFUNCTION("""COMPUTED_VALUE"""),"-33748611:-70.900133")</f>
        <v>-33748611:-70.900133</v>
      </c>
      <c r="C10538" s="6" t="str">
        <f ca="1">IFERROR(__xludf.DUMMYFUNCTION("""COMPUTED_VALUE"""),"LOS SALITREROS 344")</f>
        <v>LOS SALITREROS 344</v>
      </c>
      <c r="D10538" s="6" t="str">
        <f ca="1">IFERROR(__xludf.DUMMYFUNCTION("""COMPUTED_VALUE"""),"ISLA DE MAIPO")</f>
        <v>ISLA DE MAIPO</v>
      </c>
    </row>
    <row r="10539" spans="1:4">
      <c r="A10539" s="7">
        <f ca="1">IFERROR(__xludf.DUMMYFUNCTION("""COMPUTED_VALUE"""),44883)</f>
        <v>44883</v>
      </c>
      <c r="B10539" s="8" t="str">
        <f ca="1">IFERROR(__xludf.DUMMYFUNCTION("""COMPUTED_VALUE"""),"-33.7821420:-70.8869130")</f>
        <v>-33.7821420:-70.8869130</v>
      </c>
      <c r="C10539" s="6" t="str">
        <f ca="1">IFERROR(__xludf.DUMMYFUNCTION("""COMPUTED_VALUE"""),"LOS CARDENALES 401 B ")</f>
        <v xml:space="preserve">LOS CARDENALES 401 B </v>
      </c>
      <c r="D10539" s="6" t="str">
        <f ca="1">IFERROR(__xludf.DUMMYFUNCTION("""COMPUTED_VALUE"""),"ISLA DE MAIPO")</f>
        <v>ISLA DE MAIPO</v>
      </c>
    </row>
    <row r="10540" spans="1:4">
      <c r="A10540" s="7">
        <f ca="1">IFERROR(__xludf.DUMMYFUNCTION("""COMPUTED_VALUE"""),44883)</f>
        <v>44883</v>
      </c>
      <c r="B10540" s="8" t="str">
        <f ca="1">IFERROR(__xludf.DUMMYFUNCTION("""COMPUTED_VALUE"""),"-33.787868:-71.282786")</f>
        <v>-33.787868:-71.282786</v>
      </c>
      <c r="C10540" s="6" t="str">
        <f ca="1">IFERROR(__xludf.DUMMYFUNCTION("""COMPUTED_VALUE"""),"MANDINGA ")</f>
        <v xml:space="preserve">MANDINGA </v>
      </c>
      <c r="D10540" s="6" t="str">
        <f ca="1">IFERROR(__xludf.DUMMYFUNCTION("""COMPUTED_VALUE"""),"MELIPILLA")</f>
        <v>MELIPILLA</v>
      </c>
    </row>
    <row r="10541" spans="1:4">
      <c r="A10541" s="7">
        <f ca="1">IFERROR(__xludf.DUMMYFUNCTION("""COMPUTED_VALUE"""),44883)</f>
        <v>44883</v>
      </c>
      <c r="B10541" s="6" t="str">
        <f ca="1">IFERROR(__xludf.DUMMYFUNCTION("""COMPUTED_VALUE"""),"-33.801495,-70.681331")</f>
        <v>-33.801495,-70.681331</v>
      </c>
      <c r="C10541" s="6" t="str">
        <f ca="1">IFERROR(__xludf.DUMMYFUNCTION("""COMPUTED_VALUE"""),"24 DE ABRIL SITIO 77 LOTE F ")</f>
        <v xml:space="preserve">24 DE ABRIL SITIO 77 LOTE F </v>
      </c>
      <c r="D10541" s="6" t="str">
        <f ca="1">IFERROR(__xludf.DUMMYFUNCTION("""COMPUTED_VALUE"""),"PAINE")</f>
        <v>PAINE</v>
      </c>
    </row>
    <row r="10542" spans="1:4">
      <c r="A10542" s="7">
        <f ca="1">IFERROR(__xludf.DUMMYFUNCTION("""COMPUTED_VALUE"""),44883)</f>
        <v>44883</v>
      </c>
      <c r="B10542" s="6" t="str">
        <f ca="1">IFERROR(__xludf.DUMMYFUNCTION("""COMPUTED_VALUE"""),"-33.6269709,-70.7816363")</f>
        <v>-33.6269709,-70.7816363</v>
      </c>
      <c r="C10542" s="6" t="str">
        <f ca="1">IFERROR(__xludf.DUMMYFUNCTION("""COMPUTED_VALUE"""),"EL CARMEN S/N")</f>
        <v>EL CARMEN S/N</v>
      </c>
      <c r="D10542" s="6" t="str">
        <f ca="1">IFERROR(__xludf.DUMMYFUNCTION("""COMPUTED_VALUE"""),"CALERA DE TANGO")</f>
        <v>CALERA DE TANGO</v>
      </c>
    </row>
    <row r="10543" spans="1:4">
      <c r="A10543" s="7">
        <f ca="1">IFERROR(__xludf.DUMMYFUNCTION("""COMPUTED_VALUE"""),44883)</f>
        <v>44883</v>
      </c>
      <c r="B10543" s="6" t="str">
        <f ca="1">IFERROR(__xludf.DUMMYFUNCTION("""COMPUTED_VALUE"""),"-33.5702551,-71.1954299")</f>
        <v>-33.5702551,-71.1954299</v>
      </c>
      <c r="C10543" s="6" t="str">
        <f ca="1">IFERROR(__xludf.DUMMYFUNCTION("""COMPUTED_VALUE"""),"LOTEO 23")</f>
        <v>LOTEO 23</v>
      </c>
      <c r="D10543" s="6" t="str">
        <f ca="1">IFERROR(__xludf.DUMMYFUNCTION("""COMPUTED_VALUE"""),"MELIPILLA")</f>
        <v>MELIPILLA</v>
      </c>
    </row>
    <row r="10544" spans="1:4">
      <c r="A10544" s="7">
        <f ca="1">IFERROR(__xludf.DUMMYFUNCTION("""COMPUTED_VALUE"""),44883)</f>
        <v>44883</v>
      </c>
      <c r="B10544" s="6" t="str">
        <f ca="1">IFERROR(__xludf.DUMMYFUNCTION("""COMPUTED_VALUE"""),"-33.690350,-70.567026")</f>
        <v>-33.690350,-70.567026</v>
      </c>
      <c r="C10544" s="6" t="str">
        <f ca="1">IFERROR(__xludf.DUMMYFUNCTION("""COMPUTED_VALUE"""),"ISLA RIO CLARILLO 9")</f>
        <v>ISLA RIO CLARILLO 9</v>
      </c>
      <c r="D10544" s="6" t="str">
        <f ca="1">IFERROR(__xludf.DUMMYFUNCTION("""COMPUTED_VALUE"""),"PIRQUE")</f>
        <v>PIRQUE</v>
      </c>
    </row>
    <row r="10545" spans="1:4">
      <c r="A10545" s="7">
        <f ca="1">IFERROR(__xludf.DUMMYFUNCTION("""COMPUTED_VALUE"""),44883)</f>
        <v>44883</v>
      </c>
      <c r="B10545" s="6" t="str">
        <f ca="1">IFERROR(__xludf.DUMMYFUNCTION("""COMPUTED_VALUE"""),"-33.796821,-70.737184")</f>
        <v>-33.796821,-70.737184</v>
      </c>
      <c r="C10545" s="6" t="str">
        <f ca="1">IFERROR(__xludf.DUMMYFUNCTION("""COMPUTED_VALUE"""),"EL BOSQUE 970")</f>
        <v>EL BOSQUE 970</v>
      </c>
      <c r="D10545" s="6" t="str">
        <f ca="1">IFERROR(__xludf.DUMMYFUNCTION("""COMPUTED_VALUE"""),"PAINE")</f>
        <v>PAINE</v>
      </c>
    </row>
    <row r="10546" spans="1:4">
      <c r="A10546" s="7">
        <f ca="1">IFERROR(__xludf.DUMMYFUNCTION("""COMPUTED_VALUE"""),44884)</f>
        <v>44884</v>
      </c>
      <c r="B10546" s="6" t="str">
        <f ca="1">IFERROR(__xludf.DUMMYFUNCTION("""COMPUTED_VALUE"""),"-33.575593-70.803354")</f>
        <v>-33.575593-70.803354</v>
      </c>
      <c r="C10546" s="6" t="str">
        <f ca="1">IFERROR(__xludf.DUMMYFUNCTION("""COMPUTED_VALUE"""),"VALLE DEL ELQUI 1968")</f>
        <v>VALLE DEL ELQUI 1968</v>
      </c>
      <c r="D10546" s="6" t="str">
        <f ca="1">IFERROR(__xludf.DUMMYFUNCTION("""COMPUTED_VALUE"""),"PADRE HURTADO")</f>
        <v>PADRE HURTADO</v>
      </c>
    </row>
    <row r="10547" spans="1:4">
      <c r="A10547" s="7">
        <f ca="1">IFERROR(__xludf.DUMMYFUNCTION("""COMPUTED_VALUE"""),44884)</f>
        <v>44884</v>
      </c>
      <c r="B10547" s="6" t="str">
        <f ca="1">IFERROR(__xludf.DUMMYFUNCTION("""COMPUTED_VALUE"""),"-33.801472,-70.681065")</f>
        <v>-33.801472,-70.681065</v>
      </c>
      <c r="C10547" s="6" t="str">
        <f ca="1">IFERROR(__xludf.DUMMYFUNCTION("""COMPUTED_VALUE"""),"24 DE ABRIL SITIO 79 LOTE D")</f>
        <v>24 DE ABRIL SITIO 79 LOTE D</v>
      </c>
      <c r="D10547" s="6" t="str">
        <f ca="1">IFERROR(__xludf.DUMMYFUNCTION("""COMPUTED_VALUE"""),"PAINE")</f>
        <v>PAINE</v>
      </c>
    </row>
    <row r="10548" spans="1:4">
      <c r="A10548" s="7">
        <f ca="1">IFERROR(__xludf.DUMMYFUNCTION("""COMPUTED_VALUE"""),44886)</f>
        <v>44886</v>
      </c>
      <c r="B10548" s="8" t="str">
        <f ca="1">IFERROR(__xludf.DUMMYFUNCTION("""COMPUTED_VALUE"""),"-33.6409189, -70.5870739")</f>
        <v>-33.6409189, -70.5870739</v>
      </c>
      <c r="C10548" s="6" t="str">
        <f ca="1">IFERROR(__xludf.DUMMYFUNCTION("""COMPUTED_VALUE"""),"FUNDO LA GRANJA 1844")</f>
        <v>FUNDO LA GRANJA 1844</v>
      </c>
      <c r="D10548" s="6" t="str">
        <f ca="1">IFERROR(__xludf.DUMMYFUNCTION("""COMPUTED_VALUE"""),"PIRQUE")</f>
        <v>PIRQUE</v>
      </c>
    </row>
    <row r="10549" spans="1:4">
      <c r="A10549" s="7">
        <f ca="1">IFERROR(__xludf.DUMMYFUNCTION("""COMPUTED_VALUE"""),44886)</f>
        <v>44886</v>
      </c>
      <c r="B10549" s="8" t="str">
        <f ca="1">IFERROR(__xludf.DUMMYFUNCTION("""COMPUTED_VALUE"""),"-33.280729,-70.681683")</f>
        <v>-33.280729,-70.681683</v>
      </c>
      <c r="C10549" s="6" t="str">
        <f ca="1">IFERROR(__xludf.DUMMYFUNCTION("""COMPUTED_VALUE"""),"EL ALBA PARC 1 S/N")</f>
        <v>EL ALBA PARC 1 S/N</v>
      </c>
      <c r="D10549" s="6" t="str">
        <f ca="1">IFERROR(__xludf.DUMMYFUNCTION("""COMPUTED_VALUE"""),"COLINA")</f>
        <v>COLINA</v>
      </c>
    </row>
    <row r="10550" spans="1:4">
      <c r="A10550" s="7">
        <f ca="1">IFERROR(__xludf.DUMMYFUNCTION("""COMPUTED_VALUE"""),44886)</f>
        <v>44886</v>
      </c>
      <c r="B10550" s="8" t="str">
        <f ca="1">IFERROR(__xludf.DUMMYFUNCTION("""COMPUTED_VALUE"""),"-33.726797,-70.743859")</f>
        <v>-33.726797,-70.743859</v>
      </c>
      <c r="C10550" s="6" t="str">
        <f ca="1">IFERROR(__xludf.DUMMYFUNCTION("""COMPUTED_VALUE"""),"PJE DIESISIETE 0207")</f>
        <v>PJE DIESISIETE 0207</v>
      </c>
      <c r="D10550" s="6" t="str">
        <f ca="1">IFERROR(__xludf.DUMMYFUNCTION("""COMPUTED_VALUE"""),"BUIN")</f>
        <v>BUIN</v>
      </c>
    </row>
    <row r="10551" spans="1:4">
      <c r="A10551" s="7">
        <f ca="1">IFERROR(__xludf.DUMMYFUNCTION("""COMPUTED_VALUE"""),44886)</f>
        <v>44886</v>
      </c>
      <c r="B10551" s="8" t="str">
        <f ca="1">IFERROR(__xludf.DUMMYFUNCTION("""COMPUTED_VALUE"""),"-33,704805:-71,270826")</f>
        <v>-33,704805:-71,270826</v>
      </c>
      <c r="C10551" s="6" t="str">
        <f ca="1">IFERROR(__xludf.DUMMYFUNCTION("""COMPUTED_VALUE"""),"HUELCHUN ALTO")</f>
        <v>HUELCHUN ALTO</v>
      </c>
      <c r="D10551" s="6" t="str">
        <f ca="1">IFERROR(__xludf.DUMMYFUNCTION("""COMPUTED_VALUE"""),"MELIPILLA")</f>
        <v>MELIPILLA</v>
      </c>
    </row>
    <row r="10552" spans="1:4">
      <c r="A10552" s="7">
        <f ca="1">IFERROR(__xludf.DUMMYFUNCTION("""COMPUTED_VALUE"""),44887)</f>
        <v>44887</v>
      </c>
      <c r="B10552" s="8" t="str">
        <f ca="1">IFERROR(__xludf.DUMMYFUNCTION("""COMPUTED_VALUE"""),"-33.7522442, -70.9202583")</f>
        <v>-33.7522442, -70.9202583</v>
      </c>
      <c r="C10552" s="6" t="str">
        <f ca="1">IFERROR(__xludf.DUMMYFUNCTION("""COMPUTED_VALUE"""),"LOS MUÑOCES 2234 A")</f>
        <v>LOS MUÑOCES 2234 A</v>
      </c>
      <c r="D10552" s="6" t="str">
        <f ca="1">IFERROR(__xludf.DUMMYFUNCTION("""COMPUTED_VALUE"""),"ISLA DE MAIPO")</f>
        <v>ISLA DE MAIPO</v>
      </c>
    </row>
    <row r="10553" spans="1:4">
      <c r="A10553" s="7">
        <f ca="1">IFERROR(__xludf.DUMMYFUNCTION("""COMPUTED_VALUE"""),44887)</f>
        <v>44887</v>
      </c>
      <c r="B10553" s="8" t="str">
        <f ca="1">IFERROR(__xludf.DUMMYFUNCTION("""COMPUTED_VALUE"""),"-33.7417069, -70.866784")</f>
        <v>-33.7417069, -70.866784</v>
      </c>
      <c r="C10553" s="6" t="str">
        <f ca="1">IFERROR(__xludf.DUMMYFUNCTION("""COMPUTED_VALUE"""),"SANTA MARGARITA 3796")</f>
        <v>SANTA MARGARITA 3796</v>
      </c>
      <c r="D10553" s="6" t="str">
        <f ca="1">IFERROR(__xludf.DUMMYFUNCTION("""COMPUTED_VALUE"""),"ISLA DE MAIPO")</f>
        <v>ISLA DE MAIPO</v>
      </c>
    </row>
    <row r="10554" spans="1:4">
      <c r="A10554" s="7">
        <f ca="1">IFERROR(__xludf.DUMMYFUNCTION("""COMPUTED_VALUE"""),44887)</f>
        <v>44887</v>
      </c>
      <c r="B10554" s="6" t="str">
        <f ca="1">IFERROR(__xludf.DUMMYFUNCTION("""COMPUTED_VALUE"""),"-33.58812-70.39141")</f>
        <v>-33.58812-70.39141</v>
      </c>
      <c r="C10554" s="6" t="str">
        <f ca="1">IFERROR(__xludf.DUMMYFUNCTION("""COMPUTED_VALUE"""),"LOS OLMOS 11494")</f>
        <v>LOS OLMOS 11494</v>
      </c>
      <c r="D10554" s="6" t="str">
        <f ca="1">IFERROR(__xludf.DUMMYFUNCTION("""COMPUTED_VALUE"""),"SAN JOSE DE MAIPO")</f>
        <v>SAN JOSE DE MAIPO</v>
      </c>
    </row>
    <row r="10555" spans="1:4">
      <c r="A10555" s="7">
        <f ca="1">IFERROR(__xludf.DUMMYFUNCTION("""COMPUTED_VALUE"""),44887)</f>
        <v>44887</v>
      </c>
      <c r="B10555" s="6" t="str">
        <f ca="1">IFERROR(__xludf.DUMMYFUNCTION("""COMPUTED_VALUE"""),"-33.63687-70.35582")</f>
        <v>-33.63687-70.35582</v>
      </c>
      <c r="C10555" s="6" t="str">
        <f ca="1">IFERROR(__xludf.DUMMYFUNCTION("""COMPUTED_VALUE"""),"SIN CALLE S/N")</f>
        <v>SIN CALLE S/N</v>
      </c>
      <c r="D10555" s="6" t="str">
        <f ca="1">IFERROR(__xludf.DUMMYFUNCTION("""COMPUTED_VALUE"""),"SAN JOSE DE MAIPO")</f>
        <v>SAN JOSE DE MAIPO</v>
      </c>
    </row>
    <row r="10556" spans="1:4">
      <c r="A10556" s="7">
        <f ca="1">IFERROR(__xludf.DUMMYFUNCTION("""COMPUTED_VALUE"""),44887)</f>
        <v>44887</v>
      </c>
      <c r="B10556" s="6" t="str">
        <f ca="1">IFERROR(__xludf.DUMMYFUNCTION("""COMPUTED_VALUE"""),"-33.867255,-70849732")</f>
        <v>-33.867255,-70849732</v>
      </c>
      <c r="C10556" s="6" t="str">
        <f ca="1">IFERROR(__xludf.DUMMYFUNCTION("""COMPUTED_VALUE"""),"CI EL MANZANITO PARC 18")</f>
        <v>CI EL MANZANITO PARC 18</v>
      </c>
      <c r="D10556" s="6" t="str">
        <f ca="1">IFERROR(__xludf.DUMMYFUNCTION("""COMPUTED_VALUE"""),"PAINE")</f>
        <v>PAINE</v>
      </c>
    </row>
    <row r="10557" spans="1:4">
      <c r="A10557" s="7">
        <f ca="1">IFERROR(__xludf.DUMMYFUNCTION("""COMPUTED_VALUE"""),44887)</f>
        <v>44887</v>
      </c>
      <c r="B10557" s="8" t="str">
        <f ca="1">IFERROR(__xludf.DUMMYFUNCTION("""COMPUTED_VALUE"""),"-34.032226:-71.09385")</f>
        <v>-34.032226:-71.09385</v>
      </c>
      <c r="C10557" s="6" t="str">
        <f ca="1">IFERROR(__xludf.DUMMYFUNCTION("""COMPUTED_VALUE"""),"CHORRILLOS S/N ")</f>
        <v xml:space="preserve">CHORRILLOS S/N </v>
      </c>
      <c r="D10557" s="6" t="str">
        <f ca="1">IFERROR(__xludf.DUMMYFUNCTION("""COMPUTED_VALUE"""),"ALHUÉ")</f>
        <v>ALHUÉ</v>
      </c>
    </row>
    <row r="10558" spans="1:4">
      <c r="A10558" s="7">
        <f ca="1">IFERROR(__xludf.DUMMYFUNCTION("""COMPUTED_VALUE"""),44887)</f>
        <v>44887</v>
      </c>
      <c r="B10558" s="8" t="str">
        <f ca="1">IFERROR(__xludf.DUMMYFUNCTION("""COMPUTED_VALUE"""),"-34.033023:-71.117961")</f>
        <v>-34.033023:-71.117961</v>
      </c>
      <c r="C10558" s="6" t="str">
        <f ca="1">IFERROR(__xludf.DUMMYFUNCTION("""COMPUTED_VALUE"""),"LA PUNTILLA SN ")</f>
        <v xml:space="preserve">LA PUNTILLA SN </v>
      </c>
      <c r="D10558" s="6" t="str">
        <f ca="1">IFERROR(__xludf.DUMMYFUNCTION("""COMPUTED_VALUE"""),"ALHUÉ")</f>
        <v>ALHUÉ</v>
      </c>
    </row>
    <row r="10559" spans="1:4">
      <c r="A10559" s="7">
        <f ca="1">IFERROR(__xludf.DUMMYFUNCTION("""COMPUTED_VALUE"""),44887)</f>
        <v>44887</v>
      </c>
      <c r="B10559" s="8" t="str">
        <f ca="1">IFERROR(__xludf.DUMMYFUNCTION("""COMPUTED_VALUE"""),"-34.033023:-71.117961")</f>
        <v>-34.033023:-71.117961</v>
      </c>
      <c r="C10559" s="6" t="str">
        <f ca="1">IFERROR(__xludf.DUMMYFUNCTION("""COMPUTED_VALUE"""),"LA PUNTILLA SN ")</f>
        <v xml:space="preserve">LA PUNTILLA SN </v>
      </c>
      <c r="D10559" s="6" t="str">
        <f ca="1">IFERROR(__xludf.DUMMYFUNCTION("""COMPUTED_VALUE"""),"ALHUÉ")</f>
        <v>ALHUÉ</v>
      </c>
    </row>
    <row r="10560" spans="1:4">
      <c r="A10560" s="7">
        <f ca="1">IFERROR(__xludf.DUMMYFUNCTION("""COMPUTED_VALUE"""),44887)</f>
        <v>44887</v>
      </c>
      <c r="B10560" s="6" t="str">
        <f ca="1">IFERROR(__xludf.DUMMYFUNCTION("""COMPUTED_VALUE"""),"-34.039390,-71.226786")</f>
        <v>-34.039390,-71.226786</v>
      </c>
      <c r="C10560" s="6" t="str">
        <f ca="1">IFERROR(__xludf.DUMMYFUNCTION("""COMPUTED_VALUE"""),"CO LA LINEA LOTE A-1")</f>
        <v>CO LA LINEA LOTE A-1</v>
      </c>
      <c r="D10560" s="6" t="str">
        <f ca="1">IFERROR(__xludf.DUMMYFUNCTION("""COMPUTED_VALUE"""),"ALHUÉ")</f>
        <v>ALHUÉ</v>
      </c>
    </row>
    <row r="10561" spans="1:4">
      <c r="A10561" s="7">
        <f ca="1">IFERROR(__xludf.DUMMYFUNCTION("""COMPUTED_VALUE"""),44887)</f>
        <v>44887</v>
      </c>
      <c r="B10561" s="6" t="str">
        <f ca="1">IFERROR(__xludf.DUMMYFUNCTION("""COMPUTED_VALUE"""),"-34.030175,-71.008903")</f>
        <v>-34.030175,-71.008903</v>
      </c>
      <c r="C10561" s="6" t="str">
        <f ca="1">IFERROR(__xludf.DUMMYFUNCTION("""COMPUTED_VALUE"""),"EL ASIENTO 38")</f>
        <v>EL ASIENTO 38</v>
      </c>
      <c r="D10561" s="6" t="str">
        <f ca="1">IFERROR(__xludf.DUMMYFUNCTION("""COMPUTED_VALUE"""),"ALHUÉ")</f>
        <v>ALHUÉ</v>
      </c>
    </row>
    <row r="10562" spans="1:4">
      <c r="A10562" s="7">
        <f ca="1">IFERROR(__xludf.DUMMYFUNCTION("""COMPUTED_VALUE"""),44887)</f>
        <v>44887</v>
      </c>
      <c r="B10562" s="6" t="str">
        <f ca="1">IFERROR(__xludf.DUMMYFUNCTION("""COMPUTED_VALUE"""),"-34.030478,-71.008796")</f>
        <v>-34.030478,-71.008796</v>
      </c>
      <c r="C10562" s="6" t="str">
        <f ca="1">IFERROR(__xludf.DUMMYFUNCTION("""COMPUTED_VALUE"""),"EL ASIENTO 1")</f>
        <v>EL ASIENTO 1</v>
      </c>
      <c r="D10562" s="6" t="str">
        <f ca="1">IFERROR(__xludf.DUMMYFUNCTION("""COMPUTED_VALUE"""),"ALHUÉ")</f>
        <v>ALHUÉ</v>
      </c>
    </row>
    <row r="10563" spans="1:4">
      <c r="A10563" s="7">
        <f ca="1">IFERROR(__xludf.DUMMYFUNCTION("""COMPUTED_VALUE"""),44888)</f>
        <v>44888</v>
      </c>
      <c r="B10563" s="6" t="str">
        <f ca="1">IFERROR(__xludf.DUMMYFUNCTION("""COMPUTED_VALUE"""),"-34.031082-71.085108")</f>
        <v>-34.031082-71.085108</v>
      </c>
      <c r="C10563" s="6" t="str">
        <f ca="1">IFERROR(__xludf.DUMMYFUNCTION("""COMPUTED_VALUE"""),"LOS COPIHUES S/N")</f>
        <v>LOS COPIHUES S/N</v>
      </c>
      <c r="D10563" s="6" t="str">
        <f ca="1">IFERROR(__xludf.DUMMYFUNCTION("""COMPUTED_VALUE"""),"ALHUÉ")</f>
        <v>ALHUÉ</v>
      </c>
    </row>
    <row r="10564" spans="1:4">
      <c r="A10564" s="7">
        <f ca="1">IFERROR(__xludf.DUMMYFUNCTION("""COMPUTED_VALUE"""),44888)</f>
        <v>44888</v>
      </c>
      <c r="B10564" s="6" t="str">
        <f ca="1">IFERROR(__xludf.DUMMYFUNCTION("""COMPUTED_VALUE"""),"-34.986363-71.063153")</f>
        <v>-34.986363-71.063153</v>
      </c>
      <c r="C10564" s="6" t="str">
        <f ca="1">IFERROR(__xludf.DUMMYFUNCTION("""COMPUTED_VALUE"""),"BARRANCAS DE PICHI S/N")</f>
        <v>BARRANCAS DE PICHI S/N</v>
      </c>
      <c r="D10564" s="6" t="str">
        <f ca="1">IFERROR(__xludf.DUMMYFUNCTION("""COMPUTED_VALUE"""),"ALHUÉ")</f>
        <v>ALHUÉ</v>
      </c>
    </row>
    <row r="10565" spans="1:4">
      <c r="A10565" s="7">
        <f ca="1">IFERROR(__xludf.DUMMYFUNCTION("""COMPUTED_VALUE"""),44888)</f>
        <v>44888</v>
      </c>
      <c r="B10565" s="6" t="str">
        <f ca="1">IFERROR(__xludf.DUMMYFUNCTION("""COMPUTED_VALUE"""),"-34.037055-71.101405")</f>
        <v>-34.037055-71.101405</v>
      </c>
      <c r="C10565" s="6" t="str">
        <f ca="1">IFERROR(__xludf.DUMMYFUNCTION("""COMPUTED_VALUE"""),"PJE EL SAUCE 262")</f>
        <v>PJE EL SAUCE 262</v>
      </c>
      <c r="D10565" s="6" t="str">
        <f ca="1">IFERROR(__xludf.DUMMYFUNCTION("""COMPUTED_VALUE"""),"ALHUÉ")</f>
        <v>ALHUÉ</v>
      </c>
    </row>
    <row r="10566" spans="1:4">
      <c r="A10566" s="7">
        <f ca="1">IFERROR(__xludf.DUMMYFUNCTION("""COMPUTED_VALUE"""),44888)</f>
        <v>44888</v>
      </c>
      <c r="B10566" s="6" t="str">
        <f ca="1">IFERROR(__xludf.DUMMYFUNCTION("""COMPUTED_VALUE"""),"-34.030743-71.094862")</f>
        <v>-34.030743-71.094862</v>
      </c>
      <c r="C10566" s="6" t="str">
        <f ca="1">IFERROR(__xludf.DUMMYFUNCTION("""COMPUTED_VALUE"""),"VEINTIUNO DE MAYO S/N")</f>
        <v>VEINTIUNO DE MAYO S/N</v>
      </c>
      <c r="D10566" s="6" t="str">
        <f ca="1">IFERROR(__xludf.DUMMYFUNCTION("""COMPUTED_VALUE"""),"ALHUÉ")</f>
        <v>ALHUÉ</v>
      </c>
    </row>
    <row r="10567" spans="1:4">
      <c r="A10567" s="7">
        <f ca="1">IFERROR(__xludf.DUMMYFUNCTION("""COMPUTED_VALUE"""),44888)</f>
        <v>44888</v>
      </c>
      <c r="B10567" s="6" t="str">
        <f ca="1">IFERROR(__xludf.DUMMYFUNCTION("""COMPUTED_VALUE"""),"-34.030743-71.094862")</f>
        <v>-34.030743-71.094862</v>
      </c>
      <c r="C10567" s="6" t="str">
        <f ca="1">IFERROR(__xludf.DUMMYFUNCTION("""COMPUTED_VALUE"""),"VEINTIUNO DE MAYO S/N")</f>
        <v>VEINTIUNO DE MAYO S/N</v>
      </c>
      <c r="D10567" s="6" t="str">
        <f ca="1">IFERROR(__xludf.DUMMYFUNCTION("""COMPUTED_VALUE"""),"ALHUÉ")</f>
        <v>ALHUÉ</v>
      </c>
    </row>
    <row r="10568" spans="1:4">
      <c r="A10568" s="7">
        <f ca="1">IFERROR(__xludf.DUMMYFUNCTION("""COMPUTED_VALUE"""),44888)</f>
        <v>44888</v>
      </c>
      <c r="B10568" s="6" t="str">
        <f ca="1">IFERROR(__xludf.DUMMYFUNCTION("""COMPUTED_VALUE"""),"-34.03162-71.10499")</f>
        <v>-34.03162-71.10499</v>
      </c>
      <c r="C10568" s="6" t="str">
        <f ca="1">IFERROR(__xludf.DUMMYFUNCTION("""COMPUTED_VALUE"""),"CAMINO A LA LINEA S/N")</f>
        <v>CAMINO A LA LINEA S/N</v>
      </c>
      <c r="D10568" s="6" t="str">
        <f ca="1">IFERROR(__xludf.DUMMYFUNCTION("""COMPUTED_VALUE"""),"ALHUÉ")</f>
        <v>ALHUÉ</v>
      </c>
    </row>
    <row r="10569" spans="1:4">
      <c r="A10569" s="7">
        <f ca="1">IFERROR(__xludf.DUMMYFUNCTION("""COMPUTED_VALUE"""),44888)</f>
        <v>44888</v>
      </c>
      <c r="B10569" s="6" t="str">
        <f ca="1">IFERROR(__xludf.DUMMYFUNCTION("""COMPUTED_VALUE"""),"-34.04090-71.22218")</f>
        <v>-34.04090-71.22218</v>
      </c>
      <c r="C10569" s="6" t="str">
        <f ca="1">IFERROR(__xludf.DUMMYFUNCTION("""COMPUTED_VALUE"""),"LOS ALAMOS S/N")</f>
        <v>LOS ALAMOS S/N</v>
      </c>
      <c r="D10569" s="6" t="str">
        <f ca="1">IFERROR(__xludf.DUMMYFUNCTION("""COMPUTED_VALUE"""),"ALHUÉ")</f>
        <v>ALHUÉ</v>
      </c>
    </row>
    <row r="10570" spans="1:4">
      <c r="A10570" s="7">
        <f ca="1">IFERROR(__xludf.DUMMYFUNCTION("""COMPUTED_VALUE"""),44888)</f>
        <v>44888</v>
      </c>
      <c r="B10570" s="6" t="str">
        <f ca="1">IFERROR(__xludf.DUMMYFUNCTION("""COMPUTED_VALUE"""),"-34.04069-71.22199")</f>
        <v>-34.04069-71.22199</v>
      </c>
      <c r="C10570" s="6" t="str">
        <f ca="1">IFERROR(__xludf.DUMMYFUNCTION("""COMPUTED_VALUE"""),"LOS ALAMOS S/N")</f>
        <v>LOS ALAMOS S/N</v>
      </c>
      <c r="D10570" s="6" t="str">
        <f ca="1">IFERROR(__xludf.DUMMYFUNCTION("""COMPUTED_VALUE"""),"ALHUÉ")</f>
        <v>ALHUÉ</v>
      </c>
    </row>
    <row r="10571" spans="1:4">
      <c r="A10571" s="7">
        <f ca="1">IFERROR(__xludf.DUMMYFUNCTION("""COMPUTED_VALUE"""),44888)</f>
        <v>44888</v>
      </c>
      <c r="B10571" s="6" t="str">
        <f ca="1">IFERROR(__xludf.DUMMYFUNCTION("""COMPUTED_VALUE"""),"-34.03444-71.09903")</f>
        <v>-34.03444-71.09903</v>
      </c>
      <c r="C10571" s="6" t="str">
        <f ca="1">IFERROR(__xludf.DUMMYFUNCTION("""COMPUTED_VALUE"""),"ONCE DE SEPTIEMBRE S/N")</f>
        <v>ONCE DE SEPTIEMBRE S/N</v>
      </c>
      <c r="D10571" s="6" t="str">
        <f ca="1">IFERROR(__xludf.DUMMYFUNCTION("""COMPUTED_VALUE"""),"ALHUÉ")</f>
        <v>ALHUÉ</v>
      </c>
    </row>
    <row r="10572" spans="1:4">
      <c r="A10572" s="7">
        <f ca="1">IFERROR(__xludf.DUMMYFUNCTION("""COMPUTED_VALUE"""),44888)</f>
        <v>44888</v>
      </c>
      <c r="B10572" s="6" t="str">
        <f ca="1">IFERROR(__xludf.DUMMYFUNCTION("""COMPUTED_VALUE"""),"-33.190327,-70660476")</f>
        <v>-33.190327,-70660476</v>
      </c>
      <c r="C10572" s="6" t="str">
        <f ca="1">IFERROR(__xludf.DUMMYFUNCTION("""COMPUTED_VALUE"""),"OSCAR BAGIOL 153")</f>
        <v>OSCAR BAGIOL 153</v>
      </c>
      <c r="D10572" s="6" t="str">
        <f ca="1">IFERROR(__xludf.DUMMYFUNCTION("""COMPUTED_VALUE"""),"COLINA")</f>
        <v>COLINA</v>
      </c>
    </row>
    <row r="10573" spans="1:4">
      <c r="A10573" s="7">
        <f ca="1">IFERROR(__xludf.DUMMYFUNCTION("""COMPUTED_VALUE"""),44888)</f>
        <v>44888</v>
      </c>
      <c r="B10573" s="6" t="str">
        <f ca="1">IFERROR(__xludf.DUMMYFUNCTION("""COMPUTED_VALUE"""),"-33.772578,-70.905688")</f>
        <v>-33.772578,-70.905688</v>
      </c>
      <c r="C10573" s="6" t="str">
        <f ca="1">IFERROR(__xludf.DUMMYFUNCTION("""COMPUTED_VALUE"""),"CRECERO 396 P")</f>
        <v>CRECERO 396 P</v>
      </c>
      <c r="D10573" s="6" t="str">
        <f ca="1">IFERROR(__xludf.DUMMYFUNCTION("""COMPUTED_VALUE"""),"ISLA DE MAIPO")</f>
        <v>ISLA DE MAIPO</v>
      </c>
    </row>
    <row r="10574" spans="1:4">
      <c r="A10574" s="7">
        <f ca="1">IFERROR(__xludf.DUMMYFUNCTION("""COMPUTED_VALUE"""),44888)</f>
        <v>44888</v>
      </c>
      <c r="B10574" s="8" t="str">
        <f ca="1">IFERROR(__xludf.DUMMYFUNCTION("""COMPUTED_VALUE"""),"-33.689791:-70.7054030")</f>
        <v>-33.689791:-70.7054030</v>
      </c>
      <c r="C10574" s="6" t="str">
        <f ca="1">IFERROR(__xludf.DUMMYFUNCTION("""COMPUTED_VALUE"""),"EL RECURSO 15")</f>
        <v>EL RECURSO 15</v>
      </c>
      <c r="D10574" s="6" t="str">
        <f ca="1">IFERROR(__xludf.DUMMYFUNCTION("""COMPUTED_VALUE"""),"BUIN")</f>
        <v>BUIN</v>
      </c>
    </row>
    <row r="10575" spans="1:4">
      <c r="A10575" s="7">
        <f ca="1">IFERROR(__xludf.DUMMYFUNCTION("""COMPUTED_VALUE"""),44888)</f>
        <v>44888</v>
      </c>
      <c r="B10575" s="8" t="str">
        <f ca="1">IFERROR(__xludf.DUMMYFUNCTION("""COMPUTED_VALUE"""),"-33.873940:-70.712135")</f>
        <v>-33.873940:-70.712135</v>
      </c>
      <c r="C10575" s="6" t="str">
        <f ca="1">IFERROR(__xludf.DUMMYFUNCTION("""COMPUTED_VALUE"""),"CALLE 6 NUMERO 555 HOSPITAL PAINE ")</f>
        <v xml:space="preserve">CALLE 6 NUMERO 555 HOSPITAL PAINE </v>
      </c>
      <c r="D10575" s="6" t="str">
        <f ca="1">IFERROR(__xludf.DUMMYFUNCTION("""COMPUTED_VALUE"""),"PAINE")</f>
        <v>PAINE</v>
      </c>
    </row>
    <row r="10576" spans="1:4">
      <c r="A10576" s="7">
        <f ca="1">IFERROR(__xludf.DUMMYFUNCTION("""COMPUTED_VALUE"""),44888)</f>
        <v>44888</v>
      </c>
      <c r="B10576" s="8" t="str">
        <f ca="1">IFERROR(__xludf.DUMMYFUNCTION("""COMPUTED_VALUE"""),"-34.067389:-71.105089")</f>
        <v>-34.067389:-71.105089</v>
      </c>
      <c r="C10576" s="6" t="str">
        <f ca="1">IFERROR(__xludf.DUMMYFUNCTION("""COMPUTED_VALUE"""),"PASAJE LOS BALLENES")</f>
        <v>PASAJE LOS BALLENES</v>
      </c>
      <c r="D10576" s="6" t="str">
        <f ca="1">IFERROR(__xludf.DUMMYFUNCTION("""COMPUTED_VALUE"""),"ALHUÉ")</f>
        <v>ALHUÉ</v>
      </c>
    </row>
    <row r="10577" spans="1:4">
      <c r="A10577" s="7">
        <f ca="1">IFERROR(__xludf.DUMMYFUNCTION("""COMPUTED_VALUE"""),44888)</f>
        <v>44888</v>
      </c>
      <c r="B10577" s="8" t="str">
        <f ca="1">IFERROR(__xludf.DUMMYFUNCTION("""COMPUTED_VALUE"""),"-34.037495:-71.105059")</f>
        <v>-34.037495:-71.105059</v>
      </c>
      <c r="C10577" s="6" t="str">
        <f ca="1">IFERROR(__xludf.DUMMYFUNCTION("""COMPUTED_VALUE"""),"PASAJE LOS BOLLENES")</f>
        <v>PASAJE LOS BOLLENES</v>
      </c>
      <c r="D10577" s="6" t="str">
        <f ca="1">IFERROR(__xludf.DUMMYFUNCTION("""COMPUTED_VALUE"""),"ALHUÉ")</f>
        <v>ALHUÉ</v>
      </c>
    </row>
    <row r="10578" spans="1:4">
      <c r="A10578" s="7">
        <f ca="1">IFERROR(__xludf.DUMMYFUNCTION("""COMPUTED_VALUE"""),44888)</f>
        <v>44888</v>
      </c>
      <c r="B10578" s="6" t="str">
        <f ca="1">IFERROR(__xludf.DUMMYFUNCTION("""COMPUTED_VALUE"""),"-33829942-70775387")</f>
        <v>-33829942-70775387</v>
      </c>
      <c r="C10578" s="6" t="str">
        <f ca="1">IFERROR(__xludf.DUMMYFUNCTION("""COMPUTED_VALUE"""),"JUAN ANTONIO RIOS  P-70")</f>
        <v>JUAN ANTONIO RIOS  P-70</v>
      </c>
      <c r="D10578" s="6" t="str">
        <f ca="1">IFERROR(__xludf.DUMMYFUNCTION("""COMPUTED_VALUE"""),"PAINE")</f>
        <v>PAINE</v>
      </c>
    </row>
    <row r="10579" spans="1:4">
      <c r="A10579" s="7">
        <f ca="1">IFERROR(__xludf.DUMMYFUNCTION("""COMPUTED_VALUE"""),44888)</f>
        <v>44888</v>
      </c>
      <c r="B10579" s="6" t="str">
        <f ca="1">IFERROR(__xludf.DUMMYFUNCTION("""COMPUTED_VALUE"""),"-33797539-70776353")</f>
        <v>-33797539-70776353</v>
      </c>
      <c r="C10579" s="6" t="str">
        <f ca="1">IFERROR(__xludf.DUMMYFUNCTION("""COMPUTED_VALUE"""),"EL RECUERDO 5-11A")</f>
        <v>EL RECUERDO 5-11A</v>
      </c>
      <c r="D10579" s="6" t="str">
        <f ca="1">IFERROR(__xludf.DUMMYFUNCTION("""COMPUTED_VALUE"""),"BUIN")</f>
        <v>BUIN</v>
      </c>
    </row>
    <row r="10580" spans="1:4">
      <c r="A10580" s="7">
        <f ca="1">IFERROR(__xludf.DUMMYFUNCTION("""COMPUTED_VALUE"""),44888)</f>
        <v>44888</v>
      </c>
      <c r="B10580" s="6" t="str">
        <f ca="1">IFERROR(__xludf.DUMMYFUNCTION("""COMPUTED_VALUE"""),"-33.787140,-71.317413")</f>
        <v>-33.787140,-71.317413</v>
      </c>
      <c r="C10580" s="6" t="str">
        <f ca="1">IFERROR(__xludf.DUMMYFUNCTION("""COMPUTED_VALUE"""),"LOMAS DE SAN ANTONIO 1976")</f>
        <v>LOMAS DE SAN ANTONIO 1976</v>
      </c>
      <c r="D10580" s="6" t="str">
        <f ca="1">IFERROR(__xludf.DUMMYFUNCTION("""COMPUTED_VALUE"""),"MELIPILLA")</f>
        <v>MELIPILLA</v>
      </c>
    </row>
    <row r="10581" spans="1:4">
      <c r="A10581" s="7">
        <f ca="1">IFERROR(__xludf.DUMMYFUNCTION("""COMPUTED_VALUE"""),44888)</f>
        <v>44888</v>
      </c>
      <c r="B10581" s="6" t="str">
        <f ca="1">IFERROR(__xludf.DUMMYFUNCTION("""COMPUTED_VALUE"""),"-33.674557,-71.210813")</f>
        <v>-33.674557,-71.210813</v>
      </c>
      <c r="C10581" s="6" t="str">
        <f ca="1">IFERROR(__xludf.DUMMYFUNCTION("""COMPUTED_VALUE"""),"PA. MATILDE A. CERDA 246")</f>
        <v>PA. MATILDE A. CERDA 246</v>
      </c>
      <c r="D10581" s="6" t="str">
        <f ca="1">IFERROR(__xludf.DUMMYFUNCTION("""COMPUTED_VALUE"""),"MELIPILLA")</f>
        <v>MELIPILLA</v>
      </c>
    </row>
    <row r="10582" spans="1:4">
      <c r="A10582" s="7">
        <f ca="1">IFERROR(__xludf.DUMMYFUNCTION("""COMPUTED_VALUE"""),44888)</f>
        <v>44888</v>
      </c>
      <c r="B10582" s="6" t="str">
        <f ca="1">IFERROR(__xludf.DUMMYFUNCTION("""COMPUTED_VALUE"""),"-33.684365,-71.207509")</f>
        <v>-33.684365,-71.207509</v>
      </c>
      <c r="C10582" s="6" t="str">
        <f ca="1">IFERROR(__xludf.DUMMYFUNCTION("""COMPUTED_VALUE"""),"UGALDE 56")</f>
        <v>UGALDE 56</v>
      </c>
      <c r="D10582" s="6" t="str">
        <f ca="1">IFERROR(__xludf.DUMMYFUNCTION("""COMPUTED_VALUE"""),"MELIPILLA")</f>
        <v>MELIPILLA</v>
      </c>
    </row>
    <row r="10583" spans="1:4">
      <c r="A10583" s="7">
        <f ca="1">IFERROR(__xludf.DUMMYFUNCTION("""COMPUTED_VALUE"""),44888)</f>
        <v>44888</v>
      </c>
      <c r="B10583" s="6" t="str">
        <f ca="1">IFERROR(__xludf.DUMMYFUNCTION("""COMPUTED_VALUE"""),"-33.7753731,-71.2429439")</f>
        <v>-33.7753731,-71.2429439</v>
      </c>
      <c r="C10583" s="6" t="str">
        <f ca="1">IFERROR(__xludf.DUMMYFUNCTION("""COMPUTED_VALUE"""),"CALIPSO S/N")</f>
        <v>CALIPSO S/N</v>
      </c>
      <c r="D10583" s="6" t="str">
        <f ca="1">IFERROR(__xludf.DUMMYFUNCTION("""COMPUTED_VALUE"""),"MELIPILLA")</f>
        <v>MELIPILLA</v>
      </c>
    </row>
    <row r="10584" spans="1:4">
      <c r="A10584" s="7">
        <f ca="1">IFERROR(__xludf.DUMMYFUNCTION("""COMPUTED_VALUE"""),44888)</f>
        <v>44888</v>
      </c>
      <c r="B10584" s="6" t="str">
        <f ca="1">IFERROR(__xludf.DUMMYFUNCTION("""COMPUTED_VALUE"""),"-33.5818140,-71.1514245")</f>
        <v>-33.5818140,-71.1514245</v>
      </c>
      <c r="C10584" s="6" t="str">
        <f ca="1">IFERROR(__xludf.DUMMYFUNCTION("""COMPUTED_VALUE"""),"VIÑA EL CAMPESINO S/N")</f>
        <v>VIÑA EL CAMPESINO S/N</v>
      </c>
      <c r="D10584" s="6" t="str">
        <f ca="1">IFERROR(__xludf.DUMMYFUNCTION("""COMPUTED_VALUE"""),"MELIPILLA")</f>
        <v>MELIPILLA</v>
      </c>
    </row>
    <row r="10585" spans="1:4">
      <c r="A10585" s="7">
        <f ca="1">IFERROR(__xludf.DUMMYFUNCTION("""COMPUTED_VALUE"""),44888)</f>
        <v>44888</v>
      </c>
      <c r="B10585" s="6" t="str">
        <f ca="1">IFERROR(__xludf.DUMMYFUNCTION("""COMPUTED_VALUE"""),"-33.814648,-70.736969")</f>
        <v>-33.814648,-70.736969</v>
      </c>
      <c r="C10585" s="6" t="str">
        <f ca="1">IFERROR(__xludf.DUMMYFUNCTION("""COMPUTED_VALUE"""),"PASAJE 2 POBLACION MOLINA")</f>
        <v>PASAJE 2 POBLACION MOLINA</v>
      </c>
      <c r="D10585" s="6" t="str">
        <f ca="1">IFERROR(__xludf.DUMMYFUNCTION("""COMPUTED_VALUE"""),"PAINE")</f>
        <v>PAINE</v>
      </c>
    </row>
    <row r="10586" spans="1:4">
      <c r="A10586" s="7">
        <f ca="1">IFERROR(__xludf.DUMMYFUNCTION("""COMPUTED_VALUE"""),44888)</f>
        <v>44888</v>
      </c>
      <c r="B10586" s="6" t="str">
        <f ca="1">IFERROR(__xludf.DUMMYFUNCTION("""COMPUTED_VALUE"""),"-33.814307,-70.735414")</f>
        <v>-33.814307,-70.735414</v>
      </c>
      <c r="C10586" s="6" t="str">
        <f ca="1">IFERROR(__xludf.DUMMYFUNCTION("""COMPUTED_VALUE"""),"PEREZ CANTO 656")</f>
        <v>PEREZ CANTO 656</v>
      </c>
      <c r="D10586" s="6" t="str">
        <f ca="1">IFERROR(__xludf.DUMMYFUNCTION("""COMPUTED_VALUE"""),"PAINE")</f>
        <v>PAINE</v>
      </c>
    </row>
    <row r="10587" spans="1:4">
      <c r="A10587" s="7">
        <f ca="1">IFERROR(__xludf.DUMMYFUNCTION("""COMPUTED_VALUE"""),44889)</f>
        <v>44889</v>
      </c>
      <c r="B10587" s="8" t="str">
        <f ca="1">IFERROR(__xludf.DUMMYFUNCTION("""COMPUTED_VALUE"""),"-33.6638809, -70.9352817")</f>
        <v>-33.6638809, -70.9352817</v>
      </c>
      <c r="C10587" s="6" t="str">
        <f ca="1">IFERROR(__xludf.DUMMYFUNCTION("""COMPUTED_VALUE"""),"LIBERTAD 521")</f>
        <v>LIBERTAD 521</v>
      </c>
      <c r="D10587" s="6" t="str">
        <f ca="1">IFERROR(__xludf.DUMMYFUNCTION("""COMPUTED_VALUE"""),"TALAGANTE")</f>
        <v>TALAGANTE</v>
      </c>
    </row>
    <row r="10588" spans="1:4">
      <c r="A10588" s="7">
        <f ca="1">IFERROR(__xludf.DUMMYFUNCTION("""COMPUTED_VALUE"""),44889)</f>
        <v>44889</v>
      </c>
      <c r="B10588" s="8" t="str">
        <f ca="1">IFERROR(__xludf.DUMMYFUNCTION("""COMPUTED_VALUE"""),"-33.4358862, -70.6843972")</f>
        <v>-33.4358862, -70.6843972</v>
      </c>
      <c r="C10588" s="6" t="str">
        <f ca="1">IFERROR(__xludf.DUMMYFUNCTION("""COMPUTED_VALUE"""),"EL RECURSO 55")</f>
        <v>EL RECURSO 55</v>
      </c>
      <c r="D10588" s="6" t="str">
        <f ca="1">IFERROR(__xludf.DUMMYFUNCTION("""COMPUTED_VALUE"""),"BUIN")</f>
        <v>BUIN</v>
      </c>
    </row>
    <row r="10589" spans="1:4">
      <c r="A10589" s="7">
        <f ca="1">IFERROR(__xludf.DUMMYFUNCTION("""COMPUTED_VALUE"""),44889)</f>
        <v>44889</v>
      </c>
      <c r="B10589" s="8" t="str">
        <f ca="1">IFERROR(__xludf.DUMMYFUNCTION("""COMPUTED_VALUE"""),"-33.5596551, -71.171911")</f>
        <v>-33.5596551, -71.171911</v>
      </c>
      <c r="C10589" s="6" t="str">
        <f ca="1">IFERROR(__xludf.DUMMYFUNCTION("""COMPUTED_VALUE"""),"SAN RAMON S/N")</f>
        <v>SAN RAMON S/N</v>
      </c>
      <c r="D10589" s="6" t="str">
        <f ca="1">IFERROR(__xludf.DUMMYFUNCTION("""COMPUTED_VALUE"""),"MELIPILLA")</f>
        <v>MELIPILLA</v>
      </c>
    </row>
    <row r="10590" spans="1:4">
      <c r="A10590" s="7">
        <f ca="1">IFERROR(__xludf.DUMMYFUNCTION("""COMPUTED_VALUE"""),44889)</f>
        <v>44889</v>
      </c>
      <c r="B10590" s="6" t="str">
        <f ca="1">IFERROR(__xludf.DUMMYFUNCTION("""COMPUTED_VALUE"""),"-33.70708-70.56467")</f>
        <v>-33.70708-70.56467</v>
      </c>
      <c r="C10590" s="6" t="str">
        <f ca="1">IFERROR(__xludf.DUMMYFUNCTION("""COMPUTED_VALUE"""),"EL PRINCIPAL 30")</f>
        <v>EL PRINCIPAL 30</v>
      </c>
      <c r="D10590" s="6" t="str">
        <f ca="1">IFERROR(__xludf.DUMMYFUNCTION("""COMPUTED_VALUE"""),"PIRQUE")</f>
        <v>PIRQUE</v>
      </c>
    </row>
    <row r="10591" spans="1:4">
      <c r="A10591" s="7">
        <f ca="1">IFERROR(__xludf.DUMMYFUNCTION("""COMPUTED_VALUE"""),44889)</f>
        <v>44889</v>
      </c>
      <c r="B10591" s="8" t="str">
        <f ca="1">IFERROR(__xludf.DUMMYFUNCTION("""COMPUTED_VALUE"""),"-33.575783,-70.832255")</f>
        <v>-33.575783,-70.832255</v>
      </c>
      <c r="C10591" s="6" t="str">
        <f ca="1">IFERROR(__xludf.DUMMYFUNCTION("""COMPUTED_VALUE"""),"OBISPO RAFAEL FERNANDEZ")</f>
        <v>OBISPO RAFAEL FERNANDEZ</v>
      </c>
      <c r="D10591" s="6" t="str">
        <f ca="1">IFERROR(__xludf.DUMMYFUNCTION("""COMPUTED_VALUE"""),"PADRE HURTADO")</f>
        <v>PADRE HURTADO</v>
      </c>
    </row>
    <row r="10592" spans="1:4">
      <c r="A10592" s="7">
        <f ca="1">IFERROR(__xludf.DUMMYFUNCTION("""COMPUTED_VALUE"""),44889)</f>
        <v>44889</v>
      </c>
      <c r="B10592" s="8" t="str">
        <f ca="1">IFERROR(__xludf.DUMMYFUNCTION("""COMPUTED_VALUE"""),"-33.575737,-70.852193")</f>
        <v>-33.575737,-70.852193</v>
      </c>
      <c r="C10592" s="6" t="str">
        <f ca="1">IFERROR(__xludf.DUMMYFUNCTION("""COMPUTED_VALUE"""),"OBISPO RAFAEL FERNANDEZ 407")</f>
        <v>OBISPO RAFAEL FERNANDEZ 407</v>
      </c>
      <c r="D10592" s="6" t="str">
        <f ca="1">IFERROR(__xludf.DUMMYFUNCTION("""COMPUTED_VALUE"""),"PADRE HURTADO")</f>
        <v>PADRE HURTADO</v>
      </c>
    </row>
    <row r="10593" spans="1:4">
      <c r="A10593" s="7">
        <f ca="1">IFERROR(__xludf.DUMMYFUNCTION("""COMPUTED_VALUE"""),44889)</f>
        <v>44889</v>
      </c>
      <c r="B10593" s="8" t="str">
        <f ca="1">IFERROR(__xludf.DUMMYFUNCTION("""COMPUTED_VALUE"""),"-33.723144,-70.736421")</f>
        <v>-33.723144,-70.736421</v>
      </c>
      <c r="C10593" s="6" t="str">
        <f ca="1">IFERROR(__xludf.DUMMYFUNCTION("""COMPUTED_VALUE"""),"PJE 12")</f>
        <v>PJE 12</v>
      </c>
      <c r="D10593" s="6" t="str">
        <f ca="1">IFERROR(__xludf.DUMMYFUNCTION("""COMPUTED_VALUE"""),"BUIN")</f>
        <v>BUIN</v>
      </c>
    </row>
    <row r="10594" spans="1:4">
      <c r="A10594" s="7">
        <f ca="1">IFERROR(__xludf.DUMMYFUNCTION("""COMPUTED_VALUE"""),44889)</f>
        <v>44889</v>
      </c>
      <c r="B10594" s="8" t="str">
        <f ca="1">IFERROR(__xludf.DUMMYFUNCTION("""COMPUTED_VALUE"""),"-33.783408,-70.792253")</f>
        <v>-33.783408,-70.792253</v>
      </c>
      <c r="C10594" s="6" t="str">
        <f ca="1">IFERROR(__xludf.DUMMYFUNCTION("""COMPUTED_VALUE"""),"VILUCO S/N")</f>
        <v>VILUCO S/N</v>
      </c>
      <c r="D10594" s="6" t="str">
        <f ca="1">IFERROR(__xludf.DUMMYFUNCTION("""COMPUTED_VALUE"""),"BUIN")</f>
        <v>BUIN</v>
      </c>
    </row>
    <row r="10595" spans="1:4">
      <c r="A10595" s="7">
        <f ca="1">IFERROR(__xludf.DUMMYFUNCTION("""COMPUTED_VALUE"""),44889)</f>
        <v>44889</v>
      </c>
      <c r="B10595" s="8" t="str">
        <f ca="1">IFERROR(__xludf.DUMMYFUNCTION("""COMPUTED_VALUE"""),"-33.575737,-70.852193")</f>
        <v>-33.575737,-70.852193</v>
      </c>
      <c r="C10595" s="6" t="str">
        <f ca="1">IFERROR(__xludf.DUMMYFUNCTION("""COMPUTED_VALUE"""),"OBISPO RAFAEL FERNANDEZ 407")</f>
        <v>OBISPO RAFAEL FERNANDEZ 407</v>
      </c>
      <c r="D10595" s="6" t="str">
        <f ca="1">IFERROR(__xludf.DUMMYFUNCTION("""COMPUTED_VALUE"""),"PADRE HURTADO")</f>
        <v>PADRE HURTADO</v>
      </c>
    </row>
    <row r="10596" spans="1:4">
      <c r="A10596" s="7">
        <f ca="1">IFERROR(__xludf.DUMMYFUNCTION("""COMPUTED_VALUE"""),44889)</f>
        <v>44889</v>
      </c>
      <c r="B10596" s="6" t="str">
        <f ca="1">IFERROR(__xludf.DUMMYFUNCTION("""COMPUTED_VALUE"""),"-33.747958,-70.898594")</f>
        <v>-33.747958,-70.898594</v>
      </c>
      <c r="C10596" s="6" t="str">
        <f ca="1">IFERROR(__xludf.DUMMYFUNCTION("""COMPUTED_VALUE"""),"PA TRES 804")</f>
        <v>PA TRES 804</v>
      </c>
      <c r="D10596" s="6" t="str">
        <f ca="1">IFERROR(__xludf.DUMMYFUNCTION("""COMPUTED_VALUE"""),"ISLA DE MAIPO")</f>
        <v>ISLA DE MAIPO</v>
      </c>
    </row>
    <row r="10597" spans="1:4">
      <c r="A10597" s="7">
        <f ca="1">IFERROR(__xludf.DUMMYFUNCTION("""COMPUTED_VALUE"""),44889)</f>
        <v>44889</v>
      </c>
      <c r="B10597" s="8" t="str">
        <f ca="1">IFERROR(__xludf.DUMMYFUNCTION("""COMPUTED_VALUE"""),"-33.219280:-70.808502")</f>
        <v>-33.219280:-70.808502</v>
      </c>
      <c r="C10597" s="6" t="str">
        <f ca="1">IFERROR(__xludf.DUMMYFUNCTION("""COMPUTED_VALUE"""),"CAMINO SERVIDUMBRE 19 CASA 2 ")</f>
        <v xml:space="preserve">CAMINO SERVIDUMBRE 19 CASA 2 </v>
      </c>
      <c r="D10597" s="6" t="str">
        <f ca="1">IFERROR(__xludf.DUMMYFUNCTION("""COMPUTED_VALUE"""),"LAMPA")</f>
        <v>LAMPA</v>
      </c>
    </row>
    <row r="10598" spans="1:4">
      <c r="A10598" s="7">
        <f ca="1">IFERROR(__xludf.DUMMYFUNCTION("""COMPUTED_VALUE"""),44889)</f>
        <v>44889</v>
      </c>
      <c r="B10598" s="6" t="str">
        <f ca="1">IFERROR(__xludf.DUMMYFUNCTION("""COMPUTED_VALUE"""),"-34.021782,-71.181524")</f>
        <v>-34.021782,-71.181524</v>
      </c>
      <c r="C10598" s="6" t="str">
        <f ca="1">IFERROR(__xludf.DUMMYFUNCTION("""COMPUTED_VALUE"""),"CO. LA LINEA S/N")</f>
        <v>CO. LA LINEA S/N</v>
      </c>
      <c r="D10598" s="6" t="str">
        <f ca="1">IFERROR(__xludf.DUMMYFUNCTION("""COMPUTED_VALUE"""),"ALHUÉ")</f>
        <v>ALHUÉ</v>
      </c>
    </row>
    <row r="10599" spans="1:4">
      <c r="A10599" s="7">
        <f ca="1">IFERROR(__xludf.DUMMYFUNCTION("""COMPUTED_VALUE"""),44889)</f>
        <v>44889</v>
      </c>
      <c r="B10599" s="6" t="str">
        <f ca="1">IFERROR(__xludf.DUMMYFUNCTION("""COMPUTED_VALUE"""),"-34.052595,-71.239112")</f>
        <v>-34.052595,-71.239112</v>
      </c>
      <c r="C10599" s="6" t="str">
        <f ca="1">IFERROR(__xludf.DUMMYFUNCTION("""COMPUTED_VALUE"""),"CO. LA LINEA S/N")</f>
        <v>CO. LA LINEA S/N</v>
      </c>
      <c r="D10599" s="6" t="str">
        <f ca="1">IFERROR(__xludf.DUMMYFUNCTION("""COMPUTED_VALUE"""),"ALHUÉ")</f>
        <v>ALHUÉ</v>
      </c>
    </row>
    <row r="10600" spans="1:4">
      <c r="A10600" s="7">
        <f ca="1">IFERROR(__xludf.DUMMYFUNCTION("""COMPUTED_VALUE"""),44889)</f>
        <v>44889</v>
      </c>
      <c r="B10600" s="6" t="str">
        <f ca="1">IFERROR(__xludf.DUMMYFUNCTION("""COMPUTED_VALUE"""),"-34.019291,-71.252621")</f>
        <v>-34.019291,-71.252621</v>
      </c>
      <c r="C10600" s="6" t="str">
        <f ca="1">IFERROR(__xludf.DUMMYFUNCTION("""COMPUTED_VALUE"""),"CO. LA LINEA S/N")</f>
        <v>CO. LA LINEA S/N</v>
      </c>
      <c r="D10600" s="6" t="str">
        <f ca="1">IFERROR(__xludf.DUMMYFUNCTION("""COMPUTED_VALUE"""),"ALHUÉ")</f>
        <v>ALHUÉ</v>
      </c>
    </row>
    <row r="10601" spans="1:4">
      <c r="A10601" s="7">
        <f ca="1">IFERROR(__xludf.DUMMYFUNCTION("""COMPUTED_VALUE"""),44890)</f>
        <v>44890</v>
      </c>
      <c r="B10601" s="8" t="str">
        <f ca="1">IFERROR(__xludf.DUMMYFUNCTION("""COMPUTED_VALUE"""),"-33.8499483, -70.7389283")</f>
        <v>-33.8499483, -70.7389283</v>
      </c>
      <c r="C10601" s="6" t="str">
        <f ca="1">IFERROR(__xludf.DUMMYFUNCTION("""COMPUTED_VALUE"""),"UNO NORTE 2")</f>
        <v>UNO NORTE 2</v>
      </c>
      <c r="D10601" s="6" t="str">
        <f ca="1">IFERROR(__xludf.DUMMYFUNCTION("""COMPUTED_VALUE"""),"PAINE")</f>
        <v>PAINE</v>
      </c>
    </row>
    <row r="10602" spans="1:4">
      <c r="A10602" s="7">
        <f ca="1">IFERROR(__xludf.DUMMYFUNCTION("""COMPUTED_VALUE"""),44890)</f>
        <v>44890</v>
      </c>
      <c r="B10602" s="8" t="str">
        <f ca="1">IFERROR(__xludf.DUMMYFUNCTION("""COMPUTED_VALUE"""),"-33.576001,-70.831370")</f>
        <v>-33.576001,-70.831370</v>
      </c>
      <c r="C10602" s="6" t="str">
        <f ca="1">IFERROR(__xludf.DUMMYFUNCTION("""COMPUTED_VALUE"""),"OBISPO RAFAEL FERNANDEZ")</f>
        <v>OBISPO RAFAEL FERNANDEZ</v>
      </c>
      <c r="D10602" s="6" t="str">
        <f ca="1">IFERROR(__xludf.DUMMYFUNCTION("""COMPUTED_VALUE"""),"PADRE HURTADO")</f>
        <v>PADRE HURTADO</v>
      </c>
    </row>
    <row r="10603" spans="1:4">
      <c r="A10603" s="7">
        <f ca="1">IFERROR(__xludf.DUMMYFUNCTION("""COMPUTED_VALUE"""),44890)</f>
        <v>44890</v>
      </c>
      <c r="B10603" s="6" t="str">
        <f ca="1">IFERROR(__xludf.DUMMYFUNCTION("""COMPUTED_VALUE"""),"-33.5818140,-71.1514245")</f>
        <v>-33.5818140,-71.1514245</v>
      </c>
      <c r="C10603" s="6" t="str">
        <f ca="1">IFERROR(__xludf.DUMMYFUNCTION("""COMPUTED_VALUE"""),"VIÑA EL CAMPESINO S/N")</f>
        <v>VIÑA EL CAMPESINO S/N</v>
      </c>
      <c r="D10603" s="6" t="str">
        <f ca="1">IFERROR(__xludf.DUMMYFUNCTION("""COMPUTED_VALUE"""),"MELIPILLA")</f>
        <v>MELIPILLA</v>
      </c>
    </row>
    <row r="10604" spans="1:4">
      <c r="A10604" s="7">
        <f ca="1">IFERROR(__xludf.DUMMYFUNCTION("""COMPUTED_VALUE"""),44890)</f>
        <v>44890</v>
      </c>
      <c r="B10604" s="6" t="str">
        <f ca="1">IFERROR(__xludf.DUMMYFUNCTION("""COMPUTED_VALUE"""),"-33.3929415,-71.1158700")</f>
        <v>-33.3929415,-71.1158700</v>
      </c>
      <c r="C10604" s="6" t="str">
        <f ca="1">IFERROR(__xludf.DUMMYFUNCTION("""COMPUTED_VALUE"""),"NUEVO AMANECER 1196")</f>
        <v>NUEVO AMANECER 1196</v>
      </c>
      <c r="D10604" s="6" t="str">
        <f ca="1">IFERROR(__xludf.DUMMYFUNCTION("""COMPUTED_VALUE"""),"CURACAVI")</f>
        <v>CURACAVI</v>
      </c>
    </row>
    <row r="10605" spans="1:4">
      <c r="A10605" s="7">
        <f ca="1">IFERROR(__xludf.DUMMYFUNCTION("""COMPUTED_VALUE"""),44891)</f>
        <v>44891</v>
      </c>
      <c r="B10605" s="6" t="str">
        <f ca="1">IFERROR(__xludf.DUMMYFUNCTION("""COMPUTED_VALUE"""),"-33.457123-70.422752")</f>
        <v>-33.457123-70.422752</v>
      </c>
      <c r="C10605" s="6" t="str">
        <f ca="1">IFERROR(__xludf.DUMMYFUNCTION("""COMPUTED_VALUE"""),"FRANCISCO JOFRE 299")</f>
        <v>FRANCISCO JOFRE 299</v>
      </c>
      <c r="D10605" s="6" t="str">
        <f ca="1">IFERROR(__xludf.DUMMYFUNCTION("""COMPUTED_VALUE"""),"CURACAVI")</f>
        <v>CURACAVI</v>
      </c>
    </row>
    <row r="10606" spans="1:4">
      <c r="A10606" s="7">
        <f ca="1">IFERROR(__xludf.DUMMYFUNCTION("""COMPUTED_VALUE"""),44891)</f>
        <v>44891</v>
      </c>
      <c r="B10606" s="6" t="str">
        <f ca="1">IFERROR(__xludf.DUMMYFUNCTION("""COMPUTED_VALUE"""),"-33.575185-70.803536")</f>
        <v>-33.575185-70.803536</v>
      </c>
      <c r="C10606" s="6" t="str">
        <f ca="1">IFERROR(__xludf.DUMMYFUNCTION("""COMPUTED_VALUE"""),"EL AVELLANO 1825")</f>
        <v>EL AVELLANO 1825</v>
      </c>
      <c r="D10606" s="6" t="str">
        <f ca="1">IFERROR(__xludf.DUMMYFUNCTION("""COMPUTED_VALUE"""),"CURACAVI")</f>
        <v>CURACAVI</v>
      </c>
    </row>
    <row r="10607" spans="1:4">
      <c r="A10607" s="7">
        <f ca="1">IFERROR(__xludf.DUMMYFUNCTION("""COMPUTED_VALUE"""),44891)</f>
        <v>44891</v>
      </c>
      <c r="B10607" s="6" t="str">
        <f ca="1">IFERROR(__xludf.DUMMYFUNCTION("""COMPUTED_VALUE"""),"-33.732996,-70.762930")</f>
        <v>-33.732996,-70.762930</v>
      </c>
      <c r="C10607" s="6" t="str">
        <f ca="1">IFERROR(__xludf.DUMMYFUNCTION("""COMPUTED_VALUE"""),"RUDECINDO RIVERO 61")</f>
        <v>RUDECINDO RIVERO 61</v>
      </c>
      <c r="D10607" s="6" t="str">
        <f ca="1">IFERROR(__xludf.DUMMYFUNCTION("""COMPUTED_VALUE"""),"BUIN")</f>
        <v>BUIN</v>
      </c>
    </row>
    <row r="10608" spans="1:4">
      <c r="A10608" s="7">
        <f ca="1">IFERROR(__xludf.DUMMYFUNCTION("""COMPUTED_VALUE"""),44891)</f>
        <v>44891</v>
      </c>
      <c r="B10608" s="6" t="str">
        <f ca="1">IFERROR(__xludf.DUMMYFUNCTION("""COMPUTED_VALUE"""),"-33813051-70698570")</f>
        <v>-33813051-70698570</v>
      </c>
      <c r="C10608" s="6" t="str">
        <f ca="1">IFERROR(__xludf.DUMMYFUNCTION("""COMPUTED_VALUE"""),"CAMINO SAN MIGUEL P-37")</f>
        <v>CAMINO SAN MIGUEL P-37</v>
      </c>
      <c r="D10608" s="6" t="str">
        <f ca="1">IFERROR(__xludf.DUMMYFUNCTION("""COMPUTED_VALUE"""),"PAINE")</f>
        <v>PAINE</v>
      </c>
    </row>
    <row r="10609" spans="1:4">
      <c r="A10609" s="7">
        <f ca="1">IFERROR(__xludf.DUMMYFUNCTION("""COMPUTED_VALUE"""),44891)</f>
        <v>44891</v>
      </c>
      <c r="B10609" s="6" t="str">
        <f ca="1">IFERROR(__xludf.DUMMYFUNCTION("""COMPUTED_VALUE"""),"-33865354-70630883")</f>
        <v>-33865354-70630883</v>
      </c>
      <c r="C10609" s="6" t="str">
        <f ca="1">IFERROR(__xludf.DUMMYFUNCTION("""COMPUTED_VALUE"""),"CHALLAY ALTO P.25")</f>
        <v>CHALLAY ALTO P.25</v>
      </c>
      <c r="D10609" s="6" t="str">
        <f ca="1">IFERROR(__xludf.DUMMYFUNCTION("""COMPUTED_VALUE"""),"PAINE")</f>
        <v>PAINE</v>
      </c>
    </row>
    <row r="10610" spans="1:4">
      <c r="A10610" s="7">
        <f ca="1">IFERROR(__xludf.DUMMYFUNCTION("""COMPUTED_VALUE"""),44891)</f>
        <v>44891</v>
      </c>
      <c r="B10610" s="6" t="str">
        <f ca="1">IFERROR(__xludf.DUMMYFUNCTION("""COMPUTED_VALUE"""),"-33829327-70774900")</f>
        <v>-33829327-70774900</v>
      </c>
      <c r="C10610" s="6" t="str">
        <f ca="1">IFERROR(__xludf.DUMMYFUNCTION("""COMPUTED_VALUE"""),"JUAN ANTONIO RIOS P-70")</f>
        <v>JUAN ANTONIO RIOS P-70</v>
      </c>
      <c r="D10610" s="6" t="str">
        <f ca="1">IFERROR(__xludf.DUMMYFUNCTION("""COMPUTED_VALUE"""),"PAINE")</f>
        <v>PAINE</v>
      </c>
    </row>
    <row r="10611" spans="1:4">
      <c r="A10611" s="7">
        <f ca="1">IFERROR(__xludf.DUMMYFUNCTION("""COMPUTED_VALUE"""),44891)</f>
        <v>44891</v>
      </c>
      <c r="B10611" s="6" t="str">
        <f ca="1">IFERROR(__xludf.DUMMYFUNCTION("""COMPUTED_VALUE"""),"-33900830-70658962")</f>
        <v>-33900830-70658962</v>
      </c>
      <c r="C10611" s="6" t="str">
        <f ca="1">IFERROR(__xludf.DUMMYFUNCTION("""COMPUTED_VALUE"""),"CALLE LA ROMANA S-30")</f>
        <v>CALLE LA ROMANA S-30</v>
      </c>
      <c r="D10611" s="6" t="str">
        <f ca="1">IFERROR(__xludf.DUMMYFUNCTION("""COMPUTED_VALUE"""),"PAINE")</f>
        <v>PAINE</v>
      </c>
    </row>
    <row r="10612" spans="1:4">
      <c r="A10612" s="7">
        <f ca="1">IFERROR(__xludf.DUMMYFUNCTION("""COMPUTED_VALUE"""),44893)</f>
        <v>44893</v>
      </c>
      <c r="B10612" s="6" t="str">
        <f ca="1">IFERROR(__xludf.DUMMYFUNCTION("""COMPUTED_VALUE"""),"-33.868158,-70.850936")</f>
        <v>-33.868158,-70.850936</v>
      </c>
      <c r="C10612" s="6" t="str">
        <f ca="1">IFERROR(__xludf.DUMMYFUNCTION("""COMPUTED_VALUE"""),"EL MANZANITO PAR 18 LOTE A-14")</f>
        <v>EL MANZANITO PAR 18 LOTE A-14</v>
      </c>
      <c r="D10612" s="6" t="str">
        <f ca="1">IFERROR(__xludf.DUMMYFUNCTION("""COMPUTED_VALUE"""),"PAINE")</f>
        <v>PAINE</v>
      </c>
    </row>
    <row r="10613" spans="1:4">
      <c r="A10613" s="7">
        <f ca="1">IFERROR(__xludf.DUMMYFUNCTION("""COMPUTED_VALUE"""),44893)</f>
        <v>44893</v>
      </c>
      <c r="B10613" s="6" t="str">
        <f ca="1">IFERROR(__xludf.DUMMYFUNCTION("""COMPUTED_VALUE"""),"-33.778482,-71.356423")</f>
        <v>-33.778482,-71.356423</v>
      </c>
      <c r="C10613" s="6" t="str">
        <f ca="1">IFERROR(__xludf.DUMMYFUNCTION("""COMPUTED_VALUE"""),"SECTOR SAN VALENTIN 1")</f>
        <v>SECTOR SAN VALENTIN 1</v>
      </c>
      <c r="D10613" s="6" t="str">
        <f ca="1">IFERROR(__xludf.DUMMYFUNCTION("""COMPUTED_VALUE"""),"MELIPILLA")</f>
        <v>MELIPILLA</v>
      </c>
    </row>
    <row r="10614" spans="1:4">
      <c r="A10614" s="7">
        <f ca="1">IFERROR(__xludf.DUMMYFUNCTION("""COMPUTED_VALUE"""),44893)</f>
        <v>44893</v>
      </c>
      <c r="B10614" s="6" t="str">
        <f ca="1">IFERROR(__xludf.DUMMYFUNCTION("""COMPUTED_VALUE"""),"-33.778482,-71.356423")</f>
        <v>-33.778482,-71.356423</v>
      </c>
      <c r="C10614" s="6" t="str">
        <f ca="1">IFERROR(__xludf.DUMMYFUNCTION("""COMPUTED_VALUE"""),"SECTOR SAN VALENTIN 1")</f>
        <v>SECTOR SAN VALENTIN 1</v>
      </c>
      <c r="D10614" s="6" t="str">
        <f ca="1">IFERROR(__xludf.DUMMYFUNCTION("""COMPUTED_VALUE"""),"MELIPILLA")</f>
        <v>MELIPILLA</v>
      </c>
    </row>
    <row r="10615" spans="1:4">
      <c r="A10615" s="7">
        <f ca="1">IFERROR(__xludf.DUMMYFUNCTION("""COMPUTED_VALUE"""),44893)</f>
        <v>44893</v>
      </c>
      <c r="B10615" s="8" t="str">
        <f ca="1">IFERROR(__xludf.DUMMYFUNCTION("""COMPUTED_VALUE"""),"-34028710:-71.10036")</f>
        <v>-34028710:-71.10036</v>
      </c>
      <c r="C10615" s="6" t="str">
        <f ca="1">IFERROR(__xludf.DUMMYFUNCTION("""COMPUTED_VALUE"""),"O'HIGGINS S/N ")</f>
        <v xml:space="preserve">O'HIGGINS S/N </v>
      </c>
      <c r="D10615" s="6" t="str">
        <f ca="1">IFERROR(__xludf.DUMMYFUNCTION("""COMPUTED_VALUE"""),"ALHUÉ")</f>
        <v>ALHUÉ</v>
      </c>
    </row>
    <row r="10616" spans="1:4">
      <c r="A10616" s="7">
        <f ca="1">IFERROR(__xludf.DUMMYFUNCTION("""COMPUTED_VALUE"""),44893)</f>
        <v>44893</v>
      </c>
      <c r="B10616" s="8" t="str">
        <f ca="1">IFERROR(__xludf.DUMMYFUNCTION("""COMPUTED_VALUE"""),"-34.032547:-71.099208")</f>
        <v>-34.032547:-71.099208</v>
      </c>
      <c r="C10616" s="6" t="str">
        <f ca="1">IFERROR(__xludf.DUMMYFUNCTION("""COMPUTED_VALUE"""),"O'HIGGINS S/N ")</f>
        <v xml:space="preserve">O'HIGGINS S/N </v>
      </c>
      <c r="D10616" s="6" t="str">
        <f ca="1">IFERROR(__xludf.DUMMYFUNCTION("""COMPUTED_VALUE"""),"ALHUÉ")</f>
        <v>ALHUÉ</v>
      </c>
    </row>
    <row r="10617" spans="1:4">
      <c r="A10617" s="7">
        <f ca="1">IFERROR(__xludf.DUMMYFUNCTION("""COMPUTED_VALUE"""),44893)</f>
        <v>44893</v>
      </c>
      <c r="B10617" s="8" t="str">
        <f ca="1">IFERROR(__xludf.DUMMYFUNCTION("""COMPUTED_VALUE"""),"-34.032121:-71093773")</f>
        <v>-34.032121:-71093773</v>
      </c>
      <c r="C10617" s="6" t="str">
        <f ca="1">IFERROR(__xludf.DUMMYFUNCTION("""COMPUTED_VALUE"""),"CINCO DE ABRIL 0880")</f>
        <v>CINCO DE ABRIL 0880</v>
      </c>
      <c r="D10617" s="6" t="str">
        <f ca="1">IFERROR(__xludf.DUMMYFUNCTION("""COMPUTED_VALUE"""),"ALHUÉ")</f>
        <v>ALHUÉ</v>
      </c>
    </row>
    <row r="10618" spans="1:4">
      <c r="A10618" s="7">
        <f ca="1">IFERROR(__xludf.DUMMYFUNCTION("""COMPUTED_VALUE"""),44893)</f>
        <v>44893</v>
      </c>
      <c r="B10618" s="8" t="str">
        <f ca="1">IFERROR(__xludf.DUMMYFUNCTION("""COMPUTED_VALUE"""),"-33.314110:-70.671814")</f>
        <v>-33.314110:-70.671814</v>
      </c>
      <c r="C10618" s="6" t="str">
        <f ca="1">IFERROR(__xludf.DUMMYFUNCTION("""COMPUTED_VALUE"""),"CRISTAL DE ROCA 10699")</f>
        <v>CRISTAL DE ROCA 10699</v>
      </c>
      <c r="D10618" s="6" t="str">
        <f ca="1">IFERROR(__xludf.DUMMYFUNCTION("""COMPUTED_VALUE"""),"COLINA")</f>
        <v>COLINA</v>
      </c>
    </row>
    <row r="10619" spans="1:4">
      <c r="A10619" s="7">
        <f ca="1">IFERROR(__xludf.DUMMYFUNCTION("""COMPUTED_VALUE"""),44893)</f>
        <v>44893</v>
      </c>
      <c r="B10619" s="6" t="str">
        <f ca="1">IFERROR(__xludf.DUMMYFUNCTION("""COMPUTED_VALUE"""),"-33280940-70887977")</f>
        <v>-33280940-70887977</v>
      </c>
      <c r="C10619" s="6" t="str">
        <f ca="1">IFERROR(__xludf.DUMMYFUNCTION("""COMPUTED_VALUE"""),"RITOQUE 164")</f>
        <v>RITOQUE 164</v>
      </c>
      <c r="D10619" s="6" t="str">
        <f ca="1">IFERROR(__xludf.DUMMYFUNCTION("""COMPUTED_VALUE"""),"LAMPA")</f>
        <v>LAMPA</v>
      </c>
    </row>
    <row r="10620" spans="1:4">
      <c r="A10620" s="7">
        <f ca="1">IFERROR(__xludf.DUMMYFUNCTION("""COMPUTED_VALUE"""),44893)</f>
        <v>44893</v>
      </c>
      <c r="B10620" s="6" t="str">
        <f ca="1">IFERROR(__xludf.DUMMYFUNCTION("""COMPUTED_VALUE"""),"-33236627-70807947")</f>
        <v>-33236627-70807947</v>
      </c>
      <c r="C10620" s="6" t="str">
        <f ca="1">IFERROR(__xludf.DUMMYFUNCTION("""COMPUTED_VALUE"""),"ARTURO PRAT 527")</f>
        <v>ARTURO PRAT 527</v>
      </c>
      <c r="D10620" s="6" t="str">
        <f ca="1">IFERROR(__xludf.DUMMYFUNCTION("""COMPUTED_VALUE"""),"LAMPA")</f>
        <v>LAMPA</v>
      </c>
    </row>
    <row r="10621" spans="1:4">
      <c r="A10621" s="7">
        <f ca="1">IFERROR(__xludf.DUMMYFUNCTION("""COMPUTED_VALUE"""),44893)</f>
        <v>44893</v>
      </c>
      <c r="B10621" s="6" t="str">
        <f ca="1">IFERROR(__xludf.DUMMYFUNCTION("""COMPUTED_VALUE"""),"-33269903-70893188")</f>
        <v>-33269903-70893188</v>
      </c>
      <c r="C10621" s="6" t="str">
        <f ca="1">IFERROR(__xludf.DUMMYFUNCTION("""COMPUTED_VALUE"""),"ISABELK RIQUELME 5")</f>
        <v>ISABELK RIQUELME 5</v>
      </c>
      <c r="D10621" s="6" t="str">
        <f ca="1">IFERROR(__xludf.DUMMYFUNCTION("""COMPUTED_VALUE"""),"LAMPA")</f>
        <v>LAMPA</v>
      </c>
    </row>
    <row r="10622" spans="1:4">
      <c r="A10622" s="7">
        <f ca="1">IFERROR(__xludf.DUMMYFUNCTION("""COMPUTED_VALUE"""),44893)</f>
        <v>44893</v>
      </c>
      <c r="B10622" s="6" t="str">
        <f ca="1">IFERROR(__xludf.DUMMYFUNCTION("""COMPUTED_VALUE"""),"-33.813842,-70.732876")</f>
        <v>-33.813842,-70.732876</v>
      </c>
      <c r="C10622" s="6" t="str">
        <f ca="1">IFERROR(__xludf.DUMMYFUNCTION("""COMPUTED_VALUE"""),"LOS PAJARITOS 703")</f>
        <v>LOS PAJARITOS 703</v>
      </c>
      <c r="D10622" s="6" t="str">
        <f ca="1">IFERROR(__xludf.DUMMYFUNCTION("""COMPUTED_VALUE"""),"PAINE")</f>
        <v>PAINE</v>
      </c>
    </row>
    <row r="10623" spans="1:4">
      <c r="A10623" s="7">
        <f ca="1">IFERROR(__xludf.DUMMYFUNCTION("""COMPUTED_VALUE"""),44893)</f>
        <v>44893</v>
      </c>
      <c r="B10623" s="6" t="str">
        <f ca="1">IFERROR(__xludf.DUMMYFUNCTION("""COMPUTED_VALUE"""),"-33.814192,-70.733425")</f>
        <v>-33.814192,-70.733425</v>
      </c>
      <c r="C10623" s="6" t="str">
        <f ca="1">IFERROR(__xludf.DUMMYFUNCTION("""COMPUTED_VALUE"""),"DIEGO CARVAJAL P31")</f>
        <v>DIEGO CARVAJAL P31</v>
      </c>
      <c r="D10623" s="6" t="str">
        <f ca="1">IFERROR(__xludf.DUMMYFUNCTION("""COMPUTED_VALUE"""),"PAINE")</f>
        <v>PAINE</v>
      </c>
    </row>
    <row r="10624" spans="1:4">
      <c r="A10624" s="7">
        <f ca="1">IFERROR(__xludf.DUMMYFUNCTION("""COMPUTED_VALUE"""),44893)</f>
        <v>44893</v>
      </c>
      <c r="B10624" s="6" t="str">
        <f ca="1">IFERROR(__xludf.DUMMYFUNCTION("""COMPUTED_VALUE"""),"-33.809125,-70.733565")</f>
        <v>-33.809125,-70.733565</v>
      </c>
      <c r="C10624" s="6" t="str">
        <f ca="1">IFERROR(__xludf.DUMMYFUNCTION("""COMPUTED_VALUE"""),"LOS HEROES 1 SITIO 6")</f>
        <v>LOS HEROES 1 SITIO 6</v>
      </c>
      <c r="D10624" s="6" t="str">
        <f ca="1">IFERROR(__xludf.DUMMYFUNCTION("""COMPUTED_VALUE"""),"PAINE")</f>
        <v>PAINE</v>
      </c>
    </row>
    <row r="10625" spans="1:4">
      <c r="A10625" s="7">
        <f ca="1">IFERROR(__xludf.DUMMYFUNCTION("""COMPUTED_VALUE"""),44894)</f>
        <v>44894</v>
      </c>
      <c r="B10625" s="6" t="str">
        <f ca="1">IFERROR(__xludf.DUMMYFUNCTION("""COMPUTED_VALUE"""),"-33.40698-71.13347")</f>
        <v>-33.40698-71.13347</v>
      </c>
      <c r="C10625" s="6" t="str">
        <f ca="1">IFERROR(__xludf.DUMMYFUNCTION("""COMPUTED_VALUE"""),"TENIENTE BERNARDO ESCOBAR 346")</f>
        <v>TENIENTE BERNARDO ESCOBAR 346</v>
      </c>
      <c r="D10625" s="6" t="str">
        <f ca="1">IFERROR(__xludf.DUMMYFUNCTION("""COMPUTED_VALUE"""),"CURACAVI")</f>
        <v>CURACAVI</v>
      </c>
    </row>
    <row r="10626" spans="1:4">
      <c r="A10626" s="7">
        <f ca="1">IFERROR(__xludf.DUMMYFUNCTION("""COMPUTED_VALUE"""),44894)</f>
        <v>44894</v>
      </c>
      <c r="B10626" s="6" t="str">
        <f ca="1">IFERROR(__xludf.DUMMYFUNCTION("""COMPUTED_VALUE"""),"-33.39566-71.12754")</f>
        <v>-33.39566-71.12754</v>
      </c>
      <c r="C10626" s="6" t="str">
        <f ca="1">IFERROR(__xludf.DUMMYFUNCTION("""COMPUTED_VALUE"""),"MANUEL LARRAIN 713")</f>
        <v>MANUEL LARRAIN 713</v>
      </c>
      <c r="D10626" s="6" t="str">
        <f ca="1">IFERROR(__xludf.DUMMYFUNCTION("""COMPUTED_VALUE"""),"CURACAVI")</f>
        <v>CURACAVI</v>
      </c>
    </row>
    <row r="10627" spans="1:4">
      <c r="A10627" s="7">
        <f ca="1">IFERROR(__xludf.DUMMYFUNCTION("""COMPUTED_VALUE"""),44894)</f>
        <v>44894</v>
      </c>
      <c r="B10627" s="6" t="str">
        <f ca="1">IFERROR(__xludf.DUMMYFUNCTION("""COMPUTED_VALUE"""),"-33.39708-71.12593")</f>
        <v>-33.39708-71.12593</v>
      </c>
      <c r="C10627" s="6" t="str">
        <f ca="1">IFERROR(__xludf.DUMMYFUNCTION("""COMPUTED_VALUE"""),"ALBERTO FELLEMBERG 2053")</f>
        <v>ALBERTO FELLEMBERG 2053</v>
      </c>
      <c r="D10627" s="6" t="str">
        <f ca="1">IFERROR(__xludf.DUMMYFUNCTION("""COMPUTED_VALUE"""),"CURACAVI")</f>
        <v>CURACAVI</v>
      </c>
    </row>
    <row r="10628" spans="1:4">
      <c r="A10628" s="7">
        <f ca="1">IFERROR(__xludf.DUMMYFUNCTION("""COMPUTED_VALUE"""),44894)</f>
        <v>44894</v>
      </c>
      <c r="B10628" s="6" t="str">
        <f ca="1">IFERROR(__xludf.DUMMYFUNCTION("""COMPUTED_VALUE"""),"-33.39317-71.1945")</f>
        <v>-33.39317-71.1945</v>
      </c>
      <c r="C10628" s="6" t="str">
        <f ca="1">IFERROR(__xludf.DUMMYFUNCTION("""COMPUTED_VALUE"""),"NUEVO AMANECER 1200")</f>
        <v>NUEVO AMANECER 1200</v>
      </c>
      <c r="D10628" s="6" t="str">
        <f ca="1">IFERROR(__xludf.DUMMYFUNCTION("""COMPUTED_VALUE"""),"CURACAVI")</f>
        <v>CURACAVI</v>
      </c>
    </row>
    <row r="10629" spans="1:4">
      <c r="A10629" s="7">
        <f ca="1">IFERROR(__xludf.DUMMYFUNCTION("""COMPUTED_VALUE"""),44894)</f>
        <v>44894</v>
      </c>
      <c r="B10629" s="8" t="str">
        <f ca="1">IFERROR(__xludf.DUMMYFUNCTION("""COMPUTED_VALUE"""),"-33.683062,-70.533568")</f>
        <v>-33.683062,-70.533568</v>
      </c>
      <c r="C10629" s="6" t="str">
        <f ca="1">IFERROR(__xludf.DUMMYFUNCTION("""COMPUTED_VALUE"""),"ALICIA VALDES C/9")</f>
        <v>ALICIA VALDES C/9</v>
      </c>
      <c r="D10629" s="6" t="str">
        <f ca="1">IFERROR(__xludf.DUMMYFUNCTION("""COMPUTED_VALUE"""),"PIRQUE")</f>
        <v>PIRQUE</v>
      </c>
    </row>
    <row r="10630" spans="1:4">
      <c r="A10630" s="7">
        <f ca="1">IFERROR(__xludf.DUMMYFUNCTION("""COMPUTED_VALUE"""),44894)</f>
        <v>44894</v>
      </c>
      <c r="B10630" s="8" t="str">
        <f ca="1">IFERROR(__xludf.DUMMYFUNCTION("""COMPUTED_VALUE"""),"-33.718632,-70.577660")</f>
        <v>-33.718632,-70.577660</v>
      </c>
      <c r="C10630" s="6" t="str">
        <f ca="1">IFERROR(__xludf.DUMMYFUNCTION("""COMPUTED_VALUE"""),"RINCONADA 813")</f>
        <v>RINCONADA 813</v>
      </c>
      <c r="D10630" s="6" t="str">
        <f ca="1">IFERROR(__xludf.DUMMYFUNCTION("""COMPUTED_VALUE"""),"PIRQUE")</f>
        <v>PIRQUE</v>
      </c>
    </row>
    <row r="10631" spans="1:4">
      <c r="A10631" s="7">
        <f ca="1">IFERROR(__xludf.DUMMYFUNCTION("""COMPUTED_VALUE"""),44894)</f>
        <v>44894</v>
      </c>
      <c r="B10631" s="6" t="str">
        <f ca="1">IFERROR(__xludf.DUMMYFUNCTION("""COMPUTED_VALUE"""),"-33.756748,-70.913436")</f>
        <v>-33.756748,-70.913436</v>
      </c>
      <c r="C10631" s="6" t="str">
        <f ca="1">IFERROR(__xludf.DUMMYFUNCTION("""COMPUTED_VALUE"""),"ACEVEDO 684")</f>
        <v>ACEVEDO 684</v>
      </c>
      <c r="D10631" s="6" t="str">
        <f ca="1">IFERROR(__xludf.DUMMYFUNCTION("""COMPUTED_VALUE"""),"ISLA DE MAIPO")</f>
        <v>ISLA DE MAIPO</v>
      </c>
    </row>
    <row r="10632" spans="1:4">
      <c r="A10632" s="7">
        <f ca="1">IFERROR(__xludf.DUMMYFUNCTION("""COMPUTED_VALUE"""),44894)</f>
        <v>44894</v>
      </c>
      <c r="B10632" s="8" t="str">
        <f ca="1">IFERROR(__xludf.DUMMYFUNCTION("""COMPUTED_VALUE"""),"-33.2742570:-70.8510740")</f>
        <v>-33.2742570:-70.8510740</v>
      </c>
      <c r="C10632" s="6" t="str">
        <f ca="1">IFERROR(__xludf.DUMMYFUNCTION("""COMPUTED_VALUE"""),"NUEVO PORVENIR ")</f>
        <v xml:space="preserve">NUEVO PORVENIR </v>
      </c>
      <c r="D10632" s="6" t="str">
        <f ca="1">IFERROR(__xludf.DUMMYFUNCTION("""COMPUTED_VALUE"""),"LAMPA")</f>
        <v>LAMPA</v>
      </c>
    </row>
    <row r="10633" spans="1:4">
      <c r="A10633" s="7">
        <f ca="1">IFERROR(__xludf.DUMMYFUNCTION("""COMPUTED_VALUE"""),44894)</f>
        <v>44894</v>
      </c>
      <c r="B10633" s="8" t="str">
        <f ca="1">IFERROR(__xludf.DUMMYFUNCTION("""COMPUTED_VALUE"""),"-33.2272420:-70.7892470")</f>
        <v>-33.2272420:-70.7892470</v>
      </c>
      <c r="C10633" s="6" t="str">
        <f ca="1">IFERROR(__xludf.DUMMYFUNCTION("""COMPUTED_VALUE"""),"STA. CAROLINA P 9 ")</f>
        <v xml:space="preserve">STA. CAROLINA P 9 </v>
      </c>
      <c r="D10633" s="6" t="str">
        <f ca="1">IFERROR(__xludf.DUMMYFUNCTION("""COMPUTED_VALUE"""),"LAMPA")</f>
        <v>LAMPA</v>
      </c>
    </row>
    <row r="10634" spans="1:4">
      <c r="A10634" s="7">
        <f ca="1">IFERROR(__xludf.DUMMYFUNCTION("""COMPUTED_VALUE"""),44894)</f>
        <v>44894</v>
      </c>
      <c r="B10634" s="8" t="str">
        <f ca="1">IFERROR(__xludf.DUMMYFUNCTION("""COMPUTED_VALUE"""),"-33.2272420:-70.7892470")</f>
        <v>-33.2272420:-70.7892470</v>
      </c>
      <c r="C10634" s="6" t="str">
        <f ca="1">IFERROR(__xludf.DUMMYFUNCTION("""COMPUTED_VALUE"""),"STA. CAROLINA P 9 ")</f>
        <v xml:space="preserve">STA. CAROLINA P 9 </v>
      </c>
      <c r="D10634" s="6" t="str">
        <f ca="1">IFERROR(__xludf.DUMMYFUNCTION("""COMPUTED_VALUE"""),"LAMPA")</f>
        <v>LAMPA</v>
      </c>
    </row>
    <row r="10635" spans="1:4">
      <c r="A10635" s="7">
        <f ca="1">IFERROR(__xludf.DUMMYFUNCTION("""COMPUTED_VALUE"""),44894)</f>
        <v>44894</v>
      </c>
      <c r="B10635" s="6" t="str">
        <f ca="1">IFERROR(__xludf.DUMMYFUNCTION("""COMPUTED_VALUE"""),"-33.501407,-70.996711")</f>
        <v>-33.501407,-70.996711</v>
      </c>
      <c r="C10635" s="6" t="str">
        <f ca="1">IFERROR(__xludf.DUMMYFUNCTION("""COMPUTED_VALUE"""),"SECTOR PATAGUILLA UNO S/N")</f>
        <v>SECTOR PATAGUILLA UNO S/N</v>
      </c>
      <c r="D10635" s="6" t="str">
        <f ca="1">IFERROR(__xludf.DUMMYFUNCTION("""COMPUTED_VALUE"""),"CURACAVI")</f>
        <v>CURACAVI</v>
      </c>
    </row>
    <row r="10636" spans="1:4">
      <c r="A10636" s="7">
        <f ca="1">IFERROR(__xludf.DUMMYFUNCTION("""COMPUTED_VALUE"""),44894)</f>
        <v>44894</v>
      </c>
      <c r="B10636" s="6" t="str">
        <f ca="1">IFERROR(__xludf.DUMMYFUNCTION("""COMPUTED_VALUE"""),"-33.501407,-70.996711")</f>
        <v>-33.501407,-70.996711</v>
      </c>
      <c r="C10636" s="6" t="str">
        <f ca="1">IFERROR(__xludf.DUMMYFUNCTION("""COMPUTED_VALUE"""),"PATAGUILLA UNO S/N")</f>
        <v>PATAGUILLA UNO S/N</v>
      </c>
      <c r="D10636" s="6" t="str">
        <f ca="1">IFERROR(__xludf.DUMMYFUNCTION("""COMPUTED_VALUE"""),"CURACAVI")</f>
        <v>CURACAVI</v>
      </c>
    </row>
    <row r="10637" spans="1:4">
      <c r="A10637" s="7">
        <f ca="1">IFERROR(__xludf.DUMMYFUNCTION("""COMPUTED_VALUE"""),44894)</f>
        <v>44894</v>
      </c>
      <c r="B10637" s="6" t="str">
        <f ca="1">IFERROR(__xludf.DUMMYFUNCTION("""COMPUTED_VALUE"""),"-33.501407,-70.996711")</f>
        <v>-33.501407,-70.996711</v>
      </c>
      <c r="C10637" s="6" t="str">
        <f ca="1">IFERROR(__xludf.DUMMYFUNCTION("""COMPUTED_VALUE"""),"SECTOR PATAGUILLA  UNO S/N")</f>
        <v>SECTOR PATAGUILLA  UNO S/N</v>
      </c>
      <c r="D10637" s="6" t="str">
        <f ca="1">IFERROR(__xludf.DUMMYFUNCTION("""COMPUTED_VALUE"""),"CURACAVI")</f>
        <v>CURACAVI</v>
      </c>
    </row>
    <row r="10638" spans="1:4">
      <c r="A10638" s="7">
        <f ca="1">IFERROR(__xludf.DUMMYFUNCTION("""COMPUTED_VALUE"""),44895)</f>
        <v>44895</v>
      </c>
      <c r="B10638" s="8" t="str">
        <f ca="1">IFERROR(__xludf.DUMMYFUNCTION("""COMPUTED_VALUE"""),"-33.249654,-70.705425")</f>
        <v>-33.249654,-70.705425</v>
      </c>
      <c r="C10638" s="6" t="str">
        <f ca="1">IFERROR(__xludf.DUMMYFUNCTION("""COMPUTED_VALUE"""),"CAM. SAN JOSE PARC 19 2A")</f>
        <v>CAM. SAN JOSE PARC 19 2A</v>
      </c>
      <c r="D10638" s="6" t="str">
        <f ca="1">IFERROR(__xludf.DUMMYFUNCTION("""COMPUTED_VALUE"""),"COLINA")</f>
        <v>COLINA</v>
      </c>
    </row>
    <row r="10639" spans="1:4">
      <c r="A10639" s="7">
        <f ca="1">IFERROR(__xludf.DUMMYFUNCTION("""COMPUTED_VALUE"""),44895)</f>
        <v>44895</v>
      </c>
      <c r="B10639" s="6" t="str">
        <f ca="1">IFERROR(__xludf.DUMMYFUNCTION("""COMPUTED_VALUE"""),"-34.025067,-71.110415")</f>
        <v>-34.025067,-71.110415</v>
      </c>
      <c r="C10639" s="6" t="str">
        <f ca="1">IFERROR(__xludf.DUMMYFUNCTION("""COMPUTED_VALUE"""),"SECTOR CAMINO ALHUE S/N")</f>
        <v>SECTOR CAMINO ALHUE S/N</v>
      </c>
      <c r="D10639" s="6" t="str">
        <f ca="1">IFERROR(__xludf.DUMMYFUNCTION("""COMPUTED_VALUE"""),"ALHUÉ")</f>
        <v>ALHUÉ</v>
      </c>
    </row>
    <row r="10640" spans="1:4">
      <c r="A10640" s="7">
        <f ca="1">IFERROR(__xludf.DUMMYFUNCTION("""COMPUTED_VALUE"""),44895)</f>
        <v>44895</v>
      </c>
      <c r="B10640" s="6" t="str">
        <f ca="1">IFERROR(__xludf.DUMMYFUNCTION("""COMPUTED_VALUE"""),"-34.024898,-71.110650")</f>
        <v>-34.024898,-71.110650</v>
      </c>
      <c r="C10640" s="6" t="str">
        <f ca="1">IFERROR(__xludf.DUMMYFUNCTION("""COMPUTED_VALUE"""),"SECTOR CAMINO ALHUE S/N")</f>
        <v>SECTOR CAMINO ALHUE S/N</v>
      </c>
      <c r="D10640" s="6" t="str">
        <f ca="1">IFERROR(__xludf.DUMMYFUNCTION("""COMPUTED_VALUE"""),"ALHUÉ")</f>
        <v>ALHUÉ</v>
      </c>
    </row>
    <row r="10641" spans="1:4">
      <c r="A10641" s="7">
        <f ca="1">IFERROR(__xludf.DUMMYFUNCTION("""COMPUTED_VALUE"""),44895)</f>
        <v>44895</v>
      </c>
      <c r="B10641" s="6" t="str">
        <f ca="1">IFERROR(__xludf.DUMMYFUNCTION("""COMPUTED_VALUE"""),"-34.037800,-71.102821")</f>
        <v>-34.037800,-71.102821</v>
      </c>
      <c r="C10641" s="6" t="str">
        <f ca="1">IFERROR(__xludf.DUMMYFUNCTION("""COMPUTED_VALUE"""),"CANCHA DE CARRERAS S/N")</f>
        <v>CANCHA DE CARRERAS S/N</v>
      </c>
      <c r="D10641" s="6" t="str">
        <f ca="1">IFERROR(__xludf.DUMMYFUNCTION("""COMPUTED_VALUE"""),"ALHUÉ")</f>
        <v>ALHUÉ</v>
      </c>
    </row>
    <row r="10642" spans="1:4">
      <c r="A10642" s="7">
        <f ca="1">IFERROR(__xludf.DUMMYFUNCTION("""COMPUTED_VALUE"""),44896)</f>
        <v>44896</v>
      </c>
      <c r="B10642" s="8" t="str">
        <f ca="1">IFERROR(__xludf.DUMMYFUNCTION("""COMPUTED_VALUE"""),"-33.7299733, -71.0171246")</f>
        <v>-33.7299733, -71.0171246</v>
      </c>
      <c r="C10642" s="6" t="str">
        <f ca="1">IFERROR(__xludf.DUMMYFUNCTION("""COMPUTED_VALUE"""),"LAS ENCINAS ")</f>
        <v xml:space="preserve">LAS ENCINAS </v>
      </c>
      <c r="D10642" s="6" t="str">
        <f ca="1">IFERROR(__xludf.DUMMYFUNCTION("""COMPUTED_VALUE"""),"ISLA DE MAIPO")</f>
        <v>ISLA DE MAIPO</v>
      </c>
    </row>
    <row r="10643" spans="1:4">
      <c r="A10643" s="7">
        <f ca="1">IFERROR(__xludf.DUMMYFUNCTION("""COMPUTED_VALUE"""),44896)</f>
        <v>44896</v>
      </c>
      <c r="B10643" s="6" t="str">
        <f ca="1">IFERROR(__xludf.DUMMYFUNCTION("""COMPUTED_VALUE"""),"-33.733219,-70.763058")</f>
        <v>-33.733219,-70.763058</v>
      </c>
      <c r="C10643" s="6" t="str">
        <f ca="1">IFERROR(__xludf.DUMMYFUNCTION("""COMPUTED_VALUE"""),"ESTEBAN HUERTA 2132")</f>
        <v>ESTEBAN HUERTA 2132</v>
      </c>
      <c r="D10643" s="6" t="str">
        <f ca="1">IFERROR(__xludf.DUMMYFUNCTION("""COMPUTED_VALUE"""),"BUIN")</f>
        <v>BUIN</v>
      </c>
    </row>
    <row r="10644" spans="1:4">
      <c r="A10644" s="7">
        <f ca="1">IFERROR(__xludf.DUMMYFUNCTION("""COMPUTED_VALUE"""),44896)</f>
        <v>44896</v>
      </c>
      <c r="B10644" s="8" t="str">
        <f ca="1">IFERROR(__xludf.DUMMYFUNCTION("""COMPUTED_VALUE"""),"-33.7323190:-71.0287620")</f>
        <v>-33.7323190:-71.0287620</v>
      </c>
      <c r="C10644" s="6" t="str">
        <f ca="1">IFERROR(__xludf.DUMMYFUNCTION("""COMPUTED_VALUE"""),"EUCALITUS SITIO 6")</f>
        <v>EUCALITUS SITIO 6</v>
      </c>
      <c r="D10644" s="6" t="str">
        <f ca="1">IFERROR(__xludf.DUMMYFUNCTION("""COMPUTED_VALUE"""),"ISLA DE MAIPO")</f>
        <v>ISLA DE MAIPO</v>
      </c>
    </row>
    <row r="10645" spans="1:4">
      <c r="A10645" s="7">
        <f ca="1">IFERROR(__xludf.DUMMYFUNCTION("""COMPUTED_VALUE"""),44896)</f>
        <v>44896</v>
      </c>
      <c r="B10645" s="8" t="str">
        <f ca="1">IFERROR(__xludf.DUMMYFUNCTION("""COMPUTED_VALUE"""),"-33.7811640:- 70.8827030")</f>
        <v>-33.7811640:- 70.8827030</v>
      </c>
      <c r="C10645" s="6" t="str">
        <f ca="1">IFERROR(__xludf.DUMMYFUNCTION("""COMPUTED_VALUE"""),"LOS CARDENALES 961")</f>
        <v>LOS CARDENALES 961</v>
      </c>
      <c r="D10645" s="6" t="str">
        <f ca="1">IFERROR(__xludf.DUMMYFUNCTION("""COMPUTED_VALUE"""),"ISLA DE MAIPO")</f>
        <v>ISLA DE MAIPO</v>
      </c>
    </row>
    <row r="10646" spans="1:4">
      <c r="A10646" s="7">
        <f ca="1">IFERROR(__xludf.DUMMYFUNCTION("""COMPUTED_VALUE"""),44896)</f>
        <v>44896</v>
      </c>
      <c r="B10646" s="6" t="str">
        <f ca="1">IFERROR(__xludf.DUMMYFUNCTION("""COMPUTED_VALUE"""),"-33.720805,-71.051108")</f>
        <v>-33.720805,-71.051108</v>
      </c>
      <c r="C10646" s="6" t="str">
        <f ca="1">IFERROR(__xludf.DUMMYFUNCTION("""COMPUTED_VALUE"""),"CALLE LA CARRERA S/N")</f>
        <v>CALLE LA CARRERA S/N</v>
      </c>
      <c r="D10646" s="6" t="str">
        <f ca="1">IFERROR(__xludf.DUMMYFUNCTION("""COMPUTED_VALUE"""),"ALHUÉ")</f>
        <v>ALHUÉ</v>
      </c>
    </row>
    <row r="10647" spans="1:4">
      <c r="A10647" s="7">
        <f ca="1">IFERROR(__xludf.DUMMYFUNCTION("""COMPUTED_VALUE"""),44897)</f>
        <v>44897</v>
      </c>
      <c r="B10647" s="6" t="str">
        <f ca="1">IFERROR(__xludf.DUMMYFUNCTION("""COMPUTED_VALUE"""),"-33.753664,-70.895181")</f>
        <v>-33.753664,-70.895181</v>
      </c>
      <c r="C10647" s="6" t="str">
        <f ca="1">IFERROR(__xludf.DUMMYFUNCTION("""COMPUTED_VALUE"""),"MANUEL RODRIGUEZ 120B")</f>
        <v>MANUEL RODRIGUEZ 120B</v>
      </c>
      <c r="D10647" s="6" t="str">
        <f ca="1">IFERROR(__xludf.DUMMYFUNCTION("""COMPUTED_VALUE"""),"ISLA DE MAIPO")</f>
        <v>ISLA DE MAIPO</v>
      </c>
    </row>
    <row r="10648" spans="1:4">
      <c r="A10648" s="7">
        <f ca="1">IFERROR(__xludf.DUMMYFUNCTION("""COMPUTED_VALUE"""),44897)</f>
        <v>44897</v>
      </c>
      <c r="B10648" s="6" t="str">
        <f ca="1">IFERROR(__xludf.DUMMYFUNCTION("""COMPUTED_VALUE"""),"-33.690493,-70.900744")</f>
        <v>-33.690493,-70.900744</v>
      </c>
      <c r="C10648" s="6" t="str">
        <f ca="1">IFERROR(__xludf.DUMMYFUNCTION("""COMPUTED_VALUE"""),"CARMAPANGUE  FUNDO CARAMPANGUE S/N")</f>
        <v>CARMAPANGUE  FUNDO CARAMPANGUE S/N</v>
      </c>
      <c r="D10648" s="6" t="str">
        <f ca="1">IFERROR(__xludf.DUMMYFUNCTION("""COMPUTED_VALUE"""),"TALAGANTE")</f>
        <v>TALAGANTE</v>
      </c>
    </row>
    <row r="10649" spans="1:4">
      <c r="A10649" s="7">
        <f ca="1">IFERROR(__xludf.DUMMYFUNCTION("""COMPUTED_VALUE"""),44897)</f>
        <v>44897</v>
      </c>
      <c r="B10649" s="6" t="str">
        <f ca="1">IFERROR(__xludf.DUMMYFUNCTION("""COMPUTED_VALUE"""),"-33.980813,-71.062119")</f>
        <v>-33.980813,-71.062119</v>
      </c>
      <c r="C10649" s="6" t="str">
        <f ca="1">IFERROR(__xludf.DUMMYFUNCTION("""COMPUTED_VALUE"""),"SECTOR BARRANCAS DE PICHI S/N")</f>
        <v>SECTOR BARRANCAS DE PICHI S/N</v>
      </c>
      <c r="D10649" s="6" t="str">
        <f ca="1">IFERROR(__xludf.DUMMYFUNCTION("""COMPUTED_VALUE"""),"ALHUÉ")</f>
        <v>ALHUÉ</v>
      </c>
    </row>
    <row r="10650" spans="1:4">
      <c r="A10650" s="7">
        <f ca="1">IFERROR(__xludf.DUMMYFUNCTION("""COMPUTED_VALUE"""),44897)</f>
        <v>44897</v>
      </c>
      <c r="B10650" s="6" t="str">
        <f ca="1">IFERROR(__xludf.DUMMYFUNCTION("""COMPUTED_VALUE"""),"-34.036741,-71.105858")</f>
        <v>-34.036741,-71.105858</v>
      </c>
      <c r="C10650" s="6" t="str">
        <f ca="1">IFERROR(__xludf.DUMMYFUNCTION("""COMPUTED_VALUE"""),"SECTOR BARRANCAS DE PICHI S/N")</f>
        <v>SECTOR BARRANCAS DE PICHI S/N</v>
      </c>
      <c r="D10650" s="6" t="str">
        <f ca="1">IFERROR(__xludf.DUMMYFUNCTION("""COMPUTED_VALUE"""),"ALHUÉ")</f>
        <v>ALHUÉ</v>
      </c>
    </row>
    <row r="10651" spans="1:4">
      <c r="A10651" s="7">
        <f ca="1">IFERROR(__xludf.DUMMYFUNCTION("""COMPUTED_VALUE"""),44897)</f>
        <v>44897</v>
      </c>
      <c r="B10651" s="6" t="str">
        <f ca="1">IFERROR(__xludf.DUMMYFUNCTION("""COMPUTED_VALUE"""),"-34.037039,-71.104982")</f>
        <v>-34.037039,-71.104982</v>
      </c>
      <c r="C10651" s="6" t="str">
        <f ca="1">IFERROR(__xludf.DUMMYFUNCTION("""COMPUTED_VALUE"""),"EL SAUCE S/N")</f>
        <v>EL SAUCE S/N</v>
      </c>
      <c r="D10651" s="6" t="str">
        <f ca="1">IFERROR(__xludf.DUMMYFUNCTION("""COMPUTED_VALUE"""),"ALHUÉ")</f>
        <v>ALHUÉ</v>
      </c>
    </row>
    <row r="10652" spans="1:4">
      <c r="A10652" s="7">
        <f ca="1">IFERROR(__xludf.DUMMYFUNCTION("""COMPUTED_VALUE"""),44898)</f>
        <v>44898</v>
      </c>
      <c r="B10652" s="6" t="str">
        <f ca="1">IFERROR(__xludf.DUMMYFUNCTION("""COMPUTED_VALUE"""),"-33.708833.-70.848158")</f>
        <v>-33.708833.-70.848158</v>
      </c>
      <c r="C10652" s="6" t="str">
        <f ca="1">IFERROR(__xludf.DUMMYFUNCTION("""COMPUTED_VALUE"""),"LOS ACACIOS 681 ")</f>
        <v xml:space="preserve">LOS ACACIOS 681 </v>
      </c>
      <c r="D10652" s="6" t="str">
        <f ca="1">IFERROR(__xludf.DUMMYFUNCTION("""COMPUTED_VALUE"""),"TALAGANTE")</f>
        <v>TALAGANTE</v>
      </c>
    </row>
    <row r="10653" spans="1:4">
      <c r="A10653" s="7">
        <f ca="1">IFERROR(__xludf.DUMMYFUNCTION("""COMPUTED_VALUE"""),44898)</f>
        <v>44898</v>
      </c>
      <c r="B10653" s="6" t="str">
        <f ca="1">IFERROR(__xludf.DUMMYFUNCTION("""COMPUTED_VALUE"""),"-33.5788690,-71.0177310")</f>
        <v>-33.5788690,-71.0177310</v>
      </c>
      <c r="C10653" s="6" t="str">
        <f ca="1">IFERROR(__xludf.DUMMYFUNCTION("""COMPUTED_VALUE"""),"SANTA TERESA S/42")</f>
        <v>SANTA TERESA S/42</v>
      </c>
      <c r="D10653" s="6" t="str">
        <f ca="1">IFERROR(__xludf.DUMMYFUNCTION("""COMPUTED_VALUE"""),"MELIPILLA")</f>
        <v>MELIPILLA</v>
      </c>
    </row>
    <row r="10654" spans="1:4">
      <c r="A10654" s="7">
        <f ca="1">IFERROR(__xludf.DUMMYFUNCTION("""COMPUTED_VALUE"""),44898)</f>
        <v>44898</v>
      </c>
      <c r="B10654" s="6" t="str">
        <f ca="1">IFERROR(__xludf.DUMMYFUNCTION("""COMPUTED_VALUE"""),"-33.5788690,-71.0177310")</f>
        <v>-33.5788690,-71.0177310</v>
      </c>
      <c r="C10654" s="6" t="str">
        <f ca="1">IFERROR(__xludf.DUMMYFUNCTION("""COMPUTED_VALUE"""),"SANTA TERESA S/42")</f>
        <v>SANTA TERESA S/42</v>
      </c>
      <c r="D10654" s="6" t="str">
        <f ca="1">IFERROR(__xludf.DUMMYFUNCTION("""COMPUTED_VALUE"""),"MELIPILLA")</f>
        <v>MELIPILLA</v>
      </c>
    </row>
    <row r="10655" spans="1:4">
      <c r="A10655" s="7">
        <f ca="1">IFERROR(__xludf.DUMMYFUNCTION("""COMPUTED_VALUE"""),44900)</f>
        <v>44900</v>
      </c>
      <c r="B10655" s="6" t="str">
        <f ca="1">IFERROR(__xludf.DUMMYFUNCTION("""COMPUTED_VALUE"""),"-33.241161,-70.815178")</f>
        <v>-33.241161,-70.815178</v>
      </c>
      <c r="C10655" s="6" t="str">
        <f ca="1">IFERROR(__xludf.DUMMYFUNCTION("""COMPUTED_VALUE"""),"AVDA UNO SUR 78")</f>
        <v>AVDA UNO SUR 78</v>
      </c>
      <c r="D10655" s="6" t="str">
        <f ca="1">IFERROR(__xludf.DUMMYFUNCTION("""COMPUTED_VALUE"""),"LAMPA")</f>
        <v>LAMPA</v>
      </c>
    </row>
    <row r="10656" spans="1:4">
      <c r="A10656" s="7">
        <f ca="1">IFERROR(__xludf.DUMMYFUNCTION("""COMPUTED_VALUE"""),44900)</f>
        <v>44900</v>
      </c>
      <c r="B10656" s="6" t="str">
        <f ca="1">IFERROR(__xludf.DUMMYFUNCTION("""COMPUTED_VALUE"""),"-33.241161,-70.815178")</f>
        <v>-33.241161,-70.815178</v>
      </c>
      <c r="C10656" s="6" t="str">
        <f ca="1">IFERROR(__xludf.DUMMYFUNCTION("""COMPUTED_VALUE"""),"INGLATERRA S/N HIJ 23 PAR 11")</f>
        <v>INGLATERRA S/N HIJ 23 PAR 11</v>
      </c>
      <c r="D10656" s="6" t="str">
        <f ca="1">IFERROR(__xludf.DUMMYFUNCTION("""COMPUTED_VALUE"""),"LAMPA")</f>
        <v>LAMPA</v>
      </c>
    </row>
    <row r="10657" spans="1:4">
      <c r="A10657" s="7">
        <f ca="1">IFERROR(__xludf.DUMMYFUNCTION("""COMPUTED_VALUE"""),44900)</f>
        <v>44900</v>
      </c>
      <c r="B10657" s="6" t="str">
        <f ca="1">IFERROR(__xludf.DUMMYFUNCTION("""COMPUTED_VALUE"""),"-33.761508,-70.910886")</f>
        <v>-33.761508,-70.910886</v>
      </c>
      <c r="C10657" s="6" t="str">
        <f ca="1">IFERROR(__xludf.DUMMYFUNCTION("""COMPUTED_VALUE"""),"ALVAREZ 441")</f>
        <v>ALVAREZ 441</v>
      </c>
      <c r="D10657" s="6" t="str">
        <f ca="1">IFERROR(__xludf.DUMMYFUNCTION("""COMPUTED_VALUE"""),"ISLA DE MAIPO")</f>
        <v>ISLA DE MAIPO</v>
      </c>
    </row>
    <row r="10658" spans="1:4">
      <c r="A10658" s="7">
        <f ca="1">IFERROR(__xludf.DUMMYFUNCTION("""COMPUTED_VALUE"""),44900)</f>
        <v>44900</v>
      </c>
      <c r="B10658" s="8" t="str">
        <f ca="1">IFERROR(__xludf.DUMMYFUNCTION("""COMPUTED_VALUE"""),"-33.7419310, -70.6818080")</f>
        <v>-33.7419310, -70.6818080</v>
      </c>
      <c r="C10658" s="6" t="str">
        <f ca="1">IFERROR(__xludf.DUMMYFUNCTION("""COMPUTED_VALUE"""),"SAN LUIS 682")</f>
        <v>SAN LUIS 682</v>
      </c>
      <c r="D10658" s="6" t="str">
        <f ca="1">IFERROR(__xludf.DUMMYFUNCTION("""COMPUTED_VALUE"""),"BUIN")</f>
        <v>BUIN</v>
      </c>
    </row>
    <row r="10659" spans="1:4">
      <c r="A10659" s="7">
        <f ca="1">IFERROR(__xludf.DUMMYFUNCTION("""COMPUTED_VALUE"""),44900)</f>
        <v>44900</v>
      </c>
      <c r="B10659" s="8" t="str">
        <f ca="1">IFERROR(__xludf.DUMMYFUNCTION("""COMPUTED_VALUE"""),"-33.8747110:-70.7124930")</f>
        <v>-33.8747110:-70.7124930</v>
      </c>
      <c r="C10659" s="6" t="str">
        <f ca="1">IFERROR(__xludf.DUMMYFUNCTION("""COMPUTED_VALUE"""),"SITIO 93  COLONIA KENNEDY ")</f>
        <v xml:space="preserve">SITIO 93  COLONIA KENNEDY </v>
      </c>
      <c r="D10659" s="6" t="str">
        <f ca="1">IFERROR(__xludf.DUMMYFUNCTION("""COMPUTED_VALUE"""),"PAINE")</f>
        <v>PAINE</v>
      </c>
    </row>
    <row r="10660" spans="1:4">
      <c r="A10660" s="7">
        <f ca="1">IFERROR(__xludf.DUMMYFUNCTION("""COMPUTED_VALUE"""),44900)</f>
        <v>44900</v>
      </c>
      <c r="B10660" s="8" t="str">
        <f ca="1">IFERROR(__xludf.DUMMYFUNCTION("""COMPUTED_VALUE"""),"-33.875000:-70.7424690")</f>
        <v>-33.875000:-70.7424690</v>
      </c>
      <c r="C10660" s="6" t="str">
        <f ca="1">IFERROR(__xludf.DUMMYFUNCTION("""COMPUTED_VALUE"""),"DIEGO PORTALES SUR SITIO 29")</f>
        <v>DIEGO PORTALES SUR SITIO 29</v>
      </c>
      <c r="D10660" s="6" t="str">
        <f ca="1">IFERROR(__xludf.DUMMYFUNCTION("""COMPUTED_VALUE"""),"PAINE")</f>
        <v>PAINE</v>
      </c>
    </row>
    <row r="10661" spans="1:4">
      <c r="A10661" s="7">
        <f ca="1">IFERROR(__xludf.DUMMYFUNCTION("""COMPUTED_VALUE"""),44901)</f>
        <v>44901</v>
      </c>
      <c r="B10661" s="6" t="str">
        <f ca="1">IFERROR(__xludf.DUMMYFUNCTION("""COMPUTED_VALUE"""),"-33.738999,-70.897516")</f>
        <v>-33.738999,-70.897516</v>
      </c>
      <c r="C10661" s="6" t="str">
        <f ca="1">IFERROR(__xludf.DUMMYFUNCTION("""COMPUTED_VALUE"""),"LO GUERRA INT 444")</f>
        <v>LO GUERRA INT 444</v>
      </c>
      <c r="D10661" s="6" t="str">
        <f ca="1">IFERROR(__xludf.DUMMYFUNCTION("""COMPUTED_VALUE"""),"ISLA DE MAIPO")</f>
        <v>ISLA DE MAIPO</v>
      </c>
    </row>
    <row r="10662" spans="1:4">
      <c r="A10662" s="7">
        <f ca="1">IFERROR(__xludf.DUMMYFUNCTION("""COMPUTED_VALUE"""),44901)</f>
        <v>44901</v>
      </c>
      <c r="B10662" s="6" t="str">
        <f ca="1">IFERROR(__xludf.DUMMYFUNCTION("""COMPUTED_VALUE"""),"-33.738999,-70.897516")</f>
        <v>-33.738999,-70.897516</v>
      </c>
      <c r="C10662" s="6" t="str">
        <f ca="1">IFERROR(__xludf.DUMMYFUNCTION("""COMPUTED_VALUE"""),"LO GUERRA INT 444")</f>
        <v>LO GUERRA INT 444</v>
      </c>
      <c r="D10662" s="6" t="str">
        <f ca="1">IFERROR(__xludf.DUMMYFUNCTION("""COMPUTED_VALUE"""),"ISLA DE MAIPO")</f>
        <v>ISLA DE MAIPO</v>
      </c>
    </row>
    <row r="10663" spans="1:4">
      <c r="A10663" s="7">
        <f ca="1">IFERROR(__xludf.DUMMYFUNCTION("""COMPUTED_VALUE"""),44901)</f>
        <v>44901</v>
      </c>
      <c r="B10663" s="8" t="str">
        <f ca="1">IFERROR(__xludf.DUMMYFUNCTION("""COMPUTED_VALUE"""),"-33.7363520:-71.02206680")</f>
        <v>-33.7363520:-71.02206680</v>
      </c>
      <c r="C10663" s="6" t="str">
        <f ca="1">IFERROR(__xludf.DUMMYFUNCTION("""COMPUTED_VALUE"""),"LOS ACACIOS 38 ")</f>
        <v xml:space="preserve">LOS ACACIOS 38 </v>
      </c>
      <c r="D10663" s="6" t="str">
        <f ca="1">IFERROR(__xludf.DUMMYFUNCTION("""COMPUTED_VALUE"""),"ISLA DE MAIPO")</f>
        <v>ISLA DE MAIPO</v>
      </c>
    </row>
    <row r="10664" spans="1:4">
      <c r="A10664" s="7">
        <f ca="1">IFERROR(__xludf.DUMMYFUNCTION("""COMPUTED_VALUE"""),44901)</f>
        <v>44901</v>
      </c>
      <c r="B10664" s="8" t="str">
        <f ca="1">IFERROR(__xludf.DUMMYFUNCTION("""COMPUTED_VALUE"""),"-33.7528170:-70.91026000")</f>
        <v>-33.7528170:-70.91026000</v>
      </c>
      <c r="C10664" s="6" t="str">
        <f ca="1">IFERROR(__xludf.DUMMYFUNCTION("""COMPUTED_VALUE"""),"IZAGA 1391")</f>
        <v>IZAGA 1391</v>
      </c>
      <c r="D10664" s="6" t="str">
        <f ca="1">IFERROR(__xludf.DUMMYFUNCTION("""COMPUTED_VALUE"""),"ISLA DE MAIPO")</f>
        <v>ISLA DE MAIPO</v>
      </c>
    </row>
    <row r="10665" spans="1:4">
      <c r="A10665" s="7">
        <f ca="1">IFERROR(__xludf.DUMMYFUNCTION("""COMPUTED_VALUE"""),44901)</f>
        <v>44901</v>
      </c>
      <c r="B10665" s="8" t="str">
        <f ca="1">IFERROR(__xludf.DUMMYFUNCTION("""COMPUTED_VALUE"""),"-33.795372:-70.8801780")</f>
        <v>-33.795372:-70.8801780</v>
      </c>
      <c r="C10665" s="6" t="str">
        <f ca="1">IFERROR(__xludf.DUMMYFUNCTION("""COMPUTED_VALUE"""),"CAMINO VECINAL 4548")</f>
        <v>CAMINO VECINAL 4548</v>
      </c>
      <c r="D10665" s="6" t="str">
        <f ca="1">IFERROR(__xludf.DUMMYFUNCTION("""COMPUTED_VALUE"""),"ISLA DE MAIPO")</f>
        <v>ISLA DE MAIPO</v>
      </c>
    </row>
    <row r="10666" spans="1:4">
      <c r="A10666" s="7">
        <f ca="1">IFERROR(__xludf.DUMMYFUNCTION("""COMPUTED_VALUE"""),44901)</f>
        <v>44901</v>
      </c>
      <c r="B10666" s="6" t="str">
        <f ca="1">IFERROR(__xludf.DUMMYFUNCTION("""COMPUTED_VALUE"""),"-33.095767,-70.929992")</f>
        <v>-33.095767,-70.929992</v>
      </c>
      <c r="C10666" s="6" t="str">
        <f ca="1">IFERROR(__xludf.DUMMYFUNCTION("""COMPUTED_VALUE"""),"ARTURO PRAT 0681")</f>
        <v>ARTURO PRAT 0681</v>
      </c>
      <c r="D10666" s="6" t="str">
        <f ca="1">IFERROR(__xludf.DUMMYFUNCTION("""COMPUTED_VALUE"""),"TIL TIL")</f>
        <v>TIL TIL</v>
      </c>
    </row>
    <row r="10667" spans="1:4">
      <c r="A10667" s="7">
        <f ca="1">IFERROR(__xludf.DUMMYFUNCTION("""COMPUTED_VALUE"""),44901)</f>
        <v>44901</v>
      </c>
      <c r="B10667" s="6" t="str">
        <f ca="1">IFERROR(__xludf.DUMMYFUNCTION("""COMPUTED_VALUE"""),"-33.271430,-70.882297")</f>
        <v>-33.271430,-70.882297</v>
      </c>
      <c r="C10667" s="6" t="str">
        <f ca="1">IFERROR(__xludf.DUMMYFUNCTION("""COMPUTED_VALUE"""),"SERVIDUMBRE L2 P2")</f>
        <v>SERVIDUMBRE L2 P2</v>
      </c>
      <c r="D10667" s="6" t="str">
        <f ca="1">IFERROR(__xludf.DUMMYFUNCTION("""COMPUTED_VALUE"""),"LAMPA")</f>
        <v>LAMPA</v>
      </c>
    </row>
    <row r="10668" spans="1:4">
      <c r="A10668" s="7">
        <f ca="1">IFERROR(__xludf.DUMMYFUNCTION("""COMPUTED_VALUE"""),44901)</f>
        <v>44901</v>
      </c>
      <c r="B10668" s="6" t="str">
        <f ca="1">IFERROR(__xludf.DUMMYFUNCTION("""COMPUTED_VALUE"""),"-33.232391,-70.840594")</f>
        <v>-33.232391,-70.840594</v>
      </c>
      <c r="C10668" s="6" t="str">
        <f ca="1">IFERROR(__xludf.DUMMYFUNCTION("""COMPUTED_VALUE"""),"CAMINO INT. S/N LOTE2")</f>
        <v>CAMINO INT. S/N LOTE2</v>
      </c>
      <c r="D10668" s="6" t="str">
        <f ca="1">IFERROR(__xludf.DUMMYFUNCTION("""COMPUTED_VALUE"""),"LAMPA")</f>
        <v>LAMPA</v>
      </c>
    </row>
    <row r="10669" spans="1:4">
      <c r="A10669" s="7">
        <f ca="1">IFERROR(__xludf.DUMMYFUNCTION("""COMPUTED_VALUE"""),44901)</f>
        <v>44901</v>
      </c>
      <c r="B10669" s="6" t="str">
        <f ca="1">IFERROR(__xludf.DUMMYFUNCTION("""COMPUTED_VALUE"""),"-33.820382,-70.750934")</f>
        <v>-33.820382,-70.750934</v>
      </c>
      <c r="C10669" s="6" t="str">
        <f ca="1">IFERROR(__xludf.DUMMYFUNCTION("""COMPUTED_VALUE"""),"EL MAITEN 39")</f>
        <v>EL MAITEN 39</v>
      </c>
      <c r="D10669" s="6" t="str">
        <f ca="1">IFERROR(__xludf.DUMMYFUNCTION("""COMPUTED_VALUE"""),"PAINE")</f>
        <v>PAINE</v>
      </c>
    </row>
    <row r="10670" spans="1:4">
      <c r="A10670" s="7">
        <f ca="1">IFERROR(__xludf.DUMMYFUNCTION("""COMPUTED_VALUE"""),44901)</f>
        <v>44901</v>
      </c>
      <c r="B10670" s="6" t="str">
        <f ca="1">IFERROR(__xludf.DUMMYFUNCTION("""COMPUTED_VALUE"""),"-33.820367,-70.734828")</f>
        <v>-33.820367,-70.734828</v>
      </c>
      <c r="C10670" s="6" t="str">
        <f ca="1">IFERROR(__xludf.DUMMYFUNCTION("""COMPUTED_VALUE"""),"CALLE COPIHUE 1508")</f>
        <v>CALLE COPIHUE 1508</v>
      </c>
      <c r="D10670" s="6" t="str">
        <f ca="1">IFERROR(__xludf.DUMMYFUNCTION("""COMPUTED_VALUE"""),"PAINE")</f>
        <v>PAINE</v>
      </c>
    </row>
    <row r="10671" spans="1:4">
      <c r="A10671" s="7">
        <f ca="1">IFERROR(__xludf.DUMMYFUNCTION("""COMPUTED_VALUE"""),44901)</f>
        <v>44901</v>
      </c>
      <c r="B10671" s="6" t="str">
        <f ca="1">IFERROR(__xludf.DUMMYFUNCTION("""COMPUTED_VALUE"""),"-33.811600,-70.729369")</f>
        <v>-33.811600,-70.729369</v>
      </c>
      <c r="C10671" s="6" t="str">
        <f ca="1">IFERROR(__xludf.DUMMYFUNCTION("""COMPUTED_VALUE"""),"YAIMA 693")</f>
        <v>YAIMA 693</v>
      </c>
      <c r="D10671" s="6" t="str">
        <f ca="1">IFERROR(__xludf.DUMMYFUNCTION("""COMPUTED_VALUE"""),"PAINE")</f>
        <v>PAINE</v>
      </c>
    </row>
    <row r="10672" spans="1:4">
      <c r="A10672" s="7">
        <f ca="1">IFERROR(__xludf.DUMMYFUNCTION("""COMPUTED_VALUE"""),44902)</f>
        <v>44902</v>
      </c>
      <c r="B10672" s="8" t="str">
        <f ca="1">IFERROR(__xludf.DUMMYFUNCTION("""COMPUTED_VALUE"""),"-33.8873217, -70.6459383")</f>
        <v>-33.8873217, -70.6459383</v>
      </c>
      <c r="C10672" s="6" t="str">
        <f ca="1">IFERROR(__xludf.DUMMYFUNCTION("""COMPUTED_VALUE"""),"CHADA LA TURBINA S/N")</f>
        <v>CHADA LA TURBINA S/N</v>
      </c>
      <c r="D10672" s="6" t="str">
        <f ca="1">IFERROR(__xludf.DUMMYFUNCTION("""COMPUTED_VALUE"""),"PAINE")</f>
        <v>PAINE</v>
      </c>
    </row>
    <row r="10673" spans="1:4">
      <c r="A10673" s="7">
        <f ca="1">IFERROR(__xludf.DUMMYFUNCTION("""COMPUTED_VALUE"""),44902)</f>
        <v>44902</v>
      </c>
      <c r="B10673" s="8" t="str">
        <f ca="1">IFERROR(__xludf.DUMMYFUNCTION("""COMPUTED_VALUE"""),"-33.5641161, -70.7110995")</f>
        <v>-33.5641161, -70.7110995</v>
      </c>
      <c r="C10673" s="6" t="str">
        <f ca="1">IFERROR(__xludf.DUMMYFUNCTION("""COMPUTED_VALUE"""),"JUAN ANTONIO RIO S/N")</f>
        <v>JUAN ANTONIO RIO S/N</v>
      </c>
      <c r="D10673" s="6" t="str">
        <f ca="1">IFERROR(__xludf.DUMMYFUNCTION("""COMPUTED_VALUE"""),"PAINE")</f>
        <v>PAINE</v>
      </c>
    </row>
    <row r="10674" spans="1:4">
      <c r="A10674" s="7">
        <f ca="1">IFERROR(__xludf.DUMMYFUNCTION("""COMPUTED_VALUE"""),44902)</f>
        <v>44902</v>
      </c>
      <c r="B10674" s="6" t="str">
        <f ca="1">IFERROR(__xludf.DUMMYFUNCTION("""COMPUTED_VALUE"""),"-34.039164,-70.226923")</f>
        <v>-34.039164,-70.226923</v>
      </c>
      <c r="C10674" s="6" t="str">
        <f ca="1">IFERROR(__xludf.DUMMYFUNCTION("""COMPUTED_VALUE"""),"CA. LA LINEA PP.140804")</f>
        <v>CA. LA LINEA PP.140804</v>
      </c>
      <c r="D10674" s="6" t="str">
        <f ca="1">IFERROR(__xludf.DUMMYFUNCTION("""COMPUTED_VALUE"""),"ALHUÉ")</f>
        <v>ALHUÉ</v>
      </c>
    </row>
    <row r="10675" spans="1:4">
      <c r="A10675" s="7">
        <f ca="1">IFERROR(__xludf.DUMMYFUNCTION("""COMPUTED_VALUE"""),44902)</f>
        <v>44902</v>
      </c>
      <c r="B10675" s="6" t="str">
        <f ca="1">IFERROR(__xludf.DUMMYFUNCTION("""COMPUTED_VALUE"""),"-34.032998,-71.016321")</f>
        <v>-34.032998,-71.016321</v>
      </c>
      <c r="C10675" s="6" t="str">
        <f ca="1">IFERROR(__xludf.DUMMYFUNCTION("""COMPUTED_VALUE"""),"EL ASIENTO 3")</f>
        <v>EL ASIENTO 3</v>
      </c>
      <c r="D10675" s="6" t="str">
        <f ca="1">IFERROR(__xludf.DUMMYFUNCTION("""COMPUTED_VALUE"""),"ALHUÉ")</f>
        <v>ALHUÉ</v>
      </c>
    </row>
    <row r="10676" spans="1:4">
      <c r="A10676" s="7">
        <f ca="1">IFERROR(__xludf.DUMMYFUNCTION("""COMPUTED_VALUE"""),44902)</f>
        <v>44902</v>
      </c>
      <c r="B10676" s="6" t="str">
        <f ca="1">IFERROR(__xludf.DUMMYFUNCTION("""COMPUTED_VALUE"""),"-34.032897,-71.016199")</f>
        <v>-34.032897,-71.016199</v>
      </c>
      <c r="C10676" s="6" t="str">
        <f ca="1">IFERROR(__xludf.DUMMYFUNCTION("""COMPUTED_VALUE"""),"EL ASIENTO 3")</f>
        <v>EL ASIENTO 3</v>
      </c>
      <c r="D10676" s="6" t="str">
        <f ca="1">IFERROR(__xludf.DUMMYFUNCTION("""COMPUTED_VALUE"""),"ALHUÉ")</f>
        <v>ALHUÉ</v>
      </c>
    </row>
    <row r="10677" spans="1:4">
      <c r="A10677" s="7">
        <f ca="1">IFERROR(__xludf.DUMMYFUNCTION("""COMPUTED_VALUE"""),44902)</f>
        <v>44902</v>
      </c>
      <c r="B10677" s="6" t="str">
        <f ca="1">IFERROR(__xludf.DUMMYFUNCTION("""COMPUTED_VALUE"""),"-34.037370,-71.105237")</f>
        <v>-34.037370,-71.105237</v>
      </c>
      <c r="C10677" s="6" t="str">
        <f ca="1">IFERROR(__xludf.DUMMYFUNCTION("""COMPUTED_VALUE"""),"C. CARRERA S/N")</f>
        <v>C. CARRERA S/N</v>
      </c>
      <c r="D10677" s="6" t="str">
        <f ca="1">IFERROR(__xludf.DUMMYFUNCTION("""COMPUTED_VALUE"""),"ALHUÉ")</f>
        <v>ALHUÉ</v>
      </c>
    </row>
    <row r="10678" spans="1:4">
      <c r="A10678" s="7">
        <f ca="1">IFERROR(__xludf.DUMMYFUNCTION("""COMPUTED_VALUE"""),44902)</f>
        <v>44902</v>
      </c>
      <c r="B10678" s="6" t="str">
        <f ca="1">IFERROR(__xludf.DUMMYFUNCTION("""COMPUTED_VALUE"""),"-33.7470414,-71.2323938")</f>
        <v>-33.7470414,-71.2323938</v>
      </c>
      <c r="C10678" s="6" t="str">
        <f ca="1">IFERROR(__xludf.DUMMYFUNCTION("""COMPUTED_VALUE"""),"CHOCALAN LOTE 2")</f>
        <v>CHOCALAN LOTE 2</v>
      </c>
      <c r="D10678" s="6" t="str">
        <f ca="1">IFERROR(__xludf.DUMMYFUNCTION("""COMPUTED_VALUE"""),"MELIPILLA")</f>
        <v>MELIPILLA</v>
      </c>
    </row>
    <row r="10679" spans="1:4">
      <c r="A10679" s="7">
        <f ca="1">IFERROR(__xludf.DUMMYFUNCTION("""COMPUTED_VALUE"""),44902)</f>
        <v>44902</v>
      </c>
      <c r="B10679" s="6" t="str">
        <f ca="1">IFERROR(__xludf.DUMMYFUNCTION("""COMPUTED_VALUE"""),"-33.5788690,-71.0177310")</f>
        <v>-33.5788690,-71.0177310</v>
      </c>
      <c r="C10679" s="6" t="str">
        <f ca="1">IFERROR(__xludf.DUMMYFUNCTION("""COMPUTED_VALUE"""),"SANTA TERESA S/N")</f>
        <v>SANTA TERESA S/N</v>
      </c>
      <c r="D10679" s="6" t="str">
        <f ca="1">IFERROR(__xludf.DUMMYFUNCTION("""COMPUTED_VALUE"""),"MELIPILLA")</f>
        <v>MELIPILLA</v>
      </c>
    </row>
    <row r="10680" spans="1:4">
      <c r="A10680" s="7">
        <f ca="1">IFERROR(__xludf.DUMMYFUNCTION("""COMPUTED_VALUE"""),44903)</f>
        <v>44903</v>
      </c>
      <c r="B10680" s="6" t="str">
        <f ca="1">IFERROR(__xludf.DUMMYFUNCTION("""COMPUTED_VALUE"""),"-33.407630-71.149717")</f>
        <v>-33.407630-71.149717</v>
      </c>
      <c r="C10680" s="6" t="str">
        <f ca="1">IFERROR(__xludf.DUMMYFUNCTION("""COMPUTED_VALUE"""),"LA VENDIMIA 185")</f>
        <v>LA VENDIMIA 185</v>
      </c>
      <c r="D10680" s="6" t="str">
        <f ca="1">IFERROR(__xludf.DUMMYFUNCTION("""COMPUTED_VALUE"""),"CURACAVI")</f>
        <v>CURACAVI</v>
      </c>
    </row>
    <row r="10681" spans="1:4">
      <c r="A10681" s="7">
        <f ca="1">IFERROR(__xludf.DUMMYFUNCTION("""COMPUTED_VALUE"""),44903)</f>
        <v>44903</v>
      </c>
      <c r="B10681" s="6" t="str">
        <f ca="1">IFERROR(__xludf.DUMMYFUNCTION("""COMPUTED_VALUE"""),"-33.407630-71.149717")</f>
        <v>-33.407630-71.149717</v>
      </c>
      <c r="C10681" s="6" t="str">
        <f ca="1">IFERROR(__xludf.DUMMYFUNCTION("""COMPUTED_VALUE"""),"LA VENDIMIA 185")</f>
        <v>LA VENDIMIA 185</v>
      </c>
      <c r="D10681" s="6" t="str">
        <f ca="1">IFERROR(__xludf.DUMMYFUNCTION("""COMPUTED_VALUE"""),"CURACAVI")</f>
        <v>CURACAVI</v>
      </c>
    </row>
    <row r="10682" spans="1:4">
      <c r="A10682" s="7">
        <f ca="1">IFERROR(__xludf.DUMMYFUNCTION("""COMPUTED_VALUE"""),44904)</f>
        <v>44904</v>
      </c>
      <c r="B10682" s="8" t="str">
        <f ca="1">IFERROR(__xludf.DUMMYFUNCTION("""COMPUTED_VALUE"""),"-36.9297578, -71.8287817")</f>
        <v>-36.9297578, -71.8287817</v>
      </c>
      <c r="C10682" s="6" t="str">
        <f ca="1">IFERROR(__xludf.DUMMYFUNCTION("""COMPUTED_VALUE"""),"EL ROSARIO 223")</f>
        <v>EL ROSARIO 223</v>
      </c>
      <c r="D10682" s="6" t="str">
        <f ca="1">IFERROR(__xludf.DUMMYFUNCTION("""COMPUTED_VALUE"""),"ISLA DE MAIPO")</f>
        <v>ISLA DE MAIPO</v>
      </c>
    </row>
    <row r="10683" spans="1:4">
      <c r="A10683" s="7">
        <f ca="1">IFERROR(__xludf.DUMMYFUNCTION("""COMPUTED_VALUE"""),44904)</f>
        <v>44904</v>
      </c>
      <c r="B10683" s="8" t="str">
        <f ca="1">IFERROR(__xludf.DUMMYFUNCTION("""COMPUTED_VALUE"""),"-34.024210:-71.113451")</f>
        <v>-34.024210:-71.113451</v>
      </c>
      <c r="C10683" s="6" t="str">
        <f ca="1">IFERROR(__xludf.DUMMYFUNCTION("""COMPUTED_VALUE"""),"LAS HIJUELAS ALHUE ")</f>
        <v xml:space="preserve">LAS HIJUELAS ALHUE </v>
      </c>
      <c r="D10683" s="6" t="str">
        <f ca="1">IFERROR(__xludf.DUMMYFUNCTION("""COMPUTED_VALUE"""),"ALHUÉ")</f>
        <v>ALHUÉ</v>
      </c>
    </row>
    <row r="10684" spans="1:4">
      <c r="A10684" s="7">
        <f ca="1">IFERROR(__xludf.DUMMYFUNCTION("""COMPUTED_VALUE"""),44904)</f>
        <v>44904</v>
      </c>
      <c r="B10684" s="8" t="str">
        <f ca="1">IFERROR(__xludf.DUMMYFUNCTION("""COMPUTED_VALUE"""),"-34.034154:-71.106881")</f>
        <v>-34.034154:-71.106881</v>
      </c>
      <c r="C10684" s="6" t="str">
        <f ca="1">IFERROR(__xludf.DUMMYFUNCTION("""COMPUTED_VALUE"""),"CACIQUE S/N ")</f>
        <v xml:space="preserve">CACIQUE S/N </v>
      </c>
      <c r="D10684" s="6" t="str">
        <f ca="1">IFERROR(__xludf.DUMMYFUNCTION("""COMPUTED_VALUE"""),"ALHUÉ")</f>
        <v>ALHUÉ</v>
      </c>
    </row>
    <row r="10685" spans="1:4">
      <c r="A10685" s="7">
        <f ca="1">IFERROR(__xludf.DUMMYFUNCTION("""COMPUTED_VALUE"""),44904)</f>
        <v>44904</v>
      </c>
      <c r="B10685" s="8" t="str">
        <f ca="1">IFERROR(__xludf.DUMMYFUNCTION("""COMPUTED_VALUE"""),"-34.026412:-71.104377")</f>
        <v>-34.026412:-71.104377</v>
      </c>
      <c r="C10685" s="6" t="str">
        <f ca="1">IFERROR(__xludf.DUMMYFUNCTION("""COMPUTED_VALUE"""),"PASAJE INES DE SUAREZ 317")</f>
        <v>PASAJE INES DE SUAREZ 317</v>
      </c>
      <c r="D10685" s="6" t="str">
        <f ca="1">IFERROR(__xludf.DUMMYFUNCTION("""COMPUTED_VALUE"""),"ALHUÉ")</f>
        <v>ALHUÉ</v>
      </c>
    </row>
    <row r="10686" spans="1:4">
      <c r="A10686" s="7">
        <f ca="1">IFERROR(__xludf.DUMMYFUNCTION("""COMPUTED_VALUE"""),44904)</f>
        <v>44904</v>
      </c>
      <c r="B10686" s="6" t="str">
        <f ca="1">IFERROR(__xludf.DUMMYFUNCTION("""COMPUTED_VALUE"""),"-33.801170,-71.288558")</f>
        <v>-33.801170,-71.288558</v>
      </c>
      <c r="C10686" s="6" t="str">
        <f ca="1">IFERROR(__xludf.DUMMYFUNCTION("""COMPUTED_VALUE"""),"RUTA G-772-631")</f>
        <v>RUTA G-772-631</v>
      </c>
      <c r="D10686" s="6" t="str">
        <f ca="1">IFERROR(__xludf.DUMMYFUNCTION("""COMPUTED_VALUE"""),"MELIPILLA")</f>
        <v>MELIPILLA</v>
      </c>
    </row>
    <row r="10687" spans="1:4">
      <c r="A10687" s="7">
        <f ca="1">IFERROR(__xludf.DUMMYFUNCTION("""COMPUTED_VALUE"""),44907)</f>
        <v>44907</v>
      </c>
      <c r="B10687" s="8" t="str">
        <f ca="1">IFERROR(__xludf.DUMMYFUNCTION("""COMPUTED_VALUE"""),"-33.732.047 -70.785354")</f>
        <v>-33.732.047 -70.785354</v>
      </c>
      <c r="C10687" s="6" t="str">
        <f ca="1">IFERROR(__xludf.DUMMYFUNCTION("""COMPUTED_VALUE"""),"NAVIDAD 27")</f>
        <v>NAVIDAD 27</v>
      </c>
      <c r="D10687" s="6" t="str">
        <f ca="1">IFERROR(__xludf.DUMMYFUNCTION("""COMPUTED_VALUE"""),"BUIN")</f>
        <v>BUIN</v>
      </c>
    </row>
    <row r="10688" spans="1:4">
      <c r="A10688" s="7">
        <f ca="1">IFERROR(__xludf.DUMMYFUNCTION("""COMPUTED_VALUE"""),44908)</f>
        <v>44908</v>
      </c>
      <c r="B10688" s="8" t="str">
        <f ca="1">IFERROR(__xludf.DUMMYFUNCTION("""COMPUTED_VALUE"""),"-33.756281:-70.8937600")</f>
        <v>-33.756281:-70.8937600</v>
      </c>
      <c r="C10688" s="6" t="str">
        <f ca="1">IFERROR(__xludf.DUMMYFUNCTION("""COMPUTED_VALUE"""),"PRIMAVERA SUR 210")</f>
        <v>PRIMAVERA SUR 210</v>
      </c>
      <c r="D10688" s="6" t="str">
        <f ca="1">IFERROR(__xludf.DUMMYFUNCTION("""COMPUTED_VALUE"""),"ISLA DE MAIPO")</f>
        <v>ISLA DE MAIPO</v>
      </c>
    </row>
    <row r="10689" spans="1:4">
      <c r="A10689" s="7">
        <f ca="1">IFERROR(__xludf.DUMMYFUNCTION("""COMPUTED_VALUE"""),44908)</f>
        <v>44908</v>
      </c>
      <c r="B10689" s="8" t="str">
        <f ca="1">IFERROR(__xludf.DUMMYFUNCTION("""COMPUTED_VALUE"""),"-33.7246050:-70.7718110")</f>
        <v>-33.7246050:-70.7718110</v>
      </c>
      <c r="C10689" s="6" t="str">
        <f ca="1">IFERROR(__xludf.DUMMYFUNCTION("""COMPUTED_VALUE"""),"PSJ ALFREDO MANZO 512")</f>
        <v>PSJ ALFREDO MANZO 512</v>
      </c>
      <c r="D10689" s="6" t="str">
        <f ca="1">IFERROR(__xludf.DUMMYFUNCTION("""COMPUTED_VALUE"""),"BUIN")</f>
        <v>BUIN</v>
      </c>
    </row>
    <row r="10690" spans="1:4">
      <c r="A10690" s="7">
        <f ca="1">IFERROR(__xludf.DUMMYFUNCTION("""COMPUTED_VALUE"""),44908)</f>
        <v>44908</v>
      </c>
      <c r="B10690" s="6" t="str">
        <f ca="1">IFERROR(__xludf.DUMMYFUNCTION("""COMPUTED_VALUE"""),"-34.039662,-71.225996")</f>
        <v>-34.039662,-71.225996</v>
      </c>
      <c r="C10690" s="6" t="str">
        <f ca="1">IFERROR(__xludf.DUMMYFUNCTION("""COMPUTED_VALUE"""),"CO. LA LINEA S/N")</f>
        <v>CO. LA LINEA S/N</v>
      </c>
      <c r="D10690" s="6" t="str">
        <f ca="1">IFERROR(__xludf.DUMMYFUNCTION("""COMPUTED_VALUE"""),"ALHUÉ")</f>
        <v>ALHUÉ</v>
      </c>
    </row>
    <row r="10691" spans="1:4">
      <c r="A10691" s="7">
        <f ca="1">IFERROR(__xludf.DUMMYFUNCTION("""COMPUTED_VALUE"""),44908)</f>
        <v>44908</v>
      </c>
      <c r="B10691" s="6" t="str">
        <f ca="1">IFERROR(__xludf.DUMMYFUNCTION("""COMPUTED_VALUE"""),"-34.031085,-71.008500")</f>
        <v>-34.031085,-71.008500</v>
      </c>
      <c r="C10691" s="6" t="str">
        <f ca="1">IFERROR(__xludf.DUMMYFUNCTION("""COMPUTED_VALUE"""),"EL ASIENTO S/N")</f>
        <v>EL ASIENTO S/N</v>
      </c>
      <c r="D10691" s="6" t="str">
        <f ca="1">IFERROR(__xludf.DUMMYFUNCTION("""COMPUTED_VALUE"""),"ALHUÉ")</f>
        <v>ALHUÉ</v>
      </c>
    </row>
    <row r="10692" spans="1:4">
      <c r="A10692" s="7">
        <f ca="1">IFERROR(__xludf.DUMMYFUNCTION("""COMPUTED_VALUE"""),44908)</f>
        <v>44908</v>
      </c>
      <c r="B10692" s="6" t="str">
        <f ca="1">IFERROR(__xludf.DUMMYFUNCTION("""COMPUTED_VALUE"""),"-34.031165,-71.008645")</f>
        <v>-34.031165,-71.008645</v>
      </c>
      <c r="C10692" s="6" t="str">
        <f ca="1">IFERROR(__xludf.DUMMYFUNCTION("""COMPUTED_VALUE"""),"EL ASIENTO 147")</f>
        <v>EL ASIENTO 147</v>
      </c>
      <c r="D10692" s="6" t="str">
        <f ca="1">IFERROR(__xludf.DUMMYFUNCTION("""COMPUTED_VALUE"""),"ALHUÉ")</f>
        <v>ALHUÉ</v>
      </c>
    </row>
    <row r="10693" spans="1:4">
      <c r="A10693" s="7">
        <f ca="1">IFERROR(__xludf.DUMMYFUNCTION("""COMPUTED_VALUE"""),44908)</f>
        <v>44908</v>
      </c>
      <c r="B10693" s="6" t="str">
        <f ca="1">IFERROR(__xludf.DUMMYFUNCTION("""COMPUTED_VALUE"""),"-34.030465,-70.997416")</f>
        <v>-34.030465,-70.997416</v>
      </c>
      <c r="C10693" s="6" t="str">
        <f ca="1">IFERROR(__xludf.DUMMYFUNCTION("""COMPUTED_VALUE"""),"EL ASIENTO 147")</f>
        <v>EL ASIENTO 147</v>
      </c>
      <c r="D10693" s="6" t="str">
        <f ca="1">IFERROR(__xludf.DUMMYFUNCTION("""COMPUTED_VALUE"""),"ALHUÉ")</f>
        <v>ALHUÉ</v>
      </c>
    </row>
    <row r="10694" spans="1:4">
      <c r="A10694" s="7">
        <f ca="1">IFERROR(__xludf.DUMMYFUNCTION("""COMPUTED_VALUE"""),44909)</f>
        <v>44909</v>
      </c>
      <c r="B10694" s="8" t="str">
        <f ca="1">IFERROR(__xludf.DUMMYFUNCTION("""COMPUTED_VALUE"""),"-33.2916352, -70.884197")</f>
        <v>-33.2916352, -70.884197</v>
      </c>
      <c r="C10694" s="6" t="str">
        <f ca="1">IFERROR(__xludf.DUMMYFUNCTION("""COMPUTED_VALUE"""),"SAN LORENZO 161")</f>
        <v>SAN LORENZO 161</v>
      </c>
      <c r="D10694" s="6" t="str">
        <f ca="1">IFERROR(__xludf.DUMMYFUNCTION("""COMPUTED_VALUE"""),"LAMPA")</f>
        <v>LAMPA</v>
      </c>
    </row>
    <row r="10695" spans="1:4">
      <c r="A10695" s="7">
        <f ca="1">IFERROR(__xludf.DUMMYFUNCTION("""COMPUTED_VALUE"""),44909)</f>
        <v>44909</v>
      </c>
      <c r="B10695" s="6" t="str">
        <f ca="1">IFERROR(__xludf.DUMMYFUNCTION("""COMPUTED_VALUE"""),"-33.680372-71.225567")</f>
        <v>-33.680372-71.225567</v>
      </c>
      <c r="C10695" s="6" t="str">
        <f ca="1">IFERROR(__xludf.DUMMYFUNCTION("""COMPUTED_VALUE"""),"LA PALMA 1323")</f>
        <v>LA PALMA 1323</v>
      </c>
      <c r="D10695" s="6" t="str">
        <f ca="1">IFERROR(__xludf.DUMMYFUNCTION("""COMPUTED_VALUE"""),"MELIPILLA")</f>
        <v>MELIPILLA</v>
      </c>
    </row>
    <row r="10696" spans="1:4">
      <c r="A10696" s="7">
        <f ca="1">IFERROR(__xludf.DUMMYFUNCTION("""COMPUTED_VALUE"""),44909)</f>
        <v>44909</v>
      </c>
      <c r="B10696" s="6" t="str">
        <f ca="1">IFERROR(__xludf.DUMMYFUNCTION("""COMPUTED_VALUE"""),"-33.674934-71.214345")</f>
        <v>-33.674934-71.214345</v>
      </c>
      <c r="C10696" s="6" t="str">
        <f ca="1">IFERROR(__xludf.DUMMYFUNCTION("""COMPUTED_VALUE"""),"PATRICIO LARRAIN 158")</f>
        <v>PATRICIO LARRAIN 158</v>
      </c>
      <c r="D10696" s="6" t="str">
        <f ca="1">IFERROR(__xludf.DUMMYFUNCTION("""COMPUTED_VALUE"""),"MELIPILLA")</f>
        <v>MELIPILLA</v>
      </c>
    </row>
    <row r="10697" spans="1:4">
      <c r="A10697" s="7">
        <f ca="1">IFERROR(__xludf.DUMMYFUNCTION("""COMPUTED_VALUE"""),44909)</f>
        <v>44909</v>
      </c>
      <c r="B10697" s="8" t="str">
        <f ca="1">IFERROR(__xludf.DUMMYFUNCTION("""COMPUTED_VALUE"""),"-33.3512540:-61.14611290")</f>
        <v>-33.3512540:-61.14611290</v>
      </c>
      <c r="C10697" s="6" t="str">
        <f ca="1">IFERROR(__xludf.DUMMYFUNCTION("""COMPUTED_VALUE"""),"LOS MAITENES PARCELA 32")</f>
        <v>LOS MAITENES PARCELA 32</v>
      </c>
      <c r="D10697" s="6" t="str">
        <f ca="1">IFERROR(__xludf.DUMMYFUNCTION("""COMPUTED_VALUE"""),"CURACAVI")</f>
        <v>CURACAVI</v>
      </c>
    </row>
    <row r="10698" spans="1:4">
      <c r="A10698" s="7">
        <f ca="1">IFERROR(__xludf.DUMMYFUNCTION("""COMPUTED_VALUE"""),44909)</f>
        <v>44909</v>
      </c>
      <c r="B10698" s="8" t="str">
        <f ca="1">IFERROR(__xludf.DUMMYFUNCTION("""COMPUTED_VALUE"""),"-33.2790120-70.8421640")</f>
        <v>-33.2790120-70.8421640</v>
      </c>
      <c r="C10698" s="6" t="str">
        <f ca="1">IFERROR(__xludf.DUMMYFUNCTION("""COMPUTED_VALUE"""),"CALLE 1 SITIO 3 ")</f>
        <v xml:space="preserve">CALLE 1 SITIO 3 </v>
      </c>
      <c r="D10698" s="6" t="str">
        <f ca="1">IFERROR(__xludf.DUMMYFUNCTION("""COMPUTED_VALUE"""),"LAMPA")</f>
        <v>LAMPA</v>
      </c>
    </row>
    <row r="10699" spans="1:4">
      <c r="A10699" s="7">
        <f ca="1">IFERROR(__xludf.DUMMYFUNCTION("""COMPUTED_VALUE"""),44909)</f>
        <v>44909</v>
      </c>
      <c r="B10699" s="8" t="str">
        <f ca="1">IFERROR(__xludf.DUMMYFUNCTION("""COMPUTED_VALUE"""),"33.695531:-71.198805")</f>
        <v>33.695531:-71.198805</v>
      </c>
      <c r="C10699" s="6" t="str">
        <f ca="1">IFERROR(__xludf.DUMMYFUNCTION("""COMPUTED_VALUE"""),"EL BAJO 370")</f>
        <v>EL BAJO 370</v>
      </c>
      <c r="D10699" s="6" t="str">
        <f ca="1">IFERROR(__xludf.DUMMYFUNCTION("""COMPUTED_VALUE"""),"MELIPILLA")</f>
        <v>MELIPILLA</v>
      </c>
    </row>
    <row r="10700" spans="1:4">
      <c r="A10700" s="7">
        <f ca="1">IFERROR(__xludf.DUMMYFUNCTION("""COMPUTED_VALUE"""),44909)</f>
        <v>44909</v>
      </c>
      <c r="B10700" s="6" t="str">
        <f ca="1">IFERROR(__xludf.DUMMYFUNCTION("""COMPUTED_VALUE"""),"-33.88808,-70.7438426")</f>
        <v>-33.88808,-70.7438426</v>
      </c>
      <c r="C10700" s="6" t="str">
        <f ca="1">IFERROR(__xludf.DUMMYFUNCTION("""COMPUTED_VALUE"""),"LAS BODEGAS 25")</f>
        <v>LAS BODEGAS 25</v>
      </c>
      <c r="D10700" s="6" t="str">
        <f ca="1">IFERROR(__xludf.DUMMYFUNCTION("""COMPUTED_VALUE"""),"PAINE")</f>
        <v>PAINE</v>
      </c>
    </row>
    <row r="10701" spans="1:4">
      <c r="A10701" s="7">
        <f ca="1">IFERROR(__xludf.DUMMYFUNCTION("""COMPUTED_VALUE"""),44909)</f>
        <v>44909</v>
      </c>
      <c r="B10701" s="6" t="str">
        <f ca="1">IFERROR(__xludf.DUMMYFUNCTION("""COMPUTED_VALUE"""),"-33.98458,-70.7454427")</f>
        <v>-33.98458,-70.7454427</v>
      </c>
      <c r="C10701" s="6" t="str">
        <f ca="1">IFERROR(__xludf.DUMMYFUNCTION("""COMPUTED_VALUE"""),"CONDOMINIO LOS ALMENDROS")</f>
        <v>CONDOMINIO LOS ALMENDROS</v>
      </c>
      <c r="D10701" s="6" t="str">
        <f ca="1">IFERROR(__xludf.DUMMYFUNCTION("""COMPUTED_VALUE"""),"PAINE")</f>
        <v>PAINE</v>
      </c>
    </row>
    <row r="10702" spans="1:4">
      <c r="A10702" s="7">
        <f ca="1">IFERROR(__xludf.DUMMYFUNCTION("""COMPUTED_VALUE"""),44910)</f>
        <v>44910</v>
      </c>
      <c r="B10702" s="8" t="str">
        <f ca="1">IFERROR(__xludf.DUMMYFUNCTION("""COMPUTED_VALUE"""),"-33.7462501, -70.8674278")</f>
        <v>-33.7462501, -70.8674278</v>
      </c>
      <c r="C10702" s="6" t="str">
        <f ca="1">IFERROR(__xludf.DUMMYFUNCTION("""COMPUTED_VALUE"""),"HUGO CORVALAN 163")</f>
        <v>HUGO CORVALAN 163</v>
      </c>
      <c r="D10702" s="6" t="str">
        <f ca="1">IFERROR(__xludf.DUMMYFUNCTION("""COMPUTED_VALUE"""),"ISLA DE MAIPO")</f>
        <v>ISLA DE MAIPO</v>
      </c>
    </row>
    <row r="10703" spans="1:4">
      <c r="A10703" s="7">
        <f ca="1">IFERROR(__xludf.DUMMYFUNCTION("""COMPUTED_VALUE"""),44910)</f>
        <v>44910</v>
      </c>
      <c r="B10703" s="8" t="str">
        <f ca="1">IFERROR(__xludf.DUMMYFUNCTION("""COMPUTED_VALUE"""),"-34.032474:-71.093891")</f>
        <v>-34.032474:-71.093891</v>
      </c>
      <c r="C10703" s="6" t="str">
        <f ca="1">IFERROR(__xludf.DUMMYFUNCTION("""COMPUTED_VALUE"""),"CORRILLO SN ")</f>
        <v xml:space="preserve">CORRILLO SN </v>
      </c>
      <c r="D10703" s="6" t="str">
        <f ca="1">IFERROR(__xludf.DUMMYFUNCTION("""COMPUTED_VALUE"""),"ALHUÉ")</f>
        <v>ALHUÉ</v>
      </c>
    </row>
    <row r="10704" spans="1:4">
      <c r="A10704" s="7">
        <f ca="1">IFERROR(__xludf.DUMMYFUNCTION("""COMPUTED_VALUE"""),44910)</f>
        <v>44910</v>
      </c>
      <c r="B10704" s="6" t="str">
        <f ca="1">IFERROR(__xludf.DUMMYFUNCTION("""COMPUTED_VALUE"""),"-33.836684,-70.641442")</f>
        <v>-33.836684,-70.641442</v>
      </c>
      <c r="C10704" s="6" t="str">
        <f ca="1">IFERROR(__xludf.DUMMYFUNCTION("""COMPUTED_VALUE"""),"SANTA TERESA S/42")</f>
        <v>SANTA TERESA S/42</v>
      </c>
      <c r="D10704" s="6" t="str">
        <f ca="1">IFERROR(__xludf.DUMMYFUNCTION("""COMPUTED_VALUE"""),"PAINE")</f>
        <v>PAINE</v>
      </c>
    </row>
    <row r="10705" spans="1:4">
      <c r="A10705" s="7">
        <f ca="1">IFERROR(__xludf.DUMMYFUNCTION("""COMPUTED_VALUE"""),44910)</f>
        <v>44910</v>
      </c>
      <c r="B10705" s="6" t="str">
        <f ca="1">IFERROR(__xludf.DUMMYFUNCTION("""COMPUTED_VALUE"""),"-33.829666,-70.775564")</f>
        <v>-33.829666,-70.775564</v>
      </c>
      <c r="C10705" s="6" t="str">
        <f ca="1">IFERROR(__xludf.DUMMYFUNCTION("""COMPUTED_VALUE"""),"JUAN ANTONIO P/70 S/8")</f>
        <v>JUAN ANTONIO P/70 S/8</v>
      </c>
      <c r="D10705" s="6" t="str">
        <f ca="1">IFERROR(__xludf.DUMMYFUNCTION("""COMPUTED_VALUE"""),"PAINE")</f>
        <v>PAINE</v>
      </c>
    </row>
    <row r="10706" spans="1:4">
      <c r="A10706" s="7">
        <f ca="1">IFERROR(__xludf.DUMMYFUNCTION("""COMPUTED_VALUE"""),44910)</f>
        <v>44910</v>
      </c>
      <c r="B10706" s="6" t="str">
        <f ca="1">IFERROR(__xludf.DUMMYFUNCTION("""COMPUTED_VALUE"""),"-33.8055770,-70.710892")</f>
        <v>-33.8055770,-70.710892</v>
      </c>
      <c r="C10706" s="6" t="str">
        <f ca="1">IFERROR(__xludf.DUMMYFUNCTION("""COMPUTED_VALUE"""),"DIECIOCHO DE SEPTIEMBRE")</f>
        <v>DIECIOCHO DE SEPTIEMBRE</v>
      </c>
      <c r="D10706" s="6" t="str">
        <f ca="1">IFERROR(__xludf.DUMMYFUNCTION("""COMPUTED_VALUE"""),"PAINE")</f>
        <v>PAINE</v>
      </c>
    </row>
    <row r="10707" spans="1:4">
      <c r="A10707" s="7">
        <f ca="1">IFERROR(__xludf.DUMMYFUNCTION("""COMPUTED_VALUE"""),44911)</f>
        <v>44911</v>
      </c>
      <c r="B10707" s="6" t="str">
        <f ca="1">IFERROR(__xludf.DUMMYFUNCTION("""COMPUTED_VALUE"""),"-33.849335,-71.185200")</f>
        <v>-33.849335,-71.185200</v>
      </c>
      <c r="C10707" s="6" t="str">
        <f ca="1">IFERROR(__xludf.DUMMYFUNCTION("""COMPUTED_VALUE"""),"SECTOR TANTEHUE S/N - CV23")</f>
        <v>SECTOR TANTEHUE S/N - CV23</v>
      </c>
      <c r="D10707" s="6" t="str">
        <f ca="1">IFERROR(__xludf.DUMMYFUNCTION("""COMPUTED_VALUE"""),"MELIPILLA")</f>
        <v>MELIPILLA</v>
      </c>
    </row>
    <row r="10708" spans="1:4">
      <c r="A10708" s="7">
        <f ca="1">IFERROR(__xludf.DUMMYFUNCTION("""COMPUTED_VALUE"""),44911)</f>
        <v>44911</v>
      </c>
      <c r="B10708" s="6" t="str">
        <f ca="1">IFERROR(__xludf.DUMMYFUNCTION("""COMPUTED_VALUE"""),"-33.865805,-70.881348")</f>
        <v>-33.865805,-70.881348</v>
      </c>
      <c r="C10708" s="6" t="str">
        <f ca="1">IFERROR(__xludf.DUMMYFUNCTION("""COMPUTED_VALUE"""),"ROSARIO VIAL S/32A")</f>
        <v>ROSARIO VIAL S/32A</v>
      </c>
      <c r="D10708" s="6" t="str">
        <f ca="1">IFERROR(__xludf.DUMMYFUNCTION("""COMPUTED_VALUE"""),"PAINE")</f>
        <v>PAINE</v>
      </c>
    </row>
    <row r="10709" spans="1:4">
      <c r="A10709" s="7">
        <f ca="1">IFERROR(__xludf.DUMMYFUNCTION("""COMPUTED_VALUE"""),44911)</f>
        <v>44911</v>
      </c>
      <c r="B10709" s="6" t="str">
        <f ca="1">IFERROR(__xludf.DUMMYFUNCTION("""COMPUTED_VALUE"""),"-33.861029,-70.748654")</f>
        <v>-33.861029,-70.748654</v>
      </c>
      <c r="C10709" s="6" t="str">
        <f ca="1">IFERROR(__xludf.DUMMYFUNCTION("""COMPUTED_VALUE"""),"LOS ALAMOS H/91")</f>
        <v>LOS ALAMOS H/91</v>
      </c>
      <c r="D10709" s="6" t="str">
        <f ca="1">IFERROR(__xludf.DUMMYFUNCTION("""COMPUTED_VALUE"""),"PAINE")</f>
        <v>PAINE</v>
      </c>
    </row>
    <row r="10710" spans="1:4">
      <c r="A10710" s="7">
        <f ca="1">IFERROR(__xludf.DUMMYFUNCTION("""COMPUTED_VALUE"""),44911)</f>
        <v>44911</v>
      </c>
      <c r="B10710" s="6" t="str">
        <f ca="1">IFERROR(__xludf.DUMMYFUNCTION("""COMPUTED_VALUE"""),"-33.799756,70.682972")</f>
        <v>-33.799756,70.682972</v>
      </c>
      <c r="C10710" s="6" t="str">
        <f ca="1">IFERROR(__xludf.DUMMYFUNCTION("""COMPUTED_VALUE"""),"24 DE ABRIL S/91")</f>
        <v>24 DE ABRIL S/91</v>
      </c>
      <c r="D10710" s="6" t="str">
        <f ca="1">IFERROR(__xludf.DUMMYFUNCTION("""COMPUTED_VALUE"""),"PAINE")</f>
        <v>PAINE</v>
      </c>
    </row>
    <row r="10711" spans="1:4">
      <c r="A10711" s="7">
        <f ca="1">IFERROR(__xludf.DUMMYFUNCTION("""COMPUTED_VALUE"""),44912)</f>
        <v>44912</v>
      </c>
      <c r="B10711" s="6" t="str">
        <f ca="1">IFERROR(__xludf.DUMMYFUNCTION("""COMPUTED_VALUE"""),"-33.414573-71.094696")</f>
        <v>-33.414573-71.094696</v>
      </c>
      <c r="C10711" s="6" t="str">
        <f ca="1">IFERROR(__xludf.DUMMYFUNCTION("""COMPUTED_VALUE"""),"CAMPO LINDO PARC 43")</f>
        <v>CAMPO LINDO PARC 43</v>
      </c>
      <c r="D10711" s="6" t="str">
        <f ca="1">IFERROR(__xludf.DUMMYFUNCTION("""COMPUTED_VALUE"""),"CURACAVI")</f>
        <v>CURACAVI</v>
      </c>
    </row>
    <row r="10712" spans="1:4">
      <c r="A10712" s="7">
        <f ca="1">IFERROR(__xludf.DUMMYFUNCTION("""COMPUTED_VALUE"""),44912)</f>
        <v>44912</v>
      </c>
      <c r="B10712" s="6" t="str">
        <f ca="1">IFERROR(__xludf.DUMMYFUNCTION("""COMPUTED_VALUE"""),"-33.408214-71.148236")</f>
        <v>-33.408214-71.148236</v>
      </c>
      <c r="C10712" s="6" t="str">
        <f ca="1">IFERROR(__xludf.DUMMYFUNCTION("""COMPUTED_VALUE"""),"CA DE ZALAZAR 352")</f>
        <v>CA DE ZALAZAR 352</v>
      </c>
      <c r="D10712" s="6" t="str">
        <f ca="1">IFERROR(__xludf.DUMMYFUNCTION("""COMPUTED_VALUE"""),"CURACAVI")</f>
        <v>CURACAVI</v>
      </c>
    </row>
    <row r="10713" spans="1:4">
      <c r="A10713" s="7">
        <f ca="1">IFERROR(__xludf.DUMMYFUNCTION("""COMPUTED_VALUE"""),44912)</f>
        <v>44912</v>
      </c>
      <c r="B10713" s="6" t="str">
        <f ca="1">IFERROR(__xludf.DUMMYFUNCTION("""COMPUTED_VALUE"""),"-33.577628-70.807271")</f>
        <v>-33.577628-70.807271</v>
      </c>
      <c r="C10713" s="6" t="str">
        <f ca="1">IFERROR(__xludf.DUMMYFUNCTION("""COMPUTED_VALUE"""),"EL PROGRESO S/N")</f>
        <v>EL PROGRESO S/N</v>
      </c>
      <c r="D10713" s="6" t="str">
        <f ca="1">IFERROR(__xludf.DUMMYFUNCTION("""COMPUTED_VALUE"""),"PADRE HURTADO")</f>
        <v>PADRE HURTADO</v>
      </c>
    </row>
    <row r="10714" spans="1:4">
      <c r="A10714" s="7">
        <f ca="1">IFERROR(__xludf.DUMMYFUNCTION("""COMPUTED_VALUE"""),44914)</f>
        <v>44914</v>
      </c>
      <c r="B10714" s="8" t="str">
        <f ca="1">IFERROR(__xludf.DUMMYFUNCTION("""COMPUTED_VALUE"""),"-33.8747110:-70.7124930")</f>
        <v>-33.8747110:-70.7124930</v>
      </c>
      <c r="C10714" s="6" t="str">
        <f ca="1">IFERROR(__xludf.DUMMYFUNCTION("""COMPUTED_VALUE"""),"SITIO 93  COLONIA KENNEDY ")</f>
        <v xml:space="preserve">SITIO 93  COLONIA KENNEDY </v>
      </c>
      <c r="D10714" s="6" t="str">
        <f ca="1">IFERROR(__xludf.DUMMYFUNCTION("""COMPUTED_VALUE"""),"PAINE")</f>
        <v>PAINE</v>
      </c>
    </row>
    <row r="10715" spans="1:4">
      <c r="A10715" s="7">
        <f ca="1">IFERROR(__xludf.DUMMYFUNCTION("""COMPUTED_VALUE"""),44914)</f>
        <v>44914</v>
      </c>
      <c r="B10715" s="8" t="str">
        <f ca="1">IFERROR(__xludf.DUMMYFUNCTION("""COMPUTED_VALUE"""),"-33.875000:-70.7424690")</f>
        <v>-33.875000:-70.7424690</v>
      </c>
      <c r="C10715" s="6" t="str">
        <f ca="1">IFERROR(__xludf.DUMMYFUNCTION("""COMPUTED_VALUE"""),"DIEGO PORTALES 29 ")</f>
        <v xml:space="preserve">DIEGO PORTALES 29 </v>
      </c>
      <c r="D10715" s="6" t="str">
        <f ca="1">IFERROR(__xludf.DUMMYFUNCTION("""COMPUTED_VALUE"""),"PAINE")</f>
        <v>PAINE</v>
      </c>
    </row>
    <row r="10716" spans="1:4">
      <c r="A10716" s="7">
        <f ca="1">IFERROR(__xludf.DUMMYFUNCTION("""COMPUTED_VALUE"""),44914)</f>
        <v>44914</v>
      </c>
      <c r="B10716" s="8" t="str">
        <f ca="1">IFERROR(__xludf.DUMMYFUNCTION("""COMPUTED_VALUE"""),"-33.653730:-71.288817")</f>
        <v>-33.653730:-71.288817</v>
      </c>
      <c r="C10716" s="6" t="str">
        <f ca="1">IFERROR(__xludf.DUMMYFUNCTION("""COMPUTED_VALUE"""),"LUMBRERAS ")</f>
        <v xml:space="preserve">LUMBRERAS </v>
      </c>
      <c r="D10716" s="6" t="str">
        <f ca="1">IFERROR(__xludf.DUMMYFUNCTION("""COMPUTED_VALUE"""),"MELIPILLA")</f>
        <v>MELIPILLA</v>
      </c>
    </row>
    <row r="10717" spans="1:4">
      <c r="A10717" s="7">
        <f ca="1">IFERROR(__xludf.DUMMYFUNCTION("""COMPUTED_VALUE"""),44914)</f>
        <v>44914</v>
      </c>
      <c r="B10717" s="8" t="str">
        <f ca="1">IFERROR(__xludf.DUMMYFUNCTION("""COMPUTED_VALUE"""),"-33.809795:-71.292058")</f>
        <v>-33.809795:-71.292058</v>
      </c>
      <c r="C10717" s="6" t="str">
        <f ca="1">IFERROR(__xludf.DUMMYFUNCTION("""COMPUTED_VALUE"""),"POPETA EL MAITENAL. ")</f>
        <v xml:space="preserve">POPETA EL MAITENAL. </v>
      </c>
      <c r="D10717" s="6" t="str">
        <f ca="1">IFERROR(__xludf.DUMMYFUNCTION("""COMPUTED_VALUE"""),"MELIPILLA")</f>
        <v>MELIPILLA</v>
      </c>
    </row>
    <row r="10718" spans="1:4">
      <c r="A10718" s="7">
        <f ca="1">IFERROR(__xludf.DUMMYFUNCTION("""COMPUTED_VALUE"""),44914)</f>
        <v>44914</v>
      </c>
      <c r="B10718" s="6" t="str">
        <f ca="1">IFERROR(__xludf.DUMMYFUNCTION("""COMPUTED_VALUE"""),"-33.-636163,-71-251100")</f>
        <v>-33.-636163,-71-251100</v>
      </c>
      <c r="C10718" s="6" t="str">
        <f ca="1">IFERROR(__xludf.DUMMYFUNCTION("""COMPUTED_VALUE"""),"VILLA ALEGRE P/29")</f>
        <v>VILLA ALEGRE P/29</v>
      </c>
      <c r="D10718" s="6" t="str">
        <f ca="1">IFERROR(__xludf.DUMMYFUNCTION("""COMPUTED_VALUE"""),"MELIPILLA")</f>
        <v>MELIPILLA</v>
      </c>
    </row>
    <row r="10719" spans="1:4">
      <c r="A10719" s="7">
        <f ca="1">IFERROR(__xludf.DUMMYFUNCTION("""COMPUTED_VALUE"""),44914)</f>
        <v>44914</v>
      </c>
      <c r="B10719" s="6" t="str">
        <f ca="1">IFERROR(__xludf.DUMMYFUNCTION("""COMPUTED_VALUE"""),"-33.664978,-71.107715")</f>
        <v>-33.664978,-71.107715</v>
      </c>
      <c r="C10719" s="6" t="str">
        <f ca="1">IFERROR(__xludf.DUMMYFUNCTION("""COMPUTED_VALUE"""),"CHIRIGUE P/6")</f>
        <v>CHIRIGUE P/6</v>
      </c>
      <c r="D10719" s="6" t="str">
        <f ca="1">IFERROR(__xludf.DUMMYFUNCTION("""COMPUTED_VALUE"""),"MELIPILLA")</f>
        <v>MELIPILLA</v>
      </c>
    </row>
    <row r="10720" spans="1:4">
      <c r="A10720" s="7">
        <f ca="1">IFERROR(__xludf.DUMMYFUNCTION("""COMPUTED_VALUE"""),44914)</f>
        <v>44914</v>
      </c>
      <c r="B10720" s="6" t="str">
        <f ca="1">IFERROR(__xludf.DUMMYFUNCTION("""COMPUTED_VALUE"""),"-33.817563,-70.740770")</f>
        <v>-33.817563,-70.740770</v>
      </c>
      <c r="C10720" s="6" t="str">
        <f ca="1">IFERROR(__xludf.DUMMYFUNCTION("""COMPUTED_VALUE"""),"ARRECIFE 13")</f>
        <v>ARRECIFE 13</v>
      </c>
      <c r="D10720" s="6" t="str">
        <f ca="1">IFERROR(__xludf.DUMMYFUNCTION("""COMPUTED_VALUE"""),"PAINE")</f>
        <v>PAINE</v>
      </c>
    </row>
    <row r="10721" spans="1:4">
      <c r="A10721" s="7">
        <f ca="1">IFERROR(__xludf.DUMMYFUNCTION("""COMPUTED_VALUE"""),44914)</f>
        <v>44914</v>
      </c>
      <c r="B10721" s="6" t="str">
        <f ca="1">IFERROR(__xludf.DUMMYFUNCTION("""COMPUTED_VALUE"""),"-33.817451,-70.758031")</f>
        <v>-33.817451,-70.758031</v>
      </c>
      <c r="C10721" s="6" t="str">
        <f ca="1">IFERROR(__xludf.DUMMYFUNCTION("""COMPUTED_VALUE"""),"YAIMA 663")</f>
        <v>YAIMA 663</v>
      </c>
      <c r="D10721" s="6" t="str">
        <f ca="1">IFERROR(__xludf.DUMMYFUNCTION("""COMPUTED_VALUE"""),"PAINE")</f>
        <v>PAINE</v>
      </c>
    </row>
    <row r="10722" spans="1:4">
      <c r="A10722" s="7">
        <f ca="1">IFERROR(__xludf.DUMMYFUNCTION("""COMPUTED_VALUE"""),44915)</f>
        <v>44915</v>
      </c>
      <c r="B10722" s="6" t="str">
        <f ca="1">IFERROR(__xludf.DUMMYFUNCTION("""COMPUTED_VALUE"""),"-33.575456-70.803183")</f>
        <v>-33.575456-70.803183</v>
      </c>
      <c r="C10722" s="6" t="str">
        <f ca="1">IFERROR(__xludf.DUMMYFUNCTION("""COMPUTED_VALUE"""),"PJE VALLE DEL ELQUI 1964")</f>
        <v>PJE VALLE DEL ELQUI 1964</v>
      </c>
      <c r="D10722" s="6" t="str">
        <f ca="1">IFERROR(__xludf.DUMMYFUNCTION("""COMPUTED_VALUE"""),"PADRE HURTADO")</f>
        <v>PADRE HURTADO</v>
      </c>
    </row>
    <row r="10723" spans="1:4">
      <c r="A10723" s="7">
        <f ca="1">IFERROR(__xludf.DUMMYFUNCTION("""COMPUTED_VALUE"""),44915)</f>
        <v>44915</v>
      </c>
      <c r="B10723" s="6" t="str">
        <f ca="1">IFERROR(__xludf.DUMMYFUNCTION("""COMPUTED_VALUE"""),"-33.576035-70.809125")</f>
        <v>-33.576035-70.809125</v>
      </c>
      <c r="C10723" s="6" t="str">
        <f ca="1">IFERROR(__xludf.DUMMYFUNCTION("""COMPUTED_VALUE"""),"PJE LOS COPIHUES 1031")</f>
        <v>PJE LOS COPIHUES 1031</v>
      </c>
      <c r="D10723" s="6" t="str">
        <f ca="1">IFERROR(__xludf.DUMMYFUNCTION("""COMPUTED_VALUE"""),"PADRE HURTADO")</f>
        <v>PADRE HURTADO</v>
      </c>
    </row>
    <row r="10724" spans="1:4">
      <c r="A10724" s="7">
        <f ca="1">IFERROR(__xludf.DUMMYFUNCTION("""COMPUTED_VALUE"""),44915)</f>
        <v>44915</v>
      </c>
      <c r="B10724" s="6" t="str">
        <f ca="1">IFERROR(__xludf.DUMMYFUNCTION("""COMPUTED_VALUE"""),"-33.576035-70.809125")</f>
        <v>-33.576035-70.809125</v>
      </c>
      <c r="C10724" s="6" t="str">
        <f ca="1">IFERROR(__xludf.DUMMYFUNCTION("""COMPUTED_VALUE"""),"PJE LOS COPIHUES 1031")</f>
        <v>PJE LOS COPIHUES 1031</v>
      </c>
      <c r="D10724" s="6" t="str">
        <f ca="1">IFERROR(__xludf.DUMMYFUNCTION("""COMPUTED_VALUE"""),"PADRE HURTADO")</f>
        <v>PADRE HURTADO</v>
      </c>
    </row>
    <row r="10725" spans="1:4">
      <c r="A10725" s="7">
        <f ca="1">IFERROR(__xludf.DUMMYFUNCTION("""COMPUTED_VALUE"""),44915)</f>
        <v>44915</v>
      </c>
      <c r="B10725" s="6" t="str">
        <f ca="1">IFERROR(__xludf.DUMMYFUNCTION("""COMPUTED_VALUE"""),"-33.600686-70.890515")</f>
        <v>-33.600686-70.890515</v>
      </c>
      <c r="C10725" s="6" t="str">
        <f ca="1">IFERROR(__xludf.DUMMYFUNCTION("""COMPUTED_VALUE"""),"CAUPOLICAN 3870")</f>
        <v>CAUPOLICAN 3870</v>
      </c>
      <c r="D10725" s="6" t="str">
        <f ca="1">IFERROR(__xludf.DUMMYFUNCTION("""COMPUTED_VALUE"""),"PEÑAFLOR")</f>
        <v>PEÑAFLOR</v>
      </c>
    </row>
    <row r="10726" spans="1:4">
      <c r="A10726" s="7">
        <f ca="1">IFERROR(__xludf.DUMMYFUNCTION("""COMPUTED_VALUE"""),44915)</f>
        <v>44915</v>
      </c>
      <c r="B10726" s="6" t="str">
        <f ca="1">IFERROR(__xludf.DUMMYFUNCTION("""COMPUTED_VALUE"""),"-33.754411,-70893369")</f>
        <v>-33.754411,-70893369</v>
      </c>
      <c r="C10726" s="6" t="str">
        <f ca="1">IFERROR(__xludf.DUMMYFUNCTION("""COMPUTED_VALUE"""),"PJE LOPEZ 52")</f>
        <v>PJE LOPEZ 52</v>
      </c>
      <c r="D10726" s="6" t="str">
        <f ca="1">IFERROR(__xludf.DUMMYFUNCTION("""COMPUTED_VALUE"""),"ISLA DE MAIPO")</f>
        <v>ISLA DE MAIPO</v>
      </c>
    </row>
    <row r="10727" spans="1:4">
      <c r="A10727" s="7">
        <f ca="1">IFERROR(__xludf.DUMMYFUNCTION("""COMPUTED_VALUE"""),44915)</f>
        <v>44915</v>
      </c>
      <c r="B10727" s="8" t="str">
        <f ca="1">IFERROR(__xludf.DUMMYFUNCTION("""COMPUTED_VALUE"""),"-33:7498120:-70.8704430")</f>
        <v>-33:7498120:-70.8704430</v>
      </c>
      <c r="C10727" s="6" t="str">
        <f ca="1">IFERROR(__xludf.DUMMYFUNCTION("""COMPUTED_VALUE"""),"LOS ESPARRAGOS 1211")</f>
        <v>LOS ESPARRAGOS 1211</v>
      </c>
      <c r="D10727" s="6" t="str">
        <f ca="1">IFERROR(__xludf.DUMMYFUNCTION("""COMPUTED_VALUE"""),"ISLA DE MAIPO")</f>
        <v>ISLA DE MAIPO</v>
      </c>
    </row>
    <row r="10728" spans="1:4">
      <c r="A10728" s="7">
        <f ca="1">IFERROR(__xludf.DUMMYFUNCTION("""COMPUTED_VALUE"""),44915)</f>
        <v>44915</v>
      </c>
      <c r="B10728" s="8" t="str">
        <f ca="1">IFERROR(__xludf.DUMMYFUNCTION("""COMPUTED_VALUE"""),"-33.716985:-70.891799")</f>
        <v>-33.716985:-70.891799</v>
      </c>
      <c r="C10728" s="6" t="str">
        <f ca="1">IFERROR(__xludf.DUMMYFUNCTION("""COMPUTED_VALUE"""),"LAS PARCELAS ")</f>
        <v xml:space="preserve">LAS PARCELAS </v>
      </c>
      <c r="D10728" s="6" t="str">
        <f ca="1">IFERROR(__xludf.DUMMYFUNCTION("""COMPUTED_VALUE"""),"ISLA DE MAIPO")</f>
        <v>ISLA DE MAIPO</v>
      </c>
    </row>
    <row r="10729" spans="1:4">
      <c r="A10729" s="7">
        <f ca="1">IFERROR(__xludf.DUMMYFUNCTION("""COMPUTED_VALUE"""),44915)</f>
        <v>44915</v>
      </c>
      <c r="B10729" s="8" t="str">
        <f ca="1">IFERROR(__xludf.DUMMYFUNCTION("""COMPUTED_VALUE"""),"-33.749470:-70.8704930")</f>
        <v>-33.749470:-70.8704930</v>
      </c>
      <c r="C10729" s="6" t="str">
        <f ca="1">IFERROR(__xludf.DUMMYFUNCTION("""COMPUTED_VALUE"""),"LOS ESPARRAGOS 1212 ")</f>
        <v xml:space="preserve">LOS ESPARRAGOS 1212 </v>
      </c>
      <c r="D10729" s="6" t="str">
        <f ca="1">IFERROR(__xludf.DUMMYFUNCTION("""COMPUTED_VALUE"""),"ISLA DE MAIPO")</f>
        <v>ISLA DE MAIPO</v>
      </c>
    </row>
    <row r="10730" spans="1:4">
      <c r="A10730" s="7">
        <f ca="1">IFERROR(__xludf.DUMMYFUNCTION("""COMPUTED_VALUE"""),44915)</f>
        <v>44915</v>
      </c>
      <c r="B10730" s="8" t="str">
        <f ca="1">IFERROR(__xludf.DUMMYFUNCTION("""COMPUTED_VALUE"""),"-33.749955:-70.800375")</f>
        <v>-33.749955:-70.800375</v>
      </c>
      <c r="C10730" s="6" t="str">
        <f ca="1">IFERROR(__xludf.DUMMYFUNCTION("""COMPUTED_VALUE"""),"LOS ESPARRAGOS 1210")</f>
        <v>LOS ESPARRAGOS 1210</v>
      </c>
      <c r="D10730" s="6" t="str">
        <f ca="1">IFERROR(__xludf.DUMMYFUNCTION("""COMPUTED_VALUE"""),"ISLA DE MAIPO")</f>
        <v>ISLA DE MAIPO</v>
      </c>
    </row>
    <row r="10731" spans="1:4">
      <c r="A10731" s="7">
        <f ca="1">IFERROR(__xludf.DUMMYFUNCTION("""COMPUTED_VALUE"""),44915)</f>
        <v>44915</v>
      </c>
      <c r="B10731" s="6" t="str">
        <f ca="1">IFERROR(__xludf.DUMMYFUNCTION("""COMPUTED_VALUE"""),"-33.812297,-70.733756")</f>
        <v>-33.812297,-70.733756</v>
      </c>
      <c r="C10731" s="6" t="str">
        <f ca="1">IFERROR(__xludf.DUMMYFUNCTION("""COMPUTED_VALUE"""),"PA INTERIOR 15")</f>
        <v>PA INTERIOR 15</v>
      </c>
      <c r="D10731" s="6" t="str">
        <f ca="1">IFERROR(__xludf.DUMMYFUNCTION("""COMPUTED_VALUE"""),"PAINE")</f>
        <v>PAINE</v>
      </c>
    </row>
    <row r="10732" spans="1:4">
      <c r="A10732" s="7">
        <f ca="1">IFERROR(__xludf.DUMMYFUNCTION("""COMPUTED_VALUE"""),44915)</f>
        <v>44915</v>
      </c>
      <c r="B10732" s="6" t="str">
        <f ca="1">IFERROR(__xludf.DUMMYFUNCTION("""COMPUTED_VALUE"""),"-33.3934806,-71.1205336")</f>
        <v>-33.3934806,-71.1205336</v>
      </c>
      <c r="C10732" s="6" t="str">
        <f ca="1">IFERROR(__xludf.DUMMYFUNCTION("""COMPUTED_VALUE"""),"PA VISTA ESPERANZA 1125")</f>
        <v>PA VISTA ESPERANZA 1125</v>
      </c>
      <c r="D10732" s="6" t="str">
        <f ca="1">IFERROR(__xludf.DUMMYFUNCTION("""COMPUTED_VALUE"""),"CURACAVI")</f>
        <v>CURACAVI</v>
      </c>
    </row>
    <row r="10733" spans="1:4">
      <c r="A10733" s="7">
        <f ca="1">IFERROR(__xludf.DUMMYFUNCTION("""COMPUTED_VALUE"""),44915)</f>
        <v>44915</v>
      </c>
      <c r="B10733" s="6" t="str">
        <f ca="1">IFERROR(__xludf.DUMMYFUNCTION("""COMPUTED_VALUE"""),"-33.6346326,-70.7851676")</f>
        <v>-33.6346326,-70.7851676</v>
      </c>
      <c r="C10733" s="6" t="str">
        <f ca="1">IFERROR(__xludf.DUMMYFUNCTION("""COMPUTED_VALUE"""),"CANELO 243")</f>
        <v>CANELO 243</v>
      </c>
      <c r="D10733" s="6" t="str">
        <f ca="1">IFERROR(__xludf.DUMMYFUNCTION("""COMPUTED_VALUE"""),"CALERA DE TANGO")</f>
        <v>CALERA DE TANGO</v>
      </c>
    </row>
    <row r="10734" spans="1:4">
      <c r="A10734" s="7">
        <f ca="1">IFERROR(__xludf.DUMMYFUNCTION("""COMPUTED_VALUE"""),44916)</f>
        <v>44916</v>
      </c>
      <c r="B10734" s="8" t="str">
        <f ca="1">IFERROR(__xludf.DUMMYFUNCTION("""COMPUTED_VALUE"""),"33.8738050:-70.7122540")</f>
        <v>33.8738050:-70.7122540</v>
      </c>
      <c r="C10734" s="6" t="str">
        <f ca="1">IFERROR(__xludf.DUMMYFUNCTION("""COMPUTED_VALUE"""),"CAMINO CHADA . PARCELA 93")</f>
        <v>CAMINO CHADA . PARCELA 93</v>
      </c>
      <c r="D10734" s="6" t="str">
        <f ca="1">IFERROR(__xludf.DUMMYFUNCTION("""COMPUTED_VALUE"""),"PAINE")</f>
        <v>PAINE</v>
      </c>
    </row>
    <row r="10735" spans="1:4">
      <c r="A10735" s="7">
        <f ca="1">IFERROR(__xludf.DUMMYFUNCTION("""COMPUTED_VALUE"""),44916)</f>
        <v>44916</v>
      </c>
      <c r="B10735" s="8" t="str">
        <f ca="1">IFERROR(__xludf.DUMMYFUNCTION("""COMPUTED_VALUE"""),"-33.8653180:-70.7006510")</f>
        <v>-33.8653180:-70.7006510</v>
      </c>
      <c r="C10735" s="6" t="str">
        <f ca="1">IFERROR(__xludf.DUMMYFUNCTION("""COMPUTED_VALUE"""),"LA ALBORADA ")</f>
        <v xml:space="preserve">LA ALBORADA </v>
      </c>
      <c r="D10735" s="6" t="str">
        <f ca="1">IFERROR(__xludf.DUMMYFUNCTION("""COMPUTED_VALUE"""),"PAINE")</f>
        <v>PAINE</v>
      </c>
    </row>
    <row r="10736" spans="1:4">
      <c r="A10736" s="7">
        <f ca="1">IFERROR(__xludf.DUMMYFUNCTION("""COMPUTED_VALUE"""),44917)</f>
        <v>44917</v>
      </c>
      <c r="B10736" s="6" t="str">
        <f ca="1">IFERROR(__xludf.DUMMYFUNCTION("""COMPUTED_VALUE"""),"-33.744161,-70.869417")</f>
        <v>-33.744161,-70.869417</v>
      </c>
      <c r="C10736" s="6" t="str">
        <f ca="1">IFERROR(__xludf.DUMMYFUNCTION("""COMPUTED_VALUE"""),"POETA ALEGORIO MENDEZ BUSTOS 392")</f>
        <v>POETA ALEGORIO MENDEZ BUSTOS 392</v>
      </c>
      <c r="D10736" s="6" t="str">
        <f ca="1">IFERROR(__xludf.DUMMYFUNCTION("""COMPUTED_VALUE"""),"ISLA DE MAIPO")</f>
        <v>ISLA DE MAIPO</v>
      </c>
    </row>
    <row r="10737" spans="1:4">
      <c r="A10737" s="7">
        <f ca="1">IFERROR(__xludf.DUMMYFUNCTION("""COMPUTED_VALUE"""),44917)</f>
        <v>44917</v>
      </c>
      <c r="B10737" s="8" t="str">
        <f ca="1">IFERROR(__xludf.DUMMYFUNCTION("""COMPUTED_VALUE"""),"-34.028015.:-71083897")</f>
        <v>-34.028015.:-71083897</v>
      </c>
      <c r="C10737" s="6" t="str">
        <f ca="1">IFERROR(__xludf.DUMMYFUNCTION("""COMPUTED_VALUE"""),"IGNACIO CARRERA PINTO ")</f>
        <v xml:space="preserve">IGNACIO CARRERA PINTO </v>
      </c>
      <c r="D10737" s="6" t="str">
        <f ca="1">IFERROR(__xludf.DUMMYFUNCTION("""COMPUTED_VALUE"""),"ALHUÉ")</f>
        <v>ALHUÉ</v>
      </c>
    </row>
    <row r="10738" spans="1:4">
      <c r="A10738" s="7">
        <f ca="1">IFERROR(__xludf.DUMMYFUNCTION("""COMPUTED_VALUE"""),44917)</f>
        <v>44917</v>
      </c>
      <c r="B10738" s="8" t="str">
        <f ca="1">IFERROR(__xludf.DUMMYFUNCTION("""COMPUTED_VALUE"""),"-34.023808:-71.112659")</f>
        <v>-34.023808:-71.112659</v>
      </c>
      <c r="C10738" s="6" t="str">
        <f ca="1">IFERROR(__xludf.DUMMYFUNCTION("""COMPUTED_VALUE"""),"HIJUELAS DE POLULO ")</f>
        <v xml:space="preserve">HIJUELAS DE POLULO </v>
      </c>
      <c r="D10738" s="6" t="str">
        <f ca="1">IFERROR(__xludf.DUMMYFUNCTION("""COMPUTED_VALUE"""),"ALHUÉ")</f>
        <v>ALHUÉ</v>
      </c>
    </row>
    <row r="10739" spans="1:4">
      <c r="A10739" s="7">
        <f ca="1">IFERROR(__xludf.DUMMYFUNCTION("""COMPUTED_VALUE"""),44918)</f>
        <v>44918</v>
      </c>
      <c r="B10739" s="6" t="str">
        <f ca="1">IFERROR(__xludf.DUMMYFUNCTION("""COMPUTED_VALUE"""),"-33.747124,-70.913250")</f>
        <v>-33.747124,-70.913250</v>
      </c>
      <c r="C10739" s="6" t="str">
        <f ca="1">IFERROR(__xludf.DUMMYFUNCTION("""COMPUTED_VALUE"""),"LO MARTINEZ 1023 B")</f>
        <v>LO MARTINEZ 1023 B</v>
      </c>
      <c r="D10739" s="6" t="str">
        <f ca="1">IFERROR(__xludf.DUMMYFUNCTION("""COMPUTED_VALUE"""),"ISLA DE MAIPO")</f>
        <v>ISLA DE MAIPO</v>
      </c>
    </row>
    <row r="10740" spans="1:4">
      <c r="A10740" s="7">
        <f ca="1">IFERROR(__xludf.DUMMYFUNCTION("""COMPUTED_VALUE"""),44921)</f>
        <v>44921</v>
      </c>
      <c r="B10740" s="6" t="str">
        <f ca="1">IFERROR(__xludf.DUMMYFUNCTION("""COMPUTED_VALUE"""),"-33.403063-71.127477")</f>
        <v>-33.403063-71.127477</v>
      </c>
      <c r="C10740" s="6" t="str">
        <f ca="1">IFERROR(__xludf.DUMMYFUNCTION("""COMPUTED_VALUE"""),"FRANCISCO JOFRE 1224")</f>
        <v>FRANCISCO JOFRE 1224</v>
      </c>
      <c r="D10740" s="6" t="str">
        <f ca="1">IFERROR(__xludf.DUMMYFUNCTION("""COMPUTED_VALUE"""),"CURACAVI")</f>
        <v>CURACAVI</v>
      </c>
    </row>
    <row r="10741" spans="1:4">
      <c r="A10741" s="7">
        <f ca="1">IFERROR(__xludf.DUMMYFUNCTION("""COMPUTED_VALUE"""),44921)</f>
        <v>44921</v>
      </c>
      <c r="B10741" s="6" t="str">
        <f ca="1">IFERROR(__xludf.DUMMYFUNCTION("""COMPUTED_VALUE"""),"-33.566361-70.805983")</f>
        <v>-33.566361-70.805983</v>
      </c>
      <c r="C10741" s="6" t="str">
        <f ca="1">IFERROR(__xludf.DUMMYFUNCTION("""COMPUTED_VALUE"""),"SANTA MARIA 1405")</f>
        <v>SANTA MARIA 1405</v>
      </c>
      <c r="D10741" s="6" t="str">
        <f ca="1">IFERROR(__xludf.DUMMYFUNCTION("""COMPUTED_VALUE"""),"PADRE HURTADO")</f>
        <v>PADRE HURTADO</v>
      </c>
    </row>
    <row r="10742" spans="1:4">
      <c r="A10742" s="7">
        <f ca="1">IFERROR(__xludf.DUMMYFUNCTION("""COMPUTED_VALUE"""),44921)</f>
        <v>44921</v>
      </c>
      <c r="B10742" s="6" t="str">
        <f ca="1">IFERROR(__xludf.DUMMYFUNCTION("""COMPUTED_VALUE"""),"-33.5714987,-70.802557")</f>
        <v>-33.5714987,-70.802557</v>
      </c>
      <c r="C10742" s="6" t="str">
        <f ca="1">IFERROR(__xludf.DUMMYFUNCTION("""COMPUTED_VALUE"""),"CALLE LOS NARANJOS 1641")</f>
        <v>CALLE LOS NARANJOS 1641</v>
      </c>
      <c r="D10742" s="6" t="str">
        <f ca="1">IFERROR(__xludf.DUMMYFUNCTION("""COMPUTED_VALUE"""),"PADRE HURTADO")</f>
        <v>PADRE HURTADO</v>
      </c>
    </row>
    <row r="10743" spans="1:4">
      <c r="A10743" s="7">
        <f ca="1">IFERROR(__xludf.DUMMYFUNCTION("""COMPUTED_VALUE"""),44921)</f>
        <v>44921</v>
      </c>
      <c r="B10743" s="6" t="str">
        <f ca="1">IFERROR(__xludf.DUMMYFUNCTION("""COMPUTED_VALUE"""),"-33.752288,-71.192555")</f>
        <v>-33.752288,-71.192555</v>
      </c>
      <c r="C10743" s="6" t="str">
        <f ca="1">IFERROR(__xludf.DUMMYFUNCTION("""COMPUTED_VALUE"""),"COMITE SANTA FE CASA 16 ")</f>
        <v xml:space="preserve">COMITE SANTA FE CASA 16 </v>
      </c>
      <c r="D10743" s="6" t="str">
        <f ca="1">IFERROR(__xludf.DUMMYFUNCTION("""COMPUTED_VALUE"""),"MELIPILLA")</f>
        <v>MELIPILLA</v>
      </c>
    </row>
    <row r="10744" spans="1:4">
      <c r="A10744" s="7">
        <f ca="1">IFERROR(__xludf.DUMMYFUNCTION("""COMPUTED_VALUE"""),44922)</f>
        <v>44922</v>
      </c>
      <c r="B10744" s="6" t="str">
        <f ca="1">IFERROR(__xludf.DUMMYFUNCTION("""COMPUTED_VALUE"""),"-33.547069-70.804877")</f>
        <v>-33.547069-70.804877</v>
      </c>
      <c r="C10744" s="6" t="str">
        <f ca="1">IFERROR(__xludf.DUMMYFUNCTION("""COMPUTED_VALUE"""),"SANTA MARIA 1405")</f>
        <v>SANTA MARIA 1405</v>
      </c>
      <c r="D10744" s="6" t="str">
        <f ca="1">IFERROR(__xludf.DUMMYFUNCTION("""COMPUTED_VALUE"""),"PADRE HURTADO")</f>
        <v>PADRE HURTADO</v>
      </c>
    </row>
    <row r="10745" spans="1:4">
      <c r="A10745" s="7">
        <f ca="1">IFERROR(__xludf.DUMMYFUNCTION("""COMPUTED_VALUE"""),44922)</f>
        <v>44922</v>
      </c>
      <c r="B10745" s="6" t="str">
        <f ca="1">IFERROR(__xludf.DUMMYFUNCTION("""COMPUTED_VALUE"""),"-33.608354-70.801229")</f>
        <v>-33.608354-70.801229</v>
      </c>
      <c r="C10745" s="6" t="str">
        <f ca="1">IFERROR(__xludf.DUMMYFUNCTION("""COMPUTED_VALUE"""),"FRANCISCO COLOANE 1002")</f>
        <v>FRANCISCO COLOANE 1002</v>
      </c>
      <c r="D10745" s="6" t="str">
        <f ca="1">IFERROR(__xludf.DUMMYFUNCTION("""COMPUTED_VALUE"""),"PADRE HURTADO")</f>
        <v>PADRE HURTADO</v>
      </c>
    </row>
    <row r="10746" spans="1:4">
      <c r="A10746" s="7">
        <f ca="1">IFERROR(__xludf.DUMMYFUNCTION("""COMPUTED_VALUE"""),44922)</f>
        <v>44922</v>
      </c>
      <c r="B10746" s="6" t="str">
        <f ca="1">IFERROR(__xludf.DUMMYFUNCTION("""COMPUTED_VALUE"""),"-33.732879,-70.762909")</f>
        <v>-33.732879,-70.762909</v>
      </c>
      <c r="C10746" s="6" t="str">
        <f ca="1">IFERROR(__xludf.DUMMYFUNCTION("""COMPUTED_VALUE"""),"RUDENCINDO RIVEROS 73")</f>
        <v>RUDENCINDO RIVEROS 73</v>
      </c>
      <c r="D10746" s="6" t="str">
        <f ca="1">IFERROR(__xludf.DUMMYFUNCTION("""COMPUTED_VALUE"""),"BUIN")</f>
        <v>BUIN</v>
      </c>
    </row>
    <row r="10747" spans="1:4">
      <c r="A10747" s="7">
        <f ca="1">IFERROR(__xludf.DUMMYFUNCTION("""COMPUTED_VALUE"""),44922)</f>
        <v>44922</v>
      </c>
      <c r="B10747" s="8" t="str">
        <f ca="1">IFERROR(__xludf.DUMMYFUNCTION("""COMPUTED_VALUE"""),"-33.683707:-71.010530")</f>
        <v>-33.683707:-71.010530</v>
      </c>
      <c r="C10747" s="6" t="str">
        <f ca="1">IFERROR(__xludf.DUMMYFUNCTION("""COMPUTED_VALUE"""),"LOS LIBERTADORES 939")</f>
        <v>LOS LIBERTADORES 939</v>
      </c>
      <c r="D10747" s="6" t="str">
        <f ca="1">IFERROR(__xludf.DUMMYFUNCTION("""COMPUTED_VALUE"""),"EL MONTE")</f>
        <v>EL MONTE</v>
      </c>
    </row>
    <row r="10748" spans="1:4">
      <c r="A10748" s="7">
        <f ca="1">IFERROR(__xludf.DUMMYFUNCTION("""COMPUTED_VALUE"""),44923)</f>
        <v>44923</v>
      </c>
      <c r="B10748" s="8" t="str">
        <f ca="1">IFERROR(__xludf.DUMMYFUNCTION("""COMPUTED_VALUE"""),"-33.2366545, -70.8238533")</f>
        <v>-33.2366545, -70.8238533</v>
      </c>
      <c r="C10748" s="6" t="str">
        <f ca="1">IFERROR(__xludf.DUMMYFUNCTION("""COMPUTED_VALUE"""),"NUESTRA SEÑORA DE MONSERAT S/N")</f>
        <v>NUESTRA SEÑORA DE MONSERAT S/N</v>
      </c>
      <c r="D10748" s="6" t="str">
        <f ca="1">IFERROR(__xludf.DUMMYFUNCTION("""COMPUTED_VALUE"""),"LAMPA")</f>
        <v>LAMPA</v>
      </c>
    </row>
    <row r="10749" spans="1:4">
      <c r="A10749" s="7">
        <f ca="1">IFERROR(__xludf.DUMMYFUNCTION("""COMPUTED_VALUE"""),44923)</f>
        <v>44923</v>
      </c>
      <c r="B10749" s="6" t="str">
        <f ca="1">IFERROR(__xludf.DUMMYFUNCTION("""COMPUTED_VALUE"""),"-33.566589-70.805812")</f>
        <v>-33.566589-70.805812</v>
      </c>
      <c r="C10749" s="6" t="str">
        <f ca="1">IFERROR(__xludf.DUMMYFUNCTION("""COMPUTED_VALUE"""),"FRANCISCO COLOANE 1002")</f>
        <v>FRANCISCO COLOANE 1002</v>
      </c>
      <c r="D10749" s="6" t="str">
        <f ca="1">IFERROR(__xludf.DUMMYFUNCTION("""COMPUTED_VALUE"""),"PADRE HURTADO")</f>
        <v>PADRE HURTADO</v>
      </c>
    </row>
    <row r="10750" spans="1:4">
      <c r="A10750" s="7">
        <f ca="1">IFERROR(__xludf.DUMMYFUNCTION("""COMPUTED_VALUE"""),44923)</f>
        <v>44923</v>
      </c>
      <c r="B10750" s="6" t="str">
        <f ca="1">IFERROR(__xludf.DUMMYFUNCTION("""COMPUTED_VALUE"""),"-33.858476,-70.877956")</f>
        <v>-33.858476,-70.877956</v>
      </c>
      <c r="C10750" s="6" t="str">
        <f ca="1">IFERROR(__xludf.DUMMYFUNCTION("""COMPUTED_VALUE"""),"EL PERAL P/40")</f>
        <v>EL PERAL P/40</v>
      </c>
      <c r="D10750" s="6" t="str">
        <f ca="1">IFERROR(__xludf.DUMMYFUNCTION("""COMPUTED_VALUE"""),"PAINE")</f>
        <v>PAINE</v>
      </c>
    </row>
    <row r="10751" spans="1:4">
      <c r="A10751" s="7">
        <f ca="1">IFERROR(__xludf.DUMMYFUNCTION("""COMPUTED_VALUE"""),44923)</f>
        <v>44923</v>
      </c>
      <c r="B10751" s="6" t="str">
        <f ca="1">IFERROR(__xludf.DUMMYFUNCTION("""COMPUTED_VALUE"""),"-33.130829,-70.862020")</f>
        <v>-33.130829,-70.862020</v>
      </c>
      <c r="C10751" s="6" t="str">
        <f ca="1">IFERROR(__xludf.DUMMYFUNCTION("""COMPUTED_VALUE"""),"HIJUELAS P/50")</f>
        <v>HIJUELAS P/50</v>
      </c>
      <c r="D10751" s="6" t="str">
        <f ca="1">IFERROR(__xludf.DUMMYFUNCTION("""COMPUTED_VALUE"""),"TIL TIL")</f>
        <v>TIL TIL</v>
      </c>
    </row>
    <row r="10752" spans="1:4">
      <c r="A10752" s="7">
        <f ca="1">IFERROR(__xludf.DUMMYFUNCTION("""COMPUTED_VALUE"""),44923)</f>
        <v>44923</v>
      </c>
      <c r="B10752" s="6" t="str">
        <f ca="1">IFERROR(__xludf.DUMMYFUNCTION("""COMPUTED_VALUE"""),"-33.134228,-70.810391")</f>
        <v>-33.134228,-70.810391</v>
      </c>
      <c r="C10752" s="6" t="str">
        <f ca="1">IFERROR(__xludf.DUMMYFUNCTION("""COMPUTED_VALUE"""),"PANAMERICANA NORTE 045")</f>
        <v>PANAMERICANA NORTE 045</v>
      </c>
      <c r="D10752" s="6" t="str">
        <f ca="1">IFERROR(__xludf.DUMMYFUNCTION("""COMPUTED_VALUE"""),"TIL TIL")</f>
        <v>TIL TIL</v>
      </c>
    </row>
    <row r="10753" spans="1:4">
      <c r="A10753" s="7">
        <f ca="1">IFERROR(__xludf.DUMMYFUNCTION("""COMPUTED_VALUE"""),44923)</f>
        <v>44923</v>
      </c>
      <c r="B10753" s="6" t="str">
        <f ca="1">IFERROR(__xludf.DUMMYFUNCTION("""COMPUTED_VALUE"""),"-33.812890,-70.735441")</f>
        <v>-33.812890,-70.735441</v>
      </c>
      <c r="C10753" s="6" t="str">
        <f ca="1">IFERROR(__xludf.DUMMYFUNCTION("""COMPUTED_VALUE"""),"LOS CEDROS 706")</f>
        <v>LOS CEDROS 706</v>
      </c>
      <c r="D10753" s="6" t="str">
        <f ca="1">IFERROR(__xludf.DUMMYFUNCTION("""COMPUTED_VALUE"""),"PAINE")</f>
        <v>PAINE</v>
      </c>
    </row>
    <row r="10754" spans="1:4">
      <c r="A10754" s="7">
        <f ca="1">IFERROR(__xludf.DUMMYFUNCTION("""COMPUTED_VALUE"""),44923)</f>
        <v>44923</v>
      </c>
      <c r="B10754" s="6" t="str">
        <f ca="1">IFERROR(__xludf.DUMMYFUNCTION("""COMPUTED_VALUE"""),"-33.812890,-70.735441")</f>
        <v>-33.812890,-70.735441</v>
      </c>
      <c r="C10754" s="6" t="str">
        <f ca="1">IFERROR(__xludf.DUMMYFUNCTION("""COMPUTED_VALUE"""),"LOS CEDROS 706")</f>
        <v>LOS CEDROS 706</v>
      </c>
      <c r="D10754" s="6" t="str">
        <f ca="1">IFERROR(__xludf.DUMMYFUNCTION("""COMPUTED_VALUE"""),"PAINE")</f>
        <v>PAINE</v>
      </c>
    </row>
    <row r="10755" spans="1:4">
      <c r="A10755" s="7">
        <f ca="1">IFERROR(__xludf.DUMMYFUNCTION("""COMPUTED_VALUE"""),44924)</f>
        <v>44924</v>
      </c>
      <c r="B10755" s="6" t="str">
        <f ca="1">IFERROR(__xludf.DUMMYFUNCTION("""COMPUTED_VALUE"""),"-33.741669,-70.868914")</f>
        <v>-33.741669,-70.868914</v>
      </c>
      <c r="C10755" s="6" t="str">
        <f ca="1">IFERROR(__xludf.DUMMYFUNCTION("""COMPUTED_VALUE"""),"PA PEDRO HERERRA 477 VILLA BICENTENARIO")</f>
        <v>PA PEDRO HERERRA 477 VILLA BICENTENARIO</v>
      </c>
      <c r="D10755" s="6" t="str">
        <f ca="1">IFERROR(__xludf.DUMMYFUNCTION("""COMPUTED_VALUE"""),"ISLA DE MAIPO")</f>
        <v>ISLA DE MAIPO</v>
      </c>
    </row>
    <row r="10756" spans="1:4">
      <c r="A10756" s="7">
        <f ca="1">IFERROR(__xludf.DUMMYFUNCTION("""COMPUTED_VALUE"""),44924)</f>
        <v>44924</v>
      </c>
      <c r="B10756" s="6" t="str">
        <f ca="1">IFERROR(__xludf.DUMMYFUNCTION("""COMPUTED_VALUE"""),"-33.136717,-70.807287")</f>
        <v>-33.136717,-70.807287</v>
      </c>
      <c r="C10756" s="6" t="str">
        <f ca="1">IFERROR(__xludf.DUMMYFUNCTION("""COMPUTED_VALUE"""),"ORIENTE 152 S/4")</f>
        <v>ORIENTE 152 S/4</v>
      </c>
      <c r="D10756" s="6" t="str">
        <f ca="1">IFERROR(__xludf.DUMMYFUNCTION("""COMPUTED_VALUE"""),"TIL TIL")</f>
        <v>TIL TIL</v>
      </c>
    </row>
    <row r="10757" spans="1:4">
      <c r="A10757" s="7">
        <f ca="1">IFERROR(__xludf.DUMMYFUNCTION("""COMPUTED_VALUE"""),44924)</f>
        <v>44924</v>
      </c>
      <c r="B10757" s="6" t="str">
        <f ca="1">IFERROR(__xludf.DUMMYFUNCTION("""COMPUTED_VALUE"""),"-33.848068,-70.734709")</f>
        <v>-33.848068,-70.734709</v>
      </c>
      <c r="C10757" s="6" t="str">
        <f ca="1">IFERROR(__xludf.DUMMYFUNCTION("""COMPUTED_VALUE"""),"LAS ROSAS P/38")</f>
        <v>LAS ROSAS P/38</v>
      </c>
      <c r="D10757" s="6" t="str">
        <f ca="1">IFERROR(__xludf.DUMMYFUNCTION("""COMPUTED_VALUE"""),"PAINE")</f>
        <v>PAINE</v>
      </c>
    </row>
    <row r="10758" spans="1:4">
      <c r="A10758" s="7">
        <f ca="1">IFERROR(__xludf.DUMMYFUNCTION("""COMPUTED_VALUE"""),44924)</f>
        <v>44924</v>
      </c>
      <c r="B10758" s="6" t="str">
        <f ca="1">IFERROR(__xludf.DUMMYFUNCTION("""COMPUTED_VALUE"""),"-33.599962,-70.507708")</f>
        <v>-33.599962,-70.507708</v>
      </c>
      <c r="C10758" s="6" t="str">
        <f ca="1">IFERROR(__xludf.DUMMYFUNCTION("""COMPUTED_VALUE"""),"SAN JUAN LA GUITARRA 1067")</f>
        <v>SAN JUAN LA GUITARRA 1067</v>
      </c>
      <c r="D10758" s="6" t="str">
        <f ca="1">IFERROR(__xludf.DUMMYFUNCTION("""COMPUTED_VALUE"""),"PIRQUE")</f>
        <v>PIRQUE</v>
      </c>
    </row>
    <row r="10759" spans="1:4">
      <c r="A10759" s="7">
        <f ca="1">IFERROR(__xludf.DUMMYFUNCTION("""COMPUTED_VALUE"""),44924)</f>
        <v>44924</v>
      </c>
      <c r="B10759" s="6" t="str">
        <f ca="1">IFERROR(__xludf.DUMMYFUNCTION("""COMPUTED_VALUE"""),"-33.393865,-71.120742")</f>
        <v>-33.393865,-71.120742</v>
      </c>
      <c r="C10759" s="6" t="str">
        <f ca="1">IFERROR(__xludf.DUMMYFUNCTION("""COMPUTED_VALUE"""),"VICTOR ESPERANZA 1124")</f>
        <v>VICTOR ESPERANZA 1124</v>
      </c>
      <c r="D10759" s="6" t="str">
        <f ca="1">IFERROR(__xludf.DUMMYFUNCTION("""COMPUTED_VALUE"""),"CURACAVI")</f>
        <v>CURACAVI</v>
      </c>
    </row>
    <row r="10760" spans="1:4">
      <c r="A10760" s="7">
        <f ca="1">IFERROR(__xludf.DUMMYFUNCTION("""COMPUTED_VALUE"""),44924)</f>
        <v>44924</v>
      </c>
      <c r="B10760" s="6" t="str">
        <f ca="1">IFERROR(__xludf.DUMMYFUNCTION("""COMPUTED_VALUE"""),"-33.381206.-71.1147602")</f>
        <v>-33.381206.-71.1147602</v>
      </c>
      <c r="C10760" s="6" t="str">
        <f ca="1">IFERROR(__xludf.DUMMYFUNCTION("""COMPUTED_VALUE"""),"CUYUNCAVI BAJO P/63")</f>
        <v>CUYUNCAVI BAJO P/63</v>
      </c>
      <c r="D10760" s="6" t="str">
        <f ca="1">IFERROR(__xludf.DUMMYFUNCTION("""COMPUTED_VALUE"""),"CURACAVI")</f>
        <v>CURACAVI</v>
      </c>
    </row>
    <row r="10761" spans="1:4">
      <c r="A10761" s="7">
        <f ca="1">IFERROR(__xludf.DUMMYFUNCTION("""COMPUTED_VALUE"""),44924)</f>
        <v>44924</v>
      </c>
      <c r="B10761" s="6" t="str">
        <f ca="1">IFERROR(__xludf.DUMMYFUNCTION("""COMPUTED_VALUE"""),"-33.4085636,-71.1273332")</f>
        <v>-33.4085636,-71.1273332</v>
      </c>
      <c r="C10761" s="6" t="str">
        <f ca="1">IFERROR(__xludf.DUMMYFUNCTION("""COMPUTED_VALUE"""),"LAS PERDICES 610")</f>
        <v>LAS PERDICES 610</v>
      </c>
      <c r="D10761" s="6" t="str">
        <f ca="1">IFERROR(__xludf.DUMMYFUNCTION("""COMPUTED_VALUE"""),"CURACAVI")</f>
        <v>CURACAVI</v>
      </c>
    </row>
    <row r="10762" spans="1:4">
      <c r="A10762" s="7">
        <f ca="1">IFERROR(__xludf.DUMMYFUNCTION("""COMPUTED_VALUE"""),44925)</f>
        <v>44925</v>
      </c>
      <c r="B10762" s="6" t="str">
        <f ca="1">IFERROR(__xludf.DUMMYFUNCTION("""COMPUTED_VALUE"""),"-33.618274,-70.525490")</f>
        <v>-33.618274,-70.525490</v>
      </c>
      <c r="C10762" s="6" t="str">
        <f ca="1">IFERROR(__xludf.DUMMYFUNCTION("""COMPUTED_VALUE"""),"AV RAMON SUBERCASEUX 5361")</f>
        <v>AV RAMON SUBERCASEUX 5361</v>
      </c>
      <c r="D10762" s="6" t="str">
        <f ca="1">IFERROR(__xludf.DUMMYFUNCTION("""COMPUTED_VALUE"""),"PIRQUE")</f>
        <v>PIRQUE</v>
      </c>
    </row>
    <row r="10763" spans="1:4">
      <c r="A10763" s="7">
        <f ca="1">IFERROR(__xludf.DUMMYFUNCTION("""COMPUTED_VALUE"""),44925)</f>
        <v>44925</v>
      </c>
      <c r="B10763" s="6" t="str">
        <f ca="1">IFERROR(__xludf.DUMMYFUNCTION("""COMPUTED_VALUE"""),"-33.603115,-70.860933")</f>
        <v>-33.603115,-70.860933</v>
      </c>
      <c r="C10763" s="6" t="str">
        <f ca="1">IFERROR(__xludf.DUMMYFUNCTION("""COMPUTED_VALUE"""),"CRISTOBAL COLON 280")</f>
        <v>CRISTOBAL COLON 280</v>
      </c>
      <c r="D10763" s="6" t="str">
        <f ca="1">IFERROR(__xludf.DUMMYFUNCTION("""COMPUTED_VALUE"""),"PADRE HURTADO")</f>
        <v>PADRE HURTADO</v>
      </c>
    </row>
    <row r="10764" spans="1:4">
      <c r="A10764" s="7">
        <f ca="1">IFERROR(__xludf.DUMMYFUNCTION("""COMPUTED_VALUE"""),44925)</f>
        <v>44925</v>
      </c>
      <c r="B10764" s="6" t="str">
        <f ca="1">IFERROR(__xludf.DUMMYFUNCTION("""COMPUTED_VALUE"""),"-33.812890,-70.735441")</f>
        <v>-33.812890,-70.735441</v>
      </c>
      <c r="C10764" s="6" t="str">
        <f ca="1">IFERROR(__xludf.DUMMYFUNCTION("""COMPUTED_VALUE"""),"LOS CEDROS 706")</f>
        <v>LOS CEDROS 706</v>
      </c>
      <c r="D10764" s="6" t="str">
        <f ca="1">IFERROR(__xludf.DUMMYFUNCTION("""COMPUTED_VALUE"""),"PAINE")</f>
        <v>PAINE</v>
      </c>
    </row>
  </sheetData>
  <autoFilter ref="A1:D1" xr:uid="{55D4D087-523B-44D9-928C-998009F46E6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81A9A-C8DE-4E9E-9881-76D9311FC60C}">
  <dimension ref="A1:D5890"/>
  <sheetViews>
    <sheetView workbookViewId="0">
      <selection sqref="A1:A1048576"/>
    </sheetView>
  </sheetViews>
  <sheetFormatPr baseColWidth="10" defaultColWidth="11.42578125" defaultRowHeight="15"/>
  <cols>
    <col min="1" max="4" width="27.5703125" customWidth="1"/>
  </cols>
  <sheetData>
    <row r="1" spans="1:4" ht="29.25" customHeight="1">
      <c r="A1" s="1" t="s">
        <v>16837</v>
      </c>
      <c r="B1" s="2" t="s">
        <v>3</v>
      </c>
      <c r="C1" s="2" t="s">
        <v>0</v>
      </c>
      <c r="D1" s="2" t="s">
        <v>1</v>
      </c>
    </row>
    <row r="2" spans="1:4">
      <c r="A2" s="7">
        <f ca="1">IFERROR(__xludf.DUMMYFUNCTION("""COMPUTED_VALUE"""),44945)</f>
        <v>44945</v>
      </c>
      <c r="B2" s="8" t="str">
        <f ca="1">IFERROR(__xludf.DUMMYFUNCTION("""COMPUTED_VALUE"""),"33.727704:-709162650")</f>
        <v>33.727704:-709162650</v>
      </c>
      <c r="C2" s="6" t="str">
        <f ca="1">IFERROR(__xludf.DUMMYFUNCTION("""COMPUTED_VALUE"""),"GACITUA 21.")</f>
        <v>GACITUA 21.</v>
      </c>
      <c r="D2" s="6" t="str">
        <f ca="1">IFERROR(__xludf.DUMMYFUNCTION("""COMPUTED_VALUE"""),"ISLA DE MAIPO")</f>
        <v>ISLA DE MAIPO</v>
      </c>
    </row>
    <row r="3" spans="1:4">
      <c r="A3" s="7">
        <f ca="1">IFERROR(__xludf.DUMMYFUNCTION("""COMPUTED_VALUE"""),44958)</f>
        <v>44958</v>
      </c>
      <c r="B3" s="6" t="str">
        <f ca="1">IFERROR(__xludf.DUMMYFUNCTION("""COMPUTED_VALUE"""),"-33.210197-70.673557")</f>
        <v>-33.210197-70.673557</v>
      </c>
      <c r="C3" s="6" t="str">
        <f ca="1">IFERROR(__xludf.DUMMYFUNCTION("""COMPUTED_VALUE"""),"CALLE LOS VILOS 0523")</f>
        <v>CALLE LOS VILOS 0523</v>
      </c>
      <c r="D3" s="6" t="str">
        <f ca="1">IFERROR(__xludf.DUMMYFUNCTION("""COMPUTED_VALUE"""),"COLINA")</f>
        <v>COLINA</v>
      </c>
    </row>
    <row r="4" spans="1:4">
      <c r="A4" s="7">
        <f ca="1">IFERROR(__xludf.DUMMYFUNCTION("""COMPUTED_VALUE"""),44958)</f>
        <v>44958</v>
      </c>
      <c r="B4" s="6" t="str">
        <f ca="1">IFERROR(__xludf.DUMMYFUNCTION("""COMPUTED_VALUE"""),"-33.266690-70.632420")</f>
        <v>-33.266690-70.632420</v>
      </c>
      <c r="C4" s="6" t="str">
        <f ca="1">IFERROR(__xludf.DUMMYFUNCTION("""COMPUTED_VALUE"""),"SANTA SARA CHICUREO LOTE 50")</f>
        <v>SANTA SARA CHICUREO LOTE 50</v>
      </c>
      <c r="D4" s="6" t="str">
        <f ca="1">IFERROR(__xludf.DUMMYFUNCTION("""COMPUTED_VALUE"""),"COLINA")</f>
        <v>COLINA</v>
      </c>
    </row>
    <row r="5" spans="1:4">
      <c r="A5" s="7">
        <f ca="1">IFERROR(__xludf.DUMMYFUNCTION("""COMPUTED_VALUE"""),44958)</f>
        <v>44958</v>
      </c>
      <c r="B5" s="6" t="str">
        <f ca="1">IFERROR(__xludf.DUMMYFUNCTION("""COMPUTED_VALUE"""),"-33.407600-71.149549")</f>
        <v>-33.407600-71.149549</v>
      </c>
      <c r="C5" s="6" t="str">
        <f ca="1">IFERROR(__xludf.DUMMYFUNCTION("""COMPUTED_VALUE"""),"PA LA VENDIMIA 181")</f>
        <v>PA LA VENDIMIA 181</v>
      </c>
      <c r="D5" s="6" t="str">
        <f ca="1">IFERROR(__xludf.DUMMYFUNCTION("""COMPUTED_VALUE"""),"CURACAVI")</f>
        <v>CURACAVI</v>
      </c>
    </row>
    <row r="6" spans="1:4">
      <c r="A6" s="7">
        <f ca="1">IFERROR(__xludf.DUMMYFUNCTION("""COMPUTED_VALUE"""),44958)</f>
        <v>44958</v>
      </c>
      <c r="B6" s="8" t="str">
        <f ca="1">IFERROR(__xludf.DUMMYFUNCTION("""COMPUTED_VALUE"""),"-33.65415764,-70.6100659")</f>
        <v>-33.65415764,-70.6100659</v>
      </c>
      <c r="C6" s="6" t="str">
        <f ca="1">IFERROR(__xludf.DUMMYFUNCTION("""COMPUTED_VALUE"""),"EL CRUCERAL 12")</f>
        <v>EL CRUCERAL 12</v>
      </c>
      <c r="D6" s="6" t="str">
        <f ca="1">IFERROR(__xludf.DUMMYFUNCTION("""COMPUTED_VALUE"""),"PIRQUE")</f>
        <v>PIRQUE</v>
      </c>
    </row>
    <row r="7" spans="1:4">
      <c r="A7" s="7">
        <f ca="1">IFERROR(__xludf.DUMMYFUNCTION("""COMPUTED_VALUE"""),44958)</f>
        <v>44958</v>
      </c>
      <c r="B7" s="6" t="str">
        <f ca="1">IFERROR(__xludf.DUMMYFUNCTION("""COMPUTED_VALUE"""),"-33.711999,-70.849495")</f>
        <v>-33.711999,-70.849495</v>
      </c>
      <c r="C7" s="6" t="str">
        <f ca="1">IFERROR(__xludf.DUMMYFUNCTION("""COMPUTED_VALUE"""),"SAUCE 432")</f>
        <v>SAUCE 432</v>
      </c>
      <c r="D7" s="6" t="str">
        <f ca="1">IFERROR(__xludf.DUMMYFUNCTION("""COMPUTED_VALUE"""),"TALAGANTE")</f>
        <v>TALAGANTE</v>
      </c>
    </row>
    <row r="8" spans="1:4">
      <c r="A8" s="7">
        <f ca="1">IFERROR(__xludf.DUMMYFUNCTION("""COMPUTED_VALUE"""),44958)</f>
        <v>44958</v>
      </c>
      <c r="B8" s="6" t="str">
        <f ca="1">IFERROR(__xludf.DUMMYFUNCTION("""COMPUTED_VALUE"""),"-33.694957,-71.008777")</f>
        <v>-33.694957,-71.008777</v>
      </c>
      <c r="C8" s="6" t="str">
        <f ca="1">IFERROR(__xludf.DUMMYFUNCTION("""COMPUTED_VALUE"""),"SANTA ISABEL 0467 ")</f>
        <v xml:space="preserve">SANTA ISABEL 0467 </v>
      </c>
      <c r="D8" s="6" t="str">
        <f ca="1">IFERROR(__xludf.DUMMYFUNCTION("""COMPUTED_VALUE"""),"EL MONTE")</f>
        <v>EL MONTE</v>
      </c>
    </row>
    <row r="9" spans="1:4">
      <c r="A9" s="7">
        <f ca="1">IFERROR(__xludf.DUMMYFUNCTION("""COMPUTED_VALUE"""),44958)</f>
        <v>44958</v>
      </c>
      <c r="B9" s="8" t="str">
        <f ca="1">IFERROR(__xludf.DUMMYFUNCTION("""COMPUTED_VALUE"""),"-34.032390:-71101733")</f>
        <v>-34.032390:-71101733</v>
      </c>
      <c r="C9" s="6" t="str">
        <f ca="1">IFERROR(__xludf.DUMMYFUNCTION("""COMPUTED_VALUE"""),"LA PUNTILLA 21 DE MAYO ")</f>
        <v xml:space="preserve">LA PUNTILLA 21 DE MAYO </v>
      </c>
      <c r="D9" s="6" t="str">
        <f ca="1">IFERROR(__xludf.DUMMYFUNCTION("""COMPUTED_VALUE"""),"ALHUÉ")</f>
        <v>ALHUÉ</v>
      </c>
    </row>
    <row r="10" spans="1:4">
      <c r="A10" s="7">
        <f ca="1">IFERROR(__xludf.DUMMYFUNCTION("""COMPUTED_VALUE"""),44958)</f>
        <v>44958</v>
      </c>
      <c r="B10" s="8" t="str">
        <f ca="1">IFERROR(__xludf.DUMMYFUNCTION("""COMPUTED_VALUE"""),"-33.804608:-70.795835")</f>
        <v>-33.804608:-70.795835</v>
      </c>
      <c r="C10" s="6" t="str">
        <f ca="1">IFERROR(__xludf.DUMMYFUNCTION("""COMPUTED_VALUE"""),"PASAJE EL ROBLE ")</f>
        <v xml:space="preserve">PASAJE EL ROBLE </v>
      </c>
      <c r="D10" s="6" t="str">
        <f ca="1">IFERROR(__xludf.DUMMYFUNCTION("""COMPUTED_VALUE"""),"PAINE")</f>
        <v>PAINE</v>
      </c>
    </row>
    <row r="11" spans="1:4">
      <c r="A11" s="7">
        <f ca="1">IFERROR(__xludf.DUMMYFUNCTION("""COMPUTED_VALUE"""),44958)</f>
        <v>44958</v>
      </c>
      <c r="B11" s="8" t="str">
        <f ca="1">IFERROR(__xludf.DUMMYFUNCTION("""COMPUTED_VALUE"""),"-33.8924810:-70.8699220")</f>
        <v>-33.8924810:-70.8699220</v>
      </c>
      <c r="C11" s="6" t="str">
        <f ca="1">IFERROR(__xludf.DUMMYFUNCTION("""COMPUTED_VALUE"""),"PINTUE P14 .")</f>
        <v>PINTUE P14 .</v>
      </c>
      <c r="D11" s="6" t="str">
        <f ca="1">IFERROR(__xludf.DUMMYFUNCTION("""COMPUTED_VALUE"""),"PAINE")</f>
        <v>PAINE</v>
      </c>
    </row>
    <row r="12" spans="1:4">
      <c r="A12" s="7">
        <f ca="1">IFERROR(__xludf.DUMMYFUNCTION("""COMPUTED_VALUE"""),44959)</f>
        <v>44959</v>
      </c>
      <c r="B12" s="6" t="str">
        <f ca="1">IFERROR(__xludf.DUMMYFUNCTION("""COMPUTED_VALUE"""),"-33.193709-70.669279")</f>
        <v>-33.193709-70.669279</v>
      </c>
      <c r="C12" s="6" t="str">
        <f ca="1">IFERROR(__xludf.DUMMYFUNCTION("""COMPUTED_VALUE"""),"PUERTO DE PALOS 361")</f>
        <v>PUERTO DE PALOS 361</v>
      </c>
      <c r="D12" s="6" t="str">
        <f ca="1">IFERROR(__xludf.DUMMYFUNCTION("""COMPUTED_VALUE"""),"COLINA")</f>
        <v>COLINA</v>
      </c>
    </row>
    <row r="13" spans="1:4">
      <c r="A13" s="7">
        <f ca="1">IFERROR(__xludf.DUMMYFUNCTION("""COMPUTED_VALUE"""),44959)</f>
        <v>44959</v>
      </c>
      <c r="B13" s="6" t="str">
        <f ca="1">IFERROR(__xludf.DUMMYFUNCTION("""COMPUTED_VALUE"""),"-34.01478452-71.052222")</f>
        <v>-34.01478452-71.052222</v>
      </c>
      <c r="C13" s="6" t="str">
        <f ca="1">IFERROR(__xludf.DUMMYFUNCTION("""COMPUTED_VALUE"""),"ESMERALDA S/N")</f>
        <v>ESMERALDA S/N</v>
      </c>
      <c r="D13" s="6" t="str">
        <f ca="1">IFERROR(__xludf.DUMMYFUNCTION("""COMPUTED_VALUE"""),"ALHUÉ")</f>
        <v>ALHUÉ</v>
      </c>
    </row>
    <row r="14" spans="1:4">
      <c r="A14" s="7">
        <f ca="1">IFERROR(__xludf.DUMMYFUNCTION("""COMPUTED_VALUE"""),44959)</f>
        <v>44959</v>
      </c>
      <c r="B14" s="6" t="str">
        <f ca="1">IFERROR(__xludf.DUMMYFUNCTION("""COMPUTED_VALUE"""),"-34.014821-71.052190")</f>
        <v>-34.014821-71.052190</v>
      </c>
      <c r="C14" s="6" t="str">
        <f ca="1">IFERROR(__xludf.DUMMYFUNCTION("""COMPUTED_VALUE"""),"CHORRILLOS 536")</f>
        <v>CHORRILLOS 536</v>
      </c>
      <c r="D14" s="6" t="str">
        <f ca="1">IFERROR(__xludf.DUMMYFUNCTION("""COMPUTED_VALUE"""),"ALHUÉ")</f>
        <v>ALHUÉ</v>
      </c>
    </row>
    <row r="15" spans="1:4">
      <c r="A15" s="7">
        <f ca="1">IFERROR(__xludf.DUMMYFUNCTION("""COMPUTED_VALUE"""),44959)</f>
        <v>44959</v>
      </c>
      <c r="B15" s="6" t="str">
        <f ca="1">IFERROR(__xludf.DUMMYFUNCTION("""COMPUTED_VALUE"""),"-34.021396-71.053572")</f>
        <v>-34.021396-71.053572</v>
      </c>
      <c r="C15" s="6" t="str">
        <f ca="1">IFERROR(__xludf.DUMMYFUNCTION("""COMPUTED_VALUE"""),"CHORRILLOS 544")</f>
        <v>CHORRILLOS 544</v>
      </c>
      <c r="D15" s="6" t="str">
        <f ca="1">IFERROR(__xludf.DUMMYFUNCTION("""COMPUTED_VALUE"""),"ALHUÉ")</f>
        <v>ALHUÉ</v>
      </c>
    </row>
    <row r="16" spans="1:4">
      <c r="A16" s="7">
        <f ca="1">IFERROR(__xludf.DUMMYFUNCTION("""COMPUTED_VALUE"""),44959)</f>
        <v>44959</v>
      </c>
      <c r="B16" s="6" t="str">
        <f ca="1">IFERROR(__xludf.DUMMYFUNCTION("""COMPUTED_VALUE"""),"-34.015368-71.055202")</f>
        <v>-34.015368-71.055202</v>
      </c>
      <c r="C16" s="6" t="str">
        <f ca="1">IFERROR(__xludf.DUMMYFUNCTION("""COMPUTED_VALUE"""),"MAIPU S/N")</f>
        <v>MAIPU S/N</v>
      </c>
      <c r="D16" s="6" t="str">
        <f ca="1">IFERROR(__xludf.DUMMYFUNCTION("""COMPUTED_VALUE"""),"ALHUÉ")</f>
        <v>ALHUÉ</v>
      </c>
    </row>
    <row r="17" spans="1:4">
      <c r="A17" s="7">
        <f ca="1">IFERROR(__xludf.DUMMYFUNCTION("""COMPUTED_VALUE"""),44959)</f>
        <v>44959</v>
      </c>
      <c r="B17" s="6" t="str">
        <f ca="1">IFERROR(__xludf.DUMMYFUNCTION("""COMPUTED_VALUE"""),"-33.396227-71.122348")</f>
        <v>-33.396227-71.122348</v>
      </c>
      <c r="C17" s="6" t="str">
        <f ca="1">IFERROR(__xludf.DUMMYFUNCTION("""COMPUTED_VALUE"""),"LAS ARAUCARIAS 498")</f>
        <v>LAS ARAUCARIAS 498</v>
      </c>
      <c r="D17" s="6" t="str">
        <f ca="1">IFERROR(__xludf.DUMMYFUNCTION("""COMPUTED_VALUE"""),"CURACAVI")</f>
        <v>CURACAVI</v>
      </c>
    </row>
    <row r="18" spans="1:4">
      <c r="A18" s="7">
        <f ca="1">IFERROR(__xludf.DUMMYFUNCTION("""COMPUTED_VALUE"""),44959)</f>
        <v>44959</v>
      </c>
      <c r="B18" s="6" t="str">
        <f ca="1">IFERROR(__xludf.DUMMYFUNCTION("""COMPUTED_VALUE"""),"-33.403146-71.122774")</f>
        <v>-33.403146-71.122774</v>
      </c>
      <c r="C18" s="6" t="str">
        <f ca="1">IFERROR(__xludf.DUMMYFUNCTION("""COMPUTED_VALUE"""),"MANUEL FIGUEROA PONCE 2019")</f>
        <v>MANUEL FIGUEROA PONCE 2019</v>
      </c>
      <c r="D18" s="6" t="str">
        <f ca="1">IFERROR(__xludf.DUMMYFUNCTION("""COMPUTED_VALUE"""),"CURACAVI")</f>
        <v>CURACAVI</v>
      </c>
    </row>
    <row r="19" spans="1:4">
      <c r="A19" s="7">
        <f ca="1">IFERROR(__xludf.DUMMYFUNCTION("""COMPUTED_VALUE"""),44959)</f>
        <v>44959</v>
      </c>
      <c r="B19" s="8" t="str">
        <f ca="1">IFERROR(__xludf.DUMMYFUNCTION("""COMPUTED_VALUE"""),"-33.651855,-70.610542")</f>
        <v>-33.651855,-70.610542</v>
      </c>
      <c r="C19" s="6" t="str">
        <f ca="1">IFERROR(__xludf.DUMMYFUNCTION("""COMPUTED_VALUE"""),"VIRGINIA SUBERCASEAUX 3600")</f>
        <v>VIRGINIA SUBERCASEAUX 3600</v>
      </c>
      <c r="D19" s="6" t="str">
        <f ca="1">IFERROR(__xludf.DUMMYFUNCTION("""COMPUTED_VALUE"""),"PIRQUE")</f>
        <v>PIRQUE</v>
      </c>
    </row>
    <row r="20" spans="1:4">
      <c r="A20" s="7">
        <f ca="1">IFERROR(__xludf.DUMMYFUNCTION("""COMPUTED_VALUE"""),44959)</f>
        <v>44959</v>
      </c>
      <c r="B20" s="8" t="str">
        <f ca="1">IFERROR(__xludf.DUMMYFUNCTION("""COMPUTED_VALUE"""),"-33.651855,-70.610542")</f>
        <v>-33.651855,-70.610542</v>
      </c>
      <c r="C20" s="6" t="str">
        <f ca="1">IFERROR(__xludf.DUMMYFUNCTION("""COMPUTED_VALUE"""),"VIRGINIA SUBERCASEAUX 3800")</f>
        <v>VIRGINIA SUBERCASEAUX 3800</v>
      </c>
      <c r="D20" s="6" t="str">
        <f ca="1">IFERROR(__xludf.DUMMYFUNCTION("""COMPUTED_VALUE"""),"PIRQUE")</f>
        <v>PIRQUE</v>
      </c>
    </row>
    <row r="21" spans="1:4">
      <c r="A21" s="7">
        <f ca="1">IFERROR(__xludf.DUMMYFUNCTION("""COMPUTED_VALUE"""),44959)</f>
        <v>44959</v>
      </c>
      <c r="B21" s="8" t="str">
        <f ca="1">IFERROR(__xludf.DUMMYFUNCTION("""COMPUTED_VALUE"""),"-34.030540,-71.098450")</f>
        <v>-34.030540,-71.098450</v>
      </c>
      <c r="C21" s="6" t="str">
        <f ca="1">IFERROR(__xludf.DUMMYFUNCTION("""COMPUTED_VALUE"""),"FEBRERO 12 C")</f>
        <v>FEBRERO 12 C</v>
      </c>
      <c r="D21" s="6" t="str">
        <f ca="1">IFERROR(__xludf.DUMMYFUNCTION("""COMPUTED_VALUE"""),"ALHUE")</f>
        <v>ALHUE</v>
      </c>
    </row>
    <row r="22" spans="1:4">
      <c r="A22" s="7">
        <f ca="1">IFERROR(__xludf.DUMMYFUNCTION("""COMPUTED_VALUE"""),44959)</f>
        <v>44959</v>
      </c>
      <c r="B22" s="6" t="str">
        <f ca="1">IFERROR(__xludf.DUMMYFUNCTION("""COMPUTED_VALUE"""),"-33.287406,-70.879241")</f>
        <v>-33.287406,-70.879241</v>
      </c>
      <c r="C22" s="6" t="str">
        <f ca="1">IFERROR(__xludf.DUMMYFUNCTION("""COMPUTED_VALUE"""),"ALCALDE MARIO RIQUELME 120")</f>
        <v>ALCALDE MARIO RIQUELME 120</v>
      </c>
      <c r="D22" s="6" t="str">
        <f ca="1">IFERROR(__xludf.DUMMYFUNCTION("""COMPUTED_VALUE"""),"LAMPA")</f>
        <v>LAMPA</v>
      </c>
    </row>
    <row r="23" spans="1:4">
      <c r="A23" s="7">
        <f ca="1">IFERROR(__xludf.DUMMYFUNCTION("""COMPUTED_VALUE"""),44959)</f>
        <v>44959</v>
      </c>
      <c r="B23" s="6" t="str">
        <f ca="1">IFERROR(__xludf.DUMMYFUNCTION("""COMPUTED_VALUE"""),"-33.739900,-70.862819")</f>
        <v>-33.739900,-70.862819</v>
      </c>
      <c r="C23" s="6" t="str">
        <f ca="1">IFERROR(__xludf.DUMMYFUNCTION("""COMPUTED_VALUE"""),"LA MANANA 4181")</f>
        <v>LA MANANA 4181</v>
      </c>
      <c r="D23" s="6" t="str">
        <f ca="1">IFERROR(__xludf.DUMMYFUNCTION("""COMPUTED_VALUE"""),"ISLA DE MAIPO")</f>
        <v>ISLA DE MAIPO</v>
      </c>
    </row>
    <row r="24" spans="1:4">
      <c r="A24" s="7">
        <f ca="1">IFERROR(__xludf.DUMMYFUNCTION("""COMPUTED_VALUE"""),44959)</f>
        <v>44959</v>
      </c>
      <c r="B24" s="8" t="str">
        <f ca="1">IFERROR(__xludf.DUMMYFUNCTION("""COMPUTED_VALUE"""),"-34.037200:-71.104478")</f>
        <v>-34.037200:-71.104478</v>
      </c>
      <c r="C24" s="6" t="str">
        <f ca="1">IFERROR(__xludf.DUMMYFUNCTION("""COMPUTED_VALUE"""),"CANCHA DE CARRERA ")</f>
        <v xml:space="preserve">CANCHA DE CARRERA </v>
      </c>
      <c r="D24" s="6" t="str">
        <f ca="1">IFERROR(__xludf.DUMMYFUNCTION("""COMPUTED_VALUE"""),"ALHUÉ")</f>
        <v>ALHUÉ</v>
      </c>
    </row>
    <row r="25" spans="1:4">
      <c r="A25" s="7">
        <f ca="1">IFERROR(__xludf.DUMMYFUNCTION("""COMPUTED_VALUE"""),44959)</f>
        <v>44959</v>
      </c>
      <c r="B25" s="8" t="str">
        <f ca="1">IFERROR(__xludf.DUMMYFUNCTION("""COMPUTED_VALUE"""),"-34.024878:-71083352")</f>
        <v>-34.024878:-71083352</v>
      </c>
      <c r="C25" s="6" t="str">
        <f ca="1">IFERROR(__xludf.DUMMYFUNCTION("""COMPUTED_VALUE"""),"IGNACIO CARRERA PINTO ")</f>
        <v xml:space="preserve">IGNACIO CARRERA PINTO </v>
      </c>
      <c r="D25" s="6" t="str">
        <f ca="1">IFERROR(__xludf.DUMMYFUNCTION("""COMPUTED_VALUE"""),"ALHUÉ")</f>
        <v>ALHUÉ</v>
      </c>
    </row>
    <row r="26" spans="1:4">
      <c r="A26" s="7">
        <f ca="1">IFERROR(__xludf.DUMMYFUNCTION("""COMPUTED_VALUE"""),44960)</f>
        <v>44960</v>
      </c>
      <c r="B26" s="8" t="str">
        <f ca="1">IFERROR(__xludf.DUMMYFUNCTION("""COMPUTED_VALUE"""),"-33.4079048, -70.6626186")</f>
        <v>-33.4079048, -70.6626186</v>
      </c>
      <c r="C26" s="6" t="str">
        <f ca="1">IFERROR(__xludf.DUMMYFUNCTION("""COMPUTED_VALUE"""),"LOS BOLDOS S/N")</f>
        <v>LOS BOLDOS S/N</v>
      </c>
      <c r="D26" s="6" t="str">
        <f ca="1">IFERROR(__xludf.DUMMYFUNCTION("""COMPUTED_VALUE"""),"CURACAVI")</f>
        <v>CURACAVI</v>
      </c>
    </row>
    <row r="27" spans="1:4">
      <c r="A27" s="7">
        <f ca="1">IFERROR(__xludf.DUMMYFUNCTION("""COMPUTED_VALUE"""),44960)</f>
        <v>44960</v>
      </c>
      <c r="B27" s="6" t="str">
        <f ca="1">IFERROR(__xludf.DUMMYFUNCTION("""COMPUTED_VALUE"""),"-33.366856-71.129554")</f>
        <v>-33.366856-71.129554</v>
      </c>
      <c r="C27" s="6" t="str">
        <f ca="1">IFERROR(__xludf.DUMMYFUNCTION("""COMPUTED_VALUE"""),"LA HIJUELA 70")</f>
        <v>LA HIJUELA 70</v>
      </c>
      <c r="D27" s="6" t="str">
        <f ca="1">IFERROR(__xludf.DUMMYFUNCTION("""COMPUTED_VALUE"""),"CURACAVI")</f>
        <v>CURACAVI</v>
      </c>
    </row>
    <row r="28" spans="1:4">
      <c r="A28" s="7">
        <f ca="1">IFERROR(__xludf.DUMMYFUNCTION("""COMPUTED_VALUE"""),44960)</f>
        <v>44960</v>
      </c>
      <c r="B28" s="6" t="str">
        <f ca="1">IFERROR(__xludf.DUMMYFUNCTION("""COMPUTED_VALUE"""),"-33.391151-71.164733")</f>
        <v>-33.391151-71.164733</v>
      </c>
      <c r="C28" s="6" t="str">
        <f ca="1">IFERROR(__xludf.DUMMYFUNCTION("""COMPUTED_VALUE"""),"EL NARANJO S/N")</f>
        <v>EL NARANJO S/N</v>
      </c>
      <c r="D28" s="6" t="str">
        <f ca="1">IFERROR(__xludf.DUMMYFUNCTION("""COMPUTED_VALUE"""),"CURACAVI")</f>
        <v>CURACAVI</v>
      </c>
    </row>
    <row r="29" spans="1:4">
      <c r="A29" s="7">
        <f ca="1">IFERROR(__xludf.DUMMYFUNCTION("""COMPUTED_VALUE"""),44960)</f>
        <v>44960</v>
      </c>
      <c r="B29" s="8" t="str">
        <f ca="1">IFERROR(__xludf.DUMMYFUNCTION("""COMPUTED_VALUE"""),"-33.672234,-70.986822")</f>
        <v>-33.672234,-70.986822</v>
      </c>
      <c r="C29" s="6" t="str">
        <f ca="1">IFERROR(__xludf.DUMMYFUNCTION("""COMPUTED_VALUE"""),"LA ESTACION 350")</f>
        <v>LA ESTACION 350</v>
      </c>
      <c r="D29" s="6" t="str">
        <f ca="1">IFERROR(__xludf.DUMMYFUNCTION("""COMPUTED_VALUE"""),"EL MONTE")</f>
        <v>EL MONTE</v>
      </c>
    </row>
    <row r="30" spans="1:4">
      <c r="A30" s="7">
        <f ca="1">IFERROR(__xludf.DUMMYFUNCTION("""COMPUTED_VALUE"""),44960)</f>
        <v>44960</v>
      </c>
      <c r="B30" s="6" t="str">
        <f ca="1">IFERROR(__xludf.DUMMYFUNCTION("""COMPUTED_VALUE"""),"-33.654884,-70.911760")</f>
        <v>-33.654884,-70.911760</v>
      </c>
      <c r="C30" s="6" t="str">
        <f ca="1">IFERROR(__xludf.DUMMYFUNCTION("""COMPUTED_VALUE"""),"PA RIO CLARO 605")</f>
        <v>PA RIO CLARO 605</v>
      </c>
      <c r="D30" s="6" t="str">
        <f ca="1">IFERROR(__xludf.DUMMYFUNCTION("""COMPUTED_VALUE"""),"TALAGANTE")</f>
        <v>TALAGANTE</v>
      </c>
    </row>
    <row r="31" spans="1:4">
      <c r="A31" s="7">
        <f ca="1">IFERROR(__xludf.DUMMYFUNCTION("""COMPUTED_VALUE"""),44960)</f>
        <v>44960</v>
      </c>
      <c r="B31" s="6" t="str">
        <f ca="1">IFERROR(__xludf.DUMMYFUNCTION("""COMPUTED_VALUE"""),"-33,162494,-70,525470")</f>
        <v>-33,162494,-70,525470</v>
      </c>
      <c r="C31" s="6" t="str">
        <f ca="1">IFERROR(__xludf.DUMMYFUNCTION("""COMPUTED_VALUE"""),"NUEVO PORVENIR P.16")</f>
        <v>NUEVO PORVENIR P.16</v>
      </c>
      <c r="D31" s="6" t="str">
        <f ca="1">IFERROR(__xludf.DUMMYFUNCTION("""COMPUTED_VALUE"""),"LAMPA")</f>
        <v>LAMPA</v>
      </c>
    </row>
    <row r="32" spans="1:4">
      <c r="A32" s="7">
        <f ca="1">IFERROR(__xludf.DUMMYFUNCTION("""COMPUTED_VALUE"""),44961)</f>
        <v>44961</v>
      </c>
      <c r="B32" s="6" t="str">
        <f ca="1">IFERROR(__xludf.DUMMYFUNCTION("""COMPUTED_VALUE"""),"-33.599673-70.890839")</f>
        <v>-33.599673-70.890839</v>
      </c>
      <c r="C32" s="6" t="str">
        <f ca="1">IFERROR(__xludf.DUMMYFUNCTION("""COMPUTED_VALUE"""),"CONVENTO 3925")</f>
        <v>CONVENTO 3925</v>
      </c>
      <c r="D32" s="6" t="str">
        <f ca="1">IFERROR(__xludf.DUMMYFUNCTION("""COMPUTED_VALUE"""),"PEÑAFLOR")</f>
        <v>PEÑAFLOR</v>
      </c>
    </row>
    <row r="33" spans="1:4">
      <c r="A33" s="7">
        <f ca="1">IFERROR(__xludf.DUMMYFUNCTION("""COMPUTED_VALUE"""),44961)</f>
        <v>44961</v>
      </c>
      <c r="B33" s="6" t="str">
        <f ca="1">IFERROR(__xludf.DUMMYFUNCTION("""COMPUTED_VALUE"""),"-33.223641-71.125321")</f>
        <v>-33.223641-71.125321</v>
      </c>
      <c r="C33" s="6" t="str">
        <f ca="1">IFERROR(__xludf.DUMMYFUNCTION("""COMPUTED_VALUE"""),"ANA VILCHE DE PACHECO 601")</f>
        <v>ANA VILCHE DE PACHECO 601</v>
      </c>
      <c r="D33" s="6" t="str">
        <f ca="1">IFERROR(__xludf.DUMMYFUNCTION("""COMPUTED_VALUE"""),"CURACAVI")</f>
        <v>CURACAVI</v>
      </c>
    </row>
    <row r="34" spans="1:4">
      <c r="A34" s="7">
        <f ca="1">IFERROR(__xludf.DUMMYFUNCTION("""COMPUTED_VALUE"""),44961)</f>
        <v>44961</v>
      </c>
      <c r="B34" s="6" t="str">
        <f ca="1">IFERROR(__xludf.DUMMYFUNCTION("""COMPUTED_VALUE"""),"-33.240549,-70739240")</f>
        <v>-33.240549,-70739240</v>
      </c>
      <c r="C34" s="6" t="str">
        <f ca="1">IFERROR(__xludf.DUMMYFUNCTION("""COMPUTED_VALUE"""),"LIRAY 9 ")</f>
        <v xml:space="preserve">LIRAY 9 </v>
      </c>
      <c r="D34" s="6" t="str">
        <f ca="1">IFERROR(__xludf.DUMMYFUNCTION("""COMPUTED_VALUE"""),"COLINA")</f>
        <v>COLINA</v>
      </c>
    </row>
    <row r="35" spans="1:4">
      <c r="A35" s="7">
        <f ca="1">IFERROR(__xludf.DUMMYFUNCTION("""COMPUTED_VALUE"""),44963)</f>
        <v>44963</v>
      </c>
      <c r="B35" s="8" t="str">
        <f ca="1">IFERROR(__xludf.DUMMYFUNCTION("""COMPUTED_VALUE"""),"-33.436278, -70.6861797")</f>
        <v>-33.436278, -70.6861797</v>
      </c>
      <c r="C35" s="6" t="str">
        <f ca="1">IFERROR(__xludf.DUMMYFUNCTION("""COMPUTED_VALUE"""),"MARIA PINTO FAJARDO 388")</f>
        <v>MARIA PINTO FAJARDO 388</v>
      </c>
      <c r="D35" s="6" t="str">
        <f ca="1">IFERROR(__xludf.DUMMYFUNCTION("""COMPUTED_VALUE"""),"BUIN")</f>
        <v>BUIN</v>
      </c>
    </row>
    <row r="36" spans="1:4">
      <c r="A36" s="7">
        <f ca="1">IFERROR(__xludf.DUMMYFUNCTION("""COMPUTED_VALUE"""),44963)</f>
        <v>44963</v>
      </c>
      <c r="B36" s="8" t="str">
        <f ca="1">IFERROR(__xludf.DUMMYFUNCTION("""COMPUTED_VALUE"""),"-33.2177729, -70.7758826")</f>
        <v>-33.2177729, -70.7758826</v>
      </c>
      <c r="C36" s="6" t="str">
        <f ca="1">IFERROR(__xludf.DUMMYFUNCTION("""COMPUTED_VALUE"""),"COQUIMBO 1793")</f>
        <v>COQUIMBO 1793</v>
      </c>
      <c r="D36" s="6" t="str">
        <f ca="1">IFERROR(__xludf.DUMMYFUNCTION("""COMPUTED_VALUE"""),"LAMPA")</f>
        <v>LAMPA</v>
      </c>
    </row>
    <row r="37" spans="1:4">
      <c r="A37" s="7">
        <f ca="1">IFERROR(__xludf.DUMMYFUNCTION("""COMPUTED_VALUE"""),44963)</f>
        <v>44963</v>
      </c>
      <c r="B37" s="8" t="str">
        <f ca="1">IFERROR(__xludf.DUMMYFUNCTION("""COMPUTED_VALUE"""),"33.6173901, -70.6297144")</f>
        <v>33.6173901, -70.6297144</v>
      </c>
      <c r="C37" s="6" t="str">
        <f ca="1">IFERROR(__xludf.DUMMYFUNCTION("""COMPUTED_VALUE"""),"ABATE MOLINA 2701")</f>
        <v>ABATE MOLINA 2701</v>
      </c>
      <c r="D37" s="6" t="str">
        <f ca="1">IFERROR(__xludf.DUMMYFUNCTION("""COMPUTED_VALUE"""),"COLINA")</f>
        <v>COLINA</v>
      </c>
    </row>
    <row r="38" spans="1:4">
      <c r="A38" s="7">
        <f ca="1">IFERROR(__xludf.DUMMYFUNCTION("""COMPUTED_VALUE"""),44963)</f>
        <v>44963</v>
      </c>
      <c r="B38" s="6" t="str">
        <f ca="1">IFERROR(__xludf.DUMMYFUNCTION("""COMPUTED_VALUE"""),"-33.2883833, -70.8868967")</f>
        <v>-33.2883833, -70.8868967</v>
      </c>
      <c r="C38" s="6" t="str">
        <f ca="1">IFERROR(__xludf.DUMMYFUNCTION("""COMPUTED_VALUE"""),"LACOPA CASA 10 L 85")</f>
        <v>LACOPA CASA 10 L 85</v>
      </c>
      <c r="D38" s="6" t="str">
        <f ca="1">IFERROR(__xludf.DUMMYFUNCTION("""COMPUTED_VALUE"""),"LAMPA")</f>
        <v>LAMPA</v>
      </c>
    </row>
    <row r="39" spans="1:4">
      <c r="A39" s="7">
        <f ca="1">IFERROR(__xludf.DUMMYFUNCTION("""COMPUTED_VALUE"""),44963)</f>
        <v>44963</v>
      </c>
      <c r="B39" s="6" t="str">
        <f ca="1">IFERROR(__xludf.DUMMYFUNCTION("""COMPUTED_VALUE"""),"-33.817092, - 70622091")</f>
        <v>-33.817092, - 70622091</v>
      </c>
      <c r="C39" s="6" t="str">
        <f ca="1">IFERROR(__xludf.DUMMYFUNCTION("""COMPUTED_VALUE"""),"RINCONADA DE HUELPEN S/N")</f>
        <v>RINCONADA DE HUELPEN S/N</v>
      </c>
      <c r="D39" s="6" t="str">
        <f ca="1">IFERROR(__xludf.DUMMYFUNCTION("""COMPUTED_VALUE"""),"PAINE")</f>
        <v>PAINE</v>
      </c>
    </row>
    <row r="40" spans="1:4">
      <c r="A40" s="7">
        <f ca="1">IFERROR(__xludf.DUMMYFUNCTION("""COMPUTED_VALUE"""),44963)</f>
        <v>44963</v>
      </c>
      <c r="B40" s="6" t="str">
        <f ca="1">IFERROR(__xludf.DUMMYFUNCTION("""COMPUTED_VALUE"""),"- 33,733060, - 70.762530")</f>
        <v>- 33,733060, - 70.762530</v>
      </c>
      <c r="C40" s="6" t="str">
        <f ca="1">IFERROR(__xludf.DUMMYFUNCTION("""COMPUTED_VALUE"""),"DIEGO OSORIO 73")</f>
        <v>DIEGO OSORIO 73</v>
      </c>
      <c r="D40" s="6" t="str">
        <f ca="1">IFERROR(__xludf.DUMMYFUNCTION("""COMPUTED_VALUE"""),"BUIN")</f>
        <v>BUIN</v>
      </c>
    </row>
    <row r="41" spans="1:4">
      <c r="A41" s="7">
        <f ca="1">IFERROR(__xludf.DUMMYFUNCTION("""COMPUTED_VALUE"""),44963)</f>
        <v>44963</v>
      </c>
      <c r="B41" s="8" t="str">
        <f ca="1">IFERROR(__xludf.DUMMYFUNCTION("""COMPUTED_VALUE"""),"-33.7453028, -70.9125682")</f>
        <v>-33.7453028, -70.9125682</v>
      </c>
      <c r="C41" s="6" t="str">
        <f ca="1">IFERROR(__xludf.DUMMYFUNCTION("""COMPUTED_VALUE"""),"LO MARTINEZ 997")</f>
        <v>LO MARTINEZ 997</v>
      </c>
      <c r="D41" s="6" t="str">
        <f ca="1">IFERROR(__xludf.DUMMYFUNCTION("""COMPUTED_VALUE"""),"ISLA DE MAIPO")</f>
        <v>ISLA DE MAIPO</v>
      </c>
    </row>
    <row r="42" spans="1:4">
      <c r="A42" s="7">
        <f ca="1">IFERROR(__xludf.DUMMYFUNCTION("""COMPUTED_VALUE"""),44963)</f>
        <v>44963</v>
      </c>
      <c r="B42" s="8" t="str">
        <f ca="1">IFERROR(__xludf.DUMMYFUNCTION("""COMPUTED_VALUE"""),"-33.732250:-70954697")</f>
        <v>-33.732250:-70954697</v>
      </c>
      <c r="C42" s="6" t="str">
        <f ca="1">IFERROR(__xludf.DUMMYFUNCTION("""COMPUTED_VALUE"""),"SAN ANTONIO  DE NALTAHUA  4614")</f>
        <v>SAN ANTONIO  DE NALTAHUA  4614</v>
      </c>
      <c r="D42" s="6" t="str">
        <f ca="1">IFERROR(__xludf.DUMMYFUNCTION("""COMPUTED_VALUE"""),"ISLA DE MAIPO")</f>
        <v>ISLA DE MAIPO</v>
      </c>
    </row>
    <row r="43" spans="1:4">
      <c r="A43" s="7">
        <f ca="1">IFERROR(__xludf.DUMMYFUNCTION("""COMPUTED_VALUE"""),44963)</f>
        <v>44963</v>
      </c>
      <c r="B43" s="8" t="str">
        <f ca="1">IFERROR(__xludf.DUMMYFUNCTION("""COMPUTED_VALUE"""),"-33.834485:-71.372122")</f>
        <v>-33.834485:-71.372122</v>
      </c>
      <c r="C43" s="6" t="str">
        <f ca="1">IFERROR(__xludf.DUMMYFUNCTION("""COMPUTED_VALUE"""),"PARCELA 16 LAS TINAJAS ")</f>
        <v xml:space="preserve">PARCELA 16 LAS TINAJAS </v>
      </c>
      <c r="D43" s="6" t="str">
        <f ca="1">IFERROR(__xludf.DUMMYFUNCTION("""COMPUTED_VALUE"""),"MELIPILLA")</f>
        <v>MELIPILLA</v>
      </c>
    </row>
    <row r="44" spans="1:4">
      <c r="A44" s="7">
        <f ca="1">IFERROR(__xludf.DUMMYFUNCTION("""COMPUTED_VALUE"""),44963)</f>
        <v>44963</v>
      </c>
      <c r="B44" s="8" t="str">
        <f ca="1">IFERROR(__xludf.DUMMYFUNCTION("""COMPUTED_VALUE"""),"-33.757872:-71.326056")</f>
        <v>-33.757872:-71.326056</v>
      </c>
      <c r="C44" s="6" t="str">
        <f ca="1">IFERROR(__xludf.DUMMYFUNCTION("""COMPUTED_VALUE"""),"LOS ALAMOS 50 CODIGUA ")</f>
        <v xml:space="preserve">LOS ALAMOS 50 CODIGUA </v>
      </c>
      <c r="D44" s="6" t="str">
        <f ca="1">IFERROR(__xludf.DUMMYFUNCTION("""COMPUTED_VALUE"""),"MELIPILLA")</f>
        <v>MELIPILLA</v>
      </c>
    </row>
    <row r="45" spans="1:4">
      <c r="A45" s="7">
        <f ca="1">IFERROR(__xludf.DUMMYFUNCTION("""COMPUTED_VALUE"""),44963)</f>
        <v>44963</v>
      </c>
      <c r="B45" s="6" t="str">
        <f ca="1">IFERROR(__xludf.DUMMYFUNCTION("""COMPUTED_VALUE"""),"-33,288062,-70,877536")</f>
        <v>-33,288062,-70,877536</v>
      </c>
      <c r="C45" s="6" t="str">
        <f ca="1">IFERROR(__xludf.DUMMYFUNCTION("""COMPUTED_VALUE"""),"PJE. LAGO PEÑUELA 1251")</f>
        <v>PJE. LAGO PEÑUELA 1251</v>
      </c>
      <c r="D45" s="6" t="str">
        <f ca="1">IFERROR(__xludf.DUMMYFUNCTION("""COMPUTED_VALUE"""),"LAMPA")</f>
        <v>LAMPA</v>
      </c>
    </row>
    <row r="46" spans="1:4">
      <c r="A46" s="7">
        <f ca="1">IFERROR(__xludf.DUMMYFUNCTION("""COMPUTED_VALUE"""),44963)</f>
        <v>44963</v>
      </c>
      <c r="B46" s="6" t="str">
        <f ca="1">IFERROR(__xludf.DUMMYFUNCTION("""COMPUTED_VALUE"""),"-33,266910,-70.890083")</f>
        <v>-33,266910,-70.890083</v>
      </c>
      <c r="C46" s="6" t="str">
        <f ca="1">IFERROR(__xludf.DUMMYFUNCTION("""COMPUTED_VALUE"""),"VALLE DE LA LUNA P.26")</f>
        <v>VALLE DE LA LUNA P.26</v>
      </c>
      <c r="D46" s="6" t="str">
        <f ca="1">IFERROR(__xludf.DUMMYFUNCTION("""COMPUTED_VALUE"""),"LAMPA")</f>
        <v>LAMPA</v>
      </c>
    </row>
    <row r="47" spans="1:4">
      <c r="A47" s="7">
        <f ca="1">IFERROR(__xludf.DUMMYFUNCTION("""COMPUTED_VALUE"""),44963)</f>
        <v>44963</v>
      </c>
      <c r="B47" s="6" t="str">
        <f ca="1">IFERROR(__xludf.DUMMYFUNCTION("""COMPUTED_VALUE"""),"-33,266910,-70.890083")</f>
        <v>-33,266910,-70.890083</v>
      </c>
      <c r="C47" s="6" t="str">
        <f ca="1">IFERROR(__xludf.DUMMYFUNCTION("""COMPUTED_VALUE"""),"VALLE DE LA LUNA P.26")</f>
        <v>VALLE DE LA LUNA P.26</v>
      </c>
      <c r="D47" s="6" t="str">
        <f ca="1">IFERROR(__xludf.DUMMYFUNCTION("""COMPUTED_VALUE"""),"LAMPA")</f>
        <v>LAMPA</v>
      </c>
    </row>
    <row r="48" spans="1:4">
      <c r="A48" s="7">
        <f ca="1">IFERROR(__xludf.DUMMYFUNCTION("""COMPUTED_VALUE"""),44963)</f>
        <v>44963</v>
      </c>
      <c r="B48" s="6" t="str">
        <f ca="1">IFERROR(__xludf.DUMMYFUNCTION("""COMPUTED_VALUE"""),"-33,288062,-70,877536")</f>
        <v>-33,288062,-70,877536</v>
      </c>
      <c r="C48" s="6" t="str">
        <f ca="1">IFERROR(__xludf.DUMMYFUNCTION("""COMPUTED_VALUE"""),"P. LAGO PEÑUELA 1251")</f>
        <v>P. LAGO PEÑUELA 1251</v>
      </c>
      <c r="D48" s="6" t="str">
        <f ca="1">IFERROR(__xludf.DUMMYFUNCTION("""COMPUTED_VALUE"""),"LAMPA")</f>
        <v>LAMPA</v>
      </c>
    </row>
    <row r="49" spans="1:4">
      <c r="A49" s="7">
        <f ca="1">IFERROR(__xludf.DUMMYFUNCTION("""COMPUTED_VALUE"""),44964)</f>
        <v>44964</v>
      </c>
      <c r="B49" s="8" t="str">
        <f ca="1">IFERROR(__xludf.DUMMYFUNCTION("""COMPUTED_VALUE"""),"-33.1840912, -70.6495988")</f>
        <v>-33.1840912, -70.6495988</v>
      </c>
      <c r="C49" s="6" t="str">
        <f ca="1">IFERROR(__xludf.DUMMYFUNCTION("""COMPUTED_VALUE"""),"COQUIMBO 26")</f>
        <v>COQUIMBO 26</v>
      </c>
      <c r="D49" s="6" t="str">
        <f ca="1">IFERROR(__xludf.DUMMYFUNCTION("""COMPUTED_VALUE"""),"COLINA")</f>
        <v>COLINA</v>
      </c>
    </row>
    <row r="50" spans="1:4">
      <c r="A50" s="7">
        <f ca="1">IFERROR(__xludf.DUMMYFUNCTION("""COMPUTED_VALUE"""),44964)</f>
        <v>44964</v>
      </c>
      <c r="B50" s="8" t="str">
        <f ca="1">IFERROR(__xludf.DUMMYFUNCTION("""COMPUTED_VALUE"""),"-33.748126,-70.896202")</f>
        <v>-33.748126,-70.896202</v>
      </c>
      <c r="C50" s="6" t="str">
        <f ca="1">IFERROR(__xludf.DUMMYFUNCTION("""COMPUTED_VALUE"""),"NUEVA ESPERANZA 97")</f>
        <v>NUEVA ESPERANZA 97</v>
      </c>
      <c r="D50" s="6" t="str">
        <f ca="1">IFERROR(__xludf.DUMMYFUNCTION("""COMPUTED_VALUE"""),"ISLA DE MAIPO")</f>
        <v>ISLA DE MAIPO</v>
      </c>
    </row>
    <row r="51" spans="1:4">
      <c r="A51" s="7">
        <f ca="1">IFERROR(__xludf.DUMMYFUNCTION("""COMPUTED_VALUE"""),44964)</f>
        <v>44964</v>
      </c>
      <c r="B51" s="8" t="str">
        <f ca="1">IFERROR(__xludf.DUMMYFUNCTION("""COMPUTED_VALUE"""),"-33.715856,-70.558611")</f>
        <v>-33.715856,-70.558611</v>
      </c>
      <c r="C51" s="6" t="str">
        <f ca="1">IFERROR(__xludf.DUMMYFUNCTION("""COMPUTED_VALUE"""),"LA ALAMEDA P 18A")</f>
        <v>LA ALAMEDA P 18A</v>
      </c>
      <c r="D51" s="6" t="str">
        <f ca="1">IFERROR(__xludf.DUMMYFUNCTION("""COMPUTED_VALUE"""),"PIRQUE")</f>
        <v>PIRQUE</v>
      </c>
    </row>
    <row r="52" spans="1:4">
      <c r="A52" s="7">
        <f ca="1">IFERROR(__xludf.DUMMYFUNCTION("""COMPUTED_VALUE"""),44964)</f>
        <v>44964</v>
      </c>
      <c r="B52" s="8" t="str">
        <f ca="1">IFERROR(__xludf.DUMMYFUNCTION("""COMPUTED_VALUE"""),"-33.6990320,-70.5762990")</f>
        <v>-33.6990320,-70.5762990</v>
      </c>
      <c r="C52" s="6" t="str">
        <f ca="1">IFERROR(__xludf.DUMMYFUNCTION("""COMPUTED_VALUE"""),"LAS BANDURRIAS P/25")</f>
        <v>LAS BANDURRIAS P/25</v>
      </c>
      <c r="D52" s="6" t="str">
        <f ca="1">IFERROR(__xludf.DUMMYFUNCTION("""COMPUTED_VALUE"""),"PIRQUE")</f>
        <v>PIRQUE</v>
      </c>
    </row>
    <row r="53" spans="1:4">
      <c r="A53" s="7">
        <f ca="1">IFERROR(__xludf.DUMMYFUNCTION("""COMPUTED_VALUE"""),44964)</f>
        <v>44964</v>
      </c>
      <c r="B53" s="6" t="str">
        <f ca="1">IFERROR(__xludf.DUMMYFUNCTION("""COMPUTED_VALUE"""),"- 33.718791, - 70.744041")</f>
        <v>- 33.718791, - 70.744041</v>
      </c>
      <c r="C53" s="6" t="str">
        <f ca="1">IFERROR(__xludf.DUMMYFUNCTION("""COMPUTED_VALUE"""),"JOSE JOAQUIN PEREZ 970 ")</f>
        <v xml:space="preserve">JOSE JOAQUIN PEREZ 970 </v>
      </c>
      <c r="D53" s="6" t="str">
        <f ca="1">IFERROR(__xludf.DUMMYFUNCTION("""COMPUTED_VALUE"""),"BUIN")</f>
        <v>BUIN</v>
      </c>
    </row>
    <row r="54" spans="1:4">
      <c r="A54" s="7">
        <f ca="1">IFERROR(__xludf.DUMMYFUNCTION("""COMPUTED_VALUE"""),44964)</f>
        <v>44964</v>
      </c>
      <c r="B54" s="8" t="str">
        <f ca="1">IFERROR(__xludf.DUMMYFUNCTION("""COMPUTED_VALUE"""),"-34.032031:-71.012315")</f>
        <v>-34.032031:-71.012315</v>
      </c>
      <c r="C54" s="6" t="str">
        <f ca="1">IFERROR(__xludf.DUMMYFUNCTION("""COMPUTED_VALUE"""),"EL ASIENTO ")</f>
        <v xml:space="preserve">EL ASIENTO </v>
      </c>
      <c r="D54" s="6" t="str">
        <f ca="1">IFERROR(__xludf.DUMMYFUNCTION("""COMPUTED_VALUE"""),"ALHUÉ")</f>
        <v>ALHUÉ</v>
      </c>
    </row>
    <row r="55" spans="1:4">
      <c r="A55" s="7">
        <f ca="1">IFERROR(__xludf.DUMMYFUNCTION("""COMPUTED_VALUE"""),44964)</f>
        <v>44964</v>
      </c>
      <c r="B55" s="8" t="str">
        <f ca="1">IFERROR(__xludf.DUMMYFUNCTION("""COMPUTED_VALUE"""),"-34.036205:-71.096928")</f>
        <v>-34.036205:-71.096928</v>
      </c>
      <c r="C55" s="6" t="str">
        <f ca="1">IFERROR(__xludf.DUMMYFUNCTION("""COMPUTED_VALUE"""),"MAIPU 567 ALHUE")</f>
        <v>MAIPU 567 ALHUE</v>
      </c>
      <c r="D55" s="6" t="str">
        <f ca="1">IFERROR(__xludf.DUMMYFUNCTION("""COMPUTED_VALUE"""),"ALHUÉ")</f>
        <v>ALHUÉ</v>
      </c>
    </row>
    <row r="56" spans="1:4">
      <c r="A56" s="7">
        <f ca="1">IFERROR(__xludf.DUMMYFUNCTION("""COMPUTED_VALUE"""),44965)</f>
        <v>44965</v>
      </c>
      <c r="B56" s="8" t="str">
        <f ca="1">IFERROR(__xludf.DUMMYFUNCTION("""COMPUTED_VALUE"""),"-33.3261884, -70.7671385")</f>
        <v>-33.3261884, -70.7671385</v>
      </c>
      <c r="C56" s="6" t="str">
        <f ca="1">IFERROR(__xludf.DUMMYFUNCTION("""COMPUTED_VALUE"""),"MIRAFLORES 1135")</f>
        <v>MIRAFLORES 1135</v>
      </c>
      <c r="D56" s="6" t="str">
        <f ca="1">IFERROR(__xludf.DUMMYFUNCTION("""COMPUTED_VALUE"""),"PEÑAFLOR")</f>
        <v>PEÑAFLOR</v>
      </c>
    </row>
    <row r="57" spans="1:4">
      <c r="A57" s="7">
        <f ca="1">IFERROR(__xludf.DUMMYFUNCTION("""COMPUTED_VALUE"""),44965)</f>
        <v>44965</v>
      </c>
      <c r="B57" s="6" t="str">
        <f ca="1">IFERROR(__xludf.DUMMYFUNCTION("""COMPUTED_VALUE"""),"-33.366856-71.129554")</f>
        <v>-33.366856-71.129554</v>
      </c>
      <c r="C57" s="6" t="str">
        <f ca="1">IFERROR(__xludf.DUMMYFUNCTION("""COMPUTED_VALUE"""),"LA HIJUELA 70")</f>
        <v>LA HIJUELA 70</v>
      </c>
      <c r="D57" s="6" t="str">
        <f ca="1">IFERROR(__xludf.DUMMYFUNCTION("""COMPUTED_VALUE"""),"CURACAVI")</f>
        <v>CURACAVI</v>
      </c>
    </row>
    <row r="58" spans="1:4">
      <c r="A58" s="7">
        <f ca="1">IFERROR(__xludf.DUMMYFUNCTION("""COMPUTED_VALUE"""),44965)</f>
        <v>44965</v>
      </c>
      <c r="B58" s="8" t="str">
        <f ca="1">IFERROR(__xludf.DUMMYFUNCTION("""COMPUTED_VALUE"""),"-33.7085640,-70.6113730")</f>
        <v>-33.7085640,-70.6113730</v>
      </c>
      <c r="C58" s="6" t="str">
        <f ca="1">IFERROR(__xludf.DUMMYFUNCTION("""COMPUTED_VALUE"""),"LLANOS DEL PRINCIPAL C/9")</f>
        <v>LLANOS DEL PRINCIPAL C/9</v>
      </c>
      <c r="D58" s="6" t="str">
        <f ca="1">IFERROR(__xludf.DUMMYFUNCTION("""COMPUTED_VALUE"""),"PIRQUE")</f>
        <v>PIRQUE</v>
      </c>
    </row>
    <row r="59" spans="1:4">
      <c r="A59" s="7">
        <f ca="1">IFERROR(__xludf.DUMMYFUNCTION("""COMPUTED_VALUE"""),44965)</f>
        <v>44965</v>
      </c>
      <c r="B59" s="8" t="str">
        <f ca="1">IFERROR(__xludf.DUMMYFUNCTION("""COMPUTED_VALUE"""),"-33.7085640,-70.6113730")</f>
        <v>-33.7085640,-70.6113730</v>
      </c>
      <c r="C59" s="6" t="str">
        <f ca="1">IFERROR(__xludf.DUMMYFUNCTION("""COMPUTED_VALUE"""),"LLANOS DEL PRINCIPAL C/9")</f>
        <v>LLANOS DEL PRINCIPAL C/9</v>
      </c>
      <c r="D59" s="6" t="str">
        <f ca="1">IFERROR(__xludf.DUMMYFUNCTION("""COMPUTED_VALUE"""),"PIRQUE")</f>
        <v>PIRQUE</v>
      </c>
    </row>
    <row r="60" spans="1:4">
      <c r="A60" s="7">
        <f ca="1">IFERROR(__xludf.DUMMYFUNCTION("""COMPUTED_VALUE"""),44965)</f>
        <v>44965</v>
      </c>
      <c r="B60" s="8" t="str">
        <f ca="1">IFERROR(__xludf.DUMMYFUNCTION("""COMPUTED_VALUE"""),"-33.759823,-71.309015")</f>
        <v>-33.759823,-71.309015</v>
      </c>
      <c r="C60" s="6" t="str">
        <f ca="1">IFERROR(__xludf.DUMMYFUNCTION("""COMPUTED_VALUE"""),"CODIGUA S/N P/32 S 6")</f>
        <v>CODIGUA S/N P/32 S 6</v>
      </c>
      <c r="D60" s="6" t="str">
        <f ca="1">IFERROR(__xludf.DUMMYFUNCTION("""COMPUTED_VALUE"""),"MELIPILLA")</f>
        <v>MELIPILLA</v>
      </c>
    </row>
    <row r="61" spans="1:4">
      <c r="A61" s="7">
        <f ca="1">IFERROR(__xludf.DUMMYFUNCTION("""COMPUTED_VALUE"""),44965)</f>
        <v>44965</v>
      </c>
      <c r="B61" s="6" t="str">
        <f ca="1">IFERROR(__xludf.DUMMYFUNCTION("""COMPUTED_VALUE"""),"-33.598.361, - 70.869354")</f>
        <v>-33.598.361, - 70.869354</v>
      </c>
      <c r="C61" s="6" t="str">
        <f ca="1">IFERROR(__xludf.DUMMYFUNCTION("""COMPUTED_VALUE"""),"AVDA MIRAFLORES 1337")</f>
        <v>AVDA MIRAFLORES 1337</v>
      </c>
      <c r="D61" s="6" t="str">
        <f ca="1">IFERROR(__xludf.DUMMYFUNCTION("""COMPUTED_VALUE"""),"PEÑAFLOR")</f>
        <v>PEÑAFLOR</v>
      </c>
    </row>
    <row r="62" spans="1:4">
      <c r="A62" s="7">
        <f ca="1">IFERROR(__xludf.DUMMYFUNCTION("""COMPUTED_VALUE"""),44965)</f>
        <v>44965</v>
      </c>
      <c r="B62" s="6" t="str">
        <f ca="1">IFERROR(__xludf.DUMMYFUNCTION("""COMPUTED_VALUE"""),"-33.598.361, - 70.869354")</f>
        <v>-33.598.361, - 70.869354</v>
      </c>
      <c r="C62" s="6" t="str">
        <f ca="1">IFERROR(__xludf.DUMMYFUNCTION("""COMPUTED_VALUE"""),"AVDA MIRAFLORES 1338")</f>
        <v>AVDA MIRAFLORES 1338</v>
      </c>
      <c r="D62" s="6" t="str">
        <f ca="1">IFERROR(__xludf.DUMMYFUNCTION("""COMPUTED_VALUE"""),"PEÑAFLOR")</f>
        <v>PEÑAFLOR</v>
      </c>
    </row>
    <row r="63" spans="1:4">
      <c r="A63" s="7">
        <f ca="1">IFERROR(__xludf.DUMMYFUNCTION("""COMPUTED_VALUE"""),44965)</f>
        <v>44965</v>
      </c>
      <c r="B63" s="8" t="str">
        <f ca="1">IFERROR(__xludf.DUMMYFUNCTION("""COMPUTED_VALUE"""),"-34.031869:/71.098231")</f>
        <v>-34.031869:/71.098231</v>
      </c>
      <c r="C63" s="6" t="str">
        <f ca="1">IFERROR(__xludf.DUMMYFUNCTION("""COMPUTED_VALUE"""),"CALLE 21 DE MAYO ")</f>
        <v xml:space="preserve">CALLE 21 DE MAYO </v>
      </c>
      <c r="D63" s="6" t="str">
        <f ca="1">IFERROR(__xludf.DUMMYFUNCTION("""COMPUTED_VALUE"""),"ALHUÉ")</f>
        <v>ALHUÉ</v>
      </c>
    </row>
    <row r="64" spans="1:4">
      <c r="A64" s="7">
        <f ca="1">IFERROR(__xludf.DUMMYFUNCTION("""COMPUTED_VALUE"""),44965)</f>
        <v>44965</v>
      </c>
      <c r="B64" s="8" t="str">
        <f ca="1">IFERROR(__xludf.DUMMYFUNCTION("""COMPUTED_VALUE"""),"-34.029423:-71.082249")</f>
        <v>-34.029423:-71.082249</v>
      </c>
      <c r="C64" s="6" t="str">
        <f ca="1">IFERROR(__xludf.DUMMYFUNCTION("""COMPUTED_VALUE"""),"P.IGNACIO CARRERA PINTO.")</f>
        <v>P.IGNACIO CARRERA PINTO.</v>
      </c>
      <c r="D64" s="6" t="str">
        <f ca="1">IFERROR(__xludf.DUMMYFUNCTION("""COMPUTED_VALUE"""),"ALHUÉ")</f>
        <v>ALHUÉ</v>
      </c>
    </row>
    <row r="65" spans="1:4">
      <c r="A65" s="7">
        <f ca="1">IFERROR(__xludf.DUMMYFUNCTION("""COMPUTED_VALUE"""),44965)</f>
        <v>44965</v>
      </c>
      <c r="B65" s="6" t="str">
        <f ca="1">IFERROR(__xludf.DUMMYFUNCTION("""COMPUTED_VALUE"""),"-34,015940,-71.064380")</f>
        <v>-34,015940,-71.064380</v>
      </c>
      <c r="C65" s="6" t="str">
        <f ca="1">IFERROR(__xludf.DUMMYFUNCTION("""COMPUTED_VALUE"""),"21 DE MAYO S/N")</f>
        <v>21 DE MAYO S/N</v>
      </c>
      <c r="D65" s="6" t="str">
        <f ca="1">IFERROR(__xludf.DUMMYFUNCTION("""COMPUTED_VALUE"""),"ALHUÉ")</f>
        <v>ALHUÉ</v>
      </c>
    </row>
    <row r="66" spans="1:4">
      <c r="A66" s="7">
        <f ca="1">IFERROR(__xludf.DUMMYFUNCTION("""COMPUTED_VALUE"""),44965)</f>
        <v>44965</v>
      </c>
      <c r="B66" s="6" t="str">
        <f ca="1">IFERROR(__xludf.DUMMYFUNCTION("""COMPUTED_VALUE"""),"-34,013951,-71.055269")</f>
        <v>-34,013951,-71.055269</v>
      </c>
      <c r="C66" s="6" t="str">
        <f ca="1">IFERROR(__xludf.DUMMYFUNCTION("""COMPUTED_VALUE"""),"21 DE MAYO S/N")</f>
        <v>21 DE MAYO S/N</v>
      </c>
      <c r="D66" s="6" t="str">
        <f ca="1">IFERROR(__xludf.DUMMYFUNCTION("""COMPUTED_VALUE"""),"ALHUÉ")</f>
        <v>ALHUÉ</v>
      </c>
    </row>
    <row r="67" spans="1:4">
      <c r="A67" s="7">
        <f ca="1">IFERROR(__xludf.DUMMYFUNCTION("""COMPUTED_VALUE"""),44965)</f>
        <v>44965</v>
      </c>
      <c r="B67" s="6" t="str">
        <f ca="1">IFERROR(__xludf.DUMMYFUNCTION("""COMPUTED_VALUE"""),"-33.432197,-70.030932")</f>
        <v>-33.432197,-70.030932</v>
      </c>
      <c r="C67" s="6" t="str">
        <f ca="1">IFERROR(__xludf.DUMMYFUNCTION("""COMPUTED_VALUE"""),"V. SAN JOSE SITIO 14-C3")</f>
        <v>V. SAN JOSE SITIO 14-C3</v>
      </c>
      <c r="D67" s="6" t="str">
        <f ca="1">IFERROR(__xludf.DUMMYFUNCTION("""COMPUTED_VALUE"""),"CURACAVI")</f>
        <v>CURACAVI</v>
      </c>
    </row>
    <row r="68" spans="1:4">
      <c r="A68" s="7">
        <f ca="1">IFERROR(__xludf.DUMMYFUNCTION("""COMPUTED_VALUE"""),44965)</f>
        <v>44965</v>
      </c>
      <c r="B68" s="6" t="str">
        <f ca="1">IFERROR(__xludf.DUMMYFUNCTION("""COMPUTED_VALUE"""),"-33.406951,-71.146475")</f>
        <v>-33.406951,-71.146475</v>
      </c>
      <c r="C68" s="6" t="str">
        <f ca="1">IFERROR(__xludf.DUMMYFUNCTION("""COMPUTED_VALUE"""),"DE SALAZAR 435 C181")</f>
        <v>DE SALAZAR 435 C181</v>
      </c>
      <c r="D68" s="6" t="str">
        <f ca="1">IFERROR(__xludf.DUMMYFUNCTION("""COMPUTED_VALUE"""),"CURACAVI")</f>
        <v>CURACAVI</v>
      </c>
    </row>
    <row r="69" spans="1:4">
      <c r="A69" s="7">
        <f ca="1">IFERROR(__xludf.DUMMYFUNCTION("""COMPUTED_VALUE"""),44966)</f>
        <v>44966</v>
      </c>
      <c r="B69" s="6" t="str">
        <f ca="1">IFERROR(__xludf.DUMMYFUNCTION("""COMPUTED_VALUE"""),"-33.7259786, -70.7697543")</f>
        <v>-33.7259786, -70.7697543</v>
      </c>
      <c r="C69" s="6" t="str">
        <f ca="1">IFERROR(__xludf.DUMMYFUNCTION("""COMPUTED_VALUE"""),"MAXIMILIANO VALDES 2957")</f>
        <v>MAXIMILIANO VALDES 2957</v>
      </c>
      <c r="D69" s="6" t="str">
        <f ca="1">IFERROR(__xludf.DUMMYFUNCTION("""COMPUTED_VALUE"""),"BUIN")</f>
        <v>BUIN</v>
      </c>
    </row>
    <row r="70" spans="1:4">
      <c r="A70" s="7">
        <f ca="1">IFERROR(__xludf.DUMMYFUNCTION("""COMPUTED_VALUE"""),44966)</f>
        <v>44966</v>
      </c>
      <c r="B70" s="8" t="str">
        <f ca="1">IFERROR(__xludf.DUMMYFUNCTION("""COMPUTED_VALUE"""),"-33.575951,-70.831322")</f>
        <v>-33.575951,-70.831322</v>
      </c>
      <c r="C70" s="6" t="str">
        <f ca="1">IFERROR(__xludf.DUMMYFUNCTION("""COMPUTED_VALUE"""),"OBISPO CONCHA 407")</f>
        <v>OBISPO CONCHA 407</v>
      </c>
      <c r="D70" s="6" t="str">
        <f ca="1">IFERROR(__xludf.DUMMYFUNCTION("""COMPUTED_VALUE"""),"PADRE HURTADO")</f>
        <v>PADRE HURTADO</v>
      </c>
    </row>
    <row r="71" spans="1:4">
      <c r="A71" s="7">
        <f ca="1">IFERROR(__xludf.DUMMYFUNCTION("""COMPUTED_VALUE"""),44966)</f>
        <v>44966</v>
      </c>
      <c r="B71" s="8" t="str">
        <f ca="1">IFERROR(__xludf.DUMMYFUNCTION("""COMPUTED_VALUE"""),"-33.732039,-70.859423")</f>
        <v>-33.732039,-70.859423</v>
      </c>
      <c r="C71" s="6" t="str">
        <f ca="1">IFERROR(__xludf.DUMMYFUNCTION("""COMPUTED_VALUE"""),"PATRICIO BECERRA 128")</f>
        <v>PATRICIO BECERRA 128</v>
      </c>
      <c r="D71" s="6" t="str">
        <f ca="1">IFERROR(__xludf.DUMMYFUNCTION("""COMPUTED_VALUE"""),"ISLA DE MAIPO")</f>
        <v>ISLA DE MAIPO</v>
      </c>
    </row>
    <row r="72" spans="1:4">
      <c r="A72" s="7">
        <f ca="1">IFERROR(__xludf.DUMMYFUNCTION("""COMPUTED_VALUE"""),44966)</f>
        <v>44966</v>
      </c>
      <c r="B72" s="8" t="str">
        <f ca="1">IFERROR(__xludf.DUMMYFUNCTION("""COMPUTED_VALUE"""),"-33.766838,-71.282325")</f>
        <v>-33.766838,-71.282325</v>
      </c>
      <c r="C72" s="6" t="str">
        <f ca="1">IFERROR(__xludf.DUMMYFUNCTION("""COMPUTED_VALUE"""),"SAN MANUEL KM 3 S/N")</f>
        <v>SAN MANUEL KM 3 S/N</v>
      </c>
      <c r="D72" s="6" t="str">
        <f ca="1">IFERROR(__xludf.DUMMYFUNCTION("""COMPUTED_VALUE"""),"MELIPILLA")</f>
        <v>MELIPILLA</v>
      </c>
    </row>
    <row r="73" spans="1:4">
      <c r="A73" s="7">
        <f ca="1">IFERROR(__xludf.DUMMYFUNCTION("""COMPUTED_VALUE"""),44966)</f>
        <v>44966</v>
      </c>
      <c r="B73" s="8" t="str">
        <f ca="1">IFERROR(__xludf.DUMMYFUNCTION("""COMPUTED_VALUE"""),"-33.6662060,-70.625330")</f>
        <v>-33.6662060,-70.625330</v>
      </c>
      <c r="C73" s="6" t="str">
        <f ca="1">IFERROR(__xludf.DUMMYFUNCTION("""COMPUTED_VALUE"""),"LO HERRERA S/N")</f>
        <v>LO HERRERA S/N</v>
      </c>
      <c r="D73" s="6" t="str">
        <f ca="1">IFERROR(__xludf.DUMMYFUNCTION("""COMPUTED_VALUE"""),"PIRQUE")</f>
        <v>PIRQUE</v>
      </c>
    </row>
    <row r="74" spans="1:4">
      <c r="A74" s="7">
        <f ca="1">IFERROR(__xludf.DUMMYFUNCTION("""COMPUTED_VALUE"""),44966)</f>
        <v>44966</v>
      </c>
      <c r="B74" s="6" t="str">
        <f ca="1">IFERROR(__xludf.DUMMYFUNCTION("""COMPUTED_VALUE"""),"-33,281611,-70.849693")</f>
        <v>-33,281611,-70.849693</v>
      </c>
      <c r="C74" s="6" t="str">
        <f ca="1">IFERROR(__xludf.DUMMYFUNCTION("""COMPUTED_VALUE"""),"NUEVO PORVENIR H14")</f>
        <v>NUEVO PORVENIR H14</v>
      </c>
      <c r="D74" s="6" t="str">
        <f ca="1">IFERROR(__xludf.DUMMYFUNCTION("""COMPUTED_VALUE"""),"LAMPA")</f>
        <v>LAMPA</v>
      </c>
    </row>
    <row r="75" spans="1:4">
      <c r="A75" s="7">
        <f ca="1">IFERROR(__xludf.DUMMYFUNCTION("""COMPUTED_VALUE"""),44967)</f>
        <v>44967</v>
      </c>
      <c r="B75" s="6" t="str">
        <f ca="1">IFERROR(__xludf.DUMMYFUNCTION("""COMPUTED_VALUE"""),"-33.599671-70.850478")</f>
        <v>-33.599671-70.850478</v>
      </c>
      <c r="C75" s="6" t="str">
        <f ca="1">IFERROR(__xludf.DUMMYFUNCTION("""COMPUTED_VALUE"""),"JUAN PABLO SEGUNDO 0125")</f>
        <v>JUAN PABLO SEGUNDO 0125</v>
      </c>
      <c r="D75" s="6" t="str">
        <f ca="1">IFERROR(__xludf.DUMMYFUNCTION("""COMPUTED_VALUE"""),"PEÑAFLOR")</f>
        <v>PEÑAFLOR</v>
      </c>
    </row>
    <row r="76" spans="1:4">
      <c r="A76" s="7">
        <f ca="1">IFERROR(__xludf.DUMMYFUNCTION("""COMPUTED_VALUE"""),44967)</f>
        <v>44967</v>
      </c>
      <c r="B76" s="8" t="str">
        <f ca="1">IFERROR(__xludf.DUMMYFUNCTION("""COMPUTED_VALUE"""),"-33.679673,-71.193568")</f>
        <v>-33.679673,-71.193568</v>
      </c>
      <c r="C76" s="6" t="str">
        <f ca="1">IFERROR(__xludf.DUMMYFUNCTION("""COMPUTED_VALUE"""),"ESMERALDA 62")</f>
        <v>ESMERALDA 62</v>
      </c>
      <c r="D76" s="6" t="str">
        <f ca="1">IFERROR(__xludf.DUMMYFUNCTION("""COMPUTED_VALUE"""),"MELIPILLA")</f>
        <v>MELIPILLA</v>
      </c>
    </row>
    <row r="77" spans="1:4">
      <c r="A77" s="7">
        <f ca="1">IFERROR(__xludf.DUMMYFUNCTION("""COMPUTED_VALUE"""),44967)</f>
        <v>44967</v>
      </c>
      <c r="B77" s="6" t="str">
        <f ca="1">IFERROR(__xludf.DUMMYFUNCTION("""COMPUTED_VALUE"""),"-34,015940,-71.064380")</f>
        <v>-34,015940,-71.064380</v>
      </c>
      <c r="C77" s="6" t="str">
        <f ca="1">IFERROR(__xludf.DUMMYFUNCTION("""COMPUTED_VALUE"""),"21 DE MAYO S/N")</f>
        <v>21 DE MAYO S/N</v>
      </c>
      <c r="D77" s="6" t="str">
        <f ca="1">IFERROR(__xludf.DUMMYFUNCTION("""COMPUTED_VALUE"""),"ALHUÉ")</f>
        <v>ALHUÉ</v>
      </c>
    </row>
    <row r="78" spans="1:4">
      <c r="A78" s="7">
        <f ca="1">IFERROR(__xludf.DUMMYFUNCTION("""COMPUTED_VALUE"""),44967)</f>
        <v>44967</v>
      </c>
      <c r="B78" s="6" t="str">
        <f ca="1">IFERROR(__xludf.DUMMYFUNCTION("""COMPUTED_VALUE"""),"-34,013951,-71.055269")</f>
        <v>-34,013951,-71.055269</v>
      </c>
      <c r="C78" s="6" t="str">
        <f ca="1">IFERROR(__xludf.DUMMYFUNCTION("""COMPUTED_VALUE"""),"CAMINO PUBLICO 7 S/N")</f>
        <v>CAMINO PUBLICO 7 S/N</v>
      </c>
      <c r="D78" s="6" t="str">
        <f ca="1">IFERROR(__xludf.DUMMYFUNCTION("""COMPUTED_VALUE"""),"ALHUÉ")</f>
        <v>ALHUÉ</v>
      </c>
    </row>
    <row r="79" spans="1:4">
      <c r="A79" s="7">
        <f ca="1">IFERROR(__xludf.DUMMYFUNCTION("""COMPUTED_VALUE"""),44968)</f>
        <v>44968</v>
      </c>
      <c r="B79" s="6" t="str">
        <f ca="1">IFERROR(__xludf.DUMMYFUNCTION("""COMPUTED_VALUE"""),"- 33.240.217, 70.815878")</f>
        <v>- 33.240.217, 70.815878</v>
      </c>
      <c r="C79" s="6" t="str">
        <f ca="1">IFERROR(__xludf.DUMMYFUNCTION("""COMPUTED_VALUE"""),"ALGARROBO 061")</f>
        <v>ALGARROBO 061</v>
      </c>
      <c r="D79" s="6" t="str">
        <f ca="1">IFERROR(__xludf.DUMMYFUNCTION("""COMPUTED_VALUE"""),"LAMPA")</f>
        <v>LAMPA</v>
      </c>
    </row>
    <row r="80" spans="1:4">
      <c r="A80" s="7">
        <f ca="1">IFERROR(__xludf.DUMMYFUNCTION("""COMPUTED_VALUE"""),44970)</f>
        <v>44970</v>
      </c>
      <c r="B80" s="8" t="str">
        <f ca="1">IFERROR(__xludf.DUMMYFUNCTION("""COMPUTED_VALUE"""),"-33.734067,-70.760538")</f>
        <v>-33.734067,-70.760538</v>
      </c>
      <c r="C80" s="6" t="str">
        <f ca="1">IFERROR(__xludf.DUMMYFUNCTION("""COMPUTED_VALUE"""),"CAM BUIN MAIPO 1967 C 5")</f>
        <v>CAM BUIN MAIPO 1967 C 5</v>
      </c>
      <c r="D80" s="6" t="str">
        <f ca="1">IFERROR(__xludf.DUMMYFUNCTION("""COMPUTED_VALUE"""),"BUIN")</f>
        <v>BUIN</v>
      </c>
    </row>
    <row r="81" spans="1:4">
      <c r="A81" s="7">
        <f ca="1">IFERROR(__xludf.DUMMYFUNCTION("""COMPUTED_VALUE"""),44970)</f>
        <v>44970</v>
      </c>
      <c r="B81" s="6" t="str">
        <f ca="1">IFERROR(__xludf.DUMMYFUNCTION("""COMPUTED_VALUE"""),"-33.431171,-71.032196")</f>
        <v>-33.431171,-71.032196</v>
      </c>
      <c r="C81" s="6" t="str">
        <f ca="1">IFERROR(__xludf.DUMMYFUNCTION("""COMPUTED_VALUE"""),"UNION SAN JOSE S-18")</f>
        <v>UNION SAN JOSE S-18</v>
      </c>
      <c r="D81" s="6" t="str">
        <f ca="1">IFERROR(__xludf.DUMMYFUNCTION("""COMPUTED_VALUE"""),"CURACAVI")</f>
        <v>CURACAVI</v>
      </c>
    </row>
    <row r="82" spans="1:4">
      <c r="A82" s="7">
        <f ca="1">IFERROR(__xludf.DUMMYFUNCTION("""COMPUTED_VALUE"""),44970)</f>
        <v>44970</v>
      </c>
      <c r="B82" s="6" t="str">
        <f ca="1">IFERROR(__xludf.DUMMYFUNCTION("""COMPUTED_VALUE"""),"-33.512264,-70.986699")</f>
        <v>-33.512264,-70.986699</v>
      </c>
      <c r="C82" s="6" t="str">
        <f ca="1">IFERROR(__xludf.DUMMYFUNCTION("""COMPUTED_VALUE"""),"LA PATAGUILLA S/N")</f>
        <v>LA PATAGUILLA S/N</v>
      </c>
      <c r="D82" s="6" t="str">
        <f ca="1">IFERROR(__xludf.DUMMYFUNCTION("""COMPUTED_VALUE"""),"CURACAVI")</f>
        <v>CURACAVI</v>
      </c>
    </row>
    <row r="83" spans="1:4">
      <c r="A83" s="7">
        <f ca="1">IFERROR(__xludf.DUMMYFUNCTION("""COMPUTED_VALUE"""),44970)</f>
        <v>44970</v>
      </c>
      <c r="B83" s="6" t="str">
        <f ca="1">IFERROR(__xludf.DUMMYFUNCTION("""COMPUTED_VALUE"""),"-33.450851,-71.027948")</f>
        <v>-33.450851,-71.027948</v>
      </c>
      <c r="C83" s="6" t="str">
        <f ca="1">IFERROR(__xludf.DUMMYFUNCTION("""COMPUTED_VALUE"""),"CO. PADRE HURTADO S/25")</f>
        <v>CO. PADRE HURTADO S/25</v>
      </c>
      <c r="D83" s="6" t="str">
        <f ca="1">IFERROR(__xludf.DUMMYFUNCTION("""COMPUTED_VALUE"""),"CURACAVI")</f>
        <v>CURACAVI</v>
      </c>
    </row>
    <row r="84" spans="1:4">
      <c r="A84" s="7">
        <f ca="1">IFERROR(__xludf.DUMMYFUNCTION("""COMPUTED_VALUE"""),44971)</f>
        <v>44971</v>
      </c>
      <c r="B84" s="8" t="str">
        <f ca="1">IFERROR(__xludf.DUMMYFUNCTION("""COMPUTED_VALUE"""),"-33.5074134, -70.7991683")</f>
        <v>-33.5074134, -70.7991683</v>
      </c>
      <c r="C84" s="6" t="str">
        <f ca="1">IFERROR(__xludf.DUMMYFUNCTION("""COMPUTED_VALUE"""),"ROTO CHILENO S/N")</f>
        <v>ROTO CHILENO S/N</v>
      </c>
      <c r="D84" s="6" t="str">
        <f ca="1">IFERROR(__xludf.DUMMYFUNCTION("""COMPUTED_VALUE"""),"TALAGANTE")</f>
        <v>TALAGANTE</v>
      </c>
    </row>
    <row r="85" spans="1:4">
      <c r="A85" s="7">
        <f ca="1">IFERROR(__xludf.DUMMYFUNCTION("""COMPUTED_VALUE"""),44972)</f>
        <v>44972</v>
      </c>
      <c r="B85" s="8" t="str">
        <f ca="1">IFERROR(__xludf.DUMMYFUNCTION("""COMPUTED_VALUE"""),"-33.6128151, -70.8984242")</f>
        <v>-33.6128151, -70.8984242</v>
      </c>
      <c r="C85" s="6" t="str">
        <f ca="1">IFERROR(__xludf.DUMMYFUNCTION("""COMPUTED_VALUE"""),"INTERIOR 155")</f>
        <v>INTERIOR 155</v>
      </c>
      <c r="D85" s="6" t="str">
        <f ca="1">IFERROR(__xludf.DUMMYFUNCTION("""COMPUTED_VALUE"""),"PEÑAFLOR")</f>
        <v>PEÑAFLOR</v>
      </c>
    </row>
    <row r="86" spans="1:4">
      <c r="A86" s="7">
        <f ca="1">IFERROR(__xludf.DUMMYFUNCTION("""COMPUTED_VALUE"""),44972)</f>
        <v>44972</v>
      </c>
      <c r="B86" s="6" t="str">
        <f ca="1">IFERROR(__xludf.DUMMYFUNCTION("""COMPUTED_VALUE"""),"-34021527-71.052280")</f>
        <v>-34021527-71.052280</v>
      </c>
      <c r="C86" s="6" t="str">
        <f ca="1">IFERROR(__xludf.DUMMYFUNCTION("""COMPUTED_VALUE"""),"VEINTIUNO DE MAYO S/N")</f>
        <v>VEINTIUNO DE MAYO S/N</v>
      </c>
      <c r="D86" s="6" t="str">
        <f ca="1">IFERROR(__xludf.DUMMYFUNCTION("""COMPUTED_VALUE"""),"ALHUÉ")</f>
        <v>ALHUÉ</v>
      </c>
    </row>
    <row r="87" spans="1:4">
      <c r="A87" s="7">
        <f ca="1">IFERROR(__xludf.DUMMYFUNCTION("""COMPUTED_VALUE"""),44972)</f>
        <v>44972</v>
      </c>
      <c r="B87" s="6" t="str">
        <f ca="1">IFERROR(__xludf.DUMMYFUNCTION("""COMPUTED_VALUE"""),"-34.022528-71.062155")</f>
        <v>-34.022528-71.062155</v>
      </c>
      <c r="C87" s="6" t="str">
        <f ca="1">IFERROR(__xludf.DUMMYFUNCTION("""COMPUTED_VALUE"""),"VEINTIUNO DE MAYO S/N")</f>
        <v>VEINTIUNO DE MAYO S/N</v>
      </c>
      <c r="D87" s="6" t="str">
        <f ca="1">IFERROR(__xludf.DUMMYFUNCTION("""COMPUTED_VALUE"""),"ALHUÉ")</f>
        <v>ALHUÉ</v>
      </c>
    </row>
    <row r="88" spans="1:4">
      <c r="A88" s="7">
        <f ca="1">IFERROR(__xludf.DUMMYFUNCTION("""COMPUTED_VALUE"""),44972)</f>
        <v>44972</v>
      </c>
      <c r="B88" s="8" t="str">
        <f ca="1">IFERROR(__xludf.DUMMYFUNCTION("""COMPUTED_VALUE"""),"-33.679712,-70.995570")</f>
        <v>-33.679712,-70.995570</v>
      </c>
      <c r="C88" s="6" t="str">
        <f ca="1">IFERROR(__xludf.DUMMYFUNCTION("""COMPUTED_VALUE"""),"BAQUEDANO 778 CASA F")</f>
        <v>BAQUEDANO 778 CASA F</v>
      </c>
      <c r="D88" s="6" t="str">
        <f ca="1">IFERROR(__xludf.DUMMYFUNCTION("""COMPUTED_VALUE"""),"EL MONTE")</f>
        <v>EL MONTE</v>
      </c>
    </row>
    <row r="89" spans="1:4">
      <c r="A89" s="7">
        <f ca="1">IFERROR(__xludf.DUMMYFUNCTION("""COMPUTED_VALUE"""),44972)</f>
        <v>44972</v>
      </c>
      <c r="B89" s="8" t="str">
        <f ca="1">IFERROR(__xludf.DUMMYFUNCTION("""COMPUTED_VALUE"""),"-33.735429,-70.913475")</f>
        <v>-33.735429,-70.913475</v>
      </c>
      <c r="C89" s="6" t="str">
        <f ca="1">IFERROR(__xludf.DUMMYFUNCTION("""COMPUTED_VALUE"""),"SAN LUIS 50")</f>
        <v>SAN LUIS 50</v>
      </c>
      <c r="D89" s="6" t="str">
        <f ca="1">IFERROR(__xludf.DUMMYFUNCTION("""COMPUTED_VALUE"""),"ISLA DE MAIPO")</f>
        <v>ISLA DE MAIPO</v>
      </c>
    </row>
    <row r="90" spans="1:4">
      <c r="A90" s="7">
        <f ca="1">IFERROR(__xludf.DUMMYFUNCTION("""COMPUTED_VALUE"""),44972)</f>
        <v>44972</v>
      </c>
      <c r="B90" s="8" t="str">
        <f ca="1">IFERROR(__xludf.DUMMYFUNCTION("""COMPUTED_VALUE"""),"-33.735429,-70.913475")</f>
        <v>-33.735429,-70.913475</v>
      </c>
      <c r="C90" s="6" t="str">
        <f ca="1">IFERROR(__xludf.DUMMYFUNCTION("""COMPUTED_VALUE"""),"SAN LUIS 50")</f>
        <v>SAN LUIS 50</v>
      </c>
      <c r="D90" s="6" t="str">
        <f ca="1">IFERROR(__xludf.DUMMYFUNCTION("""COMPUTED_VALUE"""),"ISLA DE MAIPO")</f>
        <v>ISLA DE MAIPO</v>
      </c>
    </row>
    <row r="91" spans="1:4">
      <c r="A91" s="7">
        <f ca="1">IFERROR(__xludf.DUMMYFUNCTION("""COMPUTED_VALUE"""),44972)</f>
        <v>44972</v>
      </c>
      <c r="B91" s="8" t="str">
        <f ca="1">IFERROR(__xludf.DUMMYFUNCTION("""COMPUTED_VALUE"""),"-33.753981,-70.903124")</f>
        <v>-33.753981,-70.903124</v>
      </c>
      <c r="C91" s="6" t="str">
        <f ca="1">IFERROR(__xludf.DUMMYFUNCTION("""COMPUTED_VALUE"""),"ROSARIO 6")</f>
        <v>ROSARIO 6</v>
      </c>
      <c r="D91" s="6" t="str">
        <f ca="1">IFERROR(__xludf.DUMMYFUNCTION("""COMPUTED_VALUE"""),"ISLA DE MAIPO")</f>
        <v>ISLA DE MAIPO</v>
      </c>
    </row>
    <row r="92" spans="1:4">
      <c r="A92" s="7">
        <f ca="1">IFERROR(__xludf.DUMMYFUNCTION("""COMPUTED_VALUE"""),44972)</f>
        <v>44972</v>
      </c>
      <c r="B92" s="8" t="str">
        <f ca="1">IFERROR(__xludf.DUMMYFUNCTION("""COMPUTED_VALUE"""),"-33.994464:-71.430113")</f>
        <v>-33.994464:-71.430113</v>
      </c>
      <c r="C92" s="6" t="str">
        <f ca="1">IFERROR(__xludf.DUMMYFUNCTION("""COMPUTED_VALUE"""),"LOICA ARRIBA ")</f>
        <v xml:space="preserve">LOICA ARRIBA </v>
      </c>
      <c r="D92" s="6" t="str">
        <f ca="1">IFERROR(__xludf.DUMMYFUNCTION("""COMPUTED_VALUE"""),"MELIPILLA")</f>
        <v>MELIPILLA</v>
      </c>
    </row>
    <row r="93" spans="1:4">
      <c r="A93" s="7">
        <f ca="1">IFERROR(__xludf.DUMMYFUNCTION("""COMPUTED_VALUE"""),44972)</f>
        <v>44972</v>
      </c>
      <c r="B93" s="8" t="str">
        <f ca="1">IFERROR(__xludf.DUMMYFUNCTION("""COMPUTED_VALUE"""),"-33.833051:-71.350475")</f>
        <v>-33.833051:-71.350475</v>
      </c>
      <c r="C93" s="6" t="str">
        <f ca="1">IFERROR(__xludf.DUMMYFUNCTION("""COMPUTED_VALUE"""),"RUTA G60 ")</f>
        <v xml:space="preserve">RUTA G60 </v>
      </c>
      <c r="D93" s="6" t="str">
        <f ca="1">IFERROR(__xludf.DUMMYFUNCTION("""COMPUTED_VALUE"""),"MELIPILLA")</f>
        <v>MELIPILLA</v>
      </c>
    </row>
    <row r="94" spans="1:4">
      <c r="A94" s="7">
        <f ca="1">IFERROR(__xludf.DUMMYFUNCTION("""COMPUTED_VALUE"""),44972)</f>
        <v>44972</v>
      </c>
      <c r="B94" s="6" t="str">
        <f ca="1">IFERROR(__xludf.DUMMYFUNCTION("""COMPUTED_VALUE"""),"-33.402293,-71.134001")</f>
        <v>-33.402293,-71.134001</v>
      </c>
      <c r="C94" s="6" t="str">
        <f ca="1">IFERROR(__xludf.DUMMYFUNCTION("""COMPUTED_VALUE"""),"PJE. CINCO DE OCTUBRE 185")</f>
        <v>PJE. CINCO DE OCTUBRE 185</v>
      </c>
      <c r="D94" s="6" t="str">
        <f ca="1">IFERROR(__xludf.DUMMYFUNCTION("""COMPUTED_VALUE"""),"CURACAVI")</f>
        <v>CURACAVI</v>
      </c>
    </row>
    <row r="95" spans="1:4">
      <c r="A95" s="7">
        <f ca="1">IFERROR(__xludf.DUMMYFUNCTION("""COMPUTED_VALUE"""),44972)</f>
        <v>44972</v>
      </c>
      <c r="B95" s="6" t="str">
        <f ca="1">IFERROR(__xludf.DUMMYFUNCTION("""COMPUTED_VALUE"""),"-33.400764,-71,203793")</f>
        <v>-33.400764,-71,203793</v>
      </c>
      <c r="C95" s="6" t="str">
        <f ca="1">IFERROR(__xludf.DUMMYFUNCTION("""COMPUTED_VALUE"""),"RUTA 68 KM 51")</f>
        <v>RUTA 68 KM 51</v>
      </c>
      <c r="D95" s="6" t="str">
        <f ca="1">IFERROR(__xludf.DUMMYFUNCTION("""COMPUTED_VALUE"""),"CURACAVI")</f>
        <v>CURACAVI</v>
      </c>
    </row>
    <row r="96" spans="1:4">
      <c r="A96" s="7">
        <f ca="1">IFERROR(__xludf.DUMMYFUNCTION("""COMPUTED_VALUE"""),44972)</f>
        <v>44972</v>
      </c>
      <c r="B96" s="6" t="str">
        <f ca="1">IFERROR(__xludf.DUMMYFUNCTION("""COMPUTED_VALUE"""),"-33.274446,-71.012424")</f>
        <v>-33.274446,-71.012424</v>
      </c>
      <c r="C96" s="6" t="str">
        <f ca="1">IFERROR(__xludf.DUMMYFUNCTION("""COMPUTED_VALUE"""),"B. SAN JUAN PARC. 16")</f>
        <v>B. SAN JUAN PARC. 16</v>
      </c>
      <c r="D96" s="6" t="str">
        <f ca="1">IFERROR(__xludf.DUMMYFUNCTION("""COMPUTED_VALUE"""),"CURACAVI")</f>
        <v>CURACAVI</v>
      </c>
    </row>
    <row r="97" spans="1:4">
      <c r="A97" s="7">
        <f ca="1">IFERROR(__xludf.DUMMYFUNCTION("""COMPUTED_VALUE"""),44973)</f>
        <v>44973</v>
      </c>
      <c r="B97" s="8" t="str">
        <f ca="1">IFERROR(__xludf.DUMMYFUNCTION("""COMPUTED_VALUE"""),"-33.8034253, -70.6629756")</f>
        <v>-33.8034253, -70.6629756</v>
      </c>
      <c r="C97" s="6" t="str">
        <f ca="1">IFERROR(__xludf.DUMMYFUNCTION("""COMPUTED_VALUE"""),"LA VICTORIA LL")</f>
        <v>LA VICTORIA LL</v>
      </c>
      <c r="D97" s="6" t="str">
        <f ca="1">IFERROR(__xludf.DUMMYFUNCTION("""COMPUTED_VALUE"""),"PAINE")</f>
        <v>PAINE</v>
      </c>
    </row>
    <row r="98" spans="1:4">
      <c r="A98" s="7">
        <f ca="1">IFERROR(__xludf.DUMMYFUNCTION("""COMPUTED_VALUE"""),44973)</f>
        <v>44973</v>
      </c>
      <c r="B98" s="6" t="str">
        <f ca="1">IFERROR(__xludf.DUMMYFUNCTION("""COMPUTED_VALUE"""),"-33.391151-71.164733")</f>
        <v>-33.391151-71.164733</v>
      </c>
      <c r="C98" s="6" t="str">
        <f ca="1">IFERROR(__xludf.DUMMYFUNCTION("""COMPUTED_VALUE"""),"EL ROSAL 416")</f>
        <v>EL ROSAL 416</v>
      </c>
      <c r="D98" s="6" t="str">
        <f ca="1">IFERROR(__xludf.DUMMYFUNCTION("""COMPUTED_VALUE"""),"CURACAVI")</f>
        <v>CURACAVI</v>
      </c>
    </row>
    <row r="99" spans="1:4">
      <c r="A99" s="7">
        <f ca="1">IFERROR(__xludf.DUMMYFUNCTION("""COMPUTED_VALUE"""),44973)</f>
        <v>44973</v>
      </c>
      <c r="B99" s="8" t="str">
        <f ca="1">IFERROR(__xludf.DUMMYFUNCTION("""COMPUTED_VALUE"""),"-34.029878:-71.100247")</f>
        <v>-34.029878:-71.100247</v>
      </c>
      <c r="C99" s="6" t="str">
        <f ca="1">IFERROR(__xludf.DUMMYFUNCTION("""COMPUTED_VALUE"""),"BERNARDO O'HIGGINS ")</f>
        <v xml:space="preserve">BERNARDO O'HIGGINS </v>
      </c>
      <c r="D99" s="6" t="str">
        <f ca="1">IFERROR(__xludf.DUMMYFUNCTION("""COMPUTED_VALUE"""),"ALHUÉ")</f>
        <v>ALHUÉ</v>
      </c>
    </row>
    <row r="100" spans="1:4">
      <c r="A100" s="7">
        <f ca="1">IFERROR(__xludf.DUMMYFUNCTION("""COMPUTED_VALUE"""),44973)</f>
        <v>44973</v>
      </c>
      <c r="B100" s="8" t="str">
        <f ca="1">IFERROR(__xludf.DUMMYFUNCTION("""COMPUTED_VALUE"""),"-34.029878:-71.100247")</f>
        <v>-34.029878:-71.100247</v>
      </c>
      <c r="C100" s="6" t="str">
        <f ca="1">IFERROR(__xludf.DUMMYFUNCTION("""COMPUTED_VALUE"""),"BERNARDO O'HIGGINS ")</f>
        <v xml:space="preserve">BERNARDO O'HIGGINS </v>
      </c>
      <c r="D100" s="6" t="str">
        <f ca="1">IFERROR(__xludf.DUMMYFUNCTION("""COMPUTED_VALUE"""),"ALHUÉ")</f>
        <v>ALHUÉ</v>
      </c>
    </row>
    <row r="101" spans="1:4">
      <c r="A101" s="7">
        <f ca="1">IFERROR(__xludf.DUMMYFUNCTION("""COMPUTED_VALUE"""),44974)</f>
        <v>44974</v>
      </c>
      <c r="B101" s="6" t="str">
        <f ca="1">IFERROR(__xludf.DUMMYFUNCTION("""COMPUTED_VALUE"""),"-34.015832-71.054977")</f>
        <v>-34.015832-71.054977</v>
      </c>
      <c r="C101" s="6" t="str">
        <f ca="1">IFERROR(__xludf.DUMMYFUNCTION("""COMPUTED_VALUE"""),"CINCO DE ABRIL 522")</f>
        <v>CINCO DE ABRIL 522</v>
      </c>
      <c r="D101" s="6" t="str">
        <f ca="1">IFERROR(__xludf.DUMMYFUNCTION("""COMPUTED_VALUE"""),"ALHUÉ")</f>
        <v>ALHUÉ</v>
      </c>
    </row>
    <row r="102" spans="1:4">
      <c r="A102" s="7">
        <f ca="1">IFERROR(__xludf.DUMMYFUNCTION("""COMPUTED_VALUE"""),44974)</f>
        <v>44974</v>
      </c>
      <c r="B102" s="6" t="str">
        <f ca="1">IFERROR(__xludf.DUMMYFUNCTION("""COMPUTED_VALUE"""),"-34.015832-71.054977")</f>
        <v>-34.015832-71.054977</v>
      </c>
      <c r="C102" s="6" t="str">
        <f ca="1">IFERROR(__xludf.DUMMYFUNCTION("""COMPUTED_VALUE"""),"CINCO DE ABRIL 522")</f>
        <v>CINCO DE ABRIL 522</v>
      </c>
      <c r="D102" s="6" t="str">
        <f ca="1">IFERROR(__xludf.DUMMYFUNCTION("""COMPUTED_VALUE"""),"ALHUÉ")</f>
        <v>ALHUÉ</v>
      </c>
    </row>
    <row r="103" spans="1:4">
      <c r="A103" s="7">
        <f ca="1">IFERROR(__xludf.DUMMYFUNCTION("""COMPUTED_VALUE"""),44974)</f>
        <v>44974</v>
      </c>
      <c r="B103" s="6" t="str">
        <f ca="1">IFERROR(__xludf.DUMMYFUNCTION("""COMPUTED_VALUE"""),"-33.541432,-71.215960")</f>
        <v>-33.541432,-71.215960</v>
      </c>
      <c r="C103" s="6" t="str">
        <f ca="1">IFERROR(__xludf.DUMMYFUNCTION("""COMPUTED_VALUE"""),"CHOROMBO BAJO S/N")</f>
        <v>CHOROMBO BAJO S/N</v>
      </c>
      <c r="D103" s="6" t="str">
        <f ca="1">IFERROR(__xludf.DUMMYFUNCTION("""COMPUTED_VALUE"""),"MELIPILLA")</f>
        <v>MELIPILLA</v>
      </c>
    </row>
    <row r="104" spans="1:4">
      <c r="A104" s="7">
        <f ca="1">IFERROR(__xludf.DUMMYFUNCTION("""COMPUTED_VALUE"""),44974)</f>
        <v>44974</v>
      </c>
      <c r="B104" s="6" t="str">
        <f ca="1">IFERROR(__xludf.DUMMYFUNCTION("""COMPUTED_VALUE"""),"-33.194164,-70.685475")</f>
        <v>-33.194164,-70.685475</v>
      </c>
      <c r="C104" s="6" t="str">
        <f ca="1">IFERROR(__xludf.DUMMYFUNCTION("""COMPUTED_VALUE"""),"CALLE PROYECTADA 8794")</f>
        <v>CALLE PROYECTADA 8794</v>
      </c>
      <c r="D104" s="6" t="str">
        <f ca="1">IFERROR(__xludf.DUMMYFUNCTION("""COMPUTED_VALUE"""),"COLINA")</f>
        <v>COLINA</v>
      </c>
    </row>
    <row r="105" spans="1:4">
      <c r="A105" s="7">
        <f ca="1">IFERROR(__xludf.DUMMYFUNCTION("""COMPUTED_VALUE"""),44974)</f>
        <v>44974</v>
      </c>
      <c r="B105" s="6" t="str">
        <f ca="1">IFERROR(__xludf.DUMMYFUNCTION("""COMPUTED_VALUE"""),"-33.147548,-70.795108")</f>
        <v>-33.147548,-70.795108</v>
      </c>
      <c r="C105" s="6" t="str">
        <f ca="1">IFERROR(__xludf.DUMMYFUNCTION("""COMPUTED_VALUE"""),"CALLE 5 SUR 143")</f>
        <v>CALLE 5 SUR 143</v>
      </c>
      <c r="D105" s="6" t="str">
        <f ca="1">IFERROR(__xludf.DUMMYFUNCTION("""COMPUTED_VALUE"""),"TIL TIL")</f>
        <v>TIL TIL</v>
      </c>
    </row>
    <row r="106" spans="1:4">
      <c r="A106" s="7">
        <f ca="1">IFERROR(__xludf.DUMMYFUNCTION("""COMPUTED_VALUE"""),44975)</f>
        <v>44975</v>
      </c>
      <c r="B106" s="6" t="str">
        <f ca="1">IFERROR(__xludf.DUMMYFUNCTION("""COMPUTED_VALUE"""),"-33.888316,-70,720829")</f>
        <v>-33.888316,-70,720829</v>
      </c>
      <c r="C106" s="6" t="str">
        <f ca="1">IFERROR(__xludf.DUMMYFUNCTION("""COMPUTED_VALUE"""),"LAS VERTIENTES 176 LOTE1")</f>
        <v>LAS VERTIENTES 176 LOTE1</v>
      </c>
      <c r="D106" s="6" t="str">
        <f ca="1">IFERROR(__xludf.DUMMYFUNCTION("""COMPUTED_VALUE"""),"PAINE")</f>
        <v>PAINE</v>
      </c>
    </row>
    <row r="107" spans="1:4">
      <c r="A107" s="7">
        <f ca="1">IFERROR(__xludf.DUMMYFUNCTION("""COMPUTED_VALUE"""),44975)</f>
        <v>44975</v>
      </c>
      <c r="B107" s="6" t="str">
        <f ca="1">IFERROR(__xludf.DUMMYFUNCTION("""COMPUTED_VALUE"""),"-33.888316,-70,720829")</f>
        <v>-33.888316,-70,720829</v>
      </c>
      <c r="C107" s="6" t="str">
        <f ca="1">IFERROR(__xludf.DUMMYFUNCTION("""COMPUTED_VALUE"""),"LAS VERTIENTES 176 LOTE1")</f>
        <v>LAS VERTIENTES 176 LOTE1</v>
      </c>
      <c r="D107" s="6" t="str">
        <f ca="1">IFERROR(__xludf.DUMMYFUNCTION("""COMPUTED_VALUE"""),"PAINE")</f>
        <v>PAINE</v>
      </c>
    </row>
    <row r="108" spans="1:4">
      <c r="A108" s="7">
        <f ca="1">IFERROR(__xludf.DUMMYFUNCTION("""COMPUTED_VALUE"""),44977)</f>
        <v>44977</v>
      </c>
      <c r="B108" s="8" t="str">
        <f ca="1">IFERROR(__xludf.DUMMYFUNCTION("""COMPUTED_VALUE"""),"-34.030719:-71.101025")</f>
        <v>-34.030719:-71.101025</v>
      </c>
      <c r="C108" s="6" t="str">
        <f ca="1">IFERROR(__xludf.DUMMYFUNCTION("""COMPUTED_VALUE"""),"ESMERALDA S/N ")</f>
        <v xml:space="preserve">ESMERALDA S/N </v>
      </c>
      <c r="D108" s="6" t="str">
        <f ca="1">IFERROR(__xludf.DUMMYFUNCTION("""COMPUTED_VALUE"""),"ALHUÉ")</f>
        <v>ALHUÉ</v>
      </c>
    </row>
    <row r="109" spans="1:4">
      <c r="A109" s="7">
        <f ca="1">IFERROR(__xludf.DUMMYFUNCTION("""COMPUTED_VALUE"""),44977)</f>
        <v>44977</v>
      </c>
      <c r="B109" s="8" t="str">
        <f ca="1">IFERROR(__xludf.DUMMYFUNCTION("""COMPUTED_VALUE"""),"-34.030719:-71.101025")</f>
        <v>-34.030719:-71.101025</v>
      </c>
      <c r="C109" s="6" t="str">
        <f ca="1">IFERROR(__xludf.DUMMYFUNCTION("""COMPUTED_VALUE"""),"ESMERALDA S/N ")</f>
        <v xml:space="preserve">ESMERALDA S/N </v>
      </c>
      <c r="D109" s="6" t="str">
        <f ca="1">IFERROR(__xludf.DUMMYFUNCTION("""COMPUTED_VALUE"""),"ALHUÉ")</f>
        <v>ALHUÉ</v>
      </c>
    </row>
    <row r="110" spans="1:4">
      <c r="A110" s="7">
        <f ca="1">IFERROR(__xludf.DUMMYFUNCTION("""COMPUTED_VALUE"""),44978)</f>
        <v>44978</v>
      </c>
      <c r="B110" s="8" t="str">
        <f ca="1">IFERROR(__xludf.DUMMYFUNCTION("""COMPUTED_VALUE"""),"-33.67600,-70.9934")</f>
        <v>-33.67600,-70.9934</v>
      </c>
      <c r="C110" s="6" t="str">
        <f ca="1">IFERROR(__xludf.DUMMYFUNCTION("""COMPUTED_VALUE"""),"PATRICIO ESPINOZA 255")</f>
        <v>PATRICIO ESPINOZA 255</v>
      </c>
      <c r="D110" s="6" t="str">
        <f ca="1">IFERROR(__xludf.DUMMYFUNCTION("""COMPUTED_VALUE"""),"EL MONTE")</f>
        <v>EL MONTE</v>
      </c>
    </row>
    <row r="111" spans="1:4">
      <c r="A111" s="7">
        <f ca="1">IFERROR(__xludf.DUMMYFUNCTION("""COMPUTED_VALUE"""),44978)</f>
        <v>44978</v>
      </c>
      <c r="B111" s="8" t="str">
        <f ca="1">IFERROR(__xludf.DUMMYFUNCTION("""COMPUTED_VALUE"""),"-33.74617,-70.917533")</f>
        <v>-33.74617,-70.917533</v>
      </c>
      <c r="C111" s="6" t="str">
        <f ca="1">IFERROR(__xludf.DUMMYFUNCTION("""COMPUTED_VALUE"""),"LO MARTINEZ 1275")</f>
        <v>LO MARTINEZ 1275</v>
      </c>
      <c r="D111" s="6" t="str">
        <f ca="1">IFERROR(__xludf.DUMMYFUNCTION("""COMPUTED_VALUE"""),"ISLA DE MAIPO")</f>
        <v>ISLA DE MAIPO</v>
      </c>
    </row>
    <row r="112" spans="1:4">
      <c r="A112" s="7">
        <f ca="1">IFERROR(__xludf.DUMMYFUNCTION("""COMPUTED_VALUE"""),44978)</f>
        <v>44978</v>
      </c>
      <c r="B112" s="8" t="str">
        <f ca="1">IFERROR(__xludf.DUMMYFUNCTION("""COMPUTED_VALUE"""),"-33.748056.-70.910898")</f>
        <v>-33.748056.-70.910898</v>
      </c>
      <c r="C112" s="6" t="str">
        <f ca="1">IFERROR(__xludf.DUMMYFUNCTION("""COMPUTED_VALUE"""),"LO MARTINEZ 1265")</f>
        <v>LO MARTINEZ 1265</v>
      </c>
      <c r="D112" s="6" t="str">
        <f ca="1">IFERROR(__xludf.DUMMYFUNCTION("""COMPUTED_VALUE"""),"ISLA DE MAIPO")</f>
        <v>ISLA DE MAIPO</v>
      </c>
    </row>
    <row r="113" spans="1:4">
      <c r="A113" s="7">
        <f ca="1">IFERROR(__xludf.DUMMYFUNCTION("""COMPUTED_VALUE"""),44979)</f>
        <v>44979</v>
      </c>
      <c r="B113" s="8" t="str">
        <f ca="1">IFERROR(__xludf.DUMMYFUNCTION("""COMPUTED_VALUE"""),"-33.76058,-71.302275")</f>
        <v>-33.76058,-71.302275</v>
      </c>
      <c r="C113" s="6" t="str">
        <f ca="1">IFERROR(__xludf.DUMMYFUNCTION("""COMPUTED_VALUE"""),"SAN MANUEL KM 3")</f>
        <v>SAN MANUEL KM 3</v>
      </c>
      <c r="D113" s="6" t="str">
        <f ca="1">IFERROR(__xludf.DUMMYFUNCTION("""COMPUTED_VALUE"""),"MELIPILLA")</f>
        <v>MELIPILLA</v>
      </c>
    </row>
    <row r="114" spans="1:4">
      <c r="A114" s="7">
        <f ca="1">IFERROR(__xludf.DUMMYFUNCTION("""COMPUTED_VALUE"""),44979)</f>
        <v>44979</v>
      </c>
      <c r="B114" s="8" t="str">
        <f ca="1">IFERROR(__xludf.DUMMYFUNCTION("""COMPUTED_VALUE"""),"-33.760408,-71.292272")</f>
        <v>-33.760408,-71.292272</v>
      </c>
      <c r="C114" s="6" t="str">
        <f ca="1">IFERROR(__xludf.DUMMYFUNCTION("""COMPUTED_VALUE"""),"BOSQUES 31")</f>
        <v>BOSQUES 31</v>
      </c>
      <c r="D114" s="6" t="str">
        <f ca="1">IFERROR(__xludf.DUMMYFUNCTION("""COMPUTED_VALUE"""),"MELIPILLA")</f>
        <v>MELIPILLA</v>
      </c>
    </row>
    <row r="115" spans="1:4">
      <c r="A115" s="7">
        <f ca="1">IFERROR(__xludf.DUMMYFUNCTION("""COMPUTED_VALUE"""),44979)</f>
        <v>44979</v>
      </c>
      <c r="B115" s="8" t="str">
        <f ca="1">IFERROR(__xludf.DUMMYFUNCTION("""COMPUTED_VALUE"""),"34.037257:-71.097063")</f>
        <v>34.037257:-71.097063</v>
      </c>
      <c r="C115" s="6" t="str">
        <f ca="1">IFERROR(__xludf.DUMMYFUNCTION("""COMPUTED_VALUE"""),"EL TRANQUE S/N")</f>
        <v>EL TRANQUE S/N</v>
      </c>
      <c r="D115" s="6" t="str">
        <f ca="1">IFERROR(__xludf.DUMMYFUNCTION("""COMPUTED_VALUE"""),"ALHUÉ")</f>
        <v>ALHUÉ</v>
      </c>
    </row>
    <row r="116" spans="1:4">
      <c r="A116" s="7">
        <f ca="1">IFERROR(__xludf.DUMMYFUNCTION("""COMPUTED_VALUE"""),44979)</f>
        <v>44979</v>
      </c>
      <c r="B116" s="8" t="str">
        <f ca="1">IFERROR(__xludf.DUMMYFUNCTION("""COMPUTED_VALUE"""),"-33.733780:-70.6938770")</f>
        <v>-33.733780:-70.6938770</v>
      </c>
      <c r="C116" s="6" t="str">
        <f ca="1">IFERROR(__xludf.DUMMYFUNCTION("""COMPUTED_VALUE"""),"EL ARPA 630")</f>
        <v>EL ARPA 630</v>
      </c>
      <c r="D116" s="6" t="str">
        <f ca="1">IFERROR(__xludf.DUMMYFUNCTION("""COMPUTED_VALUE"""),"BUIN")</f>
        <v>BUIN</v>
      </c>
    </row>
    <row r="117" spans="1:4">
      <c r="A117" s="7">
        <f ca="1">IFERROR(__xludf.DUMMYFUNCTION("""COMPUTED_VALUE"""),44979)</f>
        <v>44979</v>
      </c>
      <c r="B117" s="8" t="str">
        <f ca="1">IFERROR(__xludf.DUMMYFUNCTION("""COMPUTED_VALUE"""),"-33.7747300:-70.7947310")</f>
        <v>-33.7747300:-70.7947310</v>
      </c>
      <c r="C117" s="6" t="str">
        <f ca="1">IFERROR(__xludf.DUMMYFUNCTION("""COMPUTED_VALUE"""),"CAMINO MAIPO VILUCO 4602")</f>
        <v>CAMINO MAIPO VILUCO 4602</v>
      </c>
      <c r="D117" s="6" t="str">
        <f ca="1">IFERROR(__xludf.DUMMYFUNCTION("""COMPUTED_VALUE"""),"BUIN")</f>
        <v>BUIN</v>
      </c>
    </row>
    <row r="118" spans="1:4">
      <c r="A118" s="7">
        <f ca="1">IFERROR(__xludf.DUMMYFUNCTION("""COMPUTED_VALUE"""),44980)</f>
        <v>44980</v>
      </c>
      <c r="B118" s="8" t="str">
        <f ca="1">IFERROR(__xludf.DUMMYFUNCTION("""COMPUTED_VALUE"""),"-33.7266650,-70.5519430")</f>
        <v>-33.7266650,-70.5519430</v>
      </c>
      <c r="C118" s="6" t="str">
        <f ca="1">IFERROR(__xludf.DUMMYFUNCTION("""COMPUTED_VALUE"""),"CERRO EL CARRETON 11035")</f>
        <v>CERRO EL CARRETON 11035</v>
      </c>
      <c r="D118" s="6" t="str">
        <f ca="1">IFERROR(__xludf.DUMMYFUNCTION("""COMPUTED_VALUE"""),"PIRQUE")</f>
        <v>PIRQUE</v>
      </c>
    </row>
    <row r="119" spans="1:4">
      <c r="A119" s="7">
        <f ca="1">IFERROR(__xludf.DUMMYFUNCTION("""COMPUTED_VALUE"""),44980)</f>
        <v>44980</v>
      </c>
      <c r="B119" s="8" t="str">
        <f ca="1">IFERROR(__xludf.DUMMYFUNCTION("""COMPUTED_VALUE"""),"-33.675270,-71.180519")</f>
        <v>-33.675270,-71.180519</v>
      </c>
      <c r="C119" s="6" t="str">
        <f ca="1">IFERROR(__xludf.DUMMYFUNCTION("""COMPUTED_VALUE"""),"PAISES BAJOS 155")</f>
        <v>PAISES BAJOS 155</v>
      </c>
      <c r="D119" s="6" t="str">
        <f ca="1">IFERROR(__xludf.DUMMYFUNCTION("""COMPUTED_VALUE"""),"MELIPILLA")</f>
        <v>MELIPILLA</v>
      </c>
    </row>
    <row r="120" spans="1:4">
      <c r="A120" s="7">
        <f ca="1">IFERROR(__xludf.DUMMYFUNCTION("""COMPUTED_VALUE"""),44980)</f>
        <v>44980</v>
      </c>
      <c r="B120" s="8" t="str">
        <f ca="1">IFERROR(__xludf.DUMMYFUNCTION("""COMPUTED_VALUE"""),"-33.569763,-70.797921")</f>
        <v>-33.569763,-70.797921</v>
      </c>
      <c r="C120" s="6" t="str">
        <f ca="1">IFERROR(__xludf.DUMMYFUNCTION("""COMPUTED_VALUE"""),"LOS ZORZALES 1027")</f>
        <v>LOS ZORZALES 1027</v>
      </c>
      <c r="D120" s="6" t="str">
        <f ca="1">IFERROR(__xludf.DUMMYFUNCTION("""COMPUTED_VALUE"""),"PADRE HURTADO")</f>
        <v>PADRE HURTADO</v>
      </c>
    </row>
    <row r="121" spans="1:4">
      <c r="A121" s="7">
        <f ca="1">IFERROR(__xludf.DUMMYFUNCTION("""COMPUTED_VALUE"""),44980)</f>
        <v>44980</v>
      </c>
      <c r="B121" s="8" t="str">
        <f ca="1">IFERROR(__xludf.DUMMYFUNCTION("""COMPUTED_VALUE"""),"-33.745680)-70.895727")</f>
        <v>-33.745680)-70.895727</v>
      </c>
      <c r="C121" s="6" t="str">
        <f ca="1">IFERROR(__xludf.DUMMYFUNCTION("""COMPUTED_VALUE"""),"LOS COPIHUES ISLA DE MAIPO")</f>
        <v>LOS COPIHUES ISLA DE MAIPO</v>
      </c>
      <c r="D121" s="6" t="str">
        <f ca="1">IFERROR(__xludf.DUMMYFUNCTION("""COMPUTED_VALUE"""),"ISLA DE MAIPO")</f>
        <v>ISLA DE MAIPO</v>
      </c>
    </row>
    <row r="122" spans="1:4">
      <c r="A122" s="7">
        <f ca="1">IFERROR(__xludf.DUMMYFUNCTION("""COMPUTED_VALUE"""),44980)</f>
        <v>44980</v>
      </c>
      <c r="B122" s="8" t="str">
        <f ca="1">IFERROR(__xludf.DUMMYFUNCTION("""COMPUTED_VALUE"""),"-33.7536220:-70.8903480")</f>
        <v>-33.7536220:-70.8903480</v>
      </c>
      <c r="C122" s="6" t="str">
        <f ca="1">IFERROR(__xludf.DUMMYFUNCTION("""COMPUTED_VALUE"""),"FARELLONES 222")</f>
        <v>FARELLONES 222</v>
      </c>
      <c r="D122" s="6" t="str">
        <f ca="1">IFERROR(__xludf.DUMMYFUNCTION("""COMPUTED_VALUE"""),"ISLA DE MAIPO")</f>
        <v>ISLA DE MAIPO</v>
      </c>
    </row>
    <row r="123" spans="1:4">
      <c r="A123" s="7">
        <f ca="1">IFERROR(__xludf.DUMMYFUNCTION("""COMPUTED_VALUE"""),44981)</f>
        <v>44981</v>
      </c>
      <c r="B123" s="8" t="str">
        <f ca="1">IFERROR(__xludf.DUMMYFUNCTION("""COMPUTED_VALUE"""),"-33.677584,-70.990510")</f>
        <v>-33.677584,-70.990510</v>
      </c>
      <c r="C123" s="6" t="str">
        <f ca="1">IFERROR(__xludf.DUMMYFUNCTION("""COMPUTED_VALUE"""),"LAS CAMELIAS 609")</f>
        <v>LAS CAMELIAS 609</v>
      </c>
      <c r="D123" s="6" t="str">
        <f ca="1">IFERROR(__xludf.DUMMYFUNCTION("""COMPUTED_VALUE"""),"EL MONTE")</f>
        <v>EL MONTE</v>
      </c>
    </row>
    <row r="124" spans="1:4">
      <c r="A124" s="7">
        <f ca="1">IFERROR(__xludf.DUMMYFUNCTION("""COMPUTED_VALUE"""),44981)</f>
        <v>44981</v>
      </c>
      <c r="B124" s="8" t="str">
        <f ca="1">IFERROR(__xludf.DUMMYFUNCTION("""COMPUTED_VALUE"""),"-33.703106,-70.590684")</f>
        <v>-33.703106,-70.590684</v>
      </c>
      <c r="C124" s="6" t="str">
        <f ca="1">IFERROR(__xludf.DUMMYFUNCTION("""COMPUTED_VALUE"""),"LAS BANDURRIAS P/6")</f>
        <v>LAS BANDURRIAS P/6</v>
      </c>
      <c r="D124" s="6" t="str">
        <f ca="1">IFERROR(__xludf.DUMMYFUNCTION("""COMPUTED_VALUE"""),"PIRQUE")</f>
        <v>PIRQUE</v>
      </c>
    </row>
    <row r="125" spans="1:4">
      <c r="A125" s="7">
        <f ca="1">IFERROR(__xludf.DUMMYFUNCTION("""COMPUTED_VALUE"""),44981)</f>
        <v>44981</v>
      </c>
      <c r="B125" s="8" t="str">
        <f ca="1">IFERROR(__xludf.DUMMYFUNCTION("""COMPUTED_VALUE"""),"-33.703106,-70.590684")</f>
        <v>-33.703106,-70.590684</v>
      </c>
      <c r="C125" s="6" t="str">
        <f ca="1">IFERROR(__xludf.DUMMYFUNCTION("""COMPUTED_VALUE"""),"LAS BANDURRIAS P/6")</f>
        <v>LAS BANDURRIAS P/6</v>
      </c>
      <c r="D125" s="6" t="str">
        <f ca="1">IFERROR(__xludf.DUMMYFUNCTION("""COMPUTED_VALUE"""),"PIRQUE")</f>
        <v>PIRQUE</v>
      </c>
    </row>
    <row r="126" spans="1:4">
      <c r="A126" s="7">
        <f ca="1">IFERROR(__xludf.DUMMYFUNCTION("""COMPUTED_VALUE"""),44981)</f>
        <v>44981</v>
      </c>
      <c r="B126" s="8" t="str">
        <f ca="1">IFERROR(__xludf.DUMMYFUNCTION("""COMPUTED_VALUE"""),"-33.703106,-70.590684")</f>
        <v>-33.703106,-70.590684</v>
      </c>
      <c r="C126" s="6" t="str">
        <f ca="1">IFERROR(__xludf.DUMMYFUNCTION("""COMPUTED_VALUE"""),"LAS BANDURRIAS P 6")</f>
        <v>LAS BANDURRIAS P 6</v>
      </c>
      <c r="D126" s="6" t="str">
        <f ca="1">IFERROR(__xludf.DUMMYFUNCTION("""COMPUTED_VALUE"""),"PIRQUE")</f>
        <v>PIRQUE</v>
      </c>
    </row>
    <row r="127" spans="1:4">
      <c r="A127" s="7">
        <f ca="1">IFERROR(__xludf.DUMMYFUNCTION("""COMPUTED_VALUE"""),44982)</f>
        <v>44982</v>
      </c>
      <c r="B127" s="8" t="str">
        <f ca="1">IFERROR(__xludf.DUMMYFUNCTION("""COMPUTED_VALUE"""),"-34.0406291,-71.227662")</f>
        <v>-34.0406291,-71.227662</v>
      </c>
      <c r="C127" s="6" t="str">
        <f ca="1">IFERROR(__xludf.DUMMYFUNCTION("""COMPUTED_VALUE"""),"LA LINEA 692")</f>
        <v>LA LINEA 692</v>
      </c>
      <c r="D127" s="6" t="str">
        <f ca="1">IFERROR(__xludf.DUMMYFUNCTION("""COMPUTED_VALUE"""),"ALHUÉ")</f>
        <v>ALHUÉ</v>
      </c>
    </row>
    <row r="128" spans="1:4">
      <c r="A128" s="7">
        <f ca="1">IFERROR(__xludf.DUMMYFUNCTION("""COMPUTED_VALUE"""),44982)</f>
        <v>44982</v>
      </c>
      <c r="B128" s="8" t="str">
        <f ca="1">IFERROR(__xludf.DUMMYFUNCTION("""COMPUTED_VALUE"""),"-34.0408408,-71.2276151")</f>
        <v>-34.0408408,-71.2276151</v>
      </c>
      <c r="C128" s="6" t="str">
        <f ca="1">IFERROR(__xludf.DUMMYFUNCTION("""COMPUTED_VALUE"""),"LA LINEA")</f>
        <v>LA LINEA</v>
      </c>
      <c r="D128" s="6" t="str">
        <f ca="1">IFERROR(__xludf.DUMMYFUNCTION("""COMPUTED_VALUE"""),"ALHUE")</f>
        <v>ALHUE</v>
      </c>
    </row>
    <row r="129" spans="1:4">
      <c r="A129" s="7">
        <f ca="1">IFERROR(__xludf.DUMMYFUNCTION("""COMPUTED_VALUE"""),44984)</f>
        <v>44984</v>
      </c>
      <c r="B129" s="8" t="str">
        <f ca="1">IFERROR(__xludf.DUMMYFUNCTION("""COMPUTED_VALUE"""),"-33.6673870,-70.5827300")</f>
        <v>-33.6673870,-70.5827300</v>
      </c>
      <c r="C129" s="6" t="str">
        <f ca="1">IFERROR(__xludf.DUMMYFUNCTION("""COMPUTED_VALUE"""),"STA. CECILIA 6 A")</f>
        <v>STA. CECILIA 6 A</v>
      </c>
      <c r="D129" s="6" t="str">
        <f ca="1">IFERROR(__xludf.DUMMYFUNCTION("""COMPUTED_VALUE"""),"PIRQUE")</f>
        <v>PIRQUE</v>
      </c>
    </row>
    <row r="130" spans="1:4">
      <c r="A130" s="7">
        <f ca="1">IFERROR(__xludf.DUMMYFUNCTION("""COMPUTED_VALUE"""),44984)</f>
        <v>44984</v>
      </c>
      <c r="B130" s="8" t="str">
        <f ca="1">IFERROR(__xludf.DUMMYFUNCTION("""COMPUTED_VALUE"""),"-33.6540180,-70.5875360")</f>
        <v>-33.6540180,-70.5875360</v>
      </c>
      <c r="C130" s="6" t="str">
        <f ca="1">IFERROR(__xludf.DUMMYFUNCTION("""COMPUTED_VALUE"""),"ANDES 1524")</f>
        <v>ANDES 1524</v>
      </c>
      <c r="D130" s="6" t="str">
        <f ca="1">IFERROR(__xludf.DUMMYFUNCTION("""COMPUTED_VALUE"""),"PIRQUE")</f>
        <v>PIRQUE</v>
      </c>
    </row>
    <row r="131" spans="1:4">
      <c r="A131" s="7">
        <f ca="1">IFERROR(__xludf.DUMMYFUNCTION("""COMPUTED_VALUE"""),44984)</f>
        <v>44984</v>
      </c>
      <c r="B131" s="8" t="str">
        <f ca="1">IFERROR(__xludf.DUMMYFUNCTION("""COMPUTED_VALUE"""),"-34.045948:-71.096286")</f>
        <v>-34.045948:-71.096286</v>
      </c>
      <c r="C131" s="6" t="str">
        <f ca="1">IFERROR(__xludf.DUMMYFUNCTION("""COMPUTED_VALUE"""),"CALLE MAIPU 577")</f>
        <v>CALLE MAIPU 577</v>
      </c>
      <c r="D131" s="6" t="str">
        <f ca="1">IFERROR(__xludf.DUMMYFUNCTION("""COMPUTED_VALUE"""),"ALHUÉ")</f>
        <v>ALHUÉ</v>
      </c>
    </row>
    <row r="132" spans="1:4">
      <c r="A132" s="7">
        <f ca="1">IFERROR(__xludf.DUMMYFUNCTION("""COMPUTED_VALUE"""),44984)</f>
        <v>44984</v>
      </c>
      <c r="B132" s="8" t="str">
        <f ca="1">IFERROR(__xludf.DUMMYFUNCTION("""COMPUTED_VALUE"""),"-34.045948:-71.096286")</f>
        <v>-34.045948:-71.096286</v>
      </c>
      <c r="C132" s="6" t="str">
        <f ca="1">IFERROR(__xludf.DUMMYFUNCTION("""COMPUTED_VALUE"""),"CALLE MAIPU 577")</f>
        <v>CALLE MAIPU 577</v>
      </c>
      <c r="D132" s="6" t="str">
        <f ca="1">IFERROR(__xludf.DUMMYFUNCTION("""COMPUTED_VALUE"""),"ALHUÉ")</f>
        <v>ALHUÉ</v>
      </c>
    </row>
    <row r="133" spans="1:4">
      <c r="A133" s="7">
        <f ca="1">IFERROR(__xludf.DUMMYFUNCTION("""COMPUTED_VALUE"""),44985)</f>
        <v>44985</v>
      </c>
      <c r="B133" s="8" t="str">
        <f ca="1">IFERROR(__xludf.DUMMYFUNCTION("""COMPUTED_VALUE"""),"-33,732309,-70,765222")</f>
        <v>-33,732309,-70,765222</v>
      </c>
      <c r="C133" s="6" t="str">
        <f ca="1">IFERROR(__xludf.DUMMYFUNCTION("""COMPUTED_VALUE"""),"ESTEBAN HUERTA 2108")</f>
        <v>ESTEBAN HUERTA 2108</v>
      </c>
      <c r="D133" s="6" t="str">
        <f ca="1">IFERROR(__xludf.DUMMYFUNCTION("""COMPUTED_VALUE"""),"BUIN")</f>
        <v>BUIN</v>
      </c>
    </row>
    <row r="134" spans="1:4">
      <c r="A134" s="7">
        <f ca="1">IFERROR(__xludf.DUMMYFUNCTION("""COMPUTED_VALUE"""),44985)</f>
        <v>44985</v>
      </c>
      <c r="B134" s="8" t="str">
        <f ca="1">IFERROR(__xludf.DUMMYFUNCTION("""COMPUTED_VALUE"""),"-33.299084,-70.796792")</f>
        <v>-33.299084,-70.796792</v>
      </c>
      <c r="C134" s="6" t="str">
        <f ca="1">IFERROR(__xludf.DUMMYFUNCTION("""COMPUTED_VALUE"""),"LO CASTRO P 4b S/15")</f>
        <v>LO CASTRO P 4b S/15</v>
      </c>
      <c r="D134" s="6" t="str">
        <f ca="1">IFERROR(__xludf.DUMMYFUNCTION("""COMPUTED_VALUE"""),"LAMPA")</f>
        <v>LAMPA</v>
      </c>
    </row>
    <row r="135" spans="1:4">
      <c r="A135" s="7">
        <f ca="1">IFERROR(__xludf.DUMMYFUNCTION("""COMPUTED_VALUE"""),44985)</f>
        <v>44985</v>
      </c>
      <c r="B135" s="8" t="str">
        <f ca="1">IFERROR(__xludf.DUMMYFUNCTION("""COMPUTED_VALUE"""),"-33.710801,-70.545675")</f>
        <v>-33.710801,-70.545675</v>
      </c>
      <c r="C135" s="6" t="str">
        <f ca="1">IFERROR(__xludf.DUMMYFUNCTION("""COMPUTED_VALUE"""),"ORILLA DEL RIO 12")</f>
        <v>ORILLA DEL RIO 12</v>
      </c>
      <c r="D135" s="6" t="str">
        <f ca="1">IFERROR(__xludf.DUMMYFUNCTION("""COMPUTED_VALUE"""),"PIRQUE")</f>
        <v>PIRQUE</v>
      </c>
    </row>
    <row r="136" spans="1:4">
      <c r="A136" s="7">
        <f ca="1">IFERROR(__xludf.DUMMYFUNCTION("""COMPUTED_VALUE"""),44985)</f>
        <v>44985</v>
      </c>
      <c r="B136" s="8" t="str">
        <f ca="1">IFERROR(__xludf.DUMMYFUNCTION("""COMPUTED_VALUE"""),"-33.741219:-70.7427020")</f>
        <v>-33.741219:-70.7427020</v>
      </c>
      <c r="C136" s="6" t="str">
        <f ca="1">IFERROR(__xludf.DUMMYFUNCTION("""COMPUTED_VALUE"""),"STO DOMINGO 395")</f>
        <v>STO DOMINGO 395</v>
      </c>
      <c r="D136" s="6" t="str">
        <f ca="1">IFERROR(__xludf.DUMMYFUNCTION("""COMPUTED_VALUE"""),"BUIN")</f>
        <v>BUIN</v>
      </c>
    </row>
    <row r="137" spans="1:4">
      <c r="A137" s="7">
        <f ca="1">IFERROR(__xludf.DUMMYFUNCTION("""COMPUTED_VALUE"""),44986)</f>
        <v>44986</v>
      </c>
      <c r="B137" s="6" t="str">
        <f ca="1">IFERROR(__xludf.DUMMYFUNCTION("""COMPUTED_VALUE"""),"-33.668647-70.736198")</f>
        <v>-33.668647-70.736198</v>
      </c>
      <c r="C137" s="6" t="str">
        <f ca="1">IFERROR(__xludf.DUMMYFUNCTION("""COMPUTED_VALUE"""),"COLONIAS PAINE 284")</f>
        <v>COLONIAS PAINE 284</v>
      </c>
      <c r="D137" s="6" t="str">
        <f ca="1">IFERROR(__xludf.DUMMYFUNCTION("""COMPUTED_VALUE"""),"PAINE")</f>
        <v>PAINE</v>
      </c>
    </row>
    <row r="138" spans="1:4">
      <c r="A138" s="7">
        <f ca="1">IFERROR(__xludf.DUMMYFUNCTION("""COMPUTED_VALUE"""),44986)</f>
        <v>44986</v>
      </c>
      <c r="B138" s="6" t="str">
        <f ca="1">IFERROR(__xludf.DUMMYFUNCTION("""COMPUTED_VALUE"""),"-33.033995,-71.103021")</f>
        <v>-33.033995,-71.103021</v>
      </c>
      <c r="C138" s="6" t="str">
        <f ca="1">IFERROR(__xludf.DUMMYFUNCTION("""COMPUTED_VALUE"""),"IGNACIO CARRERA PINTO S/N")</f>
        <v>IGNACIO CARRERA PINTO S/N</v>
      </c>
      <c r="D138" s="6" t="str">
        <f ca="1">IFERROR(__xludf.DUMMYFUNCTION("""COMPUTED_VALUE"""),"ALHUÉ")</f>
        <v>ALHUÉ</v>
      </c>
    </row>
    <row r="139" spans="1:4">
      <c r="A139" s="7">
        <f ca="1">IFERROR(__xludf.DUMMYFUNCTION("""COMPUTED_VALUE"""),44986)</f>
        <v>44986</v>
      </c>
      <c r="B139" s="6" t="str">
        <f ca="1">IFERROR(__xludf.DUMMYFUNCTION("""COMPUTED_VALUE"""),"-33.030745,-71.079338")</f>
        <v>-33.030745,-71.079338</v>
      </c>
      <c r="C139" s="6" t="str">
        <f ca="1">IFERROR(__xludf.DUMMYFUNCTION("""COMPUTED_VALUE"""),"CALLE MIRAFLORES S/N")</f>
        <v>CALLE MIRAFLORES S/N</v>
      </c>
      <c r="D139" s="6" t="str">
        <f ca="1">IFERROR(__xludf.DUMMYFUNCTION("""COMPUTED_VALUE"""),"ALHUÉ")</f>
        <v>ALHUÉ</v>
      </c>
    </row>
    <row r="140" spans="1:4">
      <c r="A140" s="7">
        <f ca="1">IFERROR(__xludf.DUMMYFUNCTION("""COMPUTED_VALUE"""),44986)</f>
        <v>44986</v>
      </c>
      <c r="B140" s="12" t="str">
        <f ca="1">IFERROR(__xludf.DUMMYFUNCTION("""COMPUTED_VALUE"""),"-34.029727,-71.104181")</f>
        <v>-34.029727,-71.104181</v>
      </c>
      <c r="C140" s="6" t="str">
        <f ca="1">IFERROR(__xludf.DUMMYFUNCTION("""COMPUTED_VALUE"""),"VICTORIA S/N")</f>
        <v>VICTORIA S/N</v>
      </c>
      <c r="D140" s="6" t="str">
        <f ca="1">IFERROR(__xludf.DUMMYFUNCTION("""COMPUTED_VALUE"""),"ALHUÉ")</f>
        <v>ALHUÉ</v>
      </c>
    </row>
    <row r="141" spans="1:4">
      <c r="A141" s="7">
        <f ca="1">IFERROR(__xludf.DUMMYFUNCTION("""COMPUTED_VALUE"""),44986)</f>
        <v>44986</v>
      </c>
      <c r="B141" s="6" t="str">
        <f ca="1">IFERROR(__xludf.DUMMYFUNCTION("""COMPUTED_VALUE"""),"-34.031955,-71.095057")</f>
        <v>-34.031955,-71.095057</v>
      </c>
      <c r="C141" s="6" t="str">
        <f ca="1">IFERROR(__xludf.DUMMYFUNCTION("""COMPUTED_VALUE"""),"CHACABUCO S/N")</f>
        <v>CHACABUCO S/N</v>
      </c>
      <c r="D141" s="6" t="str">
        <f ca="1">IFERROR(__xludf.DUMMYFUNCTION("""COMPUTED_VALUE"""),"ALHUÉ")</f>
        <v>ALHUÉ</v>
      </c>
    </row>
    <row r="142" spans="1:4">
      <c r="A142" s="7">
        <f ca="1">IFERROR(__xludf.DUMMYFUNCTION("""COMPUTED_VALUE"""),44986)</f>
        <v>44986</v>
      </c>
      <c r="B142" s="6" t="str">
        <f ca="1">IFERROR(__xludf.DUMMYFUNCTION("""COMPUTED_VALUE"""),"-34.031195,-71.100157")</f>
        <v>-34.031195,-71.100157</v>
      </c>
      <c r="C142" s="6" t="str">
        <f ca="1">IFERROR(__xludf.DUMMYFUNCTION("""COMPUTED_VALUE"""),"BERNARDO O¨HIGGINS S/N")</f>
        <v>BERNARDO O¨HIGGINS S/N</v>
      </c>
      <c r="D142" s="6" t="str">
        <f ca="1">IFERROR(__xludf.DUMMYFUNCTION("""COMPUTED_VALUE"""),"ALHUÉ")</f>
        <v>ALHUÉ</v>
      </c>
    </row>
    <row r="143" spans="1:4">
      <c r="A143" s="7">
        <f ca="1">IFERROR(__xludf.DUMMYFUNCTION("""COMPUTED_VALUE"""),44986)</f>
        <v>44986</v>
      </c>
      <c r="B143" s="6" t="str">
        <f ca="1">IFERROR(__xludf.DUMMYFUNCTION("""COMPUTED_VALUE"""),"-34.037149,-71,105498")</f>
        <v>-34.037149,-71,105498</v>
      </c>
      <c r="C143" s="6" t="str">
        <f ca="1">IFERROR(__xludf.DUMMYFUNCTION("""COMPUTED_VALUE"""),"PSJE. EL SAUCE 2 LOTE 2B")</f>
        <v>PSJE. EL SAUCE 2 LOTE 2B</v>
      </c>
      <c r="D143" s="6" t="str">
        <f ca="1">IFERROR(__xludf.DUMMYFUNCTION("""COMPUTED_VALUE"""),"ALHUÉ")</f>
        <v>ALHUÉ</v>
      </c>
    </row>
    <row r="144" spans="1:4">
      <c r="A144" s="7">
        <f ca="1">IFERROR(__xludf.DUMMYFUNCTION("""COMPUTED_VALUE"""),44986)</f>
        <v>44986</v>
      </c>
      <c r="B144" s="6" t="str">
        <f ca="1">IFERROR(__xludf.DUMMYFUNCTION("""COMPUTED_VALUE"""),"-34.036626,-71.108900")</f>
        <v>-34.036626,-71.108900</v>
      </c>
      <c r="C144" s="6" t="str">
        <f ca="1">IFERROR(__xludf.DUMMYFUNCTION("""COMPUTED_VALUE"""),"PA. CALLE DE CARRERAS S/N")</f>
        <v>PA. CALLE DE CARRERAS S/N</v>
      </c>
      <c r="D144" s="6" t="str">
        <f ca="1">IFERROR(__xludf.DUMMYFUNCTION("""COMPUTED_VALUE"""),"ALHUÉ")</f>
        <v>ALHUÉ</v>
      </c>
    </row>
    <row r="145" spans="1:4">
      <c r="A145" s="7">
        <f ca="1">IFERROR(__xludf.DUMMYFUNCTION("""COMPUTED_VALUE"""),44987)</f>
        <v>44987</v>
      </c>
      <c r="B145" s="6" t="str">
        <f ca="1">IFERROR(__xludf.DUMMYFUNCTION("""COMPUTED_VALUE"""),"-33.259807,-70.728302")</f>
        <v>-33.259807,-70.728302</v>
      </c>
      <c r="C145" s="6" t="str">
        <f ca="1">IFERROR(__xludf.DUMMYFUNCTION("""COMPUTED_VALUE"""),"CAMINO SERV. PARC.50")</f>
        <v>CAMINO SERV. PARC.50</v>
      </c>
      <c r="D145" s="6" t="str">
        <f ca="1">IFERROR(__xludf.DUMMYFUNCTION("""COMPUTED_VALUE"""),"COLINA")</f>
        <v>COLINA</v>
      </c>
    </row>
    <row r="146" spans="1:4">
      <c r="A146" s="7">
        <f ca="1">IFERROR(__xludf.DUMMYFUNCTION("""COMPUTED_VALUE"""),44987)</f>
        <v>44987</v>
      </c>
      <c r="B146" s="6" t="str">
        <f ca="1">IFERROR(__xludf.DUMMYFUNCTION("""COMPUTED_VALUE"""),"-33.240584,-70.738020")</f>
        <v>-33.240584,-70.738020</v>
      </c>
      <c r="C146" s="6" t="str">
        <f ca="1">IFERROR(__xludf.DUMMYFUNCTION("""COMPUTED_VALUE"""),"STA. MARTA DE LIRAY 1500")</f>
        <v>STA. MARTA DE LIRAY 1500</v>
      </c>
      <c r="D146" s="6" t="str">
        <f ca="1">IFERROR(__xludf.DUMMYFUNCTION("""COMPUTED_VALUE"""),"COLINA")</f>
        <v>COLINA</v>
      </c>
    </row>
    <row r="147" spans="1:4">
      <c r="A147" s="7">
        <f ca="1">IFERROR(__xludf.DUMMYFUNCTION("""COMPUTED_VALUE"""),44988)</f>
        <v>44988</v>
      </c>
      <c r="B147" s="6" t="str">
        <f ca="1">IFERROR(__xludf.DUMMYFUNCTION("""COMPUTED_VALUE"""),"-33.533554,-70.904676")</f>
        <v>-33.533554,-70.904676</v>
      </c>
      <c r="C147" s="6" t="str">
        <f ca="1">IFERROR(__xludf.DUMMYFUNCTION("""COMPUTED_VALUE"""),"PJE. LA ARAUCANIA 293")</f>
        <v>PJE. LA ARAUCANIA 293</v>
      </c>
      <c r="D147" s="6" t="str">
        <f ca="1">IFERROR(__xludf.DUMMYFUNCTION("""COMPUTED_VALUE"""),"PADRE HURTADO")</f>
        <v>PADRE HURTADO</v>
      </c>
    </row>
    <row r="148" spans="1:4">
      <c r="A148" s="7">
        <f ca="1">IFERROR(__xludf.DUMMYFUNCTION("""COMPUTED_VALUE"""),44991)</f>
        <v>44991</v>
      </c>
      <c r="B148" s="8" t="str">
        <f ca="1">IFERROR(__xludf.DUMMYFUNCTION("""COMPUTED_VALUE"""),"-33.803803,-70.733510")</f>
        <v>-33.803803,-70.733510</v>
      </c>
      <c r="C148" s="6" t="str">
        <f ca="1">IFERROR(__xludf.DUMMYFUNCTION("""COMPUTED_VALUE"""),"EL LAUREL 464")</f>
        <v>EL LAUREL 464</v>
      </c>
      <c r="D148" s="6" t="str">
        <f ca="1">IFERROR(__xludf.DUMMYFUNCTION("""COMPUTED_VALUE"""),"PAINE")</f>
        <v>PAINE</v>
      </c>
    </row>
    <row r="149" spans="1:4">
      <c r="A149" s="7">
        <f ca="1">IFERROR(__xludf.DUMMYFUNCTION("""COMPUTED_VALUE"""),44991)</f>
        <v>44991</v>
      </c>
      <c r="B149" s="8" t="str">
        <f ca="1">IFERROR(__xludf.DUMMYFUNCTION("""COMPUTED_VALUE"""),"-33.882320,-70.757865")</f>
        <v>-33.882320,-70.757865</v>
      </c>
      <c r="C149" s="6" t="str">
        <f ca="1">IFERROR(__xludf.DUMMYFUNCTION("""COMPUTED_VALUE"""),"AGUILA NORTE 16")</f>
        <v>AGUILA NORTE 16</v>
      </c>
      <c r="D149" s="6" t="str">
        <f ca="1">IFERROR(__xludf.DUMMYFUNCTION("""COMPUTED_VALUE"""),"PAINE")</f>
        <v>PAINE</v>
      </c>
    </row>
    <row r="150" spans="1:4">
      <c r="A150" s="7">
        <f ca="1">IFERROR(__xludf.DUMMYFUNCTION("""COMPUTED_VALUE"""),44991)</f>
        <v>44991</v>
      </c>
      <c r="B150" s="6" t="str">
        <f ca="1">IFERROR(__xludf.DUMMYFUNCTION("""COMPUTED_VALUE"""),"-33.768935,-71.177606")</f>
        <v>-33.768935,-71.177606</v>
      </c>
      <c r="C150" s="6" t="str">
        <f ca="1">IFERROR(__xludf.DUMMYFUNCTION("""COMPUTED_VALUE"""),"MANANTIALES 4081 RUTA G54 L4 PC2")</f>
        <v>MANANTIALES 4081 RUTA G54 L4 PC2</v>
      </c>
      <c r="D150" s="6" t="str">
        <f ca="1">IFERROR(__xludf.DUMMYFUNCTION("""COMPUTED_VALUE"""),"MELIPILLA")</f>
        <v>MELIPILLA</v>
      </c>
    </row>
    <row r="151" spans="1:4">
      <c r="A151" s="7">
        <f ca="1">IFERROR(__xludf.DUMMYFUNCTION("""COMPUTED_VALUE"""),44991)</f>
        <v>44991</v>
      </c>
      <c r="B151" s="6" t="str">
        <f ca="1">IFERROR(__xludf.DUMMYFUNCTION("""COMPUTED_VALUE"""),"-33,790554,-71.249846")</f>
        <v>-33,790554,-71.249846</v>
      </c>
      <c r="C151" s="6" t="str">
        <f ca="1">IFERROR(__xludf.DUMMYFUNCTION("""COMPUTED_VALUE"""),"CULIPRAN 21 PARCELA 9")</f>
        <v>CULIPRAN 21 PARCELA 9</v>
      </c>
      <c r="D151" s="6" t="str">
        <f ca="1">IFERROR(__xludf.DUMMYFUNCTION("""COMPUTED_VALUE"""),"MELIPILLA")</f>
        <v>MELIPILLA</v>
      </c>
    </row>
    <row r="152" spans="1:4">
      <c r="A152" s="7">
        <f ca="1">IFERROR(__xludf.DUMMYFUNCTION("""COMPUTED_VALUE"""),44991)</f>
        <v>44991</v>
      </c>
      <c r="B152" s="6" t="str">
        <f ca="1">IFERROR(__xludf.DUMMYFUNCTION("""COMPUTED_VALUE"""),"-33.615960,-70.861677")</f>
        <v>-33.615960,-70.861677</v>
      </c>
      <c r="C152" s="6" t="str">
        <f ca="1">IFERROR(__xludf.DUMMYFUNCTION("""COMPUTED_VALUE"""),"BALMACEDA 1712 LOTA5")</f>
        <v>BALMACEDA 1712 LOTA5</v>
      </c>
      <c r="D152" s="6" t="str">
        <f ca="1">IFERROR(__xludf.DUMMYFUNCTION("""COMPUTED_VALUE"""),"PEÑAFLOR")</f>
        <v>PEÑAFLOR</v>
      </c>
    </row>
    <row r="153" spans="1:4">
      <c r="A153" s="7">
        <f ca="1">IFERROR(__xludf.DUMMYFUNCTION("""COMPUTED_VALUE"""),44991)</f>
        <v>44991</v>
      </c>
      <c r="B153" s="6" t="str">
        <f ca="1">IFERROR(__xludf.DUMMYFUNCTION("""COMPUTED_VALUE"""),"-34.032737,-71.098154")</f>
        <v>-34.032737,-71.098154</v>
      </c>
      <c r="C153" s="6" t="str">
        <f ca="1">IFERROR(__xludf.DUMMYFUNCTION("""COMPUTED_VALUE"""),"CINCO DE ABRIL S/N ")</f>
        <v xml:space="preserve">CINCO DE ABRIL S/N </v>
      </c>
      <c r="D153" s="6" t="str">
        <f ca="1">IFERROR(__xludf.DUMMYFUNCTION("""COMPUTED_VALUE"""),"ALHUÉ")</f>
        <v>ALHUÉ</v>
      </c>
    </row>
    <row r="154" spans="1:4">
      <c r="A154" s="7">
        <f ca="1">IFERROR(__xludf.DUMMYFUNCTION("""COMPUTED_VALUE"""),44994)</f>
        <v>44994</v>
      </c>
      <c r="B154" s="8" t="str">
        <f ca="1">IFERROR(__xludf.DUMMYFUNCTION("""COMPUTED_VALUE"""),"-33.491505,-71.149829")</f>
        <v>-33.491505,-71.149829</v>
      </c>
      <c r="C154" s="6" t="str">
        <f ca="1">IFERROR(__xludf.DUMMYFUNCTION("""COMPUTED_VALUE"""),"RUTA G 730 KM 14")</f>
        <v>RUTA G 730 KM 14</v>
      </c>
      <c r="D154" s="6" t="str">
        <f ca="1">IFERROR(__xludf.DUMMYFUNCTION("""COMPUTED_VALUE"""),"MELIPILLA")</f>
        <v>MELIPILLA</v>
      </c>
    </row>
    <row r="155" spans="1:4">
      <c r="A155" s="7">
        <f ca="1">IFERROR(__xludf.DUMMYFUNCTION("""COMPUTED_VALUE"""),44994)</f>
        <v>44994</v>
      </c>
      <c r="B155" s="8" t="str">
        <f ca="1">IFERROR(__xludf.DUMMYFUNCTION("""COMPUTED_VALUE"""),"-34.0459837,-71.223332")</f>
        <v>-34.0459837,-71.223332</v>
      </c>
      <c r="C155" s="6" t="str">
        <f ca="1">IFERROR(__xludf.DUMMYFUNCTION("""COMPUTED_VALUE"""),"CAM ALHUE ")</f>
        <v xml:space="preserve">CAM ALHUE </v>
      </c>
      <c r="D155" s="6" t="str">
        <f ca="1">IFERROR(__xludf.DUMMYFUNCTION("""COMPUTED_VALUE"""),"ALHUÉ")</f>
        <v>ALHUÉ</v>
      </c>
    </row>
    <row r="156" spans="1:4">
      <c r="A156" s="7">
        <f ca="1">IFERROR(__xludf.DUMMYFUNCTION("""COMPUTED_VALUE"""),44995)</f>
        <v>44995</v>
      </c>
      <c r="B156" s="8" t="str">
        <f ca="1">IFERROR(__xludf.DUMMYFUNCTION("""COMPUTED_VALUE"""),"-33.658840,-70.634280")</f>
        <v>-33.658840,-70.634280</v>
      </c>
      <c r="C156" s="6" t="str">
        <f ca="1">IFERROR(__xludf.DUMMYFUNCTION("""COMPUTED_VALUE"""),"LOTE SAN VICENTE 53 S/N PARC 53")</f>
        <v>LOTE SAN VICENTE 53 S/N PARC 53</v>
      </c>
      <c r="D156" s="6" t="str">
        <f ca="1">IFERROR(__xludf.DUMMYFUNCTION("""COMPUTED_VALUE"""),"PIRQUE")</f>
        <v>PIRQUE</v>
      </c>
    </row>
    <row r="157" spans="1:4">
      <c r="A157" s="7">
        <f ca="1">IFERROR(__xludf.DUMMYFUNCTION("""COMPUTED_VALUE"""),44995)</f>
        <v>44995</v>
      </c>
      <c r="B157" s="8" t="str">
        <f ca="1">IFERROR(__xludf.DUMMYFUNCTION("""COMPUTED_VALUE"""),"-34.0459837,-71.233322")</f>
        <v>-34.0459837,-71.233322</v>
      </c>
      <c r="C157" s="6" t="str">
        <f ca="1">IFERROR(__xludf.DUMMYFUNCTION("""COMPUTED_VALUE"""),"CAM INTERIOR ALHUE")</f>
        <v>CAM INTERIOR ALHUE</v>
      </c>
      <c r="D157" s="6" t="str">
        <f ca="1">IFERROR(__xludf.DUMMYFUNCTION("""COMPUTED_VALUE"""),"ALHUÉ")</f>
        <v>ALHUÉ</v>
      </c>
    </row>
    <row r="158" spans="1:4">
      <c r="A158" s="7">
        <f ca="1">IFERROR(__xludf.DUMMYFUNCTION("""COMPUTED_VALUE"""),44995)</f>
        <v>44995</v>
      </c>
      <c r="B158" s="6" t="str">
        <f ca="1">IFERROR(__xludf.DUMMYFUNCTION("""COMPUTED_VALUE"""),"-33.463582,-71.100559")</f>
        <v>-33.463582,-71.100559</v>
      </c>
      <c r="C158" s="6" t="str">
        <f ca="1">IFERROR(__xludf.DUMMYFUNCTION("""COMPUTED_VALUE"""),"P. CALLEJON LOYOLA S/N")</f>
        <v>P. CALLEJON LOYOLA S/N</v>
      </c>
      <c r="D158" s="6" t="str">
        <f ca="1">IFERROR(__xludf.DUMMYFUNCTION("""COMPUTED_VALUE"""),"MARIA PINTO")</f>
        <v>MARIA PINTO</v>
      </c>
    </row>
    <row r="159" spans="1:4">
      <c r="A159" s="7">
        <f ca="1">IFERROR(__xludf.DUMMYFUNCTION("""COMPUTED_VALUE"""),44996)</f>
        <v>44996</v>
      </c>
      <c r="B159" s="8" t="str">
        <f ca="1">IFERROR(__xludf.DUMMYFUNCTION("""COMPUTED_VALUE"""),"-34.0399623,-71.2271923")</f>
        <v>-34.0399623,-71.2271923</v>
      </c>
      <c r="C159" s="6" t="str">
        <f ca="1">IFERROR(__xludf.DUMMYFUNCTION("""COMPUTED_VALUE"""),"LA LINEA ALHUE")</f>
        <v>LA LINEA ALHUE</v>
      </c>
      <c r="D159" s="6" t="str">
        <f ca="1">IFERROR(__xludf.DUMMYFUNCTION("""COMPUTED_VALUE"""),"ALHUÉ")</f>
        <v>ALHUÉ</v>
      </c>
    </row>
    <row r="160" spans="1:4">
      <c r="A160" s="7">
        <f ca="1">IFERROR(__xludf.DUMMYFUNCTION("""COMPUTED_VALUE"""),44996)</f>
        <v>44996</v>
      </c>
      <c r="B160" s="8" t="str">
        <f ca="1">IFERROR(__xludf.DUMMYFUNCTION("""COMPUTED_VALUE"""),"-34.0328094,-71.2220743")</f>
        <v>-34.0328094,-71.2220743</v>
      </c>
      <c r="C160" s="6" t="str">
        <f ca="1">IFERROR(__xludf.DUMMYFUNCTION("""COMPUTED_VALUE"""),"LA LINEA ALHUE")</f>
        <v>LA LINEA ALHUE</v>
      </c>
      <c r="D160" s="6" t="str">
        <f ca="1">IFERROR(__xludf.DUMMYFUNCTION("""COMPUTED_VALUE"""),"ALHUÉ")</f>
        <v>ALHUÉ</v>
      </c>
    </row>
    <row r="161" spans="1:4">
      <c r="A161" s="7">
        <f ca="1">IFERROR(__xludf.DUMMYFUNCTION("""COMPUTED_VALUE"""),44996)</f>
        <v>44996</v>
      </c>
      <c r="B161" s="8" t="str">
        <f ca="1">IFERROR(__xludf.DUMMYFUNCTION("""COMPUTED_VALUE"""),"-34.036419,-71.093651")</f>
        <v>-34.036419,-71.093651</v>
      </c>
      <c r="C161" s="6" t="str">
        <f ca="1">IFERROR(__xludf.DUMMYFUNCTION("""COMPUTED_VALUE"""),"SECTOR EL TRANQUE 853")</f>
        <v>SECTOR EL TRANQUE 853</v>
      </c>
      <c r="D161" s="6" t="str">
        <f ca="1">IFERROR(__xludf.DUMMYFUNCTION("""COMPUTED_VALUE"""),"ALHUÉ")</f>
        <v>ALHUÉ</v>
      </c>
    </row>
    <row r="162" spans="1:4">
      <c r="A162" s="7">
        <f ca="1">IFERROR(__xludf.DUMMYFUNCTION("""COMPUTED_VALUE"""),44998)</f>
        <v>44998</v>
      </c>
      <c r="B162" s="8" t="str">
        <f ca="1">IFERROR(__xludf.DUMMYFUNCTION("""COMPUTED_VALUE"""),"-34.0409425,-71.2276734")</f>
        <v>-34.0409425,-71.2276734</v>
      </c>
      <c r="C162" s="6" t="str">
        <f ca="1">IFERROR(__xludf.DUMMYFUNCTION("""COMPUTED_VALUE"""),"LA LINEA")</f>
        <v>LA LINEA</v>
      </c>
      <c r="D162" s="6" t="str">
        <f ca="1">IFERROR(__xludf.DUMMYFUNCTION("""COMPUTED_VALUE"""),"ALHUÉ")</f>
        <v>ALHUÉ</v>
      </c>
    </row>
    <row r="163" spans="1:4">
      <c r="A163" s="7">
        <f ca="1">IFERROR(__xludf.DUMMYFUNCTION("""COMPUTED_VALUE"""),44998)</f>
        <v>44998</v>
      </c>
      <c r="B163" s="8" t="str">
        <f ca="1">IFERROR(__xludf.DUMMYFUNCTION("""COMPUTED_VALUE"""),"34.040496,-71.2276506")</f>
        <v>34.040496,-71.2276506</v>
      </c>
      <c r="C163" s="6" t="str">
        <f ca="1">IFERROR(__xludf.DUMMYFUNCTION("""COMPUTED_VALUE"""),"LA LINEA G 929")</f>
        <v>LA LINEA G 929</v>
      </c>
      <c r="D163" s="6" t="str">
        <f ca="1">IFERROR(__xludf.DUMMYFUNCTION("""COMPUTED_VALUE"""),"ALHUÉ")</f>
        <v>ALHUÉ</v>
      </c>
    </row>
    <row r="164" spans="1:4">
      <c r="A164" s="7">
        <f ca="1">IFERROR(__xludf.DUMMYFUNCTION("""COMPUTED_VALUE"""),44998)</f>
        <v>44998</v>
      </c>
      <c r="B164" s="6" t="str">
        <f ca="1">IFERROR(__xludf.DUMMYFUNCTION("""COMPUTED_VALUE"""),"-33.472807,-71.184948")</f>
        <v>-33.472807,-71.184948</v>
      </c>
      <c r="C164" s="6" t="str">
        <f ca="1">IFERROR(__xludf.DUMMYFUNCTION("""COMPUTED_VALUE"""),"LOMAS DE SAN ANTONIO 1976")</f>
        <v>LOMAS DE SAN ANTONIO 1976</v>
      </c>
      <c r="D164" s="6" t="str">
        <f ca="1">IFERROR(__xludf.DUMMYFUNCTION("""COMPUTED_VALUE"""),"MELIPILLA")</f>
        <v>MELIPILLA</v>
      </c>
    </row>
    <row r="165" spans="1:4">
      <c r="A165" s="7">
        <f ca="1">IFERROR(__xludf.DUMMYFUNCTION("""COMPUTED_VALUE"""),44998)</f>
        <v>44998</v>
      </c>
      <c r="B165" s="6" t="str">
        <f ca="1">IFERROR(__xludf.DUMMYFUNCTION("""COMPUTED_VALUE"""),"-33.602211,-70.874658")</f>
        <v>-33.602211,-70.874658</v>
      </c>
      <c r="C165" s="6" t="str">
        <f ca="1">IFERROR(__xludf.DUMMYFUNCTION("""COMPUTED_VALUE"""),"P. ANGOL 411")</f>
        <v>P. ANGOL 411</v>
      </c>
      <c r="D165" s="6" t="str">
        <f ca="1">IFERROR(__xludf.DUMMYFUNCTION("""COMPUTED_VALUE"""),"PEÑAFLOR")</f>
        <v>PEÑAFLOR</v>
      </c>
    </row>
    <row r="166" spans="1:4">
      <c r="A166" s="7">
        <f ca="1">IFERROR(__xludf.DUMMYFUNCTION("""COMPUTED_VALUE"""),44998)</f>
        <v>44998</v>
      </c>
      <c r="B166" s="6" t="str">
        <f ca="1">IFERROR(__xludf.DUMMYFUNCTION("""COMPUTED_VALUE"""),"-33.663406,-71.353095")</f>
        <v>-33.663406,-71.353095</v>
      </c>
      <c r="C166" s="6" t="str">
        <f ca="1">IFERROR(__xludf.DUMMYFUNCTION("""COMPUTED_VALUE"""),"FUNDO SAN DIEGO S/N")</f>
        <v>FUNDO SAN DIEGO S/N</v>
      </c>
      <c r="D166" s="6" t="str">
        <f ca="1">IFERROR(__xludf.DUMMYFUNCTION("""COMPUTED_VALUE"""),"MELIPILLA")</f>
        <v>MELIPILLA</v>
      </c>
    </row>
    <row r="167" spans="1:4">
      <c r="A167" s="7">
        <f ca="1">IFERROR(__xludf.DUMMYFUNCTION("""COMPUTED_VALUE"""),44998)</f>
        <v>44998</v>
      </c>
      <c r="B167" s="6" t="str">
        <f ca="1">IFERROR(__xludf.DUMMYFUNCTION("""COMPUTED_VALUE"""),"-33.790384,-71.249934")</f>
        <v>-33.790384,-71.249934</v>
      </c>
      <c r="C167" s="6" t="str">
        <f ca="1">IFERROR(__xludf.DUMMYFUNCTION("""COMPUTED_VALUE"""),"CULIPRAN 21 ")</f>
        <v xml:space="preserve">CULIPRAN 21 </v>
      </c>
      <c r="D167" s="6" t="str">
        <f ca="1">IFERROR(__xludf.DUMMYFUNCTION("""COMPUTED_VALUE"""),"MELIPILLA")</f>
        <v>MELIPILLA</v>
      </c>
    </row>
    <row r="168" spans="1:4">
      <c r="A168" s="7">
        <f ca="1">IFERROR(__xludf.DUMMYFUNCTION("""COMPUTED_VALUE"""),44998)</f>
        <v>44998</v>
      </c>
      <c r="B168" s="6" t="str">
        <f ca="1">IFERROR(__xludf.DUMMYFUNCTION("""COMPUTED_VALUE"""),"-33.769666,-71.276451")</f>
        <v>-33.769666,-71.276451</v>
      </c>
      <c r="C168" s="6" t="str">
        <f ca="1">IFERROR(__xludf.DUMMYFUNCTION("""COMPUTED_VALUE"""),"CO. CODIGUA S/N ST4")</f>
        <v>CO. CODIGUA S/N ST4</v>
      </c>
      <c r="D168" s="6" t="str">
        <f ca="1">IFERROR(__xludf.DUMMYFUNCTION("""COMPUTED_VALUE"""),"MELIPILLA")</f>
        <v>MELIPILLA</v>
      </c>
    </row>
    <row r="169" spans="1:4">
      <c r="A169" s="7">
        <f ca="1">IFERROR(__xludf.DUMMYFUNCTION("""COMPUTED_VALUE"""),44998)</f>
        <v>44998</v>
      </c>
      <c r="B169" s="6" t="str">
        <f ca="1">IFERROR(__xludf.DUMMYFUNCTION("""COMPUTED_VALUE"""),"-33.775966,-71.239446")</f>
        <v>-33.775966,-71.239446</v>
      </c>
      <c r="C169" s="6" t="str">
        <f ca="1">IFERROR(__xludf.DUMMYFUNCTION("""COMPUTED_VALUE"""),"CO. CODIGUA S/N ST4")</f>
        <v>CO. CODIGUA S/N ST4</v>
      </c>
      <c r="D169" s="6" t="str">
        <f ca="1">IFERROR(__xludf.DUMMYFUNCTION("""COMPUTED_VALUE"""),"MELIPILLA")</f>
        <v>MELIPILLA</v>
      </c>
    </row>
    <row r="170" spans="1:4">
      <c r="A170" s="7">
        <f ca="1">IFERROR(__xludf.DUMMYFUNCTION("""COMPUTED_VALUE"""),44999)</f>
        <v>44999</v>
      </c>
      <c r="B170" s="6" t="str">
        <f ca="1">IFERROR(__xludf.DUMMYFUNCTION("""COMPUTED_VALUE"""),"-33.819978,-70.739966")</f>
        <v>-33.819978,-70.739966</v>
      </c>
      <c r="C170" s="6" t="str">
        <f ca="1">IFERROR(__xludf.DUMMYFUNCTION("""COMPUTED_VALUE"""),"P. PUERTO RICO1547")</f>
        <v>P. PUERTO RICO1547</v>
      </c>
      <c r="D170" s="6" t="str">
        <f ca="1">IFERROR(__xludf.DUMMYFUNCTION("""COMPUTED_VALUE"""),"PAINE")</f>
        <v>PAINE</v>
      </c>
    </row>
    <row r="171" spans="1:4">
      <c r="A171" s="7">
        <f ca="1">IFERROR(__xludf.DUMMYFUNCTION("""COMPUTED_VALUE"""),44999)</f>
        <v>44999</v>
      </c>
      <c r="B171" s="6" t="str">
        <f ca="1">IFERROR(__xludf.DUMMYFUNCTION("""COMPUTED_VALUE"""),"-33.857735,-70.727087")</f>
        <v>-33.857735,-70.727087</v>
      </c>
      <c r="C171" s="6" t="str">
        <f ca="1">IFERROR(__xludf.DUMMYFUNCTION("""COMPUTED_VALUE"""),"COLONIA KENEDY 58")</f>
        <v>COLONIA KENEDY 58</v>
      </c>
      <c r="D171" s="6" t="str">
        <f ca="1">IFERROR(__xludf.DUMMYFUNCTION("""COMPUTED_VALUE"""),"PAINE")</f>
        <v>PAINE</v>
      </c>
    </row>
    <row r="172" spans="1:4">
      <c r="A172" s="7">
        <f ca="1">IFERROR(__xludf.DUMMYFUNCTION("""COMPUTED_VALUE"""),44999)</f>
        <v>44999</v>
      </c>
      <c r="B172" s="6" t="str">
        <f ca="1">IFERROR(__xludf.DUMMYFUNCTION("""COMPUTED_VALUE"""),"-33.799647,-70.726585")</f>
        <v>-33.799647,-70.726585</v>
      </c>
      <c r="C172" s="6" t="str">
        <f ca="1">IFERROR(__xludf.DUMMYFUNCTION("""COMPUTED_VALUE"""),"CALLE S/N PARC. SANTA ADRIANA 14")</f>
        <v>CALLE S/N PARC. SANTA ADRIANA 14</v>
      </c>
      <c r="D172" s="6" t="str">
        <f ca="1">IFERROR(__xludf.DUMMYFUNCTION("""COMPUTED_VALUE"""),"PAINE")</f>
        <v>PAINE</v>
      </c>
    </row>
    <row r="173" spans="1:4">
      <c r="A173" s="7">
        <f ca="1">IFERROR(__xludf.DUMMYFUNCTION("""COMPUTED_VALUE"""),45001)</f>
        <v>45001</v>
      </c>
      <c r="B173" s="6" t="str">
        <f ca="1">IFERROR(__xludf.DUMMYFUNCTION("""COMPUTED_VALUE"""),"-33.454266,-71.026937")</f>
        <v>-33.454266,-71.026937</v>
      </c>
      <c r="C173" s="6" t="str">
        <f ca="1">IFERROR(__xludf.DUMMYFUNCTION("""COMPUTED_VALUE"""),"PA. LOLENCO S/N")</f>
        <v>PA. LOLENCO S/N</v>
      </c>
      <c r="D173" s="6" t="str">
        <f ca="1">IFERROR(__xludf.DUMMYFUNCTION("""COMPUTED_VALUE"""),"CURACAVI")</f>
        <v>CURACAVI</v>
      </c>
    </row>
    <row r="174" spans="1:4">
      <c r="A174" s="7">
        <f ca="1">IFERROR(__xludf.DUMMYFUNCTION("""COMPUTED_VALUE"""),45001)</f>
        <v>45001</v>
      </c>
      <c r="B174" s="6" t="str">
        <f ca="1">IFERROR(__xludf.DUMMYFUNCTION("""COMPUTED_VALUE"""),"-33.454266,-71.026937")</f>
        <v>-33.454266,-71.026937</v>
      </c>
      <c r="C174" s="6" t="str">
        <f ca="1">IFERROR(__xludf.DUMMYFUNCTION("""COMPUTED_VALUE"""),"PA. LOLENCO S/N")</f>
        <v>PA. LOLENCO S/N</v>
      </c>
      <c r="D174" s="6" t="str">
        <f ca="1">IFERROR(__xludf.DUMMYFUNCTION("""COMPUTED_VALUE"""),"CURACAVI")</f>
        <v>CURACAVI</v>
      </c>
    </row>
    <row r="175" spans="1:4">
      <c r="A175" s="7">
        <f ca="1">IFERROR(__xludf.DUMMYFUNCTION("""COMPUTED_VALUE"""),45002)</f>
        <v>45002</v>
      </c>
      <c r="B175" s="6" t="str">
        <f ca="1">IFERROR(__xludf.DUMMYFUNCTION("""COMPUTED_VALUE"""),"-33.512264,-70.986699")</f>
        <v>-33.512264,-70.986699</v>
      </c>
      <c r="C175" s="6" t="str">
        <f ca="1">IFERROR(__xludf.DUMMYFUNCTION("""COMPUTED_VALUE"""),"LA PATAGUILLA S/N")</f>
        <v>LA PATAGUILLA S/N</v>
      </c>
      <c r="D175" s="6" t="str">
        <f ca="1">IFERROR(__xludf.DUMMYFUNCTION("""COMPUTED_VALUE"""),"CURACAVI")</f>
        <v>CURACAVI</v>
      </c>
    </row>
    <row r="176" spans="1:4">
      <c r="A176" s="7">
        <f ca="1">IFERROR(__xludf.DUMMYFUNCTION("""COMPUTED_VALUE"""),45003)</f>
        <v>45003</v>
      </c>
      <c r="B176" s="6" t="str">
        <f ca="1">IFERROR(__xludf.DUMMYFUNCTION("""COMPUTED_VALUE"""),"-33.434688-70.454644")</f>
        <v>-33.434688-70.454644</v>
      </c>
      <c r="C176" s="6" t="str">
        <f ca="1">IFERROR(__xludf.DUMMYFUNCTION("""COMPUTED_VALUE"""),"ROSA URETA PINTO 2281")</f>
        <v>ROSA URETA PINTO 2281</v>
      </c>
      <c r="D176" s="6" t="str">
        <f ca="1">IFERROR(__xludf.DUMMYFUNCTION("""COMPUTED_VALUE"""),"BUIN")</f>
        <v>BUIN</v>
      </c>
    </row>
    <row r="177" spans="1:4">
      <c r="A177" s="7">
        <f ca="1">IFERROR(__xludf.DUMMYFUNCTION("""COMPUTED_VALUE"""),45003)</f>
        <v>45003</v>
      </c>
      <c r="B177" s="6" t="str">
        <f ca="1">IFERROR(__xludf.DUMMYFUNCTION("""COMPUTED_VALUE"""),"-33.676102,-71.210550")</f>
        <v>-33.676102,-71.210550</v>
      </c>
      <c r="C177" s="6" t="str">
        <f ca="1">IFERROR(__xludf.DUMMYFUNCTION("""COMPUTED_VALUE"""),"MELIPILLA 169")</f>
        <v>MELIPILLA 169</v>
      </c>
      <c r="D177" s="6" t="str">
        <f ca="1">IFERROR(__xludf.DUMMYFUNCTION("""COMPUTED_VALUE"""),"MELIPILLA")</f>
        <v>MELIPILLA</v>
      </c>
    </row>
    <row r="178" spans="1:4">
      <c r="A178" s="7">
        <f ca="1">IFERROR(__xludf.DUMMYFUNCTION("""COMPUTED_VALUE"""),45003)</f>
        <v>45003</v>
      </c>
      <c r="B178" s="6" t="str">
        <f ca="1">IFERROR(__xludf.DUMMYFUNCTION("""COMPUTED_VALUE"""),"-33.676102,-71.210550")</f>
        <v>-33.676102,-71.210550</v>
      </c>
      <c r="C178" s="6" t="str">
        <f ca="1">IFERROR(__xludf.DUMMYFUNCTION("""COMPUTED_VALUE"""),"MELIPILLA 169")</f>
        <v>MELIPILLA 169</v>
      </c>
      <c r="D178" s="6" t="str">
        <f ca="1">IFERROR(__xludf.DUMMYFUNCTION("""COMPUTED_VALUE"""),"MELIPILLA")</f>
        <v>MELIPILLA</v>
      </c>
    </row>
    <row r="179" spans="1:4">
      <c r="A179" s="7">
        <f ca="1">IFERROR(__xludf.DUMMYFUNCTION("""COMPUTED_VALUE"""),45006)</f>
        <v>45006</v>
      </c>
      <c r="B179" s="8" t="str">
        <f ca="1">IFERROR(__xludf.DUMMYFUNCTION("""COMPUTED_VALUE"""),"-33.255519.-70,703056")</f>
        <v>-33.255519.-70,703056</v>
      </c>
      <c r="C179" s="6" t="str">
        <f ca="1">IFERROR(__xludf.DUMMYFUNCTION("""COMPUTED_VALUE"""),"SAN MARTIN PARC 21")</f>
        <v>SAN MARTIN PARC 21</v>
      </c>
      <c r="D179" s="6" t="str">
        <f ca="1">IFERROR(__xludf.DUMMYFUNCTION("""COMPUTED_VALUE"""),"COLINA")</f>
        <v>COLINA</v>
      </c>
    </row>
    <row r="180" spans="1:4">
      <c r="A180" s="7">
        <f ca="1">IFERROR(__xludf.DUMMYFUNCTION("""COMPUTED_VALUE"""),45006)</f>
        <v>45006</v>
      </c>
      <c r="B180" s="8" t="str">
        <f ca="1">IFERROR(__xludf.DUMMYFUNCTION("""COMPUTED_VALUE"""),"-33.255519.-70,703056")</f>
        <v>-33.255519.-70,703056</v>
      </c>
      <c r="C180" s="6" t="str">
        <f ca="1">IFERROR(__xludf.DUMMYFUNCTION("""COMPUTED_VALUE"""),"SAN MARTIN PARC 21")</f>
        <v>SAN MARTIN PARC 21</v>
      </c>
      <c r="D180" s="6" t="str">
        <f ca="1">IFERROR(__xludf.DUMMYFUNCTION("""COMPUTED_VALUE"""),"COLINA")</f>
        <v>COLINA</v>
      </c>
    </row>
    <row r="181" spans="1:4">
      <c r="A181" s="7">
        <f ca="1">IFERROR(__xludf.DUMMYFUNCTION("""COMPUTED_VALUE"""),45006)</f>
        <v>45006</v>
      </c>
      <c r="B181" s="6" t="str">
        <f ca="1">IFERROR(__xludf.DUMMYFUNCTION("""COMPUTED_VALUE"""),"-33,573232,-70,816575")</f>
        <v>-33,573232,-70,816575</v>
      </c>
      <c r="C181" s="6" t="str">
        <f ca="1">IFERROR(__xludf.DUMMYFUNCTION("""COMPUTED_VALUE"""),"SAN IGNACIO 244")</f>
        <v>SAN IGNACIO 244</v>
      </c>
      <c r="D181" s="6" t="str">
        <f ca="1">IFERROR(__xludf.DUMMYFUNCTION("""COMPUTED_VALUE"""),"PADRE HURTADO")</f>
        <v>PADRE HURTADO</v>
      </c>
    </row>
    <row r="182" spans="1:4">
      <c r="A182" s="7">
        <f ca="1">IFERROR(__xludf.DUMMYFUNCTION("""COMPUTED_VALUE"""),45013)</f>
        <v>45013</v>
      </c>
      <c r="B182" s="8" t="str">
        <f ca="1">IFERROR(__xludf.DUMMYFUNCTION("""COMPUTED_VALUE"""),"-33.7226090,-70.7358220")</f>
        <v>-33.7226090,-70.7358220</v>
      </c>
      <c r="C182" s="6" t="str">
        <f ca="1">IFERROR(__xludf.DUMMYFUNCTION("""COMPUTED_VALUE"""),"PEDRO JIMENEZ 41")</f>
        <v>PEDRO JIMENEZ 41</v>
      </c>
      <c r="D182" s="6" t="str">
        <f ca="1">IFERROR(__xludf.DUMMYFUNCTION("""COMPUTED_VALUE"""),"BUIN")</f>
        <v>BUIN</v>
      </c>
    </row>
    <row r="183" spans="1:4">
      <c r="A183" s="7">
        <f ca="1">IFERROR(__xludf.DUMMYFUNCTION("""COMPUTED_VALUE"""),45015)</f>
        <v>45015</v>
      </c>
      <c r="B183" s="8" t="str">
        <f ca="1">IFERROR(__xludf.DUMMYFUNCTION("""COMPUTED_VALUE"""),"-33.760837,-71.308876")</f>
        <v>-33.760837,-71.308876</v>
      </c>
      <c r="C183" s="6" t="str">
        <f ca="1">IFERROR(__xludf.DUMMYFUNCTION("""COMPUTED_VALUE"""),"EL ESTERO S/N")</f>
        <v>EL ESTERO S/N</v>
      </c>
      <c r="D183" s="6" t="str">
        <f ca="1">IFERROR(__xludf.DUMMYFUNCTION("""COMPUTED_VALUE"""),"MELIPILLA")</f>
        <v>MELIPILLA</v>
      </c>
    </row>
    <row r="184" spans="1:4">
      <c r="A184" s="7">
        <f ca="1">IFERROR(__xludf.DUMMYFUNCTION("""COMPUTED_VALUE"""),45020)</f>
        <v>45020</v>
      </c>
      <c r="B184" s="8" t="str">
        <f ca="1">IFERROR(__xludf.DUMMYFUNCTION("""COMPUTED_VALUE"""),"-33.211540,-70.686677")</f>
        <v>-33.211540,-70.686677</v>
      </c>
      <c r="C184" s="6" t="str">
        <f ca="1">IFERROR(__xludf.DUMMYFUNCTION("""COMPUTED_VALUE"""),"PJE OLVILLO 834")</f>
        <v>PJE OLVILLO 834</v>
      </c>
      <c r="D184" s="6" t="str">
        <f ca="1">IFERROR(__xludf.DUMMYFUNCTION("""COMPUTED_VALUE"""),"COLINA")</f>
        <v>COLINA</v>
      </c>
    </row>
    <row r="185" spans="1:4">
      <c r="A185" s="7">
        <f ca="1">IFERROR(__xludf.DUMMYFUNCTION("""COMPUTED_VALUE"""),45020)</f>
        <v>45020</v>
      </c>
      <c r="B185" s="8" t="str">
        <f ca="1">IFERROR(__xludf.DUMMYFUNCTION("""COMPUTED_VALUE"""),"-33.211540,-70.686677")</f>
        <v>-33.211540,-70.686677</v>
      </c>
      <c r="C185" s="6" t="str">
        <f ca="1">IFERROR(__xludf.DUMMYFUNCTION("""COMPUTED_VALUE"""),"PJE OLVILLO 834")</f>
        <v>PJE OLVILLO 834</v>
      </c>
      <c r="D185" s="6" t="str">
        <f ca="1">IFERROR(__xludf.DUMMYFUNCTION("""COMPUTED_VALUE"""),"COLINA")</f>
        <v>COLINA</v>
      </c>
    </row>
    <row r="186" spans="1:4">
      <c r="A186" s="7">
        <f ca="1">IFERROR(__xludf.DUMMYFUNCTION("""COMPUTED_VALUE"""),45042)</f>
        <v>45042</v>
      </c>
      <c r="B186" s="8" t="str">
        <f ca="1">IFERROR(__xludf.DUMMYFUNCTION("""COMPUTED_VALUE"""),"-33.114057,-70.792339")</f>
        <v>-33.114057,-70.792339</v>
      </c>
      <c r="C186" s="6" t="str">
        <f ca="1">IFERROR(__xludf.DUMMYFUNCTION("""COMPUTED_VALUE"""),"COQUINBITO SUR 727")</f>
        <v>COQUINBITO SUR 727</v>
      </c>
      <c r="D186" s="6" t="str">
        <f ca="1">IFERROR(__xludf.DUMMYFUNCTION("""COMPUTED_VALUE"""),"TIL TIL")</f>
        <v>TIL TIL</v>
      </c>
    </row>
    <row r="187" spans="1:4">
      <c r="A187" s="7">
        <f ca="1">IFERROR(__xludf.DUMMYFUNCTION("""COMPUTED_VALUE"""),45042)</f>
        <v>45042</v>
      </c>
      <c r="B187" s="8" t="str">
        <f ca="1">IFERROR(__xludf.DUMMYFUNCTION("""COMPUTED_VALUE"""),"-33.111854,-70.922870")</f>
        <v>-33.111854,-70.922870</v>
      </c>
      <c r="C187" s="6" t="str">
        <f ca="1">IFERROR(__xludf.DUMMYFUNCTION("""COMPUTED_VALUE"""),"TAPIHUE NORTE S 3")</f>
        <v>TAPIHUE NORTE S 3</v>
      </c>
      <c r="D187" s="6" t="str">
        <f ca="1">IFERROR(__xludf.DUMMYFUNCTION("""COMPUTED_VALUE"""),"TIL TIL")</f>
        <v>TIL TIL</v>
      </c>
    </row>
    <row r="188" spans="1:4">
      <c r="A188" s="7">
        <f ca="1">IFERROR(__xludf.DUMMYFUNCTION("""COMPUTED_VALUE"""),45084)</f>
        <v>45084</v>
      </c>
      <c r="B188" s="6"/>
      <c r="C188" s="6" t="str">
        <f ca="1">IFERROR(__xludf.DUMMYFUNCTION("""COMPUTED_VALUE"""),"LAS PIRCAS S/I")</f>
        <v>LAS PIRCAS S/I</v>
      </c>
      <c r="D188" s="6" t="str">
        <f ca="1">IFERROR(__xludf.DUMMYFUNCTION("""COMPUTED_VALUE"""),"ISLA DE MAIPO")</f>
        <v>ISLA DE MAIPO</v>
      </c>
    </row>
    <row r="189" spans="1:4">
      <c r="A189" s="23">
        <v>45006</v>
      </c>
      <c r="B189" s="13" t="s">
        <v>6</v>
      </c>
      <c r="C189" s="13" t="s">
        <v>4</v>
      </c>
      <c r="D189" s="13" t="s">
        <v>5</v>
      </c>
    </row>
    <row r="190" spans="1:4">
      <c r="A190" s="23">
        <v>45026</v>
      </c>
      <c r="B190" s="13" t="s">
        <v>9</v>
      </c>
      <c r="C190" s="13" t="s">
        <v>7</v>
      </c>
      <c r="D190" s="13" t="s">
        <v>8</v>
      </c>
    </row>
    <row r="191" spans="1:4">
      <c r="A191" s="23">
        <v>45053</v>
      </c>
      <c r="B191" s="13" t="s">
        <v>12</v>
      </c>
      <c r="C191" s="13" t="s">
        <v>10</v>
      </c>
      <c r="D191" s="13" t="s">
        <v>11</v>
      </c>
    </row>
    <row r="192" spans="1:4">
      <c r="A192" s="23">
        <v>45069</v>
      </c>
      <c r="B192" s="13" t="s">
        <v>14</v>
      </c>
      <c r="C192" s="13" t="s">
        <v>13</v>
      </c>
      <c r="D192" s="13" t="s">
        <v>5</v>
      </c>
    </row>
    <row r="193" spans="1:4">
      <c r="A193" s="23">
        <v>45070</v>
      </c>
      <c r="B193" s="13" t="s">
        <v>17</v>
      </c>
      <c r="C193" s="13" t="s">
        <v>15</v>
      </c>
      <c r="D193" s="13" t="s">
        <v>16</v>
      </c>
    </row>
    <row r="194" spans="1:4">
      <c r="A194" s="23">
        <v>45076</v>
      </c>
      <c r="B194" s="13" t="s">
        <v>20</v>
      </c>
      <c r="C194" s="13" t="s">
        <v>18</v>
      </c>
      <c r="D194" s="13" t="s">
        <v>19</v>
      </c>
    </row>
    <row r="195" spans="1:4">
      <c r="A195" s="23">
        <v>45076</v>
      </c>
      <c r="B195" s="13" t="s">
        <v>22</v>
      </c>
      <c r="C195" s="13" t="s">
        <v>21</v>
      </c>
      <c r="D195" s="13" t="s">
        <v>19</v>
      </c>
    </row>
    <row r="196" spans="1:4">
      <c r="A196" s="23">
        <v>45077</v>
      </c>
      <c r="B196" s="13" t="s">
        <v>25</v>
      </c>
      <c r="C196" s="13" t="s">
        <v>23</v>
      </c>
      <c r="D196" s="13" t="s">
        <v>24</v>
      </c>
    </row>
    <row r="197" spans="1:4">
      <c r="A197" s="23">
        <v>45078</v>
      </c>
      <c r="B197" s="13" t="s">
        <v>27</v>
      </c>
      <c r="C197" s="13" t="s">
        <v>26</v>
      </c>
      <c r="D197" s="13" t="s">
        <v>24</v>
      </c>
    </row>
    <row r="198" spans="1:4">
      <c r="A198" s="23">
        <v>45090</v>
      </c>
      <c r="B198" s="13" t="s">
        <v>30</v>
      </c>
      <c r="C198" s="13" t="s">
        <v>28</v>
      </c>
      <c r="D198" s="13" t="s">
        <v>29</v>
      </c>
    </row>
    <row r="199" spans="1:4">
      <c r="A199" s="23">
        <v>45091</v>
      </c>
      <c r="B199" s="13" t="s">
        <v>32</v>
      </c>
      <c r="C199" s="13" t="s">
        <v>31</v>
      </c>
      <c r="D199" s="13" t="s">
        <v>16</v>
      </c>
    </row>
    <row r="200" spans="1:4">
      <c r="A200" s="23">
        <v>45092</v>
      </c>
      <c r="B200" s="13" t="s">
        <v>35</v>
      </c>
      <c r="C200" s="13" t="s">
        <v>33</v>
      </c>
      <c r="D200" s="13" t="s">
        <v>34</v>
      </c>
    </row>
    <row r="201" spans="1:4">
      <c r="A201" s="23">
        <v>45104</v>
      </c>
      <c r="B201" s="13" t="s">
        <v>38</v>
      </c>
      <c r="C201" s="13" t="s">
        <v>36</v>
      </c>
      <c r="D201" s="16" t="s">
        <v>37</v>
      </c>
    </row>
    <row r="202" spans="1:4">
      <c r="A202" s="23">
        <v>45105</v>
      </c>
      <c r="B202" s="13" t="s">
        <v>40</v>
      </c>
      <c r="C202" s="13" t="s">
        <v>39</v>
      </c>
      <c r="D202" s="13" t="s">
        <v>24</v>
      </c>
    </row>
    <row r="203" spans="1:4">
      <c r="A203" s="23">
        <v>45105</v>
      </c>
      <c r="B203" s="13" t="s">
        <v>42</v>
      </c>
      <c r="C203" s="13" t="s">
        <v>41</v>
      </c>
      <c r="D203" s="13" t="s">
        <v>16</v>
      </c>
    </row>
    <row r="204" spans="1:4">
      <c r="A204" s="23">
        <v>45106</v>
      </c>
      <c r="B204" s="13" t="s">
        <v>44</v>
      </c>
      <c r="C204" s="13" t="s">
        <v>43</v>
      </c>
      <c r="D204" s="13" t="s">
        <v>5</v>
      </c>
    </row>
    <row r="205" spans="1:4">
      <c r="A205" s="23">
        <v>45126</v>
      </c>
      <c r="B205" s="13" t="s">
        <v>46</v>
      </c>
      <c r="C205" s="13" t="s">
        <v>45</v>
      </c>
      <c r="D205" s="13" t="s">
        <v>24</v>
      </c>
    </row>
    <row r="206" spans="1:4">
      <c r="A206" s="23">
        <v>45127</v>
      </c>
      <c r="B206" s="13" t="s">
        <v>48</v>
      </c>
      <c r="C206" s="13" t="s">
        <v>47</v>
      </c>
      <c r="D206" s="13" t="s">
        <v>24</v>
      </c>
    </row>
    <row r="207" spans="1:4">
      <c r="A207" s="23">
        <v>45131</v>
      </c>
      <c r="B207" s="13" t="s">
        <v>50</v>
      </c>
      <c r="C207" s="13" t="s">
        <v>49</v>
      </c>
      <c r="D207" s="13" t="s">
        <v>24</v>
      </c>
    </row>
    <row r="208" spans="1:4">
      <c r="A208" s="23">
        <v>45132</v>
      </c>
      <c r="B208" s="13" t="s">
        <v>52</v>
      </c>
      <c r="C208" s="13" t="s">
        <v>51</v>
      </c>
      <c r="D208" s="13" t="s">
        <v>24</v>
      </c>
    </row>
    <row r="209" spans="1:4">
      <c r="A209" s="23">
        <v>45133</v>
      </c>
      <c r="B209" s="13" t="s">
        <v>54</v>
      </c>
      <c r="C209" s="13" t="s">
        <v>53</v>
      </c>
      <c r="D209" s="13" t="s">
        <v>24</v>
      </c>
    </row>
    <row r="210" spans="1:4">
      <c r="A210" s="23">
        <v>45133</v>
      </c>
      <c r="B210" s="13" t="s">
        <v>56</v>
      </c>
      <c r="C210" s="13" t="s">
        <v>55</v>
      </c>
      <c r="D210" s="13" t="s">
        <v>24</v>
      </c>
    </row>
    <row r="211" spans="1:4">
      <c r="A211" s="23">
        <v>45134</v>
      </c>
      <c r="B211" s="13" t="s">
        <v>58</v>
      </c>
      <c r="C211" s="13" t="s">
        <v>57</v>
      </c>
      <c r="D211" s="13" t="s">
        <v>24</v>
      </c>
    </row>
    <row r="212" spans="1:4">
      <c r="A212" s="23">
        <v>45135</v>
      </c>
      <c r="B212" s="13" t="s">
        <v>60</v>
      </c>
      <c r="C212" s="13" t="s">
        <v>59</v>
      </c>
      <c r="D212" s="13" t="s">
        <v>24</v>
      </c>
    </row>
    <row r="213" spans="1:4">
      <c r="A213" s="23">
        <v>45136</v>
      </c>
      <c r="B213" s="13" t="s">
        <v>62</v>
      </c>
      <c r="C213" s="13" t="s">
        <v>61</v>
      </c>
      <c r="D213" s="13" t="s">
        <v>24</v>
      </c>
    </row>
    <row r="214" spans="1:4">
      <c r="A214" s="23">
        <v>45139</v>
      </c>
      <c r="B214" s="13" t="s">
        <v>64</v>
      </c>
      <c r="C214" s="13" t="s">
        <v>63</v>
      </c>
      <c r="D214" s="13" t="s">
        <v>24</v>
      </c>
    </row>
    <row r="215" spans="1:4">
      <c r="A215" s="23">
        <v>45140</v>
      </c>
      <c r="B215" s="13" t="s">
        <v>66</v>
      </c>
      <c r="C215" s="13" t="s">
        <v>65</v>
      </c>
      <c r="D215" s="13" t="s">
        <v>11</v>
      </c>
    </row>
    <row r="216" spans="1:4">
      <c r="A216" s="23">
        <v>45143</v>
      </c>
      <c r="B216" s="13" t="s">
        <v>68</v>
      </c>
      <c r="C216" s="13" t="s">
        <v>67</v>
      </c>
      <c r="D216" s="13" t="s">
        <v>24</v>
      </c>
    </row>
    <row r="217" spans="1:4">
      <c r="A217" s="23">
        <v>45143</v>
      </c>
      <c r="B217" s="13" t="s">
        <v>70</v>
      </c>
      <c r="C217" s="13" t="s">
        <v>69</v>
      </c>
      <c r="D217" s="13" t="s">
        <v>24</v>
      </c>
    </row>
    <row r="218" spans="1:4">
      <c r="A218" s="23">
        <v>45143</v>
      </c>
      <c r="B218" s="13" t="s">
        <v>72</v>
      </c>
      <c r="C218" s="13" t="s">
        <v>71</v>
      </c>
      <c r="D218" s="13" t="s">
        <v>24</v>
      </c>
    </row>
    <row r="219" spans="1:4">
      <c r="A219" s="23">
        <v>44994</v>
      </c>
      <c r="B219" s="13" t="s">
        <v>75</v>
      </c>
      <c r="C219" s="13" t="s">
        <v>73</v>
      </c>
      <c r="D219" s="13" t="s">
        <v>74</v>
      </c>
    </row>
    <row r="220" spans="1:4">
      <c r="A220" s="23">
        <v>44994</v>
      </c>
      <c r="B220" s="13" t="s">
        <v>77</v>
      </c>
      <c r="C220" s="13" t="s">
        <v>76</v>
      </c>
      <c r="D220" s="13" t="s">
        <v>74</v>
      </c>
    </row>
    <row r="221" spans="1:4">
      <c r="A221" s="23">
        <v>44999</v>
      </c>
      <c r="B221" s="13" t="s">
        <v>79</v>
      </c>
      <c r="C221" s="13" t="s">
        <v>78</v>
      </c>
      <c r="D221" s="13" t="s">
        <v>8</v>
      </c>
    </row>
    <row r="222" spans="1:4">
      <c r="A222" s="23">
        <v>45000</v>
      </c>
      <c r="B222" s="13" t="s">
        <v>82</v>
      </c>
      <c r="C222" s="13" t="s">
        <v>80</v>
      </c>
      <c r="D222" s="13" t="s">
        <v>81</v>
      </c>
    </row>
    <row r="223" spans="1:4">
      <c r="A223" s="23">
        <v>45000</v>
      </c>
      <c r="B223" s="13" t="s">
        <v>84</v>
      </c>
      <c r="C223" s="13" t="s">
        <v>83</v>
      </c>
      <c r="D223" s="13" t="s">
        <v>81</v>
      </c>
    </row>
    <row r="224" spans="1:4">
      <c r="A224" s="23">
        <v>45000</v>
      </c>
      <c r="B224" s="13" t="s">
        <v>86</v>
      </c>
      <c r="C224" s="13" t="s">
        <v>85</v>
      </c>
      <c r="D224" s="13" t="s">
        <v>81</v>
      </c>
    </row>
    <row r="225" spans="1:4">
      <c r="A225" s="23">
        <v>45000</v>
      </c>
      <c r="B225" s="13" t="s">
        <v>86</v>
      </c>
      <c r="C225" s="13" t="s">
        <v>85</v>
      </c>
      <c r="D225" s="13" t="s">
        <v>81</v>
      </c>
    </row>
    <row r="226" spans="1:4">
      <c r="A226" s="23">
        <v>45001</v>
      </c>
      <c r="B226" s="13" t="s">
        <v>88</v>
      </c>
      <c r="C226" s="13" t="s">
        <v>87</v>
      </c>
      <c r="D226" s="13" t="s">
        <v>81</v>
      </c>
    </row>
    <row r="227" spans="1:4">
      <c r="A227" s="23">
        <v>45001</v>
      </c>
      <c r="B227" s="13" t="s">
        <v>90</v>
      </c>
      <c r="C227" s="13" t="s">
        <v>89</v>
      </c>
      <c r="D227" s="13" t="s">
        <v>81</v>
      </c>
    </row>
    <row r="228" spans="1:4">
      <c r="A228" s="23">
        <v>45001</v>
      </c>
      <c r="B228" s="13" t="s">
        <v>92</v>
      </c>
      <c r="C228" s="13" t="s">
        <v>91</v>
      </c>
      <c r="D228" s="13" t="s">
        <v>81</v>
      </c>
    </row>
    <row r="229" spans="1:4">
      <c r="A229" s="23">
        <v>45002</v>
      </c>
      <c r="B229" s="13" t="s">
        <v>94</v>
      </c>
      <c r="C229" s="13" t="s">
        <v>93</v>
      </c>
      <c r="D229" s="13" t="s">
        <v>81</v>
      </c>
    </row>
    <row r="230" spans="1:4">
      <c r="A230" s="23">
        <v>45002</v>
      </c>
      <c r="B230" s="13" t="s">
        <v>96</v>
      </c>
      <c r="C230" s="13" t="s">
        <v>95</v>
      </c>
      <c r="D230" s="13" t="s">
        <v>81</v>
      </c>
    </row>
    <row r="231" spans="1:4">
      <c r="A231" s="23">
        <v>45002</v>
      </c>
      <c r="B231" s="13" t="s">
        <v>98</v>
      </c>
      <c r="C231" s="13" t="s">
        <v>97</v>
      </c>
      <c r="D231" s="13" t="s">
        <v>81</v>
      </c>
    </row>
    <row r="232" spans="1:4">
      <c r="A232" s="23">
        <v>45003</v>
      </c>
      <c r="B232" s="13" t="s">
        <v>100</v>
      </c>
      <c r="C232" s="13" t="s">
        <v>99</v>
      </c>
      <c r="D232" s="13" t="s">
        <v>81</v>
      </c>
    </row>
    <row r="233" spans="1:4">
      <c r="A233" s="23">
        <v>45003</v>
      </c>
      <c r="B233" s="13" t="s">
        <v>102</v>
      </c>
      <c r="C233" s="13" t="s">
        <v>101</v>
      </c>
      <c r="D233" s="13" t="s">
        <v>81</v>
      </c>
    </row>
    <row r="234" spans="1:4">
      <c r="A234" s="23">
        <v>45003</v>
      </c>
      <c r="B234" s="13" t="s">
        <v>103</v>
      </c>
      <c r="C234" s="13" t="s">
        <v>83</v>
      </c>
      <c r="D234" s="13" t="s">
        <v>81</v>
      </c>
    </row>
    <row r="235" spans="1:4">
      <c r="A235" s="23">
        <v>45006</v>
      </c>
      <c r="B235" s="13" t="s">
        <v>105</v>
      </c>
      <c r="C235" s="13" t="s">
        <v>104</v>
      </c>
      <c r="D235" s="13" t="s">
        <v>24</v>
      </c>
    </row>
    <row r="236" spans="1:4">
      <c r="A236" s="23">
        <v>45007</v>
      </c>
      <c r="B236" s="13" t="s">
        <v>107</v>
      </c>
      <c r="C236" s="13" t="s">
        <v>106</v>
      </c>
      <c r="D236" s="13" t="s">
        <v>24</v>
      </c>
    </row>
    <row r="237" spans="1:4">
      <c r="A237" s="23">
        <v>45007</v>
      </c>
      <c r="B237" s="13" t="s">
        <v>110</v>
      </c>
      <c r="C237" s="13" t="s">
        <v>108</v>
      </c>
      <c r="D237" s="13" t="s">
        <v>109</v>
      </c>
    </row>
    <row r="238" spans="1:4">
      <c r="A238" s="23">
        <v>45007</v>
      </c>
      <c r="B238" s="13" t="s">
        <v>112</v>
      </c>
      <c r="C238" s="13" t="s">
        <v>111</v>
      </c>
      <c r="D238" s="13" t="s">
        <v>109</v>
      </c>
    </row>
    <row r="239" spans="1:4">
      <c r="A239" s="23">
        <v>45008</v>
      </c>
      <c r="B239" s="13" t="s">
        <v>114</v>
      </c>
      <c r="C239" s="13" t="s">
        <v>113</v>
      </c>
      <c r="D239" s="13" t="s">
        <v>81</v>
      </c>
    </row>
    <row r="240" spans="1:4">
      <c r="A240" s="23">
        <v>45008</v>
      </c>
      <c r="B240" s="13" t="s">
        <v>116</v>
      </c>
      <c r="C240" s="13" t="s">
        <v>115</v>
      </c>
      <c r="D240" s="13" t="s">
        <v>81</v>
      </c>
    </row>
    <row r="241" spans="1:4">
      <c r="A241" s="23">
        <v>45008</v>
      </c>
      <c r="B241" s="13" t="s">
        <v>118</v>
      </c>
      <c r="C241" s="13" t="s">
        <v>117</v>
      </c>
      <c r="D241" s="13" t="s">
        <v>109</v>
      </c>
    </row>
    <row r="242" spans="1:4">
      <c r="A242" s="23">
        <v>45008</v>
      </c>
      <c r="B242" s="13" t="s">
        <v>120</v>
      </c>
      <c r="C242" s="13" t="s">
        <v>119</v>
      </c>
      <c r="D242" s="13" t="s">
        <v>81</v>
      </c>
    </row>
    <row r="243" spans="1:4">
      <c r="A243" s="23">
        <v>45008</v>
      </c>
      <c r="B243" s="13" t="s">
        <v>122</v>
      </c>
      <c r="C243" s="13" t="s">
        <v>121</v>
      </c>
      <c r="D243" s="13" t="s">
        <v>109</v>
      </c>
    </row>
    <row r="244" spans="1:4">
      <c r="A244" s="23">
        <v>45009</v>
      </c>
      <c r="B244" s="13" t="s">
        <v>123</v>
      </c>
      <c r="C244" s="13" t="s">
        <v>87</v>
      </c>
      <c r="D244" s="13" t="s">
        <v>81</v>
      </c>
    </row>
    <row r="245" spans="1:4">
      <c r="A245" s="23">
        <v>45009</v>
      </c>
      <c r="B245" s="13" t="s">
        <v>124</v>
      </c>
      <c r="C245" s="13" t="s">
        <v>83</v>
      </c>
      <c r="D245" s="13" t="s">
        <v>81</v>
      </c>
    </row>
    <row r="246" spans="1:4">
      <c r="A246" s="23">
        <v>45009</v>
      </c>
      <c r="B246" s="13" t="s">
        <v>125</v>
      </c>
      <c r="C246" s="13" t="s">
        <v>83</v>
      </c>
      <c r="D246" s="13" t="s">
        <v>81</v>
      </c>
    </row>
    <row r="247" spans="1:4">
      <c r="A247" s="23">
        <v>45009</v>
      </c>
      <c r="B247" s="13" t="s">
        <v>127</v>
      </c>
      <c r="C247" s="13" t="s">
        <v>126</v>
      </c>
      <c r="D247" s="13" t="s">
        <v>24</v>
      </c>
    </row>
    <row r="248" spans="1:4">
      <c r="A248" s="23">
        <v>45010</v>
      </c>
      <c r="B248" s="13" t="s">
        <v>129</v>
      </c>
      <c r="C248" s="13" t="s">
        <v>128</v>
      </c>
      <c r="D248" s="13" t="s">
        <v>74</v>
      </c>
    </row>
    <row r="249" spans="1:4">
      <c r="A249" s="23">
        <v>45010</v>
      </c>
      <c r="B249" s="13" t="s">
        <v>131</v>
      </c>
      <c r="C249" s="13" t="s">
        <v>130</v>
      </c>
      <c r="D249" s="13" t="s">
        <v>29</v>
      </c>
    </row>
    <row r="250" spans="1:4">
      <c r="A250" s="23">
        <v>45010</v>
      </c>
      <c r="B250" s="13" t="s">
        <v>133</v>
      </c>
      <c r="C250" s="13" t="s">
        <v>132</v>
      </c>
      <c r="D250" s="13" t="s">
        <v>81</v>
      </c>
    </row>
    <row r="251" spans="1:4">
      <c r="A251" s="23">
        <v>45010</v>
      </c>
      <c r="B251" s="13" t="s">
        <v>135</v>
      </c>
      <c r="C251" s="13" t="s">
        <v>134</v>
      </c>
      <c r="D251" s="13" t="s">
        <v>24</v>
      </c>
    </row>
    <row r="252" spans="1:4">
      <c r="A252" s="23">
        <v>45010</v>
      </c>
      <c r="B252" s="13" t="s">
        <v>137</v>
      </c>
      <c r="C252" s="13" t="s">
        <v>136</v>
      </c>
      <c r="D252" s="13" t="s">
        <v>81</v>
      </c>
    </row>
    <row r="253" spans="1:4">
      <c r="A253" s="23">
        <v>45010</v>
      </c>
      <c r="B253" s="13" t="s">
        <v>139</v>
      </c>
      <c r="C253" s="13" t="s">
        <v>138</v>
      </c>
      <c r="D253" s="13" t="s">
        <v>109</v>
      </c>
    </row>
    <row r="254" spans="1:4">
      <c r="A254" s="23">
        <v>45012</v>
      </c>
      <c r="B254" s="13" t="s">
        <v>142</v>
      </c>
      <c r="C254" s="13" t="s">
        <v>140</v>
      </c>
      <c r="D254" s="13" t="s">
        <v>141</v>
      </c>
    </row>
    <row r="255" spans="1:4">
      <c r="A255" s="23">
        <v>45012</v>
      </c>
      <c r="B255" s="13" t="s">
        <v>144</v>
      </c>
      <c r="C255" s="13" t="s">
        <v>143</v>
      </c>
      <c r="D255" s="13" t="s">
        <v>141</v>
      </c>
    </row>
    <row r="256" spans="1:4">
      <c r="A256" s="23">
        <v>45012</v>
      </c>
      <c r="B256" s="13" t="s">
        <v>146</v>
      </c>
      <c r="C256" s="13" t="s">
        <v>145</v>
      </c>
      <c r="D256" s="13" t="s">
        <v>5</v>
      </c>
    </row>
    <row r="257" spans="1:4">
      <c r="A257" s="23">
        <v>45012</v>
      </c>
      <c r="B257" s="13" t="s">
        <v>148</v>
      </c>
      <c r="C257" s="13" t="s">
        <v>147</v>
      </c>
      <c r="D257" s="13" t="s">
        <v>141</v>
      </c>
    </row>
    <row r="258" spans="1:4">
      <c r="A258" s="23">
        <v>45014</v>
      </c>
      <c r="B258" s="13" t="s">
        <v>150</v>
      </c>
      <c r="C258" s="13" t="s">
        <v>149</v>
      </c>
      <c r="D258" s="13" t="s">
        <v>74</v>
      </c>
    </row>
    <row r="259" spans="1:4">
      <c r="A259" s="23">
        <v>45014</v>
      </c>
      <c r="B259" s="13" t="s">
        <v>152</v>
      </c>
      <c r="C259" s="13" t="s">
        <v>151</v>
      </c>
      <c r="D259" s="13" t="s">
        <v>34</v>
      </c>
    </row>
    <row r="260" spans="1:4">
      <c r="A260" s="23">
        <v>45015</v>
      </c>
      <c r="B260" s="13" t="s">
        <v>154</v>
      </c>
      <c r="C260" s="13" t="s">
        <v>153</v>
      </c>
      <c r="D260" s="13" t="s">
        <v>81</v>
      </c>
    </row>
    <row r="261" spans="1:4">
      <c r="A261" s="23">
        <v>45015</v>
      </c>
      <c r="B261" s="13" t="s">
        <v>156</v>
      </c>
      <c r="C261" s="13" t="s">
        <v>155</v>
      </c>
      <c r="D261" s="13" t="s">
        <v>81</v>
      </c>
    </row>
    <row r="262" spans="1:4">
      <c r="A262" s="23">
        <v>45015</v>
      </c>
      <c r="B262" s="13" t="s">
        <v>158</v>
      </c>
      <c r="C262" s="13" t="s">
        <v>157</v>
      </c>
      <c r="D262" s="13" t="s">
        <v>8</v>
      </c>
    </row>
    <row r="263" spans="1:4">
      <c r="A263" s="23">
        <v>45015</v>
      </c>
      <c r="B263" s="13" t="s">
        <v>160</v>
      </c>
      <c r="C263" s="13" t="s">
        <v>159</v>
      </c>
      <c r="D263" s="13" t="s">
        <v>81</v>
      </c>
    </row>
    <row r="264" spans="1:4">
      <c r="A264" s="23">
        <v>45015</v>
      </c>
      <c r="B264" s="13" t="s">
        <v>162</v>
      </c>
      <c r="C264" s="13" t="s">
        <v>161</v>
      </c>
      <c r="D264" s="13" t="s">
        <v>81</v>
      </c>
    </row>
    <row r="265" spans="1:4">
      <c r="A265" s="23">
        <v>45016</v>
      </c>
      <c r="B265" s="13" t="s">
        <v>165</v>
      </c>
      <c r="C265" s="13" t="s">
        <v>163</v>
      </c>
      <c r="D265" s="13" t="s">
        <v>164</v>
      </c>
    </row>
    <row r="266" spans="1:4">
      <c r="A266" s="23">
        <v>45019</v>
      </c>
      <c r="B266" s="13" t="s">
        <v>166</v>
      </c>
      <c r="C266" s="13" t="s">
        <v>113</v>
      </c>
      <c r="D266" s="13" t="s">
        <v>81</v>
      </c>
    </row>
    <row r="267" spans="1:4">
      <c r="A267" s="23">
        <v>45019</v>
      </c>
      <c r="B267" s="13" t="s">
        <v>168</v>
      </c>
      <c r="C267" s="13" t="s">
        <v>167</v>
      </c>
      <c r="D267" s="13" t="s">
        <v>81</v>
      </c>
    </row>
    <row r="268" spans="1:4">
      <c r="A268" s="23">
        <v>45019</v>
      </c>
      <c r="B268" s="13" t="s">
        <v>169</v>
      </c>
      <c r="C268" s="13" t="s">
        <v>159</v>
      </c>
      <c r="D268" s="13" t="s">
        <v>81</v>
      </c>
    </row>
    <row r="269" spans="1:4">
      <c r="A269" s="23">
        <v>45019</v>
      </c>
      <c r="B269" s="13" t="s">
        <v>171</v>
      </c>
      <c r="C269" s="13" t="s">
        <v>170</v>
      </c>
      <c r="D269" s="13" t="s">
        <v>81</v>
      </c>
    </row>
    <row r="270" spans="1:4">
      <c r="A270" s="23">
        <v>45020</v>
      </c>
      <c r="B270" s="13" t="s">
        <v>173</v>
      </c>
      <c r="C270" s="13" t="s">
        <v>172</v>
      </c>
      <c r="D270" s="13" t="s">
        <v>5</v>
      </c>
    </row>
    <row r="271" spans="1:4">
      <c r="A271" s="23">
        <v>45021</v>
      </c>
      <c r="B271" s="13" t="s">
        <v>175</v>
      </c>
      <c r="C271" s="13" t="s">
        <v>174</v>
      </c>
      <c r="D271" s="13" t="s">
        <v>81</v>
      </c>
    </row>
    <row r="272" spans="1:4">
      <c r="A272" s="23">
        <v>45021</v>
      </c>
      <c r="B272" s="13" t="s">
        <v>177</v>
      </c>
      <c r="C272" s="13" t="s">
        <v>176</v>
      </c>
      <c r="D272" s="13" t="s">
        <v>81</v>
      </c>
    </row>
    <row r="273" spans="1:4">
      <c r="A273" s="23">
        <v>45021</v>
      </c>
      <c r="B273" s="13" t="s">
        <v>179</v>
      </c>
      <c r="C273" s="13" t="s">
        <v>178</v>
      </c>
      <c r="D273" s="13" t="s">
        <v>81</v>
      </c>
    </row>
    <row r="274" spans="1:4">
      <c r="A274" s="23">
        <v>45021</v>
      </c>
      <c r="B274" s="13" t="s">
        <v>181</v>
      </c>
      <c r="C274" s="13" t="s">
        <v>180</v>
      </c>
      <c r="D274" s="13" t="s">
        <v>81</v>
      </c>
    </row>
    <row r="275" spans="1:4">
      <c r="A275" s="23">
        <v>45022</v>
      </c>
      <c r="B275" s="13" t="s">
        <v>183</v>
      </c>
      <c r="C275" s="13" t="s">
        <v>182</v>
      </c>
      <c r="D275" s="13" t="s">
        <v>109</v>
      </c>
    </row>
    <row r="276" spans="1:4">
      <c r="A276" s="23">
        <v>45023</v>
      </c>
      <c r="B276" s="13" t="s">
        <v>185</v>
      </c>
      <c r="C276" s="13" t="s">
        <v>184</v>
      </c>
      <c r="D276" s="13" t="s">
        <v>81</v>
      </c>
    </row>
    <row r="277" spans="1:4">
      <c r="A277" s="23">
        <v>45023</v>
      </c>
      <c r="B277" s="13" t="s">
        <v>187</v>
      </c>
      <c r="C277" s="13" t="s">
        <v>186</v>
      </c>
      <c r="D277" s="13" t="s">
        <v>81</v>
      </c>
    </row>
    <row r="278" spans="1:4">
      <c r="A278" s="23">
        <v>45023</v>
      </c>
      <c r="B278" s="13" t="s">
        <v>188</v>
      </c>
      <c r="C278" s="13" t="s">
        <v>176</v>
      </c>
      <c r="D278" s="13" t="s">
        <v>81</v>
      </c>
    </row>
    <row r="279" spans="1:4">
      <c r="A279" s="23">
        <v>45023</v>
      </c>
      <c r="B279" s="13" t="s">
        <v>190</v>
      </c>
      <c r="C279" s="13" t="s">
        <v>189</v>
      </c>
      <c r="D279" s="13" t="s">
        <v>81</v>
      </c>
    </row>
    <row r="280" spans="1:4">
      <c r="A280" s="23">
        <v>45026</v>
      </c>
      <c r="B280" s="13" t="s">
        <v>192</v>
      </c>
      <c r="C280" s="13" t="s">
        <v>191</v>
      </c>
      <c r="D280" s="13" t="s">
        <v>74</v>
      </c>
    </row>
    <row r="281" spans="1:4">
      <c r="A281" s="23">
        <v>45026</v>
      </c>
      <c r="B281" s="13" t="s">
        <v>194</v>
      </c>
      <c r="C281" s="13" t="s">
        <v>193</v>
      </c>
      <c r="D281" s="13" t="s">
        <v>74</v>
      </c>
    </row>
    <row r="282" spans="1:4">
      <c r="A282" s="23">
        <v>45027</v>
      </c>
      <c r="B282" s="13" t="s">
        <v>196</v>
      </c>
      <c r="C282" s="13" t="s">
        <v>195</v>
      </c>
      <c r="D282" s="13" t="s">
        <v>81</v>
      </c>
    </row>
    <row r="283" spans="1:4">
      <c r="A283" s="23">
        <v>45027</v>
      </c>
      <c r="B283" s="13" t="s">
        <v>198</v>
      </c>
      <c r="C283" s="13" t="s">
        <v>197</v>
      </c>
      <c r="D283" s="13" t="s">
        <v>24</v>
      </c>
    </row>
    <row r="284" spans="1:4">
      <c r="A284" s="23">
        <v>45027</v>
      </c>
      <c r="B284" s="13" t="s">
        <v>200</v>
      </c>
      <c r="C284" s="13" t="s">
        <v>199</v>
      </c>
      <c r="D284" s="13" t="s">
        <v>81</v>
      </c>
    </row>
    <row r="285" spans="1:4">
      <c r="A285" s="23">
        <v>45027</v>
      </c>
      <c r="B285" s="13" t="s">
        <v>201</v>
      </c>
      <c r="C285" s="13" t="s">
        <v>91</v>
      </c>
      <c r="D285" s="13" t="s">
        <v>81</v>
      </c>
    </row>
    <row r="286" spans="1:4">
      <c r="A286" s="23">
        <v>45027</v>
      </c>
      <c r="B286" s="13" t="s">
        <v>203</v>
      </c>
      <c r="C286" s="13" t="s">
        <v>202</v>
      </c>
      <c r="D286" s="13" t="s">
        <v>81</v>
      </c>
    </row>
    <row r="287" spans="1:4">
      <c r="A287" s="23">
        <v>45028</v>
      </c>
      <c r="B287" s="13" t="s">
        <v>205</v>
      </c>
      <c r="C287" s="13" t="s">
        <v>204</v>
      </c>
      <c r="D287" s="13" t="s">
        <v>5</v>
      </c>
    </row>
    <row r="288" spans="1:4">
      <c r="A288" s="23">
        <v>45028</v>
      </c>
      <c r="B288" s="13" t="s">
        <v>207</v>
      </c>
      <c r="C288" s="13" t="s">
        <v>206</v>
      </c>
      <c r="D288" s="13" t="s">
        <v>5</v>
      </c>
    </row>
    <row r="289" spans="1:4">
      <c r="A289" s="23">
        <v>45029</v>
      </c>
      <c r="B289" s="13" t="s">
        <v>209</v>
      </c>
      <c r="C289" s="13" t="s">
        <v>208</v>
      </c>
      <c r="D289" s="13" t="s">
        <v>81</v>
      </c>
    </row>
    <row r="290" spans="1:4">
      <c r="A290" s="23">
        <v>45029</v>
      </c>
      <c r="B290" s="13" t="s">
        <v>210</v>
      </c>
      <c r="C290" s="13" t="s">
        <v>85</v>
      </c>
      <c r="D290" s="13" t="s">
        <v>81</v>
      </c>
    </row>
    <row r="291" spans="1:4">
      <c r="A291" s="23">
        <v>45029</v>
      </c>
      <c r="B291" s="13" t="s">
        <v>211</v>
      </c>
      <c r="C291" s="13" t="s">
        <v>176</v>
      </c>
      <c r="D291" s="13" t="s">
        <v>81</v>
      </c>
    </row>
    <row r="292" spans="1:4">
      <c r="A292" s="23">
        <v>45029</v>
      </c>
      <c r="B292" s="13" t="s">
        <v>213</v>
      </c>
      <c r="C292" s="13" t="s">
        <v>212</v>
      </c>
      <c r="D292" s="13" t="s">
        <v>8</v>
      </c>
    </row>
    <row r="293" spans="1:4">
      <c r="A293" s="23">
        <v>45029</v>
      </c>
      <c r="B293" s="13" t="s">
        <v>214</v>
      </c>
      <c r="C293" s="13" t="s">
        <v>91</v>
      </c>
      <c r="D293" s="13" t="s">
        <v>81</v>
      </c>
    </row>
    <row r="294" spans="1:4">
      <c r="A294" s="23">
        <v>45030</v>
      </c>
      <c r="B294" s="13" t="s">
        <v>217</v>
      </c>
      <c r="C294" s="13" t="s">
        <v>215</v>
      </c>
      <c r="D294" s="13" t="s">
        <v>216</v>
      </c>
    </row>
    <row r="295" spans="1:4">
      <c r="A295" s="23">
        <v>45030</v>
      </c>
      <c r="B295" s="13" t="s">
        <v>219</v>
      </c>
      <c r="C295" s="13" t="s">
        <v>218</v>
      </c>
      <c r="D295" s="13" t="s">
        <v>216</v>
      </c>
    </row>
    <row r="296" spans="1:4">
      <c r="A296" s="23">
        <v>45030</v>
      </c>
      <c r="B296" s="13" t="s">
        <v>221</v>
      </c>
      <c r="C296" s="13" t="s">
        <v>220</v>
      </c>
      <c r="D296" s="13" t="s">
        <v>216</v>
      </c>
    </row>
    <row r="297" spans="1:4">
      <c r="A297" s="23">
        <v>45033</v>
      </c>
      <c r="B297" s="13" t="s">
        <v>223</v>
      </c>
      <c r="C297" s="13" t="s">
        <v>222</v>
      </c>
      <c r="D297" s="13" t="s">
        <v>81</v>
      </c>
    </row>
    <row r="298" spans="1:4">
      <c r="A298" s="23">
        <v>45033</v>
      </c>
      <c r="B298" s="13" t="s">
        <v>224</v>
      </c>
      <c r="C298" s="13" t="s">
        <v>176</v>
      </c>
      <c r="D298" s="13" t="s">
        <v>81</v>
      </c>
    </row>
    <row r="299" spans="1:4">
      <c r="A299" s="23">
        <v>45033</v>
      </c>
      <c r="B299" s="13" t="s">
        <v>226</v>
      </c>
      <c r="C299" s="13" t="s">
        <v>225</v>
      </c>
      <c r="D299" s="13" t="s">
        <v>81</v>
      </c>
    </row>
    <row r="300" spans="1:4">
      <c r="A300" s="23">
        <v>45033</v>
      </c>
      <c r="B300" s="13" t="s">
        <v>228</v>
      </c>
      <c r="C300" s="13" t="s">
        <v>227</v>
      </c>
      <c r="D300" s="13" t="s">
        <v>8</v>
      </c>
    </row>
    <row r="301" spans="1:4">
      <c r="A301" s="23">
        <v>45033</v>
      </c>
      <c r="B301" s="13" t="s">
        <v>230</v>
      </c>
      <c r="C301" s="13" t="s">
        <v>229</v>
      </c>
      <c r="D301" s="13" t="s">
        <v>8</v>
      </c>
    </row>
    <row r="302" spans="1:4">
      <c r="A302" s="23">
        <v>45033</v>
      </c>
      <c r="B302" s="13" t="s">
        <v>232</v>
      </c>
      <c r="C302" s="13" t="s">
        <v>231</v>
      </c>
      <c r="D302" s="13" t="s">
        <v>81</v>
      </c>
    </row>
    <row r="303" spans="1:4">
      <c r="A303" s="23">
        <v>45034</v>
      </c>
      <c r="B303" s="13" t="s">
        <v>234</v>
      </c>
      <c r="C303" s="13" t="s">
        <v>233</v>
      </c>
      <c r="D303" s="13" t="s">
        <v>11</v>
      </c>
    </row>
    <row r="304" spans="1:4">
      <c r="A304" s="23">
        <v>45034</v>
      </c>
      <c r="B304" s="13" t="s">
        <v>236</v>
      </c>
      <c r="C304" s="13" t="s">
        <v>235</v>
      </c>
      <c r="D304" s="13" t="s">
        <v>29</v>
      </c>
    </row>
    <row r="305" spans="1:4">
      <c r="A305" s="23">
        <v>45034</v>
      </c>
      <c r="B305" s="13" t="s">
        <v>238</v>
      </c>
      <c r="C305" s="13" t="s">
        <v>237</v>
      </c>
      <c r="D305" s="13" t="s">
        <v>109</v>
      </c>
    </row>
    <row r="306" spans="1:4">
      <c r="A306" s="23">
        <v>45034</v>
      </c>
      <c r="B306" s="13" t="s">
        <v>240</v>
      </c>
      <c r="C306" s="13" t="s">
        <v>239</v>
      </c>
      <c r="D306" s="13" t="s">
        <v>109</v>
      </c>
    </row>
    <row r="307" spans="1:4">
      <c r="A307" s="23">
        <v>45034</v>
      </c>
      <c r="B307" s="13" t="s">
        <v>240</v>
      </c>
      <c r="C307" s="13" t="s">
        <v>239</v>
      </c>
      <c r="D307" s="13" t="s">
        <v>109</v>
      </c>
    </row>
    <row r="308" spans="1:4">
      <c r="A308" s="23">
        <v>45034</v>
      </c>
      <c r="B308" s="13" t="s">
        <v>234</v>
      </c>
      <c r="C308" s="13" t="s">
        <v>233</v>
      </c>
      <c r="D308" s="13" t="s">
        <v>11</v>
      </c>
    </row>
    <row r="309" spans="1:4">
      <c r="A309" s="23">
        <v>45035</v>
      </c>
      <c r="B309" s="13" t="s">
        <v>242</v>
      </c>
      <c r="C309" s="13" t="s">
        <v>241</v>
      </c>
      <c r="D309" s="13" t="s">
        <v>29</v>
      </c>
    </row>
    <row r="310" spans="1:4">
      <c r="A310" s="23">
        <v>45035</v>
      </c>
      <c r="B310" s="13" t="s">
        <v>244</v>
      </c>
      <c r="C310" s="13" t="s">
        <v>243</v>
      </c>
      <c r="D310" s="13" t="s">
        <v>216</v>
      </c>
    </row>
    <row r="311" spans="1:4">
      <c r="A311" s="23">
        <v>45035</v>
      </c>
      <c r="B311" s="13" t="s">
        <v>246</v>
      </c>
      <c r="C311" s="13" t="s">
        <v>245</v>
      </c>
      <c r="D311" s="13" t="s">
        <v>109</v>
      </c>
    </row>
    <row r="312" spans="1:4">
      <c r="A312" s="23">
        <v>45036</v>
      </c>
      <c r="B312" s="13" t="s">
        <v>248</v>
      </c>
      <c r="C312" s="13" t="s">
        <v>247</v>
      </c>
      <c r="D312" s="13" t="s">
        <v>109</v>
      </c>
    </row>
    <row r="313" spans="1:4">
      <c r="A313" s="23">
        <v>45037</v>
      </c>
      <c r="B313" s="13" t="s">
        <v>249</v>
      </c>
      <c r="C313" s="13" t="s">
        <v>231</v>
      </c>
      <c r="D313" s="13" t="s">
        <v>81</v>
      </c>
    </row>
    <row r="314" spans="1:4">
      <c r="A314" s="23">
        <v>45037</v>
      </c>
      <c r="B314" s="13" t="s">
        <v>251</v>
      </c>
      <c r="C314" s="13" t="s">
        <v>250</v>
      </c>
      <c r="D314" s="13" t="s">
        <v>81</v>
      </c>
    </row>
    <row r="315" spans="1:4">
      <c r="A315" s="23">
        <v>45037</v>
      </c>
      <c r="B315" s="13" t="s">
        <v>253</v>
      </c>
      <c r="C315" s="13" t="s">
        <v>252</v>
      </c>
      <c r="D315" s="13" t="s">
        <v>81</v>
      </c>
    </row>
    <row r="316" spans="1:4">
      <c r="A316" s="23">
        <v>45037</v>
      </c>
      <c r="B316" s="13" t="s">
        <v>254</v>
      </c>
      <c r="C316" s="13" t="s">
        <v>83</v>
      </c>
      <c r="D316" s="13" t="s">
        <v>81</v>
      </c>
    </row>
    <row r="317" spans="1:4">
      <c r="A317" s="23">
        <v>45040</v>
      </c>
      <c r="B317" s="13" t="s">
        <v>256</v>
      </c>
      <c r="C317" s="13" t="s">
        <v>255</v>
      </c>
      <c r="D317" s="13" t="s">
        <v>11</v>
      </c>
    </row>
    <row r="318" spans="1:4">
      <c r="A318" s="23">
        <v>45040</v>
      </c>
      <c r="B318" s="13" t="s">
        <v>258</v>
      </c>
      <c r="C318" s="13" t="s">
        <v>257</v>
      </c>
      <c r="D318" s="13" t="s">
        <v>5</v>
      </c>
    </row>
    <row r="319" spans="1:4">
      <c r="A319" s="23">
        <v>45041</v>
      </c>
      <c r="B319" s="13" t="s">
        <v>260</v>
      </c>
      <c r="C319" s="13" t="s">
        <v>259</v>
      </c>
      <c r="D319" s="13" t="s">
        <v>81</v>
      </c>
    </row>
    <row r="320" spans="1:4">
      <c r="A320" s="23">
        <v>45041</v>
      </c>
      <c r="B320" s="13" t="s">
        <v>262</v>
      </c>
      <c r="C320" s="13" t="s">
        <v>261</v>
      </c>
      <c r="D320" s="13" t="s">
        <v>81</v>
      </c>
    </row>
    <row r="321" spans="1:4">
      <c r="A321" s="23">
        <v>45041</v>
      </c>
      <c r="B321" s="13" t="s">
        <v>264</v>
      </c>
      <c r="C321" s="13" t="s">
        <v>263</v>
      </c>
      <c r="D321" s="13" t="s">
        <v>5</v>
      </c>
    </row>
    <row r="322" spans="1:4">
      <c r="A322" s="23">
        <v>45041</v>
      </c>
      <c r="B322" s="13" t="s">
        <v>266</v>
      </c>
      <c r="C322" s="13" t="s">
        <v>265</v>
      </c>
      <c r="D322" s="13" t="s">
        <v>81</v>
      </c>
    </row>
    <row r="323" spans="1:4">
      <c r="A323" s="23">
        <v>45041</v>
      </c>
      <c r="B323" s="13" t="s">
        <v>268</v>
      </c>
      <c r="C323" s="13" t="s">
        <v>267</v>
      </c>
      <c r="D323" s="13" t="s">
        <v>5</v>
      </c>
    </row>
    <row r="324" spans="1:4">
      <c r="A324" s="23">
        <v>45041</v>
      </c>
      <c r="B324" s="13" t="s">
        <v>270</v>
      </c>
      <c r="C324" s="13" t="s">
        <v>269</v>
      </c>
      <c r="D324" s="13" t="s">
        <v>81</v>
      </c>
    </row>
    <row r="325" spans="1:4">
      <c r="A325" s="23">
        <v>45042</v>
      </c>
      <c r="B325" s="13" t="s">
        <v>272</v>
      </c>
      <c r="C325" s="13" t="s">
        <v>271</v>
      </c>
      <c r="D325" s="13" t="s">
        <v>5</v>
      </c>
    </row>
    <row r="326" spans="1:4">
      <c r="A326" s="23">
        <v>45043</v>
      </c>
      <c r="B326" s="13" t="s">
        <v>274</v>
      </c>
      <c r="C326" s="13" t="s">
        <v>273</v>
      </c>
      <c r="D326" s="13" t="s">
        <v>81</v>
      </c>
    </row>
    <row r="327" spans="1:4">
      <c r="A327" s="23">
        <v>45043</v>
      </c>
      <c r="B327" s="13" t="s">
        <v>275</v>
      </c>
      <c r="C327" s="13" t="s">
        <v>178</v>
      </c>
      <c r="D327" s="13" t="s">
        <v>81</v>
      </c>
    </row>
    <row r="328" spans="1:4">
      <c r="A328" s="23">
        <v>45043</v>
      </c>
      <c r="B328" s="13" t="s">
        <v>277</v>
      </c>
      <c r="C328" s="13" t="s">
        <v>276</v>
      </c>
      <c r="D328" s="13" t="s">
        <v>81</v>
      </c>
    </row>
    <row r="329" spans="1:4">
      <c r="A329" s="23">
        <v>45043</v>
      </c>
      <c r="B329" s="13" t="s">
        <v>275</v>
      </c>
      <c r="C329" s="13" t="s">
        <v>178</v>
      </c>
      <c r="D329" s="13" t="s">
        <v>81</v>
      </c>
    </row>
    <row r="330" spans="1:4">
      <c r="A330" s="23">
        <v>45043</v>
      </c>
      <c r="B330" s="13" t="s">
        <v>279</v>
      </c>
      <c r="C330" s="13" t="s">
        <v>278</v>
      </c>
      <c r="D330" s="13" t="s">
        <v>11</v>
      </c>
    </row>
    <row r="331" spans="1:4">
      <c r="A331" s="23">
        <v>45044</v>
      </c>
      <c r="B331" s="13" t="s">
        <v>280</v>
      </c>
      <c r="C331" s="13" t="s">
        <v>178</v>
      </c>
      <c r="D331" s="13" t="s">
        <v>81</v>
      </c>
    </row>
    <row r="332" spans="1:4">
      <c r="A332" s="23">
        <v>45048</v>
      </c>
      <c r="B332" s="13" t="s">
        <v>282</v>
      </c>
      <c r="C332" s="13" t="s">
        <v>281</v>
      </c>
      <c r="D332" s="13" t="s">
        <v>11</v>
      </c>
    </row>
    <row r="333" spans="1:4">
      <c r="A333" s="23">
        <v>45049</v>
      </c>
      <c r="B333" s="13" t="s">
        <v>283</v>
      </c>
      <c r="C333" s="13" t="s">
        <v>91</v>
      </c>
      <c r="D333" s="13" t="s">
        <v>81</v>
      </c>
    </row>
    <row r="334" spans="1:4">
      <c r="A334" s="23">
        <v>45049</v>
      </c>
      <c r="B334" s="13" t="s">
        <v>284</v>
      </c>
      <c r="C334" s="13" t="s">
        <v>91</v>
      </c>
      <c r="D334" s="13" t="s">
        <v>81</v>
      </c>
    </row>
    <row r="335" spans="1:4">
      <c r="A335" s="23">
        <v>45049</v>
      </c>
      <c r="B335" s="13" t="s">
        <v>285</v>
      </c>
      <c r="C335" s="13" t="s">
        <v>91</v>
      </c>
      <c r="D335" s="13" t="s">
        <v>81</v>
      </c>
    </row>
    <row r="336" spans="1:4">
      <c r="A336" s="23">
        <v>45049</v>
      </c>
      <c r="B336" s="13" t="s">
        <v>285</v>
      </c>
      <c r="C336" s="13" t="s">
        <v>91</v>
      </c>
      <c r="D336" s="13" t="s">
        <v>81</v>
      </c>
    </row>
    <row r="337" spans="1:4">
      <c r="A337" s="23">
        <v>45049</v>
      </c>
      <c r="B337" s="13" t="s">
        <v>287</v>
      </c>
      <c r="C337" s="13" t="s">
        <v>286</v>
      </c>
      <c r="D337" s="13" t="s">
        <v>109</v>
      </c>
    </row>
    <row r="338" spans="1:4">
      <c r="A338" s="23">
        <v>45049</v>
      </c>
      <c r="B338" s="13" t="s">
        <v>288</v>
      </c>
      <c r="C338" s="13" t="s">
        <v>91</v>
      </c>
      <c r="D338" s="13" t="s">
        <v>81</v>
      </c>
    </row>
    <row r="339" spans="1:4">
      <c r="A339" s="23">
        <v>45050</v>
      </c>
      <c r="B339" s="13" t="s">
        <v>290</v>
      </c>
      <c r="C339" s="13" t="s">
        <v>289</v>
      </c>
      <c r="D339" s="13" t="s">
        <v>109</v>
      </c>
    </row>
    <row r="340" spans="1:4">
      <c r="A340" s="23">
        <v>45051</v>
      </c>
      <c r="B340" s="13" t="s">
        <v>292</v>
      </c>
      <c r="C340" s="13" t="s">
        <v>291</v>
      </c>
      <c r="D340" s="13" t="s">
        <v>216</v>
      </c>
    </row>
    <row r="341" spans="1:4">
      <c r="A341" s="23">
        <v>45051</v>
      </c>
      <c r="B341" s="13" t="s">
        <v>294</v>
      </c>
      <c r="C341" s="13" t="s">
        <v>293</v>
      </c>
      <c r="D341" s="13" t="s">
        <v>216</v>
      </c>
    </row>
    <row r="342" spans="1:4">
      <c r="A342" s="23">
        <v>45056</v>
      </c>
      <c r="B342" s="13" t="s">
        <v>295</v>
      </c>
      <c r="C342" s="13" t="s">
        <v>195</v>
      </c>
      <c r="D342" s="13" t="s">
        <v>81</v>
      </c>
    </row>
    <row r="343" spans="1:4">
      <c r="A343" s="23">
        <v>45056</v>
      </c>
      <c r="B343" s="13" t="s">
        <v>296</v>
      </c>
      <c r="C343" s="13" t="s">
        <v>91</v>
      </c>
      <c r="D343" s="13" t="s">
        <v>81</v>
      </c>
    </row>
    <row r="344" spans="1:4">
      <c r="A344" s="23">
        <v>45056</v>
      </c>
      <c r="B344" s="13" t="s">
        <v>298</v>
      </c>
      <c r="C344" s="13" t="s">
        <v>297</v>
      </c>
      <c r="D344" s="13" t="s">
        <v>81</v>
      </c>
    </row>
    <row r="345" spans="1:4">
      <c r="A345" s="23">
        <v>45056</v>
      </c>
      <c r="B345" s="13" t="s">
        <v>300</v>
      </c>
      <c r="C345" s="13" t="s">
        <v>299</v>
      </c>
      <c r="D345" s="13" t="s">
        <v>81</v>
      </c>
    </row>
    <row r="346" spans="1:4">
      <c r="A346" s="23">
        <v>45056</v>
      </c>
      <c r="B346" s="13" t="s">
        <v>302</v>
      </c>
      <c r="C346" s="13" t="s">
        <v>301</v>
      </c>
      <c r="D346" s="13" t="s">
        <v>5</v>
      </c>
    </row>
    <row r="347" spans="1:4">
      <c r="A347" s="23">
        <v>45056</v>
      </c>
      <c r="B347" s="13" t="s">
        <v>304</v>
      </c>
      <c r="C347" s="13" t="s">
        <v>303</v>
      </c>
      <c r="D347" s="13" t="s">
        <v>8</v>
      </c>
    </row>
    <row r="348" spans="1:4">
      <c r="A348" s="23">
        <v>45057</v>
      </c>
      <c r="B348" s="13" t="s">
        <v>306</v>
      </c>
      <c r="C348" s="13" t="s">
        <v>305</v>
      </c>
      <c r="D348" s="13" t="s">
        <v>81</v>
      </c>
    </row>
    <row r="349" spans="1:4">
      <c r="A349" s="23">
        <v>45057</v>
      </c>
      <c r="B349" s="13" t="s">
        <v>307</v>
      </c>
      <c r="C349" s="13" t="s">
        <v>91</v>
      </c>
      <c r="D349" s="13" t="s">
        <v>81</v>
      </c>
    </row>
    <row r="350" spans="1:4">
      <c r="A350" s="23">
        <v>45057</v>
      </c>
      <c r="B350" s="13" t="s">
        <v>308</v>
      </c>
      <c r="C350" s="13" t="s">
        <v>305</v>
      </c>
      <c r="D350" s="13" t="s">
        <v>81</v>
      </c>
    </row>
    <row r="351" spans="1:4">
      <c r="A351" s="23">
        <v>45057</v>
      </c>
      <c r="B351" s="13" t="s">
        <v>310</v>
      </c>
      <c r="C351" s="13" t="s">
        <v>309</v>
      </c>
      <c r="D351" s="13" t="s">
        <v>81</v>
      </c>
    </row>
    <row r="352" spans="1:4">
      <c r="A352" s="23">
        <v>45057</v>
      </c>
      <c r="B352" s="13" t="s">
        <v>310</v>
      </c>
      <c r="C352" s="13" t="s">
        <v>309</v>
      </c>
      <c r="D352" s="13" t="s">
        <v>81</v>
      </c>
    </row>
    <row r="353" spans="1:4">
      <c r="A353" s="23">
        <v>45058</v>
      </c>
      <c r="B353" s="13" t="s">
        <v>311</v>
      </c>
      <c r="C353" s="13" t="s">
        <v>195</v>
      </c>
      <c r="D353" s="13" t="s">
        <v>81</v>
      </c>
    </row>
    <row r="354" spans="1:4">
      <c r="A354" s="23">
        <v>45058</v>
      </c>
      <c r="B354" s="13" t="s">
        <v>313</v>
      </c>
      <c r="C354" s="13" t="s">
        <v>312</v>
      </c>
      <c r="D354" s="13" t="s">
        <v>81</v>
      </c>
    </row>
    <row r="355" spans="1:4">
      <c r="A355" s="23">
        <v>45058</v>
      </c>
      <c r="B355" s="13" t="s">
        <v>314</v>
      </c>
      <c r="C355" s="13" t="s">
        <v>186</v>
      </c>
      <c r="D355" s="13" t="s">
        <v>81</v>
      </c>
    </row>
    <row r="356" spans="1:4">
      <c r="A356" s="23">
        <v>45058</v>
      </c>
      <c r="B356" s="13" t="s">
        <v>316</v>
      </c>
      <c r="C356" s="13" t="s">
        <v>315</v>
      </c>
      <c r="D356" s="13" t="s">
        <v>29</v>
      </c>
    </row>
    <row r="357" spans="1:4">
      <c r="A357" s="23">
        <v>45058</v>
      </c>
      <c r="B357" s="13" t="s">
        <v>318</v>
      </c>
      <c r="C357" s="13" t="s">
        <v>317</v>
      </c>
      <c r="D357" s="13" t="s">
        <v>29</v>
      </c>
    </row>
    <row r="358" spans="1:4">
      <c r="A358" s="23">
        <v>45058</v>
      </c>
      <c r="B358" s="13" t="s">
        <v>319</v>
      </c>
      <c r="C358" s="13" t="s">
        <v>312</v>
      </c>
      <c r="D358" s="13" t="s">
        <v>81</v>
      </c>
    </row>
    <row r="359" spans="1:4">
      <c r="A359" s="23">
        <v>45058</v>
      </c>
      <c r="B359" s="13" t="s">
        <v>314</v>
      </c>
      <c r="C359" s="13" t="s">
        <v>186</v>
      </c>
      <c r="D359" s="13" t="s">
        <v>81</v>
      </c>
    </row>
    <row r="360" spans="1:4">
      <c r="A360" s="23">
        <v>45062</v>
      </c>
      <c r="B360" s="13" t="s">
        <v>320</v>
      </c>
      <c r="C360" s="13" t="s">
        <v>85</v>
      </c>
      <c r="D360" s="13" t="s">
        <v>81</v>
      </c>
    </row>
    <row r="361" spans="1:4">
      <c r="A361" s="23">
        <v>45062</v>
      </c>
      <c r="B361" s="13" t="s">
        <v>322</v>
      </c>
      <c r="C361" s="13" t="s">
        <v>321</v>
      </c>
      <c r="D361" s="13" t="s">
        <v>81</v>
      </c>
    </row>
    <row r="362" spans="1:4">
      <c r="A362" s="23">
        <v>45062</v>
      </c>
      <c r="B362" s="13" t="s">
        <v>323</v>
      </c>
      <c r="C362" s="13" t="s">
        <v>167</v>
      </c>
      <c r="D362" s="13" t="s">
        <v>81</v>
      </c>
    </row>
    <row r="363" spans="1:4">
      <c r="A363" s="23">
        <v>45062</v>
      </c>
      <c r="B363" s="13" t="s">
        <v>324</v>
      </c>
      <c r="C363" s="13" t="s">
        <v>170</v>
      </c>
      <c r="D363" s="13" t="s">
        <v>81</v>
      </c>
    </row>
    <row r="364" spans="1:4">
      <c r="A364" s="23">
        <v>45062</v>
      </c>
      <c r="B364" s="13" t="s">
        <v>325</v>
      </c>
      <c r="C364" s="13" t="s">
        <v>85</v>
      </c>
      <c r="D364" s="13" t="s">
        <v>81</v>
      </c>
    </row>
    <row r="365" spans="1:4">
      <c r="A365" s="23">
        <v>45062</v>
      </c>
      <c r="B365" s="13" t="s">
        <v>326</v>
      </c>
      <c r="C365" s="13" t="s">
        <v>159</v>
      </c>
      <c r="D365" s="13" t="s">
        <v>81</v>
      </c>
    </row>
    <row r="366" spans="1:4">
      <c r="A366" s="23">
        <v>45063</v>
      </c>
      <c r="B366" s="13" t="s">
        <v>327</v>
      </c>
      <c r="C366" s="13" t="s">
        <v>159</v>
      </c>
      <c r="D366" s="13" t="s">
        <v>81</v>
      </c>
    </row>
    <row r="367" spans="1:4">
      <c r="A367" s="23">
        <v>45063</v>
      </c>
      <c r="B367" s="13" t="s">
        <v>329</v>
      </c>
      <c r="C367" s="13" t="s">
        <v>328</v>
      </c>
      <c r="D367" s="13" t="s">
        <v>81</v>
      </c>
    </row>
    <row r="368" spans="1:4">
      <c r="A368" s="23">
        <v>45063</v>
      </c>
      <c r="B368" s="13" t="s">
        <v>331</v>
      </c>
      <c r="C368" s="13" t="s">
        <v>330</v>
      </c>
      <c r="D368" s="13" t="s">
        <v>24</v>
      </c>
    </row>
    <row r="369" spans="1:4">
      <c r="A369" s="23">
        <v>45063</v>
      </c>
      <c r="B369" s="13" t="s">
        <v>329</v>
      </c>
      <c r="C369" s="13" t="s">
        <v>332</v>
      </c>
      <c r="D369" s="13" t="s">
        <v>81</v>
      </c>
    </row>
    <row r="370" spans="1:4">
      <c r="A370" s="23">
        <v>45063</v>
      </c>
      <c r="B370" s="13" t="s">
        <v>333</v>
      </c>
      <c r="C370" s="13" t="s">
        <v>328</v>
      </c>
      <c r="D370" s="13" t="s">
        <v>81</v>
      </c>
    </row>
    <row r="371" spans="1:4">
      <c r="A371" s="23">
        <v>45063</v>
      </c>
      <c r="B371" s="13" t="s">
        <v>329</v>
      </c>
      <c r="C371" s="13" t="s">
        <v>328</v>
      </c>
      <c r="D371" s="13" t="s">
        <v>81</v>
      </c>
    </row>
    <row r="372" spans="1:4">
      <c r="A372" s="23">
        <v>45064</v>
      </c>
      <c r="B372" s="13" t="s">
        <v>334</v>
      </c>
      <c r="C372" s="13" t="s">
        <v>170</v>
      </c>
      <c r="D372" s="13" t="s">
        <v>81</v>
      </c>
    </row>
    <row r="373" spans="1:4">
      <c r="A373" s="23">
        <v>45064</v>
      </c>
      <c r="B373" s="13" t="s">
        <v>336</v>
      </c>
      <c r="C373" s="13" t="s">
        <v>335</v>
      </c>
      <c r="D373" s="13" t="s">
        <v>81</v>
      </c>
    </row>
    <row r="374" spans="1:4">
      <c r="A374" s="23">
        <v>45064</v>
      </c>
      <c r="B374" s="13" t="s">
        <v>337</v>
      </c>
      <c r="C374" s="13" t="s">
        <v>231</v>
      </c>
      <c r="D374" s="13" t="s">
        <v>81</v>
      </c>
    </row>
    <row r="375" spans="1:4">
      <c r="A375" s="23">
        <v>45064</v>
      </c>
      <c r="B375" s="13" t="s">
        <v>339</v>
      </c>
      <c r="C375" s="13" t="s">
        <v>338</v>
      </c>
      <c r="D375" s="13" t="s">
        <v>81</v>
      </c>
    </row>
    <row r="376" spans="1:4">
      <c r="A376" s="23">
        <v>45065</v>
      </c>
      <c r="B376" s="13" t="s">
        <v>341</v>
      </c>
      <c r="C376" s="13" t="s">
        <v>340</v>
      </c>
      <c r="D376" s="13" t="s">
        <v>81</v>
      </c>
    </row>
    <row r="377" spans="1:4">
      <c r="A377" s="23">
        <v>45065</v>
      </c>
      <c r="B377" s="13" t="s">
        <v>343</v>
      </c>
      <c r="C377" s="13" t="s">
        <v>342</v>
      </c>
      <c r="D377" s="13" t="s">
        <v>81</v>
      </c>
    </row>
    <row r="378" spans="1:4">
      <c r="A378" s="23">
        <v>45065</v>
      </c>
      <c r="B378" s="13" t="s">
        <v>346</v>
      </c>
      <c r="C378" s="13" t="s">
        <v>344</v>
      </c>
      <c r="D378" s="13" t="s">
        <v>345</v>
      </c>
    </row>
    <row r="379" spans="1:4">
      <c r="A379" s="23">
        <v>45065</v>
      </c>
      <c r="B379" s="13" t="s">
        <v>348</v>
      </c>
      <c r="C379" s="13" t="s">
        <v>347</v>
      </c>
      <c r="D379" s="13" t="s">
        <v>81</v>
      </c>
    </row>
    <row r="380" spans="1:4">
      <c r="A380" s="23">
        <v>45065</v>
      </c>
      <c r="B380" s="13" t="s">
        <v>350</v>
      </c>
      <c r="C380" s="13" t="s">
        <v>349</v>
      </c>
      <c r="D380" s="13" t="s">
        <v>81</v>
      </c>
    </row>
    <row r="381" spans="1:4">
      <c r="A381" s="23">
        <v>45065</v>
      </c>
      <c r="B381" s="13" t="s">
        <v>341</v>
      </c>
      <c r="C381" s="13" t="s">
        <v>351</v>
      </c>
      <c r="D381" s="13" t="s">
        <v>81</v>
      </c>
    </row>
    <row r="382" spans="1:4">
      <c r="A382" s="23">
        <v>45068</v>
      </c>
      <c r="B382" s="13" t="s">
        <v>354</v>
      </c>
      <c r="C382" s="13" t="s">
        <v>352</v>
      </c>
      <c r="D382" s="13" t="s">
        <v>353</v>
      </c>
    </row>
    <row r="383" spans="1:4">
      <c r="A383" s="23">
        <v>45068</v>
      </c>
      <c r="B383" s="13" t="s">
        <v>355</v>
      </c>
      <c r="C383" s="13" t="s">
        <v>91</v>
      </c>
      <c r="D383" s="13" t="s">
        <v>81</v>
      </c>
    </row>
    <row r="384" spans="1:4">
      <c r="A384" s="23">
        <v>45069</v>
      </c>
      <c r="B384" s="13" t="s">
        <v>357</v>
      </c>
      <c r="C384" s="13" t="s">
        <v>356</v>
      </c>
      <c r="D384" s="13" t="s">
        <v>109</v>
      </c>
    </row>
    <row r="385" spans="1:4">
      <c r="A385" s="23">
        <v>45069</v>
      </c>
      <c r="B385" s="13" t="s">
        <v>358</v>
      </c>
      <c r="C385" s="13" t="s">
        <v>91</v>
      </c>
      <c r="D385" s="13" t="s">
        <v>81</v>
      </c>
    </row>
    <row r="386" spans="1:4">
      <c r="A386" s="23">
        <v>45069</v>
      </c>
      <c r="B386" s="13" t="s">
        <v>359</v>
      </c>
      <c r="C386" s="13" t="s">
        <v>91</v>
      </c>
      <c r="D386" s="13" t="s">
        <v>81</v>
      </c>
    </row>
    <row r="387" spans="1:4">
      <c r="A387" s="23">
        <v>45069</v>
      </c>
      <c r="B387" s="13" t="s">
        <v>360</v>
      </c>
      <c r="C387" s="13" t="s">
        <v>273</v>
      </c>
      <c r="D387" s="13" t="s">
        <v>81</v>
      </c>
    </row>
    <row r="388" spans="1:4">
      <c r="A388" s="23">
        <v>45069</v>
      </c>
      <c r="B388" s="13" t="s">
        <v>360</v>
      </c>
      <c r="C388" s="13" t="s">
        <v>273</v>
      </c>
      <c r="D388" s="13" t="s">
        <v>81</v>
      </c>
    </row>
    <row r="389" spans="1:4">
      <c r="A389" s="23">
        <v>45070</v>
      </c>
      <c r="B389" s="13" t="s">
        <v>362</v>
      </c>
      <c r="C389" s="13" t="s">
        <v>361</v>
      </c>
      <c r="D389" s="13" t="s">
        <v>216</v>
      </c>
    </row>
    <row r="390" spans="1:4">
      <c r="A390" s="23">
        <v>45070</v>
      </c>
      <c r="B390" s="13" t="s">
        <v>364</v>
      </c>
      <c r="C390" s="13" t="s">
        <v>363</v>
      </c>
      <c r="D390" s="13" t="s">
        <v>216</v>
      </c>
    </row>
    <row r="391" spans="1:4">
      <c r="A391" s="23">
        <v>45071</v>
      </c>
      <c r="B391" s="13" t="s">
        <v>366</v>
      </c>
      <c r="C391" s="13" t="s">
        <v>365</v>
      </c>
      <c r="D391" s="13" t="s">
        <v>353</v>
      </c>
    </row>
    <row r="392" spans="1:4">
      <c r="A392" s="23">
        <v>45071</v>
      </c>
      <c r="B392" s="13" t="s">
        <v>368</v>
      </c>
      <c r="C392" s="13" t="s">
        <v>367</v>
      </c>
      <c r="D392" s="13" t="s">
        <v>109</v>
      </c>
    </row>
    <row r="393" spans="1:4">
      <c r="A393" s="23">
        <v>45072</v>
      </c>
      <c r="B393" s="13" t="s">
        <v>369</v>
      </c>
      <c r="C393" s="13" t="s">
        <v>231</v>
      </c>
      <c r="D393" s="13" t="s">
        <v>81</v>
      </c>
    </row>
    <row r="394" spans="1:4">
      <c r="A394" s="23">
        <v>45072</v>
      </c>
      <c r="B394" s="13" t="s">
        <v>371</v>
      </c>
      <c r="C394" s="13" t="s">
        <v>370</v>
      </c>
      <c r="D394" s="13" t="s">
        <v>81</v>
      </c>
    </row>
    <row r="395" spans="1:4">
      <c r="A395" s="23">
        <v>45072</v>
      </c>
      <c r="B395" s="13" t="s">
        <v>373</v>
      </c>
      <c r="C395" s="13" t="s">
        <v>372</v>
      </c>
      <c r="D395" s="13" t="s">
        <v>74</v>
      </c>
    </row>
    <row r="396" spans="1:4">
      <c r="A396" s="23">
        <v>45072</v>
      </c>
      <c r="B396" s="13" t="s">
        <v>375</v>
      </c>
      <c r="C396" s="13" t="s">
        <v>374</v>
      </c>
      <c r="D396" s="13" t="s">
        <v>81</v>
      </c>
    </row>
    <row r="397" spans="1:4">
      <c r="A397" s="23">
        <v>45072</v>
      </c>
      <c r="B397" s="13" t="s">
        <v>377</v>
      </c>
      <c r="C397" s="13" t="s">
        <v>376</v>
      </c>
      <c r="D397" s="13" t="s">
        <v>74</v>
      </c>
    </row>
    <row r="398" spans="1:4">
      <c r="A398" s="23">
        <v>45075</v>
      </c>
      <c r="B398" s="13" t="s">
        <v>379</v>
      </c>
      <c r="C398" s="13" t="s">
        <v>378</v>
      </c>
      <c r="D398" s="13" t="s">
        <v>216</v>
      </c>
    </row>
    <row r="399" spans="1:4">
      <c r="A399" s="23">
        <v>45075</v>
      </c>
      <c r="B399" s="13" t="s">
        <v>381</v>
      </c>
      <c r="C399" s="13" t="s">
        <v>380</v>
      </c>
      <c r="D399" s="13" t="s">
        <v>216</v>
      </c>
    </row>
    <row r="400" spans="1:4">
      <c r="A400" s="23">
        <v>45075</v>
      </c>
      <c r="B400" s="13" t="s">
        <v>383</v>
      </c>
      <c r="C400" s="13" t="s">
        <v>382</v>
      </c>
      <c r="D400" s="13" t="s">
        <v>74</v>
      </c>
    </row>
    <row r="401" spans="1:4">
      <c r="A401" s="23">
        <v>45076</v>
      </c>
      <c r="B401" s="13" t="s">
        <v>384</v>
      </c>
      <c r="C401" s="13" t="s">
        <v>176</v>
      </c>
      <c r="D401" s="16" t="s">
        <v>81</v>
      </c>
    </row>
    <row r="402" spans="1:4">
      <c r="A402" s="23">
        <v>45076</v>
      </c>
      <c r="B402" s="13" t="s">
        <v>385</v>
      </c>
      <c r="C402" s="13" t="s">
        <v>309</v>
      </c>
      <c r="D402" s="13" t="s">
        <v>81</v>
      </c>
    </row>
    <row r="403" spans="1:4">
      <c r="A403" s="23">
        <v>45076</v>
      </c>
      <c r="B403" s="13" t="s">
        <v>384</v>
      </c>
      <c r="C403" s="13" t="s">
        <v>176</v>
      </c>
      <c r="D403" s="16" t="s">
        <v>81</v>
      </c>
    </row>
    <row r="404" spans="1:4">
      <c r="A404" s="23">
        <v>45077</v>
      </c>
      <c r="B404" s="13" t="s">
        <v>387</v>
      </c>
      <c r="C404" s="13" t="s">
        <v>386</v>
      </c>
      <c r="D404" s="13" t="s">
        <v>109</v>
      </c>
    </row>
    <row r="405" spans="1:4">
      <c r="A405" s="23">
        <v>45077</v>
      </c>
      <c r="B405" s="13" t="s">
        <v>389</v>
      </c>
      <c r="C405" s="13" t="s">
        <v>388</v>
      </c>
      <c r="D405" s="13" t="s">
        <v>109</v>
      </c>
    </row>
    <row r="406" spans="1:4">
      <c r="A406" s="23">
        <v>45077</v>
      </c>
      <c r="B406" s="13" t="s">
        <v>391</v>
      </c>
      <c r="C406" s="13" t="s">
        <v>390</v>
      </c>
      <c r="D406" s="13" t="s">
        <v>109</v>
      </c>
    </row>
    <row r="407" spans="1:4">
      <c r="A407" s="23">
        <v>45082</v>
      </c>
      <c r="B407" s="13" t="s">
        <v>392</v>
      </c>
      <c r="C407" s="13" t="s">
        <v>167</v>
      </c>
      <c r="D407" s="13" t="s">
        <v>81</v>
      </c>
    </row>
    <row r="408" spans="1:4">
      <c r="A408" s="23">
        <v>45082</v>
      </c>
      <c r="B408" s="13" t="s">
        <v>394</v>
      </c>
      <c r="C408" s="13" t="s">
        <v>393</v>
      </c>
      <c r="D408" s="13" t="s">
        <v>81</v>
      </c>
    </row>
    <row r="409" spans="1:4">
      <c r="A409" s="23">
        <v>45082</v>
      </c>
      <c r="B409" s="13" t="s">
        <v>396</v>
      </c>
      <c r="C409" s="13" t="s">
        <v>395</v>
      </c>
      <c r="D409" s="13" t="s">
        <v>81</v>
      </c>
    </row>
    <row r="410" spans="1:4">
      <c r="A410" s="23">
        <v>45082</v>
      </c>
      <c r="B410" s="13" t="s">
        <v>397</v>
      </c>
      <c r="C410" s="13" t="s">
        <v>159</v>
      </c>
      <c r="D410" s="13" t="s">
        <v>81</v>
      </c>
    </row>
    <row r="411" spans="1:4">
      <c r="A411" s="23">
        <v>45082</v>
      </c>
      <c r="B411" s="13" t="s">
        <v>398</v>
      </c>
      <c r="C411" s="13" t="s">
        <v>321</v>
      </c>
      <c r="D411" s="13" t="s">
        <v>81</v>
      </c>
    </row>
    <row r="412" spans="1:4">
      <c r="A412" s="23">
        <v>45082</v>
      </c>
      <c r="B412" s="13" t="s">
        <v>400</v>
      </c>
      <c r="C412" s="13" t="s">
        <v>399</v>
      </c>
      <c r="D412" s="13" t="s">
        <v>81</v>
      </c>
    </row>
    <row r="413" spans="1:4">
      <c r="A413" s="23">
        <v>45082</v>
      </c>
      <c r="B413" s="13" t="s">
        <v>402</v>
      </c>
      <c r="C413" s="13" t="s">
        <v>401</v>
      </c>
      <c r="D413" s="13" t="s">
        <v>81</v>
      </c>
    </row>
    <row r="414" spans="1:4">
      <c r="A414" s="23">
        <v>45084</v>
      </c>
      <c r="B414" s="13" t="s">
        <v>404</v>
      </c>
      <c r="C414" s="13" t="s">
        <v>403</v>
      </c>
      <c r="D414" s="13" t="s">
        <v>216</v>
      </c>
    </row>
    <row r="415" spans="1:4">
      <c r="A415" s="23">
        <v>45084</v>
      </c>
      <c r="B415" s="13" t="s">
        <v>406</v>
      </c>
      <c r="C415" s="13" t="s">
        <v>405</v>
      </c>
      <c r="D415" s="13" t="s">
        <v>74</v>
      </c>
    </row>
    <row r="416" spans="1:4">
      <c r="A416" s="23">
        <v>45084</v>
      </c>
      <c r="B416" s="13" t="s">
        <v>408</v>
      </c>
      <c r="C416" s="13" t="s">
        <v>407</v>
      </c>
      <c r="D416" s="13" t="s">
        <v>216</v>
      </c>
    </row>
    <row r="417" spans="1:4">
      <c r="A417" s="23">
        <v>45085</v>
      </c>
      <c r="B417" s="13" t="s">
        <v>410</v>
      </c>
      <c r="C417" s="13" t="s">
        <v>409</v>
      </c>
      <c r="D417" s="13" t="s">
        <v>81</v>
      </c>
    </row>
    <row r="418" spans="1:4">
      <c r="A418" s="23">
        <v>45085</v>
      </c>
      <c r="B418" s="13" t="s">
        <v>412</v>
      </c>
      <c r="C418" s="13" t="s">
        <v>411</v>
      </c>
      <c r="D418" s="13" t="s">
        <v>81</v>
      </c>
    </row>
    <row r="419" spans="1:4">
      <c r="A419" s="23">
        <v>45085</v>
      </c>
      <c r="B419" s="13" t="s">
        <v>413</v>
      </c>
      <c r="C419" s="13" t="s">
        <v>328</v>
      </c>
      <c r="D419" s="13" t="s">
        <v>81</v>
      </c>
    </row>
    <row r="420" spans="1:4">
      <c r="A420" s="23">
        <v>45085</v>
      </c>
      <c r="B420" s="13" t="s">
        <v>413</v>
      </c>
      <c r="C420" s="13" t="s">
        <v>328</v>
      </c>
      <c r="D420" s="13" t="s">
        <v>81</v>
      </c>
    </row>
    <row r="421" spans="1:4">
      <c r="A421" s="23">
        <v>45085</v>
      </c>
      <c r="B421" s="13" t="s">
        <v>414</v>
      </c>
      <c r="C421" s="13" t="s">
        <v>91</v>
      </c>
      <c r="D421" s="13" t="s">
        <v>81</v>
      </c>
    </row>
    <row r="422" spans="1:4">
      <c r="A422" s="23">
        <v>45086</v>
      </c>
      <c r="B422" s="13" t="s">
        <v>415</v>
      </c>
      <c r="C422" s="13" t="s">
        <v>83</v>
      </c>
      <c r="D422" s="16" t="s">
        <v>81</v>
      </c>
    </row>
    <row r="423" spans="1:4">
      <c r="A423" s="23">
        <v>45086</v>
      </c>
      <c r="B423" s="13" t="s">
        <v>417</v>
      </c>
      <c r="C423" s="13" t="s">
        <v>416</v>
      </c>
      <c r="D423" s="16" t="s">
        <v>11</v>
      </c>
    </row>
    <row r="424" spans="1:4">
      <c r="A424" s="23">
        <v>45086</v>
      </c>
      <c r="B424" s="13" t="s">
        <v>419</v>
      </c>
      <c r="C424" s="13" t="s">
        <v>418</v>
      </c>
      <c r="D424" s="13" t="s">
        <v>81</v>
      </c>
    </row>
    <row r="425" spans="1:4">
      <c r="A425" s="23">
        <v>45086</v>
      </c>
      <c r="B425" s="13" t="s">
        <v>417</v>
      </c>
      <c r="C425" s="13" t="s">
        <v>416</v>
      </c>
      <c r="D425" s="13" t="s">
        <v>11</v>
      </c>
    </row>
    <row r="426" spans="1:4">
      <c r="A426" s="23">
        <v>45087</v>
      </c>
      <c r="B426" s="13" t="s">
        <v>421</v>
      </c>
      <c r="C426" s="13" t="s">
        <v>420</v>
      </c>
      <c r="D426" s="13" t="s">
        <v>81</v>
      </c>
    </row>
    <row r="427" spans="1:4">
      <c r="A427" s="23">
        <v>45087</v>
      </c>
      <c r="B427" s="13" t="s">
        <v>423</v>
      </c>
      <c r="C427" s="13" t="s">
        <v>422</v>
      </c>
      <c r="D427" s="13" t="s">
        <v>109</v>
      </c>
    </row>
    <row r="428" spans="1:4">
      <c r="A428" s="23">
        <v>45087</v>
      </c>
      <c r="B428" s="13" t="s">
        <v>425</v>
      </c>
      <c r="C428" s="13" t="s">
        <v>424</v>
      </c>
      <c r="D428" s="13" t="s">
        <v>109</v>
      </c>
    </row>
    <row r="429" spans="1:4">
      <c r="A429" s="23">
        <v>45089</v>
      </c>
      <c r="B429" s="13" t="s">
        <v>426</v>
      </c>
      <c r="C429" s="13" t="s">
        <v>276</v>
      </c>
      <c r="D429" s="13" t="s">
        <v>81</v>
      </c>
    </row>
    <row r="430" spans="1:4">
      <c r="A430" s="23">
        <v>45089</v>
      </c>
      <c r="B430" s="13" t="s">
        <v>428</v>
      </c>
      <c r="C430" s="13" t="s">
        <v>427</v>
      </c>
      <c r="D430" s="13" t="s">
        <v>81</v>
      </c>
    </row>
    <row r="431" spans="1:4">
      <c r="A431" s="23">
        <v>45089</v>
      </c>
      <c r="B431" s="13" t="s">
        <v>429</v>
      </c>
      <c r="C431" s="13" t="s">
        <v>83</v>
      </c>
      <c r="D431" s="13" t="s">
        <v>81</v>
      </c>
    </row>
    <row r="432" spans="1:4">
      <c r="A432" s="23">
        <v>45090</v>
      </c>
      <c r="B432" s="13" t="s">
        <v>431</v>
      </c>
      <c r="C432" s="13" t="s">
        <v>430</v>
      </c>
      <c r="D432" s="13" t="s">
        <v>81</v>
      </c>
    </row>
    <row r="433" spans="1:4">
      <c r="A433" s="23">
        <v>45090</v>
      </c>
      <c r="B433" s="13" t="s">
        <v>433</v>
      </c>
      <c r="C433" s="13" t="s">
        <v>432</v>
      </c>
      <c r="D433" s="13" t="s">
        <v>5</v>
      </c>
    </row>
    <row r="434" spans="1:4">
      <c r="A434" s="23">
        <v>45090</v>
      </c>
      <c r="B434" s="13" t="s">
        <v>435</v>
      </c>
      <c r="C434" s="13" t="s">
        <v>434</v>
      </c>
      <c r="D434" s="13" t="s">
        <v>81</v>
      </c>
    </row>
    <row r="435" spans="1:4">
      <c r="A435" s="23">
        <v>45090</v>
      </c>
      <c r="B435" s="13" t="s">
        <v>437</v>
      </c>
      <c r="C435" s="13" t="s">
        <v>436</v>
      </c>
      <c r="D435" s="13" t="s">
        <v>216</v>
      </c>
    </row>
    <row r="436" spans="1:4">
      <c r="A436" s="23">
        <v>45090</v>
      </c>
      <c r="B436" s="13" t="s">
        <v>439</v>
      </c>
      <c r="C436" s="13" t="s">
        <v>438</v>
      </c>
      <c r="D436" s="13" t="s">
        <v>216</v>
      </c>
    </row>
    <row r="437" spans="1:4">
      <c r="A437" s="23">
        <v>45090</v>
      </c>
      <c r="B437" s="13" t="s">
        <v>441</v>
      </c>
      <c r="C437" s="13" t="s">
        <v>440</v>
      </c>
      <c r="D437" s="13" t="s">
        <v>81</v>
      </c>
    </row>
    <row r="438" spans="1:4">
      <c r="A438" s="23">
        <v>45092</v>
      </c>
      <c r="B438" s="13" t="s">
        <v>443</v>
      </c>
      <c r="C438" s="13" t="s">
        <v>442</v>
      </c>
      <c r="D438" s="13" t="s">
        <v>5</v>
      </c>
    </row>
    <row r="439" spans="1:4">
      <c r="A439" s="23">
        <v>45092</v>
      </c>
      <c r="B439" s="13" t="s">
        <v>445</v>
      </c>
      <c r="C439" s="13" t="s">
        <v>444</v>
      </c>
      <c r="D439" s="13" t="s">
        <v>81</v>
      </c>
    </row>
    <row r="440" spans="1:4">
      <c r="A440" s="23">
        <v>45092</v>
      </c>
      <c r="B440" s="13" t="s">
        <v>447</v>
      </c>
      <c r="C440" s="13" t="s">
        <v>446</v>
      </c>
      <c r="D440" s="13" t="s">
        <v>81</v>
      </c>
    </row>
    <row r="441" spans="1:4">
      <c r="A441" s="23">
        <v>45093</v>
      </c>
      <c r="B441" s="13" t="s">
        <v>448</v>
      </c>
      <c r="C441" s="13" t="s">
        <v>91</v>
      </c>
      <c r="D441" s="13" t="s">
        <v>81</v>
      </c>
    </row>
    <row r="442" spans="1:4">
      <c r="A442" s="23">
        <v>45093</v>
      </c>
      <c r="B442" s="13" t="s">
        <v>449</v>
      </c>
      <c r="C442" s="13" t="s">
        <v>91</v>
      </c>
      <c r="D442" s="13" t="s">
        <v>81</v>
      </c>
    </row>
    <row r="443" spans="1:4">
      <c r="A443" s="23">
        <v>45093</v>
      </c>
      <c r="B443" s="13" t="s">
        <v>451</v>
      </c>
      <c r="C443" s="13" t="s">
        <v>450</v>
      </c>
      <c r="D443" s="13" t="s">
        <v>11</v>
      </c>
    </row>
    <row r="444" spans="1:4">
      <c r="A444" s="23">
        <v>45093</v>
      </c>
      <c r="B444" s="13" t="s">
        <v>452</v>
      </c>
      <c r="C444" s="13" t="s">
        <v>91</v>
      </c>
      <c r="D444" s="13" t="s">
        <v>81</v>
      </c>
    </row>
    <row r="445" spans="1:4">
      <c r="A445" s="23">
        <v>45093</v>
      </c>
      <c r="B445" s="13" t="s">
        <v>454</v>
      </c>
      <c r="C445" s="13" t="s">
        <v>453</v>
      </c>
      <c r="D445" s="13" t="s">
        <v>81</v>
      </c>
    </row>
    <row r="446" spans="1:4">
      <c r="A446" s="23">
        <v>45093</v>
      </c>
      <c r="B446" s="13" t="s">
        <v>456</v>
      </c>
      <c r="C446" s="13" t="s">
        <v>455</v>
      </c>
      <c r="D446" s="13" t="s">
        <v>81</v>
      </c>
    </row>
    <row r="447" spans="1:4">
      <c r="A447" s="23">
        <v>45094</v>
      </c>
      <c r="B447" s="13" t="s">
        <v>458</v>
      </c>
      <c r="C447" s="13" t="s">
        <v>457</v>
      </c>
      <c r="D447" s="13" t="s">
        <v>24</v>
      </c>
    </row>
    <row r="448" spans="1:4">
      <c r="A448" s="23">
        <v>45094</v>
      </c>
      <c r="B448" s="13" t="s">
        <v>460</v>
      </c>
      <c r="C448" s="13" t="s">
        <v>459</v>
      </c>
      <c r="D448" s="13" t="s">
        <v>16</v>
      </c>
    </row>
    <row r="449" spans="1:4">
      <c r="A449" s="23">
        <v>45094</v>
      </c>
      <c r="B449" s="13" t="s">
        <v>462</v>
      </c>
      <c r="C449" s="13" t="s">
        <v>461</v>
      </c>
      <c r="D449" s="13" t="s">
        <v>81</v>
      </c>
    </row>
    <row r="450" spans="1:4">
      <c r="A450" s="23">
        <v>45095</v>
      </c>
      <c r="B450" s="13" t="s">
        <v>464</v>
      </c>
      <c r="C450" s="13" t="s">
        <v>463</v>
      </c>
      <c r="D450" s="13" t="s">
        <v>74</v>
      </c>
    </row>
    <row r="451" spans="1:4">
      <c r="A451" s="23">
        <v>45095</v>
      </c>
      <c r="B451" s="13" t="s">
        <v>466</v>
      </c>
      <c r="C451" s="13" t="s">
        <v>465</v>
      </c>
      <c r="D451" s="13" t="s">
        <v>74</v>
      </c>
    </row>
    <row r="452" spans="1:4">
      <c r="A452" s="23">
        <v>45096</v>
      </c>
      <c r="B452" s="13" t="s">
        <v>467</v>
      </c>
      <c r="C452" s="13" t="s">
        <v>170</v>
      </c>
      <c r="D452" s="13" t="s">
        <v>81</v>
      </c>
    </row>
    <row r="453" spans="1:4">
      <c r="A453" s="23">
        <v>45097</v>
      </c>
      <c r="B453" s="13" t="s">
        <v>469</v>
      </c>
      <c r="C453" s="13" t="s">
        <v>468</v>
      </c>
      <c r="D453" s="13" t="s">
        <v>81</v>
      </c>
    </row>
    <row r="454" spans="1:4">
      <c r="A454" s="23">
        <v>45097</v>
      </c>
      <c r="B454" s="13" t="s">
        <v>471</v>
      </c>
      <c r="C454" s="13" t="s">
        <v>470</v>
      </c>
      <c r="D454" s="13" t="s">
        <v>81</v>
      </c>
    </row>
    <row r="455" spans="1:4">
      <c r="A455" s="23">
        <v>45097</v>
      </c>
      <c r="B455" s="13" t="s">
        <v>473</v>
      </c>
      <c r="C455" s="13" t="s">
        <v>472</v>
      </c>
      <c r="D455" s="13" t="s">
        <v>81</v>
      </c>
    </row>
    <row r="456" spans="1:4">
      <c r="A456" s="23">
        <v>45097</v>
      </c>
      <c r="B456" s="13" t="s">
        <v>474</v>
      </c>
      <c r="C456" s="13" t="s">
        <v>195</v>
      </c>
      <c r="D456" s="13" t="s">
        <v>81</v>
      </c>
    </row>
    <row r="457" spans="1:4">
      <c r="A457" s="23">
        <v>45102</v>
      </c>
      <c r="B457" s="13" t="s">
        <v>476</v>
      </c>
      <c r="C457" s="13" t="s">
        <v>475</v>
      </c>
      <c r="D457" s="13" t="s">
        <v>81</v>
      </c>
    </row>
    <row r="458" spans="1:4">
      <c r="A458" s="23">
        <v>45103</v>
      </c>
      <c r="B458" s="13" t="s">
        <v>478</v>
      </c>
      <c r="C458" s="13" t="s">
        <v>477</v>
      </c>
      <c r="D458" s="13" t="s">
        <v>109</v>
      </c>
    </row>
    <row r="459" spans="1:4">
      <c r="A459" s="23">
        <v>45103</v>
      </c>
      <c r="B459" s="13" t="s">
        <v>480</v>
      </c>
      <c r="C459" s="13" t="s">
        <v>479</v>
      </c>
      <c r="D459" s="13" t="s">
        <v>109</v>
      </c>
    </row>
    <row r="460" spans="1:4">
      <c r="A460" s="23">
        <v>45105</v>
      </c>
      <c r="B460" s="13" t="s">
        <v>482</v>
      </c>
      <c r="C460" s="13" t="s">
        <v>481</v>
      </c>
      <c r="D460" s="16" t="s">
        <v>81</v>
      </c>
    </row>
    <row r="461" spans="1:4">
      <c r="A461" s="23">
        <v>45105</v>
      </c>
      <c r="B461" s="13" t="s">
        <v>484</v>
      </c>
      <c r="C461" s="13" t="s">
        <v>483</v>
      </c>
      <c r="D461" s="13" t="s">
        <v>81</v>
      </c>
    </row>
    <row r="462" spans="1:4">
      <c r="A462" s="23">
        <v>45107</v>
      </c>
      <c r="B462" s="13" t="s">
        <v>486</v>
      </c>
      <c r="C462" s="13" t="s">
        <v>485</v>
      </c>
      <c r="D462" s="13" t="s">
        <v>81</v>
      </c>
    </row>
    <row r="463" spans="1:4">
      <c r="A463" s="23">
        <v>45107</v>
      </c>
      <c r="B463" s="13" t="s">
        <v>488</v>
      </c>
      <c r="C463" s="13" t="s">
        <v>487</v>
      </c>
      <c r="D463" s="16" t="s">
        <v>24</v>
      </c>
    </row>
    <row r="464" spans="1:4">
      <c r="A464" s="23">
        <v>45107</v>
      </c>
      <c r="B464" s="13" t="s">
        <v>490</v>
      </c>
      <c r="C464" s="13" t="s">
        <v>489</v>
      </c>
      <c r="D464" s="13" t="s">
        <v>24</v>
      </c>
    </row>
    <row r="465" spans="1:4">
      <c r="A465" s="23">
        <v>45108</v>
      </c>
      <c r="B465" s="13" t="s">
        <v>492</v>
      </c>
      <c r="C465" s="13" t="s">
        <v>491</v>
      </c>
      <c r="D465" s="13" t="s">
        <v>29</v>
      </c>
    </row>
    <row r="466" spans="1:4">
      <c r="A466" s="23">
        <v>45109</v>
      </c>
      <c r="B466" s="13" t="s">
        <v>494</v>
      </c>
      <c r="C466" s="13" t="s">
        <v>493</v>
      </c>
      <c r="D466" s="13" t="s">
        <v>8</v>
      </c>
    </row>
    <row r="467" spans="1:4">
      <c r="A467" s="23">
        <v>45109</v>
      </c>
      <c r="B467" s="13" t="s">
        <v>496</v>
      </c>
      <c r="C467" s="13" t="s">
        <v>495</v>
      </c>
      <c r="D467" s="13" t="s">
        <v>29</v>
      </c>
    </row>
    <row r="468" spans="1:4">
      <c r="A468" s="23">
        <v>45111</v>
      </c>
      <c r="B468" s="13" t="s">
        <v>498</v>
      </c>
      <c r="C468" s="13" t="s">
        <v>497</v>
      </c>
      <c r="D468" s="13" t="s">
        <v>5</v>
      </c>
    </row>
    <row r="469" spans="1:4">
      <c r="A469" s="23">
        <v>45111</v>
      </c>
      <c r="B469" s="13" t="s">
        <v>500</v>
      </c>
      <c r="C469" s="13" t="s">
        <v>499</v>
      </c>
      <c r="D469" s="13" t="s">
        <v>29</v>
      </c>
    </row>
    <row r="470" spans="1:4">
      <c r="A470" s="23">
        <v>45111</v>
      </c>
      <c r="B470" s="13" t="s">
        <v>502</v>
      </c>
      <c r="C470" s="13" t="s">
        <v>501</v>
      </c>
      <c r="D470" s="13" t="s">
        <v>109</v>
      </c>
    </row>
    <row r="471" spans="1:4">
      <c r="A471" s="23">
        <v>45112</v>
      </c>
      <c r="B471" s="13" t="s">
        <v>504</v>
      </c>
      <c r="C471" s="13" t="s">
        <v>503</v>
      </c>
      <c r="D471" s="13" t="s">
        <v>24</v>
      </c>
    </row>
    <row r="472" spans="1:4">
      <c r="A472" s="23">
        <v>45115</v>
      </c>
      <c r="B472" s="13" t="s">
        <v>506</v>
      </c>
      <c r="C472" s="13" t="s">
        <v>505</v>
      </c>
      <c r="D472" s="13" t="s">
        <v>16</v>
      </c>
    </row>
    <row r="473" spans="1:4">
      <c r="A473" s="23">
        <v>45117</v>
      </c>
      <c r="B473" s="13" t="s">
        <v>508</v>
      </c>
      <c r="C473" s="13" t="s">
        <v>507</v>
      </c>
      <c r="D473" s="13" t="s">
        <v>109</v>
      </c>
    </row>
    <row r="474" spans="1:4">
      <c r="A474" s="23">
        <v>45117</v>
      </c>
      <c r="B474" s="13" t="s">
        <v>508</v>
      </c>
      <c r="C474" s="13" t="s">
        <v>507</v>
      </c>
      <c r="D474" s="13" t="s">
        <v>109</v>
      </c>
    </row>
    <row r="475" spans="1:4">
      <c r="A475" s="23">
        <v>45120</v>
      </c>
      <c r="B475" s="13" t="s">
        <v>511</v>
      </c>
      <c r="C475" s="13" t="s">
        <v>509</v>
      </c>
      <c r="D475" s="13" t="s">
        <v>510</v>
      </c>
    </row>
    <row r="476" spans="1:4">
      <c r="A476" s="23">
        <v>45120</v>
      </c>
      <c r="B476" s="13" t="s">
        <v>513</v>
      </c>
      <c r="C476" s="13" t="s">
        <v>512</v>
      </c>
      <c r="D476" s="13" t="s">
        <v>29</v>
      </c>
    </row>
    <row r="477" spans="1:4">
      <c r="A477" s="23">
        <v>45120</v>
      </c>
      <c r="B477" s="13" t="s">
        <v>515</v>
      </c>
      <c r="C477" s="13" t="s">
        <v>514</v>
      </c>
      <c r="D477" s="13" t="s">
        <v>29</v>
      </c>
    </row>
    <row r="478" spans="1:4">
      <c r="A478" s="23">
        <v>45121</v>
      </c>
      <c r="B478" s="13" t="s">
        <v>517</v>
      </c>
      <c r="C478" s="13" t="s">
        <v>516</v>
      </c>
      <c r="D478" s="13" t="s">
        <v>11</v>
      </c>
    </row>
    <row r="479" spans="1:4">
      <c r="A479" s="23">
        <v>45181</v>
      </c>
      <c r="B479" s="13" t="s">
        <v>518</v>
      </c>
      <c r="C479" s="13" t="s">
        <v>83</v>
      </c>
      <c r="D479" s="13" t="s">
        <v>81</v>
      </c>
    </row>
    <row r="480" spans="1:4">
      <c r="A480" s="23">
        <v>45123</v>
      </c>
      <c r="B480" s="13" t="s">
        <v>520</v>
      </c>
      <c r="C480" s="13" t="s">
        <v>519</v>
      </c>
      <c r="D480" s="13" t="s">
        <v>29</v>
      </c>
    </row>
    <row r="481" spans="1:4">
      <c r="A481" s="23">
        <v>45124</v>
      </c>
      <c r="B481" s="13" t="s">
        <v>522</v>
      </c>
      <c r="C481" s="13" t="s">
        <v>521</v>
      </c>
      <c r="D481" s="13" t="s">
        <v>216</v>
      </c>
    </row>
    <row r="482" spans="1:4">
      <c r="A482" s="23">
        <v>45124</v>
      </c>
      <c r="B482" s="13" t="s">
        <v>524</v>
      </c>
      <c r="C482" s="13" t="s">
        <v>523</v>
      </c>
      <c r="D482" s="13" t="s">
        <v>29</v>
      </c>
    </row>
    <row r="483" spans="1:4">
      <c r="A483" s="23">
        <v>45124</v>
      </c>
      <c r="B483" s="13" t="s">
        <v>526</v>
      </c>
      <c r="C483" s="13" t="s">
        <v>525</v>
      </c>
      <c r="D483" s="13" t="s">
        <v>109</v>
      </c>
    </row>
    <row r="484" spans="1:4">
      <c r="A484" s="23">
        <v>45125</v>
      </c>
      <c r="B484" s="13" t="s">
        <v>528</v>
      </c>
      <c r="C484" s="13" t="s">
        <v>527</v>
      </c>
      <c r="D484" s="13" t="s">
        <v>5</v>
      </c>
    </row>
    <row r="485" spans="1:4">
      <c r="A485" s="23">
        <v>45125</v>
      </c>
      <c r="B485" s="13" t="s">
        <v>530</v>
      </c>
      <c r="C485" s="13" t="s">
        <v>529</v>
      </c>
      <c r="D485" s="13" t="s">
        <v>29</v>
      </c>
    </row>
    <row r="486" spans="1:4">
      <c r="A486" s="23">
        <v>45126</v>
      </c>
      <c r="B486" s="13" t="s">
        <v>532</v>
      </c>
      <c r="C486" s="13" t="s">
        <v>531</v>
      </c>
      <c r="D486" s="13" t="s">
        <v>216</v>
      </c>
    </row>
    <row r="487" spans="1:4">
      <c r="A487" s="23">
        <v>45127</v>
      </c>
      <c r="B487" s="13" t="s">
        <v>534</v>
      </c>
      <c r="C487" s="13" t="s">
        <v>533</v>
      </c>
      <c r="D487" s="13" t="s">
        <v>16</v>
      </c>
    </row>
    <row r="488" spans="1:4">
      <c r="A488" s="23">
        <v>45127</v>
      </c>
      <c r="B488" s="13" t="s">
        <v>536</v>
      </c>
      <c r="C488" s="13" t="s">
        <v>535</v>
      </c>
      <c r="D488" s="13" t="s">
        <v>29</v>
      </c>
    </row>
    <row r="489" spans="1:4">
      <c r="A489" s="23">
        <v>45127</v>
      </c>
      <c r="B489" s="13" t="s">
        <v>538</v>
      </c>
      <c r="C489" s="13" t="s">
        <v>537</v>
      </c>
      <c r="D489" s="13" t="s">
        <v>81</v>
      </c>
    </row>
    <row r="490" spans="1:4">
      <c r="A490" s="23">
        <v>45127</v>
      </c>
      <c r="B490" s="13" t="s">
        <v>540</v>
      </c>
      <c r="C490" s="13" t="s">
        <v>539</v>
      </c>
      <c r="D490" s="13" t="s">
        <v>74</v>
      </c>
    </row>
    <row r="491" spans="1:4">
      <c r="A491" s="23">
        <v>45127</v>
      </c>
      <c r="B491" s="13" t="s">
        <v>542</v>
      </c>
      <c r="C491" s="13" t="s">
        <v>541</v>
      </c>
      <c r="D491" s="13" t="s">
        <v>81</v>
      </c>
    </row>
    <row r="492" spans="1:4">
      <c r="A492" s="23">
        <v>45131</v>
      </c>
      <c r="B492" s="13" t="s">
        <v>544</v>
      </c>
      <c r="C492" s="13" t="s">
        <v>543</v>
      </c>
      <c r="D492" s="13" t="s">
        <v>510</v>
      </c>
    </row>
    <row r="493" spans="1:4">
      <c r="A493" s="23">
        <v>45134</v>
      </c>
      <c r="B493" s="17" t="s">
        <v>546</v>
      </c>
      <c r="C493" s="13" t="s">
        <v>545</v>
      </c>
      <c r="D493" s="13" t="s">
        <v>16</v>
      </c>
    </row>
    <row r="494" spans="1:4">
      <c r="A494" s="23">
        <v>45135</v>
      </c>
      <c r="B494" s="13" t="s">
        <v>548</v>
      </c>
      <c r="C494" s="13" t="s">
        <v>547</v>
      </c>
      <c r="D494" s="13" t="s">
        <v>74</v>
      </c>
    </row>
    <row r="495" spans="1:4">
      <c r="A495" s="23">
        <v>45135</v>
      </c>
      <c r="B495" s="13" t="s">
        <v>550</v>
      </c>
      <c r="C495" s="13" t="s">
        <v>549</v>
      </c>
      <c r="D495" s="13" t="s">
        <v>24</v>
      </c>
    </row>
    <row r="496" spans="1:4">
      <c r="A496" s="23">
        <v>45136</v>
      </c>
      <c r="B496" s="13" t="s">
        <v>552</v>
      </c>
      <c r="C496" s="13" t="s">
        <v>551</v>
      </c>
      <c r="D496" s="13" t="s">
        <v>353</v>
      </c>
    </row>
    <row r="497" spans="1:4">
      <c r="A497" s="23">
        <v>45136</v>
      </c>
      <c r="B497" s="13" t="s">
        <v>554</v>
      </c>
      <c r="C497" s="13" t="s">
        <v>553</v>
      </c>
      <c r="D497" s="13" t="s">
        <v>510</v>
      </c>
    </row>
    <row r="498" spans="1:4">
      <c r="A498" s="23">
        <v>45137</v>
      </c>
      <c r="B498" s="13" t="s">
        <v>556</v>
      </c>
      <c r="C498" s="13" t="s">
        <v>555</v>
      </c>
      <c r="D498" s="13" t="s">
        <v>29</v>
      </c>
    </row>
    <row r="499" spans="1:4">
      <c r="A499" s="23">
        <v>45137</v>
      </c>
      <c r="B499" s="13" t="s">
        <v>556</v>
      </c>
      <c r="C499" s="13" t="s">
        <v>555</v>
      </c>
      <c r="D499" s="13" t="s">
        <v>29</v>
      </c>
    </row>
    <row r="500" spans="1:4">
      <c r="A500" s="23">
        <v>45138</v>
      </c>
      <c r="B500" s="13" t="s">
        <v>558</v>
      </c>
      <c r="C500" s="13" t="s">
        <v>557</v>
      </c>
      <c r="D500" s="13" t="s">
        <v>5</v>
      </c>
    </row>
    <row r="501" spans="1:4">
      <c r="A501" s="23">
        <v>45142</v>
      </c>
      <c r="B501" s="13" t="s">
        <v>560</v>
      </c>
      <c r="C501" s="13" t="s">
        <v>559</v>
      </c>
      <c r="D501" s="13" t="s">
        <v>74</v>
      </c>
    </row>
    <row r="502" spans="1:4">
      <c r="A502" s="23">
        <v>45145</v>
      </c>
      <c r="B502" s="13" t="s">
        <v>562</v>
      </c>
      <c r="C502" s="13" t="s">
        <v>561</v>
      </c>
      <c r="D502" s="13" t="s">
        <v>141</v>
      </c>
    </row>
    <row r="503" spans="1:4">
      <c r="A503" s="23">
        <v>45146</v>
      </c>
      <c r="B503" s="13" t="s">
        <v>563</v>
      </c>
      <c r="C503" s="13" t="s">
        <v>91</v>
      </c>
      <c r="D503" s="13" t="s">
        <v>81</v>
      </c>
    </row>
    <row r="504" spans="1:4">
      <c r="A504" s="23">
        <v>45146</v>
      </c>
      <c r="B504" s="13" t="s">
        <v>565</v>
      </c>
      <c r="C504" s="13" t="s">
        <v>564</v>
      </c>
      <c r="D504" s="13" t="s">
        <v>81</v>
      </c>
    </row>
    <row r="505" spans="1:4">
      <c r="A505" s="23">
        <v>45146</v>
      </c>
      <c r="B505" s="13" t="s">
        <v>566</v>
      </c>
      <c r="C505" s="13" t="s">
        <v>83</v>
      </c>
      <c r="D505" s="13" t="s">
        <v>81</v>
      </c>
    </row>
    <row r="506" spans="1:4">
      <c r="A506" s="23">
        <v>45147</v>
      </c>
      <c r="B506" s="13" t="s">
        <v>568</v>
      </c>
      <c r="C506" s="13" t="s">
        <v>567</v>
      </c>
      <c r="D506" s="13" t="s">
        <v>109</v>
      </c>
    </row>
    <row r="507" spans="1:4">
      <c r="A507" s="23">
        <v>45147</v>
      </c>
      <c r="B507" s="13" t="s">
        <v>570</v>
      </c>
      <c r="C507" s="13" t="s">
        <v>569</v>
      </c>
      <c r="D507" s="13" t="s">
        <v>74</v>
      </c>
    </row>
    <row r="508" spans="1:4">
      <c r="A508" s="23">
        <v>45151</v>
      </c>
      <c r="B508" s="13" t="s">
        <v>571</v>
      </c>
      <c r="C508" s="13" t="s">
        <v>553</v>
      </c>
      <c r="D508" s="13" t="s">
        <v>510</v>
      </c>
    </row>
    <row r="509" spans="1:4">
      <c r="A509" s="23">
        <v>45151</v>
      </c>
      <c r="B509" s="13" t="s">
        <v>571</v>
      </c>
      <c r="C509" s="13" t="s">
        <v>553</v>
      </c>
      <c r="D509" s="13" t="s">
        <v>510</v>
      </c>
    </row>
    <row r="510" spans="1:4">
      <c r="A510" s="23">
        <v>45151</v>
      </c>
      <c r="B510" s="13" t="s">
        <v>571</v>
      </c>
      <c r="C510" s="13" t="s">
        <v>553</v>
      </c>
      <c r="D510" s="13" t="s">
        <v>510</v>
      </c>
    </row>
    <row r="511" spans="1:4">
      <c r="A511" s="23">
        <v>45154</v>
      </c>
      <c r="B511" s="13" t="s">
        <v>573</v>
      </c>
      <c r="C511" s="13" t="s">
        <v>572</v>
      </c>
      <c r="D511" s="13" t="s">
        <v>8</v>
      </c>
    </row>
    <row r="512" spans="1:4">
      <c r="A512" s="23">
        <v>45154</v>
      </c>
      <c r="B512" s="13" t="s">
        <v>575</v>
      </c>
      <c r="C512" s="13" t="s">
        <v>574</v>
      </c>
      <c r="D512" s="13" t="s">
        <v>81</v>
      </c>
    </row>
    <row r="513" spans="1:4">
      <c r="A513" s="23">
        <v>45154</v>
      </c>
      <c r="B513" s="13" t="s">
        <v>577</v>
      </c>
      <c r="C513" s="13" t="s">
        <v>576</v>
      </c>
      <c r="D513" s="13" t="s">
        <v>81</v>
      </c>
    </row>
    <row r="514" spans="1:4">
      <c r="A514" s="23">
        <v>45154</v>
      </c>
      <c r="B514" s="13" t="s">
        <v>579</v>
      </c>
      <c r="C514" s="13" t="s">
        <v>578</v>
      </c>
      <c r="D514" s="13" t="s">
        <v>81</v>
      </c>
    </row>
    <row r="515" spans="1:4">
      <c r="A515" s="23">
        <v>45154</v>
      </c>
      <c r="B515" s="13" t="s">
        <v>581</v>
      </c>
      <c r="C515" s="13" t="s">
        <v>580</v>
      </c>
      <c r="D515" s="13" t="s">
        <v>81</v>
      </c>
    </row>
    <row r="516" spans="1:4">
      <c r="A516" s="23">
        <v>45155</v>
      </c>
      <c r="B516" s="13" t="s">
        <v>583</v>
      </c>
      <c r="C516" s="13" t="s">
        <v>582</v>
      </c>
      <c r="D516" s="13" t="s">
        <v>141</v>
      </c>
    </row>
    <row r="517" spans="1:4">
      <c r="A517" s="23">
        <v>45155</v>
      </c>
      <c r="B517" s="13" t="s">
        <v>585</v>
      </c>
      <c r="C517" s="13" t="s">
        <v>584</v>
      </c>
      <c r="D517" s="13" t="s">
        <v>141</v>
      </c>
    </row>
    <row r="518" spans="1:4">
      <c r="A518" s="23">
        <v>45155</v>
      </c>
      <c r="B518" s="13" t="s">
        <v>585</v>
      </c>
      <c r="C518" s="13" t="s">
        <v>584</v>
      </c>
      <c r="D518" s="13" t="s">
        <v>141</v>
      </c>
    </row>
    <row r="519" spans="1:4">
      <c r="A519" s="23">
        <v>45160</v>
      </c>
      <c r="B519" s="13" t="s">
        <v>586</v>
      </c>
      <c r="C519" s="13" t="s">
        <v>312</v>
      </c>
      <c r="D519" s="13" t="s">
        <v>81</v>
      </c>
    </row>
    <row r="520" spans="1:4">
      <c r="A520" s="23">
        <v>45160</v>
      </c>
      <c r="B520" s="13" t="s">
        <v>588</v>
      </c>
      <c r="C520" s="13" t="s">
        <v>587</v>
      </c>
      <c r="D520" s="13" t="s">
        <v>81</v>
      </c>
    </row>
    <row r="521" spans="1:4">
      <c r="A521" s="23">
        <v>45161</v>
      </c>
      <c r="B521" s="13" t="s">
        <v>590</v>
      </c>
      <c r="C521" s="13" t="s">
        <v>589</v>
      </c>
      <c r="D521" s="13" t="s">
        <v>81</v>
      </c>
    </row>
    <row r="522" spans="1:4">
      <c r="A522" s="23">
        <v>45161</v>
      </c>
      <c r="B522" s="13" t="s">
        <v>590</v>
      </c>
      <c r="C522" s="13" t="s">
        <v>589</v>
      </c>
      <c r="D522" s="13" t="s">
        <v>81</v>
      </c>
    </row>
    <row r="523" spans="1:4">
      <c r="A523" s="23">
        <v>45162</v>
      </c>
      <c r="B523" s="15" t="s">
        <v>591</v>
      </c>
      <c r="C523" s="13" t="s">
        <v>312</v>
      </c>
      <c r="D523" s="13" t="s">
        <v>81</v>
      </c>
    </row>
    <row r="524" spans="1:4">
      <c r="A524" s="23">
        <v>45162</v>
      </c>
      <c r="B524" s="13" t="s">
        <v>591</v>
      </c>
      <c r="C524" s="13" t="s">
        <v>592</v>
      </c>
      <c r="D524" s="13" t="s">
        <v>81</v>
      </c>
    </row>
    <row r="525" spans="1:4">
      <c r="A525" s="23">
        <v>45167</v>
      </c>
      <c r="B525" s="13" t="s">
        <v>595</v>
      </c>
      <c r="C525" s="13" t="s">
        <v>593</v>
      </c>
      <c r="D525" s="13" t="s">
        <v>594</v>
      </c>
    </row>
    <row r="526" spans="1:4">
      <c r="A526" s="23">
        <v>45167</v>
      </c>
      <c r="B526" s="13" t="s">
        <v>597</v>
      </c>
      <c r="C526" s="13" t="s">
        <v>596</v>
      </c>
      <c r="D526" s="13" t="s">
        <v>594</v>
      </c>
    </row>
    <row r="527" spans="1:4">
      <c r="A527" s="23">
        <v>45169</v>
      </c>
      <c r="B527" s="13" t="s">
        <v>599</v>
      </c>
      <c r="C527" s="13" t="s">
        <v>598</v>
      </c>
      <c r="D527" s="13" t="s">
        <v>594</v>
      </c>
    </row>
    <row r="528" spans="1:4">
      <c r="A528" s="23">
        <v>45169</v>
      </c>
      <c r="B528" s="13" t="s">
        <v>600</v>
      </c>
      <c r="C528" s="13" t="s">
        <v>545</v>
      </c>
      <c r="D528" s="13" t="s">
        <v>16</v>
      </c>
    </row>
    <row r="529" spans="1:4">
      <c r="A529" s="23">
        <v>45184</v>
      </c>
      <c r="B529" s="13" t="s">
        <v>602</v>
      </c>
      <c r="C529" s="13" t="s">
        <v>601</v>
      </c>
      <c r="D529" s="13" t="s">
        <v>24</v>
      </c>
    </row>
    <row r="530" spans="1:4">
      <c r="A530" s="23">
        <v>45181</v>
      </c>
      <c r="B530" s="13" t="s">
        <v>604</v>
      </c>
      <c r="C530" s="13" t="s">
        <v>603</v>
      </c>
      <c r="D530" s="13" t="s">
        <v>81</v>
      </c>
    </row>
    <row r="531" spans="1:4">
      <c r="A531" s="23">
        <v>45171</v>
      </c>
      <c r="B531" s="13" t="s">
        <v>606</v>
      </c>
      <c r="C531" s="13" t="s">
        <v>605</v>
      </c>
      <c r="D531" s="13" t="s">
        <v>74</v>
      </c>
    </row>
    <row r="532" spans="1:4">
      <c r="A532" s="23">
        <v>45171</v>
      </c>
      <c r="B532" s="13" t="s">
        <v>608</v>
      </c>
      <c r="C532" s="13" t="s">
        <v>607</v>
      </c>
      <c r="D532" s="13" t="s">
        <v>74</v>
      </c>
    </row>
    <row r="533" spans="1:4">
      <c r="A533" s="23">
        <v>45181</v>
      </c>
      <c r="B533" s="13" t="s">
        <v>609</v>
      </c>
      <c r="C533" s="13" t="s">
        <v>83</v>
      </c>
      <c r="D533" s="13" t="s">
        <v>81</v>
      </c>
    </row>
    <row r="534" spans="1:4">
      <c r="A534" s="23">
        <v>45174</v>
      </c>
      <c r="B534" s="13" t="s">
        <v>611</v>
      </c>
      <c r="C534" s="13" t="s">
        <v>610</v>
      </c>
      <c r="D534" s="13" t="s">
        <v>74</v>
      </c>
    </row>
    <row r="535" spans="1:4">
      <c r="A535" s="23">
        <v>45177</v>
      </c>
      <c r="B535" s="13" t="s">
        <v>613</v>
      </c>
      <c r="C535" s="13" t="s">
        <v>612</v>
      </c>
      <c r="D535" s="13" t="s">
        <v>16</v>
      </c>
    </row>
    <row r="536" spans="1:4">
      <c r="A536" s="23">
        <v>45183</v>
      </c>
      <c r="B536" s="13" t="s">
        <v>615</v>
      </c>
      <c r="C536" s="13" t="s">
        <v>614</v>
      </c>
      <c r="D536" s="13" t="s">
        <v>74</v>
      </c>
    </row>
    <row r="537" spans="1:4">
      <c r="A537" s="23">
        <v>45174</v>
      </c>
      <c r="B537" s="13" t="s">
        <v>616</v>
      </c>
      <c r="C537" s="13" t="s">
        <v>372</v>
      </c>
      <c r="D537" s="13" t="s">
        <v>74</v>
      </c>
    </row>
    <row r="538" spans="1:4">
      <c r="A538" s="23">
        <v>45202</v>
      </c>
      <c r="B538" s="13" t="s">
        <v>617</v>
      </c>
      <c r="C538" s="13" t="s">
        <v>399</v>
      </c>
      <c r="D538" s="13" t="s">
        <v>81</v>
      </c>
    </row>
    <row r="539" spans="1:4">
      <c r="A539" s="23">
        <v>45177</v>
      </c>
      <c r="B539" s="13" t="s">
        <v>619</v>
      </c>
      <c r="C539" s="13" t="s">
        <v>618</v>
      </c>
      <c r="D539" s="13" t="s">
        <v>81</v>
      </c>
    </row>
    <row r="540" spans="1:4">
      <c r="A540" s="23">
        <v>45174</v>
      </c>
      <c r="B540" s="13" t="s">
        <v>620</v>
      </c>
      <c r="C540" s="13" t="s">
        <v>372</v>
      </c>
      <c r="D540" s="13" t="s">
        <v>74</v>
      </c>
    </row>
    <row r="541" spans="1:4">
      <c r="A541" s="23">
        <v>45176</v>
      </c>
      <c r="B541" s="13" t="s">
        <v>622</v>
      </c>
      <c r="C541" s="13" t="s">
        <v>621</v>
      </c>
      <c r="D541" s="13" t="s">
        <v>34</v>
      </c>
    </row>
    <row r="542" spans="1:4">
      <c r="A542" s="23">
        <v>45190</v>
      </c>
      <c r="B542" s="13" t="s">
        <v>624</v>
      </c>
      <c r="C542" s="13" t="s">
        <v>623</v>
      </c>
      <c r="D542" s="13" t="s">
        <v>81</v>
      </c>
    </row>
    <row r="543" spans="1:4">
      <c r="A543" s="23">
        <v>45177</v>
      </c>
      <c r="B543" s="13" t="s">
        <v>626</v>
      </c>
      <c r="C543" s="13" t="s">
        <v>625</v>
      </c>
      <c r="D543" s="13" t="s">
        <v>74</v>
      </c>
    </row>
    <row r="544" spans="1:4">
      <c r="A544" s="23">
        <v>45181</v>
      </c>
      <c r="B544" s="13" t="s">
        <v>628</v>
      </c>
      <c r="C544" s="13" t="s">
        <v>627</v>
      </c>
      <c r="D544" s="13" t="s">
        <v>81</v>
      </c>
    </row>
    <row r="545" spans="1:4">
      <c r="A545" s="23">
        <v>45181</v>
      </c>
      <c r="B545" s="13" t="s">
        <v>630</v>
      </c>
      <c r="C545" s="13" t="s">
        <v>629</v>
      </c>
      <c r="D545" s="13" t="s">
        <v>74</v>
      </c>
    </row>
    <row r="546" spans="1:4">
      <c r="A546" s="23">
        <v>45182</v>
      </c>
      <c r="B546" s="13" t="s">
        <v>632</v>
      </c>
      <c r="C546" s="13" t="s">
        <v>631</v>
      </c>
      <c r="D546" s="13" t="s">
        <v>16</v>
      </c>
    </row>
    <row r="547" spans="1:4">
      <c r="A547" s="23">
        <v>45202</v>
      </c>
      <c r="B547" s="13" t="s">
        <v>634</v>
      </c>
      <c r="C547" s="13" t="s">
        <v>633</v>
      </c>
      <c r="D547" s="13" t="s">
        <v>81</v>
      </c>
    </row>
    <row r="548" spans="1:4">
      <c r="A548" s="23">
        <v>45190</v>
      </c>
      <c r="B548" s="13" t="s">
        <v>635</v>
      </c>
      <c r="C548" s="13" t="s">
        <v>440</v>
      </c>
      <c r="D548" s="13" t="s">
        <v>81</v>
      </c>
    </row>
    <row r="549" spans="1:4">
      <c r="A549" s="23">
        <v>45182</v>
      </c>
      <c r="B549" s="13" t="s">
        <v>637</v>
      </c>
      <c r="C549" s="13" t="s">
        <v>636</v>
      </c>
      <c r="D549" s="13" t="s">
        <v>109</v>
      </c>
    </row>
    <row r="550" spans="1:4">
      <c r="A550" s="23">
        <v>45184</v>
      </c>
      <c r="B550" s="13" t="s">
        <v>639</v>
      </c>
      <c r="C550" s="13" t="s">
        <v>638</v>
      </c>
      <c r="D550" s="13" t="s">
        <v>353</v>
      </c>
    </row>
    <row r="551" spans="1:4">
      <c r="A551" s="23">
        <v>45190</v>
      </c>
      <c r="B551" s="13" t="s">
        <v>640</v>
      </c>
      <c r="C551" s="13" t="s">
        <v>83</v>
      </c>
      <c r="D551" s="13" t="s">
        <v>81</v>
      </c>
    </row>
    <row r="552" spans="1:4">
      <c r="A552" s="23">
        <v>45190</v>
      </c>
      <c r="B552" s="13" t="s">
        <v>642</v>
      </c>
      <c r="C552" s="13" t="s">
        <v>641</v>
      </c>
      <c r="D552" s="13" t="s">
        <v>81</v>
      </c>
    </row>
    <row r="553" spans="1:4">
      <c r="A553" s="23">
        <v>45191</v>
      </c>
      <c r="B553" s="13" t="s">
        <v>644</v>
      </c>
      <c r="C553" s="13" t="s">
        <v>643</v>
      </c>
      <c r="D553" s="13" t="s">
        <v>74</v>
      </c>
    </row>
    <row r="554" spans="1:4">
      <c r="A554" s="23">
        <v>45177</v>
      </c>
      <c r="B554" s="13" t="s">
        <v>646</v>
      </c>
      <c r="C554" s="13" t="s">
        <v>645</v>
      </c>
      <c r="D554" s="13" t="s">
        <v>74</v>
      </c>
    </row>
    <row r="555" spans="1:4">
      <c r="A555" s="23">
        <v>45191</v>
      </c>
      <c r="B555" s="13" t="s">
        <v>644</v>
      </c>
      <c r="C555" s="13" t="s">
        <v>643</v>
      </c>
      <c r="D555" s="13" t="s">
        <v>74</v>
      </c>
    </row>
    <row r="556" spans="1:4">
      <c r="A556" s="23">
        <v>45194</v>
      </c>
      <c r="B556" s="13" t="s">
        <v>648</v>
      </c>
      <c r="C556" s="13" t="s">
        <v>647</v>
      </c>
      <c r="D556" s="13" t="s">
        <v>594</v>
      </c>
    </row>
    <row r="557" spans="1:4">
      <c r="A557" s="23">
        <v>45192</v>
      </c>
      <c r="B557" s="13" t="s">
        <v>650</v>
      </c>
      <c r="C557" s="13" t="s">
        <v>649</v>
      </c>
      <c r="D557" s="13" t="s">
        <v>5</v>
      </c>
    </row>
    <row r="558" spans="1:4">
      <c r="A558" s="23">
        <v>45177</v>
      </c>
      <c r="B558" s="13" t="s">
        <v>652</v>
      </c>
      <c r="C558" s="13" t="s">
        <v>651</v>
      </c>
      <c r="D558" s="13" t="s">
        <v>24</v>
      </c>
    </row>
    <row r="559" spans="1:4">
      <c r="A559" s="23">
        <v>45196</v>
      </c>
      <c r="B559" s="13" t="s">
        <v>654</v>
      </c>
      <c r="C559" s="13" t="s">
        <v>653</v>
      </c>
      <c r="D559" s="13" t="s">
        <v>81</v>
      </c>
    </row>
    <row r="560" spans="1:4">
      <c r="A560" s="23">
        <v>45184</v>
      </c>
      <c r="B560" s="13" t="s">
        <v>656</v>
      </c>
      <c r="C560" s="13" t="s">
        <v>655</v>
      </c>
      <c r="D560" s="13" t="s">
        <v>74</v>
      </c>
    </row>
    <row r="561" spans="1:4">
      <c r="A561" s="23">
        <v>45174</v>
      </c>
      <c r="B561" s="13" t="s">
        <v>658</v>
      </c>
      <c r="C561" s="13" t="s">
        <v>657</v>
      </c>
      <c r="D561" s="13" t="s">
        <v>29</v>
      </c>
    </row>
    <row r="562" spans="1:4">
      <c r="A562" s="23">
        <v>45177</v>
      </c>
      <c r="B562" s="13" t="s">
        <v>660</v>
      </c>
      <c r="C562" s="13" t="s">
        <v>659</v>
      </c>
      <c r="D562" s="13" t="s">
        <v>81</v>
      </c>
    </row>
    <row r="563" spans="1:4">
      <c r="A563" s="23">
        <v>45183</v>
      </c>
      <c r="B563" s="13" t="s">
        <v>662</v>
      </c>
      <c r="C563" s="13" t="s">
        <v>661</v>
      </c>
      <c r="D563" s="13" t="s">
        <v>34</v>
      </c>
    </row>
    <row r="564" spans="1:4">
      <c r="A564" s="23">
        <v>45194</v>
      </c>
      <c r="B564" s="13" t="s">
        <v>664</v>
      </c>
      <c r="C564" s="13" t="s">
        <v>663</v>
      </c>
      <c r="D564" s="13" t="s">
        <v>11</v>
      </c>
    </row>
    <row r="565" spans="1:4">
      <c r="A565" s="23">
        <v>45195</v>
      </c>
      <c r="B565" s="13" t="s">
        <v>666</v>
      </c>
      <c r="C565" s="13" t="s">
        <v>665</v>
      </c>
      <c r="D565" s="13" t="s">
        <v>510</v>
      </c>
    </row>
    <row r="566" spans="1:4">
      <c r="A566" s="23">
        <v>45192</v>
      </c>
      <c r="B566" s="13" t="s">
        <v>650</v>
      </c>
      <c r="C566" s="13" t="s">
        <v>649</v>
      </c>
      <c r="D566" s="13" t="s">
        <v>5</v>
      </c>
    </row>
    <row r="567" spans="1:4">
      <c r="A567" s="23">
        <v>45194</v>
      </c>
      <c r="B567" s="13" t="s">
        <v>648</v>
      </c>
      <c r="C567" s="13" t="s">
        <v>667</v>
      </c>
      <c r="D567" s="13" t="s">
        <v>594</v>
      </c>
    </row>
    <row r="568" spans="1:4">
      <c r="A568" s="23">
        <v>45196</v>
      </c>
      <c r="B568" s="13" t="s">
        <v>669</v>
      </c>
      <c r="C568" s="13" t="s">
        <v>668</v>
      </c>
      <c r="D568" s="13" t="s">
        <v>81</v>
      </c>
    </row>
    <row r="569" spans="1:4">
      <c r="A569" s="23">
        <v>45211</v>
      </c>
      <c r="B569" s="13" t="s">
        <v>671</v>
      </c>
      <c r="C569" s="13" t="s">
        <v>670</v>
      </c>
      <c r="D569" s="13" t="s">
        <v>164</v>
      </c>
    </row>
    <row r="570" spans="1:4">
      <c r="A570" s="23">
        <v>45204</v>
      </c>
      <c r="B570" s="13" t="s">
        <v>672</v>
      </c>
      <c r="C570" s="13" t="s">
        <v>309</v>
      </c>
      <c r="D570" s="13" t="s">
        <v>81</v>
      </c>
    </row>
    <row r="571" spans="1:4">
      <c r="A571" s="23">
        <v>45216</v>
      </c>
      <c r="B571" s="13" t="s">
        <v>674</v>
      </c>
      <c r="C571" s="13" t="s">
        <v>673</v>
      </c>
      <c r="D571" s="13" t="s">
        <v>216</v>
      </c>
    </row>
    <row r="572" spans="1:4">
      <c r="A572" s="23">
        <v>45197</v>
      </c>
      <c r="B572" s="13" t="s">
        <v>676</v>
      </c>
      <c r="C572" s="13" t="s">
        <v>675</v>
      </c>
      <c r="D572" s="13" t="s">
        <v>11</v>
      </c>
    </row>
    <row r="573" spans="1:4">
      <c r="A573" s="23">
        <v>45196</v>
      </c>
      <c r="B573" s="13" t="s">
        <v>678</v>
      </c>
      <c r="C573" s="13" t="s">
        <v>677</v>
      </c>
      <c r="D573" s="13" t="s">
        <v>74</v>
      </c>
    </row>
    <row r="574" spans="1:4">
      <c r="A574" s="23">
        <v>45203</v>
      </c>
      <c r="B574" s="13" t="s">
        <v>680</v>
      </c>
      <c r="C574" s="13" t="s">
        <v>679</v>
      </c>
      <c r="D574" s="13" t="s">
        <v>34</v>
      </c>
    </row>
    <row r="575" spans="1:4">
      <c r="A575" s="23">
        <v>45216</v>
      </c>
      <c r="B575" s="13" t="s">
        <v>682</v>
      </c>
      <c r="C575" s="13" t="s">
        <v>681</v>
      </c>
      <c r="D575" s="13" t="s">
        <v>5</v>
      </c>
    </row>
    <row r="576" spans="1:4">
      <c r="A576" s="23">
        <v>45216</v>
      </c>
      <c r="B576" s="13" t="s">
        <v>683</v>
      </c>
      <c r="C576" s="13" t="s">
        <v>378</v>
      </c>
      <c r="D576" s="13" t="s">
        <v>216</v>
      </c>
    </row>
    <row r="577" spans="1:4">
      <c r="A577" s="23">
        <v>45196</v>
      </c>
      <c r="B577" s="13" t="s">
        <v>685</v>
      </c>
      <c r="C577" s="13" t="s">
        <v>684</v>
      </c>
      <c r="D577" s="13" t="s">
        <v>29</v>
      </c>
    </row>
    <row r="578" spans="1:4">
      <c r="A578" s="23">
        <v>45195</v>
      </c>
      <c r="B578" s="13" t="s">
        <v>687</v>
      </c>
      <c r="C578" s="13" t="s">
        <v>686</v>
      </c>
      <c r="D578" s="13" t="s">
        <v>24</v>
      </c>
    </row>
    <row r="579" spans="1:4">
      <c r="A579" s="23">
        <v>45202</v>
      </c>
      <c r="B579" s="13" t="s">
        <v>634</v>
      </c>
      <c r="C579" s="13" t="s">
        <v>633</v>
      </c>
      <c r="D579" s="13" t="s">
        <v>81</v>
      </c>
    </row>
    <row r="580" spans="1:4">
      <c r="A580" s="23">
        <v>45195</v>
      </c>
      <c r="B580" s="13" t="s">
        <v>689</v>
      </c>
      <c r="C580" s="13" t="s">
        <v>688</v>
      </c>
      <c r="D580" s="13" t="s">
        <v>510</v>
      </c>
    </row>
    <row r="581" spans="1:4">
      <c r="A581" s="23">
        <v>45212</v>
      </c>
      <c r="B581" s="13" t="s">
        <v>691</v>
      </c>
      <c r="C581" s="13" t="s">
        <v>690</v>
      </c>
      <c r="D581" s="13" t="s">
        <v>141</v>
      </c>
    </row>
    <row r="582" spans="1:4">
      <c r="A582" s="23">
        <v>45203</v>
      </c>
      <c r="B582" s="13" t="s">
        <v>692</v>
      </c>
      <c r="C582" s="13" t="s">
        <v>679</v>
      </c>
      <c r="D582" s="13" t="s">
        <v>34</v>
      </c>
    </row>
    <row r="583" spans="1:4">
      <c r="A583" s="23">
        <v>45204</v>
      </c>
      <c r="B583" s="13" t="s">
        <v>693</v>
      </c>
      <c r="C583" s="13" t="s">
        <v>399</v>
      </c>
      <c r="D583" s="13" t="s">
        <v>81</v>
      </c>
    </row>
    <row r="584" spans="1:4">
      <c r="A584" s="23">
        <v>45202</v>
      </c>
      <c r="B584" s="13" t="s">
        <v>694</v>
      </c>
      <c r="C584" s="13" t="s">
        <v>372</v>
      </c>
      <c r="D584" s="13" t="s">
        <v>74</v>
      </c>
    </row>
    <row r="585" spans="1:4">
      <c r="A585" s="23">
        <v>45203</v>
      </c>
      <c r="B585" s="13" t="s">
        <v>696</v>
      </c>
      <c r="C585" s="13" t="s">
        <v>695</v>
      </c>
      <c r="D585" s="13" t="s">
        <v>34</v>
      </c>
    </row>
    <row r="586" spans="1:4">
      <c r="A586" s="23">
        <v>45197</v>
      </c>
      <c r="B586" s="13" t="s">
        <v>698</v>
      </c>
      <c r="C586" s="13" t="s">
        <v>697</v>
      </c>
      <c r="D586" s="13" t="s">
        <v>11</v>
      </c>
    </row>
    <row r="587" spans="1:4">
      <c r="A587" s="23">
        <v>45196</v>
      </c>
      <c r="B587" s="13" t="s">
        <v>700</v>
      </c>
      <c r="C587" s="13" t="s">
        <v>699</v>
      </c>
      <c r="D587" s="13" t="s">
        <v>109</v>
      </c>
    </row>
    <row r="588" spans="1:4">
      <c r="A588" s="23">
        <v>45211</v>
      </c>
      <c r="B588" s="13" t="s">
        <v>702</v>
      </c>
      <c r="C588" s="13" t="s">
        <v>701</v>
      </c>
      <c r="D588" s="13" t="s">
        <v>81</v>
      </c>
    </row>
    <row r="589" spans="1:4">
      <c r="A589" s="23">
        <v>45211</v>
      </c>
      <c r="B589" s="13" t="s">
        <v>704</v>
      </c>
      <c r="C589" s="13" t="s">
        <v>703</v>
      </c>
      <c r="D589" s="13" t="s">
        <v>81</v>
      </c>
    </row>
    <row r="590" spans="1:4">
      <c r="A590" s="23">
        <v>45212</v>
      </c>
      <c r="B590" s="13" t="s">
        <v>705</v>
      </c>
      <c r="C590" s="13" t="s">
        <v>690</v>
      </c>
      <c r="D590" s="13" t="s">
        <v>141</v>
      </c>
    </row>
    <row r="591" spans="1:4">
      <c r="A591" s="23">
        <v>45000</v>
      </c>
      <c r="B591" s="13" t="s">
        <v>707</v>
      </c>
      <c r="C591" s="13" t="s">
        <v>706</v>
      </c>
      <c r="D591" s="13" t="s">
        <v>353</v>
      </c>
    </row>
    <row r="592" spans="1:4">
      <c r="A592" s="23">
        <v>45000</v>
      </c>
      <c r="B592" s="13" t="s">
        <v>709</v>
      </c>
      <c r="C592" s="13" t="s">
        <v>708</v>
      </c>
      <c r="D592" s="13" t="s">
        <v>353</v>
      </c>
    </row>
    <row r="593" spans="1:4">
      <c r="A593" s="23">
        <v>45000</v>
      </c>
      <c r="B593" s="13" t="s">
        <v>707</v>
      </c>
      <c r="C593" s="13" t="s">
        <v>710</v>
      </c>
      <c r="D593" s="13" t="s">
        <v>353</v>
      </c>
    </row>
    <row r="594" spans="1:4">
      <c r="A594" s="23">
        <v>45002</v>
      </c>
      <c r="B594" s="13" t="s">
        <v>712</v>
      </c>
      <c r="C594" s="13" t="s">
        <v>711</v>
      </c>
      <c r="D594" s="13" t="s">
        <v>353</v>
      </c>
    </row>
    <row r="595" spans="1:4">
      <c r="A595" s="23">
        <v>45002</v>
      </c>
      <c r="B595" s="13" t="s">
        <v>714</v>
      </c>
      <c r="C595" s="13" t="s">
        <v>713</v>
      </c>
      <c r="D595" s="13" t="s">
        <v>353</v>
      </c>
    </row>
    <row r="596" spans="1:4">
      <c r="A596" s="23">
        <v>45002</v>
      </c>
      <c r="B596" s="13" t="s">
        <v>712</v>
      </c>
      <c r="C596" s="13" t="s">
        <v>711</v>
      </c>
      <c r="D596" s="13" t="s">
        <v>353</v>
      </c>
    </row>
    <row r="597" spans="1:4">
      <c r="A597" s="23">
        <v>45005</v>
      </c>
      <c r="B597" s="13" t="s">
        <v>716</v>
      </c>
      <c r="C597" s="13" t="s">
        <v>715</v>
      </c>
      <c r="D597" s="13" t="s">
        <v>11</v>
      </c>
    </row>
    <row r="598" spans="1:4">
      <c r="A598" s="23">
        <v>45005</v>
      </c>
      <c r="B598" s="13" t="s">
        <v>716</v>
      </c>
      <c r="C598" s="13" t="s">
        <v>715</v>
      </c>
      <c r="D598" s="13" t="s">
        <v>11</v>
      </c>
    </row>
    <row r="599" spans="1:4">
      <c r="A599" s="23">
        <v>45005</v>
      </c>
      <c r="B599" s="13" t="s">
        <v>718</v>
      </c>
      <c r="C599" s="13" t="s">
        <v>717</v>
      </c>
      <c r="D599" s="13" t="s">
        <v>81</v>
      </c>
    </row>
    <row r="600" spans="1:4">
      <c r="A600" s="23">
        <v>45007</v>
      </c>
      <c r="B600" s="13" t="s">
        <v>720</v>
      </c>
      <c r="C600" s="13" t="s">
        <v>719</v>
      </c>
      <c r="D600" s="13" t="s">
        <v>11</v>
      </c>
    </row>
    <row r="601" spans="1:4">
      <c r="A601" s="23">
        <v>45007</v>
      </c>
      <c r="B601" s="13" t="s">
        <v>720</v>
      </c>
      <c r="C601" s="13" t="s">
        <v>719</v>
      </c>
      <c r="D601" s="13" t="s">
        <v>11</v>
      </c>
    </row>
    <row r="602" spans="1:4">
      <c r="A602" s="23">
        <v>45007</v>
      </c>
      <c r="B602" s="13" t="s">
        <v>722</v>
      </c>
      <c r="C602" s="13" t="s">
        <v>721</v>
      </c>
      <c r="D602" s="13" t="s">
        <v>353</v>
      </c>
    </row>
    <row r="603" spans="1:4">
      <c r="A603" s="23">
        <v>45007</v>
      </c>
      <c r="B603" s="13" t="s">
        <v>720</v>
      </c>
      <c r="C603" s="13" t="s">
        <v>719</v>
      </c>
      <c r="D603" s="13" t="s">
        <v>11</v>
      </c>
    </row>
    <row r="604" spans="1:4">
      <c r="A604" s="23">
        <v>45007</v>
      </c>
      <c r="B604" s="13" t="s">
        <v>707</v>
      </c>
      <c r="C604" s="13" t="s">
        <v>708</v>
      </c>
      <c r="D604" s="13" t="s">
        <v>353</v>
      </c>
    </row>
    <row r="605" spans="1:4">
      <c r="A605" s="23">
        <v>45008</v>
      </c>
      <c r="B605" s="13" t="s">
        <v>724</v>
      </c>
      <c r="C605" s="13" t="s">
        <v>723</v>
      </c>
      <c r="D605" s="13" t="s">
        <v>11</v>
      </c>
    </row>
    <row r="606" spans="1:4">
      <c r="A606" s="23">
        <v>45008</v>
      </c>
      <c r="B606" s="13" t="s">
        <v>726</v>
      </c>
      <c r="C606" s="13" t="s">
        <v>725</v>
      </c>
      <c r="D606" s="13" t="s">
        <v>8</v>
      </c>
    </row>
    <row r="607" spans="1:4">
      <c r="A607" s="23">
        <v>45008</v>
      </c>
      <c r="B607" s="13" t="s">
        <v>728</v>
      </c>
      <c r="C607" s="13" t="s">
        <v>727</v>
      </c>
      <c r="D607" s="13" t="s">
        <v>11</v>
      </c>
    </row>
    <row r="608" spans="1:4">
      <c r="A608" s="23">
        <v>45010</v>
      </c>
      <c r="B608" s="13" t="s">
        <v>729</v>
      </c>
      <c r="C608" s="13" t="s">
        <v>710</v>
      </c>
      <c r="D608" s="13" t="s">
        <v>353</v>
      </c>
    </row>
    <row r="609" spans="1:4">
      <c r="A609" s="23">
        <v>45010</v>
      </c>
      <c r="B609" s="13" t="s">
        <v>731</v>
      </c>
      <c r="C609" s="13" t="s">
        <v>730</v>
      </c>
      <c r="D609" s="16" t="s">
        <v>164</v>
      </c>
    </row>
    <row r="610" spans="1:4">
      <c r="A610" s="23">
        <v>45012</v>
      </c>
      <c r="B610" s="13" t="s">
        <v>733</v>
      </c>
      <c r="C610" s="13" t="s">
        <v>732</v>
      </c>
      <c r="D610" s="13" t="s">
        <v>11</v>
      </c>
    </row>
    <row r="611" spans="1:4">
      <c r="A611" s="23">
        <v>45013</v>
      </c>
      <c r="B611" s="13"/>
      <c r="C611" s="13" t="s">
        <v>734</v>
      </c>
      <c r="D611" s="13" t="s">
        <v>81</v>
      </c>
    </row>
    <row r="612" spans="1:4">
      <c r="A612" s="23">
        <v>45013</v>
      </c>
      <c r="B612" s="13" t="s">
        <v>735</v>
      </c>
      <c r="C612" s="13" t="s">
        <v>717</v>
      </c>
      <c r="D612" s="13" t="s">
        <v>81</v>
      </c>
    </row>
    <row r="613" spans="1:4">
      <c r="A613" s="23">
        <v>45013</v>
      </c>
      <c r="B613" s="13" t="s">
        <v>736</v>
      </c>
      <c r="C613" s="13" t="s">
        <v>717</v>
      </c>
      <c r="D613" s="13" t="s">
        <v>81</v>
      </c>
    </row>
    <row r="614" spans="1:4">
      <c r="A614" s="23">
        <v>45013</v>
      </c>
      <c r="B614" s="13" t="s">
        <v>738</v>
      </c>
      <c r="C614" s="13" t="s">
        <v>737</v>
      </c>
      <c r="D614" s="13" t="s">
        <v>81</v>
      </c>
    </row>
    <row r="615" spans="1:4">
      <c r="A615" s="23">
        <v>45013</v>
      </c>
      <c r="B615" s="13" t="s">
        <v>740</v>
      </c>
      <c r="C615" s="13" t="s">
        <v>739</v>
      </c>
      <c r="D615" s="13" t="s">
        <v>164</v>
      </c>
    </row>
    <row r="616" spans="1:4">
      <c r="A616" s="23">
        <v>45014</v>
      </c>
      <c r="B616" s="13" t="s">
        <v>742</v>
      </c>
      <c r="C616" s="13" t="s">
        <v>741</v>
      </c>
      <c r="D616" s="13" t="s">
        <v>8</v>
      </c>
    </row>
    <row r="617" spans="1:4">
      <c r="A617" s="23">
        <v>45015</v>
      </c>
      <c r="B617" s="13" t="s">
        <v>744</v>
      </c>
      <c r="C617" s="13" t="s">
        <v>743</v>
      </c>
      <c r="D617" s="13" t="s">
        <v>74</v>
      </c>
    </row>
    <row r="618" spans="1:4">
      <c r="A618" s="23">
        <v>45015</v>
      </c>
      <c r="B618" s="13" t="s">
        <v>746</v>
      </c>
      <c r="C618" s="13" t="s">
        <v>745</v>
      </c>
      <c r="D618" s="13" t="s">
        <v>74</v>
      </c>
    </row>
    <row r="619" spans="1:4">
      <c r="A619" s="23">
        <v>45016</v>
      </c>
      <c r="B619" s="13" t="s">
        <v>748</v>
      </c>
      <c r="C619" s="13" t="s">
        <v>747</v>
      </c>
      <c r="D619" s="13" t="s">
        <v>5</v>
      </c>
    </row>
    <row r="620" spans="1:4">
      <c r="A620" s="23">
        <v>45019</v>
      </c>
      <c r="B620" s="13" t="s">
        <v>750</v>
      </c>
      <c r="C620" s="13" t="s">
        <v>749</v>
      </c>
      <c r="D620" s="13" t="s">
        <v>11</v>
      </c>
    </row>
    <row r="621" spans="1:4">
      <c r="A621" s="23">
        <v>45022</v>
      </c>
      <c r="B621" s="13" t="s">
        <v>751</v>
      </c>
      <c r="C621" s="13" t="s">
        <v>717</v>
      </c>
      <c r="D621" s="13" t="s">
        <v>81</v>
      </c>
    </row>
    <row r="622" spans="1:4">
      <c r="A622" s="23">
        <v>45022</v>
      </c>
      <c r="B622" s="13" t="s">
        <v>753</v>
      </c>
      <c r="C622" s="13" t="s">
        <v>752</v>
      </c>
      <c r="D622" s="13" t="s">
        <v>8</v>
      </c>
    </row>
    <row r="623" spans="1:4">
      <c r="A623" s="23">
        <v>45023</v>
      </c>
      <c r="B623" s="13" t="s">
        <v>755</v>
      </c>
      <c r="C623" s="13" t="s">
        <v>754</v>
      </c>
      <c r="D623" s="13" t="s">
        <v>11</v>
      </c>
    </row>
    <row r="624" spans="1:4">
      <c r="A624" s="23">
        <v>45024</v>
      </c>
      <c r="B624" s="13" t="s">
        <v>757</v>
      </c>
      <c r="C624" s="13" t="s">
        <v>756</v>
      </c>
      <c r="D624" s="13" t="s">
        <v>11</v>
      </c>
    </row>
    <row r="625" spans="1:4">
      <c r="A625" s="23">
        <v>45024</v>
      </c>
      <c r="B625" s="13" t="s">
        <v>758</v>
      </c>
      <c r="C625" s="13" t="s">
        <v>756</v>
      </c>
      <c r="D625" s="13" t="s">
        <v>11</v>
      </c>
    </row>
    <row r="626" spans="1:4">
      <c r="A626" s="23">
        <v>45025</v>
      </c>
      <c r="B626" s="13" t="s">
        <v>760</v>
      </c>
      <c r="C626" s="13" t="s">
        <v>759</v>
      </c>
      <c r="D626" s="16" t="s">
        <v>11</v>
      </c>
    </row>
    <row r="627" spans="1:4">
      <c r="A627" s="23">
        <v>45027</v>
      </c>
      <c r="B627" s="13" t="s">
        <v>761</v>
      </c>
      <c r="C627" s="13" t="s">
        <v>312</v>
      </c>
      <c r="D627" s="13" t="s">
        <v>81</v>
      </c>
    </row>
    <row r="628" spans="1:4">
      <c r="A628" s="23">
        <v>45027</v>
      </c>
      <c r="B628" s="13" t="s">
        <v>762</v>
      </c>
      <c r="C628" s="13" t="s">
        <v>312</v>
      </c>
      <c r="D628" s="13" t="s">
        <v>81</v>
      </c>
    </row>
    <row r="629" spans="1:4">
      <c r="A629" s="23">
        <v>45027</v>
      </c>
      <c r="B629" s="13" t="s">
        <v>764</v>
      </c>
      <c r="C629" s="13" t="s">
        <v>763</v>
      </c>
      <c r="D629" s="13" t="s">
        <v>24</v>
      </c>
    </row>
    <row r="630" spans="1:4">
      <c r="A630" s="23">
        <v>45027</v>
      </c>
      <c r="B630" s="13" t="s">
        <v>766</v>
      </c>
      <c r="C630" s="13" t="s">
        <v>765</v>
      </c>
      <c r="D630" s="13" t="s">
        <v>8</v>
      </c>
    </row>
    <row r="631" spans="1:4">
      <c r="A631" s="23">
        <v>45027</v>
      </c>
      <c r="B631" s="13" t="s">
        <v>768</v>
      </c>
      <c r="C631" s="13" t="s">
        <v>767</v>
      </c>
      <c r="D631" s="13" t="s">
        <v>109</v>
      </c>
    </row>
    <row r="632" spans="1:4">
      <c r="A632" s="23">
        <v>45027</v>
      </c>
      <c r="B632" s="13" t="s">
        <v>770</v>
      </c>
      <c r="C632" s="13" t="s">
        <v>769</v>
      </c>
      <c r="D632" s="13" t="s">
        <v>11</v>
      </c>
    </row>
    <row r="633" spans="1:4">
      <c r="A633" s="23">
        <v>45027</v>
      </c>
      <c r="B633" s="13" t="s">
        <v>770</v>
      </c>
      <c r="C633" s="13" t="s">
        <v>769</v>
      </c>
      <c r="D633" s="13" t="s">
        <v>11</v>
      </c>
    </row>
    <row r="634" spans="1:4">
      <c r="A634" s="23">
        <v>45027</v>
      </c>
      <c r="B634" s="13" t="s">
        <v>772</v>
      </c>
      <c r="C634" s="13" t="s">
        <v>771</v>
      </c>
      <c r="D634" s="13" t="s">
        <v>109</v>
      </c>
    </row>
    <row r="635" spans="1:4">
      <c r="A635" s="23">
        <v>45028</v>
      </c>
      <c r="B635" s="13" t="s">
        <v>774</v>
      </c>
      <c r="C635" s="13" t="s">
        <v>773</v>
      </c>
      <c r="D635" s="13" t="s">
        <v>353</v>
      </c>
    </row>
    <row r="636" spans="1:4">
      <c r="A636" s="23">
        <v>45028</v>
      </c>
      <c r="B636" s="13" t="s">
        <v>776</v>
      </c>
      <c r="C636" s="13" t="s">
        <v>775</v>
      </c>
      <c r="D636" s="13" t="s">
        <v>24</v>
      </c>
    </row>
    <row r="637" spans="1:4">
      <c r="A637" s="23">
        <v>45028</v>
      </c>
      <c r="B637" s="13" t="s">
        <v>778</v>
      </c>
      <c r="C637" s="13" t="s">
        <v>777</v>
      </c>
      <c r="D637" s="13" t="s">
        <v>11</v>
      </c>
    </row>
    <row r="638" spans="1:4">
      <c r="A638" s="23">
        <v>45028</v>
      </c>
      <c r="B638" s="13" t="s">
        <v>774</v>
      </c>
      <c r="C638" s="13" t="s">
        <v>773</v>
      </c>
      <c r="D638" s="13" t="s">
        <v>353</v>
      </c>
    </row>
    <row r="639" spans="1:4">
      <c r="A639" s="23">
        <v>45029</v>
      </c>
      <c r="B639" s="13" t="s">
        <v>779</v>
      </c>
      <c r="C639" s="13" t="s">
        <v>723</v>
      </c>
      <c r="D639" s="13" t="s">
        <v>11</v>
      </c>
    </row>
    <row r="640" spans="1:4">
      <c r="A640" s="23">
        <v>45029</v>
      </c>
      <c r="B640" s="13" t="s">
        <v>781</v>
      </c>
      <c r="C640" s="13" t="s">
        <v>780</v>
      </c>
      <c r="D640" s="13" t="s">
        <v>74</v>
      </c>
    </row>
    <row r="641" spans="1:4">
      <c r="A641" s="23">
        <v>45029</v>
      </c>
      <c r="B641" s="13" t="s">
        <v>783</v>
      </c>
      <c r="C641" s="13" t="s">
        <v>782</v>
      </c>
      <c r="D641" s="13" t="s">
        <v>16</v>
      </c>
    </row>
    <row r="642" spans="1:4">
      <c r="A642" s="23">
        <v>45029</v>
      </c>
      <c r="B642" s="13" t="s">
        <v>785</v>
      </c>
      <c r="C642" s="13" t="s">
        <v>784</v>
      </c>
      <c r="D642" s="13" t="s">
        <v>24</v>
      </c>
    </row>
    <row r="643" spans="1:4">
      <c r="A643" s="23">
        <v>45029</v>
      </c>
      <c r="B643" s="13" t="s">
        <v>787</v>
      </c>
      <c r="C643" s="13" t="s">
        <v>786</v>
      </c>
      <c r="D643" s="13" t="s">
        <v>8</v>
      </c>
    </row>
    <row r="644" spans="1:4">
      <c r="A644" s="23">
        <v>45029</v>
      </c>
      <c r="B644" s="13" t="s">
        <v>789</v>
      </c>
      <c r="C644" s="13" t="s">
        <v>788</v>
      </c>
      <c r="D644" s="13" t="s">
        <v>74</v>
      </c>
    </row>
    <row r="645" spans="1:4">
      <c r="A645" s="23">
        <v>45029</v>
      </c>
      <c r="B645" s="13" t="s">
        <v>779</v>
      </c>
      <c r="C645" s="13" t="s">
        <v>723</v>
      </c>
      <c r="D645" s="13" t="s">
        <v>11</v>
      </c>
    </row>
    <row r="646" spans="1:4">
      <c r="A646" s="23">
        <v>45029</v>
      </c>
      <c r="B646" s="13" t="s">
        <v>783</v>
      </c>
      <c r="C646" s="13" t="s">
        <v>790</v>
      </c>
      <c r="D646" s="13" t="s">
        <v>16</v>
      </c>
    </row>
    <row r="647" spans="1:4">
      <c r="A647" s="23">
        <v>45030</v>
      </c>
      <c r="B647" s="13" t="s">
        <v>792</v>
      </c>
      <c r="C647" s="13" t="s">
        <v>791</v>
      </c>
      <c r="D647" s="13" t="s">
        <v>345</v>
      </c>
    </row>
    <row r="648" spans="1:4">
      <c r="A648" s="23">
        <v>45030</v>
      </c>
      <c r="B648" s="13" t="s">
        <v>794</v>
      </c>
      <c r="C648" s="13" t="s">
        <v>793</v>
      </c>
      <c r="D648" s="13" t="s">
        <v>345</v>
      </c>
    </row>
    <row r="649" spans="1:4">
      <c r="A649" s="23">
        <v>45030</v>
      </c>
      <c r="B649" s="13" t="s">
        <v>795</v>
      </c>
      <c r="C649" s="13" t="s">
        <v>312</v>
      </c>
      <c r="D649" s="13" t="s">
        <v>81</v>
      </c>
    </row>
    <row r="650" spans="1:4">
      <c r="A650" s="23">
        <v>45030</v>
      </c>
      <c r="B650" s="13" t="s">
        <v>797</v>
      </c>
      <c r="C650" s="13" t="s">
        <v>796</v>
      </c>
      <c r="D650" s="13" t="s">
        <v>81</v>
      </c>
    </row>
    <row r="651" spans="1:4">
      <c r="A651" s="23">
        <v>45030</v>
      </c>
      <c r="B651" s="13" t="s">
        <v>779</v>
      </c>
      <c r="C651" s="13" t="s">
        <v>723</v>
      </c>
      <c r="D651" s="13" t="s">
        <v>11</v>
      </c>
    </row>
    <row r="652" spans="1:4">
      <c r="A652" s="23">
        <v>45030</v>
      </c>
      <c r="B652" s="13" t="s">
        <v>798</v>
      </c>
      <c r="C652" s="13" t="s">
        <v>312</v>
      </c>
      <c r="D652" s="13" t="s">
        <v>81</v>
      </c>
    </row>
    <row r="653" spans="1:4">
      <c r="A653" s="23">
        <v>45030</v>
      </c>
      <c r="B653" s="13" t="s">
        <v>800</v>
      </c>
      <c r="C653" s="13" t="s">
        <v>799</v>
      </c>
      <c r="D653" s="13" t="s">
        <v>11</v>
      </c>
    </row>
    <row r="654" spans="1:4">
      <c r="A654" s="23">
        <v>45030</v>
      </c>
      <c r="B654" s="13" t="s">
        <v>802</v>
      </c>
      <c r="C654" s="13" t="s">
        <v>801</v>
      </c>
      <c r="D654" s="13" t="s">
        <v>164</v>
      </c>
    </row>
    <row r="655" spans="1:4">
      <c r="A655" s="23">
        <v>45031</v>
      </c>
      <c r="B655" s="13" t="s">
        <v>804</v>
      </c>
      <c r="C655" s="13" t="s">
        <v>803</v>
      </c>
      <c r="D655" s="13" t="s">
        <v>11</v>
      </c>
    </row>
    <row r="656" spans="1:4">
      <c r="A656" s="23">
        <v>45031</v>
      </c>
      <c r="B656" s="13" t="s">
        <v>806</v>
      </c>
      <c r="C656" s="13" t="s">
        <v>805</v>
      </c>
      <c r="D656" s="13" t="s">
        <v>11</v>
      </c>
    </row>
    <row r="657" spans="1:4">
      <c r="A657" s="23">
        <v>45033</v>
      </c>
      <c r="B657" s="13" t="s">
        <v>807</v>
      </c>
      <c r="C657" s="13" t="s">
        <v>799</v>
      </c>
      <c r="D657" s="13" t="s">
        <v>11</v>
      </c>
    </row>
    <row r="658" spans="1:4">
      <c r="A658" s="23">
        <v>45034</v>
      </c>
      <c r="B658" s="13" t="s">
        <v>809</v>
      </c>
      <c r="C658" s="13" t="s">
        <v>808</v>
      </c>
      <c r="D658" s="13" t="s">
        <v>11</v>
      </c>
    </row>
    <row r="659" spans="1:4">
      <c r="A659" s="23">
        <v>45034</v>
      </c>
      <c r="B659" s="13" t="s">
        <v>811</v>
      </c>
      <c r="C659" s="13" t="s">
        <v>810</v>
      </c>
      <c r="D659" s="13" t="s">
        <v>345</v>
      </c>
    </row>
    <row r="660" spans="1:4">
      <c r="A660" s="23">
        <v>45034</v>
      </c>
      <c r="B660" s="13" t="s">
        <v>813</v>
      </c>
      <c r="C660" s="13" t="s">
        <v>812</v>
      </c>
      <c r="D660" s="13" t="s">
        <v>81</v>
      </c>
    </row>
    <row r="661" spans="1:4">
      <c r="A661" s="23">
        <v>45034</v>
      </c>
      <c r="B661" s="13" t="s">
        <v>811</v>
      </c>
      <c r="C661" s="13" t="s">
        <v>810</v>
      </c>
      <c r="D661" s="13" t="s">
        <v>345</v>
      </c>
    </row>
    <row r="662" spans="1:4">
      <c r="A662" s="23">
        <v>45034</v>
      </c>
      <c r="B662" s="13" t="s">
        <v>815</v>
      </c>
      <c r="C662" s="13" t="s">
        <v>814</v>
      </c>
      <c r="D662" s="13" t="s">
        <v>345</v>
      </c>
    </row>
    <row r="663" spans="1:4">
      <c r="A663" s="23">
        <v>45034</v>
      </c>
      <c r="B663" s="13" t="s">
        <v>813</v>
      </c>
      <c r="C663" s="13" t="s">
        <v>812</v>
      </c>
      <c r="D663" s="13" t="s">
        <v>81</v>
      </c>
    </row>
    <row r="664" spans="1:4">
      <c r="A664" s="23">
        <v>45035</v>
      </c>
      <c r="B664" s="13" t="s">
        <v>817</v>
      </c>
      <c r="C664" s="13" t="s">
        <v>816</v>
      </c>
      <c r="D664" s="13" t="s">
        <v>74</v>
      </c>
    </row>
    <row r="665" spans="1:4">
      <c r="A665" s="23">
        <v>45035</v>
      </c>
      <c r="B665" s="13" t="s">
        <v>819</v>
      </c>
      <c r="C665" s="13" t="s">
        <v>818</v>
      </c>
      <c r="D665" s="13" t="s">
        <v>74</v>
      </c>
    </row>
    <row r="666" spans="1:4">
      <c r="A666" s="23">
        <v>45035</v>
      </c>
      <c r="B666" s="13" t="s">
        <v>821</v>
      </c>
      <c r="C666" s="13" t="s">
        <v>820</v>
      </c>
      <c r="D666" s="13" t="s">
        <v>74</v>
      </c>
    </row>
    <row r="667" spans="1:4">
      <c r="A667" s="23">
        <v>45035</v>
      </c>
      <c r="B667" s="13" t="s">
        <v>821</v>
      </c>
      <c r="C667" s="13" t="s">
        <v>822</v>
      </c>
      <c r="D667" s="13" t="s">
        <v>74</v>
      </c>
    </row>
    <row r="668" spans="1:4">
      <c r="A668" s="23">
        <v>45035</v>
      </c>
      <c r="B668" s="13" t="s">
        <v>824</v>
      </c>
      <c r="C668" s="13" t="s">
        <v>823</v>
      </c>
      <c r="D668" s="13" t="s">
        <v>74</v>
      </c>
    </row>
    <row r="669" spans="1:4">
      <c r="A669" s="23">
        <v>45035</v>
      </c>
      <c r="B669" s="13" t="s">
        <v>826</v>
      </c>
      <c r="C669" s="13" t="s">
        <v>825</v>
      </c>
      <c r="D669" s="13" t="s">
        <v>74</v>
      </c>
    </row>
    <row r="670" spans="1:4">
      <c r="A670" s="23">
        <v>45035</v>
      </c>
      <c r="B670" s="13" t="s">
        <v>828</v>
      </c>
      <c r="C670" s="13" t="s">
        <v>827</v>
      </c>
      <c r="D670" s="13" t="s">
        <v>11</v>
      </c>
    </row>
    <row r="671" spans="1:4">
      <c r="A671" s="23">
        <v>45035</v>
      </c>
      <c r="B671" s="13" t="s">
        <v>830</v>
      </c>
      <c r="C671" s="13" t="s">
        <v>829</v>
      </c>
      <c r="D671" s="13" t="s">
        <v>11</v>
      </c>
    </row>
    <row r="672" spans="1:4">
      <c r="A672" s="23">
        <v>45036</v>
      </c>
      <c r="B672" s="13" t="s">
        <v>832</v>
      </c>
      <c r="C672" s="13" t="s">
        <v>831</v>
      </c>
      <c r="D672" s="13" t="s">
        <v>353</v>
      </c>
    </row>
    <row r="673" spans="1:4">
      <c r="A673" s="23">
        <v>45036</v>
      </c>
      <c r="B673" s="13" t="s">
        <v>834</v>
      </c>
      <c r="C673" s="13" t="s">
        <v>833</v>
      </c>
      <c r="D673" s="13" t="s">
        <v>353</v>
      </c>
    </row>
    <row r="674" spans="1:4">
      <c r="A674" s="23">
        <v>45036</v>
      </c>
      <c r="B674" s="13" t="s">
        <v>836</v>
      </c>
      <c r="C674" s="13" t="s">
        <v>835</v>
      </c>
      <c r="D674" s="13" t="s">
        <v>74</v>
      </c>
    </row>
    <row r="675" spans="1:4">
      <c r="A675" s="23">
        <v>45036</v>
      </c>
      <c r="B675" s="13" t="s">
        <v>838</v>
      </c>
      <c r="C675" s="13" t="s">
        <v>837</v>
      </c>
      <c r="D675" s="13" t="s">
        <v>74</v>
      </c>
    </row>
    <row r="676" spans="1:4">
      <c r="A676" s="23">
        <v>45036</v>
      </c>
      <c r="B676" s="13" t="s">
        <v>832</v>
      </c>
      <c r="C676" s="13" t="s">
        <v>831</v>
      </c>
      <c r="D676" s="13" t="s">
        <v>353</v>
      </c>
    </row>
    <row r="677" spans="1:4">
      <c r="A677" s="23">
        <v>45036</v>
      </c>
      <c r="B677" s="13" t="s">
        <v>840</v>
      </c>
      <c r="C677" s="13" t="s">
        <v>839</v>
      </c>
      <c r="D677" s="13" t="s">
        <v>353</v>
      </c>
    </row>
    <row r="678" spans="1:4">
      <c r="A678" s="23">
        <v>45036</v>
      </c>
      <c r="B678" s="13" t="s">
        <v>842</v>
      </c>
      <c r="C678" s="13" t="s">
        <v>841</v>
      </c>
      <c r="D678" s="13" t="s">
        <v>353</v>
      </c>
    </row>
    <row r="679" spans="1:4">
      <c r="A679" s="23">
        <v>45037</v>
      </c>
      <c r="B679" s="13" t="s">
        <v>844</v>
      </c>
      <c r="C679" s="13" t="s">
        <v>843</v>
      </c>
      <c r="D679" s="13" t="s">
        <v>216</v>
      </c>
    </row>
    <row r="680" spans="1:4">
      <c r="A680" s="23">
        <v>45037</v>
      </c>
      <c r="B680" s="13" t="s">
        <v>845</v>
      </c>
      <c r="C680" s="13" t="s">
        <v>801</v>
      </c>
      <c r="D680" s="13" t="s">
        <v>164</v>
      </c>
    </row>
    <row r="681" spans="1:4">
      <c r="A681" s="23">
        <v>45037</v>
      </c>
      <c r="B681" s="13" t="s">
        <v>847</v>
      </c>
      <c r="C681" s="13" t="s">
        <v>846</v>
      </c>
      <c r="D681" s="13" t="s">
        <v>16</v>
      </c>
    </row>
    <row r="682" spans="1:4">
      <c r="A682" s="23">
        <v>45037</v>
      </c>
      <c r="B682" s="13" t="s">
        <v>849</v>
      </c>
      <c r="C682" s="13" t="s">
        <v>848</v>
      </c>
      <c r="D682" s="13" t="s">
        <v>11</v>
      </c>
    </row>
    <row r="683" spans="1:4">
      <c r="A683" s="23">
        <v>45037</v>
      </c>
      <c r="B683" s="13" t="s">
        <v>851</v>
      </c>
      <c r="C683" s="13" t="s">
        <v>850</v>
      </c>
      <c r="D683" s="13" t="s">
        <v>11</v>
      </c>
    </row>
    <row r="684" spans="1:4">
      <c r="A684" s="23">
        <v>45037</v>
      </c>
      <c r="B684" s="13" t="s">
        <v>853</v>
      </c>
      <c r="C684" s="13" t="s">
        <v>852</v>
      </c>
      <c r="D684" s="13" t="s">
        <v>5</v>
      </c>
    </row>
    <row r="685" spans="1:4">
      <c r="A685" s="23">
        <v>45037</v>
      </c>
      <c r="B685" s="13" t="s">
        <v>855</v>
      </c>
      <c r="C685" s="13" t="s">
        <v>854</v>
      </c>
      <c r="D685" s="13" t="s">
        <v>11</v>
      </c>
    </row>
    <row r="686" spans="1:4">
      <c r="A686" s="23">
        <v>45037</v>
      </c>
      <c r="B686" s="13" t="s">
        <v>851</v>
      </c>
      <c r="C686" s="13" t="s">
        <v>856</v>
      </c>
      <c r="D686" s="13" t="s">
        <v>11</v>
      </c>
    </row>
    <row r="687" spans="1:4">
      <c r="A687" s="23">
        <v>45037</v>
      </c>
      <c r="B687" s="13" t="s">
        <v>849</v>
      </c>
      <c r="C687" s="13" t="s">
        <v>848</v>
      </c>
      <c r="D687" s="13" t="s">
        <v>11</v>
      </c>
    </row>
    <row r="688" spans="1:4">
      <c r="A688" s="23">
        <v>45037</v>
      </c>
      <c r="B688" s="13" t="s">
        <v>858</v>
      </c>
      <c r="C688" s="13" t="s">
        <v>857</v>
      </c>
      <c r="D688" s="13" t="s">
        <v>353</v>
      </c>
    </row>
    <row r="689" spans="1:4">
      <c r="A689" s="23">
        <v>45037</v>
      </c>
      <c r="B689" s="13" t="s">
        <v>858</v>
      </c>
      <c r="C689" s="13" t="s">
        <v>859</v>
      </c>
      <c r="D689" s="13" t="s">
        <v>353</v>
      </c>
    </row>
    <row r="690" spans="1:4">
      <c r="A690" s="23">
        <v>45037</v>
      </c>
      <c r="B690" s="13" t="s">
        <v>861</v>
      </c>
      <c r="C690" s="13" t="s">
        <v>860</v>
      </c>
      <c r="D690" s="13" t="s">
        <v>164</v>
      </c>
    </row>
    <row r="691" spans="1:4">
      <c r="A691" s="23">
        <v>45038</v>
      </c>
      <c r="B691" s="13" t="s">
        <v>863</v>
      </c>
      <c r="C691" s="13" t="s">
        <v>862</v>
      </c>
      <c r="D691" s="13" t="s">
        <v>353</v>
      </c>
    </row>
    <row r="692" spans="1:4">
      <c r="A692" s="23">
        <v>45038</v>
      </c>
      <c r="B692" s="13" t="s">
        <v>863</v>
      </c>
      <c r="C692" s="13" t="s">
        <v>862</v>
      </c>
      <c r="D692" s="13" t="s">
        <v>353</v>
      </c>
    </row>
    <row r="693" spans="1:4">
      <c r="A693" s="23">
        <v>45038</v>
      </c>
      <c r="B693" s="13" t="s">
        <v>863</v>
      </c>
      <c r="C693" s="13" t="s">
        <v>862</v>
      </c>
      <c r="D693" s="13" t="s">
        <v>353</v>
      </c>
    </row>
    <row r="694" spans="1:4">
      <c r="A694" s="23">
        <v>45040</v>
      </c>
      <c r="B694" s="13" t="s">
        <v>806</v>
      </c>
      <c r="C694" s="13" t="s">
        <v>864</v>
      </c>
      <c r="D694" s="13" t="s">
        <v>11</v>
      </c>
    </row>
    <row r="695" spans="1:4">
      <c r="A695" s="23">
        <v>45040</v>
      </c>
      <c r="B695" s="13" t="s">
        <v>806</v>
      </c>
      <c r="C695" s="13" t="s">
        <v>864</v>
      </c>
      <c r="D695" s="13" t="s">
        <v>11</v>
      </c>
    </row>
    <row r="696" spans="1:4">
      <c r="A696" s="23">
        <v>45040</v>
      </c>
      <c r="B696" s="13" t="s">
        <v>866</v>
      </c>
      <c r="C696" s="13" t="s">
        <v>865</v>
      </c>
      <c r="D696" s="13" t="s">
        <v>74</v>
      </c>
    </row>
    <row r="697" spans="1:4">
      <c r="A697" s="23">
        <v>45040</v>
      </c>
      <c r="B697" s="13" t="s">
        <v>853</v>
      </c>
      <c r="C697" s="13" t="s">
        <v>867</v>
      </c>
      <c r="D697" s="13" t="s">
        <v>5</v>
      </c>
    </row>
    <row r="698" spans="1:4">
      <c r="A698" s="23">
        <v>45040</v>
      </c>
      <c r="B698" s="13" t="s">
        <v>869</v>
      </c>
      <c r="C698" s="13" t="s">
        <v>868</v>
      </c>
      <c r="D698" s="13" t="s">
        <v>74</v>
      </c>
    </row>
    <row r="699" spans="1:4">
      <c r="A699" s="23">
        <v>45040</v>
      </c>
      <c r="B699" s="13" t="s">
        <v>871</v>
      </c>
      <c r="C699" s="13" t="s">
        <v>870</v>
      </c>
      <c r="D699" s="13" t="s">
        <v>11</v>
      </c>
    </row>
    <row r="700" spans="1:4">
      <c r="A700" s="23">
        <v>45040</v>
      </c>
      <c r="B700" s="13" t="s">
        <v>873</v>
      </c>
      <c r="C700" s="13" t="s">
        <v>872</v>
      </c>
      <c r="D700" s="13" t="s">
        <v>74</v>
      </c>
    </row>
    <row r="701" spans="1:4">
      <c r="A701" s="23">
        <v>45040</v>
      </c>
      <c r="B701" s="13" t="s">
        <v>875</v>
      </c>
      <c r="C701" s="13" t="s">
        <v>874</v>
      </c>
      <c r="D701" s="13" t="s">
        <v>5</v>
      </c>
    </row>
    <row r="702" spans="1:4">
      <c r="A702" s="23">
        <v>45040</v>
      </c>
      <c r="B702" s="13" t="s">
        <v>853</v>
      </c>
      <c r="C702" s="13" t="s">
        <v>876</v>
      </c>
      <c r="D702" s="16" t="s">
        <v>5</v>
      </c>
    </row>
    <row r="703" spans="1:4">
      <c r="A703" s="23">
        <v>45041</v>
      </c>
      <c r="B703" s="13" t="s">
        <v>877</v>
      </c>
      <c r="C703" s="13" t="s">
        <v>799</v>
      </c>
      <c r="D703" s="13" t="s">
        <v>11</v>
      </c>
    </row>
    <row r="704" spans="1:4">
      <c r="A704" s="23">
        <v>45041</v>
      </c>
      <c r="B704" s="13" t="s">
        <v>878</v>
      </c>
      <c r="C704" s="13" t="s">
        <v>791</v>
      </c>
      <c r="D704" s="13" t="s">
        <v>345</v>
      </c>
    </row>
    <row r="705" spans="1:4">
      <c r="A705" s="23">
        <v>45041</v>
      </c>
      <c r="B705" s="13" t="s">
        <v>880</v>
      </c>
      <c r="C705" s="13" t="s">
        <v>879</v>
      </c>
      <c r="D705" s="13" t="s">
        <v>11</v>
      </c>
    </row>
    <row r="706" spans="1:4">
      <c r="A706" s="23">
        <v>45042</v>
      </c>
      <c r="B706" s="13" t="s">
        <v>881</v>
      </c>
      <c r="C706" s="18">
        <v>30092</v>
      </c>
      <c r="D706" s="13" t="s">
        <v>11</v>
      </c>
    </row>
    <row r="707" spans="1:4">
      <c r="A707" s="23">
        <v>45042</v>
      </c>
      <c r="B707" s="13" t="s">
        <v>883</v>
      </c>
      <c r="C707" s="13" t="s">
        <v>882</v>
      </c>
      <c r="D707" s="13" t="s">
        <v>216</v>
      </c>
    </row>
    <row r="708" spans="1:4">
      <c r="A708" s="23">
        <v>45042</v>
      </c>
      <c r="B708" s="13" t="s">
        <v>885</v>
      </c>
      <c r="C708" s="13" t="s">
        <v>884</v>
      </c>
      <c r="D708" s="13" t="s">
        <v>216</v>
      </c>
    </row>
    <row r="709" spans="1:4">
      <c r="A709" s="23">
        <v>45043</v>
      </c>
      <c r="B709" s="13" t="s">
        <v>849</v>
      </c>
      <c r="C709" s="13" t="s">
        <v>886</v>
      </c>
      <c r="D709" s="13" t="s">
        <v>11</v>
      </c>
    </row>
    <row r="710" spans="1:4">
      <c r="A710" s="23">
        <v>45043</v>
      </c>
      <c r="B710" s="13" t="s">
        <v>887</v>
      </c>
      <c r="C710" s="13" t="s">
        <v>170</v>
      </c>
      <c r="D710" s="13" t="s">
        <v>81</v>
      </c>
    </row>
    <row r="711" spans="1:4">
      <c r="A711" s="23">
        <v>45043</v>
      </c>
      <c r="B711" s="13" t="s">
        <v>888</v>
      </c>
      <c r="C711" s="13" t="s">
        <v>312</v>
      </c>
      <c r="D711" s="13" t="s">
        <v>81</v>
      </c>
    </row>
    <row r="712" spans="1:4">
      <c r="A712" s="23">
        <v>45043</v>
      </c>
      <c r="B712" s="13" t="s">
        <v>890</v>
      </c>
      <c r="C712" s="13" t="s">
        <v>889</v>
      </c>
      <c r="D712" s="13" t="s">
        <v>74</v>
      </c>
    </row>
    <row r="713" spans="1:4">
      <c r="A713" s="23">
        <v>45043</v>
      </c>
      <c r="B713" s="13" t="s">
        <v>892</v>
      </c>
      <c r="C713" s="13" t="s">
        <v>891</v>
      </c>
      <c r="D713" s="13" t="s">
        <v>74</v>
      </c>
    </row>
    <row r="714" spans="1:4">
      <c r="A714" s="23">
        <v>45043</v>
      </c>
      <c r="B714" s="13" t="s">
        <v>894</v>
      </c>
      <c r="C714" s="13" t="s">
        <v>893</v>
      </c>
      <c r="D714" s="13" t="s">
        <v>74</v>
      </c>
    </row>
    <row r="715" spans="1:4">
      <c r="A715" s="23">
        <v>45043</v>
      </c>
      <c r="B715" s="13" t="s">
        <v>896</v>
      </c>
      <c r="C715" s="13" t="s">
        <v>895</v>
      </c>
      <c r="D715" s="13" t="s">
        <v>74</v>
      </c>
    </row>
    <row r="716" spans="1:4">
      <c r="A716" s="23">
        <v>45044</v>
      </c>
      <c r="B716" s="13" t="s">
        <v>898</v>
      </c>
      <c r="C716" s="13" t="s">
        <v>897</v>
      </c>
      <c r="D716" s="13" t="s">
        <v>345</v>
      </c>
    </row>
    <row r="717" spans="1:4">
      <c r="A717" s="23">
        <v>45044</v>
      </c>
      <c r="B717" s="13" t="s">
        <v>900</v>
      </c>
      <c r="C717" s="13" t="s">
        <v>899</v>
      </c>
      <c r="D717" s="13" t="s">
        <v>345</v>
      </c>
    </row>
    <row r="718" spans="1:4">
      <c r="A718" s="23">
        <v>45044</v>
      </c>
      <c r="B718" s="13" t="s">
        <v>902</v>
      </c>
      <c r="C718" s="13" t="s">
        <v>901</v>
      </c>
      <c r="D718" s="13" t="s">
        <v>353</v>
      </c>
    </row>
    <row r="719" spans="1:4">
      <c r="A719" s="23">
        <v>45044</v>
      </c>
      <c r="B719" s="13" t="s">
        <v>902</v>
      </c>
      <c r="C719" s="13" t="s">
        <v>901</v>
      </c>
      <c r="D719" s="13" t="s">
        <v>353</v>
      </c>
    </row>
    <row r="720" spans="1:4">
      <c r="A720" s="23">
        <v>45044</v>
      </c>
      <c r="B720" s="13" t="s">
        <v>902</v>
      </c>
      <c r="C720" s="13" t="s">
        <v>901</v>
      </c>
      <c r="D720" s="13" t="s">
        <v>353</v>
      </c>
    </row>
    <row r="721" spans="1:4">
      <c r="A721" s="23">
        <v>45044</v>
      </c>
      <c r="B721" s="13" t="s">
        <v>904</v>
      </c>
      <c r="C721" s="13" t="s">
        <v>903</v>
      </c>
      <c r="D721" s="13" t="s">
        <v>345</v>
      </c>
    </row>
    <row r="722" spans="1:4">
      <c r="A722" s="23">
        <v>45045</v>
      </c>
      <c r="B722" s="13" t="s">
        <v>906</v>
      </c>
      <c r="C722" s="13" t="s">
        <v>905</v>
      </c>
      <c r="D722" s="13" t="s">
        <v>16</v>
      </c>
    </row>
    <row r="723" spans="1:4">
      <c r="A723" s="23">
        <v>45045</v>
      </c>
      <c r="B723" s="13" t="s">
        <v>908</v>
      </c>
      <c r="C723" s="13" t="s">
        <v>907</v>
      </c>
      <c r="D723" s="13" t="s">
        <v>74</v>
      </c>
    </row>
    <row r="724" spans="1:4">
      <c r="A724" s="23">
        <v>45047</v>
      </c>
      <c r="B724" s="13" t="s">
        <v>910</v>
      </c>
      <c r="C724" s="13" t="s">
        <v>909</v>
      </c>
      <c r="D724" s="16" t="s">
        <v>11</v>
      </c>
    </row>
    <row r="725" spans="1:4">
      <c r="A725" s="23">
        <v>45047</v>
      </c>
      <c r="B725" s="13" t="s">
        <v>912</v>
      </c>
      <c r="C725" s="13" t="s">
        <v>911</v>
      </c>
      <c r="D725" s="13" t="s">
        <v>11</v>
      </c>
    </row>
    <row r="726" spans="1:4">
      <c r="A726" s="23">
        <v>45048</v>
      </c>
      <c r="B726" s="13" t="s">
        <v>914</v>
      </c>
      <c r="C726" s="13" t="s">
        <v>913</v>
      </c>
      <c r="D726" s="13" t="s">
        <v>216</v>
      </c>
    </row>
    <row r="727" spans="1:4">
      <c r="A727" s="23">
        <v>45048</v>
      </c>
      <c r="B727" s="13" t="s">
        <v>916</v>
      </c>
      <c r="C727" s="13" t="s">
        <v>915</v>
      </c>
      <c r="D727" s="13" t="s">
        <v>34</v>
      </c>
    </row>
    <row r="728" spans="1:4">
      <c r="A728" s="23">
        <v>45048</v>
      </c>
      <c r="B728" s="13" t="s">
        <v>918</v>
      </c>
      <c r="C728" s="13" t="s">
        <v>917</v>
      </c>
      <c r="D728" s="13" t="s">
        <v>34</v>
      </c>
    </row>
    <row r="729" spans="1:4">
      <c r="A729" s="23">
        <v>45048</v>
      </c>
      <c r="B729" s="13" t="s">
        <v>920</v>
      </c>
      <c r="C729" s="13" t="s">
        <v>919</v>
      </c>
      <c r="D729" s="13" t="s">
        <v>353</v>
      </c>
    </row>
    <row r="730" spans="1:4">
      <c r="A730" s="23">
        <v>45048</v>
      </c>
      <c r="B730" s="13" t="s">
        <v>922</v>
      </c>
      <c r="C730" s="13" t="s">
        <v>921</v>
      </c>
      <c r="D730" s="13" t="s">
        <v>11</v>
      </c>
    </row>
    <row r="731" spans="1:4">
      <c r="A731" s="23">
        <v>45048</v>
      </c>
      <c r="B731" s="13" t="s">
        <v>924</v>
      </c>
      <c r="C731" s="13" t="s">
        <v>923</v>
      </c>
      <c r="D731" s="13" t="s">
        <v>216</v>
      </c>
    </row>
    <row r="732" spans="1:4">
      <c r="A732" s="23">
        <v>45048</v>
      </c>
      <c r="B732" s="13" t="s">
        <v>926</v>
      </c>
      <c r="C732" s="13" t="s">
        <v>925</v>
      </c>
      <c r="D732" s="13" t="s">
        <v>5</v>
      </c>
    </row>
    <row r="733" spans="1:4">
      <c r="A733" s="23">
        <v>45048</v>
      </c>
      <c r="B733" s="13" t="s">
        <v>928</v>
      </c>
      <c r="C733" s="13" t="s">
        <v>927</v>
      </c>
      <c r="D733" s="13" t="s">
        <v>216</v>
      </c>
    </row>
    <row r="734" spans="1:4">
      <c r="A734" s="23">
        <v>45048</v>
      </c>
      <c r="B734" s="13" t="s">
        <v>930</v>
      </c>
      <c r="C734" s="13" t="s">
        <v>929</v>
      </c>
      <c r="D734" s="13" t="s">
        <v>34</v>
      </c>
    </row>
    <row r="735" spans="1:4">
      <c r="A735" s="23">
        <v>45049</v>
      </c>
      <c r="B735" s="13" t="s">
        <v>932</v>
      </c>
      <c r="C735" s="13" t="s">
        <v>931</v>
      </c>
      <c r="D735" s="13" t="s">
        <v>353</v>
      </c>
    </row>
    <row r="736" spans="1:4">
      <c r="A736" s="23">
        <v>45049</v>
      </c>
      <c r="B736" s="13" t="s">
        <v>934</v>
      </c>
      <c r="C736" s="13" t="s">
        <v>933</v>
      </c>
      <c r="D736" s="13" t="s">
        <v>164</v>
      </c>
    </row>
    <row r="737" spans="1:4">
      <c r="A737" s="23">
        <v>45049</v>
      </c>
      <c r="B737" s="13" t="s">
        <v>936</v>
      </c>
      <c r="C737" s="13" t="s">
        <v>935</v>
      </c>
      <c r="D737" s="13" t="s">
        <v>81</v>
      </c>
    </row>
    <row r="738" spans="1:4">
      <c r="A738" s="23">
        <v>45049</v>
      </c>
      <c r="B738" s="13" t="s">
        <v>938</v>
      </c>
      <c r="C738" s="13" t="s">
        <v>937</v>
      </c>
      <c r="D738" s="13" t="s">
        <v>353</v>
      </c>
    </row>
    <row r="739" spans="1:4">
      <c r="A739" s="23">
        <v>45049</v>
      </c>
      <c r="B739" s="13" t="s">
        <v>940</v>
      </c>
      <c r="C739" s="13" t="s">
        <v>939</v>
      </c>
      <c r="D739" s="13" t="s">
        <v>34</v>
      </c>
    </row>
    <row r="740" spans="1:4">
      <c r="A740" s="23">
        <v>45049</v>
      </c>
      <c r="B740" s="13" t="s">
        <v>942</v>
      </c>
      <c r="C740" s="13" t="s">
        <v>941</v>
      </c>
      <c r="D740" s="13" t="s">
        <v>74</v>
      </c>
    </row>
    <row r="741" spans="1:4">
      <c r="A741" s="23">
        <v>45049</v>
      </c>
      <c r="B741" s="13" t="s">
        <v>944</v>
      </c>
      <c r="C741" s="13" t="s">
        <v>943</v>
      </c>
      <c r="D741" s="13" t="s">
        <v>74</v>
      </c>
    </row>
    <row r="742" spans="1:4">
      <c r="A742" s="23">
        <v>45049</v>
      </c>
      <c r="B742" s="13" t="s">
        <v>946</v>
      </c>
      <c r="C742" s="13" t="s">
        <v>945</v>
      </c>
      <c r="D742" s="13" t="s">
        <v>74</v>
      </c>
    </row>
    <row r="743" spans="1:4">
      <c r="A743" s="23">
        <v>45049</v>
      </c>
      <c r="B743" s="13" t="s">
        <v>948</v>
      </c>
      <c r="C743" s="13" t="s">
        <v>947</v>
      </c>
      <c r="D743" s="13" t="s">
        <v>74</v>
      </c>
    </row>
    <row r="744" spans="1:4">
      <c r="A744" s="23">
        <v>45050</v>
      </c>
      <c r="B744" s="13" t="s">
        <v>950</v>
      </c>
      <c r="C744" s="13" t="s">
        <v>949</v>
      </c>
      <c r="D744" s="13" t="s">
        <v>81</v>
      </c>
    </row>
    <row r="745" spans="1:4">
      <c r="A745" s="23">
        <v>45050</v>
      </c>
      <c r="B745" s="13" t="s">
        <v>952</v>
      </c>
      <c r="C745" s="13" t="s">
        <v>951</v>
      </c>
      <c r="D745" s="13" t="s">
        <v>81</v>
      </c>
    </row>
    <row r="746" spans="1:4">
      <c r="A746" s="23">
        <v>45050</v>
      </c>
      <c r="B746" s="13" t="s">
        <v>954</v>
      </c>
      <c r="C746" s="13" t="s">
        <v>953</v>
      </c>
      <c r="D746" s="13" t="s">
        <v>81</v>
      </c>
    </row>
    <row r="747" spans="1:4">
      <c r="A747" s="23">
        <v>45050</v>
      </c>
      <c r="B747" s="13" t="s">
        <v>956</v>
      </c>
      <c r="C747" s="13" t="s">
        <v>955</v>
      </c>
      <c r="D747" s="13" t="s">
        <v>74</v>
      </c>
    </row>
    <row r="748" spans="1:4">
      <c r="A748" s="23">
        <v>45050</v>
      </c>
      <c r="B748" s="13" t="s">
        <v>958</v>
      </c>
      <c r="C748" s="13" t="s">
        <v>957</v>
      </c>
      <c r="D748" s="13" t="s">
        <v>74</v>
      </c>
    </row>
    <row r="749" spans="1:4">
      <c r="A749" s="23">
        <v>45050</v>
      </c>
      <c r="B749" s="13" t="s">
        <v>960</v>
      </c>
      <c r="C749" s="13" t="s">
        <v>959</v>
      </c>
      <c r="D749" s="13" t="s">
        <v>74</v>
      </c>
    </row>
    <row r="750" spans="1:4">
      <c r="A750" s="23">
        <v>45050</v>
      </c>
      <c r="B750" s="13" t="s">
        <v>958</v>
      </c>
      <c r="C750" s="13" t="s">
        <v>957</v>
      </c>
      <c r="D750" s="13" t="s">
        <v>74</v>
      </c>
    </row>
    <row r="751" spans="1:4">
      <c r="A751" s="23">
        <v>45051</v>
      </c>
      <c r="B751" s="13" t="s">
        <v>962</v>
      </c>
      <c r="C751" s="13" t="s">
        <v>961</v>
      </c>
      <c r="D751" s="13" t="s">
        <v>11</v>
      </c>
    </row>
    <row r="752" spans="1:4">
      <c r="A752" s="23">
        <v>45051</v>
      </c>
      <c r="B752" s="13" t="s">
        <v>964</v>
      </c>
      <c r="C752" s="13" t="s">
        <v>963</v>
      </c>
      <c r="D752" s="13" t="s">
        <v>29</v>
      </c>
    </row>
    <row r="753" spans="1:4">
      <c r="A753" s="23">
        <v>45051</v>
      </c>
      <c r="B753" s="13" t="s">
        <v>966</v>
      </c>
      <c r="C753" s="13" t="s">
        <v>965</v>
      </c>
      <c r="D753" s="13" t="s">
        <v>34</v>
      </c>
    </row>
    <row r="754" spans="1:4">
      <c r="A754" s="23">
        <v>45051</v>
      </c>
      <c r="B754" s="13" t="s">
        <v>968</v>
      </c>
      <c r="C754" s="13" t="s">
        <v>967</v>
      </c>
      <c r="D754" s="13" t="s">
        <v>34</v>
      </c>
    </row>
    <row r="755" spans="1:4">
      <c r="A755" s="23">
        <v>45051</v>
      </c>
      <c r="B755" s="13" t="s">
        <v>970</v>
      </c>
      <c r="C755" s="13" t="s">
        <v>969</v>
      </c>
      <c r="D755" s="13" t="s">
        <v>353</v>
      </c>
    </row>
    <row r="756" spans="1:4">
      <c r="A756" s="23">
        <v>45051</v>
      </c>
      <c r="B756" s="13" t="s">
        <v>972</v>
      </c>
      <c r="C756" s="13" t="s">
        <v>971</v>
      </c>
      <c r="D756" s="13" t="s">
        <v>353</v>
      </c>
    </row>
    <row r="757" spans="1:4">
      <c r="A757" s="23">
        <v>45051</v>
      </c>
      <c r="B757" s="13" t="s">
        <v>974</v>
      </c>
      <c r="C757" s="13" t="s">
        <v>973</v>
      </c>
      <c r="D757" s="13" t="s">
        <v>164</v>
      </c>
    </row>
    <row r="758" spans="1:4">
      <c r="A758" s="23">
        <v>45051</v>
      </c>
      <c r="B758" s="13" t="s">
        <v>976</v>
      </c>
      <c r="C758" s="13" t="s">
        <v>975</v>
      </c>
      <c r="D758" s="13" t="s">
        <v>16</v>
      </c>
    </row>
    <row r="759" spans="1:4">
      <c r="A759" s="23">
        <v>45052</v>
      </c>
      <c r="B759" s="13" t="s">
        <v>978</v>
      </c>
      <c r="C759" s="13" t="s">
        <v>977</v>
      </c>
      <c r="D759" s="13" t="s">
        <v>34</v>
      </c>
    </row>
    <row r="760" spans="1:4">
      <c r="A760" s="23">
        <v>45052</v>
      </c>
      <c r="B760" s="13" t="s">
        <v>980</v>
      </c>
      <c r="C760" s="13" t="s">
        <v>979</v>
      </c>
      <c r="D760" s="13" t="s">
        <v>11</v>
      </c>
    </row>
    <row r="761" spans="1:4">
      <c r="A761" s="23">
        <v>45052</v>
      </c>
      <c r="B761" s="13" t="s">
        <v>982</v>
      </c>
      <c r="C761" s="13" t="s">
        <v>981</v>
      </c>
      <c r="D761" s="13" t="s">
        <v>34</v>
      </c>
    </row>
    <row r="762" spans="1:4">
      <c r="A762" s="23">
        <v>45052</v>
      </c>
      <c r="B762" s="13" t="s">
        <v>984</v>
      </c>
      <c r="C762" s="13" t="s">
        <v>983</v>
      </c>
      <c r="D762" s="13" t="s">
        <v>34</v>
      </c>
    </row>
    <row r="763" spans="1:4">
      <c r="A763" s="23">
        <v>45053</v>
      </c>
      <c r="B763" s="13" t="s">
        <v>986</v>
      </c>
      <c r="C763" s="13" t="s">
        <v>985</v>
      </c>
      <c r="D763" s="13" t="s">
        <v>11</v>
      </c>
    </row>
    <row r="764" spans="1:4">
      <c r="A764" s="23">
        <v>45054</v>
      </c>
      <c r="B764" s="13" t="s">
        <v>988</v>
      </c>
      <c r="C764" s="13" t="s">
        <v>987</v>
      </c>
      <c r="D764" s="13" t="s">
        <v>5</v>
      </c>
    </row>
    <row r="765" spans="1:4">
      <c r="A765" s="23">
        <v>45054</v>
      </c>
      <c r="B765" s="13" t="s">
        <v>990</v>
      </c>
      <c r="C765" s="13" t="s">
        <v>989</v>
      </c>
      <c r="D765" s="13" t="s">
        <v>29</v>
      </c>
    </row>
    <row r="766" spans="1:4">
      <c r="A766" s="23">
        <v>45055</v>
      </c>
      <c r="B766" s="13" t="s">
        <v>992</v>
      </c>
      <c r="C766" s="13" t="s">
        <v>991</v>
      </c>
      <c r="D766" s="13" t="s">
        <v>353</v>
      </c>
    </row>
    <row r="767" spans="1:4">
      <c r="A767" s="23">
        <v>45055</v>
      </c>
      <c r="B767" s="13" t="s">
        <v>994</v>
      </c>
      <c r="C767" s="13" t="s">
        <v>993</v>
      </c>
      <c r="D767" s="13" t="s">
        <v>109</v>
      </c>
    </row>
    <row r="768" spans="1:4">
      <c r="A768" s="23">
        <v>45055</v>
      </c>
      <c r="B768" s="13" t="s">
        <v>996</v>
      </c>
      <c r="C768" s="13" t="s">
        <v>995</v>
      </c>
      <c r="D768" s="13" t="s">
        <v>19</v>
      </c>
    </row>
    <row r="769" spans="1:4">
      <c r="A769" s="23">
        <v>45055</v>
      </c>
      <c r="B769" s="13" t="s">
        <v>994</v>
      </c>
      <c r="C769" s="13" t="s">
        <v>997</v>
      </c>
      <c r="D769" s="13" t="s">
        <v>109</v>
      </c>
    </row>
    <row r="770" spans="1:4">
      <c r="A770" s="23">
        <v>45055</v>
      </c>
      <c r="B770" s="13" t="s">
        <v>999</v>
      </c>
      <c r="C770" s="13" t="s">
        <v>998</v>
      </c>
      <c r="D770" s="13" t="s">
        <v>19</v>
      </c>
    </row>
    <row r="771" spans="1:4">
      <c r="A771" s="23">
        <v>45056</v>
      </c>
      <c r="B771" s="13" t="s">
        <v>1001</v>
      </c>
      <c r="C771" s="13" t="s">
        <v>1000</v>
      </c>
      <c r="D771" s="13" t="s">
        <v>29</v>
      </c>
    </row>
    <row r="772" spans="1:4">
      <c r="A772" s="23">
        <v>45056</v>
      </c>
      <c r="B772" s="13" t="s">
        <v>1003</v>
      </c>
      <c r="C772" s="13" t="s">
        <v>1002</v>
      </c>
      <c r="D772" s="13" t="s">
        <v>11</v>
      </c>
    </row>
    <row r="773" spans="1:4">
      <c r="A773" s="23">
        <v>45057</v>
      </c>
      <c r="B773" s="13" t="s">
        <v>1005</v>
      </c>
      <c r="C773" s="13" t="s">
        <v>1004</v>
      </c>
      <c r="D773" s="13" t="s">
        <v>11</v>
      </c>
    </row>
    <row r="774" spans="1:4">
      <c r="A774" s="23">
        <v>45059</v>
      </c>
      <c r="B774" s="13" t="s">
        <v>1007</v>
      </c>
      <c r="C774" s="13" t="s">
        <v>1006</v>
      </c>
      <c r="D774" s="13" t="s">
        <v>353</v>
      </c>
    </row>
    <row r="775" spans="1:4">
      <c r="A775" s="23">
        <v>45059</v>
      </c>
      <c r="B775" s="13" t="s">
        <v>1007</v>
      </c>
      <c r="C775" s="13" t="s">
        <v>1006</v>
      </c>
      <c r="D775" s="13" t="s">
        <v>353</v>
      </c>
    </row>
    <row r="776" spans="1:4">
      <c r="A776" s="23">
        <v>45061</v>
      </c>
      <c r="B776" s="13" t="s">
        <v>1009</v>
      </c>
      <c r="C776" s="13" t="s">
        <v>1008</v>
      </c>
      <c r="D776" s="13" t="s">
        <v>11</v>
      </c>
    </row>
    <row r="777" spans="1:4">
      <c r="A777" s="23">
        <v>45061</v>
      </c>
      <c r="B777" s="13" t="s">
        <v>1011</v>
      </c>
      <c r="C777" s="13" t="s">
        <v>1010</v>
      </c>
      <c r="D777" s="13" t="s">
        <v>11</v>
      </c>
    </row>
    <row r="778" spans="1:4">
      <c r="A778" s="23">
        <v>45062</v>
      </c>
      <c r="B778" s="13" t="s">
        <v>1013</v>
      </c>
      <c r="C778" s="13" t="s">
        <v>1012</v>
      </c>
      <c r="D778" s="13" t="s">
        <v>353</v>
      </c>
    </row>
    <row r="779" spans="1:4">
      <c r="A779" s="23">
        <v>45062</v>
      </c>
      <c r="B779" s="13" t="s">
        <v>1015</v>
      </c>
      <c r="C779" s="13" t="s">
        <v>1014</v>
      </c>
      <c r="D779" s="13" t="s">
        <v>109</v>
      </c>
    </row>
    <row r="780" spans="1:4">
      <c r="A780" s="23">
        <v>45063</v>
      </c>
      <c r="B780" s="13" t="s">
        <v>1017</v>
      </c>
      <c r="C780" s="13" t="s">
        <v>1016</v>
      </c>
      <c r="D780" s="13" t="s">
        <v>74</v>
      </c>
    </row>
    <row r="781" spans="1:4">
      <c r="A781" s="23">
        <v>45063</v>
      </c>
      <c r="B781" s="13" t="s">
        <v>1019</v>
      </c>
      <c r="C781" s="13" t="s">
        <v>1018</v>
      </c>
      <c r="D781" s="13" t="s">
        <v>74</v>
      </c>
    </row>
    <row r="782" spans="1:4">
      <c r="A782" s="23">
        <v>45064</v>
      </c>
      <c r="B782" s="13"/>
      <c r="C782" s="13" t="s">
        <v>1020</v>
      </c>
      <c r="D782" s="13" t="s">
        <v>19</v>
      </c>
    </row>
    <row r="783" spans="1:4">
      <c r="A783" s="23">
        <v>45064</v>
      </c>
      <c r="B783" s="13" t="s">
        <v>1022</v>
      </c>
      <c r="C783" s="13" t="s">
        <v>1021</v>
      </c>
      <c r="D783" s="13" t="s">
        <v>11</v>
      </c>
    </row>
    <row r="784" spans="1:4">
      <c r="A784" s="23">
        <v>45064</v>
      </c>
      <c r="B784" s="13" t="s">
        <v>1022</v>
      </c>
      <c r="C784" s="13" t="s">
        <v>1021</v>
      </c>
      <c r="D784" s="13" t="s">
        <v>11</v>
      </c>
    </row>
    <row r="785" spans="1:4">
      <c r="A785" s="23">
        <v>45064</v>
      </c>
      <c r="B785" s="13" t="s">
        <v>1024</v>
      </c>
      <c r="C785" s="13" t="s">
        <v>1023</v>
      </c>
      <c r="D785" s="13" t="s">
        <v>11</v>
      </c>
    </row>
    <row r="786" spans="1:4">
      <c r="A786" s="23">
        <v>45065</v>
      </c>
      <c r="B786" s="13" t="s">
        <v>1026</v>
      </c>
      <c r="C786" s="13" t="s">
        <v>1025</v>
      </c>
      <c r="D786" s="13" t="s">
        <v>11</v>
      </c>
    </row>
    <row r="787" spans="1:4">
      <c r="A787" s="23">
        <v>45065</v>
      </c>
      <c r="B787" s="13" t="s">
        <v>1028</v>
      </c>
      <c r="C787" s="13" t="s">
        <v>1027</v>
      </c>
      <c r="D787" s="13" t="s">
        <v>11</v>
      </c>
    </row>
    <row r="788" spans="1:4">
      <c r="A788" s="23">
        <v>45065</v>
      </c>
      <c r="B788" s="13" t="s">
        <v>1026</v>
      </c>
      <c r="C788" s="13" t="s">
        <v>1025</v>
      </c>
      <c r="D788" s="13" t="s">
        <v>11</v>
      </c>
    </row>
    <row r="789" spans="1:4">
      <c r="A789" s="23">
        <v>45065</v>
      </c>
      <c r="B789" s="13" t="s">
        <v>1030</v>
      </c>
      <c r="C789" s="13" t="s">
        <v>1029</v>
      </c>
      <c r="D789" s="13" t="s">
        <v>16</v>
      </c>
    </row>
    <row r="790" spans="1:4">
      <c r="A790" s="23">
        <v>45065</v>
      </c>
      <c r="B790" s="13" t="s">
        <v>1030</v>
      </c>
      <c r="C790" s="13" t="s">
        <v>1029</v>
      </c>
      <c r="D790" s="13" t="s">
        <v>16</v>
      </c>
    </row>
    <row r="791" spans="1:4">
      <c r="A791" s="23">
        <v>45065</v>
      </c>
      <c r="B791" s="13" t="s">
        <v>1032</v>
      </c>
      <c r="C791" s="13" t="s">
        <v>1031</v>
      </c>
      <c r="D791" s="13" t="s">
        <v>164</v>
      </c>
    </row>
    <row r="792" spans="1:4">
      <c r="A792" s="23">
        <v>45066</v>
      </c>
      <c r="B792" s="13" t="s">
        <v>1034</v>
      </c>
      <c r="C792" s="13" t="s">
        <v>1033</v>
      </c>
      <c r="D792" s="13" t="s">
        <v>81</v>
      </c>
    </row>
    <row r="793" spans="1:4">
      <c r="A793" s="23">
        <v>45066</v>
      </c>
      <c r="B793" s="13" t="s">
        <v>1036</v>
      </c>
      <c r="C793" s="13" t="s">
        <v>1035</v>
      </c>
      <c r="D793" s="13" t="s">
        <v>81</v>
      </c>
    </row>
    <row r="794" spans="1:4">
      <c r="A794" s="23">
        <v>45068</v>
      </c>
      <c r="B794" s="13" t="s">
        <v>1037</v>
      </c>
      <c r="C794" s="13" t="s">
        <v>1012</v>
      </c>
      <c r="D794" s="13" t="s">
        <v>109</v>
      </c>
    </row>
    <row r="795" spans="1:4">
      <c r="A795" s="23">
        <v>45068</v>
      </c>
      <c r="B795" s="13" t="s">
        <v>1039</v>
      </c>
      <c r="C795" s="13" t="s">
        <v>1038</v>
      </c>
      <c r="D795" s="13" t="s">
        <v>5</v>
      </c>
    </row>
    <row r="796" spans="1:4">
      <c r="A796" s="23">
        <v>45068</v>
      </c>
      <c r="B796" s="13" t="s">
        <v>1039</v>
      </c>
      <c r="C796" s="13" t="s">
        <v>1038</v>
      </c>
      <c r="D796" s="13" t="s">
        <v>5</v>
      </c>
    </row>
    <row r="797" spans="1:4">
      <c r="A797" s="23">
        <v>45068</v>
      </c>
      <c r="B797" s="13" t="s">
        <v>1040</v>
      </c>
      <c r="C797" s="13" t="s">
        <v>955</v>
      </c>
      <c r="D797" s="13" t="s">
        <v>74</v>
      </c>
    </row>
    <row r="798" spans="1:4">
      <c r="A798" s="23">
        <v>45068</v>
      </c>
      <c r="B798" s="13" t="s">
        <v>1042</v>
      </c>
      <c r="C798" s="13" t="s">
        <v>1041</v>
      </c>
      <c r="D798" s="13" t="s">
        <v>74</v>
      </c>
    </row>
    <row r="799" spans="1:4">
      <c r="A799" s="23">
        <v>45068</v>
      </c>
      <c r="B799" s="13" t="s">
        <v>1044</v>
      </c>
      <c r="C799" s="13" t="s">
        <v>1043</v>
      </c>
      <c r="D799" s="13" t="s">
        <v>29</v>
      </c>
    </row>
    <row r="800" spans="1:4">
      <c r="A800" s="23">
        <v>45069</v>
      </c>
      <c r="B800" s="13" t="s">
        <v>1046</v>
      </c>
      <c r="C800" s="13" t="s">
        <v>1045</v>
      </c>
      <c r="D800" s="13" t="s">
        <v>353</v>
      </c>
    </row>
    <row r="801" spans="1:4">
      <c r="A801" s="23">
        <v>45069</v>
      </c>
      <c r="B801" s="13" t="s">
        <v>1048</v>
      </c>
      <c r="C801" s="13" t="s">
        <v>1047</v>
      </c>
      <c r="D801" s="13" t="s">
        <v>11</v>
      </c>
    </row>
    <row r="802" spans="1:4">
      <c r="A802" s="23">
        <v>45069</v>
      </c>
      <c r="B802" s="13" t="s">
        <v>1048</v>
      </c>
      <c r="C802" s="13" t="s">
        <v>1049</v>
      </c>
      <c r="D802" s="13" t="s">
        <v>11</v>
      </c>
    </row>
    <row r="803" spans="1:4">
      <c r="A803" s="23">
        <v>45069</v>
      </c>
      <c r="B803" s="13" t="s">
        <v>1051</v>
      </c>
      <c r="C803" s="13" t="s">
        <v>1050</v>
      </c>
      <c r="D803" s="13" t="s">
        <v>19</v>
      </c>
    </row>
    <row r="804" spans="1:4">
      <c r="A804" s="23">
        <v>45069</v>
      </c>
      <c r="B804" s="13" t="s">
        <v>1053</v>
      </c>
      <c r="C804" s="13" t="s">
        <v>1052</v>
      </c>
      <c r="D804" s="13" t="s">
        <v>19</v>
      </c>
    </row>
    <row r="805" spans="1:4">
      <c r="A805" s="23">
        <v>45069</v>
      </c>
      <c r="B805" s="13" t="s">
        <v>1055</v>
      </c>
      <c r="C805" s="13" t="s">
        <v>1054</v>
      </c>
      <c r="D805" s="13" t="s">
        <v>353</v>
      </c>
    </row>
    <row r="806" spans="1:4">
      <c r="A806" s="23">
        <v>45070</v>
      </c>
      <c r="B806" s="13" t="s">
        <v>1057</v>
      </c>
      <c r="C806" s="13" t="s">
        <v>1056</v>
      </c>
      <c r="D806" s="13" t="s">
        <v>34</v>
      </c>
    </row>
    <row r="807" spans="1:4">
      <c r="A807" s="23">
        <v>45070</v>
      </c>
      <c r="B807" s="13" t="s">
        <v>1059</v>
      </c>
      <c r="C807" s="13" t="s">
        <v>1058</v>
      </c>
      <c r="D807" s="13" t="s">
        <v>34</v>
      </c>
    </row>
    <row r="808" spans="1:4">
      <c r="A808" s="23">
        <v>45070</v>
      </c>
      <c r="B808" s="13" t="s">
        <v>1061</v>
      </c>
      <c r="C808" s="13" t="s">
        <v>1060</v>
      </c>
      <c r="D808" s="13" t="s">
        <v>141</v>
      </c>
    </row>
    <row r="809" spans="1:4">
      <c r="A809" s="23">
        <v>45070</v>
      </c>
      <c r="B809" s="13" t="s">
        <v>1061</v>
      </c>
      <c r="C809" s="13" t="s">
        <v>1060</v>
      </c>
      <c r="D809" s="13" t="s">
        <v>141</v>
      </c>
    </row>
    <row r="810" spans="1:4">
      <c r="A810" s="23">
        <v>45070</v>
      </c>
      <c r="B810" s="13" t="s">
        <v>1063</v>
      </c>
      <c r="C810" s="13" t="s">
        <v>1062</v>
      </c>
      <c r="D810" s="13" t="s">
        <v>34</v>
      </c>
    </row>
    <row r="811" spans="1:4">
      <c r="A811" s="23">
        <v>45070</v>
      </c>
      <c r="B811" s="13" t="s">
        <v>1065</v>
      </c>
      <c r="C811" s="13" t="s">
        <v>1064</v>
      </c>
      <c r="D811" s="13" t="s">
        <v>34</v>
      </c>
    </row>
    <row r="812" spans="1:4">
      <c r="A812" s="23">
        <v>45070</v>
      </c>
      <c r="B812" s="13" t="s">
        <v>1067</v>
      </c>
      <c r="C812" s="13" t="s">
        <v>1066</v>
      </c>
      <c r="D812" s="13" t="s">
        <v>29</v>
      </c>
    </row>
    <row r="813" spans="1:4">
      <c r="A813" s="23">
        <v>45070</v>
      </c>
      <c r="B813" s="13" t="s">
        <v>1069</v>
      </c>
      <c r="C813" s="13" t="s">
        <v>1068</v>
      </c>
      <c r="D813" s="13" t="s">
        <v>74</v>
      </c>
    </row>
    <row r="814" spans="1:4">
      <c r="A814" s="23">
        <v>45070</v>
      </c>
      <c r="B814" s="13" t="s">
        <v>1070</v>
      </c>
      <c r="C814" s="13" t="s">
        <v>895</v>
      </c>
      <c r="D814" s="13" t="s">
        <v>74</v>
      </c>
    </row>
    <row r="815" spans="1:4">
      <c r="A815" s="23">
        <v>45070</v>
      </c>
      <c r="B815" s="13" t="s">
        <v>1067</v>
      </c>
      <c r="C815" s="13" t="s">
        <v>989</v>
      </c>
      <c r="D815" s="13" t="s">
        <v>29</v>
      </c>
    </row>
    <row r="816" spans="1:4">
      <c r="A816" s="23">
        <v>45070</v>
      </c>
      <c r="B816" s="13" t="s">
        <v>1072</v>
      </c>
      <c r="C816" s="13" t="s">
        <v>1071</v>
      </c>
      <c r="D816" s="13" t="s">
        <v>29</v>
      </c>
    </row>
    <row r="817" spans="1:4">
      <c r="A817" s="23">
        <v>45070</v>
      </c>
      <c r="B817" s="13" t="s">
        <v>1074</v>
      </c>
      <c r="C817" s="13" t="s">
        <v>1073</v>
      </c>
      <c r="D817" s="13" t="s">
        <v>353</v>
      </c>
    </row>
    <row r="818" spans="1:4">
      <c r="A818" s="23">
        <v>45070</v>
      </c>
      <c r="B818" s="13" t="s">
        <v>1076</v>
      </c>
      <c r="C818" s="13" t="s">
        <v>1075</v>
      </c>
      <c r="D818" s="13" t="s">
        <v>34</v>
      </c>
    </row>
    <row r="819" spans="1:4">
      <c r="A819" s="23">
        <v>45070</v>
      </c>
      <c r="B819" s="13" t="s">
        <v>1072</v>
      </c>
      <c r="C819" s="13" t="s">
        <v>1071</v>
      </c>
      <c r="D819" s="13" t="s">
        <v>29</v>
      </c>
    </row>
    <row r="820" spans="1:4">
      <c r="A820" s="23">
        <v>45070</v>
      </c>
      <c r="B820" s="13" t="s">
        <v>1078</v>
      </c>
      <c r="C820" s="13" t="s">
        <v>1077</v>
      </c>
      <c r="D820" s="13" t="s">
        <v>353</v>
      </c>
    </row>
    <row r="821" spans="1:4">
      <c r="A821" s="23">
        <v>45070</v>
      </c>
      <c r="B821" s="13" t="s">
        <v>1080</v>
      </c>
      <c r="C821" s="13" t="s">
        <v>1079</v>
      </c>
      <c r="D821" s="13" t="s">
        <v>353</v>
      </c>
    </row>
    <row r="822" spans="1:4">
      <c r="A822" s="23">
        <v>45071</v>
      </c>
      <c r="B822" s="13" t="s">
        <v>1082</v>
      </c>
      <c r="C822" s="13" t="s">
        <v>1081</v>
      </c>
      <c r="D822" s="13" t="s">
        <v>5</v>
      </c>
    </row>
    <row r="823" spans="1:4">
      <c r="A823" s="23">
        <v>45071</v>
      </c>
      <c r="B823" s="13" t="s">
        <v>1084</v>
      </c>
      <c r="C823" s="13" t="s">
        <v>1083</v>
      </c>
      <c r="D823" s="13" t="s">
        <v>34</v>
      </c>
    </row>
    <row r="824" spans="1:4">
      <c r="A824" s="23">
        <v>45071</v>
      </c>
      <c r="B824" s="13" t="s">
        <v>1086</v>
      </c>
      <c r="C824" s="13" t="s">
        <v>1085</v>
      </c>
      <c r="D824" s="13" t="s">
        <v>34</v>
      </c>
    </row>
    <row r="825" spans="1:4">
      <c r="A825" s="23">
        <v>45071</v>
      </c>
      <c r="B825" s="13" t="s">
        <v>1088</v>
      </c>
      <c r="C825" s="13" t="s">
        <v>1087</v>
      </c>
      <c r="D825" s="13" t="s">
        <v>34</v>
      </c>
    </row>
    <row r="826" spans="1:4">
      <c r="A826" s="23">
        <v>45071</v>
      </c>
      <c r="B826" s="13" t="s">
        <v>1090</v>
      </c>
      <c r="C826" s="13" t="s">
        <v>1089</v>
      </c>
      <c r="D826" s="13" t="s">
        <v>216</v>
      </c>
    </row>
    <row r="827" spans="1:4">
      <c r="A827" s="23">
        <v>45071</v>
      </c>
      <c r="B827" s="13" t="s">
        <v>1092</v>
      </c>
      <c r="C827" s="13" t="s">
        <v>1091</v>
      </c>
      <c r="D827" s="13" t="s">
        <v>29</v>
      </c>
    </row>
    <row r="828" spans="1:4">
      <c r="A828" s="23">
        <v>45071</v>
      </c>
      <c r="B828" s="13" t="s">
        <v>1094</v>
      </c>
      <c r="C828" s="13" t="s">
        <v>1093</v>
      </c>
      <c r="D828" s="13" t="s">
        <v>5</v>
      </c>
    </row>
    <row r="829" spans="1:4">
      <c r="A829" s="23">
        <v>45071</v>
      </c>
      <c r="B829" s="13" t="s">
        <v>1088</v>
      </c>
      <c r="C829" s="13" t="s">
        <v>1095</v>
      </c>
      <c r="D829" s="13" t="s">
        <v>34</v>
      </c>
    </row>
    <row r="830" spans="1:4">
      <c r="A830" s="23">
        <v>45071</v>
      </c>
      <c r="B830" s="13" t="s">
        <v>1092</v>
      </c>
      <c r="C830" s="13" t="s">
        <v>1091</v>
      </c>
      <c r="D830" s="13" t="s">
        <v>29</v>
      </c>
    </row>
    <row r="831" spans="1:4">
      <c r="A831" s="23">
        <v>45072</v>
      </c>
      <c r="B831" s="13" t="s">
        <v>1097</v>
      </c>
      <c r="C831" s="13" t="s">
        <v>1096</v>
      </c>
      <c r="D831" s="13" t="s">
        <v>74</v>
      </c>
    </row>
    <row r="832" spans="1:4">
      <c r="A832" s="23">
        <v>45072</v>
      </c>
      <c r="B832" s="13" t="s">
        <v>1099</v>
      </c>
      <c r="C832" s="13" t="s">
        <v>1098</v>
      </c>
      <c r="D832" s="13" t="s">
        <v>109</v>
      </c>
    </row>
    <row r="833" spans="1:4">
      <c r="A833" s="23">
        <v>45072</v>
      </c>
      <c r="B833" s="13" t="s">
        <v>1100</v>
      </c>
      <c r="C833" s="13" t="s">
        <v>1098</v>
      </c>
      <c r="D833" s="13" t="s">
        <v>109</v>
      </c>
    </row>
    <row r="834" spans="1:4">
      <c r="A834" s="23">
        <v>45072</v>
      </c>
      <c r="B834" s="13" t="s">
        <v>1099</v>
      </c>
      <c r="C834" s="13" t="s">
        <v>1098</v>
      </c>
      <c r="D834" s="13" t="s">
        <v>109</v>
      </c>
    </row>
    <row r="835" spans="1:4">
      <c r="A835" s="23">
        <v>45072</v>
      </c>
      <c r="B835" s="13" t="s">
        <v>1101</v>
      </c>
      <c r="C835" s="13" t="s">
        <v>951</v>
      </c>
      <c r="D835" s="13" t="s">
        <v>81</v>
      </c>
    </row>
    <row r="836" spans="1:4">
      <c r="A836" s="23">
        <v>45072</v>
      </c>
      <c r="B836" s="13" t="s">
        <v>1103</v>
      </c>
      <c r="C836" s="13" t="s">
        <v>1102</v>
      </c>
      <c r="D836" s="13" t="s">
        <v>81</v>
      </c>
    </row>
    <row r="837" spans="1:4">
      <c r="A837" s="23">
        <v>45072</v>
      </c>
      <c r="B837" s="13" t="s">
        <v>1105</v>
      </c>
      <c r="C837" s="13" t="s">
        <v>1104</v>
      </c>
      <c r="D837" s="13" t="s">
        <v>81</v>
      </c>
    </row>
    <row r="838" spans="1:4">
      <c r="A838" s="23">
        <v>45072</v>
      </c>
      <c r="B838" s="13" t="s">
        <v>1107</v>
      </c>
      <c r="C838" s="13" t="s">
        <v>1106</v>
      </c>
      <c r="D838" s="13" t="s">
        <v>5</v>
      </c>
    </row>
    <row r="839" spans="1:4">
      <c r="A839" s="23">
        <v>45072</v>
      </c>
      <c r="B839" s="13" t="s">
        <v>1109</v>
      </c>
      <c r="C839" s="13" t="s">
        <v>1108</v>
      </c>
      <c r="D839" s="13" t="s">
        <v>74</v>
      </c>
    </row>
    <row r="840" spans="1:4">
      <c r="A840" s="23">
        <v>45072</v>
      </c>
      <c r="B840" s="13" t="s">
        <v>1111</v>
      </c>
      <c r="C840" s="13" t="s">
        <v>1110</v>
      </c>
      <c r="D840" s="13" t="s">
        <v>11</v>
      </c>
    </row>
    <row r="841" spans="1:4">
      <c r="A841" s="23">
        <v>45072</v>
      </c>
      <c r="B841" s="13" t="s">
        <v>1113</v>
      </c>
      <c r="C841" s="13" t="s">
        <v>1112</v>
      </c>
      <c r="D841" s="13" t="s">
        <v>74</v>
      </c>
    </row>
    <row r="842" spans="1:4">
      <c r="A842" s="23">
        <v>45073</v>
      </c>
      <c r="B842" s="13" t="s">
        <v>1115</v>
      </c>
      <c r="C842" s="13" t="s">
        <v>1114</v>
      </c>
      <c r="D842" s="13" t="s">
        <v>74</v>
      </c>
    </row>
    <row r="843" spans="1:4">
      <c r="A843" s="23">
        <v>45073</v>
      </c>
      <c r="B843" s="13" t="s">
        <v>1117</v>
      </c>
      <c r="C843" s="13" t="s">
        <v>1116</v>
      </c>
      <c r="D843" s="13" t="s">
        <v>34</v>
      </c>
    </row>
    <row r="844" spans="1:4">
      <c r="A844" s="23">
        <v>45073</v>
      </c>
      <c r="B844" s="13" t="s">
        <v>1119</v>
      </c>
      <c r="C844" s="13" t="s">
        <v>1118</v>
      </c>
      <c r="D844" s="13" t="s">
        <v>353</v>
      </c>
    </row>
    <row r="845" spans="1:4">
      <c r="A845" s="23">
        <v>45073</v>
      </c>
      <c r="B845" s="13" t="s">
        <v>1121</v>
      </c>
      <c r="C845" s="13" t="s">
        <v>1120</v>
      </c>
      <c r="D845" s="13" t="s">
        <v>353</v>
      </c>
    </row>
    <row r="846" spans="1:4">
      <c r="A846" s="23">
        <v>45073</v>
      </c>
      <c r="B846" s="13" t="s">
        <v>1119</v>
      </c>
      <c r="C846" s="13" t="s">
        <v>1118</v>
      </c>
      <c r="D846" s="13" t="s">
        <v>353</v>
      </c>
    </row>
    <row r="847" spans="1:4">
      <c r="A847" s="23">
        <v>45073</v>
      </c>
      <c r="B847" s="13" t="s">
        <v>1123</v>
      </c>
      <c r="C847" s="13" t="s">
        <v>1122</v>
      </c>
      <c r="D847" s="13" t="s">
        <v>34</v>
      </c>
    </row>
    <row r="848" spans="1:4">
      <c r="A848" s="23">
        <v>45073</v>
      </c>
      <c r="B848" s="13" t="s">
        <v>1125</v>
      </c>
      <c r="C848" s="13" t="s">
        <v>1124</v>
      </c>
      <c r="D848" s="13" t="s">
        <v>34</v>
      </c>
    </row>
    <row r="849" spans="1:4">
      <c r="A849" s="23">
        <v>45074</v>
      </c>
      <c r="B849" s="13" t="s">
        <v>1127</v>
      </c>
      <c r="C849" s="13" t="s">
        <v>1126</v>
      </c>
      <c r="D849" s="13" t="s">
        <v>81</v>
      </c>
    </row>
    <row r="850" spans="1:4">
      <c r="A850" s="23">
        <v>45074</v>
      </c>
      <c r="B850" s="13" t="s">
        <v>1128</v>
      </c>
      <c r="C850" s="13" t="s">
        <v>186</v>
      </c>
      <c r="D850" s="13" t="s">
        <v>81</v>
      </c>
    </row>
    <row r="851" spans="1:4">
      <c r="A851" s="23">
        <v>45075</v>
      </c>
      <c r="B851" s="13" t="s">
        <v>1130</v>
      </c>
      <c r="C851" s="13" t="s">
        <v>1129</v>
      </c>
      <c r="D851" s="13" t="s">
        <v>74</v>
      </c>
    </row>
    <row r="852" spans="1:4">
      <c r="A852" s="23">
        <v>45075</v>
      </c>
      <c r="B852" s="13" t="s">
        <v>1132</v>
      </c>
      <c r="C852" s="13" t="s">
        <v>1131</v>
      </c>
      <c r="D852" s="13" t="s">
        <v>109</v>
      </c>
    </row>
    <row r="853" spans="1:4">
      <c r="A853" s="23">
        <v>45075</v>
      </c>
      <c r="B853" s="13" t="s">
        <v>1134</v>
      </c>
      <c r="C853" s="13" t="s">
        <v>1133</v>
      </c>
      <c r="D853" s="13" t="s">
        <v>164</v>
      </c>
    </row>
    <row r="854" spans="1:4">
      <c r="A854" s="23">
        <v>45075</v>
      </c>
      <c r="B854" s="13" t="s">
        <v>1136</v>
      </c>
      <c r="C854" s="13" t="s">
        <v>1135</v>
      </c>
      <c r="D854" s="13" t="s">
        <v>510</v>
      </c>
    </row>
    <row r="855" spans="1:4">
      <c r="A855" s="23">
        <v>45075</v>
      </c>
      <c r="B855" s="13" t="s">
        <v>1136</v>
      </c>
      <c r="C855" s="13" t="s">
        <v>1135</v>
      </c>
      <c r="D855" s="13" t="s">
        <v>510</v>
      </c>
    </row>
    <row r="856" spans="1:4">
      <c r="A856" s="23">
        <v>45075</v>
      </c>
      <c r="B856" s="13" t="s">
        <v>1138</v>
      </c>
      <c r="C856" s="13" t="s">
        <v>1137</v>
      </c>
      <c r="D856" s="13" t="s">
        <v>5</v>
      </c>
    </row>
    <row r="857" spans="1:4">
      <c r="A857" s="23">
        <v>45076</v>
      </c>
      <c r="B857" s="13" t="s">
        <v>1140</v>
      </c>
      <c r="C857" s="13" t="s">
        <v>1139</v>
      </c>
      <c r="D857" s="13" t="s">
        <v>16</v>
      </c>
    </row>
    <row r="858" spans="1:4">
      <c r="A858" s="23">
        <v>45076</v>
      </c>
      <c r="B858" s="13" t="s">
        <v>1142</v>
      </c>
      <c r="C858" s="13" t="s">
        <v>1141</v>
      </c>
      <c r="D858" s="13" t="s">
        <v>353</v>
      </c>
    </row>
    <row r="859" spans="1:4">
      <c r="A859" s="23">
        <v>45076</v>
      </c>
      <c r="B859" s="13" t="s">
        <v>1144</v>
      </c>
      <c r="C859" s="13" t="s">
        <v>1143</v>
      </c>
      <c r="D859" s="13" t="s">
        <v>164</v>
      </c>
    </row>
    <row r="860" spans="1:4">
      <c r="A860" s="23">
        <v>45076</v>
      </c>
      <c r="B860" s="13" t="s">
        <v>1146</v>
      </c>
      <c r="C860" s="13" t="s">
        <v>1145</v>
      </c>
      <c r="D860" s="13" t="s">
        <v>29</v>
      </c>
    </row>
    <row r="861" spans="1:4">
      <c r="A861" s="23">
        <v>45076</v>
      </c>
      <c r="B861" s="13" t="s">
        <v>1147</v>
      </c>
      <c r="C861" s="13" t="s">
        <v>989</v>
      </c>
      <c r="D861" s="13" t="s">
        <v>29</v>
      </c>
    </row>
    <row r="862" spans="1:4">
      <c r="A862" s="23">
        <v>45076</v>
      </c>
      <c r="B862" s="13" t="s">
        <v>1149</v>
      </c>
      <c r="C862" s="13" t="s">
        <v>1148</v>
      </c>
      <c r="D862" s="13" t="s">
        <v>5</v>
      </c>
    </row>
    <row r="863" spans="1:4">
      <c r="A863" s="23">
        <v>45076</v>
      </c>
      <c r="B863" s="13" t="s">
        <v>1151</v>
      </c>
      <c r="C863" s="13" t="s">
        <v>1150</v>
      </c>
      <c r="D863" s="13" t="s">
        <v>5</v>
      </c>
    </row>
    <row r="864" spans="1:4">
      <c r="A864" s="23">
        <v>45077</v>
      </c>
      <c r="B864" s="13" t="s">
        <v>1153</v>
      </c>
      <c r="C864" s="13" t="s">
        <v>1152</v>
      </c>
      <c r="D864" s="13" t="s">
        <v>345</v>
      </c>
    </row>
    <row r="865" spans="1:4">
      <c r="A865" s="23">
        <v>45077</v>
      </c>
      <c r="B865" s="13" t="s">
        <v>1155</v>
      </c>
      <c r="C865" s="13" t="s">
        <v>1154</v>
      </c>
      <c r="D865" s="13" t="s">
        <v>510</v>
      </c>
    </row>
    <row r="866" spans="1:4">
      <c r="A866" s="23">
        <v>45077</v>
      </c>
      <c r="B866" s="13" t="s">
        <v>1157</v>
      </c>
      <c r="C866" s="13" t="s">
        <v>1156</v>
      </c>
      <c r="D866" s="13" t="s">
        <v>345</v>
      </c>
    </row>
    <row r="867" spans="1:4">
      <c r="A867" s="23">
        <v>45077</v>
      </c>
      <c r="B867" s="13" t="s">
        <v>1159</v>
      </c>
      <c r="C867" s="13" t="s">
        <v>1158</v>
      </c>
      <c r="D867" s="13" t="s">
        <v>345</v>
      </c>
    </row>
    <row r="868" spans="1:4">
      <c r="A868" s="23">
        <v>45077</v>
      </c>
      <c r="B868" s="13" t="s">
        <v>1161</v>
      </c>
      <c r="C868" s="13" t="s">
        <v>1160</v>
      </c>
      <c r="D868" s="13" t="s">
        <v>74</v>
      </c>
    </row>
    <row r="869" spans="1:4">
      <c r="A869" s="23">
        <v>45077</v>
      </c>
      <c r="B869" s="13" t="s">
        <v>1162</v>
      </c>
      <c r="C869" s="13" t="s">
        <v>903</v>
      </c>
      <c r="D869" s="13" t="s">
        <v>345</v>
      </c>
    </row>
    <row r="870" spans="1:4">
      <c r="A870" s="23">
        <v>45079</v>
      </c>
      <c r="B870" s="13" t="s">
        <v>1164</v>
      </c>
      <c r="C870" s="13" t="s">
        <v>1163</v>
      </c>
      <c r="D870" s="13" t="s">
        <v>353</v>
      </c>
    </row>
    <row r="871" spans="1:4">
      <c r="A871" s="23">
        <v>45079</v>
      </c>
      <c r="B871" s="13" t="s">
        <v>1166</v>
      </c>
      <c r="C871" s="13" t="s">
        <v>1165</v>
      </c>
      <c r="D871" s="13" t="s">
        <v>74</v>
      </c>
    </row>
    <row r="872" spans="1:4">
      <c r="A872" s="23">
        <v>45079</v>
      </c>
      <c r="B872" s="13" t="s">
        <v>1168</v>
      </c>
      <c r="C872" s="13" t="s">
        <v>1167</v>
      </c>
      <c r="D872" s="13" t="s">
        <v>16</v>
      </c>
    </row>
    <row r="873" spans="1:4">
      <c r="A873" s="23">
        <v>45080</v>
      </c>
      <c r="B873" s="13" t="s">
        <v>1170</v>
      </c>
      <c r="C873" s="13" t="s">
        <v>1169</v>
      </c>
      <c r="D873" s="13" t="s">
        <v>11</v>
      </c>
    </row>
    <row r="874" spans="1:4">
      <c r="A874" s="23">
        <v>45080</v>
      </c>
      <c r="B874" s="13" t="s">
        <v>1171</v>
      </c>
      <c r="C874" s="13" t="s">
        <v>864</v>
      </c>
      <c r="D874" s="13" t="s">
        <v>11</v>
      </c>
    </row>
    <row r="875" spans="1:4">
      <c r="A875" s="23">
        <v>45082</v>
      </c>
      <c r="B875" s="13" t="s">
        <v>1172</v>
      </c>
      <c r="C875" s="13" t="s">
        <v>939</v>
      </c>
      <c r="D875" s="13" t="s">
        <v>34</v>
      </c>
    </row>
    <row r="876" spans="1:4">
      <c r="A876" s="23">
        <v>45082</v>
      </c>
      <c r="B876" s="13" t="s">
        <v>1174</v>
      </c>
      <c r="C876" s="13" t="s">
        <v>1173</v>
      </c>
      <c r="D876" s="13" t="s">
        <v>34</v>
      </c>
    </row>
    <row r="877" spans="1:4">
      <c r="A877" s="23">
        <v>45082</v>
      </c>
      <c r="B877" s="13" t="s">
        <v>1176</v>
      </c>
      <c r="C877" s="13" t="s">
        <v>1175</v>
      </c>
      <c r="D877" s="13" t="s">
        <v>11</v>
      </c>
    </row>
    <row r="878" spans="1:4">
      <c r="A878" s="23">
        <v>45082</v>
      </c>
      <c r="B878" s="13" t="s">
        <v>1178</v>
      </c>
      <c r="C878" s="13" t="s">
        <v>1177</v>
      </c>
      <c r="D878" s="13" t="s">
        <v>11</v>
      </c>
    </row>
    <row r="879" spans="1:4">
      <c r="A879" s="23">
        <v>45082</v>
      </c>
      <c r="B879" s="13" t="s">
        <v>1179</v>
      </c>
      <c r="C879" s="13" t="s">
        <v>805</v>
      </c>
      <c r="D879" s="13" t="s">
        <v>11</v>
      </c>
    </row>
    <row r="880" spans="1:4">
      <c r="A880" s="23">
        <v>45083</v>
      </c>
      <c r="B880" s="13" t="s">
        <v>1181</v>
      </c>
      <c r="C880" s="13" t="s">
        <v>1180</v>
      </c>
      <c r="D880" s="13" t="s">
        <v>81</v>
      </c>
    </row>
    <row r="881" spans="1:4">
      <c r="A881" s="23">
        <v>45083</v>
      </c>
      <c r="B881" s="13" t="s">
        <v>1183</v>
      </c>
      <c r="C881" s="13" t="s">
        <v>1182</v>
      </c>
      <c r="D881" s="13" t="s">
        <v>74</v>
      </c>
    </row>
    <row r="882" spans="1:4">
      <c r="A882" s="23">
        <v>45083</v>
      </c>
      <c r="B882" s="13" t="s">
        <v>1185</v>
      </c>
      <c r="C882" s="13" t="s">
        <v>1184</v>
      </c>
      <c r="D882" s="13" t="s">
        <v>81</v>
      </c>
    </row>
    <row r="883" spans="1:4">
      <c r="A883" s="23">
        <v>45084</v>
      </c>
      <c r="B883" s="13" t="s">
        <v>1186</v>
      </c>
      <c r="C883" s="13" t="s">
        <v>879</v>
      </c>
      <c r="D883" s="13" t="s">
        <v>11</v>
      </c>
    </row>
    <row r="884" spans="1:4">
      <c r="A884" s="23">
        <v>45084</v>
      </c>
      <c r="B884" s="13" t="s">
        <v>1186</v>
      </c>
      <c r="C884" s="13" t="s">
        <v>879</v>
      </c>
      <c r="D884" s="13" t="s">
        <v>11</v>
      </c>
    </row>
    <row r="885" spans="1:4">
      <c r="A885" s="23">
        <v>45084</v>
      </c>
      <c r="B885" s="13" t="s">
        <v>1188</v>
      </c>
      <c r="C885" s="13" t="s">
        <v>1187</v>
      </c>
      <c r="D885" s="13" t="s">
        <v>5</v>
      </c>
    </row>
    <row r="886" spans="1:4">
      <c r="A886" s="23">
        <v>45085</v>
      </c>
      <c r="B886" s="13" t="s">
        <v>1190</v>
      </c>
      <c r="C886" s="13" t="s">
        <v>1189</v>
      </c>
      <c r="D886" s="13" t="s">
        <v>345</v>
      </c>
    </row>
    <row r="887" spans="1:4">
      <c r="A887" s="23">
        <v>45085</v>
      </c>
      <c r="B887" s="13" t="s">
        <v>1192</v>
      </c>
      <c r="C887" s="13" t="s">
        <v>1191</v>
      </c>
      <c r="D887" s="13" t="s">
        <v>353</v>
      </c>
    </row>
    <row r="888" spans="1:4">
      <c r="A888" s="23">
        <v>45085</v>
      </c>
      <c r="B888" s="13" t="s">
        <v>1194</v>
      </c>
      <c r="C888" s="13" t="s">
        <v>1193</v>
      </c>
      <c r="D888" s="13" t="s">
        <v>29</v>
      </c>
    </row>
    <row r="889" spans="1:4">
      <c r="A889" s="23">
        <v>45085</v>
      </c>
      <c r="B889" s="13" t="s">
        <v>1196</v>
      </c>
      <c r="C889" s="13" t="s">
        <v>1195</v>
      </c>
      <c r="D889" s="13" t="s">
        <v>353</v>
      </c>
    </row>
    <row r="890" spans="1:4">
      <c r="A890" s="23">
        <v>45085</v>
      </c>
      <c r="B890" s="13" t="s">
        <v>1198</v>
      </c>
      <c r="C890" s="13" t="s">
        <v>1197</v>
      </c>
      <c r="D890" s="13" t="s">
        <v>353</v>
      </c>
    </row>
    <row r="891" spans="1:4">
      <c r="A891" s="23">
        <v>45085</v>
      </c>
      <c r="B891" s="13" t="s">
        <v>1200</v>
      </c>
      <c r="C891" s="13" t="s">
        <v>1199</v>
      </c>
      <c r="D891" s="13" t="s">
        <v>29</v>
      </c>
    </row>
    <row r="892" spans="1:4">
      <c r="A892" s="23">
        <v>45085</v>
      </c>
      <c r="B892" s="13" t="s">
        <v>1202</v>
      </c>
      <c r="C892" s="13" t="s">
        <v>1201</v>
      </c>
      <c r="D892" s="13" t="s">
        <v>345</v>
      </c>
    </row>
    <row r="893" spans="1:4">
      <c r="A893" s="23">
        <v>45086</v>
      </c>
      <c r="B893" s="13" t="s">
        <v>1204</v>
      </c>
      <c r="C893" s="13" t="s">
        <v>1203</v>
      </c>
      <c r="D893" s="13" t="s">
        <v>353</v>
      </c>
    </row>
    <row r="894" spans="1:4">
      <c r="A894" s="23">
        <v>45086</v>
      </c>
      <c r="B894" s="13" t="s">
        <v>1206</v>
      </c>
      <c r="C894" s="13" t="s">
        <v>1205</v>
      </c>
      <c r="D894" s="13" t="s">
        <v>74</v>
      </c>
    </row>
    <row r="895" spans="1:4">
      <c r="A895" s="23">
        <v>45086</v>
      </c>
      <c r="B895" s="13" t="s">
        <v>1208</v>
      </c>
      <c r="C895" s="13" t="s">
        <v>1207</v>
      </c>
      <c r="D895" s="13" t="s">
        <v>74</v>
      </c>
    </row>
    <row r="896" spans="1:4">
      <c r="A896" s="23">
        <v>45086</v>
      </c>
      <c r="B896" s="13" t="s">
        <v>1210</v>
      </c>
      <c r="C896" s="13" t="s">
        <v>1209</v>
      </c>
      <c r="D896" s="13" t="s">
        <v>74</v>
      </c>
    </row>
    <row r="897" spans="1:4">
      <c r="A897" s="23">
        <v>45086</v>
      </c>
      <c r="B897" s="13" t="s">
        <v>1212</v>
      </c>
      <c r="C897" s="13" t="s">
        <v>1211</v>
      </c>
      <c r="D897" s="13" t="s">
        <v>164</v>
      </c>
    </row>
    <row r="898" spans="1:4">
      <c r="A898" s="23">
        <v>45086</v>
      </c>
      <c r="B898" s="13" t="s">
        <v>1214</v>
      </c>
      <c r="C898" s="13" t="s">
        <v>1213</v>
      </c>
      <c r="D898" s="13" t="s">
        <v>353</v>
      </c>
    </row>
    <row r="899" spans="1:4">
      <c r="A899" s="23">
        <v>45086</v>
      </c>
      <c r="B899" s="13" t="s">
        <v>1216</v>
      </c>
      <c r="C899" s="13" t="s">
        <v>1215</v>
      </c>
      <c r="D899" s="13" t="s">
        <v>353</v>
      </c>
    </row>
    <row r="900" spans="1:4">
      <c r="A900" s="23">
        <v>45086</v>
      </c>
      <c r="B900" s="13" t="s">
        <v>1218</v>
      </c>
      <c r="C900" s="13" t="s">
        <v>1217</v>
      </c>
      <c r="D900" s="13" t="s">
        <v>29</v>
      </c>
    </row>
    <row r="901" spans="1:4">
      <c r="A901" s="23">
        <v>45086</v>
      </c>
      <c r="B901" s="13" t="s">
        <v>1220</v>
      </c>
      <c r="C901" s="13" t="s">
        <v>1219</v>
      </c>
      <c r="D901" s="13" t="s">
        <v>74</v>
      </c>
    </row>
    <row r="902" spans="1:4">
      <c r="A902" s="23">
        <v>45087</v>
      </c>
      <c r="B902" s="13" t="s">
        <v>1222</v>
      </c>
      <c r="C902" s="13" t="s">
        <v>1221</v>
      </c>
      <c r="D902" s="13" t="s">
        <v>34</v>
      </c>
    </row>
    <row r="903" spans="1:4">
      <c r="A903" s="23">
        <v>45087</v>
      </c>
      <c r="B903" s="13" t="s">
        <v>1224</v>
      </c>
      <c r="C903" s="13" t="s">
        <v>1223</v>
      </c>
      <c r="D903" s="13" t="s">
        <v>353</v>
      </c>
    </row>
    <row r="904" spans="1:4">
      <c r="A904" s="23">
        <v>45087</v>
      </c>
      <c r="B904" s="13" t="s">
        <v>1226</v>
      </c>
      <c r="C904" s="13" t="s">
        <v>1225</v>
      </c>
      <c r="D904" s="13" t="s">
        <v>34</v>
      </c>
    </row>
    <row r="905" spans="1:4">
      <c r="A905" s="23">
        <v>45087</v>
      </c>
      <c r="B905" s="13" t="s">
        <v>1228</v>
      </c>
      <c r="C905" s="13" t="s">
        <v>1227</v>
      </c>
      <c r="D905" s="13" t="s">
        <v>74</v>
      </c>
    </row>
    <row r="906" spans="1:4">
      <c r="A906" s="23">
        <v>45087</v>
      </c>
      <c r="B906" s="13" t="s">
        <v>1230</v>
      </c>
      <c r="C906" s="13" t="s">
        <v>1229</v>
      </c>
      <c r="D906" s="13" t="s">
        <v>74</v>
      </c>
    </row>
    <row r="907" spans="1:4">
      <c r="A907" s="23">
        <v>45089</v>
      </c>
      <c r="B907" s="13" t="s">
        <v>1232</v>
      </c>
      <c r="C907" s="13" t="s">
        <v>1231</v>
      </c>
      <c r="D907" s="13" t="s">
        <v>216</v>
      </c>
    </row>
    <row r="908" spans="1:4">
      <c r="A908" s="23">
        <v>45089</v>
      </c>
      <c r="B908" s="13" t="s">
        <v>1232</v>
      </c>
      <c r="C908" s="13" t="s">
        <v>1231</v>
      </c>
      <c r="D908" s="13" t="s">
        <v>216</v>
      </c>
    </row>
    <row r="909" spans="1:4">
      <c r="A909" s="23">
        <v>45089</v>
      </c>
      <c r="B909" s="13" t="s">
        <v>1234</v>
      </c>
      <c r="C909" s="13" t="s">
        <v>1233</v>
      </c>
      <c r="D909" s="13" t="s">
        <v>74</v>
      </c>
    </row>
    <row r="910" spans="1:4">
      <c r="A910" s="23">
        <v>45089</v>
      </c>
      <c r="B910" s="13" t="s">
        <v>1236</v>
      </c>
      <c r="C910" s="13" t="s">
        <v>1235</v>
      </c>
      <c r="D910" s="13" t="s">
        <v>74</v>
      </c>
    </row>
    <row r="911" spans="1:4">
      <c r="A911" s="23">
        <v>45090</v>
      </c>
      <c r="B911" s="13" t="s">
        <v>1238</v>
      </c>
      <c r="C911" s="13" t="s">
        <v>1237</v>
      </c>
      <c r="D911" s="13" t="s">
        <v>5</v>
      </c>
    </row>
    <row r="912" spans="1:4">
      <c r="A912" s="23">
        <v>45090</v>
      </c>
      <c r="B912" s="13" t="s">
        <v>1240</v>
      </c>
      <c r="C912" s="13" t="s">
        <v>1239</v>
      </c>
      <c r="D912" s="13" t="s">
        <v>353</v>
      </c>
    </row>
    <row r="913" spans="1:4">
      <c r="A913" s="23">
        <v>45090</v>
      </c>
      <c r="B913" s="13" t="s">
        <v>1242</v>
      </c>
      <c r="C913" s="13" t="s">
        <v>1241</v>
      </c>
      <c r="D913" s="13" t="s">
        <v>81</v>
      </c>
    </row>
    <row r="914" spans="1:4">
      <c r="A914" s="23">
        <v>45090</v>
      </c>
      <c r="B914" s="13" t="s">
        <v>1244</v>
      </c>
      <c r="C914" s="13" t="s">
        <v>1243</v>
      </c>
      <c r="D914" s="13" t="s">
        <v>5</v>
      </c>
    </row>
    <row r="915" spans="1:4">
      <c r="A915" s="23">
        <v>45090</v>
      </c>
      <c r="B915" s="13" t="s">
        <v>1245</v>
      </c>
      <c r="C915" s="13" t="s">
        <v>276</v>
      </c>
      <c r="D915" s="13" t="s">
        <v>81</v>
      </c>
    </row>
    <row r="916" spans="1:4">
      <c r="A916" s="23">
        <v>45090</v>
      </c>
      <c r="B916" s="13" t="s">
        <v>1247</v>
      </c>
      <c r="C916" s="13" t="s">
        <v>1246</v>
      </c>
      <c r="D916" s="13" t="s">
        <v>353</v>
      </c>
    </row>
    <row r="917" spans="1:4">
      <c r="A917" s="23">
        <v>45090</v>
      </c>
      <c r="B917" s="13" t="s">
        <v>1248</v>
      </c>
      <c r="C917" s="13" t="s">
        <v>1241</v>
      </c>
      <c r="D917" s="13" t="s">
        <v>81</v>
      </c>
    </row>
    <row r="918" spans="1:4">
      <c r="A918" s="23">
        <v>45090</v>
      </c>
      <c r="B918" s="13" t="s">
        <v>1250</v>
      </c>
      <c r="C918" s="13" t="s">
        <v>1249</v>
      </c>
      <c r="D918" s="13" t="s">
        <v>74</v>
      </c>
    </row>
    <row r="919" spans="1:4">
      <c r="A919" s="23">
        <v>45090</v>
      </c>
      <c r="B919" s="13" t="s">
        <v>1251</v>
      </c>
      <c r="C919" s="13" t="s">
        <v>955</v>
      </c>
      <c r="D919" s="13" t="s">
        <v>74</v>
      </c>
    </row>
    <row r="920" spans="1:4">
      <c r="A920" s="23">
        <v>45091</v>
      </c>
      <c r="B920" s="13" t="s">
        <v>1253</v>
      </c>
      <c r="C920" s="13" t="s">
        <v>1252</v>
      </c>
      <c r="D920" s="13" t="s">
        <v>19</v>
      </c>
    </row>
    <row r="921" spans="1:4">
      <c r="A921" s="23">
        <v>45091</v>
      </c>
      <c r="B921" s="13" t="s">
        <v>1253</v>
      </c>
      <c r="C921" s="13" t="s">
        <v>1252</v>
      </c>
      <c r="D921" s="13" t="s">
        <v>19</v>
      </c>
    </row>
    <row r="922" spans="1:4">
      <c r="A922" s="23">
        <v>45091</v>
      </c>
      <c r="B922" s="13" t="s">
        <v>1255</v>
      </c>
      <c r="C922" s="13" t="s">
        <v>1254</v>
      </c>
      <c r="D922" s="13" t="s">
        <v>29</v>
      </c>
    </row>
    <row r="923" spans="1:4">
      <c r="A923" s="23">
        <v>45093</v>
      </c>
      <c r="B923" s="13" t="s">
        <v>1257</v>
      </c>
      <c r="C923" s="13" t="s">
        <v>1256</v>
      </c>
      <c r="D923" s="13" t="s">
        <v>11</v>
      </c>
    </row>
    <row r="924" spans="1:4">
      <c r="A924" s="23">
        <v>45096</v>
      </c>
      <c r="B924" s="13" t="s">
        <v>1259</v>
      </c>
      <c r="C924" s="13" t="s">
        <v>1258</v>
      </c>
      <c r="D924" s="13" t="s">
        <v>345</v>
      </c>
    </row>
    <row r="925" spans="1:4">
      <c r="A925" s="23">
        <v>45097</v>
      </c>
      <c r="B925" s="13" t="s">
        <v>1261</v>
      </c>
      <c r="C925" s="13" t="s">
        <v>1260</v>
      </c>
      <c r="D925" s="13" t="s">
        <v>74</v>
      </c>
    </row>
    <row r="926" spans="1:4">
      <c r="A926" s="23">
        <v>45097</v>
      </c>
      <c r="B926" s="13" t="s">
        <v>1263</v>
      </c>
      <c r="C926" s="13" t="s">
        <v>1262</v>
      </c>
      <c r="D926" s="13" t="s">
        <v>74</v>
      </c>
    </row>
    <row r="927" spans="1:4">
      <c r="A927" s="23">
        <v>45097</v>
      </c>
      <c r="B927" s="13" t="s">
        <v>1265</v>
      </c>
      <c r="C927" s="13" t="s">
        <v>1264</v>
      </c>
      <c r="D927" s="13" t="s">
        <v>74</v>
      </c>
    </row>
    <row r="928" spans="1:4">
      <c r="A928" s="23">
        <v>45097</v>
      </c>
      <c r="B928" s="13" t="s">
        <v>1266</v>
      </c>
      <c r="C928" s="13" t="s">
        <v>955</v>
      </c>
      <c r="D928" s="13" t="s">
        <v>74</v>
      </c>
    </row>
    <row r="929" spans="1:4">
      <c r="A929" s="23">
        <v>45097</v>
      </c>
      <c r="B929" s="13" t="s">
        <v>1268</v>
      </c>
      <c r="C929" s="13" t="s">
        <v>1267</v>
      </c>
      <c r="D929" s="13" t="s">
        <v>74</v>
      </c>
    </row>
    <row r="930" spans="1:4">
      <c r="A930" s="23">
        <v>45097</v>
      </c>
      <c r="B930" s="13" t="s">
        <v>1265</v>
      </c>
      <c r="C930" s="13" t="s">
        <v>1264</v>
      </c>
      <c r="D930" s="13" t="s">
        <v>74</v>
      </c>
    </row>
    <row r="931" spans="1:4">
      <c r="A931" s="23">
        <v>45098</v>
      </c>
      <c r="B931" s="13" t="s">
        <v>1270</v>
      </c>
      <c r="C931" s="13" t="s">
        <v>1269</v>
      </c>
      <c r="D931" s="13" t="s">
        <v>74</v>
      </c>
    </row>
    <row r="932" spans="1:4">
      <c r="A932" s="23">
        <v>45098</v>
      </c>
      <c r="B932" s="13" t="s">
        <v>1272</v>
      </c>
      <c r="C932" s="13" t="s">
        <v>1271</v>
      </c>
      <c r="D932" s="13" t="s">
        <v>74</v>
      </c>
    </row>
    <row r="933" spans="1:4">
      <c r="A933" s="23">
        <v>45098</v>
      </c>
      <c r="B933" s="13" t="s">
        <v>1274</v>
      </c>
      <c r="C933" s="13" t="s">
        <v>1273</v>
      </c>
      <c r="D933" s="13" t="s">
        <v>74</v>
      </c>
    </row>
    <row r="934" spans="1:4">
      <c r="A934" s="23">
        <v>45100</v>
      </c>
      <c r="B934" s="13" t="s">
        <v>1276</v>
      </c>
      <c r="C934" s="13" t="s">
        <v>1275</v>
      </c>
      <c r="D934" s="13" t="s">
        <v>74</v>
      </c>
    </row>
    <row r="935" spans="1:4">
      <c r="A935" s="23">
        <v>45100</v>
      </c>
      <c r="B935" s="13" t="s">
        <v>1278</v>
      </c>
      <c r="C935" s="13" t="s">
        <v>1277</v>
      </c>
      <c r="D935" s="13" t="s">
        <v>353</v>
      </c>
    </row>
    <row r="936" spans="1:4">
      <c r="A936" s="23">
        <v>45100</v>
      </c>
      <c r="B936" s="13" t="s">
        <v>1279</v>
      </c>
      <c r="C936" s="13" t="s">
        <v>1160</v>
      </c>
      <c r="D936" s="13" t="s">
        <v>74</v>
      </c>
    </row>
    <row r="937" spans="1:4">
      <c r="A937" s="23">
        <v>45100</v>
      </c>
      <c r="B937" s="13" t="s">
        <v>1281</v>
      </c>
      <c r="C937" s="13" t="s">
        <v>1280</v>
      </c>
      <c r="D937" s="13" t="s">
        <v>353</v>
      </c>
    </row>
    <row r="938" spans="1:4">
      <c r="A938" s="23">
        <v>45100</v>
      </c>
      <c r="B938" s="13" t="s">
        <v>1283</v>
      </c>
      <c r="C938" s="13" t="s">
        <v>1282</v>
      </c>
      <c r="D938" s="13" t="s">
        <v>19</v>
      </c>
    </row>
    <row r="939" spans="1:4">
      <c r="A939" s="23">
        <v>45103</v>
      </c>
      <c r="B939" s="13" t="s">
        <v>1285</v>
      </c>
      <c r="C939" s="13" t="s">
        <v>1284</v>
      </c>
      <c r="D939" s="13" t="s">
        <v>11</v>
      </c>
    </row>
    <row r="940" spans="1:4">
      <c r="A940" s="23">
        <v>45103</v>
      </c>
      <c r="B940" s="13" t="s">
        <v>1287</v>
      </c>
      <c r="C940" s="13" t="s">
        <v>1286</v>
      </c>
      <c r="D940" s="13" t="s">
        <v>11</v>
      </c>
    </row>
    <row r="941" spans="1:4">
      <c r="A941" s="23">
        <v>45103</v>
      </c>
      <c r="B941" s="13" t="s">
        <v>1287</v>
      </c>
      <c r="C941" s="13" t="s">
        <v>1286</v>
      </c>
      <c r="D941" s="13" t="s">
        <v>11</v>
      </c>
    </row>
    <row r="942" spans="1:4">
      <c r="A942" s="23">
        <v>45103</v>
      </c>
      <c r="B942" s="13" t="s">
        <v>1288</v>
      </c>
      <c r="C942" s="13" t="s">
        <v>864</v>
      </c>
      <c r="D942" s="13" t="s">
        <v>11</v>
      </c>
    </row>
    <row r="943" spans="1:4">
      <c r="A943" s="23">
        <v>45105</v>
      </c>
      <c r="B943" s="13" t="s">
        <v>1290</v>
      </c>
      <c r="C943" s="13" t="s">
        <v>1289</v>
      </c>
      <c r="D943" s="13" t="s">
        <v>11</v>
      </c>
    </row>
    <row r="944" spans="1:4">
      <c r="A944" s="23">
        <v>45105</v>
      </c>
      <c r="B944" s="13" t="s">
        <v>1292</v>
      </c>
      <c r="C944" s="13" t="s">
        <v>1291</v>
      </c>
      <c r="D944" s="13" t="s">
        <v>11</v>
      </c>
    </row>
    <row r="945" spans="1:4">
      <c r="A945" s="23">
        <v>45105</v>
      </c>
      <c r="B945" s="13" t="s">
        <v>1292</v>
      </c>
      <c r="C945" s="13" t="s">
        <v>1291</v>
      </c>
      <c r="D945" s="13" t="s">
        <v>11</v>
      </c>
    </row>
    <row r="946" spans="1:4">
      <c r="A946" s="23">
        <v>45105</v>
      </c>
      <c r="B946" s="13" t="s">
        <v>1293</v>
      </c>
      <c r="C946" s="13" t="s">
        <v>1291</v>
      </c>
      <c r="D946" s="13" t="s">
        <v>11</v>
      </c>
    </row>
    <row r="947" spans="1:4">
      <c r="A947" s="23">
        <v>45106</v>
      </c>
      <c r="B947" s="13" t="s">
        <v>1295</v>
      </c>
      <c r="C947" s="13" t="s">
        <v>1294</v>
      </c>
      <c r="D947" s="13" t="s">
        <v>164</v>
      </c>
    </row>
    <row r="948" spans="1:4">
      <c r="A948" s="23">
        <v>45106</v>
      </c>
      <c r="B948" s="13" t="s">
        <v>1297</v>
      </c>
      <c r="C948" s="13" t="s">
        <v>1296</v>
      </c>
      <c r="D948" s="13" t="s">
        <v>345</v>
      </c>
    </row>
    <row r="949" spans="1:4">
      <c r="A949" s="23">
        <v>45107</v>
      </c>
      <c r="B949" s="13" t="s">
        <v>1299</v>
      </c>
      <c r="C949" s="13" t="s">
        <v>1298</v>
      </c>
      <c r="D949" s="13" t="s">
        <v>81</v>
      </c>
    </row>
    <row r="950" spans="1:4">
      <c r="A950" s="23">
        <v>45107</v>
      </c>
      <c r="B950" s="13" t="s">
        <v>1301</v>
      </c>
      <c r="C950" s="13" t="s">
        <v>1300</v>
      </c>
      <c r="D950" s="13" t="s">
        <v>81</v>
      </c>
    </row>
    <row r="951" spans="1:4">
      <c r="A951" s="23">
        <v>45107</v>
      </c>
      <c r="B951" s="13" t="s">
        <v>1299</v>
      </c>
      <c r="C951" s="13" t="s">
        <v>1298</v>
      </c>
      <c r="D951" s="13" t="s">
        <v>81</v>
      </c>
    </row>
    <row r="952" spans="1:4">
      <c r="A952" s="23">
        <v>45108</v>
      </c>
      <c r="B952" s="13" t="s">
        <v>1303</v>
      </c>
      <c r="C952" s="13" t="s">
        <v>1302</v>
      </c>
      <c r="D952" s="13" t="s">
        <v>34</v>
      </c>
    </row>
    <row r="953" spans="1:4">
      <c r="A953" s="23">
        <v>45108</v>
      </c>
      <c r="B953" s="13" t="s">
        <v>1305</v>
      </c>
      <c r="C953" s="13" t="s">
        <v>1304</v>
      </c>
      <c r="D953" s="13" t="s">
        <v>34</v>
      </c>
    </row>
    <row r="954" spans="1:4">
      <c r="A954" s="23">
        <v>45110</v>
      </c>
      <c r="B954" s="13" t="s">
        <v>1307</v>
      </c>
      <c r="C954" s="13" t="s">
        <v>1306</v>
      </c>
      <c r="D954" s="13" t="s">
        <v>510</v>
      </c>
    </row>
    <row r="955" spans="1:4">
      <c r="A955" s="23">
        <v>45111</v>
      </c>
      <c r="B955" s="13" t="s">
        <v>1309</v>
      </c>
      <c r="C955" s="13" t="s">
        <v>1308</v>
      </c>
      <c r="D955" s="13" t="s">
        <v>11</v>
      </c>
    </row>
    <row r="956" spans="1:4">
      <c r="A956" s="23">
        <v>45111</v>
      </c>
      <c r="B956" s="13" t="s">
        <v>1311</v>
      </c>
      <c r="C956" s="13" t="s">
        <v>1310</v>
      </c>
      <c r="D956" s="13" t="s">
        <v>5</v>
      </c>
    </row>
    <row r="957" spans="1:4">
      <c r="A957" s="23">
        <v>45111</v>
      </c>
      <c r="B957" s="13" t="s">
        <v>1313</v>
      </c>
      <c r="C957" s="13" t="s">
        <v>1312</v>
      </c>
      <c r="D957" s="13" t="s">
        <v>11</v>
      </c>
    </row>
    <row r="958" spans="1:4">
      <c r="A958" s="23">
        <v>45112</v>
      </c>
      <c r="B958" s="13" t="s">
        <v>1315</v>
      </c>
      <c r="C958" s="13" t="s">
        <v>1314</v>
      </c>
      <c r="D958" s="13" t="s">
        <v>353</v>
      </c>
    </row>
    <row r="959" spans="1:4">
      <c r="A959" s="23">
        <v>45113</v>
      </c>
      <c r="B959" s="13" t="s">
        <v>1317</v>
      </c>
      <c r="C959" s="13" t="s">
        <v>1316</v>
      </c>
      <c r="D959" s="13" t="s">
        <v>353</v>
      </c>
    </row>
    <row r="960" spans="1:4">
      <c r="A960" s="23">
        <v>45113</v>
      </c>
      <c r="B960" s="13" t="s">
        <v>1319</v>
      </c>
      <c r="C960" s="13" t="s">
        <v>1318</v>
      </c>
      <c r="D960" s="13" t="s">
        <v>353</v>
      </c>
    </row>
    <row r="961" spans="1:4">
      <c r="A961" s="23">
        <v>45113</v>
      </c>
      <c r="B961" s="13" t="s">
        <v>1321</v>
      </c>
      <c r="C961" s="13" t="s">
        <v>1320</v>
      </c>
      <c r="D961" s="13" t="s">
        <v>74</v>
      </c>
    </row>
    <row r="962" spans="1:4">
      <c r="A962" s="23">
        <v>45114</v>
      </c>
      <c r="B962" s="13" t="s">
        <v>1323</v>
      </c>
      <c r="C962" s="13" t="s">
        <v>1322</v>
      </c>
      <c r="D962" s="13" t="s">
        <v>353</v>
      </c>
    </row>
    <row r="963" spans="1:4">
      <c r="A963" s="23">
        <v>45117</v>
      </c>
      <c r="B963" s="13" t="s">
        <v>1325</v>
      </c>
      <c r="C963" s="13" t="s">
        <v>1324</v>
      </c>
      <c r="D963" s="13" t="s">
        <v>74</v>
      </c>
    </row>
    <row r="964" spans="1:4">
      <c r="A964" s="23">
        <v>45117</v>
      </c>
      <c r="B964" s="13" t="s">
        <v>1327</v>
      </c>
      <c r="C964" s="13" t="s">
        <v>1326</v>
      </c>
      <c r="D964" s="13" t="s">
        <v>353</v>
      </c>
    </row>
    <row r="965" spans="1:4">
      <c r="A965" s="23">
        <v>45117</v>
      </c>
      <c r="B965" s="13" t="s">
        <v>1329</v>
      </c>
      <c r="C965" s="13" t="s">
        <v>1328</v>
      </c>
      <c r="D965" s="13" t="s">
        <v>81</v>
      </c>
    </row>
    <row r="966" spans="1:4">
      <c r="A966" s="23">
        <v>45117</v>
      </c>
      <c r="B966" s="13" t="s">
        <v>1331</v>
      </c>
      <c r="C966" s="13" t="s">
        <v>1330</v>
      </c>
      <c r="D966" s="13" t="s">
        <v>81</v>
      </c>
    </row>
    <row r="967" spans="1:4">
      <c r="A967" s="23">
        <v>45125</v>
      </c>
      <c r="B967" s="13" t="s">
        <v>1333</v>
      </c>
      <c r="C967" s="13" t="s">
        <v>1332</v>
      </c>
      <c r="D967" s="13" t="s">
        <v>74</v>
      </c>
    </row>
    <row r="968" spans="1:4">
      <c r="A968" s="23">
        <v>45125</v>
      </c>
      <c r="B968" s="13" t="s">
        <v>1333</v>
      </c>
      <c r="C968" s="13" t="s">
        <v>1332</v>
      </c>
      <c r="D968" s="13" t="s">
        <v>74</v>
      </c>
    </row>
    <row r="969" spans="1:4">
      <c r="A969" s="23">
        <v>45126</v>
      </c>
      <c r="B969" s="13" t="s">
        <v>1335</v>
      </c>
      <c r="C969" s="13" t="s">
        <v>1334</v>
      </c>
      <c r="D969" s="13" t="s">
        <v>11</v>
      </c>
    </row>
    <row r="970" spans="1:4">
      <c r="A970" s="23">
        <v>45126</v>
      </c>
      <c r="B970" s="13" t="s">
        <v>1337</v>
      </c>
      <c r="C970" s="13" t="s">
        <v>1336</v>
      </c>
      <c r="D970" s="13" t="s">
        <v>74</v>
      </c>
    </row>
    <row r="971" spans="1:4">
      <c r="A971" s="23">
        <v>45126</v>
      </c>
      <c r="B971" s="13" t="s">
        <v>1339</v>
      </c>
      <c r="C971" s="13" t="s">
        <v>1338</v>
      </c>
      <c r="D971" s="13" t="s">
        <v>11</v>
      </c>
    </row>
    <row r="972" spans="1:4">
      <c r="A972" s="23">
        <v>45126</v>
      </c>
      <c r="B972" s="13" t="s">
        <v>1341</v>
      </c>
      <c r="C972" s="13" t="s">
        <v>1340</v>
      </c>
      <c r="D972" s="13" t="s">
        <v>353</v>
      </c>
    </row>
    <row r="973" spans="1:4">
      <c r="A973" s="23">
        <v>45126</v>
      </c>
      <c r="B973" s="13" t="s">
        <v>1337</v>
      </c>
      <c r="C973" s="13" t="s">
        <v>1336</v>
      </c>
      <c r="D973" s="13" t="s">
        <v>74</v>
      </c>
    </row>
    <row r="974" spans="1:4">
      <c r="A974" s="23">
        <v>45126</v>
      </c>
      <c r="B974" s="13" t="s">
        <v>1337</v>
      </c>
      <c r="C974" s="13" t="s">
        <v>1336</v>
      </c>
      <c r="D974" s="13" t="s">
        <v>74</v>
      </c>
    </row>
    <row r="975" spans="1:4">
      <c r="A975" s="23">
        <v>45127</v>
      </c>
      <c r="B975" s="13" t="s">
        <v>1342</v>
      </c>
      <c r="C975" s="13" t="s">
        <v>1195</v>
      </c>
      <c r="D975" s="13" t="s">
        <v>353</v>
      </c>
    </row>
    <row r="976" spans="1:4">
      <c r="A976" s="23">
        <v>45127</v>
      </c>
      <c r="B976" s="13" t="s">
        <v>1344</v>
      </c>
      <c r="C976" s="13" t="s">
        <v>1343</v>
      </c>
      <c r="D976" s="13" t="s">
        <v>74</v>
      </c>
    </row>
    <row r="977" spans="1:4">
      <c r="A977" s="23">
        <v>45127</v>
      </c>
      <c r="B977" s="13" t="s">
        <v>1346</v>
      </c>
      <c r="C977" s="13" t="s">
        <v>1345</v>
      </c>
      <c r="D977" s="13" t="s">
        <v>353</v>
      </c>
    </row>
    <row r="978" spans="1:4">
      <c r="A978" s="23">
        <v>45127</v>
      </c>
      <c r="B978" s="13" t="s">
        <v>1348</v>
      </c>
      <c r="C978" s="13" t="s">
        <v>1347</v>
      </c>
      <c r="D978" s="13" t="s">
        <v>74</v>
      </c>
    </row>
    <row r="979" spans="1:4">
      <c r="A979" s="23">
        <v>45127</v>
      </c>
      <c r="B979" s="13" t="s">
        <v>1350</v>
      </c>
      <c r="C979" s="13" t="s">
        <v>1349</v>
      </c>
      <c r="D979" s="13" t="s">
        <v>353</v>
      </c>
    </row>
    <row r="980" spans="1:4">
      <c r="A980" s="23">
        <v>45127</v>
      </c>
      <c r="B980" s="13" t="s">
        <v>1352</v>
      </c>
      <c r="C980" s="13" t="s">
        <v>1351</v>
      </c>
      <c r="D980" s="13" t="s">
        <v>74</v>
      </c>
    </row>
    <row r="981" spans="1:4">
      <c r="A981" s="23">
        <v>45128</v>
      </c>
      <c r="B981" s="13" t="s">
        <v>1354</v>
      </c>
      <c r="C981" s="13" t="s">
        <v>1353</v>
      </c>
      <c r="D981" s="13" t="s">
        <v>353</v>
      </c>
    </row>
    <row r="982" spans="1:4">
      <c r="A982" s="23">
        <v>45128</v>
      </c>
      <c r="B982" s="13" t="s">
        <v>1356</v>
      </c>
      <c r="C982" s="13" t="s">
        <v>1355</v>
      </c>
      <c r="D982" s="13" t="s">
        <v>353</v>
      </c>
    </row>
    <row r="983" spans="1:4">
      <c r="A983" s="23">
        <v>45131</v>
      </c>
      <c r="B983" s="13" t="s">
        <v>1358</v>
      </c>
      <c r="C983" s="13" t="s">
        <v>1357</v>
      </c>
      <c r="D983" s="13" t="s">
        <v>510</v>
      </c>
    </row>
    <row r="984" spans="1:4">
      <c r="A984" s="23">
        <v>45131</v>
      </c>
      <c r="B984" s="13" t="s">
        <v>1359</v>
      </c>
      <c r="C984" s="13" t="s">
        <v>955</v>
      </c>
      <c r="D984" s="13" t="s">
        <v>74</v>
      </c>
    </row>
    <row r="985" spans="1:4">
      <c r="A985" s="23">
        <v>45131</v>
      </c>
      <c r="B985" s="13" t="s">
        <v>1359</v>
      </c>
      <c r="C985" s="13" t="s">
        <v>955</v>
      </c>
      <c r="D985" s="13" t="s">
        <v>74</v>
      </c>
    </row>
    <row r="986" spans="1:4">
      <c r="A986" s="23">
        <v>45131</v>
      </c>
      <c r="B986" s="13" t="s">
        <v>1359</v>
      </c>
      <c r="C986" s="13" t="s">
        <v>955</v>
      </c>
      <c r="D986" s="13" t="s">
        <v>74</v>
      </c>
    </row>
    <row r="987" spans="1:4">
      <c r="A987" s="23">
        <v>45132</v>
      </c>
      <c r="B987" s="13" t="s">
        <v>1361</v>
      </c>
      <c r="C987" s="13" t="s">
        <v>1360</v>
      </c>
      <c r="D987" s="13" t="s">
        <v>74</v>
      </c>
    </row>
    <row r="988" spans="1:4">
      <c r="A988" s="23">
        <v>45132</v>
      </c>
      <c r="B988" s="13" t="s">
        <v>1363</v>
      </c>
      <c r="C988" s="13" t="s">
        <v>1362</v>
      </c>
      <c r="D988" s="13" t="s">
        <v>11</v>
      </c>
    </row>
    <row r="989" spans="1:4">
      <c r="A989" s="23">
        <v>45132</v>
      </c>
      <c r="B989" s="13" t="s">
        <v>1365</v>
      </c>
      <c r="C989" s="13" t="s">
        <v>1364</v>
      </c>
      <c r="D989" s="13" t="s">
        <v>74</v>
      </c>
    </row>
    <row r="990" spans="1:4">
      <c r="A990" s="23">
        <v>45132</v>
      </c>
      <c r="B990" s="13" t="s">
        <v>1367</v>
      </c>
      <c r="C990" s="13" t="s">
        <v>1366</v>
      </c>
      <c r="D990" s="13" t="s">
        <v>353</v>
      </c>
    </row>
    <row r="991" spans="1:4">
      <c r="A991" s="23">
        <v>45132</v>
      </c>
      <c r="B991" s="13" t="s">
        <v>1369</v>
      </c>
      <c r="C991" s="13" t="s">
        <v>1368</v>
      </c>
      <c r="D991" s="13" t="s">
        <v>34</v>
      </c>
    </row>
    <row r="992" spans="1:4">
      <c r="A992" s="23">
        <v>45132</v>
      </c>
      <c r="B992" s="13" t="s">
        <v>1371</v>
      </c>
      <c r="C992" s="13" t="s">
        <v>1370</v>
      </c>
      <c r="D992" s="13" t="s">
        <v>34</v>
      </c>
    </row>
    <row r="993" spans="1:4">
      <c r="A993" s="23">
        <v>45132</v>
      </c>
      <c r="B993" s="13" t="s">
        <v>1373</v>
      </c>
      <c r="C993" s="13" t="s">
        <v>1372</v>
      </c>
      <c r="D993" s="13" t="s">
        <v>345</v>
      </c>
    </row>
    <row r="994" spans="1:4">
      <c r="A994" s="23">
        <v>45132</v>
      </c>
      <c r="B994" s="13" t="s">
        <v>1375</v>
      </c>
      <c r="C994" s="13" t="s">
        <v>1374</v>
      </c>
      <c r="D994" s="13" t="s">
        <v>345</v>
      </c>
    </row>
    <row r="995" spans="1:4">
      <c r="A995" s="23">
        <v>45132</v>
      </c>
      <c r="B995" s="13" t="s">
        <v>1376</v>
      </c>
      <c r="C995" s="13"/>
      <c r="D995" s="13" t="s">
        <v>345</v>
      </c>
    </row>
    <row r="996" spans="1:4">
      <c r="A996" s="23">
        <v>45133</v>
      </c>
      <c r="B996" s="13" t="s">
        <v>1378</v>
      </c>
      <c r="C996" s="13" t="s">
        <v>1377</v>
      </c>
      <c r="D996" s="13" t="s">
        <v>345</v>
      </c>
    </row>
    <row r="997" spans="1:4">
      <c r="A997" s="23">
        <v>45133</v>
      </c>
      <c r="B997" s="13" t="s">
        <v>1380</v>
      </c>
      <c r="C997" s="13" t="s">
        <v>1379</v>
      </c>
      <c r="D997" s="13" t="s">
        <v>353</v>
      </c>
    </row>
    <row r="998" spans="1:4">
      <c r="A998" s="23">
        <v>45133</v>
      </c>
      <c r="B998" s="13" t="s">
        <v>1382</v>
      </c>
      <c r="C998" s="13" t="s">
        <v>1381</v>
      </c>
      <c r="D998" s="13" t="s">
        <v>24</v>
      </c>
    </row>
    <row r="999" spans="1:4">
      <c r="A999" s="23">
        <v>45134</v>
      </c>
      <c r="B999" s="13" t="s">
        <v>1384</v>
      </c>
      <c r="C999" s="13" t="s">
        <v>1383</v>
      </c>
      <c r="D999" s="13" t="s">
        <v>74</v>
      </c>
    </row>
    <row r="1000" spans="1:4">
      <c r="A1000" s="23">
        <v>45134</v>
      </c>
      <c r="B1000" s="13" t="s">
        <v>1386</v>
      </c>
      <c r="C1000" s="13" t="s">
        <v>1385</v>
      </c>
      <c r="D1000" s="13" t="s">
        <v>74</v>
      </c>
    </row>
    <row r="1001" spans="1:4">
      <c r="A1001" s="23">
        <v>45134</v>
      </c>
      <c r="B1001" s="13" t="s">
        <v>1388</v>
      </c>
      <c r="C1001" s="13" t="s">
        <v>1387</v>
      </c>
      <c r="D1001" s="13" t="s">
        <v>164</v>
      </c>
    </row>
    <row r="1002" spans="1:4">
      <c r="A1002" s="23">
        <v>45134</v>
      </c>
      <c r="B1002" s="13" t="s">
        <v>1390</v>
      </c>
      <c r="C1002" s="13" t="s">
        <v>1389</v>
      </c>
      <c r="D1002" s="13" t="s">
        <v>74</v>
      </c>
    </row>
    <row r="1003" spans="1:4">
      <c r="A1003" s="23">
        <v>45134</v>
      </c>
      <c r="B1003" s="13" t="s">
        <v>1386</v>
      </c>
      <c r="C1003" s="13" t="s">
        <v>1385</v>
      </c>
      <c r="D1003" s="13" t="s">
        <v>74</v>
      </c>
    </row>
    <row r="1004" spans="1:4">
      <c r="A1004" s="23">
        <v>45134</v>
      </c>
      <c r="B1004" s="13" t="s">
        <v>1392</v>
      </c>
      <c r="C1004" s="13" t="s">
        <v>1391</v>
      </c>
      <c r="D1004" s="13" t="s">
        <v>74</v>
      </c>
    </row>
    <row r="1005" spans="1:4">
      <c r="A1005" s="23">
        <v>45135</v>
      </c>
      <c r="B1005" s="13" t="s">
        <v>1394</v>
      </c>
      <c r="C1005" s="13" t="s">
        <v>1393</v>
      </c>
      <c r="D1005" s="13" t="s">
        <v>353</v>
      </c>
    </row>
    <row r="1006" spans="1:4">
      <c r="A1006" s="23">
        <v>45135</v>
      </c>
      <c r="B1006" s="13" t="s">
        <v>1396</v>
      </c>
      <c r="C1006" s="13" t="s">
        <v>1395</v>
      </c>
      <c r="D1006" s="13" t="s">
        <v>29</v>
      </c>
    </row>
    <row r="1007" spans="1:4">
      <c r="A1007" s="23">
        <v>45138</v>
      </c>
      <c r="B1007" s="13" t="s">
        <v>1398</v>
      </c>
      <c r="C1007" s="13" t="s">
        <v>1397</v>
      </c>
      <c r="D1007" s="13" t="s">
        <v>11</v>
      </c>
    </row>
    <row r="1008" spans="1:4">
      <c r="A1008" s="23">
        <v>45138</v>
      </c>
      <c r="B1008" s="13" t="s">
        <v>1400</v>
      </c>
      <c r="C1008" s="13" t="s">
        <v>1399</v>
      </c>
      <c r="D1008" s="13" t="s">
        <v>11</v>
      </c>
    </row>
    <row r="1009" spans="1:4">
      <c r="A1009" s="23">
        <v>45140</v>
      </c>
      <c r="B1009" s="13" t="s">
        <v>1402</v>
      </c>
      <c r="C1009" s="13" t="s">
        <v>1401</v>
      </c>
      <c r="D1009" s="13" t="s">
        <v>74</v>
      </c>
    </row>
    <row r="1010" spans="1:4">
      <c r="A1010" s="23">
        <v>45140</v>
      </c>
      <c r="B1010" s="13" t="s">
        <v>1404</v>
      </c>
      <c r="C1010" s="13" t="s">
        <v>1403</v>
      </c>
      <c r="D1010" s="13" t="s">
        <v>74</v>
      </c>
    </row>
    <row r="1011" spans="1:4">
      <c r="A1011" s="23">
        <v>45140</v>
      </c>
      <c r="B1011" s="13" t="s">
        <v>1406</v>
      </c>
      <c r="C1011" s="13" t="s">
        <v>1405</v>
      </c>
      <c r="D1011" s="13" t="s">
        <v>109</v>
      </c>
    </row>
    <row r="1012" spans="1:4">
      <c r="A1012" s="23">
        <v>45140</v>
      </c>
      <c r="B1012" s="13" t="s">
        <v>1408</v>
      </c>
      <c r="C1012" s="13" t="s">
        <v>1407</v>
      </c>
      <c r="D1012" s="13" t="s">
        <v>345</v>
      </c>
    </row>
    <row r="1013" spans="1:4">
      <c r="A1013" s="23">
        <v>45174</v>
      </c>
      <c r="B1013" s="13" t="s">
        <v>1410</v>
      </c>
      <c r="C1013" s="13" t="s">
        <v>1409</v>
      </c>
      <c r="D1013" s="13" t="s">
        <v>74</v>
      </c>
    </row>
    <row r="1014" spans="1:4">
      <c r="A1014" s="23">
        <v>45141</v>
      </c>
      <c r="B1014" s="13" t="s">
        <v>1412</v>
      </c>
      <c r="C1014" s="13" t="s">
        <v>1411</v>
      </c>
      <c r="D1014" s="13" t="s">
        <v>74</v>
      </c>
    </row>
    <row r="1015" spans="1:4">
      <c r="A1015" s="23">
        <v>45141</v>
      </c>
      <c r="B1015" s="13" t="s">
        <v>1414</v>
      </c>
      <c r="C1015" s="13" t="s">
        <v>1413</v>
      </c>
      <c r="D1015" s="13" t="s">
        <v>141</v>
      </c>
    </row>
    <row r="1016" spans="1:4">
      <c r="A1016" s="23">
        <v>45141</v>
      </c>
      <c r="B1016" s="13" t="s">
        <v>1416</v>
      </c>
      <c r="C1016" s="13" t="s">
        <v>1415</v>
      </c>
      <c r="D1016" s="13" t="s">
        <v>164</v>
      </c>
    </row>
    <row r="1017" spans="1:4">
      <c r="A1017" s="23">
        <v>45141</v>
      </c>
      <c r="B1017" s="13" t="s">
        <v>1418</v>
      </c>
      <c r="C1017" s="13" t="s">
        <v>1417</v>
      </c>
      <c r="D1017" s="13" t="s">
        <v>164</v>
      </c>
    </row>
    <row r="1018" spans="1:4">
      <c r="A1018" s="23">
        <v>45131</v>
      </c>
      <c r="B1018" s="13" t="s">
        <v>1420</v>
      </c>
      <c r="C1018" s="13" t="s">
        <v>1419</v>
      </c>
      <c r="D1018" s="13" t="s">
        <v>74</v>
      </c>
    </row>
    <row r="1019" spans="1:4">
      <c r="A1019" s="23">
        <v>45167</v>
      </c>
      <c r="B1019" s="13" t="s">
        <v>1422</v>
      </c>
      <c r="C1019" s="13" t="s">
        <v>1421</v>
      </c>
      <c r="D1019" s="13" t="s">
        <v>74</v>
      </c>
    </row>
    <row r="1020" spans="1:4">
      <c r="A1020" s="23">
        <v>45142</v>
      </c>
      <c r="B1020" s="13" t="s">
        <v>1424</v>
      </c>
      <c r="C1020" s="13" t="s">
        <v>1423</v>
      </c>
      <c r="D1020" s="13" t="s">
        <v>74</v>
      </c>
    </row>
    <row r="1021" spans="1:4">
      <c r="A1021" s="23">
        <v>45173</v>
      </c>
      <c r="B1021" s="13" t="s">
        <v>1426</v>
      </c>
      <c r="C1021" s="13" t="s">
        <v>1425</v>
      </c>
      <c r="D1021" s="13" t="s">
        <v>74</v>
      </c>
    </row>
    <row r="1022" spans="1:4">
      <c r="A1022" s="23">
        <v>45142</v>
      </c>
      <c r="B1022" s="13" t="s">
        <v>1428</v>
      </c>
      <c r="C1022" s="13" t="s">
        <v>1427</v>
      </c>
      <c r="D1022" s="13" t="s">
        <v>29</v>
      </c>
    </row>
    <row r="1023" spans="1:4">
      <c r="A1023" s="23">
        <v>45168</v>
      </c>
      <c r="B1023" s="13" t="s">
        <v>1430</v>
      </c>
      <c r="C1023" s="13" t="s">
        <v>1429</v>
      </c>
      <c r="D1023" s="13" t="s">
        <v>74</v>
      </c>
    </row>
    <row r="1024" spans="1:4">
      <c r="A1024" s="23">
        <v>45142</v>
      </c>
      <c r="B1024" s="13" t="s">
        <v>1432</v>
      </c>
      <c r="C1024" s="13" t="s">
        <v>1431</v>
      </c>
      <c r="D1024" s="13" t="s">
        <v>164</v>
      </c>
    </row>
    <row r="1025" spans="1:4">
      <c r="A1025" s="23">
        <v>45168</v>
      </c>
      <c r="B1025" s="13" t="s">
        <v>1434</v>
      </c>
      <c r="C1025" s="13" t="s">
        <v>1433</v>
      </c>
      <c r="D1025" s="13" t="s">
        <v>74</v>
      </c>
    </row>
    <row r="1026" spans="1:4">
      <c r="A1026" s="23">
        <v>45142</v>
      </c>
      <c r="B1026" s="13" t="s">
        <v>1436</v>
      </c>
      <c r="C1026" s="13" t="s">
        <v>1435</v>
      </c>
      <c r="D1026" s="13" t="s">
        <v>74</v>
      </c>
    </row>
    <row r="1027" spans="1:4">
      <c r="A1027" s="23">
        <v>45142</v>
      </c>
      <c r="B1027" s="13" t="s">
        <v>1438</v>
      </c>
      <c r="C1027" s="13" t="s">
        <v>1437</v>
      </c>
      <c r="D1027" s="13" t="s">
        <v>29</v>
      </c>
    </row>
    <row r="1028" spans="1:4">
      <c r="A1028" s="23">
        <v>45143</v>
      </c>
      <c r="B1028" s="13" t="s">
        <v>1440</v>
      </c>
      <c r="C1028" s="13" t="s">
        <v>1439</v>
      </c>
      <c r="D1028" s="13" t="s">
        <v>109</v>
      </c>
    </row>
    <row r="1029" spans="1:4">
      <c r="A1029" s="23">
        <v>45164</v>
      </c>
      <c r="B1029" s="13" t="s">
        <v>1442</v>
      </c>
      <c r="C1029" s="13" t="s">
        <v>1441</v>
      </c>
      <c r="D1029" s="13" t="s">
        <v>11</v>
      </c>
    </row>
    <row r="1030" spans="1:4">
      <c r="A1030" s="23">
        <v>45145</v>
      </c>
      <c r="B1030" s="13" t="s">
        <v>1444</v>
      </c>
      <c r="C1030" s="13" t="s">
        <v>1443</v>
      </c>
      <c r="D1030" s="13" t="s">
        <v>5</v>
      </c>
    </row>
    <row r="1031" spans="1:4">
      <c r="A1031" s="23">
        <v>45168</v>
      </c>
      <c r="B1031" s="13" t="s">
        <v>1446</v>
      </c>
      <c r="C1031" s="13" t="s">
        <v>1445</v>
      </c>
      <c r="D1031" s="13" t="s">
        <v>19</v>
      </c>
    </row>
    <row r="1032" spans="1:4">
      <c r="A1032" s="23">
        <v>45145</v>
      </c>
      <c r="B1032" s="13" t="s">
        <v>1448</v>
      </c>
      <c r="C1032" s="13" t="s">
        <v>1447</v>
      </c>
      <c r="D1032" s="13" t="s">
        <v>34</v>
      </c>
    </row>
    <row r="1033" spans="1:4">
      <c r="A1033" s="23">
        <v>45145</v>
      </c>
      <c r="B1033" s="13" t="s">
        <v>1450</v>
      </c>
      <c r="C1033" s="13" t="s">
        <v>1449</v>
      </c>
      <c r="D1033" s="13" t="s">
        <v>5</v>
      </c>
    </row>
    <row r="1034" spans="1:4">
      <c r="A1034" s="23">
        <v>45146</v>
      </c>
      <c r="B1034" s="13" t="s">
        <v>1452</v>
      </c>
      <c r="C1034" s="13" t="s">
        <v>1451</v>
      </c>
      <c r="D1034" s="13" t="s">
        <v>353</v>
      </c>
    </row>
    <row r="1035" spans="1:4">
      <c r="A1035" s="23">
        <v>45146</v>
      </c>
      <c r="B1035" s="13" t="s">
        <v>1454</v>
      </c>
      <c r="C1035" s="13" t="s">
        <v>1453</v>
      </c>
      <c r="D1035" s="13" t="s">
        <v>353</v>
      </c>
    </row>
    <row r="1036" spans="1:4">
      <c r="A1036" s="23">
        <v>45146</v>
      </c>
      <c r="B1036" s="13" t="s">
        <v>1456</v>
      </c>
      <c r="C1036" s="13" t="s">
        <v>1455</v>
      </c>
      <c r="D1036" s="13" t="s">
        <v>353</v>
      </c>
    </row>
    <row r="1037" spans="1:4">
      <c r="A1037" s="23">
        <v>45146</v>
      </c>
      <c r="B1037" s="13" t="s">
        <v>1458</v>
      </c>
      <c r="C1037" s="13" t="s">
        <v>1457</v>
      </c>
      <c r="D1037" s="13" t="s">
        <v>510</v>
      </c>
    </row>
    <row r="1038" spans="1:4">
      <c r="A1038" s="23">
        <v>45147</v>
      </c>
      <c r="B1038" s="13" t="s">
        <v>1460</v>
      </c>
      <c r="C1038" s="13" t="s">
        <v>1459</v>
      </c>
      <c r="D1038" s="13" t="s">
        <v>109</v>
      </c>
    </row>
    <row r="1039" spans="1:4">
      <c r="A1039" s="23">
        <v>45147</v>
      </c>
      <c r="B1039" s="13" t="s">
        <v>1462</v>
      </c>
      <c r="C1039" s="13" t="s">
        <v>1461</v>
      </c>
      <c r="D1039" s="13" t="s">
        <v>353</v>
      </c>
    </row>
    <row r="1040" spans="1:4">
      <c r="A1040" s="23">
        <v>45147</v>
      </c>
      <c r="B1040" s="13" t="s">
        <v>1456</v>
      </c>
      <c r="C1040" s="13" t="s">
        <v>1463</v>
      </c>
      <c r="D1040" s="13" t="s">
        <v>353</v>
      </c>
    </row>
    <row r="1041" spans="1:4">
      <c r="A1041" s="23">
        <v>45147</v>
      </c>
      <c r="B1041" s="13" t="s">
        <v>1460</v>
      </c>
      <c r="C1041" s="13" t="s">
        <v>1459</v>
      </c>
      <c r="D1041" s="13" t="s">
        <v>109</v>
      </c>
    </row>
    <row r="1042" spans="1:4">
      <c r="A1042" s="23">
        <v>45164</v>
      </c>
      <c r="B1042" s="13" t="s">
        <v>1465</v>
      </c>
      <c r="C1042" s="13" t="s">
        <v>1464</v>
      </c>
      <c r="D1042" s="13" t="s">
        <v>11</v>
      </c>
    </row>
    <row r="1043" spans="1:4">
      <c r="A1043" s="23">
        <v>45148</v>
      </c>
      <c r="B1043" s="13" t="s">
        <v>1466</v>
      </c>
      <c r="C1043" s="13" t="s">
        <v>1160</v>
      </c>
      <c r="D1043" s="13" t="s">
        <v>19</v>
      </c>
    </row>
    <row r="1044" spans="1:4">
      <c r="A1044" s="23">
        <v>45148</v>
      </c>
      <c r="B1044" s="13" t="s">
        <v>1466</v>
      </c>
      <c r="C1044" s="13" t="s">
        <v>1160</v>
      </c>
      <c r="D1044" s="13" t="s">
        <v>19</v>
      </c>
    </row>
    <row r="1045" spans="1:4">
      <c r="A1045" s="23">
        <v>45148</v>
      </c>
      <c r="B1045" s="13" t="s">
        <v>1467</v>
      </c>
      <c r="C1045" s="13" t="s">
        <v>1445</v>
      </c>
      <c r="D1045" s="13" t="s">
        <v>19</v>
      </c>
    </row>
    <row r="1046" spans="1:4">
      <c r="A1046" s="23">
        <v>45148</v>
      </c>
      <c r="B1046" s="13" t="s">
        <v>1469</v>
      </c>
      <c r="C1046" s="13" t="s">
        <v>1468</v>
      </c>
      <c r="D1046" s="13" t="s">
        <v>24</v>
      </c>
    </row>
    <row r="1047" spans="1:4">
      <c r="A1047" s="23">
        <v>45149</v>
      </c>
      <c r="B1047" s="13" t="s">
        <v>1471</v>
      </c>
      <c r="C1047" s="13" t="s">
        <v>1470</v>
      </c>
      <c r="D1047" s="13" t="s">
        <v>74</v>
      </c>
    </row>
    <row r="1048" spans="1:4">
      <c r="A1048" s="23">
        <v>45149</v>
      </c>
      <c r="B1048" s="13" t="s">
        <v>1473</v>
      </c>
      <c r="C1048" s="13" t="s">
        <v>1472</v>
      </c>
      <c r="D1048" s="13" t="s">
        <v>74</v>
      </c>
    </row>
    <row r="1049" spans="1:4">
      <c r="A1049" s="23">
        <v>45149</v>
      </c>
      <c r="B1049" s="13" t="s">
        <v>1475</v>
      </c>
      <c r="C1049" s="13" t="s">
        <v>1474</v>
      </c>
      <c r="D1049" s="13" t="s">
        <v>164</v>
      </c>
    </row>
    <row r="1050" spans="1:4">
      <c r="A1050" s="23">
        <v>45149</v>
      </c>
      <c r="B1050" s="13" t="s">
        <v>1477</v>
      </c>
      <c r="C1050" s="13" t="s">
        <v>1476</v>
      </c>
      <c r="D1050" s="13" t="s">
        <v>74</v>
      </c>
    </row>
    <row r="1051" spans="1:4">
      <c r="A1051" s="23">
        <v>45149</v>
      </c>
      <c r="B1051" s="13" t="s">
        <v>1479</v>
      </c>
      <c r="C1051" s="13" t="s">
        <v>1478</v>
      </c>
      <c r="D1051" s="13" t="s">
        <v>19</v>
      </c>
    </row>
    <row r="1052" spans="1:4">
      <c r="A1052" s="23">
        <v>45150</v>
      </c>
      <c r="B1052" s="13" t="s">
        <v>1481</v>
      </c>
      <c r="C1052" s="13" t="s">
        <v>1480</v>
      </c>
      <c r="D1052" s="13" t="s">
        <v>353</v>
      </c>
    </row>
    <row r="1053" spans="1:4">
      <c r="A1053" s="23">
        <v>45150</v>
      </c>
      <c r="B1053" s="13" t="s">
        <v>1483</v>
      </c>
      <c r="C1053" s="13" t="s">
        <v>1482</v>
      </c>
      <c r="D1053" s="13" t="s">
        <v>164</v>
      </c>
    </row>
    <row r="1054" spans="1:4">
      <c r="A1054" s="23">
        <v>45150</v>
      </c>
      <c r="B1054" s="13" t="s">
        <v>1484</v>
      </c>
      <c r="C1054" s="13" t="s">
        <v>949</v>
      </c>
      <c r="D1054" s="13" t="s">
        <v>81</v>
      </c>
    </row>
    <row r="1055" spans="1:4">
      <c r="A1055" s="23">
        <v>45150</v>
      </c>
      <c r="B1055" s="13" t="s">
        <v>1485</v>
      </c>
      <c r="C1055" s="13" t="s">
        <v>949</v>
      </c>
      <c r="D1055" s="13" t="s">
        <v>81</v>
      </c>
    </row>
    <row r="1056" spans="1:4">
      <c r="A1056" s="23">
        <v>45152</v>
      </c>
      <c r="B1056" s="13" t="s">
        <v>1487</v>
      </c>
      <c r="C1056" s="13" t="s">
        <v>1486</v>
      </c>
      <c r="D1056" s="13" t="s">
        <v>164</v>
      </c>
    </row>
    <row r="1057" spans="1:4">
      <c r="A1057" s="23">
        <v>45152</v>
      </c>
      <c r="B1057" s="13" t="s">
        <v>1489</v>
      </c>
      <c r="C1057" s="13" t="s">
        <v>1488</v>
      </c>
      <c r="D1057" s="13" t="s">
        <v>164</v>
      </c>
    </row>
    <row r="1058" spans="1:4">
      <c r="A1058" s="23">
        <v>45152</v>
      </c>
      <c r="B1058" s="13" t="s">
        <v>1491</v>
      </c>
      <c r="C1058" s="13" t="s">
        <v>1490</v>
      </c>
      <c r="D1058" s="13" t="s">
        <v>353</v>
      </c>
    </row>
    <row r="1059" spans="1:4">
      <c r="A1059" s="23">
        <v>45152</v>
      </c>
      <c r="B1059" s="13" t="s">
        <v>1493</v>
      </c>
      <c r="C1059" s="13" t="s">
        <v>1492</v>
      </c>
      <c r="D1059" s="13" t="s">
        <v>74</v>
      </c>
    </row>
    <row r="1060" spans="1:4">
      <c r="A1060" s="23">
        <v>45152</v>
      </c>
      <c r="B1060" s="13" t="s">
        <v>1495</v>
      </c>
      <c r="C1060" s="13" t="s">
        <v>1494</v>
      </c>
      <c r="D1060" s="13" t="s">
        <v>34</v>
      </c>
    </row>
    <row r="1061" spans="1:4">
      <c r="A1061" s="23">
        <v>45152</v>
      </c>
      <c r="B1061" s="13" t="s">
        <v>1497</v>
      </c>
      <c r="C1061" s="13" t="s">
        <v>1496</v>
      </c>
      <c r="D1061" s="13" t="s">
        <v>74</v>
      </c>
    </row>
    <row r="1062" spans="1:4">
      <c r="A1062" s="23">
        <v>45152</v>
      </c>
      <c r="B1062" s="13" t="s">
        <v>1499</v>
      </c>
      <c r="C1062" s="13" t="s">
        <v>1498</v>
      </c>
      <c r="D1062" s="13" t="s">
        <v>74</v>
      </c>
    </row>
    <row r="1063" spans="1:4">
      <c r="A1063" s="23">
        <v>45152</v>
      </c>
      <c r="B1063" s="13" t="s">
        <v>1501</v>
      </c>
      <c r="C1063" s="13" t="s">
        <v>1500</v>
      </c>
      <c r="D1063" s="13" t="s">
        <v>34</v>
      </c>
    </row>
    <row r="1064" spans="1:4">
      <c r="A1064" s="23">
        <v>45153</v>
      </c>
      <c r="B1064" s="13" t="s">
        <v>1503</v>
      </c>
      <c r="C1064" s="13" t="s">
        <v>1502</v>
      </c>
      <c r="D1064" s="13" t="s">
        <v>74</v>
      </c>
    </row>
    <row r="1065" spans="1:4">
      <c r="A1065" s="23">
        <v>45167</v>
      </c>
      <c r="B1065" s="13" t="s">
        <v>1504</v>
      </c>
      <c r="C1065" s="13" t="s">
        <v>949</v>
      </c>
      <c r="D1065" s="13" t="s">
        <v>81</v>
      </c>
    </row>
    <row r="1066" spans="1:4">
      <c r="A1066" s="23">
        <v>45153</v>
      </c>
      <c r="B1066" s="13" t="s">
        <v>1506</v>
      </c>
      <c r="C1066" s="13" t="s">
        <v>1505</v>
      </c>
      <c r="D1066" s="13" t="s">
        <v>74</v>
      </c>
    </row>
    <row r="1067" spans="1:4">
      <c r="A1067" s="23">
        <v>45176</v>
      </c>
      <c r="B1067" s="13" t="s">
        <v>1508</v>
      </c>
      <c r="C1067" s="13" t="s">
        <v>1507</v>
      </c>
      <c r="D1067" s="13" t="s">
        <v>353</v>
      </c>
    </row>
    <row r="1068" spans="1:4">
      <c r="A1068" s="23">
        <v>45154</v>
      </c>
      <c r="B1068" s="13" t="s">
        <v>1510</v>
      </c>
      <c r="C1068" s="13" t="s">
        <v>1509</v>
      </c>
      <c r="D1068" s="13" t="s">
        <v>353</v>
      </c>
    </row>
    <row r="1069" spans="1:4">
      <c r="A1069" s="23">
        <v>45168</v>
      </c>
      <c r="B1069" s="13" t="s">
        <v>1512</v>
      </c>
      <c r="C1069" s="13" t="s">
        <v>1511</v>
      </c>
      <c r="D1069" s="13" t="s">
        <v>74</v>
      </c>
    </row>
    <row r="1070" spans="1:4">
      <c r="A1070" s="23">
        <v>45166</v>
      </c>
      <c r="B1070" s="13" t="s">
        <v>1514</v>
      </c>
      <c r="C1070" s="13" t="s">
        <v>1513</v>
      </c>
      <c r="D1070" s="13" t="s">
        <v>11</v>
      </c>
    </row>
    <row r="1071" spans="1:4">
      <c r="A1071" s="23">
        <v>45154</v>
      </c>
      <c r="B1071" s="13" t="s">
        <v>1516</v>
      </c>
      <c r="C1071" s="13" t="s">
        <v>1515</v>
      </c>
      <c r="D1071" s="13" t="s">
        <v>74</v>
      </c>
    </row>
    <row r="1072" spans="1:4">
      <c r="A1072" s="23">
        <v>45154</v>
      </c>
      <c r="B1072" s="13" t="s">
        <v>1518</v>
      </c>
      <c r="C1072" s="13" t="s">
        <v>1517</v>
      </c>
      <c r="D1072" s="13" t="s">
        <v>74</v>
      </c>
    </row>
    <row r="1073" spans="1:4">
      <c r="A1073" s="23">
        <v>45156</v>
      </c>
      <c r="B1073" s="13" t="s">
        <v>1520</v>
      </c>
      <c r="C1073" s="13" t="s">
        <v>1519</v>
      </c>
      <c r="D1073" s="13" t="s">
        <v>74</v>
      </c>
    </row>
    <row r="1074" spans="1:4">
      <c r="A1074" s="23">
        <v>45167</v>
      </c>
      <c r="B1074" s="13" t="s">
        <v>1521</v>
      </c>
      <c r="C1074" s="13" t="s">
        <v>1513</v>
      </c>
      <c r="D1074" s="13" t="s">
        <v>11</v>
      </c>
    </row>
    <row r="1075" spans="1:4">
      <c r="A1075" s="23">
        <v>45164</v>
      </c>
      <c r="B1075" s="13" t="s">
        <v>1523</v>
      </c>
      <c r="C1075" s="13" t="s">
        <v>1522</v>
      </c>
      <c r="D1075" s="13" t="s">
        <v>34</v>
      </c>
    </row>
    <row r="1076" spans="1:4">
      <c r="A1076" s="23">
        <v>45156</v>
      </c>
      <c r="B1076" s="13" t="s">
        <v>1525</v>
      </c>
      <c r="C1076" s="13" t="s">
        <v>1524</v>
      </c>
      <c r="D1076" s="13" t="s">
        <v>353</v>
      </c>
    </row>
    <row r="1077" spans="1:4">
      <c r="A1077" s="23">
        <v>45156</v>
      </c>
      <c r="B1077" s="13" t="s">
        <v>1520</v>
      </c>
      <c r="C1077" s="13" t="s">
        <v>1526</v>
      </c>
      <c r="D1077" s="13" t="s">
        <v>74</v>
      </c>
    </row>
    <row r="1078" spans="1:4">
      <c r="A1078" s="23">
        <v>45156</v>
      </c>
      <c r="B1078" s="13" t="s">
        <v>1528</v>
      </c>
      <c r="C1078" s="13" t="s">
        <v>1527</v>
      </c>
      <c r="D1078" s="13" t="s">
        <v>353</v>
      </c>
    </row>
    <row r="1079" spans="1:4">
      <c r="A1079" s="23">
        <v>45156</v>
      </c>
      <c r="B1079" s="13" t="s">
        <v>1530</v>
      </c>
      <c r="C1079" s="13" t="s">
        <v>1529</v>
      </c>
      <c r="D1079" s="13" t="s">
        <v>24</v>
      </c>
    </row>
    <row r="1080" spans="1:4">
      <c r="A1080" s="23">
        <v>45157</v>
      </c>
      <c r="B1080" s="13" t="s">
        <v>1532</v>
      </c>
      <c r="C1080" s="13" t="s">
        <v>1531</v>
      </c>
      <c r="D1080" s="13" t="s">
        <v>11</v>
      </c>
    </row>
    <row r="1081" spans="1:4">
      <c r="A1081" s="23">
        <v>45166</v>
      </c>
      <c r="B1081" s="13" t="s">
        <v>1534</v>
      </c>
      <c r="C1081" s="13" t="s">
        <v>1533</v>
      </c>
      <c r="D1081" s="13" t="s">
        <v>81</v>
      </c>
    </row>
    <row r="1082" spans="1:4">
      <c r="A1082" s="23">
        <v>45159</v>
      </c>
      <c r="B1082" s="13" t="s">
        <v>1536</v>
      </c>
      <c r="C1082" s="13" t="s">
        <v>1535</v>
      </c>
      <c r="D1082" s="13" t="s">
        <v>11</v>
      </c>
    </row>
    <row r="1083" spans="1:4">
      <c r="A1083" s="23">
        <v>45173</v>
      </c>
      <c r="B1083" s="13" t="s">
        <v>1537</v>
      </c>
      <c r="C1083" s="13" t="s">
        <v>1511</v>
      </c>
      <c r="D1083" s="13" t="s">
        <v>74</v>
      </c>
    </row>
    <row r="1084" spans="1:4">
      <c r="A1084" s="23">
        <v>45182</v>
      </c>
      <c r="B1084" s="13" t="s">
        <v>1539</v>
      </c>
      <c r="C1084" s="13" t="s">
        <v>1538</v>
      </c>
      <c r="D1084" s="13" t="s">
        <v>11</v>
      </c>
    </row>
    <row r="1085" spans="1:4">
      <c r="A1085" s="23">
        <v>45162</v>
      </c>
      <c r="B1085" s="13" t="s">
        <v>1541</v>
      </c>
      <c r="C1085" s="13" t="s">
        <v>1540</v>
      </c>
      <c r="D1085" s="13" t="s">
        <v>164</v>
      </c>
    </row>
    <row r="1086" spans="1:4">
      <c r="A1086" s="23">
        <v>45168</v>
      </c>
      <c r="B1086" s="13" t="s">
        <v>1543</v>
      </c>
      <c r="C1086" s="13" t="s">
        <v>1542</v>
      </c>
      <c r="D1086" s="13" t="s">
        <v>74</v>
      </c>
    </row>
    <row r="1087" spans="1:4">
      <c r="A1087" s="23">
        <v>45163</v>
      </c>
      <c r="B1087" s="13" t="s">
        <v>1545</v>
      </c>
      <c r="C1087" s="13" t="s">
        <v>1544</v>
      </c>
      <c r="D1087" s="13" t="s">
        <v>109</v>
      </c>
    </row>
    <row r="1088" spans="1:4">
      <c r="A1088" s="23">
        <v>45163</v>
      </c>
      <c r="B1088" s="13" t="s">
        <v>1547</v>
      </c>
      <c r="C1088" s="13" t="s">
        <v>1546</v>
      </c>
      <c r="D1088" s="13" t="s">
        <v>74</v>
      </c>
    </row>
    <row r="1089" spans="1:4">
      <c r="A1089" s="23">
        <v>45163</v>
      </c>
      <c r="B1089" s="13" t="s">
        <v>1549</v>
      </c>
      <c r="C1089" s="13" t="s">
        <v>1548</v>
      </c>
      <c r="D1089" s="13" t="s">
        <v>74</v>
      </c>
    </row>
    <row r="1090" spans="1:4">
      <c r="A1090" s="23">
        <v>45167</v>
      </c>
      <c r="B1090" s="13" t="s">
        <v>1551</v>
      </c>
      <c r="C1090" s="13" t="s">
        <v>1550</v>
      </c>
      <c r="D1090" s="13" t="s">
        <v>81</v>
      </c>
    </row>
    <row r="1091" spans="1:4">
      <c r="A1091" s="23">
        <v>45163</v>
      </c>
      <c r="B1091" s="13" t="s">
        <v>1545</v>
      </c>
      <c r="C1091" s="13" t="s">
        <v>1552</v>
      </c>
      <c r="D1091" s="13" t="s">
        <v>109</v>
      </c>
    </row>
    <row r="1092" spans="1:4">
      <c r="A1092" s="23">
        <v>45164</v>
      </c>
      <c r="B1092" s="13" t="s">
        <v>1554</v>
      </c>
      <c r="C1092" s="13" t="s">
        <v>1553</v>
      </c>
      <c r="D1092" s="13" t="s">
        <v>34</v>
      </c>
    </row>
    <row r="1093" spans="1:4">
      <c r="A1093" s="23">
        <v>45167</v>
      </c>
      <c r="B1093" s="13" t="s">
        <v>1555</v>
      </c>
      <c r="C1093" s="13" t="s">
        <v>949</v>
      </c>
      <c r="D1093" s="13" t="s">
        <v>81</v>
      </c>
    </row>
    <row r="1094" spans="1:4">
      <c r="A1094" s="23">
        <v>45162</v>
      </c>
      <c r="B1094" s="13" t="s">
        <v>1557</v>
      </c>
      <c r="C1094" s="13" t="s">
        <v>1556</v>
      </c>
      <c r="D1094" s="13" t="s">
        <v>11</v>
      </c>
    </row>
    <row r="1095" spans="1:4">
      <c r="A1095" s="23">
        <v>45163</v>
      </c>
      <c r="B1095" s="13" t="s">
        <v>1559</v>
      </c>
      <c r="C1095" s="13" t="s">
        <v>1558</v>
      </c>
      <c r="D1095" s="13" t="s">
        <v>11</v>
      </c>
    </row>
    <row r="1096" spans="1:4">
      <c r="A1096" s="13" t="s">
        <v>1560</v>
      </c>
      <c r="B1096" s="13" t="s">
        <v>1333</v>
      </c>
      <c r="C1096" s="13" t="s">
        <v>1332</v>
      </c>
      <c r="D1096" s="13" t="s">
        <v>74</v>
      </c>
    </row>
    <row r="1097" spans="1:4">
      <c r="A1097" s="23">
        <v>45184</v>
      </c>
      <c r="B1097" s="13"/>
      <c r="C1097" s="13" t="s">
        <v>1561</v>
      </c>
      <c r="D1097" s="13" t="s">
        <v>74</v>
      </c>
    </row>
    <row r="1098" spans="1:4">
      <c r="A1098" s="23">
        <v>45162</v>
      </c>
      <c r="B1098" s="13" t="s">
        <v>1557</v>
      </c>
      <c r="C1098" s="13" t="s">
        <v>1562</v>
      </c>
      <c r="D1098" s="13" t="s">
        <v>11</v>
      </c>
    </row>
    <row r="1099" spans="1:4">
      <c r="A1099" s="23">
        <v>45166</v>
      </c>
      <c r="B1099" s="13" t="s">
        <v>1521</v>
      </c>
      <c r="C1099" s="13" t="s">
        <v>1563</v>
      </c>
      <c r="D1099" s="13" t="s">
        <v>11</v>
      </c>
    </row>
    <row r="1100" spans="1:4">
      <c r="A1100" s="23">
        <v>45196</v>
      </c>
      <c r="B1100" s="13" t="s">
        <v>1565</v>
      </c>
      <c r="C1100" s="13" t="s">
        <v>1564</v>
      </c>
      <c r="D1100" s="13" t="s">
        <v>11</v>
      </c>
    </row>
    <row r="1101" spans="1:4">
      <c r="A1101" s="23">
        <v>45174</v>
      </c>
      <c r="B1101" s="13" t="s">
        <v>1567</v>
      </c>
      <c r="C1101" s="13" t="s">
        <v>1566</v>
      </c>
      <c r="D1101" s="13" t="s">
        <v>11</v>
      </c>
    </row>
    <row r="1102" spans="1:4">
      <c r="A1102" s="23">
        <v>45171</v>
      </c>
      <c r="B1102" s="13" t="s">
        <v>1568</v>
      </c>
      <c r="C1102" s="13" t="s">
        <v>829</v>
      </c>
      <c r="D1102" s="13" t="s">
        <v>11</v>
      </c>
    </row>
    <row r="1103" spans="1:4">
      <c r="A1103" s="23">
        <v>45183</v>
      </c>
      <c r="B1103" s="13" t="s">
        <v>1570</v>
      </c>
      <c r="C1103" s="13" t="s">
        <v>1569</v>
      </c>
      <c r="D1103" s="13" t="s">
        <v>5</v>
      </c>
    </row>
    <row r="1104" spans="1:4">
      <c r="A1104" s="23">
        <v>45216</v>
      </c>
      <c r="B1104" s="13" t="s">
        <v>1572</v>
      </c>
      <c r="C1104" s="13" t="s">
        <v>1571</v>
      </c>
      <c r="D1104" s="13" t="s">
        <v>11</v>
      </c>
    </row>
    <row r="1105" spans="1:4">
      <c r="A1105" s="23">
        <v>45182</v>
      </c>
      <c r="B1105" s="13" t="s">
        <v>1539</v>
      </c>
      <c r="C1105" s="13" t="s">
        <v>1538</v>
      </c>
      <c r="D1105" s="13" t="s">
        <v>11</v>
      </c>
    </row>
    <row r="1106" spans="1:4">
      <c r="A1106" s="23">
        <v>45171</v>
      </c>
      <c r="B1106" s="13" t="s">
        <v>1574</v>
      </c>
      <c r="C1106" s="13" t="s">
        <v>1573</v>
      </c>
      <c r="D1106" s="13" t="s">
        <v>34</v>
      </c>
    </row>
    <row r="1107" spans="1:4">
      <c r="A1107" s="32">
        <v>45196</v>
      </c>
      <c r="B1107" s="19" t="s">
        <v>1576</v>
      </c>
      <c r="C1107" s="19" t="s">
        <v>1575</v>
      </c>
      <c r="D1107" s="19" t="s">
        <v>34</v>
      </c>
    </row>
    <row r="1108" spans="1:4">
      <c r="A1108" s="23">
        <v>45173</v>
      </c>
      <c r="B1108" s="13" t="s">
        <v>1578</v>
      </c>
      <c r="C1108" s="13" t="s">
        <v>1577</v>
      </c>
      <c r="D1108" s="13" t="s">
        <v>353</v>
      </c>
    </row>
    <row r="1109" spans="1:4">
      <c r="A1109" s="23">
        <v>45169</v>
      </c>
      <c r="B1109" s="13" t="s">
        <v>1580</v>
      </c>
      <c r="C1109" s="13" t="s">
        <v>1579</v>
      </c>
      <c r="D1109" s="13" t="s">
        <v>109</v>
      </c>
    </row>
    <row r="1110" spans="1:4">
      <c r="A1110" s="23">
        <v>45209</v>
      </c>
      <c r="B1110" s="13" t="s">
        <v>1582</v>
      </c>
      <c r="C1110" s="13" t="s">
        <v>1581</v>
      </c>
      <c r="D1110" s="13" t="s">
        <v>353</v>
      </c>
    </row>
    <row r="1111" spans="1:4">
      <c r="A1111" s="23">
        <v>45169</v>
      </c>
      <c r="B1111" s="13" t="s">
        <v>1583</v>
      </c>
      <c r="C1111" s="13" t="s">
        <v>1322</v>
      </c>
      <c r="D1111" s="13" t="s">
        <v>353</v>
      </c>
    </row>
    <row r="1112" spans="1:4">
      <c r="A1112" s="23">
        <v>45170</v>
      </c>
      <c r="B1112" s="13" t="s">
        <v>1585</v>
      </c>
      <c r="C1112" s="13" t="s">
        <v>1584</v>
      </c>
      <c r="D1112" s="13" t="s">
        <v>11</v>
      </c>
    </row>
    <row r="1113" spans="1:4">
      <c r="A1113" s="23">
        <v>45173</v>
      </c>
      <c r="B1113" s="13" t="s">
        <v>1587</v>
      </c>
      <c r="C1113" s="13" t="s">
        <v>1586</v>
      </c>
      <c r="D1113" s="13" t="s">
        <v>353</v>
      </c>
    </row>
    <row r="1114" spans="1:4">
      <c r="A1114" s="23">
        <v>45189</v>
      </c>
      <c r="B1114" s="13" t="s">
        <v>1589</v>
      </c>
      <c r="C1114" s="13" t="s">
        <v>1588</v>
      </c>
      <c r="D1114" s="13" t="s">
        <v>5</v>
      </c>
    </row>
    <row r="1115" spans="1:4">
      <c r="A1115" s="23">
        <v>45174</v>
      </c>
      <c r="B1115" s="13" t="s">
        <v>1590</v>
      </c>
      <c r="C1115" s="18">
        <v>31878</v>
      </c>
      <c r="D1115" s="13" t="s">
        <v>164</v>
      </c>
    </row>
    <row r="1116" spans="1:4">
      <c r="A1116" s="23">
        <v>45184</v>
      </c>
      <c r="B1116" s="13" t="s">
        <v>1591</v>
      </c>
      <c r="C1116" s="13" t="s">
        <v>1561</v>
      </c>
      <c r="D1116" s="13" t="s">
        <v>74</v>
      </c>
    </row>
    <row r="1117" spans="1:4">
      <c r="A1117" s="23">
        <v>45189</v>
      </c>
      <c r="B1117" s="13" t="s">
        <v>1593</v>
      </c>
      <c r="C1117" s="13" t="s">
        <v>1592</v>
      </c>
      <c r="D1117" s="13" t="s">
        <v>11</v>
      </c>
    </row>
    <row r="1118" spans="1:4">
      <c r="A1118" s="23">
        <v>45209</v>
      </c>
      <c r="B1118" s="13" t="s">
        <v>1582</v>
      </c>
      <c r="C1118" s="13" t="s">
        <v>1581</v>
      </c>
      <c r="D1118" s="13" t="s">
        <v>353</v>
      </c>
    </row>
    <row r="1119" spans="1:4">
      <c r="A1119" s="23">
        <v>45170</v>
      </c>
      <c r="B1119" s="13" t="s">
        <v>1595</v>
      </c>
      <c r="C1119" s="13" t="s">
        <v>1594</v>
      </c>
      <c r="D1119" s="13" t="s">
        <v>74</v>
      </c>
    </row>
    <row r="1120" spans="1:4">
      <c r="A1120" s="23">
        <v>45169</v>
      </c>
      <c r="B1120" s="13" t="s">
        <v>1597</v>
      </c>
      <c r="C1120" s="13" t="s">
        <v>1596</v>
      </c>
      <c r="D1120" s="13" t="s">
        <v>24</v>
      </c>
    </row>
    <row r="1121" spans="1:4">
      <c r="A1121" s="23">
        <v>45170</v>
      </c>
      <c r="B1121" s="13" t="s">
        <v>1599</v>
      </c>
      <c r="C1121" s="13" t="s">
        <v>1598</v>
      </c>
      <c r="D1121" s="13" t="s">
        <v>74</v>
      </c>
    </row>
    <row r="1122" spans="1:4">
      <c r="A1122" s="23">
        <v>45196</v>
      </c>
      <c r="B1122" s="13" t="s">
        <v>1565</v>
      </c>
      <c r="C1122" s="13" t="s">
        <v>1564</v>
      </c>
      <c r="D1122" s="13" t="s">
        <v>11</v>
      </c>
    </row>
    <row r="1123" spans="1:4">
      <c r="A1123" s="23">
        <v>45169</v>
      </c>
      <c r="B1123" s="13" t="s">
        <v>1601</v>
      </c>
      <c r="C1123" s="13" t="s">
        <v>1600</v>
      </c>
      <c r="D1123" s="13" t="s">
        <v>74</v>
      </c>
    </row>
    <row r="1124" spans="1:4">
      <c r="A1124" s="23">
        <v>45175</v>
      </c>
      <c r="B1124" s="13" t="s">
        <v>1603</v>
      </c>
      <c r="C1124" s="13" t="s">
        <v>1602</v>
      </c>
      <c r="D1124" s="13" t="s">
        <v>353</v>
      </c>
    </row>
    <row r="1125" spans="1:4">
      <c r="A1125" s="23">
        <v>45174</v>
      </c>
      <c r="B1125" s="13" t="s">
        <v>1605</v>
      </c>
      <c r="C1125" s="13" t="s">
        <v>1604</v>
      </c>
      <c r="D1125" s="13" t="s">
        <v>11</v>
      </c>
    </row>
    <row r="1126" spans="1:4">
      <c r="A1126" s="23">
        <v>45177</v>
      </c>
      <c r="B1126" s="13" t="s">
        <v>1607</v>
      </c>
      <c r="C1126" s="13" t="s">
        <v>1606</v>
      </c>
      <c r="D1126" s="13" t="s">
        <v>24</v>
      </c>
    </row>
    <row r="1127" spans="1:4">
      <c r="A1127" s="23">
        <v>45182</v>
      </c>
      <c r="B1127" s="13" t="s">
        <v>1539</v>
      </c>
      <c r="C1127" s="13" t="s">
        <v>1538</v>
      </c>
      <c r="D1127" s="13" t="s">
        <v>11</v>
      </c>
    </row>
    <row r="1128" spans="1:4">
      <c r="A1128" s="23">
        <v>45174</v>
      </c>
      <c r="B1128" s="13" t="s">
        <v>1609</v>
      </c>
      <c r="C1128" s="13" t="s">
        <v>1608</v>
      </c>
      <c r="D1128" s="13" t="s">
        <v>74</v>
      </c>
    </row>
    <row r="1129" spans="1:4">
      <c r="A1129" s="23">
        <v>45173</v>
      </c>
      <c r="B1129" s="13" t="s">
        <v>1426</v>
      </c>
      <c r="C1129" s="13" t="s">
        <v>1425</v>
      </c>
      <c r="D1129" s="13" t="s">
        <v>74</v>
      </c>
    </row>
    <row r="1130" spans="1:4">
      <c r="A1130" s="23">
        <v>45182</v>
      </c>
      <c r="B1130" s="13" t="s">
        <v>1611</v>
      </c>
      <c r="C1130" s="13" t="s">
        <v>1610</v>
      </c>
      <c r="D1130" s="13" t="s">
        <v>74</v>
      </c>
    </row>
    <row r="1131" spans="1:4">
      <c r="A1131" s="23">
        <v>45182</v>
      </c>
      <c r="B1131" s="13" t="s">
        <v>1613</v>
      </c>
      <c r="C1131" s="13" t="s">
        <v>1612</v>
      </c>
      <c r="D1131" s="13" t="s">
        <v>74</v>
      </c>
    </row>
    <row r="1132" spans="1:4">
      <c r="A1132" s="23">
        <v>45169</v>
      </c>
      <c r="B1132" s="13" t="s">
        <v>1615</v>
      </c>
      <c r="C1132" s="13" t="s">
        <v>1614</v>
      </c>
      <c r="D1132" s="13" t="s">
        <v>109</v>
      </c>
    </row>
    <row r="1133" spans="1:4">
      <c r="A1133" s="23">
        <v>45171</v>
      </c>
      <c r="B1133" s="13" t="s">
        <v>1617</v>
      </c>
      <c r="C1133" s="13" t="s">
        <v>1616</v>
      </c>
      <c r="D1133" s="13" t="s">
        <v>34</v>
      </c>
    </row>
    <row r="1134" spans="1:4">
      <c r="A1134" s="23">
        <v>45177</v>
      </c>
      <c r="B1134" s="13" t="s">
        <v>1619</v>
      </c>
      <c r="C1134" s="13" t="s">
        <v>1618</v>
      </c>
      <c r="D1134" s="13" t="s">
        <v>11</v>
      </c>
    </row>
    <row r="1135" spans="1:4">
      <c r="A1135" s="23">
        <v>45182</v>
      </c>
      <c r="B1135" s="13" t="s">
        <v>1621</v>
      </c>
      <c r="C1135" s="13" t="s">
        <v>1620</v>
      </c>
      <c r="D1135" s="13" t="s">
        <v>74</v>
      </c>
    </row>
    <row r="1136" spans="1:4">
      <c r="A1136" s="23">
        <v>45180</v>
      </c>
      <c r="B1136" s="13" t="s">
        <v>1623</v>
      </c>
      <c r="C1136" s="13" t="s">
        <v>1622</v>
      </c>
      <c r="D1136" s="13" t="s">
        <v>216</v>
      </c>
    </row>
    <row r="1137" spans="1:4">
      <c r="A1137" s="23">
        <v>45181</v>
      </c>
      <c r="B1137" s="13" t="s">
        <v>1624</v>
      </c>
      <c r="C1137" s="13" t="s">
        <v>1612</v>
      </c>
      <c r="D1137" s="13" t="s">
        <v>74</v>
      </c>
    </row>
    <row r="1138" spans="1:4">
      <c r="A1138" s="23">
        <v>45181</v>
      </c>
      <c r="B1138" s="13" t="s">
        <v>1626</v>
      </c>
      <c r="C1138" s="13" t="s">
        <v>1625</v>
      </c>
      <c r="D1138" s="13" t="s">
        <v>74</v>
      </c>
    </row>
    <row r="1139" spans="1:4">
      <c r="A1139" s="23">
        <v>45183</v>
      </c>
      <c r="B1139" s="13" t="s">
        <v>1570</v>
      </c>
      <c r="C1139" s="13" t="s">
        <v>1569</v>
      </c>
      <c r="D1139" s="13" t="s">
        <v>5</v>
      </c>
    </row>
    <row r="1140" spans="1:4">
      <c r="A1140" s="23">
        <v>45182</v>
      </c>
      <c r="B1140" s="13" t="s">
        <v>1621</v>
      </c>
      <c r="C1140" s="13" t="s">
        <v>1627</v>
      </c>
      <c r="D1140" s="13" t="s">
        <v>74</v>
      </c>
    </row>
    <row r="1141" spans="1:4">
      <c r="A1141" s="23">
        <v>45204</v>
      </c>
      <c r="B1141" s="13" t="s">
        <v>1629</v>
      </c>
      <c r="C1141" s="13" t="s">
        <v>1628</v>
      </c>
      <c r="D1141" s="13" t="s">
        <v>109</v>
      </c>
    </row>
    <row r="1142" spans="1:4">
      <c r="A1142" s="23">
        <v>45203</v>
      </c>
      <c r="B1142" s="13" t="s">
        <v>1631</v>
      </c>
      <c r="C1142" s="13" t="s">
        <v>1630</v>
      </c>
      <c r="D1142" s="13" t="s">
        <v>74</v>
      </c>
    </row>
    <row r="1143" spans="1:4">
      <c r="A1143" s="23">
        <v>45204</v>
      </c>
      <c r="B1143" s="13" t="s">
        <v>1633</v>
      </c>
      <c r="C1143" s="13" t="s">
        <v>1632</v>
      </c>
      <c r="D1143" s="13" t="s">
        <v>5</v>
      </c>
    </row>
    <row r="1144" spans="1:4">
      <c r="A1144" s="23">
        <v>45203</v>
      </c>
      <c r="B1144" s="13" t="s">
        <v>1631</v>
      </c>
      <c r="C1144" s="13" t="s">
        <v>1630</v>
      </c>
      <c r="D1144" s="13" t="s">
        <v>74</v>
      </c>
    </row>
    <row r="1145" spans="1:4">
      <c r="A1145" s="23">
        <v>45202</v>
      </c>
      <c r="B1145" s="13" t="s">
        <v>1635</v>
      </c>
      <c r="C1145" s="13" t="s">
        <v>1634</v>
      </c>
      <c r="D1145" s="13" t="s">
        <v>16</v>
      </c>
    </row>
    <row r="1146" spans="1:4">
      <c r="A1146" s="23">
        <v>45194</v>
      </c>
      <c r="B1146" s="13" t="s">
        <v>1637</v>
      </c>
      <c r="C1146" s="13" t="s">
        <v>1636</v>
      </c>
      <c r="D1146" s="13" t="s">
        <v>74</v>
      </c>
    </row>
    <row r="1147" spans="1:4">
      <c r="A1147" s="23">
        <v>45194</v>
      </c>
      <c r="B1147" s="13" t="s">
        <v>1637</v>
      </c>
      <c r="C1147" s="13" t="s">
        <v>1636</v>
      </c>
      <c r="D1147" s="13" t="s">
        <v>74</v>
      </c>
    </row>
    <row r="1148" spans="1:4">
      <c r="A1148" s="23">
        <v>45197</v>
      </c>
      <c r="B1148" s="13" t="s">
        <v>1639</v>
      </c>
      <c r="C1148" s="13" t="s">
        <v>1638</v>
      </c>
      <c r="D1148" s="13" t="s">
        <v>74</v>
      </c>
    </row>
    <row r="1149" spans="1:4">
      <c r="A1149" s="23">
        <v>45197</v>
      </c>
      <c r="B1149" s="13" t="s">
        <v>1639</v>
      </c>
      <c r="C1149" s="13" t="s">
        <v>1638</v>
      </c>
      <c r="D1149" s="13" t="s">
        <v>74</v>
      </c>
    </row>
    <row r="1150" spans="1:4">
      <c r="A1150" s="23">
        <v>45078</v>
      </c>
      <c r="B1150" s="13" t="s">
        <v>1641</v>
      </c>
      <c r="C1150" s="13" t="s">
        <v>1640</v>
      </c>
      <c r="D1150" s="13" t="s">
        <v>74</v>
      </c>
    </row>
    <row r="1151" spans="1:4">
      <c r="A1151" s="23">
        <v>45195</v>
      </c>
      <c r="B1151" s="13" t="s">
        <v>1643</v>
      </c>
      <c r="C1151" s="13" t="s">
        <v>1642</v>
      </c>
      <c r="D1151" s="13" t="s">
        <v>74</v>
      </c>
    </row>
    <row r="1152" spans="1:4">
      <c r="A1152" s="23">
        <v>45194</v>
      </c>
      <c r="B1152" s="13" t="s">
        <v>1637</v>
      </c>
      <c r="C1152" s="13" t="s">
        <v>1636</v>
      </c>
      <c r="D1152" s="13" t="s">
        <v>74</v>
      </c>
    </row>
    <row r="1153" spans="1:4">
      <c r="A1153" s="23">
        <v>45205</v>
      </c>
      <c r="B1153" s="13" t="s">
        <v>1645</v>
      </c>
      <c r="C1153" s="13" t="s">
        <v>1644</v>
      </c>
      <c r="D1153" s="13" t="s">
        <v>8</v>
      </c>
    </row>
    <row r="1154" spans="1:4">
      <c r="A1154" s="23">
        <v>45183</v>
      </c>
      <c r="B1154" s="13" t="s">
        <v>1647</v>
      </c>
      <c r="C1154" s="13" t="s">
        <v>1646</v>
      </c>
      <c r="D1154" s="13" t="s">
        <v>74</v>
      </c>
    </row>
    <row r="1155" spans="1:4">
      <c r="A1155" s="23">
        <v>45183</v>
      </c>
      <c r="B1155" s="13" t="s">
        <v>1570</v>
      </c>
      <c r="C1155" s="13" t="s">
        <v>1569</v>
      </c>
      <c r="D1155" s="13" t="s">
        <v>5</v>
      </c>
    </row>
    <row r="1156" spans="1:4">
      <c r="A1156" s="23">
        <v>45203</v>
      </c>
      <c r="B1156" s="13" t="s">
        <v>1649</v>
      </c>
      <c r="C1156" s="13" t="s">
        <v>1648</v>
      </c>
      <c r="D1156" s="13" t="s">
        <v>74</v>
      </c>
    </row>
    <row r="1157" spans="1:4">
      <c r="A1157" s="23">
        <v>45205</v>
      </c>
      <c r="B1157" s="13" t="s">
        <v>1651</v>
      </c>
      <c r="C1157" s="13" t="s">
        <v>1650</v>
      </c>
      <c r="D1157" s="13" t="s">
        <v>34</v>
      </c>
    </row>
    <row r="1158" spans="1:4">
      <c r="A1158" s="23">
        <v>45192</v>
      </c>
      <c r="B1158" s="13" t="s">
        <v>1653</v>
      </c>
      <c r="C1158" s="13" t="s">
        <v>1652</v>
      </c>
      <c r="D1158" s="13" t="s">
        <v>353</v>
      </c>
    </row>
    <row r="1159" spans="1:4">
      <c r="A1159" s="23">
        <v>45195</v>
      </c>
      <c r="B1159" s="13" t="s">
        <v>1655</v>
      </c>
      <c r="C1159" s="13" t="s">
        <v>1654</v>
      </c>
      <c r="D1159" s="13" t="s">
        <v>34</v>
      </c>
    </row>
    <row r="1160" spans="1:4">
      <c r="A1160" s="23">
        <v>45195</v>
      </c>
      <c r="B1160" s="13" t="s">
        <v>1657</v>
      </c>
      <c r="C1160" s="13" t="s">
        <v>1656</v>
      </c>
      <c r="D1160" s="13" t="s">
        <v>34</v>
      </c>
    </row>
    <row r="1161" spans="1:4">
      <c r="A1161" s="23">
        <v>45184</v>
      </c>
      <c r="B1161" s="13" t="s">
        <v>1659</v>
      </c>
      <c r="C1161" s="13" t="s">
        <v>1658</v>
      </c>
      <c r="D1161" s="13" t="s">
        <v>74</v>
      </c>
    </row>
    <row r="1162" spans="1:4">
      <c r="A1162" s="23">
        <v>45205</v>
      </c>
      <c r="B1162" s="13" t="s">
        <v>1661</v>
      </c>
      <c r="C1162" s="13" t="s">
        <v>1660</v>
      </c>
      <c r="D1162" s="13" t="s">
        <v>8</v>
      </c>
    </row>
    <row r="1163" spans="1:4">
      <c r="A1163" s="23">
        <v>45184</v>
      </c>
      <c r="B1163" s="13" t="s">
        <v>1659</v>
      </c>
      <c r="C1163" s="13" t="s">
        <v>1658</v>
      </c>
      <c r="D1163" s="13" t="s">
        <v>74</v>
      </c>
    </row>
    <row r="1164" spans="1:4">
      <c r="A1164" s="23">
        <v>45195</v>
      </c>
      <c r="B1164" s="13" t="s">
        <v>1663</v>
      </c>
      <c r="C1164" s="13" t="s">
        <v>1662</v>
      </c>
      <c r="D1164" s="13" t="s">
        <v>11</v>
      </c>
    </row>
    <row r="1165" spans="1:4">
      <c r="A1165" s="23">
        <v>45197</v>
      </c>
      <c r="B1165" s="13" t="s">
        <v>1665</v>
      </c>
      <c r="C1165" s="13" t="s">
        <v>1664</v>
      </c>
      <c r="D1165" s="13" t="s">
        <v>8</v>
      </c>
    </row>
    <row r="1166" spans="1:4">
      <c r="A1166" s="23">
        <v>45196</v>
      </c>
      <c r="B1166" s="13" t="s">
        <v>1667</v>
      </c>
      <c r="C1166" s="13" t="s">
        <v>1666</v>
      </c>
      <c r="D1166" s="13" t="s">
        <v>5</v>
      </c>
    </row>
    <row r="1167" spans="1:4">
      <c r="A1167" s="23">
        <v>45197</v>
      </c>
      <c r="B1167" s="13" t="s">
        <v>1639</v>
      </c>
      <c r="C1167" s="13" t="s">
        <v>1638</v>
      </c>
      <c r="D1167" s="13" t="s">
        <v>74</v>
      </c>
    </row>
    <row r="1168" spans="1:4">
      <c r="A1168" s="23">
        <v>45196</v>
      </c>
      <c r="B1168" s="13" t="s">
        <v>1667</v>
      </c>
      <c r="C1168" s="13" t="s">
        <v>1666</v>
      </c>
      <c r="D1168" s="13" t="s">
        <v>5</v>
      </c>
    </row>
    <row r="1169" spans="1:4">
      <c r="A1169" s="23">
        <v>44965</v>
      </c>
      <c r="B1169" s="13" t="s">
        <v>1669</v>
      </c>
      <c r="C1169" s="13" t="s">
        <v>1668</v>
      </c>
      <c r="D1169" s="13" t="s">
        <v>34</v>
      </c>
    </row>
    <row r="1170" spans="1:4">
      <c r="A1170" s="23">
        <v>44966</v>
      </c>
      <c r="B1170" s="13" t="s">
        <v>1671</v>
      </c>
      <c r="C1170" s="13" t="s">
        <v>1670</v>
      </c>
      <c r="D1170" s="13" t="s">
        <v>34</v>
      </c>
    </row>
    <row r="1171" spans="1:4">
      <c r="A1171" s="23">
        <v>44966</v>
      </c>
      <c r="B1171" s="13" t="s">
        <v>1673</v>
      </c>
      <c r="C1171" s="13" t="s">
        <v>1672</v>
      </c>
      <c r="D1171" s="13" t="s">
        <v>34</v>
      </c>
    </row>
    <row r="1172" spans="1:4">
      <c r="A1172" s="23">
        <v>44966</v>
      </c>
      <c r="B1172" s="13" t="s">
        <v>1675</v>
      </c>
      <c r="C1172" s="13" t="s">
        <v>1674</v>
      </c>
      <c r="D1172" s="13" t="s">
        <v>34</v>
      </c>
    </row>
    <row r="1173" spans="1:4">
      <c r="A1173" s="23">
        <v>44966</v>
      </c>
      <c r="B1173" s="13" t="s">
        <v>1675</v>
      </c>
      <c r="C1173" s="13" t="s">
        <v>1676</v>
      </c>
      <c r="D1173" s="13" t="s">
        <v>34</v>
      </c>
    </row>
    <row r="1174" spans="1:4">
      <c r="A1174" s="23">
        <v>44967</v>
      </c>
      <c r="B1174" s="13" t="s">
        <v>1677</v>
      </c>
      <c r="C1174" s="13" t="s">
        <v>949</v>
      </c>
      <c r="D1174" s="13" t="s">
        <v>81</v>
      </c>
    </row>
    <row r="1175" spans="1:4">
      <c r="A1175" s="23">
        <v>44967</v>
      </c>
      <c r="B1175" s="13" t="s">
        <v>1679</v>
      </c>
      <c r="C1175" s="13" t="s">
        <v>1678</v>
      </c>
      <c r="D1175" s="13" t="s">
        <v>510</v>
      </c>
    </row>
    <row r="1176" spans="1:4">
      <c r="A1176" s="23">
        <v>44967</v>
      </c>
      <c r="B1176" s="13" t="s">
        <v>1681</v>
      </c>
      <c r="C1176" s="13" t="s">
        <v>1680</v>
      </c>
      <c r="D1176" s="13" t="s">
        <v>81</v>
      </c>
    </row>
    <row r="1177" spans="1:4">
      <c r="A1177" s="23">
        <v>44967</v>
      </c>
      <c r="B1177" s="13" t="s">
        <v>1683</v>
      </c>
      <c r="C1177" s="13" t="s">
        <v>1682</v>
      </c>
      <c r="D1177" s="13" t="s">
        <v>24</v>
      </c>
    </row>
    <row r="1178" spans="1:4">
      <c r="A1178" s="23">
        <v>44967</v>
      </c>
      <c r="B1178" s="13" t="s">
        <v>1684</v>
      </c>
      <c r="C1178" s="13" t="s">
        <v>231</v>
      </c>
      <c r="D1178" s="13" t="s">
        <v>81</v>
      </c>
    </row>
    <row r="1179" spans="1:4">
      <c r="A1179" s="23">
        <v>44968</v>
      </c>
      <c r="B1179" s="13" t="s">
        <v>1686</v>
      </c>
      <c r="C1179" s="13" t="s">
        <v>1685</v>
      </c>
      <c r="D1179" s="13" t="s">
        <v>34</v>
      </c>
    </row>
    <row r="1180" spans="1:4">
      <c r="A1180" s="23">
        <v>44968</v>
      </c>
      <c r="B1180" s="13" t="s">
        <v>1688</v>
      </c>
      <c r="C1180" s="13" t="s">
        <v>1687</v>
      </c>
      <c r="D1180" s="13" t="s">
        <v>5</v>
      </c>
    </row>
    <row r="1181" spans="1:4">
      <c r="A1181" s="23">
        <v>44968</v>
      </c>
      <c r="B1181" s="13" t="s">
        <v>1689</v>
      </c>
      <c r="C1181" s="13" t="s">
        <v>1687</v>
      </c>
      <c r="D1181" s="13" t="s">
        <v>5</v>
      </c>
    </row>
    <row r="1182" spans="1:4">
      <c r="A1182" s="23">
        <v>44972</v>
      </c>
      <c r="B1182" s="13" t="s">
        <v>1691</v>
      </c>
      <c r="C1182" s="13" t="s">
        <v>1690</v>
      </c>
      <c r="D1182" s="13" t="s">
        <v>81</v>
      </c>
    </row>
    <row r="1183" spans="1:4">
      <c r="A1183" s="23">
        <v>44973</v>
      </c>
      <c r="B1183" s="13" t="s">
        <v>1693</v>
      </c>
      <c r="C1183" s="13" t="s">
        <v>1692</v>
      </c>
      <c r="D1183" s="13" t="s">
        <v>34</v>
      </c>
    </row>
    <row r="1184" spans="1:4">
      <c r="A1184" s="23">
        <v>44974</v>
      </c>
      <c r="B1184" s="13" t="s">
        <v>1695</v>
      </c>
      <c r="C1184" s="13" t="s">
        <v>1694</v>
      </c>
      <c r="D1184" s="13" t="s">
        <v>81</v>
      </c>
    </row>
    <row r="1185" spans="1:4">
      <c r="A1185" s="23">
        <v>44974</v>
      </c>
      <c r="B1185" s="13" t="s">
        <v>1697</v>
      </c>
      <c r="C1185" s="13" t="s">
        <v>1696</v>
      </c>
      <c r="D1185" s="13" t="s">
        <v>5</v>
      </c>
    </row>
    <row r="1186" spans="1:4">
      <c r="A1186" s="23">
        <v>44974</v>
      </c>
      <c r="B1186" s="13" t="s">
        <v>1699</v>
      </c>
      <c r="C1186" s="13" t="s">
        <v>1698</v>
      </c>
      <c r="D1186" s="13" t="s">
        <v>5</v>
      </c>
    </row>
    <row r="1187" spans="1:4">
      <c r="A1187" s="23">
        <v>44974</v>
      </c>
      <c r="B1187" s="13" t="s">
        <v>1701</v>
      </c>
      <c r="C1187" s="13" t="s">
        <v>1700</v>
      </c>
      <c r="D1187" s="13" t="s">
        <v>5</v>
      </c>
    </row>
    <row r="1188" spans="1:4">
      <c r="A1188" s="23">
        <v>44975</v>
      </c>
      <c r="B1188" s="13" t="s">
        <v>1703</v>
      </c>
      <c r="C1188" s="13" t="s">
        <v>1702</v>
      </c>
      <c r="D1188" s="13" t="s">
        <v>5</v>
      </c>
    </row>
    <row r="1189" spans="1:4">
      <c r="A1189" s="23">
        <v>44975</v>
      </c>
      <c r="B1189" s="13" t="s">
        <v>1705</v>
      </c>
      <c r="C1189" s="13" t="s">
        <v>1704</v>
      </c>
      <c r="D1189" s="13" t="s">
        <v>5</v>
      </c>
    </row>
    <row r="1190" spans="1:4">
      <c r="A1190" s="23">
        <v>44975</v>
      </c>
      <c r="B1190" s="13" t="s">
        <v>1707</v>
      </c>
      <c r="C1190" s="13" t="s">
        <v>1706</v>
      </c>
      <c r="D1190" s="13" t="s">
        <v>34</v>
      </c>
    </row>
    <row r="1191" spans="1:4">
      <c r="A1191" s="23">
        <v>44975</v>
      </c>
      <c r="B1191" s="13" t="s">
        <v>1709</v>
      </c>
      <c r="C1191" s="13" t="s">
        <v>1708</v>
      </c>
      <c r="D1191" s="13" t="s">
        <v>34</v>
      </c>
    </row>
    <row r="1192" spans="1:4">
      <c r="A1192" s="23">
        <v>44977</v>
      </c>
      <c r="B1192" s="13" t="s">
        <v>1711</v>
      </c>
      <c r="C1192" s="13" t="s">
        <v>1710</v>
      </c>
      <c r="D1192" s="13" t="s">
        <v>34</v>
      </c>
    </row>
    <row r="1193" spans="1:4">
      <c r="A1193" s="23">
        <v>44977</v>
      </c>
      <c r="B1193" s="13" t="s">
        <v>1713</v>
      </c>
      <c r="C1193" s="13" t="s">
        <v>1712</v>
      </c>
      <c r="D1193" s="13" t="s">
        <v>345</v>
      </c>
    </row>
    <row r="1194" spans="1:4">
      <c r="A1194" s="23">
        <v>44977</v>
      </c>
      <c r="B1194" s="13" t="s">
        <v>1715</v>
      </c>
      <c r="C1194" s="13" t="s">
        <v>1714</v>
      </c>
      <c r="D1194" s="13" t="s">
        <v>109</v>
      </c>
    </row>
    <row r="1195" spans="1:4">
      <c r="A1195" s="23">
        <v>44977</v>
      </c>
      <c r="B1195" s="13" t="s">
        <v>1717</v>
      </c>
      <c r="C1195" s="13" t="s">
        <v>1716</v>
      </c>
      <c r="D1195" s="13" t="s">
        <v>34</v>
      </c>
    </row>
    <row r="1196" spans="1:4">
      <c r="A1196" s="23">
        <v>44978</v>
      </c>
      <c r="B1196" s="13" t="s">
        <v>1719</v>
      </c>
      <c r="C1196" s="13" t="s">
        <v>1718</v>
      </c>
      <c r="D1196" s="13" t="s">
        <v>24</v>
      </c>
    </row>
    <row r="1197" spans="1:4">
      <c r="A1197" s="23">
        <v>44978</v>
      </c>
      <c r="B1197" s="13" t="s">
        <v>1721</v>
      </c>
      <c r="C1197" s="13" t="s">
        <v>1720</v>
      </c>
      <c r="D1197" s="13" t="s">
        <v>81</v>
      </c>
    </row>
    <row r="1198" spans="1:4">
      <c r="A1198" s="23">
        <v>44978</v>
      </c>
      <c r="B1198" s="13" t="s">
        <v>1722</v>
      </c>
      <c r="C1198" s="13" t="s">
        <v>176</v>
      </c>
      <c r="D1198" s="13" t="s">
        <v>81</v>
      </c>
    </row>
    <row r="1199" spans="1:4">
      <c r="A1199" s="23">
        <v>44978</v>
      </c>
      <c r="B1199" s="13" t="s">
        <v>1724</v>
      </c>
      <c r="C1199" s="13" t="s">
        <v>1723</v>
      </c>
      <c r="D1199" s="13" t="s">
        <v>109</v>
      </c>
    </row>
    <row r="1200" spans="1:4">
      <c r="A1200" s="23">
        <v>44978</v>
      </c>
      <c r="B1200" s="13" t="s">
        <v>1725</v>
      </c>
      <c r="C1200" s="13" t="s">
        <v>1533</v>
      </c>
      <c r="D1200" s="13" t="s">
        <v>81</v>
      </c>
    </row>
    <row r="1201" spans="1:4">
      <c r="A1201" s="23">
        <v>44978</v>
      </c>
      <c r="B1201" s="13" t="s">
        <v>1727</v>
      </c>
      <c r="C1201" s="13" t="s">
        <v>1726</v>
      </c>
      <c r="D1201" s="13" t="s">
        <v>510</v>
      </c>
    </row>
    <row r="1202" spans="1:4">
      <c r="A1202" s="23">
        <v>44978</v>
      </c>
      <c r="B1202" s="13" t="s">
        <v>1729</v>
      </c>
      <c r="C1202" s="13" t="s">
        <v>1728</v>
      </c>
      <c r="D1202" s="13" t="s">
        <v>81</v>
      </c>
    </row>
    <row r="1203" spans="1:4">
      <c r="A1203" s="23">
        <v>44978</v>
      </c>
      <c r="B1203" s="13" t="s">
        <v>1730</v>
      </c>
      <c r="C1203" s="13" t="s">
        <v>1533</v>
      </c>
      <c r="D1203" s="13" t="s">
        <v>81</v>
      </c>
    </row>
    <row r="1204" spans="1:4">
      <c r="A1204" s="23">
        <v>44978</v>
      </c>
      <c r="B1204" s="13" t="s">
        <v>1732</v>
      </c>
      <c r="C1204" s="13" t="s">
        <v>1731</v>
      </c>
      <c r="D1204" s="13" t="s">
        <v>510</v>
      </c>
    </row>
    <row r="1205" spans="1:4">
      <c r="A1205" s="23">
        <v>44979</v>
      </c>
      <c r="B1205" s="13" t="s">
        <v>1734</v>
      </c>
      <c r="C1205" s="13" t="s">
        <v>1733</v>
      </c>
      <c r="D1205" s="13" t="s">
        <v>29</v>
      </c>
    </row>
    <row r="1206" spans="1:4">
      <c r="A1206" s="23">
        <v>44980</v>
      </c>
      <c r="B1206" s="13" t="s">
        <v>1736</v>
      </c>
      <c r="C1206" s="13" t="s">
        <v>1735</v>
      </c>
      <c r="D1206" s="13" t="s">
        <v>5</v>
      </c>
    </row>
    <row r="1207" spans="1:4">
      <c r="A1207" s="23">
        <v>44980</v>
      </c>
      <c r="B1207" s="13" t="s">
        <v>1738</v>
      </c>
      <c r="C1207" s="13" t="s">
        <v>1737</v>
      </c>
      <c r="D1207" s="13" t="s">
        <v>353</v>
      </c>
    </row>
    <row r="1208" spans="1:4">
      <c r="A1208" s="23">
        <v>44980</v>
      </c>
      <c r="B1208" s="13" t="s">
        <v>1740</v>
      </c>
      <c r="C1208" s="13" t="s">
        <v>1739</v>
      </c>
      <c r="D1208" s="13" t="s">
        <v>353</v>
      </c>
    </row>
    <row r="1209" spans="1:4">
      <c r="A1209" s="23">
        <v>44981</v>
      </c>
      <c r="B1209" s="13" t="s">
        <v>1742</v>
      </c>
      <c r="C1209" s="13" t="s">
        <v>1741</v>
      </c>
      <c r="D1209" s="13" t="s">
        <v>11</v>
      </c>
    </row>
    <row r="1210" spans="1:4">
      <c r="A1210" s="23">
        <v>44981</v>
      </c>
      <c r="B1210" s="13" t="s">
        <v>1744</v>
      </c>
      <c r="C1210" s="13" t="s">
        <v>1743</v>
      </c>
      <c r="D1210" s="13" t="s">
        <v>11</v>
      </c>
    </row>
    <row r="1211" spans="1:4">
      <c r="A1211" s="23">
        <v>44982</v>
      </c>
      <c r="B1211" s="13" t="s">
        <v>1746</v>
      </c>
      <c r="C1211" s="13" t="s">
        <v>1745</v>
      </c>
      <c r="D1211" s="13" t="s">
        <v>34</v>
      </c>
    </row>
    <row r="1212" spans="1:4">
      <c r="A1212" s="23">
        <v>44982</v>
      </c>
      <c r="B1212" s="13" t="s">
        <v>1748</v>
      </c>
      <c r="C1212" s="13" t="s">
        <v>1747</v>
      </c>
      <c r="D1212" s="13" t="s">
        <v>34</v>
      </c>
    </row>
    <row r="1213" spans="1:4">
      <c r="A1213" s="23">
        <v>44984</v>
      </c>
      <c r="B1213" s="13" t="s">
        <v>1750</v>
      </c>
      <c r="C1213" s="13" t="s">
        <v>1749</v>
      </c>
      <c r="D1213" s="13" t="s">
        <v>24</v>
      </c>
    </row>
    <row r="1214" spans="1:4">
      <c r="A1214" s="23">
        <v>44984</v>
      </c>
      <c r="B1214" s="13" t="s">
        <v>1752</v>
      </c>
      <c r="C1214" s="13" t="s">
        <v>1751</v>
      </c>
      <c r="D1214" s="13" t="s">
        <v>24</v>
      </c>
    </row>
    <row r="1215" spans="1:4">
      <c r="A1215" s="23">
        <v>44984</v>
      </c>
      <c r="B1215" s="13" t="s">
        <v>1754</v>
      </c>
      <c r="C1215" s="13" t="s">
        <v>1753</v>
      </c>
      <c r="D1215" s="13" t="s">
        <v>34</v>
      </c>
    </row>
    <row r="1216" spans="1:4">
      <c r="A1216" s="23">
        <v>44985</v>
      </c>
      <c r="B1216" s="13" t="s">
        <v>1756</v>
      </c>
      <c r="C1216" s="13" t="s">
        <v>1755</v>
      </c>
      <c r="D1216" s="13" t="s">
        <v>34</v>
      </c>
    </row>
    <row r="1217" spans="1:4">
      <c r="A1217" s="23">
        <v>44985</v>
      </c>
      <c r="B1217" s="13" t="s">
        <v>1758</v>
      </c>
      <c r="C1217" s="13" t="s">
        <v>1757</v>
      </c>
      <c r="D1217" s="13" t="s">
        <v>34</v>
      </c>
    </row>
    <row r="1218" spans="1:4">
      <c r="A1218" s="23">
        <v>44985</v>
      </c>
      <c r="B1218" s="13" t="s">
        <v>1760</v>
      </c>
      <c r="C1218" s="13" t="s">
        <v>1759</v>
      </c>
      <c r="D1218" s="13" t="s">
        <v>81</v>
      </c>
    </row>
    <row r="1219" spans="1:4">
      <c r="A1219" s="23">
        <v>44985</v>
      </c>
      <c r="B1219" s="13" t="s">
        <v>1762</v>
      </c>
      <c r="C1219" s="13" t="s">
        <v>1761</v>
      </c>
      <c r="D1219" s="13" t="s">
        <v>74</v>
      </c>
    </row>
    <row r="1220" spans="1:4">
      <c r="A1220" s="23">
        <v>44985</v>
      </c>
      <c r="B1220" s="13" t="s">
        <v>1764</v>
      </c>
      <c r="C1220" s="13" t="s">
        <v>1763</v>
      </c>
      <c r="D1220" s="13" t="s">
        <v>81</v>
      </c>
    </row>
    <row r="1221" spans="1:4">
      <c r="A1221" s="23">
        <v>44985</v>
      </c>
      <c r="B1221" s="13" t="s">
        <v>1766</v>
      </c>
      <c r="C1221" s="13" t="s">
        <v>1765</v>
      </c>
      <c r="D1221" s="13" t="s">
        <v>81</v>
      </c>
    </row>
    <row r="1222" spans="1:4">
      <c r="A1222" s="23">
        <v>44985</v>
      </c>
      <c r="B1222" s="13" t="s">
        <v>1768</v>
      </c>
      <c r="C1222" s="13" t="s">
        <v>1767</v>
      </c>
      <c r="D1222" s="13" t="s">
        <v>81</v>
      </c>
    </row>
    <row r="1223" spans="1:4">
      <c r="A1223" s="23">
        <v>44985</v>
      </c>
      <c r="B1223" s="13" t="s">
        <v>1770</v>
      </c>
      <c r="C1223" s="13" t="s">
        <v>1769</v>
      </c>
      <c r="D1223" s="13" t="s">
        <v>81</v>
      </c>
    </row>
    <row r="1224" spans="1:4">
      <c r="A1224" s="23">
        <v>44985</v>
      </c>
      <c r="B1224" s="13" t="s">
        <v>1771</v>
      </c>
      <c r="C1224" s="13" t="s">
        <v>231</v>
      </c>
      <c r="D1224" s="13" t="s">
        <v>81</v>
      </c>
    </row>
    <row r="1225" spans="1:4">
      <c r="A1225" s="23">
        <v>44986</v>
      </c>
      <c r="B1225" s="13" t="s">
        <v>1773</v>
      </c>
      <c r="C1225" s="13" t="s">
        <v>1772</v>
      </c>
      <c r="D1225" s="13" t="s">
        <v>29</v>
      </c>
    </row>
    <row r="1226" spans="1:4">
      <c r="A1226" s="23">
        <v>44987</v>
      </c>
      <c r="B1226" s="13" t="s">
        <v>1775</v>
      </c>
      <c r="C1226" s="13" t="s">
        <v>1774</v>
      </c>
      <c r="D1226" s="13" t="s">
        <v>34</v>
      </c>
    </row>
    <row r="1227" spans="1:4">
      <c r="A1227" s="23">
        <v>44987</v>
      </c>
      <c r="B1227" s="13" t="s">
        <v>1777</v>
      </c>
      <c r="C1227" s="13" t="s">
        <v>1776</v>
      </c>
      <c r="D1227" s="13" t="s">
        <v>74</v>
      </c>
    </row>
    <row r="1228" spans="1:4">
      <c r="A1228" s="23">
        <v>44987</v>
      </c>
      <c r="B1228" s="13" t="s">
        <v>1779</v>
      </c>
      <c r="C1228" s="13" t="s">
        <v>1778</v>
      </c>
      <c r="D1228" s="13" t="s">
        <v>34</v>
      </c>
    </row>
    <row r="1229" spans="1:4">
      <c r="A1229" s="23">
        <v>44987</v>
      </c>
      <c r="B1229" s="13" t="s">
        <v>1781</v>
      </c>
      <c r="C1229" s="13" t="s">
        <v>1780</v>
      </c>
      <c r="D1229" s="13" t="s">
        <v>74</v>
      </c>
    </row>
    <row r="1230" spans="1:4">
      <c r="A1230" s="23">
        <v>44987</v>
      </c>
      <c r="B1230" s="13" t="s">
        <v>1783</v>
      </c>
      <c r="C1230" s="13" t="s">
        <v>1782</v>
      </c>
      <c r="D1230" s="13" t="s">
        <v>216</v>
      </c>
    </row>
    <row r="1231" spans="1:4">
      <c r="A1231" s="23">
        <v>44987</v>
      </c>
      <c r="B1231" s="13" t="s">
        <v>1785</v>
      </c>
      <c r="C1231" s="13" t="s">
        <v>1784</v>
      </c>
      <c r="D1231" s="13" t="s">
        <v>216</v>
      </c>
    </row>
    <row r="1232" spans="1:4">
      <c r="A1232" s="23">
        <v>44987</v>
      </c>
      <c r="B1232" s="13" t="s">
        <v>1787</v>
      </c>
      <c r="C1232" s="13" t="s">
        <v>1786</v>
      </c>
      <c r="D1232" s="13" t="s">
        <v>216</v>
      </c>
    </row>
    <row r="1233" spans="1:4">
      <c r="A1233" s="23">
        <v>44987</v>
      </c>
      <c r="B1233" s="13" t="s">
        <v>1789</v>
      </c>
      <c r="C1233" s="13" t="s">
        <v>1788</v>
      </c>
      <c r="D1233" s="13" t="s">
        <v>81</v>
      </c>
    </row>
    <row r="1234" spans="1:4">
      <c r="A1234" s="23">
        <v>44987</v>
      </c>
      <c r="B1234" s="13" t="s">
        <v>1791</v>
      </c>
      <c r="C1234" s="13" t="s">
        <v>1790</v>
      </c>
      <c r="D1234" s="13" t="s">
        <v>81</v>
      </c>
    </row>
    <row r="1235" spans="1:4">
      <c r="A1235" s="23">
        <v>44988</v>
      </c>
      <c r="B1235" s="13" t="s">
        <v>1793</v>
      </c>
      <c r="C1235" s="13" t="s">
        <v>1792</v>
      </c>
      <c r="D1235" s="13" t="s">
        <v>5</v>
      </c>
    </row>
    <row r="1236" spans="1:4">
      <c r="A1236" s="23">
        <v>44988</v>
      </c>
      <c r="B1236" s="13" t="s">
        <v>1795</v>
      </c>
      <c r="C1236" s="13" t="s">
        <v>1794</v>
      </c>
      <c r="D1236" s="13" t="s">
        <v>8</v>
      </c>
    </row>
    <row r="1237" spans="1:4">
      <c r="A1237" s="23">
        <v>44988</v>
      </c>
      <c r="B1237" s="13" t="s">
        <v>1797</v>
      </c>
      <c r="C1237" s="13" t="s">
        <v>1796</v>
      </c>
      <c r="D1237" s="13" t="s">
        <v>510</v>
      </c>
    </row>
    <row r="1238" spans="1:4">
      <c r="A1238" s="23">
        <v>44988</v>
      </c>
      <c r="B1238" s="13" t="s">
        <v>1799</v>
      </c>
      <c r="C1238" s="13" t="s">
        <v>1798</v>
      </c>
      <c r="D1238" s="13" t="s">
        <v>510</v>
      </c>
    </row>
    <row r="1239" spans="1:4">
      <c r="A1239" s="23">
        <v>44988</v>
      </c>
      <c r="B1239" s="13" t="s">
        <v>1801</v>
      </c>
      <c r="C1239" s="13" t="s">
        <v>1800</v>
      </c>
      <c r="D1239" s="13" t="s">
        <v>5</v>
      </c>
    </row>
    <row r="1240" spans="1:4">
      <c r="A1240" s="23">
        <v>44990</v>
      </c>
      <c r="B1240" s="13" t="s">
        <v>1803</v>
      </c>
      <c r="C1240" s="13" t="s">
        <v>1802</v>
      </c>
      <c r="D1240" s="13" t="s">
        <v>29</v>
      </c>
    </row>
    <row r="1241" spans="1:4">
      <c r="A1241" s="23">
        <v>44991</v>
      </c>
      <c r="B1241" s="13" t="s">
        <v>1805</v>
      </c>
      <c r="C1241" s="13" t="s">
        <v>1804</v>
      </c>
      <c r="D1241" s="13" t="s">
        <v>34</v>
      </c>
    </row>
    <row r="1242" spans="1:4">
      <c r="A1242" s="23">
        <v>44991</v>
      </c>
      <c r="B1242" s="13" t="s">
        <v>1807</v>
      </c>
      <c r="C1242" s="13" t="s">
        <v>1806</v>
      </c>
      <c r="D1242" s="13" t="s">
        <v>141</v>
      </c>
    </row>
    <row r="1243" spans="1:4">
      <c r="A1243" s="23">
        <v>44991</v>
      </c>
      <c r="B1243" s="13" t="s">
        <v>1809</v>
      </c>
      <c r="C1243" s="13" t="s">
        <v>1808</v>
      </c>
      <c r="D1243" s="13" t="s">
        <v>34</v>
      </c>
    </row>
    <row r="1244" spans="1:4">
      <c r="A1244" s="23">
        <v>44991</v>
      </c>
      <c r="B1244" s="13" t="s">
        <v>1811</v>
      </c>
      <c r="C1244" s="13" t="s">
        <v>1810</v>
      </c>
      <c r="D1244" s="13" t="s">
        <v>510</v>
      </c>
    </row>
    <row r="1245" spans="1:4">
      <c r="A1245" s="23">
        <v>44991</v>
      </c>
      <c r="B1245" s="13" t="s">
        <v>1813</v>
      </c>
      <c r="C1245" s="13" t="s">
        <v>1812</v>
      </c>
      <c r="D1245" s="13" t="s">
        <v>109</v>
      </c>
    </row>
    <row r="1246" spans="1:4">
      <c r="A1246" s="23">
        <v>44991</v>
      </c>
      <c r="B1246" s="13" t="s">
        <v>1815</v>
      </c>
      <c r="C1246" s="13" t="s">
        <v>1814</v>
      </c>
      <c r="D1246" s="13" t="s">
        <v>109</v>
      </c>
    </row>
    <row r="1247" spans="1:4">
      <c r="A1247" s="23">
        <v>44991</v>
      </c>
      <c r="B1247" s="13" t="s">
        <v>1816</v>
      </c>
      <c r="C1247" s="13" t="s">
        <v>1810</v>
      </c>
      <c r="D1247" s="13" t="s">
        <v>510</v>
      </c>
    </row>
    <row r="1248" spans="1:4">
      <c r="A1248" s="23">
        <v>44992</v>
      </c>
      <c r="B1248" s="13" t="s">
        <v>1818</v>
      </c>
      <c r="C1248" s="13" t="s">
        <v>1817</v>
      </c>
      <c r="D1248" s="13" t="s">
        <v>510</v>
      </c>
    </row>
    <row r="1249" spans="1:4">
      <c r="A1249" s="23">
        <v>44992</v>
      </c>
      <c r="B1249" s="13" t="s">
        <v>1820</v>
      </c>
      <c r="C1249" s="13" t="s">
        <v>1819</v>
      </c>
      <c r="D1249" s="13" t="s">
        <v>11</v>
      </c>
    </row>
    <row r="1250" spans="1:4">
      <c r="A1250" s="23">
        <v>44992</v>
      </c>
      <c r="B1250" s="13" t="s">
        <v>1822</v>
      </c>
      <c r="C1250" s="13" t="s">
        <v>1821</v>
      </c>
      <c r="D1250" s="13" t="s">
        <v>510</v>
      </c>
    </row>
    <row r="1251" spans="1:4">
      <c r="A1251" s="23">
        <v>44992</v>
      </c>
      <c r="B1251" s="13" t="s">
        <v>1824</v>
      </c>
      <c r="C1251" s="13" t="s">
        <v>1823</v>
      </c>
      <c r="D1251" s="13" t="s">
        <v>34</v>
      </c>
    </row>
    <row r="1252" spans="1:4">
      <c r="A1252" s="23">
        <v>44992</v>
      </c>
      <c r="B1252" s="13" t="s">
        <v>1826</v>
      </c>
      <c r="C1252" s="13" t="s">
        <v>1825</v>
      </c>
      <c r="D1252" s="13" t="s">
        <v>8</v>
      </c>
    </row>
    <row r="1253" spans="1:4">
      <c r="A1253" s="23">
        <v>44993</v>
      </c>
      <c r="B1253" s="13" t="s">
        <v>1828</v>
      </c>
      <c r="C1253" s="13" t="s">
        <v>1827</v>
      </c>
      <c r="D1253" s="13" t="s">
        <v>81</v>
      </c>
    </row>
    <row r="1254" spans="1:4">
      <c r="A1254" s="23">
        <v>44993</v>
      </c>
      <c r="B1254" s="13" t="s">
        <v>1830</v>
      </c>
      <c r="C1254" s="13" t="s">
        <v>1829</v>
      </c>
      <c r="D1254" s="13" t="s">
        <v>81</v>
      </c>
    </row>
    <row r="1255" spans="1:4">
      <c r="A1255" s="23">
        <v>44993</v>
      </c>
      <c r="B1255" s="13" t="s">
        <v>1771</v>
      </c>
      <c r="C1255" s="13" t="s">
        <v>1831</v>
      </c>
      <c r="D1255" s="13" t="s">
        <v>81</v>
      </c>
    </row>
    <row r="1256" spans="1:4">
      <c r="A1256" s="23">
        <v>44993</v>
      </c>
      <c r="B1256" s="13" t="s">
        <v>1695</v>
      </c>
      <c r="C1256" s="13" t="s">
        <v>1763</v>
      </c>
      <c r="D1256" s="13" t="s">
        <v>81</v>
      </c>
    </row>
    <row r="1257" spans="1:4">
      <c r="A1257" s="23">
        <v>44993</v>
      </c>
      <c r="B1257" s="13" t="s">
        <v>1771</v>
      </c>
      <c r="C1257" s="13" t="s">
        <v>176</v>
      </c>
      <c r="D1257" s="13" t="s">
        <v>81</v>
      </c>
    </row>
    <row r="1258" spans="1:4">
      <c r="A1258" s="23">
        <v>44993</v>
      </c>
      <c r="B1258" s="13" t="s">
        <v>1771</v>
      </c>
      <c r="C1258" s="13" t="s">
        <v>176</v>
      </c>
      <c r="D1258" s="13" t="s">
        <v>81</v>
      </c>
    </row>
    <row r="1259" spans="1:4">
      <c r="A1259" s="23">
        <v>44993</v>
      </c>
      <c r="B1259" s="13" t="s">
        <v>1833</v>
      </c>
      <c r="C1259" s="13" t="s">
        <v>1832</v>
      </c>
      <c r="D1259" s="13" t="s">
        <v>34</v>
      </c>
    </row>
    <row r="1260" spans="1:4">
      <c r="A1260" s="23">
        <v>44994</v>
      </c>
      <c r="B1260" s="13" t="s">
        <v>1835</v>
      </c>
      <c r="C1260" s="13" t="s">
        <v>1834</v>
      </c>
      <c r="D1260" s="13" t="s">
        <v>109</v>
      </c>
    </row>
    <row r="1261" spans="1:4">
      <c r="A1261" s="23">
        <v>44994</v>
      </c>
      <c r="B1261" s="13" t="s">
        <v>1837</v>
      </c>
      <c r="C1261" s="13" t="s">
        <v>1836</v>
      </c>
      <c r="D1261" s="13" t="s">
        <v>109</v>
      </c>
    </row>
    <row r="1262" spans="1:4">
      <c r="A1262" s="23">
        <v>44994</v>
      </c>
      <c r="B1262" s="13" t="s">
        <v>1839</v>
      </c>
      <c r="C1262" s="13" t="s">
        <v>1838</v>
      </c>
      <c r="D1262" s="13" t="s">
        <v>109</v>
      </c>
    </row>
    <row r="1263" spans="1:4">
      <c r="A1263" s="23">
        <v>44995</v>
      </c>
      <c r="B1263" s="13" t="s">
        <v>1771</v>
      </c>
      <c r="C1263" s="13" t="s">
        <v>418</v>
      </c>
      <c r="D1263" s="13" t="s">
        <v>81</v>
      </c>
    </row>
    <row r="1264" spans="1:4">
      <c r="A1264" s="23">
        <v>44995</v>
      </c>
      <c r="B1264" s="13" t="s">
        <v>1841</v>
      </c>
      <c r="C1264" s="13" t="s">
        <v>1840</v>
      </c>
      <c r="D1264" s="13" t="s">
        <v>510</v>
      </c>
    </row>
    <row r="1265" spans="1:4">
      <c r="A1265" s="23">
        <v>44995</v>
      </c>
      <c r="B1265" s="13" t="s">
        <v>1771</v>
      </c>
      <c r="C1265" s="13" t="s">
        <v>418</v>
      </c>
      <c r="D1265" s="13" t="s">
        <v>81</v>
      </c>
    </row>
    <row r="1266" spans="1:4">
      <c r="A1266" s="23">
        <v>44995</v>
      </c>
      <c r="B1266" s="13" t="s">
        <v>1843</v>
      </c>
      <c r="C1266" s="13" t="s">
        <v>1842</v>
      </c>
      <c r="D1266" s="13" t="s">
        <v>11</v>
      </c>
    </row>
    <row r="1267" spans="1:4">
      <c r="A1267" s="23">
        <v>44995</v>
      </c>
      <c r="B1267" s="13" t="s">
        <v>1771</v>
      </c>
      <c r="C1267" s="13" t="s">
        <v>418</v>
      </c>
      <c r="D1267" s="13" t="s">
        <v>81</v>
      </c>
    </row>
    <row r="1268" spans="1:4">
      <c r="A1268" s="23">
        <v>44995</v>
      </c>
      <c r="B1268" s="13" t="s">
        <v>1845</v>
      </c>
      <c r="C1268" s="13" t="s">
        <v>1844</v>
      </c>
      <c r="D1268" s="13" t="s">
        <v>510</v>
      </c>
    </row>
    <row r="1269" spans="1:4">
      <c r="A1269" s="23">
        <v>44995</v>
      </c>
      <c r="B1269" s="13" t="s">
        <v>1847</v>
      </c>
      <c r="C1269" s="13" t="s">
        <v>1846</v>
      </c>
      <c r="D1269" s="13" t="s">
        <v>5</v>
      </c>
    </row>
    <row r="1270" spans="1:4">
      <c r="A1270" s="23">
        <v>44995</v>
      </c>
      <c r="B1270" s="13" t="s">
        <v>1848</v>
      </c>
      <c r="C1270" s="13" t="s">
        <v>176</v>
      </c>
      <c r="D1270" s="13" t="s">
        <v>81</v>
      </c>
    </row>
    <row r="1271" spans="1:4">
      <c r="A1271" s="23">
        <v>44996</v>
      </c>
      <c r="B1271" s="13" t="s">
        <v>1849</v>
      </c>
      <c r="C1271" s="13" t="s">
        <v>276</v>
      </c>
      <c r="D1271" s="13" t="s">
        <v>81</v>
      </c>
    </row>
    <row r="1272" spans="1:4">
      <c r="A1272" s="23">
        <v>44996</v>
      </c>
      <c r="B1272" s="13" t="s">
        <v>1851</v>
      </c>
      <c r="C1272" s="13" t="s">
        <v>1850</v>
      </c>
      <c r="D1272" s="13" t="s">
        <v>81</v>
      </c>
    </row>
    <row r="1273" spans="1:4">
      <c r="A1273" s="23">
        <v>44996</v>
      </c>
      <c r="B1273" s="13" t="s">
        <v>1853</v>
      </c>
      <c r="C1273" s="13" t="s">
        <v>1852</v>
      </c>
      <c r="D1273" s="13" t="s">
        <v>81</v>
      </c>
    </row>
    <row r="1274" spans="1:4">
      <c r="A1274" s="23">
        <v>44998</v>
      </c>
      <c r="B1274" s="13" t="s">
        <v>1855</v>
      </c>
      <c r="C1274" s="13" t="s">
        <v>1854</v>
      </c>
      <c r="D1274" s="13" t="s">
        <v>510</v>
      </c>
    </row>
    <row r="1275" spans="1:4">
      <c r="A1275" s="23">
        <v>44998</v>
      </c>
      <c r="B1275" s="13" t="s">
        <v>1857</v>
      </c>
      <c r="C1275" s="13" t="s">
        <v>1856</v>
      </c>
      <c r="D1275" s="13" t="s">
        <v>510</v>
      </c>
    </row>
    <row r="1276" spans="1:4">
      <c r="A1276" s="23">
        <v>44999</v>
      </c>
      <c r="B1276" s="13" t="s">
        <v>1859</v>
      </c>
      <c r="C1276" s="13" t="s">
        <v>1858</v>
      </c>
      <c r="D1276" s="13" t="s">
        <v>81</v>
      </c>
    </row>
    <row r="1277" spans="1:4">
      <c r="A1277" s="23">
        <v>44999</v>
      </c>
      <c r="B1277" s="13" t="s">
        <v>1861</v>
      </c>
      <c r="C1277" s="13" t="s">
        <v>1860</v>
      </c>
      <c r="D1277" s="13" t="s">
        <v>510</v>
      </c>
    </row>
    <row r="1278" spans="1:4">
      <c r="A1278" s="23">
        <v>44999</v>
      </c>
      <c r="B1278" s="13" t="s">
        <v>1828</v>
      </c>
      <c r="C1278" s="13" t="s">
        <v>1862</v>
      </c>
      <c r="D1278" s="13" t="s">
        <v>81</v>
      </c>
    </row>
    <row r="1279" spans="1:4">
      <c r="A1279" s="23">
        <v>44999</v>
      </c>
      <c r="B1279" s="13" t="s">
        <v>1864</v>
      </c>
      <c r="C1279" s="13" t="s">
        <v>1863</v>
      </c>
      <c r="D1279" s="13" t="s">
        <v>81</v>
      </c>
    </row>
    <row r="1280" spans="1:4">
      <c r="A1280" s="23">
        <v>45000</v>
      </c>
      <c r="B1280" s="13" t="s">
        <v>1866</v>
      </c>
      <c r="C1280" s="13" t="s">
        <v>1865</v>
      </c>
      <c r="D1280" s="13" t="s">
        <v>29</v>
      </c>
    </row>
    <row r="1281" spans="1:4">
      <c r="A1281" s="23">
        <v>45000</v>
      </c>
      <c r="B1281" s="13" t="s">
        <v>1868</v>
      </c>
      <c r="C1281" s="13" t="s">
        <v>1867</v>
      </c>
      <c r="D1281" s="13" t="s">
        <v>81</v>
      </c>
    </row>
    <row r="1282" spans="1:4">
      <c r="A1282" s="23">
        <v>45000</v>
      </c>
      <c r="B1282" s="13" t="s">
        <v>1870</v>
      </c>
      <c r="C1282" s="13" t="s">
        <v>1869</v>
      </c>
      <c r="D1282" s="13" t="s">
        <v>81</v>
      </c>
    </row>
    <row r="1283" spans="1:4">
      <c r="A1283" s="23">
        <v>45000</v>
      </c>
      <c r="B1283" s="13" t="s">
        <v>1871</v>
      </c>
      <c r="C1283" s="13" t="s">
        <v>91</v>
      </c>
      <c r="D1283" s="13" t="s">
        <v>81</v>
      </c>
    </row>
    <row r="1284" spans="1:4">
      <c r="A1284" s="23">
        <v>45000</v>
      </c>
      <c r="B1284" s="13" t="s">
        <v>1872</v>
      </c>
      <c r="C1284" s="13" t="s">
        <v>312</v>
      </c>
      <c r="D1284" s="13" t="s">
        <v>81</v>
      </c>
    </row>
    <row r="1285" spans="1:4">
      <c r="A1285" s="23">
        <v>45000</v>
      </c>
      <c r="B1285" s="13" t="s">
        <v>1868</v>
      </c>
      <c r="C1285" s="13" t="s">
        <v>1867</v>
      </c>
      <c r="D1285" s="13" t="s">
        <v>81</v>
      </c>
    </row>
    <row r="1286" spans="1:4">
      <c r="A1286" s="23">
        <v>45000</v>
      </c>
      <c r="B1286" s="13" t="s">
        <v>1874</v>
      </c>
      <c r="C1286" s="13" t="s">
        <v>1873</v>
      </c>
      <c r="D1286" s="13" t="s">
        <v>81</v>
      </c>
    </row>
    <row r="1287" spans="1:4">
      <c r="A1287" s="23">
        <v>45000</v>
      </c>
      <c r="B1287" s="13" t="s">
        <v>1876</v>
      </c>
      <c r="C1287" s="13" t="s">
        <v>1875</v>
      </c>
      <c r="D1287" s="13" t="s">
        <v>81</v>
      </c>
    </row>
    <row r="1288" spans="1:4">
      <c r="A1288" s="23">
        <v>45000</v>
      </c>
      <c r="B1288" s="13" t="s">
        <v>1878</v>
      </c>
      <c r="C1288" s="13" t="s">
        <v>1877</v>
      </c>
      <c r="D1288" s="13" t="s">
        <v>345</v>
      </c>
    </row>
    <row r="1289" spans="1:4">
      <c r="A1289" s="23">
        <v>45000</v>
      </c>
      <c r="B1289" s="13" t="s">
        <v>1880</v>
      </c>
      <c r="C1289" s="13" t="s">
        <v>1879</v>
      </c>
      <c r="D1289" s="13" t="s">
        <v>81</v>
      </c>
    </row>
    <row r="1290" spans="1:4">
      <c r="A1290" s="23">
        <v>45000</v>
      </c>
      <c r="B1290" s="13" t="s">
        <v>1882</v>
      </c>
      <c r="C1290" s="13" t="s">
        <v>1881</v>
      </c>
      <c r="D1290" s="13" t="s">
        <v>81</v>
      </c>
    </row>
    <row r="1291" spans="1:4">
      <c r="A1291" s="23">
        <v>45001</v>
      </c>
      <c r="B1291" s="13" t="s">
        <v>1884</v>
      </c>
      <c r="C1291" s="13" t="s">
        <v>1883</v>
      </c>
      <c r="D1291" s="13" t="s">
        <v>81</v>
      </c>
    </row>
    <row r="1292" spans="1:4">
      <c r="A1292" s="23">
        <v>45001</v>
      </c>
      <c r="B1292" s="13" t="s">
        <v>1885</v>
      </c>
      <c r="C1292" s="13" t="s">
        <v>1883</v>
      </c>
      <c r="D1292" s="13" t="s">
        <v>81</v>
      </c>
    </row>
    <row r="1293" spans="1:4">
      <c r="A1293" s="23">
        <v>45001</v>
      </c>
      <c r="B1293" s="13" t="s">
        <v>1887</v>
      </c>
      <c r="C1293" s="13" t="s">
        <v>1886</v>
      </c>
      <c r="D1293" s="13" t="s">
        <v>81</v>
      </c>
    </row>
    <row r="1294" spans="1:4">
      <c r="A1294" s="23">
        <v>45003</v>
      </c>
      <c r="B1294" s="13" t="s">
        <v>1889</v>
      </c>
      <c r="C1294" s="13" t="s">
        <v>1888</v>
      </c>
      <c r="D1294" s="13" t="s">
        <v>5</v>
      </c>
    </row>
    <row r="1295" spans="1:4">
      <c r="A1295" s="23">
        <v>45003</v>
      </c>
      <c r="B1295" s="13" t="s">
        <v>1889</v>
      </c>
      <c r="C1295" s="13" t="s">
        <v>1888</v>
      </c>
      <c r="D1295" s="13" t="s">
        <v>5</v>
      </c>
    </row>
    <row r="1296" spans="1:4">
      <c r="A1296" s="23">
        <v>45003</v>
      </c>
      <c r="B1296" s="13" t="s">
        <v>1891</v>
      </c>
      <c r="C1296" s="13" t="s">
        <v>1890</v>
      </c>
      <c r="D1296" s="13" t="s">
        <v>81</v>
      </c>
    </row>
    <row r="1297" spans="1:4">
      <c r="A1297" s="23">
        <v>45003</v>
      </c>
      <c r="B1297" s="13" t="s">
        <v>1892</v>
      </c>
      <c r="C1297" s="13" t="s">
        <v>1802</v>
      </c>
      <c r="D1297" s="13" t="s">
        <v>29</v>
      </c>
    </row>
    <row r="1298" spans="1:4">
      <c r="A1298" s="23">
        <v>45004</v>
      </c>
      <c r="B1298" s="13" t="s">
        <v>1894</v>
      </c>
      <c r="C1298" s="13" t="s">
        <v>1893</v>
      </c>
      <c r="D1298" s="13" t="s">
        <v>8</v>
      </c>
    </row>
    <row r="1299" spans="1:4">
      <c r="A1299" s="23">
        <v>45004</v>
      </c>
      <c r="B1299" s="13" t="s">
        <v>1896</v>
      </c>
      <c r="C1299" s="13" t="s">
        <v>1895</v>
      </c>
      <c r="D1299" s="13" t="s">
        <v>34</v>
      </c>
    </row>
    <row r="1300" spans="1:4">
      <c r="A1300" s="23">
        <v>45005</v>
      </c>
      <c r="B1300" s="13" t="s">
        <v>1898</v>
      </c>
      <c r="C1300" s="13" t="s">
        <v>1897</v>
      </c>
      <c r="D1300" s="13" t="s">
        <v>109</v>
      </c>
    </row>
    <row r="1301" spans="1:4">
      <c r="A1301" s="23">
        <v>45005</v>
      </c>
      <c r="B1301" s="13" t="s">
        <v>1900</v>
      </c>
      <c r="C1301" s="13" t="s">
        <v>1899</v>
      </c>
      <c r="D1301" s="13" t="s">
        <v>109</v>
      </c>
    </row>
    <row r="1302" spans="1:4">
      <c r="A1302" s="23">
        <v>45006</v>
      </c>
      <c r="B1302" s="13" t="s">
        <v>1902</v>
      </c>
      <c r="C1302" s="13" t="s">
        <v>1901</v>
      </c>
      <c r="D1302" s="13" t="s">
        <v>81</v>
      </c>
    </row>
    <row r="1303" spans="1:4">
      <c r="A1303" s="23">
        <v>45006</v>
      </c>
      <c r="B1303" s="13" t="s">
        <v>1904</v>
      </c>
      <c r="C1303" s="13" t="s">
        <v>1903</v>
      </c>
      <c r="D1303" s="13" t="s">
        <v>81</v>
      </c>
    </row>
    <row r="1304" spans="1:4">
      <c r="A1304" s="23">
        <v>45006</v>
      </c>
      <c r="B1304" s="13" t="s">
        <v>1771</v>
      </c>
      <c r="C1304" s="13" t="s">
        <v>1241</v>
      </c>
      <c r="D1304" s="13" t="s">
        <v>81</v>
      </c>
    </row>
    <row r="1305" spans="1:4">
      <c r="A1305" s="23">
        <v>45006</v>
      </c>
      <c r="B1305" s="13" t="s">
        <v>1905</v>
      </c>
      <c r="C1305" s="13" t="s">
        <v>1903</v>
      </c>
      <c r="D1305" s="13" t="s">
        <v>81</v>
      </c>
    </row>
    <row r="1306" spans="1:4">
      <c r="A1306" s="23">
        <v>45006</v>
      </c>
      <c r="B1306" s="13" t="s">
        <v>1906</v>
      </c>
      <c r="C1306" s="13" t="s">
        <v>1241</v>
      </c>
      <c r="D1306" s="13" t="s">
        <v>81</v>
      </c>
    </row>
    <row r="1307" spans="1:4">
      <c r="A1307" s="23">
        <v>45006</v>
      </c>
      <c r="B1307" s="13" t="s">
        <v>1908</v>
      </c>
      <c r="C1307" s="13" t="s">
        <v>1907</v>
      </c>
      <c r="D1307" s="13" t="s">
        <v>510</v>
      </c>
    </row>
    <row r="1308" spans="1:4">
      <c r="A1308" s="23">
        <v>45006</v>
      </c>
      <c r="B1308" s="13" t="s">
        <v>1910</v>
      </c>
      <c r="C1308" s="13" t="s">
        <v>1909</v>
      </c>
      <c r="D1308" s="13" t="s">
        <v>510</v>
      </c>
    </row>
    <row r="1309" spans="1:4">
      <c r="A1309" s="23">
        <v>45006</v>
      </c>
      <c r="B1309" s="13" t="s">
        <v>1911</v>
      </c>
      <c r="C1309" s="13" t="s">
        <v>1890</v>
      </c>
      <c r="D1309" s="13" t="s">
        <v>81</v>
      </c>
    </row>
    <row r="1310" spans="1:4">
      <c r="A1310" s="23">
        <v>45006</v>
      </c>
      <c r="B1310" s="13" t="s">
        <v>1912</v>
      </c>
      <c r="C1310" s="13" t="s">
        <v>1890</v>
      </c>
      <c r="D1310" s="13" t="s">
        <v>81</v>
      </c>
    </row>
    <row r="1311" spans="1:4">
      <c r="A1311" s="23">
        <v>45006</v>
      </c>
      <c r="B1311" s="13" t="s">
        <v>1913</v>
      </c>
      <c r="C1311" s="13" t="s">
        <v>1903</v>
      </c>
      <c r="D1311" s="13" t="s">
        <v>81</v>
      </c>
    </row>
    <row r="1312" spans="1:4">
      <c r="A1312" s="23">
        <v>45006</v>
      </c>
      <c r="B1312" s="13" t="s">
        <v>1915</v>
      </c>
      <c r="C1312" s="13" t="s">
        <v>1914</v>
      </c>
      <c r="D1312" s="13" t="s">
        <v>510</v>
      </c>
    </row>
    <row r="1313" spans="1:4">
      <c r="A1313" s="23">
        <v>45007</v>
      </c>
      <c r="B1313" s="13" t="s">
        <v>1917</v>
      </c>
      <c r="C1313" s="13" t="s">
        <v>1916</v>
      </c>
      <c r="D1313" s="13" t="s">
        <v>109</v>
      </c>
    </row>
    <row r="1314" spans="1:4">
      <c r="A1314" s="23">
        <v>45007</v>
      </c>
      <c r="B1314" s="13" t="s">
        <v>1919</v>
      </c>
      <c r="C1314" s="13" t="s">
        <v>1918</v>
      </c>
      <c r="D1314" s="13" t="s">
        <v>345</v>
      </c>
    </row>
    <row r="1315" spans="1:4">
      <c r="A1315" s="23">
        <v>45007</v>
      </c>
      <c r="B1315" s="13" t="s">
        <v>1920</v>
      </c>
      <c r="C1315" s="13" t="s">
        <v>1903</v>
      </c>
      <c r="D1315" s="13" t="s">
        <v>81</v>
      </c>
    </row>
    <row r="1316" spans="1:4">
      <c r="A1316" s="23">
        <v>45007</v>
      </c>
      <c r="B1316" s="13" t="s">
        <v>1921</v>
      </c>
      <c r="C1316" s="13" t="s">
        <v>231</v>
      </c>
      <c r="D1316" s="13" t="s">
        <v>81</v>
      </c>
    </row>
    <row r="1317" spans="1:4">
      <c r="A1317" s="23">
        <v>45007</v>
      </c>
      <c r="B1317" s="13" t="s">
        <v>1922</v>
      </c>
      <c r="C1317" s="13" t="s">
        <v>1916</v>
      </c>
      <c r="D1317" s="13" t="s">
        <v>109</v>
      </c>
    </row>
    <row r="1318" spans="1:4">
      <c r="A1318" s="23">
        <v>45007</v>
      </c>
      <c r="B1318" s="13" t="s">
        <v>1923</v>
      </c>
      <c r="C1318" s="13" t="s">
        <v>1763</v>
      </c>
      <c r="D1318" s="13" t="s">
        <v>81</v>
      </c>
    </row>
    <row r="1319" spans="1:4">
      <c r="A1319" s="23">
        <v>45007</v>
      </c>
      <c r="B1319" s="13" t="s">
        <v>1925</v>
      </c>
      <c r="C1319" s="13" t="s">
        <v>1924</v>
      </c>
      <c r="D1319" s="13" t="s">
        <v>81</v>
      </c>
    </row>
    <row r="1320" spans="1:4">
      <c r="A1320" s="23">
        <v>45007</v>
      </c>
      <c r="B1320" s="13" t="s">
        <v>1926</v>
      </c>
      <c r="C1320" s="13" t="s">
        <v>1903</v>
      </c>
      <c r="D1320" s="13" t="s">
        <v>81</v>
      </c>
    </row>
    <row r="1321" spans="1:4">
      <c r="A1321" s="23">
        <v>45008</v>
      </c>
      <c r="B1321" s="13" t="s">
        <v>1884</v>
      </c>
      <c r="C1321" s="13" t="s">
        <v>1883</v>
      </c>
      <c r="D1321" s="13" t="s">
        <v>81</v>
      </c>
    </row>
    <row r="1322" spans="1:4">
      <c r="A1322" s="23">
        <v>45008</v>
      </c>
      <c r="B1322" s="13" t="s">
        <v>1928</v>
      </c>
      <c r="C1322" s="13" t="s">
        <v>1927</v>
      </c>
      <c r="D1322" s="13" t="s">
        <v>24</v>
      </c>
    </row>
    <row r="1323" spans="1:4">
      <c r="A1323" s="23">
        <v>45008</v>
      </c>
      <c r="B1323" s="13" t="s">
        <v>1930</v>
      </c>
      <c r="C1323" s="13" t="s">
        <v>1929</v>
      </c>
      <c r="D1323" s="13" t="s">
        <v>24</v>
      </c>
    </row>
    <row r="1324" spans="1:4">
      <c r="A1324" s="23">
        <v>45008</v>
      </c>
      <c r="B1324" s="13" t="s">
        <v>1932</v>
      </c>
      <c r="C1324" s="13" t="s">
        <v>1931</v>
      </c>
      <c r="D1324" s="13" t="s">
        <v>24</v>
      </c>
    </row>
    <row r="1325" spans="1:4">
      <c r="A1325" s="23">
        <v>45008</v>
      </c>
      <c r="B1325" s="13" t="s">
        <v>1934</v>
      </c>
      <c r="C1325" s="13" t="s">
        <v>1933</v>
      </c>
      <c r="D1325" s="13" t="s">
        <v>353</v>
      </c>
    </row>
    <row r="1326" spans="1:4">
      <c r="A1326" s="23">
        <v>45008</v>
      </c>
      <c r="B1326" s="13" t="s">
        <v>1935</v>
      </c>
      <c r="C1326" s="13" t="s">
        <v>231</v>
      </c>
      <c r="D1326" s="13" t="s">
        <v>81</v>
      </c>
    </row>
    <row r="1327" spans="1:4">
      <c r="A1327" s="23">
        <v>45008</v>
      </c>
      <c r="B1327" s="13" t="s">
        <v>1937</v>
      </c>
      <c r="C1327" s="13" t="s">
        <v>1936</v>
      </c>
      <c r="D1327" s="13" t="s">
        <v>81</v>
      </c>
    </row>
    <row r="1328" spans="1:4">
      <c r="A1328" s="23">
        <v>45008</v>
      </c>
      <c r="B1328" s="13" t="s">
        <v>1937</v>
      </c>
      <c r="C1328" s="13" t="s">
        <v>1936</v>
      </c>
      <c r="D1328" s="13" t="s">
        <v>81</v>
      </c>
    </row>
    <row r="1329" spans="1:4">
      <c r="A1329" s="23">
        <v>45008</v>
      </c>
      <c r="B1329" s="13" t="s">
        <v>1939</v>
      </c>
      <c r="C1329" s="13" t="s">
        <v>1938</v>
      </c>
      <c r="D1329" s="13" t="s">
        <v>353</v>
      </c>
    </row>
    <row r="1330" spans="1:4">
      <c r="A1330" s="23">
        <v>45009</v>
      </c>
      <c r="B1330" s="13" t="s">
        <v>1941</v>
      </c>
      <c r="C1330" s="13" t="s">
        <v>1940</v>
      </c>
      <c r="D1330" s="13" t="s">
        <v>81</v>
      </c>
    </row>
    <row r="1331" spans="1:4">
      <c r="A1331" s="23">
        <v>45009</v>
      </c>
      <c r="B1331" s="13" t="s">
        <v>1943</v>
      </c>
      <c r="C1331" s="13" t="s">
        <v>1942</v>
      </c>
      <c r="D1331" s="13" t="s">
        <v>81</v>
      </c>
    </row>
    <row r="1332" spans="1:4">
      <c r="A1332" s="23">
        <v>45009</v>
      </c>
      <c r="B1332" s="13" t="s">
        <v>1944</v>
      </c>
      <c r="C1332" s="13" t="s">
        <v>1829</v>
      </c>
      <c r="D1332" s="13" t="s">
        <v>81</v>
      </c>
    </row>
    <row r="1333" spans="1:4">
      <c r="A1333" s="23">
        <v>45009</v>
      </c>
      <c r="B1333" s="13" t="s">
        <v>1946</v>
      </c>
      <c r="C1333" s="13" t="s">
        <v>1945</v>
      </c>
      <c r="D1333" s="13" t="s">
        <v>5</v>
      </c>
    </row>
    <row r="1334" spans="1:4">
      <c r="A1334" s="23">
        <v>45009</v>
      </c>
      <c r="B1334" s="13" t="s">
        <v>1947</v>
      </c>
      <c r="C1334" s="13" t="s">
        <v>1241</v>
      </c>
      <c r="D1334" s="13" t="s">
        <v>81</v>
      </c>
    </row>
    <row r="1335" spans="1:4">
      <c r="A1335" s="23">
        <v>45009</v>
      </c>
      <c r="B1335" s="13" t="s">
        <v>1948</v>
      </c>
      <c r="C1335" s="13" t="s">
        <v>1241</v>
      </c>
      <c r="D1335" s="13" t="s">
        <v>81</v>
      </c>
    </row>
    <row r="1336" spans="1:4">
      <c r="A1336" s="23">
        <v>45010</v>
      </c>
      <c r="B1336" s="13" t="s">
        <v>1950</v>
      </c>
      <c r="C1336" s="13" t="s">
        <v>1949</v>
      </c>
      <c r="D1336" s="13" t="s">
        <v>81</v>
      </c>
    </row>
    <row r="1337" spans="1:4">
      <c r="A1337" s="23">
        <v>45010</v>
      </c>
      <c r="B1337" s="13" t="s">
        <v>1951</v>
      </c>
      <c r="C1337" s="13" t="s">
        <v>167</v>
      </c>
      <c r="D1337" s="13" t="s">
        <v>81</v>
      </c>
    </row>
    <row r="1338" spans="1:4">
      <c r="A1338" s="23">
        <v>45010</v>
      </c>
      <c r="B1338" s="13" t="s">
        <v>1952</v>
      </c>
      <c r="C1338" s="13" t="s">
        <v>83</v>
      </c>
      <c r="D1338" s="13" t="s">
        <v>81</v>
      </c>
    </row>
    <row r="1339" spans="1:4">
      <c r="A1339" s="23">
        <v>45010</v>
      </c>
      <c r="B1339" s="13" t="s">
        <v>1954</v>
      </c>
      <c r="C1339" s="13" t="s">
        <v>1953</v>
      </c>
      <c r="D1339" s="13" t="s">
        <v>81</v>
      </c>
    </row>
    <row r="1340" spans="1:4">
      <c r="A1340" s="23">
        <v>45010</v>
      </c>
      <c r="B1340" s="13" t="s">
        <v>1956</v>
      </c>
      <c r="C1340" s="13" t="s">
        <v>1955</v>
      </c>
      <c r="D1340" s="13" t="s">
        <v>81</v>
      </c>
    </row>
    <row r="1341" spans="1:4">
      <c r="A1341" s="23">
        <v>45012</v>
      </c>
      <c r="B1341" s="13" t="s">
        <v>1958</v>
      </c>
      <c r="C1341" s="13" t="s">
        <v>1957</v>
      </c>
      <c r="D1341" s="13" t="s">
        <v>34</v>
      </c>
    </row>
    <row r="1342" spans="1:4">
      <c r="A1342" s="23">
        <v>45012</v>
      </c>
      <c r="B1342" s="13" t="s">
        <v>1960</v>
      </c>
      <c r="C1342" s="13" t="s">
        <v>1959</v>
      </c>
      <c r="D1342" s="13" t="s">
        <v>34</v>
      </c>
    </row>
    <row r="1343" spans="1:4">
      <c r="A1343" s="23">
        <v>45012</v>
      </c>
      <c r="B1343" s="13" t="s">
        <v>1717</v>
      </c>
      <c r="C1343" s="13" t="s">
        <v>1716</v>
      </c>
      <c r="D1343" s="13" t="s">
        <v>34</v>
      </c>
    </row>
    <row r="1344" spans="1:4">
      <c r="A1344" s="23">
        <v>45012</v>
      </c>
      <c r="B1344" s="13" t="s">
        <v>1962</v>
      </c>
      <c r="C1344" s="13" t="s">
        <v>1961</v>
      </c>
      <c r="D1344" s="13" t="s">
        <v>5</v>
      </c>
    </row>
    <row r="1345" spans="1:4">
      <c r="A1345" s="23">
        <v>45012</v>
      </c>
      <c r="B1345" s="13" t="s">
        <v>1963</v>
      </c>
      <c r="C1345" s="13" t="s">
        <v>695</v>
      </c>
      <c r="D1345" s="13" t="s">
        <v>34</v>
      </c>
    </row>
    <row r="1346" spans="1:4">
      <c r="A1346" s="23">
        <v>45013</v>
      </c>
      <c r="B1346" s="13" t="s">
        <v>1965</v>
      </c>
      <c r="C1346" s="13" t="s">
        <v>1964</v>
      </c>
      <c r="D1346" s="13" t="s">
        <v>510</v>
      </c>
    </row>
    <row r="1347" spans="1:4">
      <c r="A1347" s="23">
        <v>45013</v>
      </c>
      <c r="B1347" s="13" t="s">
        <v>1966</v>
      </c>
      <c r="C1347" s="13" t="s">
        <v>312</v>
      </c>
      <c r="D1347" s="13" t="s">
        <v>81</v>
      </c>
    </row>
    <row r="1348" spans="1:4">
      <c r="A1348" s="23">
        <v>45013</v>
      </c>
      <c r="B1348" s="13" t="s">
        <v>1967</v>
      </c>
      <c r="C1348" s="13" t="s">
        <v>83</v>
      </c>
      <c r="D1348" s="13" t="s">
        <v>81</v>
      </c>
    </row>
    <row r="1349" spans="1:4">
      <c r="A1349" s="23">
        <v>45013</v>
      </c>
      <c r="B1349" s="13" t="s">
        <v>1966</v>
      </c>
      <c r="C1349" s="13" t="s">
        <v>1955</v>
      </c>
      <c r="D1349" s="13" t="s">
        <v>81</v>
      </c>
    </row>
    <row r="1350" spans="1:4">
      <c r="A1350" s="23">
        <v>45013</v>
      </c>
      <c r="B1350" s="13" t="s">
        <v>1969</v>
      </c>
      <c r="C1350" s="13" t="s">
        <v>1968</v>
      </c>
      <c r="D1350" s="13" t="s">
        <v>510</v>
      </c>
    </row>
    <row r="1351" spans="1:4">
      <c r="A1351" s="23">
        <v>45013</v>
      </c>
      <c r="B1351" s="13" t="s">
        <v>1971</v>
      </c>
      <c r="C1351" s="13" t="s">
        <v>1970</v>
      </c>
      <c r="D1351" s="13" t="s">
        <v>16</v>
      </c>
    </row>
    <row r="1352" spans="1:4">
      <c r="A1352" s="23">
        <v>45013</v>
      </c>
      <c r="B1352" s="13" t="s">
        <v>1972</v>
      </c>
      <c r="C1352" s="13" t="s">
        <v>1901</v>
      </c>
      <c r="D1352" s="13" t="s">
        <v>81</v>
      </c>
    </row>
    <row r="1353" spans="1:4">
      <c r="A1353" s="23">
        <v>45013</v>
      </c>
      <c r="B1353" s="13" t="s">
        <v>1974</v>
      </c>
      <c r="C1353" s="13" t="s">
        <v>1973</v>
      </c>
      <c r="D1353" s="13" t="s">
        <v>81</v>
      </c>
    </row>
    <row r="1354" spans="1:4">
      <c r="A1354" s="23">
        <v>45013</v>
      </c>
      <c r="B1354" s="13" t="s">
        <v>1976</v>
      </c>
      <c r="C1354" s="13" t="s">
        <v>1975</v>
      </c>
      <c r="D1354" s="13" t="s">
        <v>81</v>
      </c>
    </row>
    <row r="1355" spans="1:4">
      <c r="A1355" s="23">
        <v>45014</v>
      </c>
      <c r="B1355" s="13" t="s">
        <v>1978</v>
      </c>
      <c r="C1355" s="13" t="s">
        <v>1977</v>
      </c>
      <c r="D1355" s="13" t="s">
        <v>5</v>
      </c>
    </row>
    <row r="1356" spans="1:4">
      <c r="A1356" s="23">
        <v>45014</v>
      </c>
      <c r="B1356" s="13" t="s">
        <v>1979</v>
      </c>
      <c r="C1356" s="13" t="s">
        <v>83</v>
      </c>
      <c r="D1356" s="13" t="s">
        <v>81</v>
      </c>
    </row>
    <row r="1357" spans="1:4">
      <c r="A1357" s="23">
        <v>45014</v>
      </c>
      <c r="B1357" s="13" t="s">
        <v>1980</v>
      </c>
      <c r="C1357" s="13" t="s">
        <v>1763</v>
      </c>
      <c r="D1357" s="13" t="s">
        <v>81</v>
      </c>
    </row>
    <row r="1358" spans="1:4">
      <c r="A1358" s="23">
        <v>45014</v>
      </c>
      <c r="B1358" s="13" t="s">
        <v>1981</v>
      </c>
      <c r="C1358" s="13" t="s">
        <v>1903</v>
      </c>
      <c r="D1358" s="13" t="s">
        <v>81</v>
      </c>
    </row>
    <row r="1359" spans="1:4">
      <c r="A1359" s="23">
        <v>45014</v>
      </c>
      <c r="B1359" s="13" t="s">
        <v>1983</v>
      </c>
      <c r="C1359" s="13" t="s">
        <v>1982</v>
      </c>
      <c r="D1359" s="13" t="s">
        <v>5</v>
      </c>
    </row>
    <row r="1360" spans="1:4">
      <c r="A1360" s="23">
        <v>45014</v>
      </c>
      <c r="B1360" s="13" t="s">
        <v>1985</v>
      </c>
      <c r="C1360" s="13" t="s">
        <v>1984</v>
      </c>
      <c r="D1360" s="13" t="s">
        <v>216</v>
      </c>
    </row>
    <row r="1361" spans="1:4">
      <c r="A1361" s="23">
        <v>45014</v>
      </c>
      <c r="B1361" s="13" t="s">
        <v>1986</v>
      </c>
      <c r="C1361" s="13" t="s">
        <v>83</v>
      </c>
      <c r="D1361" s="13" t="s">
        <v>81</v>
      </c>
    </row>
    <row r="1362" spans="1:4">
      <c r="A1362" s="23">
        <v>45014</v>
      </c>
      <c r="B1362" s="13" t="s">
        <v>1988</v>
      </c>
      <c r="C1362" s="13" t="s">
        <v>1987</v>
      </c>
      <c r="D1362" s="13" t="s">
        <v>81</v>
      </c>
    </row>
    <row r="1363" spans="1:4">
      <c r="A1363" s="23">
        <v>45014</v>
      </c>
      <c r="B1363" s="13" t="s">
        <v>1989</v>
      </c>
      <c r="C1363" s="13" t="s">
        <v>1903</v>
      </c>
      <c r="D1363" s="13" t="s">
        <v>81</v>
      </c>
    </row>
    <row r="1364" spans="1:4">
      <c r="A1364" s="23">
        <v>45014</v>
      </c>
      <c r="B1364" s="13" t="s">
        <v>1991</v>
      </c>
      <c r="C1364" s="13" t="s">
        <v>1990</v>
      </c>
      <c r="D1364" s="13" t="s">
        <v>216</v>
      </c>
    </row>
    <row r="1365" spans="1:4">
      <c r="A1365" s="23">
        <v>45014</v>
      </c>
      <c r="B1365" s="13" t="s">
        <v>1985</v>
      </c>
      <c r="C1365" s="13" t="s">
        <v>1984</v>
      </c>
      <c r="D1365" s="13" t="s">
        <v>216</v>
      </c>
    </row>
    <row r="1366" spans="1:4">
      <c r="A1366" s="23">
        <v>45014</v>
      </c>
      <c r="B1366" s="13" t="s">
        <v>1992</v>
      </c>
      <c r="C1366" s="13" t="s">
        <v>1903</v>
      </c>
      <c r="D1366" s="13" t="s">
        <v>81</v>
      </c>
    </row>
    <row r="1367" spans="1:4">
      <c r="A1367" s="23">
        <v>45014</v>
      </c>
      <c r="B1367" s="13" t="s">
        <v>1993</v>
      </c>
      <c r="C1367" s="13" t="s">
        <v>1903</v>
      </c>
      <c r="D1367" s="13" t="s">
        <v>81</v>
      </c>
    </row>
    <row r="1368" spans="1:4">
      <c r="A1368" s="23">
        <v>45014</v>
      </c>
      <c r="B1368" s="13" t="s">
        <v>1994</v>
      </c>
      <c r="C1368" s="13" t="s">
        <v>312</v>
      </c>
      <c r="D1368" s="13" t="s">
        <v>81</v>
      </c>
    </row>
    <row r="1369" spans="1:4">
      <c r="A1369" s="23">
        <v>45014</v>
      </c>
      <c r="B1369" s="13" t="s">
        <v>1995</v>
      </c>
      <c r="C1369" s="13" t="s">
        <v>312</v>
      </c>
      <c r="D1369" s="13" t="s">
        <v>81</v>
      </c>
    </row>
    <row r="1370" spans="1:4">
      <c r="A1370" s="23">
        <v>45015</v>
      </c>
      <c r="B1370" s="13" t="s">
        <v>1997</v>
      </c>
      <c r="C1370" s="13" t="s">
        <v>1996</v>
      </c>
      <c r="D1370" s="13" t="s">
        <v>510</v>
      </c>
    </row>
    <row r="1371" spans="1:4">
      <c r="A1371" s="23">
        <v>45015</v>
      </c>
      <c r="B1371" s="13" t="s">
        <v>1998</v>
      </c>
      <c r="C1371" s="13" t="s">
        <v>370</v>
      </c>
      <c r="D1371" s="13" t="s">
        <v>81</v>
      </c>
    </row>
    <row r="1372" spans="1:4">
      <c r="A1372" s="23">
        <v>45015</v>
      </c>
      <c r="B1372" s="13" t="s">
        <v>1998</v>
      </c>
      <c r="C1372" s="13" t="s">
        <v>370</v>
      </c>
      <c r="D1372" s="13" t="s">
        <v>81</v>
      </c>
    </row>
    <row r="1373" spans="1:4">
      <c r="A1373" s="23">
        <v>45015</v>
      </c>
      <c r="B1373" s="13" t="s">
        <v>1999</v>
      </c>
      <c r="C1373" s="13" t="s">
        <v>1241</v>
      </c>
      <c r="D1373" s="13" t="s">
        <v>81</v>
      </c>
    </row>
    <row r="1374" spans="1:4">
      <c r="A1374" s="23">
        <v>45015</v>
      </c>
      <c r="B1374" s="13" t="s">
        <v>2001</v>
      </c>
      <c r="C1374" s="13" t="s">
        <v>2000</v>
      </c>
      <c r="D1374" s="13" t="s">
        <v>510</v>
      </c>
    </row>
    <row r="1375" spans="1:4">
      <c r="A1375" s="23">
        <v>45015</v>
      </c>
      <c r="B1375" s="13" t="s">
        <v>2002</v>
      </c>
      <c r="C1375" s="13" t="s">
        <v>1241</v>
      </c>
      <c r="D1375" s="13" t="s">
        <v>81</v>
      </c>
    </row>
    <row r="1376" spans="1:4">
      <c r="A1376" s="23">
        <v>45015</v>
      </c>
      <c r="B1376" s="13" t="s">
        <v>2002</v>
      </c>
      <c r="C1376" s="13" t="s">
        <v>1241</v>
      </c>
      <c r="D1376" s="13" t="s">
        <v>81</v>
      </c>
    </row>
    <row r="1377" spans="1:4">
      <c r="A1377" s="23">
        <v>45015</v>
      </c>
      <c r="B1377" s="13" t="s">
        <v>2003</v>
      </c>
      <c r="C1377" s="13" t="s">
        <v>155</v>
      </c>
      <c r="D1377" s="13" t="s">
        <v>81</v>
      </c>
    </row>
    <row r="1378" spans="1:4">
      <c r="A1378" s="23">
        <v>45016</v>
      </c>
      <c r="B1378" s="13" t="s">
        <v>2005</v>
      </c>
      <c r="C1378" s="13" t="s">
        <v>2004</v>
      </c>
      <c r="D1378" s="13" t="s">
        <v>34</v>
      </c>
    </row>
    <row r="1379" spans="1:4">
      <c r="A1379" s="23">
        <v>45016</v>
      </c>
      <c r="B1379" s="13" t="s">
        <v>2007</v>
      </c>
      <c r="C1379" s="13" t="s">
        <v>2006</v>
      </c>
      <c r="D1379" s="13" t="s">
        <v>16</v>
      </c>
    </row>
    <row r="1380" spans="1:4">
      <c r="A1380" s="23">
        <v>45016</v>
      </c>
      <c r="B1380" s="13" t="s">
        <v>2009</v>
      </c>
      <c r="C1380" s="13" t="s">
        <v>2008</v>
      </c>
      <c r="D1380" s="13" t="s">
        <v>34</v>
      </c>
    </row>
    <row r="1381" spans="1:4">
      <c r="A1381" s="23">
        <v>45017</v>
      </c>
      <c r="B1381" s="13" t="s">
        <v>2011</v>
      </c>
      <c r="C1381" s="13" t="s">
        <v>2010</v>
      </c>
      <c r="D1381" s="13" t="s">
        <v>5</v>
      </c>
    </row>
    <row r="1382" spans="1:4">
      <c r="A1382" s="23">
        <v>45017</v>
      </c>
      <c r="B1382" s="13" t="s">
        <v>2013</v>
      </c>
      <c r="C1382" s="13" t="s">
        <v>2012</v>
      </c>
      <c r="D1382" s="13" t="s">
        <v>34</v>
      </c>
    </row>
    <row r="1383" spans="1:4">
      <c r="A1383" s="23">
        <v>45017</v>
      </c>
      <c r="B1383" s="13" t="s">
        <v>2015</v>
      </c>
      <c r="C1383" s="13" t="s">
        <v>2014</v>
      </c>
      <c r="D1383" s="13" t="s">
        <v>34</v>
      </c>
    </row>
    <row r="1384" spans="1:4">
      <c r="A1384" s="23">
        <v>45019</v>
      </c>
      <c r="B1384" s="13" t="s">
        <v>2017</v>
      </c>
      <c r="C1384" s="13" t="s">
        <v>2016</v>
      </c>
      <c r="D1384" s="13" t="s">
        <v>510</v>
      </c>
    </row>
    <row r="1385" spans="1:4">
      <c r="A1385" s="23">
        <v>45019</v>
      </c>
      <c r="B1385" s="13" t="s">
        <v>2019</v>
      </c>
      <c r="C1385" s="13" t="s">
        <v>2018</v>
      </c>
      <c r="D1385" s="13" t="s">
        <v>510</v>
      </c>
    </row>
    <row r="1386" spans="1:4">
      <c r="A1386" s="23">
        <v>45020</v>
      </c>
      <c r="B1386" s="13" t="s">
        <v>2020</v>
      </c>
      <c r="C1386" s="13" t="s">
        <v>1241</v>
      </c>
      <c r="D1386" s="13" t="s">
        <v>81</v>
      </c>
    </row>
    <row r="1387" spans="1:4">
      <c r="A1387" s="23">
        <v>45020</v>
      </c>
      <c r="B1387" s="13" t="s">
        <v>2022</v>
      </c>
      <c r="C1387" s="13" t="s">
        <v>2021</v>
      </c>
      <c r="D1387" s="13" t="s">
        <v>81</v>
      </c>
    </row>
    <row r="1388" spans="1:4">
      <c r="A1388" s="23">
        <v>45020</v>
      </c>
      <c r="B1388" s="13" t="s">
        <v>2023</v>
      </c>
      <c r="C1388" s="13" t="s">
        <v>312</v>
      </c>
      <c r="D1388" s="13" t="s">
        <v>81</v>
      </c>
    </row>
    <row r="1389" spans="1:4">
      <c r="A1389" s="23">
        <v>45020</v>
      </c>
      <c r="B1389" s="13" t="s">
        <v>2022</v>
      </c>
      <c r="C1389" s="13" t="s">
        <v>155</v>
      </c>
      <c r="D1389" s="13" t="s">
        <v>81</v>
      </c>
    </row>
    <row r="1390" spans="1:4">
      <c r="A1390" s="23">
        <v>45020</v>
      </c>
      <c r="B1390" s="13" t="s">
        <v>2024</v>
      </c>
      <c r="C1390" s="13" t="s">
        <v>1241</v>
      </c>
      <c r="D1390" s="13" t="s">
        <v>81</v>
      </c>
    </row>
    <row r="1391" spans="1:4">
      <c r="A1391" s="23">
        <v>45020</v>
      </c>
      <c r="B1391" s="13" t="s">
        <v>2026</v>
      </c>
      <c r="C1391" s="13" t="s">
        <v>2025</v>
      </c>
      <c r="D1391" s="13" t="s">
        <v>81</v>
      </c>
    </row>
    <row r="1392" spans="1:4">
      <c r="A1392" s="23">
        <v>45020</v>
      </c>
      <c r="B1392" s="13" t="s">
        <v>2028</v>
      </c>
      <c r="C1392" s="13" t="s">
        <v>2027</v>
      </c>
      <c r="D1392" s="13" t="s">
        <v>81</v>
      </c>
    </row>
    <row r="1393" spans="1:4">
      <c r="A1393" s="23">
        <v>45020</v>
      </c>
      <c r="B1393" s="13" t="s">
        <v>2030</v>
      </c>
      <c r="C1393" s="13" t="s">
        <v>2029</v>
      </c>
      <c r="D1393" s="13" t="s">
        <v>81</v>
      </c>
    </row>
    <row r="1394" spans="1:4">
      <c r="A1394" s="23">
        <v>45020</v>
      </c>
      <c r="B1394" s="13" t="s">
        <v>2031</v>
      </c>
      <c r="C1394" s="13" t="s">
        <v>1763</v>
      </c>
      <c r="D1394" s="13" t="s">
        <v>81</v>
      </c>
    </row>
    <row r="1395" spans="1:4">
      <c r="A1395" s="23">
        <v>45020</v>
      </c>
      <c r="B1395" s="13" t="s">
        <v>2032</v>
      </c>
      <c r="C1395" s="13" t="s">
        <v>1763</v>
      </c>
      <c r="D1395" s="13" t="s">
        <v>81</v>
      </c>
    </row>
    <row r="1396" spans="1:4">
      <c r="A1396" s="23">
        <v>45020</v>
      </c>
      <c r="B1396" s="13" t="s">
        <v>2033</v>
      </c>
      <c r="C1396" s="13" t="s">
        <v>180</v>
      </c>
      <c r="D1396" s="13" t="s">
        <v>81</v>
      </c>
    </row>
    <row r="1397" spans="1:4">
      <c r="A1397" s="23">
        <v>45020</v>
      </c>
      <c r="B1397" s="13" t="s">
        <v>2034</v>
      </c>
      <c r="C1397" s="13" t="s">
        <v>1890</v>
      </c>
      <c r="D1397" s="13" t="s">
        <v>81</v>
      </c>
    </row>
    <row r="1398" spans="1:4">
      <c r="A1398" s="23">
        <v>45020</v>
      </c>
      <c r="B1398" s="13" t="s">
        <v>2035</v>
      </c>
      <c r="C1398" s="13" t="s">
        <v>1858</v>
      </c>
      <c r="D1398" s="13" t="s">
        <v>81</v>
      </c>
    </row>
    <row r="1399" spans="1:4">
      <c r="A1399" s="23">
        <v>45021</v>
      </c>
      <c r="B1399" s="13" t="s">
        <v>2036</v>
      </c>
      <c r="C1399" s="13" t="s">
        <v>1790</v>
      </c>
      <c r="D1399" s="13" t="s">
        <v>81</v>
      </c>
    </row>
    <row r="1400" spans="1:4">
      <c r="A1400" s="23">
        <v>45021</v>
      </c>
      <c r="B1400" s="13" t="s">
        <v>2038</v>
      </c>
      <c r="C1400" s="13" t="s">
        <v>2037</v>
      </c>
      <c r="D1400" s="13" t="s">
        <v>29</v>
      </c>
    </row>
    <row r="1401" spans="1:4">
      <c r="A1401" s="23">
        <v>45021</v>
      </c>
      <c r="B1401" s="13" t="s">
        <v>2040</v>
      </c>
      <c r="C1401" s="13" t="s">
        <v>2039</v>
      </c>
      <c r="D1401" s="13" t="s">
        <v>109</v>
      </c>
    </row>
    <row r="1402" spans="1:4">
      <c r="A1402" s="23">
        <v>45021</v>
      </c>
      <c r="B1402" s="13" t="s">
        <v>2042</v>
      </c>
      <c r="C1402" s="13" t="s">
        <v>2041</v>
      </c>
      <c r="D1402" s="13" t="s">
        <v>216</v>
      </c>
    </row>
    <row r="1403" spans="1:4">
      <c r="A1403" s="23">
        <v>45021</v>
      </c>
      <c r="B1403" s="13" t="s">
        <v>2044</v>
      </c>
      <c r="C1403" s="13" t="s">
        <v>2043</v>
      </c>
      <c r="D1403" s="13" t="s">
        <v>109</v>
      </c>
    </row>
    <row r="1404" spans="1:4">
      <c r="A1404" s="23">
        <v>45021</v>
      </c>
      <c r="B1404" s="13" t="s">
        <v>2046</v>
      </c>
      <c r="C1404" s="13" t="s">
        <v>2045</v>
      </c>
      <c r="D1404" s="13" t="s">
        <v>216</v>
      </c>
    </row>
    <row r="1405" spans="1:4">
      <c r="A1405" s="23">
        <v>45021</v>
      </c>
      <c r="B1405" s="13" t="s">
        <v>2048</v>
      </c>
      <c r="C1405" s="13" t="s">
        <v>2047</v>
      </c>
      <c r="D1405" s="13" t="s">
        <v>216</v>
      </c>
    </row>
    <row r="1406" spans="1:4">
      <c r="A1406" s="23">
        <v>45021</v>
      </c>
      <c r="B1406" s="13" t="s">
        <v>2049</v>
      </c>
      <c r="C1406" s="13" t="s">
        <v>83</v>
      </c>
      <c r="D1406" s="13" t="s">
        <v>81</v>
      </c>
    </row>
    <row r="1407" spans="1:4">
      <c r="A1407" s="23">
        <v>45021</v>
      </c>
      <c r="B1407" s="13" t="s">
        <v>2049</v>
      </c>
      <c r="C1407" s="13" t="s">
        <v>83</v>
      </c>
      <c r="D1407" s="13" t="s">
        <v>81</v>
      </c>
    </row>
    <row r="1408" spans="1:4">
      <c r="A1408" s="23">
        <v>45021</v>
      </c>
      <c r="B1408" s="13" t="s">
        <v>2051</v>
      </c>
      <c r="C1408" s="13" t="s">
        <v>2050</v>
      </c>
      <c r="D1408" s="13" t="s">
        <v>510</v>
      </c>
    </row>
    <row r="1409" spans="1:4">
      <c r="A1409" s="23">
        <v>45021</v>
      </c>
      <c r="B1409" s="13" t="s">
        <v>2053</v>
      </c>
      <c r="C1409" s="13" t="s">
        <v>2052</v>
      </c>
      <c r="D1409" s="13" t="s">
        <v>510</v>
      </c>
    </row>
    <row r="1410" spans="1:4">
      <c r="A1410" s="23">
        <v>45021</v>
      </c>
      <c r="B1410" s="13" t="s">
        <v>2054</v>
      </c>
      <c r="C1410" s="13" t="s">
        <v>91</v>
      </c>
      <c r="D1410" s="13" t="s">
        <v>81</v>
      </c>
    </row>
    <row r="1411" spans="1:4">
      <c r="A1411" s="23">
        <v>45021</v>
      </c>
      <c r="B1411" s="13" t="s">
        <v>2055</v>
      </c>
      <c r="C1411" s="13" t="s">
        <v>83</v>
      </c>
      <c r="D1411" s="13" t="s">
        <v>81</v>
      </c>
    </row>
    <row r="1412" spans="1:4">
      <c r="A1412" s="23">
        <v>45021</v>
      </c>
      <c r="B1412" s="13" t="s">
        <v>2057</v>
      </c>
      <c r="C1412" s="13" t="s">
        <v>2056</v>
      </c>
      <c r="D1412" s="13" t="s">
        <v>81</v>
      </c>
    </row>
    <row r="1413" spans="1:4">
      <c r="A1413" s="23">
        <v>45022</v>
      </c>
      <c r="B1413" s="13" t="s">
        <v>2058</v>
      </c>
      <c r="C1413" s="13" t="s">
        <v>1850</v>
      </c>
      <c r="D1413" s="13" t="s">
        <v>81</v>
      </c>
    </row>
    <row r="1414" spans="1:4">
      <c r="A1414" s="23">
        <v>45022</v>
      </c>
      <c r="B1414" s="13" t="s">
        <v>1771</v>
      </c>
      <c r="C1414" s="13" t="s">
        <v>1831</v>
      </c>
      <c r="D1414" s="13" t="s">
        <v>81</v>
      </c>
    </row>
    <row r="1415" spans="1:4">
      <c r="A1415" s="23">
        <v>45022</v>
      </c>
      <c r="B1415" s="20" t="s">
        <v>2059</v>
      </c>
      <c r="C1415" s="13" t="s">
        <v>83</v>
      </c>
      <c r="D1415" s="13" t="s">
        <v>81</v>
      </c>
    </row>
    <row r="1416" spans="1:4">
      <c r="A1416" s="23">
        <v>45022</v>
      </c>
      <c r="B1416" s="20" t="s">
        <v>2060</v>
      </c>
      <c r="C1416" s="13" t="s">
        <v>231</v>
      </c>
      <c r="D1416" s="13" t="s">
        <v>81</v>
      </c>
    </row>
    <row r="1417" spans="1:4">
      <c r="A1417" s="23">
        <v>45022</v>
      </c>
      <c r="B1417" s="13" t="s">
        <v>2062</v>
      </c>
      <c r="C1417" s="13" t="s">
        <v>2061</v>
      </c>
      <c r="D1417" s="13" t="s">
        <v>81</v>
      </c>
    </row>
    <row r="1418" spans="1:4">
      <c r="A1418" s="23">
        <v>45022</v>
      </c>
      <c r="B1418" s="13" t="s">
        <v>2064</v>
      </c>
      <c r="C1418" s="13" t="s">
        <v>2063</v>
      </c>
      <c r="D1418" s="13" t="s">
        <v>8</v>
      </c>
    </row>
    <row r="1419" spans="1:4">
      <c r="A1419" s="23">
        <v>45022</v>
      </c>
      <c r="B1419" s="20" t="s">
        <v>2065</v>
      </c>
      <c r="C1419" s="13" t="s">
        <v>83</v>
      </c>
      <c r="D1419" s="13" t="s">
        <v>81</v>
      </c>
    </row>
    <row r="1420" spans="1:4">
      <c r="A1420" s="23">
        <v>45022</v>
      </c>
      <c r="B1420" s="20" t="s">
        <v>1771</v>
      </c>
      <c r="C1420" s="13" t="s">
        <v>1831</v>
      </c>
      <c r="D1420" s="13" t="s">
        <v>81</v>
      </c>
    </row>
    <row r="1421" spans="1:4">
      <c r="A1421" s="23">
        <v>45023</v>
      </c>
      <c r="B1421" s="20" t="s">
        <v>2066</v>
      </c>
      <c r="C1421" s="13" t="s">
        <v>193</v>
      </c>
      <c r="D1421" s="13" t="s">
        <v>74</v>
      </c>
    </row>
    <row r="1422" spans="1:4">
      <c r="A1422" s="23">
        <v>45024</v>
      </c>
      <c r="B1422" s="13" t="s">
        <v>2067</v>
      </c>
      <c r="C1422" s="13" t="s">
        <v>1763</v>
      </c>
      <c r="D1422" s="13" t="s">
        <v>81</v>
      </c>
    </row>
    <row r="1423" spans="1:4">
      <c r="A1423" s="23">
        <v>45024</v>
      </c>
      <c r="B1423" s="13" t="s">
        <v>2068</v>
      </c>
      <c r="C1423" s="13" t="s">
        <v>1763</v>
      </c>
      <c r="D1423" s="13" t="s">
        <v>81</v>
      </c>
    </row>
    <row r="1424" spans="1:4">
      <c r="A1424" s="23">
        <v>45024</v>
      </c>
      <c r="B1424" s="20" t="s">
        <v>2069</v>
      </c>
      <c r="C1424" s="13" t="s">
        <v>1763</v>
      </c>
      <c r="D1424" s="13" t="s">
        <v>81</v>
      </c>
    </row>
    <row r="1425" spans="1:4">
      <c r="A1425" s="23">
        <v>45024</v>
      </c>
      <c r="B1425" s="20" t="s">
        <v>2071</v>
      </c>
      <c r="C1425" s="13" t="s">
        <v>2070</v>
      </c>
      <c r="D1425" s="13" t="s">
        <v>5</v>
      </c>
    </row>
    <row r="1426" spans="1:4">
      <c r="A1426" s="23">
        <v>45025</v>
      </c>
      <c r="B1426" s="20" t="s">
        <v>2072</v>
      </c>
      <c r="C1426" s="13" t="s">
        <v>83</v>
      </c>
      <c r="D1426" s="13" t="s">
        <v>81</v>
      </c>
    </row>
    <row r="1427" spans="1:4">
      <c r="A1427" s="23">
        <v>45025</v>
      </c>
      <c r="B1427" s="20" t="s">
        <v>2073</v>
      </c>
      <c r="C1427" s="13" t="s">
        <v>349</v>
      </c>
      <c r="D1427" s="13" t="s">
        <v>81</v>
      </c>
    </row>
    <row r="1428" spans="1:4">
      <c r="A1428" s="23">
        <v>45026</v>
      </c>
      <c r="B1428" s="13" t="s">
        <v>2075</v>
      </c>
      <c r="C1428" s="13" t="s">
        <v>2074</v>
      </c>
      <c r="D1428" s="13" t="s">
        <v>29</v>
      </c>
    </row>
    <row r="1429" spans="1:4">
      <c r="A1429" s="23">
        <v>45026</v>
      </c>
      <c r="B1429" s="13" t="s">
        <v>2077</v>
      </c>
      <c r="C1429" s="13" t="s">
        <v>2076</v>
      </c>
      <c r="D1429" s="13" t="s">
        <v>216</v>
      </c>
    </row>
    <row r="1430" spans="1:4">
      <c r="A1430" s="23">
        <v>45026</v>
      </c>
      <c r="B1430" s="20" t="s">
        <v>2078</v>
      </c>
      <c r="C1430" s="13" t="s">
        <v>2047</v>
      </c>
      <c r="D1430" s="13" t="s">
        <v>216</v>
      </c>
    </row>
    <row r="1431" spans="1:4">
      <c r="A1431" s="23">
        <v>45026</v>
      </c>
      <c r="B1431" s="20" t="s">
        <v>2079</v>
      </c>
      <c r="C1431" s="13" t="s">
        <v>1763</v>
      </c>
      <c r="D1431" s="13" t="s">
        <v>81</v>
      </c>
    </row>
    <row r="1432" spans="1:4">
      <c r="A1432" s="23">
        <v>45026</v>
      </c>
      <c r="B1432" s="13" t="s">
        <v>2081</v>
      </c>
      <c r="C1432" s="13" t="s">
        <v>2080</v>
      </c>
      <c r="D1432" s="13" t="s">
        <v>216</v>
      </c>
    </row>
    <row r="1433" spans="1:4">
      <c r="A1433" s="23">
        <v>45026</v>
      </c>
      <c r="B1433" s="13" t="s">
        <v>2083</v>
      </c>
      <c r="C1433" s="13" t="s">
        <v>2082</v>
      </c>
      <c r="D1433" s="13" t="s">
        <v>81</v>
      </c>
    </row>
    <row r="1434" spans="1:4">
      <c r="A1434" s="23">
        <v>45026</v>
      </c>
      <c r="B1434" s="13" t="s">
        <v>2083</v>
      </c>
      <c r="C1434" s="13" t="s">
        <v>2082</v>
      </c>
      <c r="D1434" s="13" t="s">
        <v>81</v>
      </c>
    </row>
    <row r="1435" spans="1:4">
      <c r="A1435" s="23">
        <v>45027</v>
      </c>
      <c r="B1435" s="13" t="s">
        <v>2085</v>
      </c>
      <c r="C1435" s="13" t="s">
        <v>2084</v>
      </c>
      <c r="D1435" s="13" t="s">
        <v>5</v>
      </c>
    </row>
    <row r="1436" spans="1:4">
      <c r="A1436" s="23">
        <v>45027</v>
      </c>
      <c r="B1436" s="13" t="s">
        <v>2087</v>
      </c>
      <c r="C1436" s="13" t="s">
        <v>2086</v>
      </c>
      <c r="D1436" s="13" t="s">
        <v>216</v>
      </c>
    </row>
    <row r="1437" spans="1:4">
      <c r="A1437" s="23">
        <v>45027</v>
      </c>
      <c r="B1437" s="13" t="s">
        <v>2088</v>
      </c>
      <c r="C1437" s="13" t="s">
        <v>1890</v>
      </c>
      <c r="D1437" s="13" t="s">
        <v>81</v>
      </c>
    </row>
    <row r="1438" spans="1:4">
      <c r="A1438" s="23">
        <v>45027</v>
      </c>
      <c r="B1438" s="13" t="s">
        <v>2090</v>
      </c>
      <c r="C1438" s="13" t="s">
        <v>2089</v>
      </c>
      <c r="D1438" s="13" t="s">
        <v>216</v>
      </c>
    </row>
    <row r="1439" spans="1:4">
      <c r="A1439" s="23">
        <v>45027</v>
      </c>
      <c r="B1439" s="13" t="s">
        <v>2092</v>
      </c>
      <c r="C1439" s="13" t="s">
        <v>2091</v>
      </c>
      <c r="D1439" s="13" t="s">
        <v>353</v>
      </c>
    </row>
    <row r="1440" spans="1:4">
      <c r="A1440" s="23">
        <v>45027</v>
      </c>
      <c r="B1440" s="13" t="s">
        <v>2088</v>
      </c>
      <c r="C1440" s="13" t="s">
        <v>1890</v>
      </c>
      <c r="D1440" s="13" t="s">
        <v>81</v>
      </c>
    </row>
    <row r="1441" spans="1:4">
      <c r="A1441" s="23">
        <v>45027</v>
      </c>
      <c r="B1441" s="13" t="s">
        <v>2094</v>
      </c>
      <c r="C1441" s="13" t="s">
        <v>2093</v>
      </c>
      <c r="D1441" s="13" t="s">
        <v>216</v>
      </c>
    </row>
    <row r="1442" spans="1:4">
      <c r="A1442" s="23">
        <v>45027</v>
      </c>
      <c r="B1442" s="13" t="s">
        <v>2096</v>
      </c>
      <c r="C1442" s="13" t="s">
        <v>2095</v>
      </c>
      <c r="D1442" s="13" t="s">
        <v>24</v>
      </c>
    </row>
    <row r="1443" spans="1:4">
      <c r="A1443" s="23">
        <v>45027</v>
      </c>
      <c r="B1443" s="13" t="s">
        <v>2097</v>
      </c>
      <c r="C1443" s="13" t="s">
        <v>1890</v>
      </c>
      <c r="D1443" s="13" t="s">
        <v>81</v>
      </c>
    </row>
    <row r="1444" spans="1:4">
      <c r="A1444" s="23">
        <v>45027</v>
      </c>
      <c r="B1444" s="13" t="s">
        <v>2099</v>
      </c>
      <c r="C1444" s="13" t="s">
        <v>2098</v>
      </c>
      <c r="D1444" s="13" t="s">
        <v>353</v>
      </c>
    </row>
    <row r="1445" spans="1:4">
      <c r="A1445" s="23">
        <v>45027</v>
      </c>
      <c r="B1445" s="13" t="s">
        <v>2100</v>
      </c>
      <c r="C1445" s="13" t="s">
        <v>83</v>
      </c>
      <c r="D1445" s="13" t="s">
        <v>81</v>
      </c>
    </row>
    <row r="1446" spans="1:4">
      <c r="A1446" s="23">
        <v>45027</v>
      </c>
      <c r="B1446" s="13" t="s">
        <v>2101</v>
      </c>
      <c r="C1446" s="13" t="s">
        <v>83</v>
      </c>
      <c r="D1446" s="13" t="s">
        <v>81</v>
      </c>
    </row>
    <row r="1447" spans="1:4">
      <c r="A1447" s="23">
        <v>45028</v>
      </c>
      <c r="B1447" s="13" t="s">
        <v>2102</v>
      </c>
      <c r="C1447" s="13" t="s">
        <v>180</v>
      </c>
      <c r="D1447" s="13" t="s">
        <v>34</v>
      </c>
    </row>
    <row r="1448" spans="1:4">
      <c r="A1448" s="23">
        <v>45028</v>
      </c>
      <c r="B1448" s="13" t="s">
        <v>2103</v>
      </c>
      <c r="C1448" s="13" t="s">
        <v>1763</v>
      </c>
      <c r="D1448" s="13" t="s">
        <v>81</v>
      </c>
    </row>
    <row r="1449" spans="1:4">
      <c r="A1449" s="23">
        <v>45028</v>
      </c>
      <c r="B1449" s="13" t="s">
        <v>2105</v>
      </c>
      <c r="C1449" s="13" t="s">
        <v>2104</v>
      </c>
      <c r="D1449" s="13" t="s">
        <v>81</v>
      </c>
    </row>
    <row r="1450" spans="1:4">
      <c r="A1450" s="23">
        <v>45028</v>
      </c>
      <c r="B1450" s="13" t="s">
        <v>2107</v>
      </c>
      <c r="C1450" s="13" t="s">
        <v>2106</v>
      </c>
      <c r="D1450" s="13" t="s">
        <v>34</v>
      </c>
    </row>
    <row r="1451" spans="1:4">
      <c r="A1451" s="23">
        <v>45028</v>
      </c>
      <c r="B1451" s="13" t="s">
        <v>2109</v>
      </c>
      <c r="C1451" s="13" t="s">
        <v>2108</v>
      </c>
      <c r="D1451" s="13" t="s">
        <v>16</v>
      </c>
    </row>
    <row r="1452" spans="1:4">
      <c r="A1452" s="23">
        <v>45028</v>
      </c>
      <c r="B1452" s="13" t="s">
        <v>2111</v>
      </c>
      <c r="C1452" s="13" t="s">
        <v>2110</v>
      </c>
      <c r="D1452" s="13" t="s">
        <v>16</v>
      </c>
    </row>
    <row r="1453" spans="1:4">
      <c r="A1453" s="23">
        <v>45028</v>
      </c>
      <c r="B1453" s="13" t="s">
        <v>2112</v>
      </c>
      <c r="C1453" s="13" t="s">
        <v>1763</v>
      </c>
      <c r="D1453" s="13" t="s">
        <v>81</v>
      </c>
    </row>
    <row r="1454" spans="1:4">
      <c r="A1454" s="23">
        <v>45028</v>
      </c>
      <c r="B1454" s="13" t="s">
        <v>2114</v>
      </c>
      <c r="C1454" s="13" t="s">
        <v>2113</v>
      </c>
      <c r="D1454" s="13" t="s">
        <v>34</v>
      </c>
    </row>
    <row r="1455" spans="1:4">
      <c r="A1455" s="23">
        <v>45028</v>
      </c>
      <c r="B1455" s="13" t="s">
        <v>2114</v>
      </c>
      <c r="C1455" s="13" t="s">
        <v>2113</v>
      </c>
      <c r="D1455" s="13" t="s">
        <v>34</v>
      </c>
    </row>
    <row r="1456" spans="1:4">
      <c r="A1456" s="23">
        <v>45028</v>
      </c>
      <c r="B1456" s="13" t="s">
        <v>2116</v>
      </c>
      <c r="C1456" s="13" t="s">
        <v>2115</v>
      </c>
      <c r="D1456" s="13" t="s">
        <v>34</v>
      </c>
    </row>
    <row r="1457" spans="1:4">
      <c r="A1457" s="23">
        <v>45029</v>
      </c>
      <c r="B1457" s="13" t="s">
        <v>2118</v>
      </c>
      <c r="C1457" s="13" t="s">
        <v>2117</v>
      </c>
      <c r="D1457" s="13" t="s">
        <v>24</v>
      </c>
    </row>
    <row r="1458" spans="1:4">
      <c r="A1458" s="23">
        <v>45029</v>
      </c>
      <c r="B1458" s="13" t="s">
        <v>2120</v>
      </c>
      <c r="C1458" s="13" t="s">
        <v>2119</v>
      </c>
      <c r="D1458" s="13" t="s">
        <v>24</v>
      </c>
    </row>
    <row r="1459" spans="1:4">
      <c r="A1459" s="23">
        <v>45029</v>
      </c>
      <c r="B1459" s="13" t="s">
        <v>2122</v>
      </c>
      <c r="C1459" s="13" t="s">
        <v>2121</v>
      </c>
      <c r="D1459" s="13" t="s">
        <v>510</v>
      </c>
    </row>
    <row r="1460" spans="1:4">
      <c r="A1460" s="23">
        <v>45029</v>
      </c>
      <c r="B1460" s="13" t="s">
        <v>2124</v>
      </c>
      <c r="C1460" s="13" t="s">
        <v>2123</v>
      </c>
      <c r="D1460" s="13" t="s">
        <v>24</v>
      </c>
    </row>
    <row r="1461" spans="1:4">
      <c r="A1461" s="23">
        <v>45029</v>
      </c>
      <c r="B1461" s="13" t="s">
        <v>2126</v>
      </c>
      <c r="C1461" s="13" t="s">
        <v>2125</v>
      </c>
      <c r="D1461" s="13" t="s">
        <v>8</v>
      </c>
    </row>
    <row r="1462" spans="1:4">
      <c r="A1462" s="23">
        <v>45029</v>
      </c>
      <c r="B1462" s="13" t="s">
        <v>2128</v>
      </c>
      <c r="C1462" s="13" t="s">
        <v>2127</v>
      </c>
      <c r="D1462" s="13" t="s">
        <v>16</v>
      </c>
    </row>
    <row r="1463" spans="1:4">
      <c r="A1463" s="23">
        <v>45029</v>
      </c>
      <c r="B1463" s="13" t="s">
        <v>2130</v>
      </c>
      <c r="C1463" s="13" t="s">
        <v>2129</v>
      </c>
      <c r="D1463" s="13" t="s">
        <v>109</v>
      </c>
    </row>
    <row r="1464" spans="1:4">
      <c r="A1464" s="23">
        <v>45029</v>
      </c>
      <c r="B1464" s="13" t="s">
        <v>2132</v>
      </c>
      <c r="C1464" s="13" t="s">
        <v>2131</v>
      </c>
      <c r="D1464" s="13" t="s">
        <v>74</v>
      </c>
    </row>
    <row r="1465" spans="1:4">
      <c r="A1465" s="23">
        <v>45029</v>
      </c>
      <c r="B1465" s="13" t="s">
        <v>2133</v>
      </c>
      <c r="C1465" s="13" t="s">
        <v>1903</v>
      </c>
      <c r="D1465" s="13" t="s">
        <v>81</v>
      </c>
    </row>
    <row r="1466" spans="1:4">
      <c r="A1466" s="23">
        <v>45029</v>
      </c>
      <c r="B1466" s="13" t="s">
        <v>2134</v>
      </c>
      <c r="C1466" s="13" t="s">
        <v>1890</v>
      </c>
      <c r="D1466" s="13" t="s">
        <v>81</v>
      </c>
    </row>
    <row r="1467" spans="1:4">
      <c r="A1467" s="23">
        <v>45029</v>
      </c>
      <c r="B1467" s="13" t="s">
        <v>2135</v>
      </c>
      <c r="C1467" s="13" t="s">
        <v>951</v>
      </c>
      <c r="D1467" s="13" t="s">
        <v>81</v>
      </c>
    </row>
    <row r="1468" spans="1:4">
      <c r="A1468" s="23">
        <v>45029</v>
      </c>
      <c r="B1468" s="13" t="s">
        <v>1861</v>
      </c>
      <c r="C1468" s="13" t="s">
        <v>1860</v>
      </c>
      <c r="D1468" s="13" t="s">
        <v>510</v>
      </c>
    </row>
    <row r="1469" spans="1:4">
      <c r="A1469" s="23">
        <v>45029</v>
      </c>
      <c r="B1469" s="13" t="s">
        <v>2136</v>
      </c>
      <c r="C1469" s="13" t="s">
        <v>231</v>
      </c>
      <c r="D1469" s="13" t="s">
        <v>81</v>
      </c>
    </row>
    <row r="1470" spans="1:4">
      <c r="A1470" s="23">
        <v>45029</v>
      </c>
      <c r="B1470" s="13" t="s">
        <v>2137</v>
      </c>
      <c r="C1470" s="13" t="s">
        <v>231</v>
      </c>
      <c r="D1470" s="13" t="s">
        <v>81</v>
      </c>
    </row>
    <row r="1471" spans="1:4">
      <c r="A1471" s="23">
        <v>45029</v>
      </c>
      <c r="B1471" s="13" t="s">
        <v>2138</v>
      </c>
      <c r="C1471" s="13" t="s">
        <v>231</v>
      </c>
      <c r="D1471" s="13" t="s">
        <v>81</v>
      </c>
    </row>
    <row r="1472" spans="1:4">
      <c r="A1472" s="23">
        <v>45030</v>
      </c>
      <c r="B1472" s="13" t="s">
        <v>2140</v>
      </c>
      <c r="C1472" s="13" t="s">
        <v>2139</v>
      </c>
      <c r="D1472" s="13" t="s">
        <v>81</v>
      </c>
    </row>
    <row r="1473" spans="1:4">
      <c r="A1473" s="23">
        <v>45030</v>
      </c>
      <c r="B1473" s="13" t="s">
        <v>2141</v>
      </c>
      <c r="C1473" s="13" t="s">
        <v>193</v>
      </c>
      <c r="D1473" s="13" t="s">
        <v>74</v>
      </c>
    </row>
    <row r="1474" spans="1:4">
      <c r="A1474" s="23">
        <v>45030</v>
      </c>
      <c r="B1474" s="13" t="s">
        <v>2143</v>
      </c>
      <c r="C1474" s="13" t="s">
        <v>2142</v>
      </c>
      <c r="D1474" s="13" t="s">
        <v>81</v>
      </c>
    </row>
    <row r="1475" spans="1:4">
      <c r="A1475" s="23">
        <v>45030</v>
      </c>
      <c r="B1475" s="13" t="s">
        <v>2145</v>
      </c>
      <c r="C1475" s="13" t="s">
        <v>2144</v>
      </c>
      <c r="D1475" s="13" t="s">
        <v>5</v>
      </c>
    </row>
    <row r="1476" spans="1:4">
      <c r="A1476" s="23">
        <v>45031</v>
      </c>
      <c r="B1476" s="13" t="s">
        <v>2147</v>
      </c>
      <c r="C1476" s="13" t="s">
        <v>2146</v>
      </c>
      <c r="D1476" s="13" t="s">
        <v>5</v>
      </c>
    </row>
    <row r="1477" spans="1:4">
      <c r="A1477" s="23">
        <v>45031</v>
      </c>
      <c r="B1477" s="13" t="s">
        <v>2149</v>
      </c>
      <c r="C1477" s="13" t="s">
        <v>2148</v>
      </c>
      <c r="D1477" s="13" t="s">
        <v>5</v>
      </c>
    </row>
    <row r="1478" spans="1:4">
      <c r="A1478" s="23">
        <v>45031</v>
      </c>
      <c r="B1478" s="13" t="s">
        <v>2151</v>
      </c>
      <c r="C1478" s="13" t="s">
        <v>2150</v>
      </c>
      <c r="D1478" s="13" t="s">
        <v>5</v>
      </c>
    </row>
    <row r="1479" spans="1:4">
      <c r="A1479" s="23">
        <v>45031</v>
      </c>
      <c r="B1479" s="13" t="s">
        <v>2153</v>
      </c>
      <c r="C1479" s="13" t="s">
        <v>2152</v>
      </c>
      <c r="D1479" s="13" t="s">
        <v>24</v>
      </c>
    </row>
    <row r="1480" spans="1:4">
      <c r="A1480" s="23">
        <v>45031</v>
      </c>
      <c r="B1480" s="13" t="s">
        <v>2155</v>
      </c>
      <c r="C1480" s="13" t="s">
        <v>2154</v>
      </c>
      <c r="D1480" s="13" t="s">
        <v>24</v>
      </c>
    </row>
    <row r="1481" spans="1:4">
      <c r="A1481" s="23">
        <v>45032</v>
      </c>
      <c r="B1481" s="13" t="s">
        <v>2157</v>
      </c>
      <c r="C1481" s="13" t="s">
        <v>2156</v>
      </c>
      <c r="D1481" s="13" t="s">
        <v>34</v>
      </c>
    </row>
    <row r="1482" spans="1:4">
      <c r="A1482" s="23">
        <v>45032</v>
      </c>
      <c r="B1482" s="13" t="s">
        <v>2159</v>
      </c>
      <c r="C1482" s="13" t="s">
        <v>2158</v>
      </c>
      <c r="D1482" s="13" t="s">
        <v>34</v>
      </c>
    </row>
    <row r="1483" spans="1:4">
      <c r="A1483" s="23">
        <v>45032</v>
      </c>
      <c r="B1483" s="13" t="s">
        <v>2161</v>
      </c>
      <c r="C1483" s="13" t="s">
        <v>2160</v>
      </c>
      <c r="D1483" s="13" t="s">
        <v>34</v>
      </c>
    </row>
    <row r="1484" spans="1:4">
      <c r="A1484" s="23">
        <v>45032</v>
      </c>
      <c r="B1484" s="13" t="s">
        <v>2163</v>
      </c>
      <c r="C1484" s="13" t="s">
        <v>2162</v>
      </c>
      <c r="D1484" s="13" t="s">
        <v>11</v>
      </c>
    </row>
    <row r="1485" spans="1:4">
      <c r="A1485" s="23">
        <v>45033</v>
      </c>
      <c r="B1485" s="13" t="s">
        <v>2165</v>
      </c>
      <c r="C1485" s="13" t="s">
        <v>2164</v>
      </c>
      <c r="D1485" s="13" t="s">
        <v>510</v>
      </c>
    </row>
    <row r="1486" spans="1:4">
      <c r="A1486" s="23">
        <v>45033</v>
      </c>
      <c r="B1486" s="13" t="s">
        <v>2167</v>
      </c>
      <c r="C1486" s="13" t="s">
        <v>2166</v>
      </c>
      <c r="D1486" s="13" t="s">
        <v>34</v>
      </c>
    </row>
    <row r="1487" spans="1:4">
      <c r="A1487" s="23">
        <v>45033</v>
      </c>
      <c r="B1487" s="13" t="s">
        <v>2169</v>
      </c>
      <c r="C1487" s="13" t="s">
        <v>2168</v>
      </c>
      <c r="D1487" s="13" t="s">
        <v>510</v>
      </c>
    </row>
    <row r="1488" spans="1:4">
      <c r="A1488" s="23">
        <v>45033</v>
      </c>
      <c r="B1488" s="13" t="s">
        <v>2171</v>
      </c>
      <c r="C1488" s="13" t="s">
        <v>2170</v>
      </c>
      <c r="D1488" s="13" t="s">
        <v>510</v>
      </c>
    </row>
    <row r="1489" spans="1:4">
      <c r="A1489" s="23">
        <v>45033</v>
      </c>
      <c r="B1489" s="13" t="s">
        <v>2173</v>
      </c>
      <c r="C1489" s="13" t="s">
        <v>2172</v>
      </c>
      <c r="D1489" s="13" t="s">
        <v>510</v>
      </c>
    </row>
    <row r="1490" spans="1:4">
      <c r="A1490" s="23">
        <v>45033</v>
      </c>
      <c r="B1490" s="13" t="s">
        <v>2174</v>
      </c>
      <c r="C1490" s="13" t="s">
        <v>83</v>
      </c>
      <c r="D1490" s="13" t="s">
        <v>81</v>
      </c>
    </row>
    <row r="1491" spans="1:4">
      <c r="A1491" s="23">
        <v>45033</v>
      </c>
      <c r="B1491" s="13" t="s">
        <v>2167</v>
      </c>
      <c r="C1491" s="13" t="s">
        <v>2113</v>
      </c>
      <c r="D1491" s="13" t="s">
        <v>34</v>
      </c>
    </row>
    <row r="1492" spans="1:4">
      <c r="A1492" s="23">
        <v>45033</v>
      </c>
      <c r="B1492" s="13" t="s">
        <v>2175</v>
      </c>
      <c r="C1492" s="13" t="s">
        <v>2166</v>
      </c>
      <c r="D1492" s="13" t="s">
        <v>34</v>
      </c>
    </row>
    <row r="1493" spans="1:4">
      <c r="A1493" s="23">
        <v>45033</v>
      </c>
      <c r="B1493" s="13" t="s">
        <v>2177</v>
      </c>
      <c r="C1493" s="13" t="s">
        <v>2176</v>
      </c>
      <c r="D1493" s="13" t="s">
        <v>81</v>
      </c>
    </row>
    <row r="1494" spans="1:4">
      <c r="A1494" s="23">
        <v>45034</v>
      </c>
      <c r="B1494" s="13" t="s">
        <v>2179</v>
      </c>
      <c r="C1494" s="13" t="s">
        <v>2178</v>
      </c>
      <c r="D1494" s="13" t="s">
        <v>81</v>
      </c>
    </row>
    <row r="1495" spans="1:4">
      <c r="A1495" s="23">
        <v>45034</v>
      </c>
      <c r="B1495" s="13" t="s">
        <v>2180</v>
      </c>
      <c r="C1495" s="13" t="s">
        <v>231</v>
      </c>
      <c r="D1495" s="13" t="s">
        <v>81</v>
      </c>
    </row>
    <row r="1496" spans="1:4">
      <c r="A1496" s="23">
        <v>45034</v>
      </c>
      <c r="B1496" s="13" t="s">
        <v>2181</v>
      </c>
      <c r="C1496" s="13" t="s">
        <v>83</v>
      </c>
      <c r="D1496" s="13" t="s">
        <v>81</v>
      </c>
    </row>
    <row r="1497" spans="1:4">
      <c r="A1497" s="23">
        <v>45034</v>
      </c>
      <c r="B1497" s="13" t="s">
        <v>2183</v>
      </c>
      <c r="C1497" s="13" t="s">
        <v>2182</v>
      </c>
      <c r="D1497" s="13" t="s">
        <v>510</v>
      </c>
    </row>
    <row r="1498" spans="1:4">
      <c r="A1498" s="23">
        <v>45034</v>
      </c>
      <c r="B1498" s="13" t="s">
        <v>2184</v>
      </c>
      <c r="C1498" s="13" t="s">
        <v>349</v>
      </c>
      <c r="D1498" s="13" t="s">
        <v>81</v>
      </c>
    </row>
    <row r="1499" spans="1:4">
      <c r="A1499" s="23">
        <v>45034</v>
      </c>
      <c r="B1499" s="13" t="s">
        <v>2186</v>
      </c>
      <c r="C1499" s="13" t="s">
        <v>2185</v>
      </c>
      <c r="D1499" s="13" t="s">
        <v>81</v>
      </c>
    </row>
    <row r="1500" spans="1:4">
      <c r="A1500" s="23">
        <v>45034</v>
      </c>
      <c r="B1500" s="13" t="s">
        <v>2188</v>
      </c>
      <c r="C1500" s="13" t="s">
        <v>2187</v>
      </c>
      <c r="D1500" s="13" t="s">
        <v>81</v>
      </c>
    </row>
    <row r="1501" spans="1:4">
      <c r="A1501" s="23">
        <v>45034</v>
      </c>
      <c r="B1501" s="13" t="s">
        <v>2189</v>
      </c>
      <c r="C1501" s="13" t="s">
        <v>231</v>
      </c>
      <c r="D1501" s="13" t="s">
        <v>81</v>
      </c>
    </row>
    <row r="1502" spans="1:4">
      <c r="A1502" s="23">
        <v>45034</v>
      </c>
      <c r="B1502" s="13" t="s">
        <v>2191</v>
      </c>
      <c r="C1502" s="13" t="s">
        <v>2190</v>
      </c>
      <c r="D1502" s="13" t="s">
        <v>81</v>
      </c>
    </row>
    <row r="1503" spans="1:4">
      <c r="A1503" s="23">
        <v>45034</v>
      </c>
      <c r="B1503" s="13" t="s">
        <v>2193</v>
      </c>
      <c r="C1503" s="13" t="s">
        <v>2192</v>
      </c>
      <c r="D1503" s="13" t="s">
        <v>81</v>
      </c>
    </row>
    <row r="1504" spans="1:4">
      <c r="A1504" s="23">
        <v>45034</v>
      </c>
      <c r="B1504" s="13" t="s">
        <v>2195</v>
      </c>
      <c r="C1504" s="13" t="s">
        <v>2194</v>
      </c>
      <c r="D1504" s="13" t="s">
        <v>81</v>
      </c>
    </row>
    <row r="1505" spans="1:4">
      <c r="A1505" s="23">
        <v>45034</v>
      </c>
      <c r="B1505" s="13" t="s">
        <v>2196</v>
      </c>
      <c r="C1505" s="13" t="s">
        <v>170</v>
      </c>
      <c r="D1505" s="13" t="s">
        <v>81</v>
      </c>
    </row>
    <row r="1506" spans="1:4">
      <c r="A1506" s="23">
        <v>45034</v>
      </c>
      <c r="B1506" s="13" t="s">
        <v>2197</v>
      </c>
      <c r="C1506" s="13" t="s">
        <v>170</v>
      </c>
      <c r="D1506" s="13" t="s">
        <v>81</v>
      </c>
    </row>
    <row r="1507" spans="1:4">
      <c r="A1507" s="23">
        <v>45035</v>
      </c>
      <c r="B1507" s="13" t="s">
        <v>2195</v>
      </c>
      <c r="C1507" s="13" t="s">
        <v>2198</v>
      </c>
      <c r="D1507" s="13" t="s">
        <v>81</v>
      </c>
    </row>
    <row r="1508" spans="1:4">
      <c r="A1508" s="23">
        <v>45035</v>
      </c>
      <c r="B1508" s="13" t="s">
        <v>2200</v>
      </c>
      <c r="C1508" s="13" t="s">
        <v>2199</v>
      </c>
      <c r="D1508" s="13" t="s">
        <v>5</v>
      </c>
    </row>
    <row r="1509" spans="1:4">
      <c r="A1509" s="23">
        <v>45035</v>
      </c>
      <c r="B1509" s="13" t="s">
        <v>2202</v>
      </c>
      <c r="C1509" s="13" t="s">
        <v>2201</v>
      </c>
      <c r="D1509" s="13" t="s">
        <v>81</v>
      </c>
    </row>
    <row r="1510" spans="1:4">
      <c r="A1510" s="23">
        <v>45035</v>
      </c>
      <c r="B1510" s="13" t="s">
        <v>2204</v>
      </c>
      <c r="C1510" s="13" t="s">
        <v>2203</v>
      </c>
      <c r="D1510" s="13" t="s">
        <v>81</v>
      </c>
    </row>
    <row r="1511" spans="1:4">
      <c r="A1511" s="23">
        <v>45035</v>
      </c>
      <c r="B1511" s="13" t="s">
        <v>2206</v>
      </c>
      <c r="C1511" s="13" t="s">
        <v>2205</v>
      </c>
      <c r="D1511" s="13" t="s">
        <v>81</v>
      </c>
    </row>
    <row r="1512" spans="1:4">
      <c r="A1512" s="23">
        <v>45035</v>
      </c>
      <c r="B1512" s="13" t="s">
        <v>2208</v>
      </c>
      <c r="C1512" s="13" t="s">
        <v>2207</v>
      </c>
      <c r="D1512" s="13" t="s">
        <v>510</v>
      </c>
    </row>
    <row r="1513" spans="1:4">
      <c r="A1513" s="23">
        <v>45035</v>
      </c>
      <c r="B1513" s="13" t="s">
        <v>2210</v>
      </c>
      <c r="C1513" s="13" t="s">
        <v>2209</v>
      </c>
      <c r="D1513" s="13" t="s">
        <v>510</v>
      </c>
    </row>
    <row r="1514" spans="1:4">
      <c r="A1514" s="23">
        <v>45035</v>
      </c>
      <c r="B1514" s="13" t="s">
        <v>2212</v>
      </c>
      <c r="C1514" s="13" t="s">
        <v>2211</v>
      </c>
      <c r="D1514" s="13" t="s">
        <v>510</v>
      </c>
    </row>
    <row r="1515" spans="1:4">
      <c r="A1515" s="23">
        <v>45035</v>
      </c>
      <c r="B1515" s="13" t="s">
        <v>2214</v>
      </c>
      <c r="C1515" s="13" t="s">
        <v>2213</v>
      </c>
      <c r="D1515" s="13" t="s">
        <v>5</v>
      </c>
    </row>
    <row r="1516" spans="1:4">
      <c r="A1516" s="23">
        <v>45035</v>
      </c>
      <c r="B1516" s="13" t="s">
        <v>2216</v>
      </c>
      <c r="C1516" s="13" t="s">
        <v>2215</v>
      </c>
      <c r="D1516" s="13" t="s">
        <v>5</v>
      </c>
    </row>
    <row r="1517" spans="1:4">
      <c r="A1517" s="23">
        <v>45035</v>
      </c>
      <c r="B1517" s="13" t="s">
        <v>2218</v>
      </c>
      <c r="C1517" s="13" t="s">
        <v>2217</v>
      </c>
      <c r="D1517" s="13" t="s">
        <v>216</v>
      </c>
    </row>
    <row r="1518" spans="1:4">
      <c r="A1518" s="23">
        <v>45035</v>
      </c>
      <c r="B1518" s="13" t="s">
        <v>2220</v>
      </c>
      <c r="C1518" s="13" t="s">
        <v>2219</v>
      </c>
      <c r="D1518" s="13" t="s">
        <v>216</v>
      </c>
    </row>
    <row r="1519" spans="1:4">
      <c r="A1519" s="23">
        <v>45035</v>
      </c>
      <c r="B1519" s="13" t="s">
        <v>2222</v>
      </c>
      <c r="C1519" s="13" t="s">
        <v>2221</v>
      </c>
      <c r="D1519" s="13" t="s">
        <v>216</v>
      </c>
    </row>
    <row r="1520" spans="1:4">
      <c r="A1520" s="23">
        <v>45036</v>
      </c>
      <c r="B1520" s="13" t="s">
        <v>2224</v>
      </c>
      <c r="C1520" s="13" t="s">
        <v>2223</v>
      </c>
      <c r="D1520" s="13" t="s">
        <v>510</v>
      </c>
    </row>
    <row r="1521" spans="1:4">
      <c r="A1521" s="23">
        <v>45036</v>
      </c>
      <c r="B1521" s="13" t="s">
        <v>2226</v>
      </c>
      <c r="C1521" s="13" t="s">
        <v>2225</v>
      </c>
      <c r="D1521" s="13" t="s">
        <v>216</v>
      </c>
    </row>
    <row r="1522" spans="1:4">
      <c r="A1522" s="23">
        <v>45036</v>
      </c>
      <c r="B1522" s="13" t="s">
        <v>2224</v>
      </c>
      <c r="C1522" s="13" t="s">
        <v>2227</v>
      </c>
      <c r="D1522" s="13" t="s">
        <v>510</v>
      </c>
    </row>
    <row r="1523" spans="1:4">
      <c r="A1523" s="23">
        <v>45036</v>
      </c>
      <c r="B1523" s="13" t="s">
        <v>2229</v>
      </c>
      <c r="C1523" s="13" t="s">
        <v>2228</v>
      </c>
      <c r="D1523" s="13" t="s">
        <v>164</v>
      </c>
    </row>
    <row r="1524" spans="1:4">
      <c r="A1524" s="23">
        <v>45036</v>
      </c>
      <c r="B1524" s="13" t="s">
        <v>2231</v>
      </c>
      <c r="C1524" s="13" t="s">
        <v>2230</v>
      </c>
      <c r="D1524" s="13" t="s">
        <v>216</v>
      </c>
    </row>
    <row r="1525" spans="1:4">
      <c r="A1525" s="23">
        <v>45036</v>
      </c>
      <c r="B1525" s="13" t="s">
        <v>2233</v>
      </c>
      <c r="C1525" s="13" t="s">
        <v>2232</v>
      </c>
      <c r="D1525" s="13" t="s">
        <v>34</v>
      </c>
    </row>
    <row r="1526" spans="1:4">
      <c r="A1526" s="23">
        <v>45036</v>
      </c>
      <c r="B1526" s="13" t="s">
        <v>2235</v>
      </c>
      <c r="C1526" s="13" t="s">
        <v>2234</v>
      </c>
      <c r="D1526" s="13" t="s">
        <v>34</v>
      </c>
    </row>
    <row r="1527" spans="1:4">
      <c r="A1527" s="23">
        <v>45036</v>
      </c>
      <c r="B1527" s="13" t="s">
        <v>2237</v>
      </c>
      <c r="C1527" s="13" t="s">
        <v>2236</v>
      </c>
      <c r="D1527" s="13" t="s">
        <v>34</v>
      </c>
    </row>
    <row r="1528" spans="1:4">
      <c r="A1528" s="23">
        <v>45037</v>
      </c>
      <c r="B1528" s="13" t="s">
        <v>2239</v>
      </c>
      <c r="C1528" s="13" t="s">
        <v>2238</v>
      </c>
      <c r="D1528" s="13" t="s">
        <v>5</v>
      </c>
    </row>
    <row r="1529" spans="1:4">
      <c r="A1529" s="23">
        <v>45037</v>
      </c>
      <c r="B1529" s="13" t="s">
        <v>2240</v>
      </c>
      <c r="C1529" s="13" t="s">
        <v>176</v>
      </c>
      <c r="D1529" s="13" t="s">
        <v>81</v>
      </c>
    </row>
    <row r="1530" spans="1:4">
      <c r="A1530" s="23">
        <v>45037</v>
      </c>
      <c r="B1530" s="13" t="s">
        <v>2242</v>
      </c>
      <c r="C1530" s="13" t="s">
        <v>2241</v>
      </c>
      <c r="D1530" s="13" t="s">
        <v>216</v>
      </c>
    </row>
    <row r="1531" spans="1:4">
      <c r="A1531" s="23">
        <v>45037</v>
      </c>
      <c r="B1531" s="13" t="s">
        <v>2243</v>
      </c>
      <c r="C1531" s="13" t="s">
        <v>1862</v>
      </c>
      <c r="D1531" s="13" t="s">
        <v>81</v>
      </c>
    </row>
    <row r="1532" spans="1:4">
      <c r="A1532" s="23">
        <v>45038</v>
      </c>
      <c r="B1532" s="13" t="s">
        <v>2244</v>
      </c>
      <c r="C1532" s="13" t="s">
        <v>1873</v>
      </c>
      <c r="D1532" s="13" t="s">
        <v>8</v>
      </c>
    </row>
    <row r="1533" spans="1:4">
      <c r="A1533" s="23">
        <v>45038</v>
      </c>
      <c r="B1533" s="13" t="s">
        <v>2245</v>
      </c>
      <c r="C1533" s="13" t="s">
        <v>1959</v>
      </c>
      <c r="D1533" s="13" t="s">
        <v>34</v>
      </c>
    </row>
    <row r="1534" spans="1:4">
      <c r="A1534" s="23">
        <v>45040</v>
      </c>
      <c r="B1534" s="13" t="s">
        <v>2246</v>
      </c>
      <c r="C1534" s="13" t="s">
        <v>1033</v>
      </c>
      <c r="D1534" s="13" t="s">
        <v>81</v>
      </c>
    </row>
    <row r="1535" spans="1:4">
      <c r="A1535" s="23">
        <v>45040</v>
      </c>
      <c r="B1535" s="13" t="s">
        <v>2248</v>
      </c>
      <c r="C1535" s="13" t="s">
        <v>2247</v>
      </c>
      <c r="D1535" s="13" t="s">
        <v>510</v>
      </c>
    </row>
    <row r="1536" spans="1:4">
      <c r="A1536" s="23">
        <v>45040</v>
      </c>
      <c r="B1536" s="13" t="s">
        <v>2246</v>
      </c>
      <c r="C1536" s="13" t="s">
        <v>91</v>
      </c>
      <c r="D1536" s="13" t="s">
        <v>81</v>
      </c>
    </row>
    <row r="1537" spans="1:4">
      <c r="A1537" s="23">
        <v>45040</v>
      </c>
      <c r="B1537" s="13" t="s">
        <v>2250</v>
      </c>
      <c r="C1537" s="13" t="s">
        <v>2249</v>
      </c>
      <c r="D1537" s="13" t="s">
        <v>510</v>
      </c>
    </row>
    <row r="1538" spans="1:4">
      <c r="A1538" s="23">
        <v>45040</v>
      </c>
      <c r="B1538" s="13" t="s">
        <v>2252</v>
      </c>
      <c r="C1538" s="13" t="s">
        <v>2251</v>
      </c>
      <c r="D1538" s="13" t="s">
        <v>510</v>
      </c>
    </row>
    <row r="1539" spans="1:4">
      <c r="A1539" s="23">
        <v>45040</v>
      </c>
      <c r="B1539" s="13" t="s">
        <v>2254</v>
      </c>
      <c r="C1539" s="13" t="s">
        <v>2253</v>
      </c>
      <c r="D1539" s="13" t="s">
        <v>510</v>
      </c>
    </row>
    <row r="1540" spans="1:4">
      <c r="A1540" s="23">
        <v>45040</v>
      </c>
      <c r="B1540" s="13" t="s">
        <v>2246</v>
      </c>
      <c r="C1540" s="13" t="s">
        <v>1033</v>
      </c>
      <c r="D1540" s="13" t="s">
        <v>81</v>
      </c>
    </row>
    <row r="1541" spans="1:4">
      <c r="A1541" s="23">
        <v>45040</v>
      </c>
      <c r="B1541" s="13" t="s">
        <v>2246</v>
      </c>
      <c r="C1541" s="13" t="s">
        <v>91</v>
      </c>
      <c r="D1541" s="13" t="s">
        <v>81</v>
      </c>
    </row>
    <row r="1542" spans="1:4">
      <c r="A1542" s="23">
        <v>45041</v>
      </c>
      <c r="B1542" s="13" t="s">
        <v>2255</v>
      </c>
      <c r="C1542" s="13" t="s">
        <v>2029</v>
      </c>
      <c r="D1542" s="13" t="s">
        <v>81</v>
      </c>
    </row>
    <row r="1543" spans="1:4">
      <c r="A1543" s="23">
        <v>45041</v>
      </c>
      <c r="B1543" s="13" t="s">
        <v>2257</v>
      </c>
      <c r="C1543" s="13" t="s">
        <v>2256</v>
      </c>
      <c r="D1543" s="13" t="s">
        <v>216</v>
      </c>
    </row>
    <row r="1544" spans="1:4">
      <c r="A1544" s="23">
        <v>45041</v>
      </c>
      <c r="B1544" s="13" t="s">
        <v>2258</v>
      </c>
      <c r="C1544" s="13" t="s">
        <v>1763</v>
      </c>
      <c r="D1544" s="13" t="s">
        <v>81</v>
      </c>
    </row>
    <row r="1545" spans="1:4">
      <c r="A1545" s="23">
        <v>45041</v>
      </c>
      <c r="B1545" s="13" t="s">
        <v>2260</v>
      </c>
      <c r="C1545" s="13" t="s">
        <v>2259</v>
      </c>
      <c r="D1545" s="13" t="s">
        <v>216</v>
      </c>
    </row>
    <row r="1546" spans="1:4">
      <c r="A1546" s="23">
        <v>45041</v>
      </c>
      <c r="B1546" s="13" t="s">
        <v>2262</v>
      </c>
      <c r="C1546" s="13" t="s">
        <v>2261</v>
      </c>
      <c r="D1546" s="13" t="s">
        <v>81</v>
      </c>
    </row>
    <row r="1547" spans="1:4">
      <c r="A1547" s="23">
        <v>45041</v>
      </c>
      <c r="B1547" s="13" t="s">
        <v>2263</v>
      </c>
      <c r="C1547" s="13" t="s">
        <v>273</v>
      </c>
      <c r="D1547" s="13" t="s">
        <v>81</v>
      </c>
    </row>
    <row r="1548" spans="1:4">
      <c r="A1548" s="23">
        <v>45041</v>
      </c>
      <c r="B1548" s="13" t="s">
        <v>2265</v>
      </c>
      <c r="C1548" s="13" t="s">
        <v>2264</v>
      </c>
      <c r="D1548" s="13" t="s">
        <v>81</v>
      </c>
    </row>
    <row r="1549" spans="1:4">
      <c r="A1549" s="23">
        <v>45041</v>
      </c>
      <c r="B1549" s="13" t="s">
        <v>2266</v>
      </c>
      <c r="C1549" s="13" t="s">
        <v>1903</v>
      </c>
      <c r="D1549" s="13" t="s">
        <v>81</v>
      </c>
    </row>
    <row r="1550" spans="1:4">
      <c r="A1550" s="23">
        <v>45041</v>
      </c>
      <c r="B1550" s="13" t="s">
        <v>2268</v>
      </c>
      <c r="C1550" s="13" t="s">
        <v>2267</v>
      </c>
      <c r="D1550" s="13" t="s">
        <v>81</v>
      </c>
    </row>
    <row r="1551" spans="1:4">
      <c r="A1551" s="23">
        <v>45041</v>
      </c>
      <c r="B1551" s="13" t="s">
        <v>2270</v>
      </c>
      <c r="C1551" s="13" t="s">
        <v>2269</v>
      </c>
      <c r="D1551" s="13" t="s">
        <v>81</v>
      </c>
    </row>
    <row r="1552" spans="1:4">
      <c r="A1552" s="23">
        <v>45041</v>
      </c>
      <c r="B1552" s="13" t="s">
        <v>2272</v>
      </c>
      <c r="C1552" s="13" t="s">
        <v>2271</v>
      </c>
      <c r="D1552" s="13" t="s">
        <v>81</v>
      </c>
    </row>
    <row r="1553" spans="1:4">
      <c r="A1553" s="23">
        <v>45041</v>
      </c>
      <c r="B1553" s="13" t="s">
        <v>2273</v>
      </c>
      <c r="C1553" s="13" t="s">
        <v>1831</v>
      </c>
      <c r="D1553" s="13" t="s">
        <v>81</v>
      </c>
    </row>
    <row r="1554" spans="1:4">
      <c r="A1554" s="23">
        <v>45041</v>
      </c>
      <c r="B1554" s="13" t="s">
        <v>2274</v>
      </c>
      <c r="C1554" s="13" t="s">
        <v>349</v>
      </c>
      <c r="D1554" s="13" t="s">
        <v>81</v>
      </c>
    </row>
    <row r="1555" spans="1:4">
      <c r="A1555" s="23">
        <v>45041</v>
      </c>
      <c r="B1555" s="13" t="s">
        <v>2274</v>
      </c>
      <c r="C1555" s="13" t="s">
        <v>349</v>
      </c>
      <c r="D1555" s="13" t="s">
        <v>81</v>
      </c>
    </row>
    <row r="1556" spans="1:4">
      <c r="A1556" s="23">
        <v>45042</v>
      </c>
      <c r="B1556" s="13" t="s">
        <v>2275</v>
      </c>
      <c r="C1556" s="13" t="s">
        <v>91</v>
      </c>
      <c r="D1556" s="13" t="s">
        <v>81</v>
      </c>
    </row>
    <row r="1557" spans="1:4">
      <c r="A1557" s="23">
        <v>45042</v>
      </c>
      <c r="B1557" s="13" t="s">
        <v>2277</v>
      </c>
      <c r="C1557" s="13" t="s">
        <v>2276</v>
      </c>
      <c r="D1557" s="13" t="s">
        <v>81</v>
      </c>
    </row>
    <row r="1558" spans="1:4">
      <c r="A1558" s="23">
        <v>45042</v>
      </c>
      <c r="B1558" s="13" t="s">
        <v>2278</v>
      </c>
      <c r="C1558" s="13" t="s">
        <v>91</v>
      </c>
      <c r="D1558" s="13" t="s">
        <v>81</v>
      </c>
    </row>
    <row r="1559" spans="1:4">
      <c r="A1559" s="23">
        <v>45042</v>
      </c>
      <c r="B1559" s="13" t="s">
        <v>2279</v>
      </c>
      <c r="C1559" s="13" t="s">
        <v>2198</v>
      </c>
      <c r="D1559" s="13" t="s">
        <v>81</v>
      </c>
    </row>
    <row r="1560" spans="1:4">
      <c r="A1560" s="23">
        <v>45042</v>
      </c>
      <c r="B1560" s="13" t="s">
        <v>2280</v>
      </c>
      <c r="C1560" s="13" t="s">
        <v>1890</v>
      </c>
      <c r="D1560" s="13" t="s">
        <v>81</v>
      </c>
    </row>
    <row r="1561" spans="1:4">
      <c r="A1561" s="23">
        <v>45042</v>
      </c>
      <c r="B1561" s="13" t="s">
        <v>2282</v>
      </c>
      <c r="C1561" s="13" t="s">
        <v>2281</v>
      </c>
      <c r="D1561" s="13" t="s">
        <v>19</v>
      </c>
    </row>
    <row r="1562" spans="1:4">
      <c r="A1562" s="23">
        <v>45042</v>
      </c>
      <c r="B1562" s="13" t="s">
        <v>2284</v>
      </c>
      <c r="C1562" s="13" t="s">
        <v>2283</v>
      </c>
      <c r="D1562" s="13" t="s">
        <v>109</v>
      </c>
    </row>
    <row r="1563" spans="1:4">
      <c r="A1563" s="23">
        <v>45043</v>
      </c>
      <c r="B1563" s="13" t="s">
        <v>2285</v>
      </c>
      <c r="C1563" s="13" t="s">
        <v>1890</v>
      </c>
      <c r="D1563" s="13" t="s">
        <v>81</v>
      </c>
    </row>
    <row r="1564" spans="1:4">
      <c r="A1564" s="23">
        <v>45043</v>
      </c>
      <c r="B1564" s="13" t="s">
        <v>2287</v>
      </c>
      <c r="C1564" s="13" t="s">
        <v>2286</v>
      </c>
      <c r="D1564" s="13" t="s">
        <v>24</v>
      </c>
    </row>
    <row r="1565" spans="1:4">
      <c r="A1565" s="23">
        <v>45043</v>
      </c>
      <c r="B1565" s="13" t="s">
        <v>2288</v>
      </c>
      <c r="C1565" s="13" t="s">
        <v>1901</v>
      </c>
      <c r="D1565" s="13" t="s">
        <v>81</v>
      </c>
    </row>
    <row r="1566" spans="1:4">
      <c r="A1566" s="23">
        <v>45043</v>
      </c>
      <c r="B1566" s="13" t="s">
        <v>2289</v>
      </c>
      <c r="C1566" s="13" t="s">
        <v>1890</v>
      </c>
      <c r="D1566" s="13" t="s">
        <v>81</v>
      </c>
    </row>
    <row r="1567" spans="1:4">
      <c r="A1567" s="23">
        <v>45043</v>
      </c>
      <c r="B1567" s="13" t="s">
        <v>2291</v>
      </c>
      <c r="C1567" s="13" t="s">
        <v>2290</v>
      </c>
      <c r="D1567" s="13" t="s">
        <v>81</v>
      </c>
    </row>
    <row r="1568" spans="1:4">
      <c r="A1568" s="23">
        <v>45043</v>
      </c>
      <c r="B1568" s="13" t="s">
        <v>2292</v>
      </c>
      <c r="C1568" s="13" t="s">
        <v>83</v>
      </c>
      <c r="D1568" s="13" t="s">
        <v>81</v>
      </c>
    </row>
    <row r="1569" spans="1:4">
      <c r="A1569" s="23">
        <v>45043</v>
      </c>
      <c r="B1569" s="13" t="s">
        <v>2294</v>
      </c>
      <c r="C1569" s="13" t="s">
        <v>2293</v>
      </c>
      <c r="D1569" s="13" t="s">
        <v>24</v>
      </c>
    </row>
    <row r="1570" spans="1:4">
      <c r="A1570" s="23">
        <v>45043</v>
      </c>
      <c r="B1570" s="13" t="s">
        <v>2296</v>
      </c>
      <c r="C1570" s="13" t="s">
        <v>2295</v>
      </c>
      <c r="D1570" s="13" t="s">
        <v>24</v>
      </c>
    </row>
    <row r="1571" spans="1:4">
      <c r="A1571" s="23">
        <v>45043</v>
      </c>
      <c r="B1571" s="13" t="s">
        <v>2298</v>
      </c>
      <c r="C1571" s="13" t="s">
        <v>2297</v>
      </c>
      <c r="D1571" s="13" t="s">
        <v>81</v>
      </c>
    </row>
    <row r="1572" spans="1:4">
      <c r="A1572" s="23">
        <v>45043</v>
      </c>
      <c r="B1572" s="13" t="s">
        <v>2299</v>
      </c>
      <c r="C1572" s="13" t="s">
        <v>170</v>
      </c>
      <c r="D1572" s="13" t="s">
        <v>81</v>
      </c>
    </row>
    <row r="1573" spans="1:4">
      <c r="A1573" s="23">
        <v>45043</v>
      </c>
      <c r="B1573" s="13" t="s">
        <v>2301</v>
      </c>
      <c r="C1573" s="13" t="s">
        <v>2300</v>
      </c>
      <c r="D1573" s="13" t="s">
        <v>81</v>
      </c>
    </row>
    <row r="1574" spans="1:4">
      <c r="A1574" s="23">
        <v>45044</v>
      </c>
      <c r="B1574" s="13" t="s">
        <v>2303</v>
      </c>
      <c r="C1574" s="13" t="s">
        <v>2302</v>
      </c>
      <c r="D1574" s="13" t="s">
        <v>510</v>
      </c>
    </row>
    <row r="1575" spans="1:4">
      <c r="A1575" s="23">
        <v>45044</v>
      </c>
      <c r="B1575" s="13" t="s">
        <v>2305</v>
      </c>
      <c r="C1575" s="13" t="s">
        <v>2304</v>
      </c>
      <c r="D1575" s="13" t="s">
        <v>81</v>
      </c>
    </row>
    <row r="1576" spans="1:4">
      <c r="A1576" s="23">
        <v>45044</v>
      </c>
      <c r="B1576" s="13" t="s">
        <v>2307</v>
      </c>
      <c r="C1576" s="13" t="s">
        <v>2306</v>
      </c>
      <c r="D1576" s="13" t="s">
        <v>510</v>
      </c>
    </row>
    <row r="1577" spans="1:4">
      <c r="A1577" s="23">
        <v>45044</v>
      </c>
      <c r="B1577" s="13" t="s">
        <v>2309</v>
      </c>
      <c r="C1577" s="13" t="s">
        <v>2308</v>
      </c>
      <c r="D1577" s="13" t="s">
        <v>81</v>
      </c>
    </row>
    <row r="1578" spans="1:4">
      <c r="A1578" s="23">
        <v>45044</v>
      </c>
      <c r="B1578" s="13" t="s">
        <v>2310</v>
      </c>
      <c r="C1578" s="13" t="s">
        <v>83</v>
      </c>
      <c r="D1578" s="13" t="s">
        <v>81</v>
      </c>
    </row>
    <row r="1579" spans="1:4">
      <c r="A1579" s="23">
        <v>45044</v>
      </c>
      <c r="B1579" s="13" t="s">
        <v>2191</v>
      </c>
      <c r="C1579" s="13" t="s">
        <v>1858</v>
      </c>
      <c r="D1579" s="13" t="s">
        <v>81</v>
      </c>
    </row>
    <row r="1580" spans="1:4">
      <c r="A1580" s="23">
        <v>45044</v>
      </c>
      <c r="B1580" s="13" t="s">
        <v>2312</v>
      </c>
      <c r="C1580" s="13" t="s">
        <v>2311</v>
      </c>
      <c r="D1580" s="13" t="s">
        <v>81</v>
      </c>
    </row>
    <row r="1581" spans="1:4">
      <c r="A1581" s="23">
        <v>45044</v>
      </c>
      <c r="B1581" s="13" t="s">
        <v>2313</v>
      </c>
      <c r="C1581" s="13" t="s">
        <v>85</v>
      </c>
      <c r="D1581" s="13" t="s">
        <v>81</v>
      </c>
    </row>
    <row r="1582" spans="1:4">
      <c r="A1582" s="23">
        <v>45044</v>
      </c>
      <c r="B1582" s="13" t="s">
        <v>2310</v>
      </c>
      <c r="C1582" s="13" t="s">
        <v>83</v>
      </c>
      <c r="D1582" s="13" t="s">
        <v>81</v>
      </c>
    </row>
    <row r="1583" spans="1:4">
      <c r="A1583" s="23">
        <v>45044</v>
      </c>
      <c r="B1583" s="13" t="s">
        <v>2315</v>
      </c>
      <c r="C1583" s="13" t="s">
        <v>2314</v>
      </c>
      <c r="D1583" s="13" t="s">
        <v>24</v>
      </c>
    </row>
    <row r="1584" spans="1:4">
      <c r="A1584" s="23">
        <v>45044</v>
      </c>
      <c r="B1584" s="13" t="s">
        <v>2317</v>
      </c>
      <c r="C1584" s="13" t="s">
        <v>2316</v>
      </c>
      <c r="D1584" s="13" t="s">
        <v>8</v>
      </c>
    </row>
    <row r="1585" spans="1:4">
      <c r="A1585" s="23">
        <v>45044</v>
      </c>
      <c r="B1585" s="13" t="s">
        <v>2318</v>
      </c>
      <c r="C1585" s="13" t="s">
        <v>176</v>
      </c>
      <c r="D1585" s="13" t="s">
        <v>81</v>
      </c>
    </row>
    <row r="1586" spans="1:4">
      <c r="A1586" s="23">
        <v>45044</v>
      </c>
      <c r="B1586" s="13" t="s">
        <v>2320</v>
      </c>
      <c r="C1586" s="13" t="s">
        <v>2319</v>
      </c>
      <c r="D1586" s="13" t="s">
        <v>24</v>
      </c>
    </row>
    <row r="1587" spans="1:4">
      <c r="A1587" s="23">
        <v>45045</v>
      </c>
      <c r="B1587" s="13" t="s">
        <v>2322</v>
      </c>
      <c r="C1587" s="13" t="s">
        <v>2321</v>
      </c>
      <c r="D1587" s="13" t="s">
        <v>8</v>
      </c>
    </row>
    <row r="1588" spans="1:4">
      <c r="A1588" s="23">
        <v>45048</v>
      </c>
      <c r="B1588" s="13" t="s">
        <v>2324</v>
      </c>
      <c r="C1588" s="13" t="s">
        <v>2323</v>
      </c>
      <c r="D1588" s="13" t="s">
        <v>510</v>
      </c>
    </row>
    <row r="1589" spans="1:4">
      <c r="A1589" s="23">
        <v>45048</v>
      </c>
      <c r="B1589" s="13" t="s">
        <v>2326</v>
      </c>
      <c r="C1589" s="13" t="s">
        <v>2325</v>
      </c>
      <c r="D1589" s="13" t="s">
        <v>510</v>
      </c>
    </row>
    <row r="1590" spans="1:4">
      <c r="A1590" s="23">
        <v>45048</v>
      </c>
      <c r="B1590" s="13" t="s">
        <v>2328</v>
      </c>
      <c r="C1590" s="13" t="s">
        <v>2327</v>
      </c>
      <c r="D1590" s="13" t="s">
        <v>8</v>
      </c>
    </row>
    <row r="1591" spans="1:4">
      <c r="A1591" s="23">
        <v>45048</v>
      </c>
      <c r="B1591" s="13" t="s">
        <v>2330</v>
      </c>
      <c r="C1591" s="13" t="s">
        <v>2329</v>
      </c>
      <c r="D1591" s="13" t="s">
        <v>8</v>
      </c>
    </row>
    <row r="1592" spans="1:4">
      <c r="A1592" s="23">
        <v>45048</v>
      </c>
      <c r="B1592" s="13" t="s">
        <v>2332</v>
      </c>
      <c r="C1592" s="13" t="s">
        <v>2331</v>
      </c>
      <c r="D1592" s="13" t="s">
        <v>24</v>
      </c>
    </row>
    <row r="1593" spans="1:4">
      <c r="A1593" s="23">
        <v>45048</v>
      </c>
      <c r="B1593" s="13" t="s">
        <v>2334</v>
      </c>
      <c r="C1593" s="13" t="s">
        <v>2333</v>
      </c>
      <c r="D1593" s="13" t="s">
        <v>19</v>
      </c>
    </row>
    <row r="1594" spans="1:4">
      <c r="A1594" s="23">
        <v>45048</v>
      </c>
      <c r="B1594" s="13" t="s">
        <v>2336</v>
      </c>
      <c r="C1594" s="13" t="s">
        <v>2335</v>
      </c>
      <c r="D1594" s="13" t="s">
        <v>34</v>
      </c>
    </row>
    <row r="1595" spans="1:4">
      <c r="A1595" s="23">
        <v>45048</v>
      </c>
      <c r="B1595" s="13" t="s">
        <v>2338</v>
      </c>
      <c r="C1595" s="13" t="s">
        <v>2337</v>
      </c>
      <c r="D1595" s="13" t="s">
        <v>81</v>
      </c>
    </row>
    <row r="1596" spans="1:4">
      <c r="A1596" s="23">
        <v>45049</v>
      </c>
      <c r="B1596" s="13" t="s">
        <v>2340</v>
      </c>
      <c r="C1596" s="13" t="s">
        <v>2339</v>
      </c>
      <c r="D1596" s="13" t="s">
        <v>109</v>
      </c>
    </row>
    <row r="1597" spans="1:4">
      <c r="A1597" s="23">
        <v>45049</v>
      </c>
      <c r="B1597" s="13" t="s">
        <v>2341</v>
      </c>
      <c r="C1597" s="13" t="s">
        <v>91</v>
      </c>
      <c r="D1597" s="13" t="s">
        <v>81</v>
      </c>
    </row>
    <row r="1598" spans="1:4">
      <c r="A1598" s="23">
        <v>45049</v>
      </c>
      <c r="B1598" s="13" t="s">
        <v>2343</v>
      </c>
      <c r="C1598" s="13" t="s">
        <v>2342</v>
      </c>
      <c r="D1598" s="13" t="s">
        <v>81</v>
      </c>
    </row>
    <row r="1599" spans="1:4">
      <c r="A1599" s="23">
        <v>45049</v>
      </c>
      <c r="B1599" s="13" t="s">
        <v>2345</v>
      </c>
      <c r="C1599" s="13" t="s">
        <v>2344</v>
      </c>
      <c r="D1599" s="13" t="s">
        <v>16</v>
      </c>
    </row>
    <row r="1600" spans="1:4">
      <c r="A1600" s="23">
        <v>45049</v>
      </c>
      <c r="B1600" s="13" t="s">
        <v>2347</v>
      </c>
      <c r="C1600" s="13" t="s">
        <v>2346</v>
      </c>
      <c r="D1600" s="13" t="s">
        <v>353</v>
      </c>
    </row>
    <row r="1601" spans="1:4">
      <c r="A1601" s="23">
        <v>45049</v>
      </c>
      <c r="B1601" s="13" t="s">
        <v>2348</v>
      </c>
      <c r="C1601" s="13" t="s">
        <v>91</v>
      </c>
      <c r="D1601" s="13" t="s">
        <v>81</v>
      </c>
    </row>
    <row r="1602" spans="1:4">
      <c r="A1602" s="23">
        <v>45049</v>
      </c>
      <c r="B1602" s="13" t="s">
        <v>2350</v>
      </c>
      <c r="C1602" s="13" t="s">
        <v>2349</v>
      </c>
      <c r="D1602" s="13" t="s">
        <v>81</v>
      </c>
    </row>
    <row r="1603" spans="1:4">
      <c r="A1603" s="23">
        <v>45049</v>
      </c>
      <c r="B1603" s="13" t="s">
        <v>2352</v>
      </c>
      <c r="C1603" s="13" t="s">
        <v>2351</v>
      </c>
      <c r="D1603" s="13" t="s">
        <v>353</v>
      </c>
    </row>
    <row r="1604" spans="1:4">
      <c r="A1604" s="23">
        <v>45049</v>
      </c>
      <c r="B1604" s="13" t="s">
        <v>2353</v>
      </c>
      <c r="C1604" s="13" t="s">
        <v>2342</v>
      </c>
      <c r="D1604" s="13" t="s">
        <v>81</v>
      </c>
    </row>
    <row r="1605" spans="1:4">
      <c r="A1605" s="23">
        <v>45049</v>
      </c>
      <c r="B1605" s="13" t="s">
        <v>2354</v>
      </c>
      <c r="C1605" s="13" t="s">
        <v>91</v>
      </c>
      <c r="D1605" s="13" t="s">
        <v>81</v>
      </c>
    </row>
    <row r="1606" spans="1:4">
      <c r="A1606" s="23">
        <v>45050</v>
      </c>
      <c r="B1606" s="13" t="s">
        <v>2355</v>
      </c>
      <c r="C1606" s="13" t="s">
        <v>87</v>
      </c>
      <c r="D1606" s="13" t="s">
        <v>81</v>
      </c>
    </row>
    <row r="1607" spans="1:4">
      <c r="A1607" s="23">
        <v>45050</v>
      </c>
      <c r="B1607" s="13" t="s">
        <v>2357</v>
      </c>
      <c r="C1607" s="13" t="s">
        <v>2356</v>
      </c>
      <c r="D1607" s="13" t="s">
        <v>81</v>
      </c>
    </row>
    <row r="1608" spans="1:4">
      <c r="A1608" s="23">
        <v>45050</v>
      </c>
      <c r="B1608" s="13" t="s">
        <v>2359</v>
      </c>
      <c r="C1608" s="13" t="s">
        <v>2358</v>
      </c>
      <c r="D1608" s="13" t="s">
        <v>510</v>
      </c>
    </row>
    <row r="1609" spans="1:4">
      <c r="A1609" s="23">
        <v>45050</v>
      </c>
      <c r="B1609" s="13" t="s">
        <v>2361</v>
      </c>
      <c r="C1609" s="13" t="s">
        <v>2360</v>
      </c>
      <c r="D1609" s="13" t="s">
        <v>81</v>
      </c>
    </row>
    <row r="1610" spans="1:4">
      <c r="A1610" s="23">
        <v>45050</v>
      </c>
      <c r="B1610" s="13" t="s">
        <v>2363</v>
      </c>
      <c r="C1610" s="13" t="s">
        <v>2362</v>
      </c>
      <c r="D1610" s="13" t="s">
        <v>5</v>
      </c>
    </row>
    <row r="1611" spans="1:4">
      <c r="A1611" s="23">
        <v>45050</v>
      </c>
      <c r="B1611" s="13" t="s">
        <v>2365</v>
      </c>
      <c r="C1611" s="13" t="s">
        <v>2364</v>
      </c>
      <c r="D1611" s="13" t="s">
        <v>510</v>
      </c>
    </row>
    <row r="1612" spans="1:4">
      <c r="A1612" s="23">
        <v>45050</v>
      </c>
      <c r="B1612" s="13" t="s">
        <v>2366</v>
      </c>
      <c r="C1612" s="13" t="s">
        <v>1763</v>
      </c>
      <c r="D1612" s="13" t="s">
        <v>81</v>
      </c>
    </row>
    <row r="1613" spans="1:4">
      <c r="A1613" s="23">
        <v>45050</v>
      </c>
      <c r="B1613" s="13" t="s">
        <v>2363</v>
      </c>
      <c r="C1613" s="13" t="s">
        <v>2362</v>
      </c>
      <c r="D1613" s="13" t="s">
        <v>5</v>
      </c>
    </row>
    <row r="1614" spans="1:4">
      <c r="A1614" s="23">
        <v>45050</v>
      </c>
      <c r="B1614" s="13" t="s">
        <v>2355</v>
      </c>
      <c r="C1614" s="13" t="s">
        <v>87</v>
      </c>
      <c r="D1614" s="13" t="s">
        <v>81</v>
      </c>
    </row>
    <row r="1615" spans="1:4">
      <c r="A1615" s="23">
        <v>45050</v>
      </c>
      <c r="B1615" s="13" t="s">
        <v>2368</v>
      </c>
      <c r="C1615" s="13" t="s">
        <v>2367</v>
      </c>
      <c r="D1615" s="13" t="s">
        <v>81</v>
      </c>
    </row>
    <row r="1616" spans="1:4">
      <c r="A1616" s="23">
        <v>45050</v>
      </c>
      <c r="B1616" s="13" t="s">
        <v>2369</v>
      </c>
      <c r="C1616" s="13" t="s">
        <v>1831</v>
      </c>
      <c r="D1616" s="13" t="s">
        <v>81</v>
      </c>
    </row>
    <row r="1617" spans="1:4">
      <c r="A1617" s="23">
        <v>45050</v>
      </c>
      <c r="B1617" s="13" t="s">
        <v>2371</v>
      </c>
      <c r="C1617" s="13" t="s">
        <v>2370</v>
      </c>
      <c r="D1617" s="13" t="s">
        <v>510</v>
      </c>
    </row>
    <row r="1618" spans="1:4">
      <c r="A1618" s="23">
        <v>45050</v>
      </c>
      <c r="B1618" s="13" t="s">
        <v>2363</v>
      </c>
      <c r="C1618" s="13" t="s">
        <v>2362</v>
      </c>
      <c r="D1618" s="13" t="s">
        <v>5</v>
      </c>
    </row>
    <row r="1619" spans="1:4">
      <c r="A1619" s="23">
        <v>45050</v>
      </c>
      <c r="B1619" s="13" t="s">
        <v>2373</v>
      </c>
      <c r="C1619" s="13" t="s">
        <v>2372</v>
      </c>
      <c r="D1619" s="13" t="s">
        <v>81</v>
      </c>
    </row>
    <row r="1620" spans="1:4">
      <c r="A1620" s="23">
        <v>45050</v>
      </c>
      <c r="B1620" s="13" t="s">
        <v>2374</v>
      </c>
      <c r="C1620" s="13" t="s">
        <v>1831</v>
      </c>
      <c r="D1620" s="16" t="s">
        <v>81</v>
      </c>
    </row>
    <row r="1621" spans="1:4">
      <c r="A1621" s="23">
        <v>45050</v>
      </c>
      <c r="B1621" s="13" t="s">
        <v>2375</v>
      </c>
      <c r="C1621" s="13" t="s">
        <v>349</v>
      </c>
      <c r="D1621" s="13" t="s">
        <v>81</v>
      </c>
    </row>
    <row r="1622" spans="1:4">
      <c r="A1622" s="23">
        <v>45050</v>
      </c>
      <c r="B1622" s="13" t="s">
        <v>2377</v>
      </c>
      <c r="C1622" s="13" t="s">
        <v>2376</v>
      </c>
      <c r="D1622" s="13" t="s">
        <v>5</v>
      </c>
    </row>
    <row r="1623" spans="1:4">
      <c r="A1623" s="23">
        <v>45051</v>
      </c>
      <c r="B1623" s="13" t="s">
        <v>2379</v>
      </c>
      <c r="C1623" s="13" t="s">
        <v>2378</v>
      </c>
      <c r="D1623" s="13" t="s">
        <v>510</v>
      </c>
    </row>
    <row r="1624" spans="1:4">
      <c r="A1624" s="23">
        <v>45051</v>
      </c>
      <c r="B1624" s="13" t="s">
        <v>2381</v>
      </c>
      <c r="C1624" s="13" t="s">
        <v>2380</v>
      </c>
      <c r="D1624" s="13" t="s">
        <v>216</v>
      </c>
    </row>
    <row r="1625" spans="1:4">
      <c r="A1625" s="23">
        <v>45051</v>
      </c>
      <c r="B1625" s="13" t="s">
        <v>1771</v>
      </c>
      <c r="C1625" s="13" t="s">
        <v>2382</v>
      </c>
      <c r="D1625" s="13" t="s">
        <v>81</v>
      </c>
    </row>
    <row r="1626" spans="1:4">
      <c r="A1626" s="23">
        <v>45051</v>
      </c>
      <c r="B1626" s="13" t="s">
        <v>2383</v>
      </c>
      <c r="C1626" s="13" t="s">
        <v>83</v>
      </c>
      <c r="D1626" s="13" t="s">
        <v>81</v>
      </c>
    </row>
    <row r="1627" spans="1:4">
      <c r="A1627" s="23">
        <v>45051</v>
      </c>
      <c r="B1627" s="13" t="s">
        <v>2383</v>
      </c>
      <c r="C1627" s="13" t="s">
        <v>83</v>
      </c>
      <c r="D1627" s="13" t="s">
        <v>81</v>
      </c>
    </row>
    <row r="1628" spans="1:4">
      <c r="A1628" s="23">
        <v>45051</v>
      </c>
      <c r="B1628" s="13" t="s">
        <v>2384</v>
      </c>
      <c r="C1628" s="13" t="s">
        <v>231</v>
      </c>
      <c r="D1628" s="13" t="s">
        <v>81</v>
      </c>
    </row>
    <row r="1629" spans="1:4">
      <c r="A1629" s="23">
        <v>45051</v>
      </c>
      <c r="B1629" s="13" t="s">
        <v>2385</v>
      </c>
      <c r="C1629" s="13" t="s">
        <v>83</v>
      </c>
      <c r="D1629" s="13" t="s">
        <v>81</v>
      </c>
    </row>
    <row r="1630" spans="1:4">
      <c r="A1630" s="23">
        <v>45051</v>
      </c>
      <c r="B1630" s="13" t="s">
        <v>2387</v>
      </c>
      <c r="C1630" s="13" t="s">
        <v>2386</v>
      </c>
      <c r="D1630" s="13" t="s">
        <v>510</v>
      </c>
    </row>
    <row r="1631" spans="1:4">
      <c r="A1631" s="23">
        <v>45051</v>
      </c>
      <c r="B1631" s="13" t="s">
        <v>2388</v>
      </c>
      <c r="C1631" s="13" t="s">
        <v>176</v>
      </c>
      <c r="D1631" s="13" t="s">
        <v>81</v>
      </c>
    </row>
    <row r="1632" spans="1:4">
      <c r="A1632" s="23">
        <v>45051</v>
      </c>
      <c r="B1632" s="13" t="s">
        <v>2345</v>
      </c>
      <c r="C1632" s="13" t="s">
        <v>2344</v>
      </c>
      <c r="D1632" s="13" t="s">
        <v>16</v>
      </c>
    </row>
    <row r="1633" spans="1:4">
      <c r="A1633" s="23">
        <v>45051</v>
      </c>
      <c r="B1633" s="13" t="s">
        <v>2390</v>
      </c>
      <c r="C1633" s="13" t="s">
        <v>2389</v>
      </c>
      <c r="D1633" s="13" t="s">
        <v>81</v>
      </c>
    </row>
    <row r="1634" spans="1:4">
      <c r="A1634" s="23">
        <v>45051</v>
      </c>
      <c r="B1634" s="13" t="s">
        <v>2391</v>
      </c>
      <c r="C1634" s="13" t="s">
        <v>83</v>
      </c>
      <c r="D1634" s="13" t="s">
        <v>81</v>
      </c>
    </row>
    <row r="1635" spans="1:4">
      <c r="A1635" s="23">
        <v>45051</v>
      </c>
      <c r="B1635" s="13" t="s">
        <v>2392</v>
      </c>
      <c r="C1635" s="13" t="s">
        <v>2041</v>
      </c>
      <c r="D1635" s="13" t="s">
        <v>216</v>
      </c>
    </row>
    <row r="1636" spans="1:4">
      <c r="A1636" s="23">
        <v>45051</v>
      </c>
      <c r="B1636" s="13" t="s">
        <v>2393</v>
      </c>
      <c r="C1636" s="13" t="s">
        <v>1890</v>
      </c>
      <c r="D1636" s="13" t="s">
        <v>81</v>
      </c>
    </row>
    <row r="1637" spans="1:4">
      <c r="A1637" s="23">
        <v>45051</v>
      </c>
      <c r="B1637" s="13" t="s">
        <v>2394</v>
      </c>
      <c r="C1637" s="13" t="s">
        <v>2344</v>
      </c>
      <c r="D1637" s="13" t="s">
        <v>16</v>
      </c>
    </row>
    <row r="1638" spans="1:4">
      <c r="A1638" s="23">
        <v>45051</v>
      </c>
      <c r="B1638" s="13" t="s">
        <v>2395</v>
      </c>
      <c r="C1638" s="13" t="s">
        <v>231</v>
      </c>
      <c r="D1638" s="13" t="s">
        <v>81</v>
      </c>
    </row>
    <row r="1639" spans="1:4">
      <c r="A1639" s="23">
        <v>45052</v>
      </c>
      <c r="B1639" s="13" t="s">
        <v>2397</v>
      </c>
      <c r="C1639" s="13" t="s">
        <v>2396</v>
      </c>
      <c r="D1639" s="13" t="s">
        <v>5</v>
      </c>
    </row>
    <row r="1640" spans="1:4">
      <c r="A1640" s="23">
        <v>45052</v>
      </c>
      <c r="B1640" s="13" t="s">
        <v>2399</v>
      </c>
      <c r="C1640" s="13" t="s">
        <v>2398</v>
      </c>
      <c r="D1640" s="13" t="s">
        <v>8</v>
      </c>
    </row>
    <row r="1641" spans="1:4">
      <c r="A1641" s="23">
        <v>45053</v>
      </c>
      <c r="B1641" s="13" t="s">
        <v>2401</v>
      </c>
      <c r="C1641" s="13" t="s">
        <v>2400</v>
      </c>
      <c r="D1641" s="13" t="s">
        <v>8</v>
      </c>
    </row>
    <row r="1642" spans="1:4">
      <c r="A1642" s="23">
        <v>45053</v>
      </c>
      <c r="B1642" s="13" t="s">
        <v>2403</v>
      </c>
      <c r="C1642" s="13" t="s">
        <v>2402</v>
      </c>
      <c r="D1642" s="13" t="s">
        <v>8</v>
      </c>
    </row>
    <row r="1643" spans="1:4">
      <c r="A1643" s="23">
        <v>45054</v>
      </c>
      <c r="B1643" s="13" t="s">
        <v>2405</v>
      </c>
      <c r="C1643" s="13" t="s">
        <v>2404</v>
      </c>
      <c r="D1643" s="13" t="s">
        <v>34</v>
      </c>
    </row>
    <row r="1644" spans="1:4">
      <c r="A1644" s="23">
        <v>45054</v>
      </c>
      <c r="B1644" s="13" t="s">
        <v>2405</v>
      </c>
      <c r="C1644" s="13" t="s">
        <v>2404</v>
      </c>
      <c r="D1644" s="13" t="s">
        <v>34</v>
      </c>
    </row>
    <row r="1645" spans="1:4">
      <c r="A1645" s="23">
        <v>45054</v>
      </c>
      <c r="B1645" s="13" t="s">
        <v>2407</v>
      </c>
      <c r="C1645" s="13" t="s">
        <v>2406</v>
      </c>
      <c r="D1645" s="13" t="s">
        <v>5</v>
      </c>
    </row>
    <row r="1646" spans="1:4">
      <c r="A1646" s="23">
        <v>45054</v>
      </c>
      <c r="B1646" s="13" t="s">
        <v>2407</v>
      </c>
      <c r="C1646" s="13" t="s">
        <v>2406</v>
      </c>
      <c r="D1646" s="13" t="s">
        <v>5</v>
      </c>
    </row>
    <row r="1647" spans="1:4">
      <c r="A1647" s="23">
        <v>45054</v>
      </c>
      <c r="B1647" s="13" t="s">
        <v>2409</v>
      </c>
      <c r="C1647" s="13" t="s">
        <v>2408</v>
      </c>
      <c r="D1647" s="16" t="s">
        <v>510</v>
      </c>
    </row>
    <row r="1648" spans="1:4">
      <c r="A1648" s="23">
        <v>45054</v>
      </c>
      <c r="B1648" s="13" t="s">
        <v>2411</v>
      </c>
      <c r="C1648" s="13" t="s">
        <v>2410</v>
      </c>
      <c r="D1648" s="13" t="s">
        <v>510</v>
      </c>
    </row>
    <row r="1649" spans="1:4">
      <c r="A1649" s="23">
        <v>45054</v>
      </c>
      <c r="B1649" s="13" t="s">
        <v>2405</v>
      </c>
      <c r="C1649" s="13" t="s">
        <v>2404</v>
      </c>
      <c r="D1649" s="13" t="s">
        <v>34</v>
      </c>
    </row>
    <row r="1650" spans="1:4">
      <c r="A1650" s="23">
        <v>45054</v>
      </c>
      <c r="B1650" s="13" t="s">
        <v>2412</v>
      </c>
      <c r="C1650" s="13" t="s">
        <v>2404</v>
      </c>
      <c r="D1650" s="13" t="s">
        <v>34</v>
      </c>
    </row>
    <row r="1651" spans="1:4">
      <c r="A1651" s="23">
        <v>45055</v>
      </c>
      <c r="B1651" s="13" t="s">
        <v>2413</v>
      </c>
      <c r="C1651" s="13" t="s">
        <v>2400</v>
      </c>
      <c r="D1651" s="13" t="s">
        <v>8</v>
      </c>
    </row>
    <row r="1652" spans="1:4">
      <c r="A1652" s="23">
        <v>45055</v>
      </c>
      <c r="B1652" s="13" t="s">
        <v>2414</v>
      </c>
      <c r="C1652" s="13" t="s">
        <v>91</v>
      </c>
      <c r="D1652" s="13" t="s">
        <v>81</v>
      </c>
    </row>
    <row r="1653" spans="1:4">
      <c r="A1653" s="23">
        <v>45055</v>
      </c>
      <c r="B1653" s="13" t="s">
        <v>2415</v>
      </c>
      <c r="C1653" s="13" t="s">
        <v>1763</v>
      </c>
      <c r="D1653" s="13" t="s">
        <v>81</v>
      </c>
    </row>
    <row r="1654" spans="1:4">
      <c r="A1654" s="23">
        <v>45055</v>
      </c>
      <c r="B1654" s="13" t="s">
        <v>2417</v>
      </c>
      <c r="C1654" s="13" t="s">
        <v>2416</v>
      </c>
      <c r="D1654" s="13" t="s">
        <v>81</v>
      </c>
    </row>
    <row r="1655" spans="1:4">
      <c r="A1655" s="23">
        <v>45055</v>
      </c>
      <c r="B1655" s="13" t="s">
        <v>2418</v>
      </c>
      <c r="C1655" s="13" t="s">
        <v>2416</v>
      </c>
      <c r="D1655" s="13" t="s">
        <v>81</v>
      </c>
    </row>
    <row r="1656" spans="1:4">
      <c r="A1656" s="23">
        <v>45055</v>
      </c>
      <c r="B1656" s="13" t="s">
        <v>2420</v>
      </c>
      <c r="C1656" s="13" t="s">
        <v>2419</v>
      </c>
      <c r="D1656" s="13" t="s">
        <v>109</v>
      </c>
    </row>
    <row r="1657" spans="1:4">
      <c r="A1657" s="23">
        <v>45055</v>
      </c>
      <c r="B1657" s="13" t="s">
        <v>2421</v>
      </c>
      <c r="C1657" s="13" t="s">
        <v>2400</v>
      </c>
      <c r="D1657" s="13" t="s">
        <v>8</v>
      </c>
    </row>
    <row r="1658" spans="1:4">
      <c r="A1658" s="23">
        <v>45055</v>
      </c>
      <c r="B1658" s="13" t="s">
        <v>2422</v>
      </c>
      <c r="C1658" s="13" t="s">
        <v>91</v>
      </c>
      <c r="D1658" s="13" t="s">
        <v>81</v>
      </c>
    </row>
    <row r="1659" spans="1:4">
      <c r="A1659" s="23">
        <v>45055</v>
      </c>
      <c r="B1659" s="13" t="s">
        <v>2424</v>
      </c>
      <c r="C1659" s="13" t="s">
        <v>2423</v>
      </c>
      <c r="D1659" s="13" t="s">
        <v>81</v>
      </c>
    </row>
    <row r="1660" spans="1:4">
      <c r="A1660" s="23">
        <v>45055</v>
      </c>
      <c r="B1660" s="13" t="s">
        <v>2425</v>
      </c>
      <c r="C1660" s="13" t="s">
        <v>91</v>
      </c>
      <c r="D1660" s="13" t="s">
        <v>81</v>
      </c>
    </row>
    <row r="1661" spans="1:4">
      <c r="A1661" s="23">
        <v>45055</v>
      </c>
      <c r="B1661" s="13" t="s">
        <v>2427</v>
      </c>
      <c r="C1661" s="13" t="s">
        <v>2426</v>
      </c>
      <c r="D1661" s="13" t="s">
        <v>109</v>
      </c>
    </row>
    <row r="1662" spans="1:4">
      <c r="A1662" s="23">
        <v>45055</v>
      </c>
      <c r="B1662" s="13" t="s">
        <v>2428</v>
      </c>
      <c r="C1662" s="13" t="s">
        <v>1763</v>
      </c>
      <c r="D1662" s="13" t="s">
        <v>81</v>
      </c>
    </row>
    <row r="1663" spans="1:4">
      <c r="A1663" s="23">
        <v>45055</v>
      </c>
      <c r="B1663" s="13" t="s">
        <v>2429</v>
      </c>
      <c r="C1663" s="13" t="s">
        <v>87</v>
      </c>
      <c r="D1663" s="13" t="s">
        <v>81</v>
      </c>
    </row>
    <row r="1664" spans="1:4">
      <c r="A1664" s="23">
        <v>45055</v>
      </c>
      <c r="B1664" s="13" t="s">
        <v>2425</v>
      </c>
      <c r="C1664" s="13" t="s">
        <v>91</v>
      </c>
      <c r="D1664" s="13" t="s">
        <v>81</v>
      </c>
    </row>
    <row r="1665" spans="1:4">
      <c r="A1665" s="23">
        <v>45055</v>
      </c>
      <c r="B1665" s="13" t="s">
        <v>2430</v>
      </c>
      <c r="C1665" s="13" t="s">
        <v>83</v>
      </c>
      <c r="D1665" s="13" t="s">
        <v>81</v>
      </c>
    </row>
    <row r="1666" spans="1:4">
      <c r="A1666" s="23">
        <v>45056</v>
      </c>
      <c r="B1666" s="13" t="s">
        <v>2432</v>
      </c>
      <c r="C1666" s="13" t="s">
        <v>2431</v>
      </c>
      <c r="D1666" s="13" t="s">
        <v>29</v>
      </c>
    </row>
    <row r="1667" spans="1:4">
      <c r="A1667" s="23">
        <v>45056</v>
      </c>
      <c r="B1667" s="13" t="s">
        <v>2434</v>
      </c>
      <c r="C1667" s="13" t="s">
        <v>2433</v>
      </c>
      <c r="D1667" s="13" t="s">
        <v>29</v>
      </c>
    </row>
    <row r="1668" spans="1:4">
      <c r="A1668" s="23">
        <v>45056</v>
      </c>
      <c r="B1668" s="13" t="s">
        <v>2436</v>
      </c>
      <c r="C1668" s="13" t="s">
        <v>2435</v>
      </c>
      <c r="D1668" s="13" t="s">
        <v>11</v>
      </c>
    </row>
    <row r="1669" spans="1:4">
      <c r="A1669" s="23">
        <v>45056</v>
      </c>
      <c r="B1669" s="13" t="s">
        <v>2438</v>
      </c>
      <c r="C1669" s="13" t="s">
        <v>2437</v>
      </c>
      <c r="D1669" s="13" t="s">
        <v>216</v>
      </c>
    </row>
    <row r="1670" spans="1:4">
      <c r="A1670" s="23">
        <v>45056</v>
      </c>
      <c r="B1670" s="13" t="s">
        <v>2439</v>
      </c>
      <c r="C1670" s="13" t="s">
        <v>2172</v>
      </c>
      <c r="D1670" s="13" t="s">
        <v>81</v>
      </c>
    </row>
    <row r="1671" spans="1:4">
      <c r="A1671" s="23">
        <v>45056</v>
      </c>
      <c r="B1671" s="13" t="s">
        <v>2441</v>
      </c>
      <c r="C1671" s="13" t="s">
        <v>2440</v>
      </c>
      <c r="D1671" s="13" t="s">
        <v>81</v>
      </c>
    </row>
    <row r="1672" spans="1:4">
      <c r="A1672" s="23">
        <v>45056</v>
      </c>
      <c r="B1672" s="13" t="s">
        <v>2442</v>
      </c>
      <c r="C1672" s="13" t="s">
        <v>231</v>
      </c>
      <c r="D1672" s="13" t="s">
        <v>81</v>
      </c>
    </row>
    <row r="1673" spans="1:4">
      <c r="A1673" s="23">
        <v>45056</v>
      </c>
      <c r="B1673" s="13" t="s">
        <v>2443</v>
      </c>
      <c r="C1673" s="13" t="s">
        <v>231</v>
      </c>
      <c r="D1673" s="13" t="s">
        <v>81</v>
      </c>
    </row>
    <row r="1674" spans="1:4">
      <c r="A1674" s="23">
        <v>45056</v>
      </c>
      <c r="B1674" s="13" t="s">
        <v>2445</v>
      </c>
      <c r="C1674" s="13" t="s">
        <v>2444</v>
      </c>
      <c r="D1674" s="13" t="s">
        <v>81</v>
      </c>
    </row>
    <row r="1675" spans="1:4">
      <c r="A1675" s="23">
        <v>45057</v>
      </c>
      <c r="B1675" s="13" t="s">
        <v>2447</v>
      </c>
      <c r="C1675" s="13" t="s">
        <v>2446</v>
      </c>
      <c r="D1675" s="13" t="s">
        <v>510</v>
      </c>
    </row>
    <row r="1676" spans="1:4">
      <c r="A1676" s="23">
        <v>45057</v>
      </c>
      <c r="B1676" s="13" t="s">
        <v>2449</v>
      </c>
      <c r="C1676" s="13" t="s">
        <v>2448</v>
      </c>
      <c r="D1676" s="13" t="s">
        <v>510</v>
      </c>
    </row>
    <row r="1677" spans="1:4">
      <c r="A1677" s="23">
        <v>45058</v>
      </c>
      <c r="B1677" s="13" t="s">
        <v>2450</v>
      </c>
      <c r="C1677" s="13" t="s">
        <v>83</v>
      </c>
      <c r="D1677" s="13" t="s">
        <v>81</v>
      </c>
    </row>
    <row r="1678" spans="1:4">
      <c r="A1678" s="23">
        <v>45058</v>
      </c>
      <c r="B1678" s="13" t="s">
        <v>2452</v>
      </c>
      <c r="C1678" s="13" t="s">
        <v>2451</v>
      </c>
      <c r="D1678" s="13" t="s">
        <v>510</v>
      </c>
    </row>
    <row r="1679" spans="1:4">
      <c r="A1679" s="23">
        <v>45058</v>
      </c>
      <c r="B1679" s="13" t="s">
        <v>2454</v>
      </c>
      <c r="C1679" s="13" t="s">
        <v>2453</v>
      </c>
      <c r="D1679" s="13" t="s">
        <v>510</v>
      </c>
    </row>
    <row r="1680" spans="1:4">
      <c r="A1680" s="23">
        <v>45058</v>
      </c>
      <c r="B1680" s="13" t="s">
        <v>2455</v>
      </c>
      <c r="C1680" s="13" t="s">
        <v>1901</v>
      </c>
      <c r="D1680" s="13" t="s">
        <v>81</v>
      </c>
    </row>
    <row r="1681" spans="1:4">
      <c r="A1681" s="23">
        <v>45058</v>
      </c>
      <c r="B1681" s="13" t="s">
        <v>2456</v>
      </c>
      <c r="C1681" s="13" t="s">
        <v>1033</v>
      </c>
      <c r="D1681" s="13" t="s">
        <v>81</v>
      </c>
    </row>
    <row r="1682" spans="1:4">
      <c r="A1682" s="23">
        <v>45058</v>
      </c>
      <c r="B1682" s="13" t="s">
        <v>2457</v>
      </c>
      <c r="C1682" s="13" t="s">
        <v>276</v>
      </c>
      <c r="D1682" s="13" t="s">
        <v>81</v>
      </c>
    </row>
    <row r="1683" spans="1:4">
      <c r="A1683" s="23">
        <v>45058</v>
      </c>
      <c r="B1683" s="13" t="s">
        <v>2459</v>
      </c>
      <c r="C1683" s="13" t="s">
        <v>2458</v>
      </c>
      <c r="D1683" s="13" t="s">
        <v>5</v>
      </c>
    </row>
    <row r="1684" spans="1:4">
      <c r="A1684" s="23">
        <v>45058</v>
      </c>
      <c r="B1684" s="13" t="s">
        <v>2461</v>
      </c>
      <c r="C1684" s="13" t="s">
        <v>2460</v>
      </c>
      <c r="D1684" s="13" t="s">
        <v>5</v>
      </c>
    </row>
    <row r="1685" spans="1:4">
      <c r="A1685" s="23">
        <v>45058</v>
      </c>
      <c r="B1685" s="13" t="s">
        <v>2462</v>
      </c>
      <c r="C1685" s="13" t="s">
        <v>91</v>
      </c>
      <c r="D1685" s="13" t="s">
        <v>81</v>
      </c>
    </row>
    <row r="1686" spans="1:4">
      <c r="A1686" s="23">
        <v>45058</v>
      </c>
      <c r="B1686" s="13" t="s">
        <v>2463</v>
      </c>
      <c r="C1686" s="13" t="s">
        <v>91</v>
      </c>
      <c r="D1686" s="13" t="s">
        <v>81</v>
      </c>
    </row>
    <row r="1687" spans="1:4">
      <c r="A1687" s="23">
        <v>45058</v>
      </c>
      <c r="B1687" s="13" t="s">
        <v>2464</v>
      </c>
      <c r="C1687" s="13" t="s">
        <v>312</v>
      </c>
      <c r="D1687" s="13" t="s">
        <v>81</v>
      </c>
    </row>
    <row r="1688" spans="1:4">
      <c r="A1688" s="23">
        <v>45059</v>
      </c>
      <c r="B1688" s="13" t="s">
        <v>2465</v>
      </c>
      <c r="C1688" s="13" t="s">
        <v>1873</v>
      </c>
      <c r="D1688" s="13" t="s">
        <v>8</v>
      </c>
    </row>
    <row r="1689" spans="1:4">
      <c r="A1689" s="23">
        <v>45059</v>
      </c>
      <c r="B1689" s="13" t="s">
        <v>2467</v>
      </c>
      <c r="C1689" s="13" t="s">
        <v>2466</v>
      </c>
      <c r="D1689" s="13" t="s">
        <v>8</v>
      </c>
    </row>
    <row r="1690" spans="1:4">
      <c r="A1690" s="23">
        <v>45061</v>
      </c>
      <c r="B1690" s="13" t="s">
        <v>2469</v>
      </c>
      <c r="C1690" s="13" t="s">
        <v>2468</v>
      </c>
      <c r="D1690" s="13" t="s">
        <v>109</v>
      </c>
    </row>
    <row r="1691" spans="1:4">
      <c r="A1691" s="23">
        <v>45061</v>
      </c>
      <c r="B1691" s="13" t="s">
        <v>2471</v>
      </c>
      <c r="C1691" s="13" t="s">
        <v>2470</v>
      </c>
      <c r="D1691" s="13" t="s">
        <v>29</v>
      </c>
    </row>
    <row r="1692" spans="1:4">
      <c r="A1692" s="23">
        <v>45061</v>
      </c>
      <c r="B1692" s="13" t="s">
        <v>2473</v>
      </c>
      <c r="C1692" s="13" t="s">
        <v>2472</v>
      </c>
      <c r="D1692" s="13" t="s">
        <v>216</v>
      </c>
    </row>
    <row r="1693" spans="1:4">
      <c r="A1693" s="23">
        <v>45061</v>
      </c>
      <c r="B1693" s="13" t="s">
        <v>2474</v>
      </c>
      <c r="C1693" s="13" t="s">
        <v>1890</v>
      </c>
      <c r="D1693" s="13" t="s">
        <v>81</v>
      </c>
    </row>
    <row r="1694" spans="1:4">
      <c r="A1694" s="23">
        <v>45061</v>
      </c>
      <c r="B1694" s="13" t="s">
        <v>2475</v>
      </c>
      <c r="C1694" s="13" t="s">
        <v>273</v>
      </c>
      <c r="D1694" s="13" t="s">
        <v>81</v>
      </c>
    </row>
    <row r="1695" spans="1:4">
      <c r="A1695" s="23">
        <v>45062</v>
      </c>
      <c r="B1695" s="13" t="s">
        <v>2477</v>
      </c>
      <c r="C1695" s="13" t="s">
        <v>2476</v>
      </c>
      <c r="D1695" s="13" t="s">
        <v>81</v>
      </c>
    </row>
    <row r="1696" spans="1:4">
      <c r="A1696" s="23">
        <v>45062</v>
      </c>
      <c r="B1696" s="13" t="s">
        <v>2479</v>
      </c>
      <c r="C1696" s="13" t="s">
        <v>2478</v>
      </c>
      <c r="D1696" s="13" t="s">
        <v>510</v>
      </c>
    </row>
    <row r="1697" spans="1:4">
      <c r="A1697" s="23">
        <v>45062</v>
      </c>
      <c r="B1697" s="13" t="s">
        <v>2481</v>
      </c>
      <c r="C1697" s="13" t="s">
        <v>2480</v>
      </c>
      <c r="D1697" s="13" t="s">
        <v>510</v>
      </c>
    </row>
    <row r="1698" spans="1:4">
      <c r="A1698" s="23">
        <v>45062</v>
      </c>
      <c r="B1698" s="13" t="s">
        <v>2483</v>
      </c>
      <c r="C1698" s="13" t="s">
        <v>2482</v>
      </c>
      <c r="D1698" s="13" t="s">
        <v>510</v>
      </c>
    </row>
    <row r="1699" spans="1:4">
      <c r="A1699" s="23">
        <v>45062</v>
      </c>
      <c r="B1699" s="13" t="s">
        <v>2485</v>
      </c>
      <c r="C1699" s="13" t="s">
        <v>2484</v>
      </c>
      <c r="D1699" s="13" t="s">
        <v>510</v>
      </c>
    </row>
    <row r="1700" spans="1:4">
      <c r="A1700" s="23">
        <v>45062</v>
      </c>
      <c r="B1700" s="13" t="s">
        <v>2487</v>
      </c>
      <c r="C1700" s="13" t="s">
        <v>2486</v>
      </c>
      <c r="D1700" s="13" t="s">
        <v>29</v>
      </c>
    </row>
    <row r="1701" spans="1:4">
      <c r="A1701" s="23">
        <v>45062</v>
      </c>
      <c r="B1701" s="13" t="s">
        <v>2489</v>
      </c>
      <c r="C1701" s="13" t="s">
        <v>2488</v>
      </c>
      <c r="D1701" s="13" t="s">
        <v>29</v>
      </c>
    </row>
    <row r="1702" spans="1:4">
      <c r="A1702" s="23">
        <v>45062</v>
      </c>
      <c r="B1702" s="13" t="s">
        <v>2489</v>
      </c>
      <c r="C1702" s="13" t="s">
        <v>2488</v>
      </c>
      <c r="D1702" s="13" t="s">
        <v>29</v>
      </c>
    </row>
    <row r="1703" spans="1:4">
      <c r="A1703" s="23">
        <v>45062</v>
      </c>
      <c r="B1703" s="13" t="s">
        <v>2491</v>
      </c>
      <c r="C1703" s="13" t="s">
        <v>2490</v>
      </c>
      <c r="D1703" s="13" t="s">
        <v>29</v>
      </c>
    </row>
    <row r="1704" spans="1:4">
      <c r="A1704" s="23">
        <v>45062</v>
      </c>
      <c r="B1704" s="13" t="s">
        <v>2493</v>
      </c>
      <c r="C1704" s="13" t="s">
        <v>2492</v>
      </c>
      <c r="D1704" s="13" t="s">
        <v>74</v>
      </c>
    </row>
    <row r="1705" spans="1:4">
      <c r="A1705" s="23">
        <v>45062</v>
      </c>
      <c r="B1705" s="13" t="s">
        <v>2493</v>
      </c>
      <c r="C1705" s="13" t="s">
        <v>2492</v>
      </c>
      <c r="D1705" s="13" t="s">
        <v>74</v>
      </c>
    </row>
    <row r="1706" spans="1:4">
      <c r="A1706" s="23">
        <v>45064</v>
      </c>
      <c r="B1706" s="13" t="s">
        <v>2495</v>
      </c>
      <c r="C1706" s="13" t="s">
        <v>2494</v>
      </c>
      <c r="D1706" s="13" t="s">
        <v>24</v>
      </c>
    </row>
    <row r="1707" spans="1:4">
      <c r="A1707" s="23">
        <v>45065</v>
      </c>
      <c r="B1707" s="13" t="s">
        <v>2497</v>
      </c>
      <c r="C1707" s="13" t="s">
        <v>2496</v>
      </c>
      <c r="D1707" s="13" t="s">
        <v>109</v>
      </c>
    </row>
    <row r="1708" spans="1:4">
      <c r="A1708" s="23">
        <v>45065</v>
      </c>
      <c r="B1708" s="13" t="s">
        <v>2499</v>
      </c>
      <c r="C1708" s="13" t="s">
        <v>2498</v>
      </c>
      <c r="D1708" s="13" t="s">
        <v>81</v>
      </c>
    </row>
    <row r="1709" spans="1:4">
      <c r="A1709" s="23">
        <v>45065</v>
      </c>
      <c r="B1709" s="13" t="s">
        <v>2501</v>
      </c>
      <c r="C1709" s="13" t="s">
        <v>2500</v>
      </c>
      <c r="D1709" s="13" t="s">
        <v>81</v>
      </c>
    </row>
    <row r="1710" spans="1:4">
      <c r="A1710" s="23">
        <v>45065</v>
      </c>
      <c r="B1710" s="13" t="s">
        <v>2503</v>
      </c>
      <c r="C1710" s="13" t="s">
        <v>2502</v>
      </c>
      <c r="D1710" s="13" t="s">
        <v>510</v>
      </c>
    </row>
    <row r="1711" spans="1:4">
      <c r="A1711" s="23">
        <v>45065</v>
      </c>
      <c r="B1711" s="13" t="s">
        <v>2505</v>
      </c>
      <c r="C1711" s="13" t="s">
        <v>2504</v>
      </c>
      <c r="D1711" s="13" t="s">
        <v>510</v>
      </c>
    </row>
    <row r="1712" spans="1:4">
      <c r="A1712" s="23">
        <v>45066</v>
      </c>
      <c r="B1712" s="13" t="s">
        <v>2506</v>
      </c>
      <c r="C1712" s="13" t="s">
        <v>312</v>
      </c>
      <c r="D1712" s="13" t="s">
        <v>81</v>
      </c>
    </row>
    <row r="1713" spans="1:4">
      <c r="A1713" s="23">
        <v>45066</v>
      </c>
      <c r="B1713" s="13" t="s">
        <v>2507</v>
      </c>
      <c r="C1713" s="13" t="s">
        <v>440</v>
      </c>
      <c r="D1713" s="13" t="s">
        <v>81</v>
      </c>
    </row>
    <row r="1714" spans="1:4">
      <c r="A1714" s="23">
        <v>45066</v>
      </c>
      <c r="B1714" s="13" t="s">
        <v>2508</v>
      </c>
      <c r="C1714" s="13" t="s">
        <v>440</v>
      </c>
      <c r="D1714" s="13" t="s">
        <v>81</v>
      </c>
    </row>
    <row r="1715" spans="1:4">
      <c r="A1715" s="23">
        <v>45066</v>
      </c>
      <c r="B1715" s="13" t="s">
        <v>2510</v>
      </c>
      <c r="C1715" s="13" t="s">
        <v>2509</v>
      </c>
      <c r="D1715" s="13" t="s">
        <v>81</v>
      </c>
    </row>
    <row r="1716" spans="1:4">
      <c r="A1716" s="23">
        <v>45066</v>
      </c>
      <c r="B1716" s="13" t="s">
        <v>2511</v>
      </c>
      <c r="C1716" s="13" t="s">
        <v>1858</v>
      </c>
      <c r="D1716" s="13" t="s">
        <v>81</v>
      </c>
    </row>
    <row r="1717" spans="1:4">
      <c r="A1717" s="23">
        <v>45066</v>
      </c>
      <c r="B1717" s="13" t="s">
        <v>2512</v>
      </c>
      <c r="C1717" s="13" t="s">
        <v>349</v>
      </c>
      <c r="D1717" s="13" t="s">
        <v>81</v>
      </c>
    </row>
    <row r="1718" spans="1:4">
      <c r="A1718" s="23">
        <v>45068</v>
      </c>
      <c r="B1718" s="13" t="s">
        <v>2514</v>
      </c>
      <c r="C1718" s="13" t="s">
        <v>2513</v>
      </c>
      <c r="D1718" s="13" t="s">
        <v>510</v>
      </c>
    </row>
    <row r="1719" spans="1:4">
      <c r="A1719" s="23">
        <v>45068</v>
      </c>
      <c r="B1719" s="13" t="s">
        <v>2516</v>
      </c>
      <c r="C1719" s="13" t="s">
        <v>2515</v>
      </c>
      <c r="D1719" s="13" t="s">
        <v>81</v>
      </c>
    </row>
    <row r="1720" spans="1:4">
      <c r="A1720" s="23">
        <v>45068</v>
      </c>
      <c r="B1720" s="13" t="s">
        <v>2518</v>
      </c>
      <c r="C1720" s="13" t="s">
        <v>2517</v>
      </c>
      <c r="D1720" s="13" t="s">
        <v>81</v>
      </c>
    </row>
    <row r="1721" spans="1:4">
      <c r="A1721" s="23">
        <v>45068</v>
      </c>
      <c r="B1721" s="13" t="s">
        <v>2519</v>
      </c>
      <c r="C1721" s="13" t="s">
        <v>91</v>
      </c>
      <c r="D1721" s="13" t="s">
        <v>81</v>
      </c>
    </row>
    <row r="1722" spans="1:4">
      <c r="A1722" s="23">
        <v>45068</v>
      </c>
      <c r="B1722" s="13" t="s">
        <v>2520</v>
      </c>
      <c r="C1722" s="13" t="s">
        <v>1831</v>
      </c>
      <c r="D1722" s="13" t="s">
        <v>81</v>
      </c>
    </row>
    <row r="1723" spans="1:4">
      <c r="A1723" s="23">
        <v>45068</v>
      </c>
      <c r="B1723" s="13" t="s">
        <v>2522</v>
      </c>
      <c r="C1723" s="13" t="s">
        <v>2521</v>
      </c>
      <c r="D1723" s="13" t="s">
        <v>510</v>
      </c>
    </row>
    <row r="1724" spans="1:4">
      <c r="A1724" s="23">
        <v>45068</v>
      </c>
      <c r="B1724" s="13" t="s">
        <v>2524</v>
      </c>
      <c r="C1724" s="13" t="s">
        <v>2523</v>
      </c>
      <c r="D1724" s="13" t="s">
        <v>510</v>
      </c>
    </row>
    <row r="1725" spans="1:4">
      <c r="A1725" s="23">
        <v>45068</v>
      </c>
      <c r="B1725" s="13" t="s">
        <v>2526</v>
      </c>
      <c r="C1725" s="13" t="s">
        <v>2525</v>
      </c>
      <c r="D1725" s="13" t="s">
        <v>8</v>
      </c>
    </row>
    <row r="1726" spans="1:4">
      <c r="A1726" s="23">
        <v>45069</v>
      </c>
      <c r="B1726" s="13" t="s">
        <v>2527</v>
      </c>
      <c r="C1726" s="13" t="s">
        <v>85</v>
      </c>
      <c r="D1726" s="13" t="s">
        <v>81</v>
      </c>
    </row>
    <row r="1727" spans="1:4">
      <c r="A1727" s="23">
        <v>45069</v>
      </c>
      <c r="B1727" s="13" t="s">
        <v>2529</v>
      </c>
      <c r="C1727" s="13" t="s">
        <v>2528</v>
      </c>
      <c r="D1727" s="13" t="s">
        <v>81</v>
      </c>
    </row>
    <row r="1728" spans="1:4">
      <c r="A1728" s="23">
        <v>45069</v>
      </c>
      <c r="B1728" s="13" t="s">
        <v>2531</v>
      </c>
      <c r="C1728" s="13" t="s">
        <v>2530</v>
      </c>
      <c r="D1728" s="13" t="s">
        <v>510</v>
      </c>
    </row>
    <row r="1729" spans="1:4">
      <c r="A1729" s="23">
        <v>45069</v>
      </c>
      <c r="B1729" s="13" t="s">
        <v>2533</v>
      </c>
      <c r="C1729" s="13" t="s">
        <v>2532</v>
      </c>
      <c r="D1729" s="13" t="s">
        <v>5</v>
      </c>
    </row>
    <row r="1730" spans="1:4">
      <c r="A1730" s="23">
        <v>45069</v>
      </c>
      <c r="B1730" s="13" t="s">
        <v>2535</v>
      </c>
      <c r="C1730" s="13" t="s">
        <v>2534</v>
      </c>
      <c r="D1730" s="13" t="s">
        <v>5</v>
      </c>
    </row>
    <row r="1731" spans="1:4">
      <c r="A1731" s="23">
        <v>45069</v>
      </c>
      <c r="B1731" s="13" t="s">
        <v>2537</v>
      </c>
      <c r="C1731" s="13" t="s">
        <v>2536</v>
      </c>
      <c r="D1731" s="13" t="s">
        <v>5</v>
      </c>
    </row>
    <row r="1732" spans="1:4">
      <c r="A1732" s="23">
        <v>45069</v>
      </c>
      <c r="B1732" s="13" t="s">
        <v>2539</v>
      </c>
      <c r="C1732" s="13" t="s">
        <v>2538</v>
      </c>
      <c r="D1732" s="13" t="s">
        <v>510</v>
      </c>
    </row>
    <row r="1733" spans="1:4">
      <c r="A1733" s="23">
        <v>45069</v>
      </c>
      <c r="B1733" s="13" t="s">
        <v>2540</v>
      </c>
      <c r="C1733" s="13" t="s">
        <v>1769</v>
      </c>
      <c r="D1733" s="13" t="s">
        <v>81</v>
      </c>
    </row>
    <row r="1734" spans="1:4">
      <c r="A1734" s="23">
        <v>45069</v>
      </c>
      <c r="B1734" s="13" t="s">
        <v>2540</v>
      </c>
      <c r="C1734" s="13" t="s">
        <v>1769</v>
      </c>
      <c r="D1734" s="13" t="s">
        <v>81</v>
      </c>
    </row>
    <row r="1735" spans="1:4">
      <c r="A1735" s="23">
        <v>45069</v>
      </c>
      <c r="B1735" s="13" t="s">
        <v>2541</v>
      </c>
      <c r="C1735" s="13" t="s">
        <v>186</v>
      </c>
      <c r="D1735" s="13" t="s">
        <v>81</v>
      </c>
    </row>
    <row r="1736" spans="1:4">
      <c r="A1736" s="23">
        <v>45069</v>
      </c>
      <c r="B1736" s="13" t="s">
        <v>2542</v>
      </c>
      <c r="C1736" s="13" t="s">
        <v>176</v>
      </c>
      <c r="D1736" s="13" t="s">
        <v>81</v>
      </c>
    </row>
    <row r="1737" spans="1:4">
      <c r="A1737" s="23">
        <v>45069</v>
      </c>
      <c r="B1737" s="13" t="s">
        <v>2543</v>
      </c>
      <c r="C1737" s="13" t="s">
        <v>91</v>
      </c>
      <c r="D1737" s="13" t="s">
        <v>81</v>
      </c>
    </row>
    <row r="1738" spans="1:4">
      <c r="A1738" s="23">
        <v>45069</v>
      </c>
      <c r="B1738" s="13" t="s">
        <v>2527</v>
      </c>
      <c r="C1738" s="13" t="s">
        <v>2528</v>
      </c>
      <c r="D1738" s="13" t="s">
        <v>81</v>
      </c>
    </row>
    <row r="1739" spans="1:4">
      <c r="A1739" s="23">
        <v>45069</v>
      </c>
      <c r="B1739" s="13" t="s">
        <v>2544</v>
      </c>
      <c r="C1739" s="13" t="s">
        <v>85</v>
      </c>
      <c r="D1739" s="13" t="s">
        <v>81</v>
      </c>
    </row>
    <row r="1740" spans="1:4">
      <c r="A1740" s="23">
        <v>45070</v>
      </c>
      <c r="B1740" s="13" t="s">
        <v>2546</v>
      </c>
      <c r="C1740" s="13" t="s">
        <v>2545</v>
      </c>
      <c r="D1740" s="13" t="s">
        <v>5</v>
      </c>
    </row>
    <row r="1741" spans="1:4">
      <c r="A1741" s="23">
        <v>45070</v>
      </c>
      <c r="B1741" s="13" t="s">
        <v>2548</v>
      </c>
      <c r="C1741" s="13" t="s">
        <v>2547</v>
      </c>
      <c r="D1741" s="13" t="s">
        <v>5</v>
      </c>
    </row>
    <row r="1742" spans="1:4">
      <c r="A1742" s="23">
        <v>45070</v>
      </c>
      <c r="B1742" s="13" t="s">
        <v>2546</v>
      </c>
      <c r="C1742" s="13" t="s">
        <v>2545</v>
      </c>
      <c r="D1742" s="13" t="s">
        <v>5</v>
      </c>
    </row>
    <row r="1743" spans="1:4">
      <c r="A1743" s="23">
        <v>45070</v>
      </c>
      <c r="B1743" s="13" t="s">
        <v>2549</v>
      </c>
      <c r="C1743" s="13" t="s">
        <v>91</v>
      </c>
      <c r="D1743" s="13" t="s">
        <v>81</v>
      </c>
    </row>
    <row r="1744" spans="1:4">
      <c r="A1744" s="23">
        <v>45070</v>
      </c>
      <c r="B1744" s="13" t="s">
        <v>2551</v>
      </c>
      <c r="C1744" s="13" t="s">
        <v>2550</v>
      </c>
      <c r="D1744" s="13" t="s">
        <v>5</v>
      </c>
    </row>
    <row r="1745" spans="1:4">
      <c r="A1745" s="23">
        <v>45070</v>
      </c>
      <c r="B1745" s="13" t="s">
        <v>2553</v>
      </c>
      <c r="C1745" s="13" t="s">
        <v>2552</v>
      </c>
      <c r="D1745" s="13" t="s">
        <v>24</v>
      </c>
    </row>
    <row r="1746" spans="1:4">
      <c r="A1746" s="23">
        <v>45070</v>
      </c>
      <c r="B1746" s="13" t="s">
        <v>2555</v>
      </c>
      <c r="C1746" s="13" t="s">
        <v>2554</v>
      </c>
      <c r="D1746" s="13" t="s">
        <v>109</v>
      </c>
    </row>
    <row r="1747" spans="1:4">
      <c r="A1747" s="23">
        <v>45070</v>
      </c>
      <c r="B1747" s="13" t="s">
        <v>2553</v>
      </c>
      <c r="C1747" s="13" t="s">
        <v>2552</v>
      </c>
      <c r="D1747" s="13" t="s">
        <v>24</v>
      </c>
    </row>
    <row r="1748" spans="1:4">
      <c r="A1748" s="23">
        <v>45071</v>
      </c>
      <c r="B1748" s="13" t="s">
        <v>2556</v>
      </c>
      <c r="C1748" s="13" t="s">
        <v>91</v>
      </c>
      <c r="D1748" s="13" t="s">
        <v>81</v>
      </c>
    </row>
    <row r="1749" spans="1:4">
      <c r="A1749" s="23">
        <v>45071</v>
      </c>
      <c r="B1749" s="13" t="s">
        <v>2557</v>
      </c>
      <c r="C1749" s="13" t="s">
        <v>91</v>
      </c>
      <c r="D1749" s="13" t="s">
        <v>81</v>
      </c>
    </row>
    <row r="1750" spans="1:4">
      <c r="A1750" s="23">
        <v>45071</v>
      </c>
      <c r="B1750" s="13" t="s">
        <v>2559</v>
      </c>
      <c r="C1750" s="13" t="s">
        <v>2558</v>
      </c>
      <c r="D1750" s="13" t="s">
        <v>510</v>
      </c>
    </row>
    <row r="1751" spans="1:4">
      <c r="A1751" s="23">
        <v>45071</v>
      </c>
      <c r="B1751" s="13" t="s">
        <v>2560</v>
      </c>
      <c r="C1751" s="13" t="s">
        <v>2515</v>
      </c>
      <c r="D1751" s="13" t="s">
        <v>81</v>
      </c>
    </row>
    <row r="1752" spans="1:4">
      <c r="A1752" s="23">
        <v>45071</v>
      </c>
      <c r="B1752" s="13" t="s">
        <v>2562</v>
      </c>
      <c r="C1752" s="13" t="s">
        <v>2561</v>
      </c>
      <c r="D1752" s="16" t="s">
        <v>81</v>
      </c>
    </row>
    <row r="1753" spans="1:4">
      <c r="A1753" s="23">
        <v>45071</v>
      </c>
      <c r="B1753" s="13" t="s">
        <v>2564</v>
      </c>
      <c r="C1753" s="13" t="s">
        <v>2563</v>
      </c>
      <c r="D1753" s="13" t="s">
        <v>510</v>
      </c>
    </row>
    <row r="1754" spans="1:4">
      <c r="A1754" s="23">
        <v>45071</v>
      </c>
      <c r="B1754" s="13" t="s">
        <v>2566</v>
      </c>
      <c r="C1754" s="13" t="s">
        <v>2565</v>
      </c>
      <c r="D1754" s="13" t="s">
        <v>24</v>
      </c>
    </row>
    <row r="1755" spans="1:4">
      <c r="A1755" s="23">
        <v>45071</v>
      </c>
      <c r="B1755" s="13" t="s">
        <v>2567</v>
      </c>
      <c r="C1755" s="13" t="s">
        <v>91</v>
      </c>
      <c r="D1755" s="13" t="s">
        <v>81</v>
      </c>
    </row>
    <row r="1756" spans="1:4">
      <c r="A1756" s="23">
        <v>45071</v>
      </c>
      <c r="B1756" s="13" t="s">
        <v>2568</v>
      </c>
      <c r="C1756" s="13" t="s">
        <v>91</v>
      </c>
      <c r="D1756" s="13" t="s">
        <v>81</v>
      </c>
    </row>
    <row r="1757" spans="1:4">
      <c r="A1757" s="23">
        <v>45071</v>
      </c>
      <c r="B1757" s="13" t="s">
        <v>2570</v>
      </c>
      <c r="C1757" s="13" t="s">
        <v>2569</v>
      </c>
      <c r="D1757" s="13" t="s">
        <v>24</v>
      </c>
    </row>
    <row r="1758" spans="1:4">
      <c r="A1758" s="23">
        <v>45071</v>
      </c>
      <c r="B1758" s="13" t="s">
        <v>2572</v>
      </c>
      <c r="C1758" s="13" t="s">
        <v>2571</v>
      </c>
      <c r="D1758" s="13" t="s">
        <v>81</v>
      </c>
    </row>
    <row r="1759" spans="1:4">
      <c r="A1759" s="23">
        <v>45072</v>
      </c>
      <c r="B1759" s="13" t="s">
        <v>2574</v>
      </c>
      <c r="C1759" s="13" t="s">
        <v>2573</v>
      </c>
      <c r="D1759" s="13" t="s">
        <v>24</v>
      </c>
    </row>
    <row r="1760" spans="1:4">
      <c r="A1760" s="23">
        <v>45072</v>
      </c>
      <c r="B1760" s="13" t="s">
        <v>2575</v>
      </c>
      <c r="C1760" s="13" t="s">
        <v>1694</v>
      </c>
      <c r="D1760" s="13" t="s">
        <v>81</v>
      </c>
    </row>
    <row r="1761" spans="1:4">
      <c r="A1761" s="23">
        <v>45072</v>
      </c>
      <c r="B1761" s="13" t="s">
        <v>2576</v>
      </c>
      <c r="C1761" s="13" t="s">
        <v>1763</v>
      </c>
      <c r="D1761" s="13" t="s">
        <v>81</v>
      </c>
    </row>
    <row r="1762" spans="1:4">
      <c r="A1762" s="23">
        <v>45072</v>
      </c>
      <c r="B1762" s="13" t="s">
        <v>2578</v>
      </c>
      <c r="C1762" s="13" t="s">
        <v>2577</v>
      </c>
      <c r="D1762" s="13" t="s">
        <v>81</v>
      </c>
    </row>
    <row r="1763" spans="1:4">
      <c r="A1763" s="23">
        <v>45072</v>
      </c>
      <c r="B1763" s="13" t="s">
        <v>2579</v>
      </c>
      <c r="C1763" s="13" t="s">
        <v>1763</v>
      </c>
      <c r="D1763" s="13" t="s">
        <v>81</v>
      </c>
    </row>
    <row r="1764" spans="1:4">
      <c r="A1764" s="23">
        <v>45072</v>
      </c>
      <c r="B1764" s="13" t="s">
        <v>2581</v>
      </c>
      <c r="C1764" s="13" t="s">
        <v>2580</v>
      </c>
      <c r="D1764" s="13" t="s">
        <v>5</v>
      </c>
    </row>
    <row r="1765" spans="1:4">
      <c r="A1765" s="23">
        <v>45072</v>
      </c>
      <c r="B1765" s="13" t="s">
        <v>2583</v>
      </c>
      <c r="C1765" s="13" t="s">
        <v>2582</v>
      </c>
      <c r="D1765" s="13" t="s">
        <v>5</v>
      </c>
    </row>
    <row r="1766" spans="1:4">
      <c r="A1766" s="23">
        <v>45072</v>
      </c>
      <c r="B1766" s="13" t="s">
        <v>2584</v>
      </c>
      <c r="C1766" s="13" t="s">
        <v>1763</v>
      </c>
      <c r="D1766" s="13" t="s">
        <v>81</v>
      </c>
    </row>
    <row r="1767" spans="1:4">
      <c r="A1767" s="23">
        <v>45072</v>
      </c>
      <c r="B1767" s="13" t="s">
        <v>2585</v>
      </c>
      <c r="C1767" s="13" t="s">
        <v>1763</v>
      </c>
      <c r="D1767" s="13" t="s">
        <v>81</v>
      </c>
    </row>
    <row r="1768" spans="1:4">
      <c r="A1768" s="23">
        <v>45072</v>
      </c>
      <c r="B1768" s="13" t="s">
        <v>2587</v>
      </c>
      <c r="C1768" s="13" t="s">
        <v>2586</v>
      </c>
      <c r="D1768" s="13" t="s">
        <v>81</v>
      </c>
    </row>
    <row r="1769" spans="1:4">
      <c r="A1769" s="23">
        <v>45072</v>
      </c>
      <c r="B1769" s="13" t="s">
        <v>2588</v>
      </c>
      <c r="C1769" s="13" t="s">
        <v>2360</v>
      </c>
      <c r="D1769" s="13" t="s">
        <v>81</v>
      </c>
    </row>
    <row r="1770" spans="1:4">
      <c r="A1770" s="23">
        <v>45072</v>
      </c>
      <c r="B1770" s="13" t="s">
        <v>2590</v>
      </c>
      <c r="C1770" s="13" t="s">
        <v>2589</v>
      </c>
      <c r="D1770" s="13" t="s">
        <v>24</v>
      </c>
    </row>
    <row r="1771" spans="1:4">
      <c r="A1771" s="23">
        <v>45072</v>
      </c>
      <c r="B1771" s="13" t="s">
        <v>2592</v>
      </c>
      <c r="C1771" s="13" t="s">
        <v>2591</v>
      </c>
      <c r="D1771" s="13" t="s">
        <v>24</v>
      </c>
    </row>
    <row r="1772" spans="1:4">
      <c r="A1772" s="23">
        <v>45072</v>
      </c>
      <c r="B1772" s="13" t="s">
        <v>2594</v>
      </c>
      <c r="C1772" s="13" t="s">
        <v>2593</v>
      </c>
      <c r="D1772" s="13" t="s">
        <v>81</v>
      </c>
    </row>
    <row r="1773" spans="1:4">
      <c r="A1773" s="23">
        <v>45072</v>
      </c>
      <c r="B1773" s="13" t="s">
        <v>2595</v>
      </c>
      <c r="C1773" s="13" t="s">
        <v>231</v>
      </c>
      <c r="D1773" s="13" t="s">
        <v>81</v>
      </c>
    </row>
    <row r="1774" spans="1:4">
      <c r="A1774" s="23">
        <v>45072</v>
      </c>
      <c r="B1774" s="13" t="s">
        <v>2597</v>
      </c>
      <c r="C1774" s="13" t="s">
        <v>2596</v>
      </c>
      <c r="D1774" s="13" t="s">
        <v>29</v>
      </c>
    </row>
    <row r="1775" spans="1:4">
      <c r="A1775" s="23">
        <v>45072</v>
      </c>
      <c r="B1775" s="13" t="s">
        <v>2599</v>
      </c>
      <c r="C1775" s="13" t="s">
        <v>2598</v>
      </c>
      <c r="D1775" s="13" t="s">
        <v>29</v>
      </c>
    </row>
    <row r="1776" spans="1:4">
      <c r="A1776" s="23">
        <v>45073</v>
      </c>
      <c r="B1776" s="13" t="s">
        <v>2600</v>
      </c>
      <c r="C1776" s="13" t="s">
        <v>91</v>
      </c>
      <c r="D1776" s="13" t="s">
        <v>81</v>
      </c>
    </row>
    <row r="1777" spans="1:4">
      <c r="A1777" s="23">
        <v>45073</v>
      </c>
      <c r="B1777" s="13" t="s">
        <v>2601</v>
      </c>
      <c r="C1777" s="13" t="s">
        <v>91</v>
      </c>
      <c r="D1777" s="13" t="s">
        <v>81</v>
      </c>
    </row>
    <row r="1778" spans="1:4">
      <c r="A1778" s="23">
        <v>45073</v>
      </c>
      <c r="B1778" s="13" t="s">
        <v>2602</v>
      </c>
      <c r="C1778" s="13" t="s">
        <v>1033</v>
      </c>
      <c r="D1778" s="13" t="s">
        <v>81</v>
      </c>
    </row>
    <row r="1779" spans="1:4">
      <c r="A1779" s="23">
        <v>45073</v>
      </c>
      <c r="B1779" s="13" t="s">
        <v>2603</v>
      </c>
      <c r="C1779" s="13" t="s">
        <v>83</v>
      </c>
      <c r="D1779" s="13" t="s">
        <v>81</v>
      </c>
    </row>
    <row r="1780" spans="1:4">
      <c r="A1780" s="23">
        <v>45073</v>
      </c>
      <c r="B1780" s="13" t="s">
        <v>2604</v>
      </c>
      <c r="C1780" s="13" t="s">
        <v>91</v>
      </c>
      <c r="D1780" s="13" t="s">
        <v>81</v>
      </c>
    </row>
    <row r="1781" spans="1:4">
      <c r="A1781" s="23">
        <v>45073</v>
      </c>
      <c r="B1781" s="13" t="s">
        <v>2605</v>
      </c>
      <c r="C1781" s="13" t="s">
        <v>1694</v>
      </c>
      <c r="D1781" s="13" t="s">
        <v>81</v>
      </c>
    </row>
    <row r="1782" spans="1:4">
      <c r="A1782" s="23">
        <v>45074</v>
      </c>
      <c r="B1782" s="13" t="s">
        <v>2607</v>
      </c>
      <c r="C1782" s="13" t="s">
        <v>2606</v>
      </c>
      <c r="D1782" s="13" t="s">
        <v>8</v>
      </c>
    </row>
    <row r="1783" spans="1:4">
      <c r="A1783" s="23">
        <v>45075</v>
      </c>
      <c r="B1783" s="13" t="s">
        <v>2609</v>
      </c>
      <c r="C1783" s="13" t="s">
        <v>2608</v>
      </c>
      <c r="D1783" s="13" t="s">
        <v>510</v>
      </c>
    </row>
    <row r="1784" spans="1:4">
      <c r="A1784" s="23">
        <v>45075</v>
      </c>
      <c r="B1784" s="13" t="s">
        <v>2611</v>
      </c>
      <c r="C1784" s="13" t="s">
        <v>2610</v>
      </c>
      <c r="D1784" s="13" t="s">
        <v>510</v>
      </c>
    </row>
    <row r="1785" spans="1:4">
      <c r="A1785" s="23">
        <v>45076</v>
      </c>
      <c r="B1785" s="13" t="s">
        <v>2602</v>
      </c>
      <c r="C1785" s="13" t="s">
        <v>1033</v>
      </c>
      <c r="D1785" s="16" t="s">
        <v>81</v>
      </c>
    </row>
    <row r="1786" spans="1:4">
      <c r="A1786" s="23">
        <v>45076</v>
      </c>
      <c r="B1786" s="13" t="s">
        <v>2612</v>
      </c>
      <c r="C1786" s="13" t="s">
        <v>91</v>
      </c>
      <c r="D1786" s="13" t="s">
        <v>81</v>
      </c>
    </row>
    <row r="1787" spans="1:4">
      <c r="A1787" s="23">
        <v>45076</v>
      </c>
      <c r="B1787" s="13" t="s">
        <v>2613</v>
      </c>
      <c r="C1787" s="13" t="s">
        <v>1831</v>
      </c>
      <c r="D1787" s="13" t="s">
        <v>81</v>
      </c>
    </row>
    <row r="1788" spans="1:4">
      <c r="A1788" s="23">
        <v>45076</v>
      </c>
      <c r="B1788" s="13" t="s">
        <v>2614</v>
      </c>
      <c r="C1788" s="13" t="s">
        <v>2021</v>
      </c>
      <c r="D1788" s="13" t="s">
        <v>81</v>
      </c>
    </row>
    <row r="1789" spans="1:4">
      <c r="A1789" s="23">
        <v>45076</v>
      </c>
      <c r="B1789" s="13" t="s">
        <v>2615</v>
      </c>
      <c r="C1789" s="13" t="s">
        <v>440</v>
      </c>
      <c r="D1789" s="13" t="s">
        <v>81</v>
      </c>
    </row>
    <row r="1790" spans="1:4">
      <c r="A1790" s="23">
        <v>45076</v>
      </c>
      <c r="B1790" s="13" t="s">
        <v>2616</v>
      </c>
      <c r="C1790" s="13" t="s">
        <v>440</v>
      </c>
      <c r="D1790" s="13" t="s">
        <v>81</v>
      </c>
    </row>
    <row r="1791" spans="1:4">
      <c r="A1791" s="23">
        <v>45076</v>
      </c>
      <c r="B1791" s="13" t="s">
        <v>2617</v>
      </c>
      <c r="C1791" s="13" t="s">
        <v>2360</v>
      </c>
      <c r="D1791" s="13" t="s">
        <v>81</v>
      </c>
    </row>
    <row r="1792" spans="1:4">
      <c r="A1792" s="23">
        <v>45076</v>
      </c>
      <c r="B1792" s="13" t="s">
        <v>2618</v>
      </c>
      <c r="C1792" s="13" t="s">
        <v>91</v>
      </c>
      <c r="D1792" s="13" t="s">
        <v>81</v>
      </c>
    </row>
    <row r="1793" spans="1:4">
      <c r="A1793" s="23">
        <v>45076</v>
      </c>
      <c r="B1793" s="13" t="s">
        <v>2619</v>
      </c>
      <c r="C1793" s="13" t="s">
        <v>312</v>
      </c>
      <c r="D1793" s="13" t="s">
        <v>81</v>
      </c>
    </row>
    <row r="1794" spans="1:4">
      <c r="A1794" s="23">
        <v>45076</v>
      </c>
      <c r="B1794" s="13" t="s">
        <v>2621</v>
      </c>
      <c r="C1794" s="13" t="s">
        <v>2620</v>
      </c>
      <c r="D1794" s="13" t="s">
        <v>29</v>
      </c>
    </row>
    <row r="1795" spans="1:4">
      <c r="A1795" s="23">
        <v>45076</v>
      </c>
      <c r="B1795" s="13" t="s">
        <v>1771</v>
      </c>
      <c r="C1795" s="13" t="s">
        <v>2192</v>
      </c>
      <c r="D1795" s="13" t="s">
        <v>81</v>
      </c>
    </row>
    <row r="1796" spans="1:4">
      <c r="A1796" s="23">
        <v>45076</v>
      </c>
      <c r="B1796" s="13" t="s">
        <v>2354</v>
      </c>
      <c r="C1796" s="13" t="s">
        <v>91</v>
      </c>
      <c r="D1796" s="13" t="s">
        <v>81</v>
      </c>
    </row>
    <row r="1797" spans="1:4">
      <c r="A1797" s="23">
        <v>45076</v>
      </c>
      <c r="B1797" s="13" t="s">
        <v>2623</v>
      </c>
      <c r="C1797" s="13" t="s">
        <v>2622</v>
      </c>
      <c r="D1797" s="13" t="s">
        <v>29</v>
      </c>
    </row>
    <row r="1798" spans="1:4">
      <c r="A1798" s="23">
        <v>45076</v>
      </c>
      <c r="B1798" s="13" t="s">
        <v>2624</v>
      </c>
      <c r="C1798" s="13" t="s">
        <v>1763</v>
      </c>
      <c r="D1798" s="13" t="s">
        <v>81</v>
      </c>
    </row>
    <row r="1799" spans="1:4">
      <c r="A1799" s="23">
        <v>45076</v>
      </c>
      <c r="B1799" s="13" t="s">
        <v>2626</v>
      </c>
      <c r="C1799" s="13" t="s">
        <v>2625</v>
      </c>
      <c r="D1799" s="13" t="s">
        <v>81</v>
      </c>
    </row>
    <row r="1800" spans="1:4">
      <c r="A1800" s="23">
        <v>45076</v>
      </c>
      <c r="B1800" s="13" t="s">
        <v>2627</v>
      </c>
      <c r="C1800" s="13" t="s">
        <v>91</v>
      </c>
      <c r="D1800" s="13" t="s">
        <v>81</v>
      </c>
    </row>
    <row r="1801" spans="1:4">
      <c r="A1801" s="23">
        <v>45076</v>
      </c>
      <c r="B1801" s="13" t="s">
        <v>2628</v>
      </c>
      <c r="C1801" s="13" t="s">
        <v>170</v>
      </c>
      <c r="D1801" s="13" t="s">
        <v>81</v>
      </c>
    </row>
    <row r="1802" spans="1:4">
      <c r="A1802" s="23">
        <v>45076</v>
      </c>
      <c r="B1802" s="13" t="s">
        <v>2630</v>
      </c>
      <c r="C1802" s="13" t="s">
        <v>2629</v>
      </c>
      <c r="D1802" s="13" t="s">
        <v>81</v>
      </c>
    </row>
    <row r="1803" spans="1:4">
      <c r="A1803" s="23">
        <v>45076</v>
      </c>
      <c r="B1803" s="13" t="s">
        <v>2632</v>
      </c>
      <c r="C1803" s="13" t="s">
        <v>2631</v>
      </c>
      <c r="D1803" s="13" t="s">
        <v>81</v>
      </c>
    </row>
    <row r="1804" spans="1:4">
      <c r="A1804" s="23">
        <v>45076</v>
      </c>
      <c r="B1804" s="13" t="s">
        <v>2633</v>
      </c>
      <c r="C1804" s="13" t="s">
        <v>83</v>
      </c>
      <c r="D1804" s="13" t="s">
        <v>81</v>
      </c>
    </row>
    <row r="1805" spans="1:4">
      <c r="A1805" s="23">
        <v>45076</v>
      </c>
      <c r="B1805" s="13" t="s">
        <v>2634</v>
      </c>
      <c r="C1805" s="13" t="s">
        <v>170</v>
      </c>
      <c r="D1805" s="13" t="s">
        <v>81</v>
      </c>
    </row>
    <row r="1806" spans="1:4">
      <c r="A1806" s="23">
        <v>45076</v>
      </c>
      <c r="B1806" s="13" t="s">
        <v>2636</v>
      </c>
      <c r="C1806" s="13" t="s">
        <v>2635</v>
      </c>
      <c r="D1806" s="13" t="s">
        <v>109</v>
      </c>
    </row>
    <row r="1807" spans="1:4">
      <c r="A1807" s="23">
        <v>45076</v>
      </c>
      <c r="B1807" s="13" t="s">
        <v>2638</v>
      </c>
      <c r="C1807" s="13" t="s">
        <v>2637</v>
      </c>
      <c r="D1807" s="13" t="s">
        <v>29</v>
      </c>
    </row>
    <row r="1808" spans="1:4">
      <c r="A1808" s="23">
        <v>45076</v>
      </c>
      <c r="B1808" s="13" t="s">
        <v>2639</v>
      </c>
      <c r="C1808" s="13" t="s">
        <v>1763</v>
      </c>
      <c r="D1808" s="13" t="s">
        <v>81</v>
      </c>
    </row>
    <row r="1809" spans="1:4">
      <c r="A1809" s="23">
        <v>45077</v>
      </c>
      <c r="B1809" s="13" t="s">
        <v>2641</v>
      </c>
      <c r="C1809" s="13" t="s">
        <v>2640</v>
      </c>
      <c r="D1809" s="13" t="s">
        <v>5</v>
      </c>
    </row>
    <row r="1810" spans="1:4">
      <c r="A1810" s="23">
        <v>45077</v>
      </c>
      <c r="B1810" s="13" t="s">
        <v>2642</v>
      </c>
      <c r="C1810" s="13" t="s">
        <v>91</v>
      </c>
      <c r="D1810" s="13" t="s">
        <v>81</v>
      </c>
    </row>
    <row r="1811" spans="1:4">
      <c r="A1811" s="23">
        <v>45077</v>
      </c>
      <c r="B1811" s="13" t="s">
        <v>2643</v>
      </c>
      <c r="C1811" s="13" t="s">
        <v>91</v>
      </c>
      <c r="D1811" s="13" t="s">
        <v>81</v>
      </c>
    </row>
    <row r="1812" spans="1:4">
      <c r="A1812" s="23">
        <v>45077</v>
      </c>
      <c r="B1812" s="13" t="s">
        <v>2645</v>
      </c>
      <c r="C1812" s="13" t="s">
        <v>2644</v>
      </c>
      <c r="D1812" s="13" t="s">
        <v>8</v>
      </c>
    </row>
    <row r="1813" spans="1:4">
      <c r="A1813" s="23">
        <v>45077</v>
      </c>
      <c r="B1813" s="13" t="s">
        <v>2647</v>
      </c>
      <c r="C1813" s="13" t="s">
        <v>2646</v>
      </c>
      <c r="D1813" s="13" t="s">
        <v>5</v>
      </c>
    </row>
    <row r="1814" spans="1:4">
      <c r="A1814" s="23">
        <v>45077</v>
      </c>
      <c r="B1814" s="13" t="s">
        <v>2642</v>
      </c>
      <c r="C1814" s="13" t="s">
        <v>91</v>
      </c>
      <c r="D1814" s="13" t="s">
        <v>81</v>
      </c>
    </row>
    <row r="1815" spans="1:4">
      <c r="A1815" s="23">
        <v>45077</v>
      </c>
      <c r="B1815" s="13" t="s">
        <v>2649</v>
      </c>
      <c r="C1815" s="13" t="s">
        <v>2648</v>
      </c>
      <c r="D1815" s="13" t="s">
        <v>8</v>
      </c>
    </row>
    <row r="1816" spans="1:4">
      <c r="A1816" s="23">
        <v>45078</v>
      </c>
      <c r="B1816" s="13" t="s">
        <v>2650</v>
      </c>
      <c r="C1816" s="13" t="s">
        <v>1903</v>
      </c>
      <c r="D1816" s="13" t="s">
        <v>81</v>
      </c>
    </row>
    <row r="1817" spans="1:4">
      <c r="A1817" s="23">
        <v>45078</v>
      </c>
      <c r="B1817" s="13" t="s">
        <v>2651</v>
      </c>
      <c r="C1817" s="13" t="s">
        <v>312</v>
      </c>
      <c r="D1817" s="13" t="s">
        <v>81</v>
      </c>
    </row>
    <row r="1818" spans="1:4">
      <c r="A1818" s="23">
        <v>45078</v>
      </c>
      <c r="B1818" s="13" t="s">
        <v>2652</v>
      </c>
      <c r="C1818" s="13" t="s">
        <v>312</v>
      </c>
      <c r="D1818" s="13" t="s">
        <v>81</v>
      </c>
    </row>
    <row r="1819" spans="1:4">
      <c r="A1819" s="23">
        <v>45078</v>
      </c>
      <c r="B1819" s="13" t="s">
        <v>2653</v>
      </c>
      <c r="C1819" s="13" t="s">
        <v>170</v>
      </c>
      <c r="D1819" s="13" t="s">
        <v>81</v>
      </c>
    </row>
    <row r="1820" spans="1:4">
      <c r="A1820" s="23">
        <v>45078</v>
      </c>
      <c r="B1820" s="13" t="s">
        <v>2655</v>
      </c>
      <c r="C1820" s="13" t="s">
        <v>2654</v>
      </c>
      <c r="D1820" s="13" t="s">
        <v>5</v>
      </c>
    </row>
    <row r="1821" spans="1:4">
      <c r="A1821" s="23">
        <v>45078</v>
      </c>
      <c r="B1821" s="13" t="s">
        <v>2657</v>
      </c>
      <c r="C1821" s="13" t="s">
        <v>2656</v>
      </c>
      <c r="D1821" s="13" t="s">
        <v>8</v>
      </c>
    </row>
    <row r="1822" spans="1:4">
      <c r="A1822" s="23">
        <v>45078</v>
      </c>
      <c r="B1822" s="13" t="s">
        <v>2659</v>
      </c>
      <c r="C1822" s="13" t="s">
        <v>2658</v>
      </c>
      <c r="D1822" s="13" t="s">
        <v>5</v>
      </c>
    </row>
    <row r="1823" spans="1:4">
      <c r="A1823" s="23">
        <v>45078</v>
      </c>
      <c r="B1823" s="13" t="s">
        <v>2661</v>
      </c>
      <c r="C1823" s="13" t="s">
        <v>2660</v>
      </c>
      <c r="D1823" s="13" t="s">
        <v>11</v>
      </c>
    </row>
    <row r="1824" spans="1:4">
      <c r="A1824" s="23">
        <v>45078</v>
      </c>
      <c r="B1824" s="13" t="s">
        <v>2663</v>
      </c>
      <c r="C1824" s="13" t="s">
        <v>2662</v>
      </c>
      <c r="D1824" s="13" t="s">
        <v>81</v>
      </c>
    </row>
    <row r="1825" spans="1:4">
      <c r="A1825" s="23">
        <v>45078</v>
      </c>
      <c r="B1825" s="13" t="s">
        <v>2665</v>
      </c>
      <c r="C1825" s="13" t="s">
        <v>2664</v>
      </c>
      <c r="D1825" s="13" t="s">
        <v>5</v>
      </c>
    </row>
    <row r="1826" spans="1:4">
      <c r="A1826" s="23">
        <v>45078</v>
      </c>
      <c r="B1826" s="13" t="s">
        <v>2659</v>
      </c>
      <c r="C1826" s="13" t="s">
        <v>2666</v>
      </c>
      <c r="D1826" s="13" t="s">
        <v>5</v>
      </c>
    </row>
    <row r="1827" spans="1:4">
      <c r="A1827" s="23">
        <v>45079</v>
      </c>
      <c r="B1827" s="13" t="s">
        <v>2668</v>
      </c>
      <c r="C1827" s="13" t="s">
        <v>2667</v>
      </c>
      <c r="D1827" s="13" t="s">
        <v>510</v>
      </c>
    </row>
    <row r="1828" spans="1:4">
      <c r="A1828" s="23">
        <v>45079</v>
      </c>
      <c r="B1828" s="13" t="s">
        <v>2670</v>
      </c>
      <c r="C1828" s="13" t="s">
        <v>2669</v>
      </c>
      <c r="D1828" s="13" t="s">
        <v>510</v>
      </c>
    </row>
    <row r="1829" spans="1:4">
      <c r="A1829" s="23">
        <v>45079</v>
      </c>
      <c r="B1829" s="13" t="s">
        <v>2671</v>
      </c>
      <c r="C1829" s="13" t="s">
        <v>2215</v>
      </c>
      <c r="D1829" s="13" t="s">
        <v>5</v>
      </c>
    </row>
    <row r="1830" spans="1:4">
      <c r="A1830" s="23">
        <v>45080</v>
      </c>
      <c r="B1830" s="13" t="s">
        <v>2673</v>
      </c>
      <c r="C1830" s="13" t="s">
        <v>2672</v>
      </c>
      <c r="D1830" s="13" t="s">
        <v>81</v>
      </c>
    </row>
    <row r="1831" spans="1:4">
      <c r="A1831" s="23">
        <v>45080</v>
      </c>
      <c r="B1831" s="13" t="s">
        <v>2675</v>
      </c>
      <c r="C1831" s="13" t="s">
        <v>2674</v>
      </c>
      <c r="D1831" s="13" t="s">
        <v>81</v>
      </c>
    </row>
    <row r="1832" spans="1:4">
      <c r="A1832" s="23">
        <v>45080</v>
      </c>
      <c r="B1832" s="13" t="s">
        <v>2676</v>
      </c>
      <c r="C1832" s="13" t="s">
        <v>1033</v>
      </c>
      <c r="D1832" s="13" t="s">
        <v>81</v>
      </c>
    </row>
    <row r="1833" spans="1:4">
      <c r="A1833" s="23">
        <v>45080</v>
      </c>
      <c r="B1833" s="13" t="s">
        <v>2677</v>
      </c>
      <c r="C1833" s="13" t="s">
        <v>440</v>
      </c>
      <c r="D1833" s="13" t="s">
        <v>81</v>
      </c>
    </row>
    <row r="1834" spans="1:4">
      <c r="A1834" s="23">
        <v>45080</v>
      </c>
      <c r="B1834" s="13" t="s">
        <v>2673</v>
      </c>
      <c r="C1834" s="13" t="s">
        <v>2672</v>
      </c>
      <c r="D1834" s="13" t="s">
        <v>81</v>
      </c>
    </row>
    <row r="1835" spans="1:4">
      <c r="A1835" s="23">
        <v>45080</v>
      </c>
      <c r="B1835" s="13" t="s">
        <v>2679</v>
      </c>
      <c r="C1835" s="13" t="s">
        <v>2678</v>
      </c>
      <c r="D1835" s="13" t="s">
        <v>29</v>
      </c>
    </row>
    <row r="1836" spans="1:4">
      <c r="A1836" s="23">
        <v>45080</v>
      </c>
      <c r="B1836" s="13" t="s">
        <v>2681</v>
      </c>
      <c r="C1836" s="13" t="s">
        <v>2680</v>
      </c>
      <c r="D1836" s="13" t="s">
        <v>81</v>
      </c>
    </row>
    <row r="1837" spans="1:4">
      <c r="A1837" s="23">
        <v>45080</v>
      </c>
      <c r="B1837" s="13" t="s">
        <v>2683</v>
      </c>
      <c r="C1837" s="13" t="s">
        <v>2682</v>
      </c>
      <c r="D1837" s="13" t="s">
        <v>81</v>
      </c>
    </row>
    <row r="1838" spans="1:4">
      <c r="A1838" s="23">
        <v>45080</v>
      </c>
      <c r="B1838" s="13" t="s">
        <v>2684</v>
      </c>
      <c r="C1838" s="13" t="s">
        <v>2678</v>
      </c>
      <c r="D1838" s="13" t="s">
        <v>29</v>
      </c>
    </row>
    <row r="1839" spans="1:4">
      <c r="A1839" s="23">
        <v>45080</v>
      </c>
      <c r="B1839" s="13" t="s">
        <v>2685</v>
      </c>
      <c r="C1839" s="13" t="s">
        <v>83</v>
      </c>
      <c r="D1839" s="13" t="s">
        <v>81</v>
      </c>
    </row>
    <row r="1840" spans="1:4">
      <c r="A1840" s="23">
        <v>45082</v>
      </c>
      <c r="B1840" s="13" t="s">
        <v>2687</v>
      </c>
      <c r="C1840" s="13" t="s">
        <v>2686</v>
      </c>
      <c r="D1840" s="13" t="s">
        <v>8</v>
      </c>
    </row>
    <row r="1841" spans="1:4">
      <c r="A1841" s="23">
        <v>45082</v>
      </c>
      <c r="B1841" s="13" t="s">
        <v>2689</v>
      </c>
      <c r="C1841" s="13" t="s">
        <v>2688</v>
      </c>
      <c r="D1841" s="13" t="s">
        <v>8</v>
      </c>
    </row>
    <row r="1842" spans="1:4">
      <c r="A1842" s="23">
        <v>45082</v>
      </c>
      <c r="B1842" s="13" t="s">
        <v>2691</v>
      </c>
      <c r="C1842" s="13" t="s">
        <v>2690</v>
      </c>
      <c r="D1842" s="13" t="s">
        <v>8</v>
      </c>
    </row>
    <row r="1843" spans="1:4">
      <c r="A1843" s="23">
        <v>45082</v>
      </c>
      <c r="B1843" s="13" t="s">
        <v>2692</v>
      </c>
      <c r="C1843" s="13" t="s">
        <v>695</v>
      </c>
      <c r="D1843" s="13" t="s">
        <v>34</v>
      </c>
    </row>
    <row r="1844" spans="1:4">
      <c r="A1844" s="23">
        <v>45082</v>
      </c>
      <c r="B1844" s="13" t="s">
        <v>2397</v>
      </c>
      <c r="C1844" s="13" t="s">
        <v>2693</v>
      </c>
      <c r="D1844" s="13" t="s">
        <v>5</v>
      </c>
    </row>
    <row r="1845" spans="1:4">
      <c r="A1845" s="23">
        <v>45082</v>
      </c>
      <c r="B1845" s="13" t="s">
        <v>2695</v>
      </c>
      <c r="C1845" s="13" t="s">
        <v>2694</v>
      </c>
      <c r="D1845" s="13" t="s">
        <v>34</v>
      </c>
    </row>
    <row r="1846" spans="1:4">
      <c r="A1846" s="23">
        <v>45082</v>
      </c>
      <c r="B1846" s="13" t="s">
        <v>2697</v>
      </c>
      <c r="C1846" s="13" t="s">
        <v>2696</v>
      </c>
      <c r="D1846" s="13" t="s">
        <v>34</v>
      </c>
    </row>
    <row r="1847" spans="1:4">
      <c r="A1847" s="23">
        <v>45082</v>
      </c>
      <c r="B1847" s="13" t="s">
        <v>2699</v>
      </c>
      <c r="C1847" s="13" t="s">
        <v>2698</v>
      </c>
      <c r="D1847" s="13" t="s">
        <v>8</v>
      </c>
    </row>
    <row r="1848" spans="1:4">
      <c r="A1848" s="23">
        <v>45082</v>
      </c>
      <c r="B1848" s="13" t="s">
        <v>2701</v>
      </c>
      <c r="C1848" s="13" t="s">
        <v>2700</v>
      </c>
      <c r="D1848" s="13" t="s">
        <v>5</v>
      </c>
    </row>
    <row r="1849" spans="1:4">
      <c r="A1849" s="23">
        <v>45083</v>
      </c>
      <c r="B1849" s="13" t="s">
        <v>2702</v>
      </c>
      <c r="C1849" s="13" t="s">
        <v>91</v>
      </c>
      <c r="D1849" s="13" t="s">
        <v>81</v>
      </c>
    </row>
    <row r="1850" spans="1:4">
      <c r="A1850" s="23">
        <v>45083</v>
      </c>
      <c r="B1850" s="13" t="s">
        <v>2703</v>
      </c>
      <c r="C1850" s="13" t="s">
        <v>91</v>
      </c>
      <c r="D1850" s="13" t="s">
        <v>81</v>
      </c>
    </row>
    <row r="1851" spans="1:4">
      <c r="A1851" s="23">
        <v>45083</v>
      </c>
      <c r="B1851" s="13" t="s">
        <v>2705</v>
      </c>
      <c r="C1851" s="13" t="s">
        <v>2704</v>
      </c>
      <c r="D1851" s="13" t="s">
        <v>81</v>
      </c>
    </row>
    <row r="1852" spans="1:4">
      <c r="A1852" s="23">
        <v>45083</v>
      </c>
      <c r="B1852" s="13" t="s">
        <v>2706</v>
      </c>
      <c r="C1852" s="13" t="s">
        <v>2515</v>
      </c>
      <c r="D1852" s="13" t="s">
        <v>81</v>
      </c>
    </row>
    <row r="1853" spans="1:4">
      <c r="A1853" s="23">
        <v>45083</v>
      </c>
      <c r="B1853" s="13" t="s">
        <v>2707</v>
      </c>
      <c r="C1853" s="13" t="s">
        <v>91</v>
      </c>
      <c r="D1853" s="13" t="s">
        <v>81</v>
      </c>
    </row>
    <row r="1854" spans="1:4">
      <c r="A1854" s="23">
        <v>45083</v>
      </c>
      <c r="B1854" s="13" t="s">
        <v>2709</v>
      </c>
      <c r="C1854" s="13" t="s">
        <v>2708</v>
      </c>
      <c r="D1854" s="13" t="s">
        <v>81</v>
      </c>
    </row>
    <row r="1855" spans="1:4">
      <c r="A1855" s="23">
        <v>45083</v>
      </c>
      <c r="B1855" s="13" t="s">
        <v>2705</v>
      </c>
      <c r="C1855" s="13" t="s">
        <v>2704</v>
      </c>
      <c r="D1855" s="13" t="s">
        <v>81</v>
      </c>
    </row>
    <row r="1856" spans="1:4">
      <c r="A1856" s="23">
        <v>45083</v>
      </c>
      <c r="B1856" s="13" t="s">
        <v>2710</v>
      </c>
      <c r="C1856" s="13" t="s">
        <v>91</v>
      </c>
      <c r="D1856" s="13" t="s">
        <v>81</v>
      </c>
    </row>
    <row r="1857" spans="1:4">
      <c r="A1857" s="23">
        <v>45083</v>
      </c>
      <c r="B1857" s="13" t="s">
        <v>2712</v>
      </c>
      <c r="C1857" s="13" t="s">
        <v>2711</v>
      </c>
      <c r="D1857" s="13" t="s">
        <v>81</v>
      </c>
    </row>
    <row r="1858" spans="1:4">
      <c r="A1858" s="23">
        <v>45083</v>
      </c>
      <c r="B1858" s="13" t="s">
        <v>2713</v>
      </c>
      <c r="C1858" s="13" t="s">
        <v>440</v>
      </c>
      <c r="D1858" s="13" t="s">
        <v>81</v>
      </c>
    </row>
    <row r="1859" spans="1:4">
      <c r="A1859" s="23">
        <v>45083</v>
      </c>
      <c r="B1859" s="13" t="s">
        <v>2709</v>
      </c>
      <c r="C1859" s="13" t="s">
        <v>2708</v>
      </c>
      <c r="D1859" s="13" t="s">
        <v>81</v>
      </c>
    </row>
    <row r="1860" spans="1:4">
      <c r="A1860" s="23">
        <v>45084</v>
      </c>
      <c r="B1860" s="13" t="s">
        <v>2715</v>
      </c>
      <c r="C1860" s="13" t="s">
        <v>2714</v>
      </c>
      <c r="D1860" s="13" t="s">
        <v>510</v>
      </c>
    </row>
    <row r="1861" spans="1:4">
      <c r="A1861" s="23">
        <v>45084</v>
      </c>
      <c r="B1861" s="13" t="s">
        <v>2717</v>
      </c>
      <c r="C1861" s="13" t="s">
        <v>2716</v>
      </c>
      <c r="D1861" s="13" t="s">
        <v>510</v>
      </c>
    </row>
    <row r="1862" spans="1:4">
      <c r="A1862" s="23">
        <v>45084</v>
      </c>
      <c r="B1862" s="13" t="s">
        <v>2718</v>
      </c>
      <c r="C1862" s="13" t="s">
        <v>1901</v>
      </c>
      <c r="D1862" s="13" t="s">
        <v>81</v>
      </c>
    </row>
    <row r="1863" spans="1:4">
      <c r="A1863" s="23">
        <v>45084</v>
      </c>
      <c r="B1863" s="13" t="s">
        <v>2719</v>
      </c>
      <c r="C1863" s="13" t="s">
        <v>312</v>
      </c>
      <c r="D1863" s="13" t="s">
        <v>81</v>
      </c>
    </row>
    <row r="1864" spans="1:4">
      <c r="A1864" s="23">
        <v>45084</v>
      </c>
      <c r="B1864" s="13" t="s">
        <v>2721</v>
      </c>
      <c r="C1864" s="13" t="s">
        <v>2720</v>
      </c>
      <c r="D1864" s="13" t="s">
        <v>81</v>
      </c>
    </row>
    <row r="1865" spans="1:4">
      <c r="A1865" s="23">
        <v>45084</v>
      </c>
      <c r="B1865" s="13" t="s">
        <v>2719</v>
      </c>
      <c r="C1865" s="13" t="s">
        <v>312</v>
      </c>
      <c r="D1865" s="13" t="s">
        <v>81</v>
      </c>
    </row>
    <row r="1866" spans="1:4">
      <c r="A1866" s="23">
        <v>45084</v>
      </c>
      <c r="B1866" s="13" t="s">
        <v>2723</v>
      </c>
      <c r="C1866" s="13" t="s">
        <v>2722</v>
      </c>
      <c r="D1866" s="13" t="s">
        <v>8</v>
      </c>
    </row>
    <row r="1867" spans="1:4">
      <c r="A1867" s="23">
        <v>45085</v>
      </c>
      <c r="B1867" s="13" t="s">
        <v>2725</v>
      </c>
      <c r="C1867" s="13" t="s">
        <v>2724</v>
      </c>
      <c r="D1867" s="13" t="s">
        <v>81</v>
      </c>
    </row>
    <row r="1868" spans="1:4">
      <c r="A1868" s="23">
        <v>45085</v>
      </c>
      <c r="B1868" s="13" t="s">
        <v>2727</v>
      </c>
      <c r="C1868" s="13" t="s">
        <v>2726</v>
      </c>
      <c r="D1868" s="13" t="s">
        <v>29</v>
      </c>
    </row>
    <row r="1869" spans="1:4">
      <c r="A1869" s="23">
        <v>45085</v>
      </c>
      <c r="B1869" s="13" t="s">
        <v>2728</v>
      </c>
      <c r="C1869" s="13" t="s">
        <v>312</v>
      </c>
      <c r="D1869" s="13" t="s">
        <v>81</v>
      </c>
    </row>
    <row r="1870" spans="1:4">
      <c r="A1870" s="23">
        <v>45085</v>
      </c>
      <c r="B1870" s="13" t="s">
        <v>2729</v>
      </c>
      <c r="C1870" s="13" t="s">
        <v>83</v>
      </c>
      <c r="D1870" s="13" t="s">
        <v>81</v>
      </c>
    </row>
    <row r="1871" spans="1:4">
      <c r="A1871" s="23">
        <v>45085</v>
      </c>
      <c r="B1871" s="13" t="s">
        <v>2728</v>
      </c>
      <c r="C1871" s="13" t="s">
        <v>312</v>
      </c>
      <c r="D1871" s="13" t="s">
        <v>81</v>
      </c>
    </row>
    <row r="1872" spans="1:4">
      <c r="A1872" s="23">
        <v>45085</v>
      </c>
      <c r="B1872" s="13" t="s">
        <v>2730</v>
      </c>
      <c r="C1872" s="13" t="s">
        <v>1033</v>
      </c>
      <c r="D1872" s="13" t="s">
        <v>81</v>
      </c>
    </row>
    <row r="1873" spans="1:4">
      <c r="A1873" s="23">
        <v>45085</v>
      </c>
      <c r="B1873" s="13" t="s">
        <v>2731</v>
      </c>
      <c r="C1873" s="13" t="s">
        <v>91</v>
      </c>
      <c r="D1873" s="13" t="s">
        <v>81</v>
      </c>
    </row>
    <row r="1874" spans="1:4">
      <c r="A1874" s="23">
        <v>45085</v>
      </c>
      <c r="B1874" s="13" t="s">
        <v>2732</v>
      </c>
      <c r="C1874" s="13" t="s">
        <v>83</v>
      </c>
      <c r="D1874" s="13" t="s">
        <v>81</v>
      </c>
    </row>
    <row r="1875" spans="1:4">
      <c r="A1875" s="23">
        <v>45085</v>
      </c>
      <c r="B1875" s="13" t="s">
        <v>2734</v>
      </c>
      <c r="C1875" s="13" t="s">
        <v>2733</v>
      </c>
      <c r="D1875" s="13" t="s">
        <v>81</v>
      </c>
    </row>
    <row r="1876" spans="1:4">
      <c r="A1876" s="23">
        <v>45085</v>
      </c>
      <c r="B1876" s="13" t="s">
        <v>2736</v>
      </c>
      <c r="C1876" s="13" t="s">
        <v>2735</v>
      </c>
      <c r="D1876" s="13" t="s">
        <v>81</v>
      </c>
    </row>
    <row r="1877" spans="1:4">
      <c r="A1877" s="23">
        <v>45085</v>
      </c>
      <c r="B1877" s="13" t="s">
        <v>2737</v>
      </c>
      <c r="C1877" s="13" t="s">
        <v>91</v>
      </c>
      <c r="D1877" s="13" t="s">
        <v>81</v>
      </c>
    </row>
    <row r="1878" spans="1:4">
      <c r="A1878" s="23">
        <v>45085</v>
      </c>
      <c r="B1878" s="13" t="s">
        <v>2738</v>
      </c>
      <c r="C1878" s="13" t="s">
        <v>2021</v>
      </c>
      <c r="D1878" s="13" t="s">
        <v>81</v>
      </c>
    </row>
    <row r="1879" spans="1:4">
      <c r="A1879" s="23">
        <v>45085</v>
      </c>
      <c r="B1879" s="13" t="s">
        <v>2739</v>
      </c>
      <c r="C1879" s="13" t="s">
        <v>440</v>
      </c>
      <c r="D1879" s="13" t="s">
        <v>81</v>
      </c>
    </row>
    <row r="1880" spans="1:4">
      <c r="A1880" s="23">
        <v>45085</v>
      </c>
      <c r="B1880" s="13" t="s">
        <v>2740</v>
      </c>
      <c r="C1880" s="13" t="s">
        <v>91</v>
      </c>
      <c r="D1880" s="13" t="s">
        <v>81</v>
      </c>
    </row>
    <row r="1881" spans="1:4">
      <c r="A1881" s="23">
        <v>45085</v>
      </c>
      <c r="B1881" s="13" t="s">
        <v>2741</v>
      </c>
      <c r="C1881" s="13" t="s">
        <v>91</v>
      </c>
      <c r="D1881" s="13" t="s">
        <v>81</v>
      </c>
    </row>
    <row r="1882" spans="1:4">
      <c r="A1882" s="23">
        <v>45085</v>
      </c>
      <c r="B1882" s="13" t="s">
        <v>2727</v>
      </c>
      <c r="C1882" s="13" t="s">
        <v>2726</v>
      </c>
      <c r="D1882" s="13" t="s">
        <v>29</v>
      </c>
    </row>
    <row r="1883" spans="1:4">
      <c r="A1883" s="23">
        <v>45086</v>
      </c>
      <c r="B1883" s="13" t="s">
        <v>2743</v>
      </c>
      <c r="C1883" s="13" t="s">
        <v>2742</v>
      </c>
      <c r="D1883" s="13" t="s">
        <v>11</v>
      </c>
    </row>
    <row r="1884" spans="1:4">
      <c r="A1884" s="23">
        <v>45087</v>
      </c>
      <c r="B1884" s="13" t="s">
        <v>2745</v>
      </c>
      <c r="C1884" s="13" t="s">
        <v>2744</v>
      </c>
      <c r="D1884" s="13" t="s">
        <v>8</v>
      </c>
    </row>
    <row r="1885" spans="1:4">
      <c r="A1885" s="23">
        <v>45087</v>
      </c>
      <c r="B1885" s="13" t="s">
        <v>2746</v>
      </c>
      <c r="C1885" s="13" t="s">
        <v>91</v>
      </c>
      <c r="D1885" s="13" t="s">
        <v>81</v>
      </c>
    </row>
    <row r="1886" spans="1:4">
      <c r="A1886" s="23">
        <v>45087</v>
      </c>
      <c r="B1886" s="13" t="s">
        <v>2747</v>
      </c>
      <c r="C1886" s="13" t="s">
        <v>91</v>
      </c>
      <c r="D1886" s="13" t="s">
        <v>81</v>
      </c>
    </row>
    <row r="1887" spans="1:4">
      <c r="A1887" s="23">
        <v>45089</v>
      </c>
      <c r="B1887" s="13" t="s">
        <v>2749</v>
      </c>
      <c r="C1887" s="13" t="s">
        <v>2748</v>
      </c>
      <c r="D1887" s="13" t="s">
        <v>5</v>
      </c>
    </row>
    <row r="1888" spans="1:4">
      <c r="A1888" s="23">
        <v>45089</v>
      </c>
      <c r="B1888" s="13" t="s">
        <v>2750</v>
      </c>
      <c r="C1888" s="13" t="s">
        <v>83</v>
      </c>
      <c r="D1888" s="13" t="s">
        <v>81</v>
      </c>
    </row>
    <row r="1889" spans="1:4">
      <c r="A1889" s="23">
        <v>45089</v>
      </c>
      <c r="B1889" s="13" t="s">
        <v>2752</v>
      </c>
      <c r="C1889" s="13" t="s">
        <v>2751</v>
      </c>
      <c r="D1889" s="13" t="s">
        <v>5</v>
      </c>
    </row>
    <row r="1890" spans="1:4">
      <c r="A1890" s="23">
        <v>45090</v>
      </c>
      <c r="B1890" s="13" t="s">
        <v>2753</v>
      </c>
      <c r="C1890" s="13" t="s">
        <v>91</v>
      </c>
      <c r="D1890" s="13" t="s">
        <v>81</v>
      </c>
    </row>
    <row r="1891" spans="1:4">
      <c r="A1891" s="23">
        <v>45090</v>
      </c>
      <c r="B1891" s="13" t="s">
        <v>2755</v>
      </c>
      <c r="C1891" s="13" t="s">
        <v>2754</v>
      </c>
      <c r="D1891" s="13" t="s">
        <v>81</v>
      </c>
    </row>
    <row r="1892" spans="1:4">
      <c r="A1892" s="23">
        <v>45090</v>
      </c>
      <c r="B1892" s="13" t="s">
        <v>2757</v>
      </c>
      <c r="C1892" s="13" t="s">
        <v>2756</v>
      </c>
      <c r="D1892" s="13" t="s">
        <v>81</v>
      </c>
    </row>
    <row r="1893" spans="1:4">
      <c r="A1893" s="23">
        <v>45090</v>
      </c>
      <c r="B1893" s="13" t="s">
        <v>2759</v>
      </c>
      <c r="C1893" s="13" t="s">
        <v>2758</v>
      </c>
      <c r="D1893" s="13" t="s">
        <v>24</v>
      </c>
    </row>
    <row r="1894" spans="1:4">
      <c r="A1894" s="23">
        <v>45090</v>
      </c>
      <c r="B1894" s="13" t="s">
        <v>2760</v>
      </c>
      <c r="C1894" s="13" t="s">
        <v>91</v>
      </c>
      <c r="D1894" s="13" t="s">
        <v>81</v>
      </c>
    </row>
    <row r="1895" spans="1:4">
      <c r="A1895" s="23">
        <v>45208</v>
      </c>
      <c r="B1895" s="13" t="s">
        <v>2761</v>
      </c>
      <c r="C1895" s="13" t="s">
        <v>83</v>
      </c>
      <c r="D1895" s="13" t="s">
        <v>81</v>
      </c>
    </row>
    <row r="1896" spans="1:4">
      <c r="A1896" s="23">
        <v>45211</v>
      </c>
      <c r="B1896" s="13" t="s">
        <v>2763</v>
      </c>
      <c r="C1896" s="13" t="s">
        <v>2762</v>
      </c>
      <c r="D1896" s="13" t="s">
        <v>16</v>
      </c>
    </row>
    <row r="1897" spans="1:4">
      <c r="A1897" s="23">
        <v>45090</v>
      </c>
      <c r="B1897" s="13" t="s">
        <v>2764</v>
      </c>
      <c r="C1897" s="13" t="s">
        <v>91</v>
      </c>
      <c r="D1897" s="13" t="s">
        <v>81</v>
      </c>
    </row>
    <row r="1898" spans="1:4">
      <c r="A1898" s="23">
        <v>45219</v>
      </c>
      <c r="B1898" s="13" t="s">
        <v>2766</v>
      </c>
      <c r="C1898" s="13" t="s">
        <v>2765</v>
      </c>
      <c r="D1898" s="13" t="s">
        <v>74</v>
      </c>
    </row>
    <row r="1899" spans="1:4">
      <c r="A1899" s="23">
        <v>45090</v>
      </c>
      <c r="B1899" s="13" t="s">
        <v>2767</v>
      </c>
      <c r="C1899" s="13" t="s">
        <v>312</v>
      </c>
      <c r="D1899" s="13" t="s">
        <v>81</v>
      </c>
    </row>
    <row r="1900" spans="1:4">
      <c r="A1900" s="23">
        <v>45090</v>
      </c>
      <c r="B1900" s="13" t="s">
        <v>2768</v>
      </c>
      <c r="C1900" s="13" t="s">
        <v>312</v>
      </c>
      <c r="D1900" s="13" t="s">
        <v>81</v>
      </c>
    </row>
    <row r="1901" spans="1:4">
      <c r="A1901" s="23">
        <v>45090</v>
      </c>
      <c r="B1901" s="13" t="s">
        <v>2769</v>
      </c>
      <c r="C1901" s="13" t="s">
        <v>312</v>
      </c>
      <c r="D1901" s="13" t="s">
        <v>81</v>
      </c>
    </row>
    <row r="1902" spans="1:4">
      <c r="A1902" s="23">
        <v>45090</v>
      </c>
      <c r="B1902" s="13" t="s">
        <v>2770</v>
      </c>
      <c r="C1902" s="13" t="s">
        <v>1829</v>
      </c>
      <c r="D1902" s="13" t="s">
        <v>81</v>
      </c>
    </row>
    <row r="1903" spans="1:4">
      <c r="A1903" s="23">
        <v>45090</v>
      </c>
      <c r="B1903" s="13" t="s">
        <v>2771</v>
      </c>
      <c r="C1903" s="13" t="s">
        <v>1763</v>
      </c>
      <c r="D1903" s="13" t="s">
        <v>81</v>
      </c>
    </row>
    <row r="1904" spans="1:4">
      <c r="A1904" s="23">
        <v>45090</v>
      </c>
      <c r="B1904" s="13" t="s">
        <v>2772</v>
      </c>
      <c r="C1904" s="13" t="s">
        <v>195</v>
      </c>
      <c r="D1904" s="13" t="s">
        <v>81</v>
      </c>
    </row>
    <row r="1905" spans="1:4">
      <c r="A1905" s="23">
        <v>45091</v>
      </c>
      <c r="B1905" s="13" t="s">
        <v>2774</v>
      </c>
      <c r="C1905" s="13" t="s">
        <v>2773</v>
      </c>
      <c r="D1905" s="13" t="s">
        <v>345</v>
      </c>
    </row>
    <row r="1906" spans="1:4">
      <c r="A1906" s="23">
        <v>45091</v>
      </c>
      <c r="B1906" s="13" t="s">
        <v>2775</v>
      </c>
      <c r="C1906" s="13" t="s">
        <v>83</v>
      </c>
      <c r="D1906" s="13" t="s">
        <v>81</v>
      </c>
    </row>
    <row r="1907" spans="1:4">
      <c r="A1907" s="23">
        <v>45091</v>
      </c>
      <c r="B1907" s="13" t="s">
        <v>2777</v>
      </c>
      <c r="C1907" s="13" t="s">
        <v>2776</v>
      </c>
      <c r="D1907" s="13" t="s">
        <v>81</v>
      </c>
    </row>
    <row r="1908" spans="1:4">
      <c r="A1908" s="23">
        <v>45215</v>
      </c>
      <c r="B1908" s="13" t="s">
        <v>2779</v>
      </c>
      <c r="C1908" s="13" t="s">
        <v>2778</v>
      </c>
      <c r="D1908" s="13" t="s">
        <v>109</v>
      </c>
    </row>
    <row r="1909" spans="1:4">
      <c r="A1909" s="23">
        <v>45091</v>
      </c>
      <c r="B1909" s="13" t="s">
        <v>2781</v>
      </c>
      <c r="C1909" s="13" t="s">
        <v>2780</v>
      </c>
      <c r="D1909" s="13" t="s">
        <v>11</v>
      </c>
    </row>
    <row r="1910" spans="1:4">
      <c r="A1910" s="23">
        <v>45219</v>
      </c>
      <c r="B1910" s="13" t="s">
        <v>2782</v>
      </c>
      <c r="C1910" s="13" t="s">
        <v>2765</v>
      </c>
      <c r="D1910" s="13" t="s">
        <v>74</v>
      </c>
    </row>
    <row r="1911" spans="1:4">
      <c r="A1911" s="23">
        <v>45091</v>
      </c>
      <c r="B1911" s="13" t="s">
        <v>2783</v>
      </c>
      <c r="C1911" s="13" t="s">
        <v>276</v>
      </c>
      <c r="D1911" s="13" t="s">
        <v>81</v>
      </c>
    </row>
    <row r="1912" spans="1:4">
      <c r="A1912" s="23">
        <v>45091</v>
      </c>
      <c r="B1912" s="13" t="s">
        <v>2785</v>
      </c>
      <c r="C1912" s="13" t="s">
        <v>2784</v>
      </c>
      <c r="D1912" s="13" t="s">
        <v>81</v>
      </c>
    </row>
    <row r="1913" spans="1:4">
      <c r="A1913" s="23">
        <v>45218</v>
      </c>
      <c r="B1913" s="13" t="s">
        <v>2787</v>
      </c>
      <c r="C1913" s="13" t="s">
        <v>2786</v>
      </c>
      <c r="D1913" s="13" t="s">
        <v>5</v>
      </c>
    </row>
    <row r="1914" spans="1:4">
      <c r="A1914" s="23">
        <v>45216</v>
      </c>
      <c r="B1914" s="13" t="s">
        <v>2789</v>
      </c>
      <c r="C1914" s="13" t="s">
        <v>2788</v>
      </c>
      <c r="D1914" s="13" t="s">
        <v>19</v>
      </c>
    </row>
    <row r="1915" spans="1:4">
      <c r="A1915" s="23">
        <v>45091</v>
      </c>
      <c r="B1915" s="13" t="s">
        <v>2791</v>
      </c>
      <c r="C1915" s="13" t="s">
        <v>2790</v>
      </c>
      <c r="D1915" s="13" t="s">
        <v>345</v>
      </c>
    </row>
    <row r="1916" spans="1:4">
      <c r="A1916" s="23">
        <v>45223</v>
      </c>
      <c r="B1916" s="13" t="s">
        <v>2793</v>
      </c>
      <c r="C1916" s="13" t="s">
        <v>2792</v>
      </c>
      <c r="D1916" s="13" t="s">
        <v>8</v>
      </c>
    </row>
    <row r="1917" spans="1:4">
      <c r="A1917" s="23">
        <v>45208</v>
      </c>
      <c r="B1917" s="13" t="s">
        <v>2794</v>
      </c>
      <c r="C1917" s="13" t="s">
        <v>91</v>
      </c>
      <c r="D1917" s="13" t="s">
        <v>81</v>
      </c>
    </row>
    <row r="1918" spans="1:4">
      <c r="A1918" s="23">
        <v>45222</v>
      </c>
      <c r="B1918" s="13" t="s">
        <v>2796</v>
      </c>
      <c r="C1918" s="13" t="s">
        <v>2795</v>
      </c>
      <c r="D1918" s="13" t="s">
        <v>29</v>
      </c>
    </row>
    <row r="1919" spans="1:4">
      <c r="A1919" s="23">
        <v>45216</v>
      </c>
      <c r="B1919" s="13" t="s">
        <v>2789</v>
      </c>
      <c r="C1919" s="13" t="s">
        <v>2788</v>
      </c>
      <c r="D1919" s="13" t="s">
        <v>19</v>
      </c>
    </row>
    <row r="1920" spans="1:4">
      <c r="A1920" s="23">
        <v>45211</v>
      </c>
      <c r="B1920" s="13" t="s">
        <v>2798</v>
      </c>
      <c r="C1920" s="13" t="s">
        <v>2797</v>
      </c>
      <c r="D1920" s="13" t="s">
        <v>16</v>
      </c>
    </row>
    <row r="1921" spans="1:4">
      <c r="A1921" s="23">
        <v>45091</v>
      </c>
      <c r="B1921" s="13" t="s">
        <v>2800</v>
      </c>
      <c r="C1921" s="13" t="s">
        <v>2799</v>
      </c>
      <c r="D1921" s="13" t="s">
        <v>8</v>
      </c>
    </row>
    <row r="1922" spans="1:4">
      <c r="A1922" s="23">
        <v>45091</v>
      </c>
      <c r="B1922" s="13" t="s">
        <v>2802</v>
      </c>
      <c r="C1922" s="13" t="s">
        <v>2801</v>
      </c>
      <c r="D1922" s="13" t="s">
        <v>8</v>
      </c>
    </row>
    <row r="1923" spans="1:4">
      <c r="A1923" s="23">
        <v>45091</v>
      </c>
      <c r="B1923" s="13" t="s">
        <v>2804</v>
      </c>
      <c r="C1923" s="13" t="s">
        <v>2803</v>
      </c>
      <c r="D1923" s="13" t="s">
        <v>11</v>
      </c>
    </row>
    <row r="1924" spans="1:4">
      <c r="A1924" s="23">
        <v>45092</v>
      </c>
      <c r="B1924" s="13" t="s">
        <v>2805</v>
      </c>
      <c r="C1924" s="13" t="s">
        <v>91</v>
      </c>
      <c r="D1924" s="13" t="s">
        <v>81</v>
      </c>
    </row>
    <row r="1925" spans="1:4">
      <c r="A1925" s="23">
        <v>45092</v>
      </c>
      <c r="B1925" s="13" t="s">
        <v>2807</v>
      </c>
      <c r="C1925" s="13" t="s">
        <v>2806</v>
      </c>
      <c r="D1925" s="13" t="s">
        <v>5</v>
      </c>
    </row>
    <row r="1926" spans="1:4">
      <c r="A1926" s="23">
        <v>45093</v>
      </c>
      <c r="B1926" s="13" t="s">
        <v>2809</v>
      </c>
      <c r="C1926" s="13" t="s">
        <v>2808</v>
      </c>
      <c r="D1926" s="13" t="s">
        <v>11</v>
      </c>
    </row>
    <row r="1927" spans="1:4">
      <c r="A1927" s="23">
        <v>45093</v>
      </c>
      <c r="B1927" s="13" t="s">
        <v>2811</v>
      </c>
      <c r="C1927" s="13" t="s">
        <v>2810</v>
      </c>
      <c r="D1927" s="13" t="s">
        <v>510</v>
      </c>
    </row>
    <row r="1928" spans="1:4">
      <c r="A1928" s="23">
        <v>45093</v>
      </c>
      <c r="B1928" s="13" t="s">
        <v>2813</v>
      </c>
      <c r="C1928" s="13" t="s">
        <v>2812</v>
      </c>
      <c r="D1928" s="13" t="s">
        <v>510</v>
      </c>
    </row>
    <row r="1929" spans="1:4">
      <c r="A1929" s="23">
        <v>45094</v>
      </c>
      <c r="B1929" s="13" t="s">
        <v>2815</v>
      </c>
      <c r="C1929" s="13" t="s">
        <v>2814</v>
      </c>
      <c r="D1929" s="13" t="s">
        <v>8</v>
      </c>
    </row>
    <row r="1930" spans="1:4">
      <c r="A1930" s="23">
        <v>45096</v>
      </c>
      <c r="B1930" s="13" t="s">
        <v>2816</v>
      </c>
      <c r="C1930" s="13" t="s">
        <v>2814</v>
      </c>
      <c r="D1930" s="13" t="s">
        <v>8</v>
      </c>
    </row>
    <row r="1931" spans="1:4">
      <c r="A1931" s="23">
        <v>45097</v>
      </c>
      <c r="B1931" s="13" t="s">
        <v>2818</v>
      </c>
      <c r="C1931" s="13" t="s">
        <v>2817</v>
      </c>
      <c r="D1931" s="13" t="s">
        <v>81</v>
      </c>
    </row>
    <row r="1932" spans="1:4">
      <c r="A1932" s="23">
        <v>45097</v>
      </c>
      <c r="B1932" s="13" t="s">
        <v>2820</v>
      </c>
      <c r="C1932" s="13" t="s">
        <v>2819</v>
      </c>
      <c r="D1932" s="13" t="s">
        <v>510</v>
      </c>
    </row>
    <row r="1933" spans="1:4">
      <c r="A1933" s="23">
        <v>45097</v>
      </c>
      <c r="B1933" s="13" t="s">
        <v>2821</v>
      </c>
      <c r="C1933" s="13" t="s">
        <v>2367</v>
      </c>
      <c r="D1933" s="13" t="s">
        <v>81</v>
      </c>
    </row>
    <row r="1934" spans="1:4">
      <c r="A1934" s="23">
        <v>45097</v>
      </c>
      <c r="B1934" s="13" t="s">
        <v>2823</v>
      </c>
      <c r="C1934" s="13" t="s">
        <v>2822</v>
      </c>
      <c r="D1934" s="13" t="s">
        <v>81</v>
      </c>
    </row>
    <row r="1935" spans="1:4">
      <c r="A1935" s="23">
        <v>45097</v>
      </c>
      <c r="B1935" s="13" t="s">
        <v>2823</v>
      </c>
      <c r="C1935" s="13" t="s">
        <v>2822</v>
      </c>
      <c r="D1935" s="13" t="s">
        <v>81</v>
      </c>
    </row>
    <row r="1936" spans="1:4">
      <c r="A1936" s="23">
        <v>45097</v>
      </c>
      <c r="B1936" s="13" t="s">
        <v>2825</v>
      </c>
      <c r="C1936" s="13" t="s">
        <v>2824</v>
      </c>
      <c r="D1936" s="13" t="s">
        <v>8</v>
      </c>
    </row>
    <row r="1937" spans="1:4">
      <c r="A1937" s="23">
        <v>45097</v>
      </c>
      <c r="B1937" s="13" t="s">
        <v>2823</v>
      </c>
      <c r="C1937" s="13" t="s">
        <v>2826</v>
      </c>
      <c r="D1937" s="13" t="s">
        <v>81</v>
      </c>
    </row>
    <row r="1938" spans="1:4">
      <c r="A1938" s="23">
        <v>45097</v>
      </c>
      <c r="B1938" s="13" t="s">
        <v>2827</v>
      </c>
      <c r="C1938" s="13" t="s">
        <v>91</v>
      </c>
      <c r="D1938" s="13" t="s">
        <v>81</v>
      </c>
    </row>
    <row r="1939" spans="1:4">
      <c r="A1939" s="23">
        <v>45097</v>
      </c>
      <c r="B1939" s="13" t="s">
        <v>2829</v>
      </c>
      <c r="C1939" s="13" t="s">
        <v>2828</v>
      </c>
      <c r="D1939" s="13" t="s">
        <v>81</v>
      </c>
    </row>
    <row r="1940" spans="1:4">
      <c r="A1940" s="23">
        <v>45097</v>
      </c>
      <c r="B1940" s="13" t="s">
        <v>2831</v>
      </c>
      <c r="C1940" s="13" t="s">
        <v>2830</v>
      </c>
      <c r="D1940" s="13" t="s">
        <v>81</v>
      </c>
    </row>
    <row r="1941" spans="1:4">
      <c r="A1941" s="23">
        <v>45097</v>
      </c>
      <c r="B1941" s="13" t="s">
        <v>2833</v>
      </c>
      <c r="C1941" s="13" t="s">
        <v>2832</v>
      </c>
      <c r="D1941" s="13" t="s">
        <v>81</v>
      </c>
    </row>
    <row r="1942" spans="1:4">
      <c r="A1942" s="23">
        <v>45097</v>
      </c>
      <c r="B1942" s="13" t="s">
        <v>2834</v>
      </c>
      <c r="C1942" s="13" t="s">
        <v>1862</v>
      </c>
      <c r="D1942" s="13" t="s">
        <v>81</v>
      </c>
    </row>
    <row r="1943" spans="1:4">
      <c r="A1943" s="23">
        <v>45097</v>
      </c>
      <c r="B1943" s="13" t="s">
        <v>2835</v>
      </c>
      <c r="C1943" s="13" t="s">
        <v>701</v>
      </c>
      <c r="D1943" s="13" t="s">
        <v>81</v>
      </c>
    </row>
    <row r="1944" spans="1:4">
      <c r="A1944" s="23">
        <v>45097</v>
      </c>
      <c r="B1944" s="13" t="s">
        <v>1771</v>
      </c>
      <c r="C1944" s="13" t="s">
        <v>91</v>
      </c>
      <c r="D1944" s="13" t="s">
        <v>81</v>
      </c>
    </row>
    <row r="1945" spans="1:4">
      <c r="A1945" s="23">
        <v>45097</v>
      </c>
      <c r="B1945" s="13" t="s">
        <v>2837</v>
      </c>
      <c r="C1945" s="13" t="s">
        <v>2836</v>
      </c>
      <c r="D1945" s="13" t="s">
        <v>81</v>
      </c>
    </row>
    <row r="1946" spans="1:4">
      <c r="A1946" s="23">
        <v>45097</v>
      </c>
      <c r="B1946" s="13" t="s">
        <v>2839</v>
      </c>
      <c r="C1946" s="13" t="s">
        <v>2838</v>
      </c>
      <c r="D1946" s="13" t="s">
        <v>8</v>
      </c>
    </row>
    <row r="1947" spans="1:4">
      <c r="A1947" s="23">
        <v>45097</v>
      </c>
      <c r="B1947" s="13" t="s">
        <v>2840</v>
      </c>
      <c r="C1947" s="13" t="s">
        <v>91</v>
      </c>
      <c r="D1947" s="13" t="s">
        <v>81</v>
      </c>
    </row>
    <row r="1948" spans="1:4">
      <c r="A1948" s="23">
        <v>45097</v>
      </c>
      <c r="B1948" s="13" t="s">
        <v>2841</v>
      </c>
      <c r="C1948" s="13" t="s">
        <v>91</v>
      </c>
      <c r="D1948" s="13" t="s">
        <v>81</v>
      </c>
    </row>
    <row r="1949" spans="1:4">
      <c r="A1949" s="23">
        <v>45097</v>
      </c>
      <c r="B1949" s="13" t="s">
        <v>2843</v>
      </c>
      <c r="C1949" s="13" t="s">
        <v>2842</v>
      </c>
      <c r="D1949" s="13" t="s">
        <v>81</v>
      </c>
    </row>
    <row r="1950" spans="1:4">
      <c r="A1950" s="23">
        <v>45098</v>
      </c>
      <c r="B1950" s="13" t="s">
        <v>2845</v>
      </c>
      <c r="C1950" s="13" t="s">
        <v>2844</v>
      </c>
      <c r="D1950" s="13" t="s">
        <v>5</v>
      </c>
    </row>
    <row r="1951" spans="1:4">
      <c r="A1951" s="23">
        <v>45098</v>
      </c>
      <c r="B1951" s="13" t="s">
        <v>2846</v>
      </c>
      <c r="C1951" s="13" t="s">
        <v>167</v>
      </c>
      <c r="D1951" s="13" t="s">
        <v>81</v>
      </c>
    </row>
    <row r="1952" spans="1:4">
      <c r="A1952" s="23">
        <v>45098</v>
      </c>
      <c r="B1952" s="13" t="s">
        <v>2847</v>
      </c>
      <c r="C1952" s="13" t="s">
        <v>418</v>
      </c>
      <c r="D1952" s="13" t="s">
        <v>81</v>
      </c>
    </row>
    <row r="1953" spans="1:4">
      <c r="A1953" s="23">
        <v>45098</v>
      </c>
      <c r="B1953" s="13" t="s">
        <v>2848</v>
      </c>
      <c r="C1953" s="13" t="s">
        <v>2842</v>
      </c>
      <c r="D1953" s="13" t="s">
        <v>81</v>
      </c>
    </row>
    <row r="1954" spans="1:4">
      <c r="A1954" s="23">
        <v>45098</v>
      </c>
      <c r="B1954" s="13" t="s">
        <v>2850</v>
      </c>
      <c r="C1954" s="13" t="s">
        <v>2849</v>
      </c>
      <c r="D1954" s="13" t="s">
        <v>81</v>
      </c>
    </row>
    <row r="1955" spans="1:4">
      <c r="A1955" s="23">
        <v>45098</v>
      </c>
      <c r="B1955" s="13" t="s">
        <v>2851</v>
      </c>
      <c r="C1955" s="13" t="s">
        <v>2700</v>
      </c>
      <c r="D1955" s="13" t="s">
        <v>5</v>
      </c>
    </row>
    <row r="1956" spans="1:4">
      <c r="A1956" s="23">
        <v>45098</v>
      </c>
      <c r="B1956" s="13" t="s">
        <v>2853</v>
      </c>
      <c r="C1956" s="13" t="s">
        <v>2852</v>
      </c>
      <c r="D1956" s="13" t="s">
        <v>8</v>
      </c>
    </row>
    <row r="1957" spans="1:4">
      <c r="A1957" s="23">
        <v>45099</v>
      </c>
      <c r="B1957" s="13" t="s">
        <v>2855</v>
      </c>
      <c r="C1957" s="13" t="s">
        <v>2854</v>
      </c>
      <c r="D1957" s="13" t="s">
        <v>81</v>
      </c>
    </row>
    <row r="1958" spans="1:4">
      <c r="A1958" s="23">
        <v>45100</v>
      </c>
      <c r="B1958" s="13" t="s">
        <v>2857</v>
      </c>
      <c r="C1958" s="13" t="s">
        <v>2856</v>
      </c>
      <c r="D1958" s="13" t="s">
        <v>5</v>
      </c>
    </row>
    <row r="1959" spans="1:4">
      <c r="A1959" s="23">
        <v>45100</v>
      </c>
      <c r="B1959" s="13" t="s">
        <v>2857</v>
      </c>
      <c r="C1959" s="13" t="s">
        <v>2856</v>
      </c>
      <c r="D1959" s="13" t="s">
        <v>5</v>
      </c>
    </row>
    <row r="1960" spans="1:4">
      <c r="A1960" s="23">
        <v>45101</v>
      </c>
      <c r="B1960" s="13" t="s">
        <v>2859</v>
      </c>
      <c r="C1960" s="13" t="s">
        <v>2858</v>
      </c>
      <c r="D1960" s="13" t="s">
        <v>8</v>
      </c>
    </row>
    <row r="1961" spans="1:4">
      <c r="A1961" s="23">
        <v>45102</v>
      </c>
      <c r="B1961" s="15" t="s">
        <v>2861</v>
      </c>
      <c r="C1961" s="13" t="s">
        <v>2860</v>
      </c>
      <c r="D1961" s="13" t="s">
        <v>29</v>
      </c>
    </row>
    <row r="1962" spans="1:4">
      <c r="A1962" s="23">
        <v>45102</v>
      </c>
      <c r="B1962" s="13" t="s">
        <v>2863</v>
      </c>
      <c r="C1962" s="13" t="s">
        <v>2862</v>
      </c>
      <c r="D1962" s="13" t="s">
        <v>29</v>
      </c>
    </row>
    <row r="1963" spans="1:4">
      <c r="A1963" s="23">
        <v>45104</v>
      </c>
      <c r="B1963" s="13" t="s">
        <v>2865</v>
      </c>
      <c r="C1963" s="13" t="s">
        <v>2864</v>
      </c>
      <c r="D1963" s="13" t="s">
        <v>5</v>
      </c>
    </row>
    <row r="1964" spans="1:4">
      <c r="A1964" s="23">
        <v>45104</v>
      </c>
      <c r="B1964" s="13" t="s">
        <v>2867</v>
      </c>
      <c r="C1964" s="13" t="s">
        <v>2866</v>
      </c>
      <c r="D1964" s="13" t="s">
        <v>216</v>
      </c>
    </row>
    <row r="1965" spans="1:4">
      <c r="A1965" s="23">
        <v>45104</v>
      </c>
      <c r="B1965" s="13" t="s">
        <v>2869</v>
      </c>
      <c r="C1965" s="13" t="s">
        <v>2868</v>
      </c>
      <c r="D1965" s="13" t="s">
        <v>109</v>
      </c>
    </row>
    <row r="1966" spans="1:4">
      <c r="A1966" s="23">
        <v>45104</v>
      </c>
      <c r="B1966" s="13" t="s">
        <v>2871</v>
      </c>
      <c r="C1966" s="13" t="s">
        <v>2870</v>
      </c>
      <c r="D1966" s="13" t="s">
        <v>29</v>
      </c>
    </row>
    <row r="1967" spans="1:4">
      <c r="A1967" s="23">
        <v>45104</v>
      </c>
      <c r="B1967" s="13" t="s">
        <v>2873</v>
      </c>
      <c r="C1967" s="13" t="s">
        <v>2872</v>
      </c>
      <c r="D1967" s="13" t="s">
        <v>81</v>
      </c>
    </row>
    <row r="1968" spans="1:4">
      <c r="A1968" s="23">
        <v>45104</v>
      </c>
      <c r="B1968" s="13" t="s">
        <v>2874</v>
      </c>
      <c r="C1968" s="13" t="s">
        <v>2803</v>
      </c>
      <c r="D1968" s="13" t="s">
        <v>11</v>
      </c>
    </row>
    <row r="1969" spans="1:4">
      <c r="A1969" s="23">
        <v>45104</v>
      </c>
      <c r="B1969" s="13" t="s">
        <v>2876</v>
      </c>
      <c r="C1969" s="13" t="s">
        <v>2875</v>
      </c>
      <c r="D1969" s="13" t="s">
        <v>510</v>
      </c>
    </row>
    <row r="1970" spans="1:4">
      <c r="A1970" s="23">
        <v>45104</v>
      </c>
      <c r="B1970" s="13" t="s">
        <v>2878</v>
      </c>
      <c r="C1970" s="13" t="s">
        <v>2877</v>
      </c>
      <c r="D1970" s="13" t="s">
        <v>510</v>
      </c>
    </row>
    <row r="1971" spans="1:4">
      <c r="A1971" s="23">
        <v>45105</v>
      </c>
      <c r="B1971" s="13" t="s">
        <v>2879</v>
      </c>
      <c r="C1971" s="13" t="s">
        <v>312</v>
      </c>
      <c r="D1971" s="13" t="s">
        <v>81</v>
      </c>
    </row>
    <row r="1972" spans="1:4">
      <c r="A1972" s="23">
        <v>45105</v>
      </c>
      <c r="B1972" s="13" t="s">
        <v>2369</v>
      </c>
      <c r="C1972" s="13" t="s">
        <v>2880</v>
      </c>
      <c r="D1972" s="13" t="s">
        <v>81</v>
      </c>
    </row>
    <row r="1973" spans="1:4">
      <c r="A1973" s="23">
        <v>45105</v>
      </c>
      <c r="B1973" s="13" t="s">
        <v>2881</v>
      </c>
      <c r="C1973" s="13" t="s">
        <v>312</v>
      </c>
      <c r="D1973" s="13" t="s">
        <v>81</v>
      </c>
    </row>
    <row r="1974" spans="1:4">
      <c r="A1974" s="23">
        <v>45105</v>
      </c>
      <c r="B1974" s="13" t="s">
        <v>2883</v>
      </c>
      <c r="C1974" s="13" t="s">
        <v>2882</v>
      </c>
      <c r="D1974" s="13" t="s">
        <v>81</v>
      </c>
    </row>
    <row r="1975" spans="1:4">
      <c r="A1975" s="23">
        <v>45105</v>
      </c>
      <c r="B1975" s="13" t="s">
        <v>2884</v>
      </c>
      <c r="C1975" s="13" t="s">
        <v>312</v>
      </c>
      <c r="D1975" s="13" t="s">
        <v>81</v>
      </c>
    </row>
    <row r="1976" spans="1:4">
      <c r="A1976" s="23">
        <v>45105</v>
      </c>
      <c r="B1976" s="13" t="s">
        <v>2885</v>
      </c>
      <c r="C1976" s="13" t="s">
        <v>312</v>
      </c>
      <c r="D1976" s="13" t="s">
        <v>81</v>
      </c>
    </row>
    <row r="1977" spans="1:4">
      <c r="A1977" s="23">
        <v>45105</v>
      </c>
      <c r="B1977" s="13" t="s">
        <v>2886</v>
      </c>
      <c r="C1977" s="13" t="s">
        <v>2882</v>
      </c>
      <c r="D1977" s="13" t="s">
        <v>81</v>
      </c>
    </row>
    <row r="1978" spans="1:4">
      <c r="A1978" s="23">
        <v>45105</v>
      </c>
      <c r="B1978" s="13" t="s">
        <v>2888</v>
      </c>
      <c r="C1978" s="13" t="s">
        <v>2887</v>
      </c>
      <c r="D1978" s="13" t="s">
        <v>74</v>
      </c>
    </row>
    <row r="1979" spans="1:4">
      <c r="A1979" s="23">
        <v>45106</v>
      </c>
      <c r="B1979" s="13" t="s">
        <v>2890</v>
      </c>
      <c r="C1979" s="13" t="s">
        <v>2889</v>
      </c>
      <c r="D1979" s="13" t="s">
        <v>510</v>
      </c>
    </row>
    <row r="1980" spans="1:4">
      <c r="A1980" s="23">
        <v>45106</v>
      </c>
      <c r="B1980" s="13" t="s">
        <v>2891</v>
      </c>
      <c r="C1980" s="13" t="s">
        <v>2591</v>
      </c>
      <c r="D1980" s="13" t="s">
        <v>24</v>
      </c>
    </row>
    <row r="1981" spans="1:4">
      <c r="A1981" s="23">
        <v>45106</v>
      </c>
      <c r="B1981" s="13" t="s">
        <v>2893</v>
      </c>
      <c r="C1981" s="13" t="s">
        <v>2892</v>
      </c>
      <c r="D1981" s="13" t="s">
        <v>24</v>
      </c>
    </row>
    <row r="1982" spans="1:4">
      <c r="A1982" s="23">
        <v>45106</v>
      </c>
      <c r="B1982" s="13" t="s">
        <v>2895</v>
      </c>
      <c r="C1982" s="13" t="s">
        <v>2894</v>
      </c>
      <c r="D1982" s="13" t="s">
        <v>24</v>
      </c>
    </row>
    <row r="1983" spans="1:4">
      <c r="A1983" s="23">
        <v>45106</v>
      </c>
      <c r="B1983" s="13" t="s">
        <v>2896</v>
      </c>
      <c r="C1983" s="13" t="s">
        <v>2889</v>
      </c>
      <c r="D1983" s="13" t="s">
        <v>510</v>
      </c>
    </row>
    <row r="1984" spans="1:4">
      <c r="A1984" s="23">
        <v>45107</v>
      </c>
      <c r="B1984" s="13" t="s">
        <v>2898</v>
      </c>
      <c r="C1984" s="13" t="s">
        <v>2897</v>
      </c>
      <c r="D1984" s="13" t="s">
        <v>29</v>
      </c>
    </row>
    <row r="1985" spans="1:4">
      <c r="A1985" s="23">
        <v>45107</v>
      </c>
      <c r="B1985" s="13" t="s">
        <v>2900</v>
      </c>
      <c r="C1985" s="13" t="s">
        <v>2899</v>
      </c>
      <c r="D1985" s="13" t="s">
        <v>29</v>
      </c>
    </row>
    <row r="1986" spans="1:4">
      <c r="A1986" s="23">
        <v>45107</v>
      </c>
      <c r="B1986" s="13" t="s">
        <v>2902</v>
      </c>
      <c r="C1986" s="13" t="s">
        <v>2901</v>
      </c>
      <c r="D1986" s="13" t="s">
        <v>29</v>
      </c>
    </row>
    <row r="1987" spans="1:4">
      <c r="A1987" s="23">
        <v>45107</v>
      </c>
      <c r="B1987" s="13" t="s">
        <v>2904</v>
      </c>
      <c r="C1987" s="13" t="s">
        <v>2903</v>
      </c>
      <c r="D1987" s="13" t="s">
        <v>29</v>
      </c>
    </row>
    <row r="1988" spans="1:4">
      <c r="A1988" s="23">
        <v>45107</v>
      </c>
      <c r="B1988" s="13" t="s">
        <v>2906</v>
      </c>
      <c r="C1988" s="13" t="s">
        <v>2905</v>
      </c>
      <c r="D1988" s="13" t="s">
        <v>8</v>
      </c>
    </row>
    <row r="1989" spans="1:4">
      <c r="A1989" s="23">
        <v>45107</v>
      </c>
      <c r="B1989" s="13" t="s">
        <v>2908</v>
      </c>
      <c r="C1989" s="13" t="s">
        <v>2907</v>
      </c>
      <c r="D1989" s="13" t="s">
        <v>24</v>
      </c>
    </row>
    <row r="1990" spans="1:4">
      <c r="A1990" s="23">
        <v>45107</v>
      </c>
      <c r="B1990" s="13" t="s">
        <v>2910</v>
      </c>
      <c r="C1990" s="13" t="s">
        <v>2909</v>
      </c>
      <c r="D1990" s="13" t="s">
        <v>353</v>
      </c>
    </row>
    <row r="1991" spans="1:4">
      <c r="A1991" s="23">
        <v>45108</v>
      </c>
      <c r="B1991" s="13" t="s">
        <v>2912</v>
      </c>
      <c r="C1991" s="13" t="s">
        <v>2911</v>
      </c>
      <c r="D1991" s="13" t="s">
        <v>5</v>
      </c>
    </row>
    <row r="1992" spans="1:4">
      <c r="A1992" s="23">
        <v>45110</v>
      </c>
      <c r="B1992" s="13" t="s">
        <v>2913</v>
      </c>
      <c r="C1992" s="13" t="s">
        <v>1694</v>
      </c>
      <c r="D1992" s="13" t="s">
        <v>81</v>
      </c>
    </row>
    <row r="1993" spans="1:4">
      <c r="A1993" s="23">
        <v>45110</v>
      </c>
      <c r="B1993" s="13" t="s">
        <v>2915</v>
      </c>
      <c r="C1993" s="13" t="s">
        <v>2914</v>
      </c>
      <c r="D1993" s="13" t="s">
        <v>81</v>
      </c>
    </row>
    <row r="1994" spans="1:4">
      <c r="A1994" s="23">
        <v>45111</v>
      </c>
      <c r="B1994" s="13" t="s">
        <v>2917</v>
      </c>
      <c r="C1994" s="13" t="s">
        <v>2916</v>
      </c>
      <c r="D1994" s="13" t="s">
        <v>510</v>
      </c>
    </row>
    <row r="1995" spans="1:4">
      <c r="A1995" s="23">
        <v>45111</v>
      </c>
      <c r="B1995" s="13" t="s">
        <v>2919</v>
      </c>
      <c r="C1995" s="13" t="s">
        <v>2918</v>
      </c>
      <c r="D1995" s="13" t="s">
        <v>510</v>
      </c>
    </row>
    <row r="1996" spans="1:4">
      <c r="A1996" s="23">
        <v>45111</v>
      </c>
      <c r="B1996" s="13" t="s">
        <v>2921</v>
      </c>
      <c r="C1996" s="13" t="s">
        <v>2920</v>
      </c>
      <c r="D1996" s="13" t="s">
        <v>74</v>
      </c>
    </row>
    <row r="1997" spans="1:4">
      <c r="A1997" s="23">
        <v>45111</v>
      </c>
      <c r="B1997" s="13" t="s">
        <v>2923</v>
      </c>
      <c r="C1997" s="13" t="s">
        <v>2922</v>
      </c>
      <c r="D1997" s="13" t="s">
        <v>510</v>
      </c>
    </row>
    <row r="1998" spans="1:4">
      <c r="A1998" s="23">
        <v>45111</v>
      </c>
      <c r="B1998" s="13" t="s">
        <v>2925</v>
      </c>
      <c r="C1998" s="13" t="s">
        <v>2924</v>
      </c>
      <c r="D1998" s="13" t="s">
        <v>16</v>
      </c>
    </row>
    <row r="1999" spans="1:4">
      <c r="A1999" s="23">
        <v>45112</v>
      </c>
      <c r="B1999" s="13" t="s">
        <v>2926</v>
      </c>
      <c r="C1999" s="13" t="s">
        <v>91</v>
      </c>
      <c r="D1999" s="13" t="s">
        <v>81</v>
      </c>
    </row>
    <row r="2000" spans="1:4">
      <c r="A2000" s="23">
        <v>45112</v>
      </c>
      <c r="B2000" s="13" t="s">
        <v>2927</v>
      </c>
      <c r="C2000" s="13" t="s">
        <v>1890</v>
      </c>
      <c r="D2000" s="13" t="s">
        <v>81</v>
      </c>
    </row>
    <row r="2001" spans="1:4">
      <c r="A2001" s="23">
        <v>45112</v>
      </c>
      <c r="B2001" s="13" t="s">
        <v>2929</v>
      </c>
      <c r="C2001" s="13" t="s">
        <v>2928</v>
      </c>
      <c r="D2001" s="13" t="s">
        <v>81</v>
      </c>
    </row>
    <row r="2002" spans="1:4">
      <c r="A2002" s="23">
        <v>45112</v>
      </c>
      <c r="B2002" s="13" t="s">
        <v>2931</v>
      </c>
      <c r="C2002" s="13" t="s">
        <v>2930</v>
      </c>
      <c r="D2002" s="13" t="s">
        <v>353</v>
      </c>
    </row>
    <row r="2003" spans="1:4">
      <c r="A2003" s="23">
        <v>45112</v>
      </c>
      <c r="B2003" s="13" t="s">
        <v>2933</v>
      </c>
      <c r="C2003" s="13" t="s">
        <v>2932</v>
      </c>
      <c r="D2003" s="13" t="s">
        <v>353</v>
      </c>
    </row>
    <row r="2004" spans="1:4">
      <c r="A2004" s="23">
        <v>45112</v>
      </c>
      <c r="B2004" s="13" t="s">
        <v>2934</v>
      </c>
      <c r="C2004" s="13" t="s">
        <v>1903</v>
      </c>
      <c r="D2004" s="13" t="s">
        <v>81</v>
      </c>
    </row>
    <row r="2005" spans="1:4">
      <c r="A2005" s="23">
        <v>45112</v>
      </c>
      <c r="B2005" s="13" t="s">
        <v>2936</v>
      </c>
      <c r="C2005" s="13" t="s">
        <v>2935</v>
      </c>
      <c r="D2005" s="13" t="s">
        <v>74</v>
      </c>
    </row>
    <row r="2006" spans="1:4">
      <c r="A2006" s="23">
        <v>45112</v>
      </c>
      <c r="B2006" s="13" t="s">
        <v>2938</v>
      </c>
      <c r="C2006" s="13" t="s">
        <v>2937</v>
      </c>
      <c r="D2006" s="13" t="s">
        <v>74</v>
      </c>
    </row>
    <row r="2007" spans="1:4">
      <c r="A2007" s="23">
        <v>45112</v>
      </c>
      <c r="B2007" s="13" t="s">
        <v>2939</v>
      </c>
      <c r="C2007" s="13" t="s">
        <v>1241</v>
      </c>
      <c r="D2007" s="13" t="s">
        <v>81</v>
      </c>
    </row>
    <row r="2008" spans="1:4">
      <c r="A2008" s="23">
        <v>45112</v>
      </c>
      <c r="B2008" s="13" t="s">
        <v>2941</v>
      </c>
      <c r="C2008" s="13" t="s">
        <v>2940</v>
      </c>
      <c r="D2008" s="13" t="s">
        <v>74</v>
      </c>
    </row>
    <row r="2009" spans="1:4">
      <c r="A2009" s="23">
        <v>45112</v>
      </c>
      <c r="B2009" s="13" t="s">
        <v>2943</v>
      </c>
      <c r="C2009" s="13" t="s">
        <v>2942</v>
      </c>
      <c r="D2009" s="13" t="s">
        <v>81</v>
      </c>
    </row>
    <row r="2010" spans="1:4">
      <c r="A2010" s="23">
        <v>45112</v>
      </c>
      <c r="B2010" s="13" t="s">
        <v>2945</v>
      </c>
      <c r="C2010" s="13" t="s">
        <v>2944</v>
      </c>
      <c r="D2010" s="13" t="s">
        <v>81</v>
      </c>
    </row>
    <row r="2011" spans="1:4">
      <c r="A2011" s="23">
        <v>45113</v>
      </c>
      <c r="B2011" s="13" t="s">
        <v>2947</v>
      </c>
      <c r="C2011" s="13" t="s">
        <v>2946</v>
      </c>
      <c r="D2011" s="13" t="s">
        <v>8</v>
      </c>
    </row>
    <row r="2012" spans="1:4">
      <c r="A2012" s="23">
        <v>45113</v>
      </c>
      <c r="B2012" s="13" t="s">
        <v>2948</v>
      </c>
      <c r="C2012" s="13" t="s">
        <v>418</v>
      </c>
      <c r="D2012" s="13" t="s">
        <v>81</v>
      </c>
    </row>
    <row r="2013" spans="1:4">
      <c r="A2013" s="23">
        <v>45113</v>
      </c>
      <c r="B2013" s="13" t="s">
        <v>2950</v>
      </c>
      <c r="C2013" s="13" t="s">
        <v>2949</v>
      </c>
      <c r="D2013" s="13" t="s">
        <v>5</v>
      </c>
    </row>
    <row r="2014" spans="1:4">
      <c r="A2014" s="23">
        <v>45113</v>
      </c>
      <c r="B2014" s="13" t="s">
        <v>2951</v>
      </c>
      <c r="C2014" s="13" t="s">
        <v>83</v>
      </c>
      <c r="D2014" s="13" t="s">
        <v>81</v>
      </c>
    </row>
    <row r="2015" spans="1:4">
      <c r="A2015" s="23">
        <v>45113</v>
      </c>
      <c r="B2015" s="13" t="s">
        <v>2953</v>
      </c>
      <c r="C2015" s="13" t="s">
        <v>2952</v>
      </c>
      <c r="D2015" s="13" t="s">
        <v>5</v>
      </c>
    </row>
    <row r="2016" spans="1:4">
      <c r="A2016" s="23">
        <v>45113</v>
      </c>
      <c r="B2016" s="13" t="s">
        <v>2954</v>
      </c>
      <c r="C2016" s="13" t="s">
        <v>2946</v>
      </c>
      <c r="D2016" s="13" t="s">
        <v>8</v>
      </c>
    </row>
    <row r="2017" spans="1:4">
      <c r="A2017" s="23">
        <v>45113</v>
      </c>
      <c r="B2017" s="13" t="s">
        <v>2955</v>
      </c>
      <c r="C2017" s="13" t="s">
        <v>1763</v>
      </c>
      <c r="D2017" s="13" t="s">
        <v>81</v>
      </c>
    </row>
    <row r="2018" spans="1:4">
      <c r="A2018" s="23">
        <v>45113</v>
      </c>
      <c r="B2018" s="13" t="s">
        <v>2956</v>
      </c>
      <c r="C2018" s="13" t="s">
        <v>2911</v>
      </c>
      <c r="D2018" s="13" t="s">
        <v>5</v>
      </c>
    </row>
    <row r="2019" spans="1:4">
      <c r="A2019" s="23">
        <v>45113</v>
      </c>
      <c r="B2019" s="13" t="s">
        <v>2958</v>
      </c>
      <c r="C2019" s="13" t="s">
        <v>2957</v>
      </c>
      <c r="D2019" s="13" t="s">
        <v>81</v>
      </c>
    </row>
    <row r="2020" spans="1:4">
      <c r="A2020" s="23">
        <v>45113</v>
      </c>
      <c r="B2020" s="13" t="s">
        <v>2954</v>
      </c>
      <c r="C2020" s="13" t="s">
        <v>2946</v>
      </c>
      <c r="D2020" s="13" t="s">
        <v>8</v>
      </c>
    </row>
    <row r="2021" spans="1:4">
      <c r="A2021" s="23">
        <v>45113</v>
      </c>
      <c r="B2021" s="13" t="s">
        <v>2959</v>
      </c>
      <c r="C2021" s="13" t="s">
        <v>2672</v>
      </c>
      <c r="D2021" s="13" t="s">
        <v>81</v>
      </c>
    </row>
    <row r="2022" spans="1:4">
      <c r="A2022" s="23">
        <v>45114</v>
      </c>
      <c r="B2022" s="13" t="s">
        <v>2960</v>
      </c>
      <c r="C2022" s="13" t="s">
        <v>312</v>
      </c>
      <c r="D2022" s="13" t="s">
        <v>81</v>
      </c>
    </row>
    <row r="2023" spans="1:4">
      <c r="A2023" s="23">
        <v>45114</v>
      </c>
      <c r="B2023" s="13" t="s">
        <v>2961</v>
      </c>
      <c r="C2023" s="13" t="s">
        <v>312</v>
      </c>
      <c r="D2023" s="13" t="s">
        <v>81</v>
      </c>
    </row>
    <row r="2024" spans="1:4">
      <c r="A2024" s="23">
        <v>45114</v>
      </c>
      <c r="B2024" s="13" t="s">
        <v>2962</v>
      </c>
      <c r="C2024" s="13" t="s">
        <v>312</v>
      </c>
      <c r="D2024" s="13" t="s">
        <v>81</v>
      </c>
    </row>
    <row r="2025" spans="1:4">
      <c r="A2025" s="23">
        <v>45114</v>
      </c>
      <c r="B2025" s="13" t="s">
        <v>2964</v>
      </c>
      <c r="C2025" s="13" t="s">
        <v>2963</v>
      </c>
      <c r="D2025" s="13" t="s">
        <v>74</v>
      </c>
    </row>
    <row r="2026" spans="1:4">
      <c r="A2026" s="23">
        <v>45114</v>
      </c>
      <c r="B2026" s="13" t="s">
        <v>2965</v>
      </c>
      <c r="C2026" s="13" t="s">
        <v>2963</v>
      </c>
      <c r="D2026" s="13" t="s">
        <v>74</v>
      </c>
    </row>
    <row r="2027" spans="1:4">
      <c r="A2027" s="23">
        <v>45114</v>
      </c>
      <c r="B2027" s="13" t="s">
        <v>2966</v>
      </c>
      <c r="C2027" s="13" t="s">
        <v>2963</v>
      </c>
      <c r="D2027" s="13" t="s">
        <v>74</v>
      </c>
    </row>
    <row r="2028" spans="1:4">
      <c r="A2028" s="23">
        <v>45114</v>
      </c>
      <c r="B2028" s="13" t="s">
        <v>2962</v>
      </c>
      <c r="C2028" s="13" t="s">
        <v>312</v>
      </c>
      <c r="D2028" s="13" t="s">
        <v>81</v>
      </c>
    </row>
    <row r="2029" spans="1:4">
      <c r="A2029" s="23">
        <v>45117</v>
      </c>
      <c r="B2029" s="13" t="s">
        <v>2968</v>
      </c>
      <c r="C2029" s="13" t="s">
        <v>2967</v>
      </c>
      <c r="D2029" s="13" t="s">
        <v>594</v>
      </c>
    </row>
    <row r="2030" spans="1:4">
      <c r="A2030" s="23">
        <v>45117</v>
      </c>
      <c r="B2030" s="13" t="s">
        <v>2970</v>
      </c>
      <c r="C2030" s="13" t="s">
        <v>2969</v>
      </c>
      <c r="D2030" s="13" t="s">
        <v>29</v>
      </c>
    </row>
    <row r="2031" spans="1:4">
      <c r="A2031" s="23">
        <v>45117</v>
      </c>
      <c r="B2031" s="13" t="s">
        <v>2972</v>
      </c>
      <c r="C2031" s="13" t="s">
        <v>2971</v>
      </c>
      <c r="D2031" s="13" t="s">
        <v>29</v>
      </c>
    </row>
    <row r="2032" spans="1:4">
      <c r="A2032" s="23">
        <v>45117</v>
      </c>
      <c r="B2032" s="13" t="s">
        <v>2974</v>
      </c>
      <c r="C2032" s="13" t="s">
        <v>2973</v>
      </c>
      <c r="D2032" s="13" t="s">
        <v>34</v>
      </c>
    </row>
    <row r="2033" spans="1:4">
      <c r="A2033" s="23">
        <v>45117</v>
      </c>
      <c r="B2033" s="13" t="s">
        <v>2976</v>
      </c>
      <c r="C2033" s="13" t="s">
        <v>2975</v>
      </c>
      <c r="D2033" s="13" t="s">
        <v>34</v>
      </c>
    </row>
    <row r="2034" spans="1:4">
      <c r="A2034" s="23">
        <v>45118</v>
      </c>
      <c r="B2034" s="15" t="s">
        <v>2978</v>
      </c>
      <c r="C2034" s="13" t="s">
        <v>2977</v>
      </c>
      <c r="D2034" s="13" t="s">
        <v>29</v>
      </c>
    </row>
    <row r="2035" spans="1:4">
      <c r="A2035" s="23">
        <v>45118</v>
      </c>
      <c r="B2035" s="13" t="s">
        <v>2980</v>
      </c>
      <c r="C2035" s="13" t="s">
        <v>2979</v>
      </c>
      <c r="D2035" s="13" t="s">
        <v>29</v>
      </c>
    </row>
    <row r="2036" spans="1:4">
      <c r="A2036" s="23">
        <v>45118</v>
      </c>
      <c r="B2036" s="13" t="s">
        <v>2982</v>
      </c>
      <c r="C2036" s="13" t="s">
        <v>2981</v>
      </c>
      <c r="D2036" s="13" t="s">
        <v>34</v>
      </c>
    </row>
    <row r="2037" spans="1:4">
      <c r="A2037" s="23">
        <v>45118</v>
      </c>
      <c r="B2037" s="17" t="s">
        <v>2984</v>
      </c>
      <c r="C2037" s="13" t="s">
        <v>2983</v>
      </c>
      <c r="D2037" s="13" t="s">
        <v>353</v>
      </c>
    </row>
    <row r="2038" spans="1:4">
      <c r="A2038" s="23">
        <v>45118</v>
      </c>
      <c r="B2038" s="13" t="s">
        <v>2985</v>
      </c>
      <c r="C2038" s="13" t="s">
        <v>2979</v>
      </c>
      <c r="D2038" s="13" t="s">
        <v>29</v>
      </c>
    </row>
    <row r="2039" spans="1:4">
      <c r="A2039" s="23">
        <v>45119</v>
      </c>
      <c r="B2039" s="13" t="s">
        <v>2987</v>
      </c>
      <c r="C2039" s="13" t="s">
        <v>2986</v>
      </c>
      <c r="D2039" s="13" t="s">
        <v>5</v>
      </c>
    </row>
    <row r="2040" spans="1:4">
      <c r="A2040" s="23">
        <v>45119</v>
      </c>
      <c r="B2040" s="13" t="s">
        <v>2989</v>
      </c>
      <c r="C2040" s="13" t="s">
        <v>2988</v>
      </c>
      <c r="D2040" s="13" t="s">
        <v>5</v>
      </c>
    </row>
    <row r="2041" spans="1:4">
      <c r="A2041" s="23">
        <v>45119</v>
      </c>
      <c r="B2041" s="13" t="s">
        <v>2990</v>
      </c>
      <c r="C2041" s="13" t="s">
        <v>2988</v>
      </c>
      <c r="D2041" s="13" t="s">
        <v>5</v>
      </c>
    </row>
    <row r="2042" spans="1:4">
      <c r="A2042" s="23">
        <v>45119</v>
      </c>
      <c r="B2042" s="13" t="s">
        <v>2992</v>
      </c>
      <c r="C2042" s="13" t="s">
        <v>2991</v>
      </c>
      <c r="D2042" s="13" t="s">
        <v>8</v>
      </c>
    </row>
    <row r="2043" spans="1:4">
      <c r="A2043" s="23">
        <v>45119</v>
      </c>
      <c r="B2043" s="13" t="s">
        <v>2987</v>
      </c>
      <c r="C2043" s="13" t="s">
        <v>2986</v>
      </c>
      <c r="D2043" s="13" t="s">
        <v>5</v>
      </c>
    </row>
    <row r="2044" spans="1:4">
      <c r="A2044" s="23">
        <v>45120</v>
      </c>
      <c r="B2044" s="13" t="s">
        <v>2994</v>
      </c>
      <c r="C2044" s="13" t="s">
        <v>2993</v>
      </c>
      <c r="D2044" s="13" t="s">
        <v>5</v>
      </c>
    </row>
    <row r="2045" spans="1:4">
      <c r="A2045" s="23">
        <v>45120</v>
      </c>
      <c r="B2045" s="13" t="s">
        <v>2996</v>
      </c>
      <c r="C2045" s="13" t="s">
        <v>2995</v>
      </c>
      <c r="D2045" s="13" t="s">
        <v>353</v>
      </c>
    </row>
    <row r="2046" spans="1:4">
      <c r="A2046" s="23">
        <v>45120</v>
      </c>
      <c r="B2046" s="13" t="s">
        <v>2998</v>
      </c>
      <c r="C2046" s="13" t="s">
        <v>2997</v>
      </c>
      <c r="D2046" s="13" t="s">
        <v>19</v>
      </c>
    </row>
    <row r="2047" spans="1:4">
      <c r="A2047" s="23">
        <v>45120</v>
      </c>
      <c r="B2047" s="13" t="s">
        <v>2999</v>
      </c>
      <c r="C2047" s="13" t="s">
        <v>2993</v>
      </c>
      <c r="D2047" s="13" t="s">
        <v>5</v>
      </c>
    </row>
    <row r="2048" spans="1:4">
      <c r="A2048" s="23">
        <v>45120</v>
      </c>
      <c r="B2048" s="13" t="s">
        <v>3001</v>
      </c>
      <c r="C2048" s="13" t="s">
        <v>3000</v>
      </c>
      <c r="D2048" s="13" t="s">
        <v>19</v>
      </c>
    </row>
    <row r="2049" spans="1:4">
      <c r="A2049" s="23">
        <v>45120</v>
      </c>
      <c r="B2049" s="13" t="s">
        <v>3003</v>
      </c>
      <c r="C2049" s="13" t="s">
        <v>3002</v>
      </c>
      <c r="D2049" s="13" t="s">
        <v>11</v>
      </c>
    </row>
    <row r="2050" spans="1:4">
      <c r="A2050" s="23">
        <v>45120</v>
      </c>
      <c r="B2050" s="13" t="s">
        <v>3004</v>
      </c>
      <c r="C2050" s="13" t="s">
        <v>1982</v>
      </c>
      <c r="D2050" s="13" t="s">
        <v>5</v>
      </c>
    </row>
    <row r="2051" spans="1:4">
      <c r="A2051" s="23">
        <v>45120</v>
      </c>
      <c r="B2051" s="13" t="s">
        <v>3006</v>
      </c>
      <c r="C2051" s="13" t="s">
        <v>3005</v>
      </c>
      <c r="D2051" s="13" t="s">
        <v>353</v>
      </c>
    </row>
    <row r="2052" spans="1:4">
      <c r="A2052" s="23">
        <v>45121</v>
      </c>
      <c r="B2052" s="13" t="s">
        <v>3008</v>
      </c>
      <c r="C2052" s="13" t="s">
        <v>3007</v>
      </c>
      <c r="D2052" s="13" t="s">
        <v>19</v>
      </c>
    </row>
    <row r="2053" spans="1:4">
      <c r="A2053" s="23">
        <v>45122</v>
      </c>
      <c r="B2053" s="13" t="s">
        <v>3010</v>
      </c>
      <c r="C2053" s="13" t="s">
        <v>3009</v>
      </c>
      <c r="D2053" s="13" t="s">
        <v>29</v>
      </c>
    </row>
    <row r="2054" spans="1:4">
      <c r="A2054" s="23">
        <v>45122</v>
      </c>
      <c r="B2054" s="13" t="s">
        <v>3012</v>
      </c>
      <c r="C2054" s="13" t="s">
        <v>3011</v>
      </c>
      <c r="D2054" s="13" t="s">
        <v>109</v>
      </c>
    </row>
    <row r="2055" spans="1:4">
      <c r="A2055" s="23">
        <v>45124</v>
      </c>
      <c r="B2055" s="13" t="s">
        <v>3013</v>
      </c>
      <c r="C2055" s="13" t="s">
        <v>1890</v>
      </c>
      <c r="D2055" s="13" t="s">
        <v>81</v>
      </c>
    </row>
    <row r="2056" spans="1:4">
      <c r="A2056" s="23">
        <v>45124</v>
      </c>
      <c r="B2056" s="13" t="s">
        <v>3014</v>
      </c>
      <c r="C2056" s="13" t="s">
        <v>1890</v>
      </c>
      <c r="D2056" s="13" t="s">
        <v>81</v>
      </c>
    </row>
    <row r="2057" spans="1:4">
      <c r="A2057" s="23">
        <v>45124</v>
      </c>
      <c r="B2057" s="13" t="s">
        <v>3015</v>
      </c>
      <c r="C2057" s="13" t="s">
        <v>1890</v>
      </c>
      <c r="D2057" s="13" t="s">
        <v>81</v>
      </c>
    </row>
    <row r="2058" spans="1:4">
      <c r="A2058" s="23">
        <v>45124</v>
      </c>
      <c r="B2058" s="13" t="s">
        <v>3017</v>
      </c>
      <c r="C2058" s="13" t="s">
        <v>3016</v>
      </c>
      <c r="D2058" s="13" t="s">
        <v>353</v>
      </c>
    </row>
    <row r="2059" spans="1:4">
      <c r="A2059" s="23">
        <v>45124</v>
      </c>
      <c r="B2059" s="13" t="s">
        <v>3019</v>
      </c>
      <c r="C2059" s="13" t="s">
        <v>3018</v>
      </c>
      <c r="D2059" s="13" t="s">
        <v>353</v>
      </c>
    </row>
    <row r="2060" spans="1:4">
      <c r="A2060" s="23">
        <v>45124</v>
      </c>
      <c r="B2060" s="13" t="s">
        <v>3021</v>
      </c>
      <c r="C2060" s="13" t="s">
        <v>3020</v>
      </c>
      <c r="D2060" s="13" t="s">
        <v>24</v>
      </c>
    </row>
    <row r="2061" spans="1:4">
      <c r="A2061" s="23">
        <v>45125</v>
      </c>
      <c r="B2061" s="13" t="s">
        <v>3023</v>
      </c>
      <c r="C2061" s="13" t="s">
        <v>3022</v>
      </c>
      <c r="D2061" s="13" t="s">
        <v>29</v>
      </c>
    </row>
    <row r="2062" spans="1:4">
      <c r="A2062" s="23">
        <v>45125</v>
      </c>
      <c r="B2062" s="13" t="s">
        <v>3025</v>
      </c>
      <c r="C2062" s="13" t="s">
        <v>3024</v>
      </c>
      <c r="D2062" s="13" t="s">
        <v>353</v>
      </c>
    </row>
    <row r="2063" spans="1:4">
      <c r="A2063" s="23">
        <v>45125</v>
      </c>
      <c r="B2063" s="13" t="s">
        <v>3027</v>
      </c>
      <c r="C2063" s="13" t="s">
        <v>3026</v>
      </c>
      <c r="D2063" s="13" t="s">
        <v>29</v>
      </c>
    </row>
    <row r="2064" spans="1:4">
      <c r="A2064" s="23">
        <v>45125</v>
      </c>
      <c r="B2064" s="13" t="s">
        <v>3029</v>
      </c>
      <c r="C2064" s="13" t="s">
        <v>3028</v>
      </c>
      <c r="D2064" s="13" t="s">
        <v>29</v>
      </c>
    </row>
    <row r="2065" spans="1:4">
      <c r="A2065" s="23">
        <v>45125</v>
      </c>
      <c r="B2065" s="13" t="s">
        <v>3025</v>
      </c>
      <c r="C2065" s="13" t="s">
        <v>3024</v>
      </c>
      <c r="D2065" s="13" t="s">
        <v>353</v>
      </c>
    </row>
    <row r="2066" spans="1:4">
      <c r="A2066" s="23">
        <v>45125</v>
      </c>
      <c r="B2066" s="13" t="s">
        <v>3030</v>
      </c>
      <c r="C2066" s="13" t="s">
        <v>2957</v>
      </c>
      <c r="D2066" s="13" t="s">
        <v>81</v>
      </c>
    </row>
    <row r="2067" spans="1:4">
      <c r="A2067" s="23">
        <v>45125</v>
      </c>
      <c r="B2067" s="13" t="s">
        <v>3031</v>
      </c>
      <c r="C2067" s="13" t="s">
        <v>2882</v>
      </c>
      <c r="D2067" s="13" t="s">
        <v>81</v>
      </c>
    </row>
    <row r="2068" spans="1:4">
      <c r="A2068" s="23">
        <v>45126</v>
      </c>
      <c r="B2068" s="13" t="s">
        <v>3033</v>
      </c>
      <c r="C2068" s="13" t="s">
        <v>3032</v>
      </c>
      <c r="D2068" s="13" t="s">
        <v>8</v>
      </c>
    </row>
    <row r="2069" spans="1:4">
      <c r="A2069" s="23">
        <v>45126</v>
      </c>
      <c r="B2069" s="13" t="s">
        <v>3033</v>
      </c>
      <c r="C2069" s="13" t="s">
        <v>3032</v>
      </c>
      <c r="D2069" s="13" t="s">
        <v>8</v>
      </c>
    </row>
    <row r="2070" spans="1:4">
      <c r="A2070" s="23">
        <v>45126</v>
      </c>
      <c r="B2070" s="13" t="s">
        <v>3035</v>
      </c>
      <c r="C2070" s="13" t="s">
        <v>3034</v>
      </c>
      <c r="D2070" s="13" t="s">
        <v>34</v>
      </c>
    </row>
    <row r="2071" spans="1:4">
      <c r="A2071" s="23">
        <v>45126</v>
      </c>
      <c r="B2071" s="13" t="s">
        <v>3037</v>
      </c>
      <c r="C2071" s="13" t="s">
        <v>3036</v>
      </c>
      <c r="D2071" s="13" t="s">
        <v>34</v>
      </c>
    </row>
    <row r="2072" spans="1:4">
      <c r="A2072" s="23">
        <v>45126</v>
      </c>
      <c r="B2072" s="13" t="s">
        <v>3039</v>
      </c>
      <c r="C2072" s="13" t="s">
        <v>3038</v>
      </c>
      <c r="D2072" s="13" t="s">
        <v>81</v>
      </c>
    </row>
    <row r="2073" spans="1:4">
      <c r="A2073" s="23">
        <v>45127</v>
      </c>
      <c r="B2073" s="13" t="s">
        <v>3041</v>
      </c>
      <c r="C2073" s="13" t="s">
        <v>3040</v>
      </c>
      <c r="D2073" s="13" t="s">
        <v>5</v>
      </c>
    </row>
    <row r="2074" spans="1:4">
      <c r="A2074" s="23">
        <v>45127</v>
      </c>
      <c r="B2074" s="13" t="s">
        <v>3043</v>
      </c>
      <c r="C2074" s="13" t="s">
        <v>3042</v>
      </c>
      <c r="D2074" s="13" t="s">
        <v>109</v>
      </c>
    </row>
    <row r="2075" spans="1:4">
      <c r="A2075" s="23">
        <v>45127</v>
      </c>
      <c r="B2075" s="13" t="s">
        <v>3045</v>
      </c>
      <c r="C2075" s="13" t="s">
        <v>3044</v>
      </c>
      <c r="D2075" s="13" t="s">
        <v>109</v>
      </c>
    </row>
    <row r="2076" spans="1:4">
      <c r="A2076" s="23">
        <v>45127</v>
      </c>
      <c r="B2076" s="13" t="s">
        <v>3047</v>
      </c>
      <c r="C2076" s="13" t="s">
        <v>3046</v>
      </c>
      <c r="D2076" s="13" t="s">
        <v>11</v>
      </c>
    </row>
    <row r="2077" spans="1:4">
      <c r="A2077" s="23">
        <v>45127</v>
      </c>
      <c r="B2077" s="13" t="s">
        <v>3049</v>
      </c>
      <c r="C2077" s="13" t="s">
        <v>3048</v>
      </c>
      <c r="D2077" s="13" t="s">
        <v>11</v>
      </c>
    </row>
    <row r="2078" spans="1:4">
      <c r="A2078" s="23">
        <v>45127</v>
      </c>
      <c r="B2078" s="13" t="s">
        <v>3051</v>
      </c>
      <c r="C2078" s="13" t="s">
        <v>3050</v>
      </c>
      <c r="D2078" s="13" t="s">
        <v>109</v>
      </c>
    </row>
    <row r="2079" spans="1:4">
      <c r="A2079" s="23">
        <v>45128</v>
      </c>
      <c r="B2079" s="13" t="s">
        <v>3052</v>
      </c>
      <c r="C2079" s="13" t="s">
        <v>2333</v>
      </c>
      <c r="D2079" s="13" t="s">
        <v>19</v>
      </c>
    </row>
    <row r="2080" spans="1:4">
      <c r="A2080" s="23">
        <v>45128</v>
      </c>
      <c r="B2080" s="13" t="s">
        <v>3054</v>
      </c>
      <c r="C2080" s="13" t="s">
        <v>3053</v>
      </c>
      <c r="D2080" s="13" t="s">
        <v>11</v>
      </c>
    </row>
    <row r="2081" spans="1:4">
      <c r="A2081" s="23">
        <v>45128</v>
      </c>
      <c r="B2081" s="13" t="s">
        <v>3056</v>
      </c>
      <c r="C2081" s="13" t="s">
        <v>3055</v>
      </c>
      <c r="D2081" s="13" t="s">
        <v>11</v>
      </c>
    </row>
    <row r="2082" spans="1:4">
      <c r="A2082" s="23">
        <v>45128</v>
      </c>
      <c r="B2082" s="13" t="s">
        <v>3058</v>
      </c>
      <c r="C2082" s="13" t="s">
        <v>3057</v>
      </c>
      <c r="D2082" s="13" t="s">
        <v>5</v>
      </c>
    </row>
    <row r="2083" spans="1:4">
      <c r="A2083" s="23">
        <v>45131</v>
      </c>
      <c r="B2083" s="13" t="s">
        <v>3060</v>
      </c>
      <c r="C2083" s="13" t="s">
        <v>3059</v>
      </c>
      <c r="D2083" s="13" t="s">
        <v>5</v>
      </c>
    </row>
    <row r="2084" spans="1:4">
      <c r="A2084" s="23">
        <v>45131</v>
      </c>
      <c r="B2084" s="13" t="s">
        <v>3062</v>
      </c>
      <c r="C2084" s="13" t="s">
        <v>3061</v>
      </c>
      <c r="D2084" s="13" t="s">
        <v>29</v>
      </c>
    </row>
    <row r="2085" spans="1:4">
      <c r="A2085" s="23">
        <v>45131</v>
      </c>
      <c r="B2085" s="13" t="s">
        <v>3063</v>
      </c>
      <c r="C2085" s="13" t="s">
        <v>2856</v>
      </c>
      <c r="D2085" s="13" t="s">
        <v>5</v>
      </c>
    </row>
    <row r="2086" spans="1:4">
      <c r="A2086" s="23">
        <v>45132</v>
      </c>
      <c r="B2086" s="13" t="s">
        <v>3065</v>
      </c>
      <c r="C2086" s="13" t="s">
        <v>3064</v>
      </c>
      <c r="D2086" s="13" t="s">
        <v>29</v>
      </c>
    </row>
    <row r="2087" spans="1:4">
      <c r="A2087" s="23">
        <v>45132</v>
      </c>
      <c r="B2087" s="13" t="s">
        <v>3067</v>
      </c>
      <c r="C2087" s="13" t="s">
        <v>3066</v>
      </c>
      <c r="D2087" s="13" t="s">
        <v>5</v>
      </c>
    </row>
    <row r="2088" spans="1:4">
      <c r="A2088" s="23">
        <v>45132</v>
      </c>
      <c r="B2088" s="13" t="s">
        <v>3069</v>
      </c>
      <c r="C2088" s="13" t="s">
        <v>3068</v>
      </c>
      <c r="D2088" s="13" t="s">
        <v>353</v>
      </c>
    </row>
    <row r="2089" spans="1:4">
      <c r="A2089" s="23">
        <v>45132</v>
      </c>
      <c r="B2089" s="13" t="s">
        <v>3071</v>
      </c>
      <c r="C2089" s="13" t="s">
        <v>3070</v>
      </c>
      <c r="D2089" s="13" t="s">
        <v>74</v>
      </c>
    </row>
    <row r="2090" spans="1:4">
      <c r="A2090" s="23">
        <v>45132</v>
      </c>
      <c r="B2090" s="13" t="s">
        <v>3073</v>
      </c>
      <c r="C2090" s="13" t="s">
        <v>3072</v>
      </c>
      <c r="D2090" s="13" t="s">
        <v>5</v>
      </c>
    </row>
    <row r="2091" spans="1:4">
      <c r="A2091" s="23">
        <v>45132</v>
      </c>
      <c r="B2091" s="13" t="s">
        <v>3069</v>
      </c>
      <c r="C2091" s="13" t="s">
        <v>3074</v>
      </c>
      <c r="D2091" s="13" t="s">
        <v>353</v>
      </c>
    </row>
    <row r="2092" spans="1:4">
      <c r="A2092" s="23">
        <v>45132</v>
      </c>
      <c r="B2092" s="13" t="s">
        <v>3076</v>
      </c>
      <c r="C2092" s="13" t="s">
        <v>3075</v>
      </c>
      <c r="D2092" s="13" t="s">
        <v>5</v>
      </c>
    </row>
    <row r="2093" spans="1:4">
      <c r="A2093" s="23">
        <v>45132</v>
      </c>
      <c r="B2093" s="13" t="s">
        <v>3078</v>
      </c>
      <c r="C2093" s="13" t="s">
        <v>3077</v>
      </c>
      <c r="D2093" s="13" t="s">
        <v>5</v>
      </c>
    </row>
    <row r="2094" spans="1:4">
      <c r="A2094" s="23">
        <v>45132</v>
      </c>
      <c r="B2094" s="13" t="s">
        <v>3080</v>
      </c>
      <c r="C2094" s="13" t="s">
        <v>3079</v>
      </c>
      <c r="D2094" s="13" t="s">
        <v>74</v>
      </c>
    </row>
    <row r="2095" spans="1:4">
      <c r="A2095" s="23">
        <v>45132</v>
      </c>
      <c r="B2095" s="13" t="s">
        <v>3080</v>
      </c>
      <c r="C2095" s="13" t="s">
        <v>3079</v>
      </c>
      <c r="D2095" s="13" t="s">
        <v>74</v>
      </c>
    </row>
    <row r="2096" spans="1:4">
      <c r="A2096" s="23">
        <v>45132</v>
      </c>
      <c r="B2096" s="13" t="s">
        <v>3081</v>
      </c>
      <c r="C2096" s="13" t="s">
        <v>3070</v>
      </c>
      <c r="D2096" s="13" t="s">
        <v>74</v>
      </c>
    </row>
    <row r="2097" spans="1:4">
      <c r="A2097" s="23">
        <v>45132</v>
      </c>
      <c r="B2097" s="13" t="s">
        <v>3083</v>
      </c>
      <c r="C2097" s="13" t="s">
        <v>3082</v>
      </c>
      <c r="D2097" s="13" t="s">
        <v>353</v>
      </c>
    </row>
    <row r="2098" spans="1:4">
      <c r="A2098" s="23">
        <v>45204</v>
      </c>
      <c r="B2098" s="13" t="s">
        <v>3085</v>
      </c>
      <c r="C2098" s="13" t="s">
        <v>3084</v>
      </c>
      <c r="D2098" s="13" t="s">
        <v>74</v>
      </c>
    </row>
    <row r="2099" spans="1:4">
      <c r="A2099" s="23">
        <v>45133</v>
      </c>
      <c r="B2099" s="13" t="s">
        <v>3087</v>
      </c>
      <c r="C2099" s="13" t="s">
        <v>3086</v>
      </c>
      <c r="D2099" s="13" t="s">
        <v>353</v>
      </c>
    </row>
    <row r="2100" spans="1:4">
      <c r="A2100" s="23">
        <v>45133</v>
      </c>
      <c r="B2100" s="13" t="s">
        <v>3089</v>
      </c>
      <c r="C2100" s="13" t="s">
        <v>3088</v>
      </c>
      <c r="D2100" s="13" t="s">
        <v>353</v>
      </c>
    </row>
    <row r="2101" spans="1:4">
      <c r="A2101" s="23">
        <v>45133</v>
      </c>
      <c r="B2101" s="13" t="s">
        <v>3091</v>
      </c>
      <c r="C2101" s="13" t="s">
        <v>3090</v>
      </c>
      <c r="D2101" s="13" t="s">
        <v>353</v>
      </c>
    </row>
    <row r="2102" spans="1:4">
      <c r="A2102" s="23">
        <v>45133</v>
      </c>
      <c r="B2102" s="13" t="s">
        <v>3093</v>
      </c>
      <c r="C2102" s="13" t="s">
        <v>3092</v>
      </c>
      <c r="D2102" s="13" t="s">
        <v>353</v>
      </c>
    </row>
    <row r="2103" spans="1:4">
      <c r="A2103" s="23">
        <v>45133</v>
      </c>
      <c r="B2103" s="13" t="s">
        <v>3095</v>
      </c>
      <c r="C2103" s="13" t="s">
        <v>3094</v>
      </c>
      <c r="D2103" s="13" t="s">
        <v>24</v>
      </c>
    </row>
    <row r="2104" spans="1:4">
      <c r="A2104" s="23">
        <v>45134</v>
      </c>
      <c r="B2104" s="13" t="s">
        <v>3097</v>
      </c>
      <c r="C2104" s="13" t="s">
        <v>3096</v>
      </c>
      <c r="D2104" s="13" t="s">
        <v>81</v>
      </c>
    </row>
    <row r="2105" spans="1:4">
      <c r="A2105" s="23">
        <v>45134</v>
      </c>
      <c r="B2105" s="13" t="s">
        <v>3099</v>
      </c>
      <c r="C2105" s="13" t="s">
        <v>3098</v>
      </c>
      <c r="D2105" s="13" t="s">
        <v>81</v>
      </c>
    </row>
    <row r="2106" spans="1:4">
      <c r="A2106" s="23">
        <v>45134</v>
      </c>
      <c r="B2106" s="13" t="s">
        <v>3101</v>
      </c>
      <c r="C2106" s="13" t="s">
        <v>3100</v>
      </c>
      <c r="D2106" s="13" t="s">
        <v>5</v>
      </c>
    </row>
    <row r="2107" spans="1:4">
      <c r="A2107" s="23">
        <v>45134</v>
      </c>
      <c r="B2107" s="13" t="s">
        <v>3099</v>
      </c>
      <c r="C2107" s="13" t="s">
        <v>3102</v>
      </c>
      <c r="D2107" s="13" t="s">
        <v>81</v>
      </c>
    </row>
    <row r="2108" spans="1:4">
      <c r="A2108" s="23">
        <v>45134</v>
      </c>
      <c r="B2108" s="13" t="s">
        <v>3104</v>
      </c>
      <c r="C2108" s="13" t="s">
        <v>3103</v>
      </c>
      <c r="D2108" s="13" t="s">
        <v>5</v>
      </c>
    </row>
    <row r="2109" spans="1:4">
      <c r="A2109" s="23">
        <v>45135</v>
      </c>
      <c r="B2109" s="13" t="s">
        <v>3105</v>
      </c>
      <c r="C2109" s="13" t="s">
        <v>273</v>
      </c>
      <c r="D2109" s="13" t="s">
        <v>81</v>
      </c>
    </row>
    <row r="2110" spans="1:4">
      <c r="A2110" s="23">
        <v>45135</v>
      </c>
      <c r="B2110" s="13" t="s">
        <v>3107</v>
      </c>
      <c r="C2110" s="13" t="s">
        <v>3106</v>
      </c>
      <c r="D2110" s="13" t="s">
        <v>81</v>
      </c>
    </row>
    <row r="2111" spans="1:4">
      <c r="A2111" s="23">
        <v>45135</v>
      </c>
      <c r="B2111" s="13" t="s">
        <v>3109</v>
      </c>
      <c r="C2111" s="13" t="s">
        <v>3108</v>
      </c>
      <c r="D2111" s="13" t="s">
        <v>353</v>
      </c>
    </row>
    <row r="2112" spans="1:4">
      <c r="A2112" s="23">
        <v>45135</v>
      </c>
      <c r="B2112" s="13" t="s">
        <v>3110</v>
      </c>
      <c r="C2112" s="13" t="s">
        <v>3106</v>
      </c>
      <c r="D2112" s="13" t="s">
        <v>81</v>
      </c>
    </row>
    <row r="2113" spans="1:4">
      <c r="A2113" s="23">
        <v>45136</v>
      </c>
      <c r="B2113" s="13" t="s">
        <v>3112</v>
      </c>
      <c r="C2113" s="13" t="s">
        <v>3111</v>
      </c>
      <c r="D2113" s="13" t="s">
        <v>5</v>
      </c>
    </row>
    <row r="2114" spans="1:4">
      <c r="A2114" s="23">
        <v>45136</v>
      </c>
      <c r="B2114" s="13" t="s">
        <v>3112</v>
      </c>
      <c r="C2114" s="13" t="s">
        <v>3111</v>
      </c>
      <c r="D2114" s="13" t="s">
        <v>5</v>
      </c>
    </row>
    <row r="2115" spans="1:4">
      <c r="A2115" s="23">
        <v>45138</v>
      </c>
      <c r="B2115" s="13" t="s">
        <v>3114</v>
      </c>
      <c r="C2115" s="13" t="s">
        <v>3113</v>
      </c>
      <c r="D2115" s="13" t="s">
        <v>5</v>
      </c>
    </row>
    <row r="2116" spans="1:4">
      <c r="A2116" s="23">
        <v>45139</v>
      </c>
      <c r="B2116" s="13" t="s">
        <v>3116</v>
      </c>
      <c r="C2116" s="13" t="s">
        <v>3115</v>
      </c>
      <c r="D2116" s="13" t="s">
        <v>510</v>
      </c>
    </row>
    <row r="2117" spans="1:4">
      <c r="A2117" s="23">
        <v>45139</v>
      </c>
      <c r="B2117" s="13" t="s">
        <v>3118</v>
      </c>
      <c r="C2117" s="13" t="s">
        <v>3117</v>
      </c>
      <c r="D2117" s="13" t="s">
        <v>510</v>
      </c>
    </row>
    <row r="2118" spans="1:4">
      <c r="A2118" s="23">
        <v>45139</v>
      </c>
      <c r="B2118" s="13" t="s">
        <v>3120</v>
      </c>
      <c r="C2118" s="13" t="s">
        <v>3119</v>
      </c>
      <c r="D2118" s="13" t="s">
        <v>24</v>
      </c>
    </row>
    <row r="2119" spans="1:4">
      <c r="A2119" s="23">
        <v>45139</v>
      </c>
      <c r="B2119" s="13" t="s">
        <v>3122</v>
      </c>
      <c r="C2119" s="13" t="s">
        <v>3121</v>
      </c>
      <c r="D2119" s="13" t="s">
        <v>16</v>
      </c>
    </row>
    <row r="2120" spans="1:4">
      <c r="A2120" s="23">
        <v>45139</v>
      </c>
      <c r="B2120" s="13" t="s">
        <v>3122</v>
      </c>
      <c r="C2120" s="13" t="s">
        <v>3121</v>
      </c>
      <c r="D2120" s="13" t="s">
        <v>16</v>
      </c>
    </row>
    <row r="2121" spans="1:4">
      <c r="A2121" s="23">
        <v>45140</v>
      </c>
      <c r="B2121" s="13" t="s">
        <v>3124</v>
      </c>
      <c r="C2121" s="13" t="s">
        <v>3123</v>
      </c>
      <c r="D2121" s="13" t="s">
        <v>510</v>
      </c>
    </row>
    <row r="2122" spans="1:4">
      <c r="A2122" s="23">
        <v>45140</v>
      </c>
      <c r="B2122" s="13" t="s">
        <v>3126</v>
      </c>
      <c r="C2122" s="13" t="s">
        <v>3125</v>
      </c>
      <c r="D2122" s="13" t="s">
        <v>510</v>
      </c>
    </row>
    <row r="2123" spans="1:4">
      <c r="A2123" s="23">
        <v>45140</v>
      </c>
      <c r="B2123" s="13" t="s">
        <v>3128</v>
      </c>
      <c r="C2123" s="13" t="s">
        <v>3127</v>
      </c>
      <c r="D2123" s="13" t="s">
        <v>109</v>
      </c>
    </row>
    <row r="2124" spans="1:4">
      <c r="A2124" s="23">
        <v>45141</v>
      </c>
      <c r="B2124" s="13" t="s">
        <v>3130</v>
      </c>
      <c r="C2124" s="13" t="s">
        <v>3129</v>
      </c>
      <c r="D2124" s="13" t="s">
        <v>74</v>
      </c>
    </row>
    <row r="2125" spans="1:4">
      <c r="A2125" s="23">
        <v>45141</v>
      </c>
      <c r="B2125" s="13" t="s">
        <v>3131</v>
      </c>
      <c r="C2125" s="13" t="s">
        <v>3129</v>
      </c>
      <c r="D2125" s="13" t="s">
        <v>74</v>
      </c>
    </row>
    <row r="2126" spans="1:4">
      <c r="A2126" s="23">
        <v>45141</v>
      </c>
      <c r="B2126" s="13" t="s">
        <v>3133</v>
      </c>
      <c r="C2126" s="13" t="s">
        <v>3132</v>
      </c>
      <c r="D2126" s="13" t="s">
        <v>19</v>
      </c>
    </row>
    <row r="2127" spans="1:4">
      <c r="A2127" s="23">
        <v>45141</v>
      </c>
      <c r="B2127" s="13" t="s">
        <v>3135</v>
      </c>
      <c r="C2127" s="13" t="s">
        <v>3134</v>
      </c>
      <c r="D2127" s="13" t="s">
        <v>8</v>
      </c>
    </row>
    <row r="2128" spans="1:4">
      <c r="A2128" s="23">
        <v>45141</v>
      </c>
      <c r="B2128" s="13" t="s">
        <v>3137</v>
      </c>
      <c r="C2128" s="13" t="s">
        <v>3136</v>
      </c>
      <c r="D2128" s="13" t="s">
        <v>510</v>
      </c>
    </row>
    <row r="2129" spans="1:4">
      <c r="A2129" s="23">
        <v>45141</v>
      </c>
      <c r="B2129" s="13" t="s">
        <v>3139</v>
      </c>
      <c r="C2129" s="13" t="s">
        <v>3138</v>
      </c>
      <c r="D2129" s="13" t="s">
        <v>510</v>
      </c>
    </row>
    <row r="2130" spans="1:4">
      <c r="A2130" s="23">
        <v>45141</v>
      </c>
      <c r="B2130" s="13" t="s">
        <v>3141</v>
      </c>
      <c r="C2130" s="13" t="s">
        <v>3140</v>
      </c>
      <c r="D2130" s="13" t="s">
        <v>8</v>
      </c>
    </row>
    <row r="2131" spans="1:4">
      <c r="A2131" s="23">
        <v>45141</v>
      </c>
      <c r="B2131" s="13" t="s">
        <v>3135</v>
      </c>
      <c r="C2131" s="13" t="s">
        <v>3134</v>
      </c>
      <c r="D2131" s="13" t="s">
        <v>8</v>
      </c>
    </row>
    <row r="2132" spans="1:4">
      <c r="A2132" s="23">
        <v>45141</v>
      </c>
      <c r="B2132" s="13" t="s">
        <v>3143</v>
      </c>
      <c r="C2132" s="13" t="s">
        <v>3142</v>
      </c>
      <c r="D2132" s="13" t="s">
        <v>74</v>
      </c>
    </row>
    <row r="2133" spans="1:4">
      <c r="A2133" s="23">
        <v>45142</v>
      </c>
      <c r="B2133" s="13" t="s">
        <v>3145</v>
      </c>
      <c r="C2133" s="13" t="s">
        <v>3144</v>
      </c>
      <c r="D2133" s="13" t="s">
        <v>8</v>
      </c>
    </row>
    <row r="2134" spans="1:4">
      <c r="A2134" s="23">
        <v>45142</v>
      </c>
      <c r="B2134" s="13" t="s">
        <v>3147</v>
      </c>
      <c r="C2134" s="13" t="s">
        <v>3146</v>
      </c>
      <c r="D2134" s="13" t="s">
        <v>34</v>
      </c>
    </row>
    <row r="2135" spans="1:4">
      <c r="A2135" s="23">
        <v>45142</v>
      </c>
      <c r="B2135" s="13" t="s">
        <v>3149</v>
      </c>
      <c r="C2135" s="13" t="s">
        <v>3148</v>
      </c>
      <c r="D2135" s="13" t="s">
        <v>24</v>
      </c>
    </row>
    <row r="2136" spans="1:4">
      <c r="A2136" s="23">
        <v>45142</v>
      </c>
      <c r="B2136" s="13" t="s">
        <v>3151</v>
      </c>
      <c r="C2136" s="13" t="s">
        <v>3150</v>
      </c>
      <c r="D2136" s="13" t="s">
        <v>34</v>
      </c>
    </row>
    <row r="2137" spans="1:4">
      <c r="A2137" s="23">
        <v>45142</v>
      </c>
      <c r="B2137" s="13" t="s">
        <v>3153</v>
      </c>
      <c r="C2137" s="13" t="s">
        <v>3152</v>
      </c>
      <c r="D2137" s="13" t="s">
        <v>29</v>
      </c>
    </row>
    <row r="2138" spans="1:4">
      <c r="A2138" s="23">
        <v>45142</v>
      </c>
      <c r="B2138" s="13" t="s">
        <v>3155</v>
      </c>
      <c r="C2138" s="13" t="s">
        <v>3154</v>
      </c>
      <c r="D2138" s="13" t="s">
        <v>164</v>
      </c>
    </row>
    <row r="2139" spans="1:4">
      <c r="A2139" s="23">
        <v>45142</v>
      </c>
      <c r="B2139" s="13" t="s">
        <v>3149</v>
      </c>
      <c r="C2139" s="13" t="s">
        <v>3156</v>
      </c>
      <c r="D2139" s="13" t="s">
        <v>24</v>
      </c>
    </row>
    <row r="2140" spans="1:4">
      <c r="A2140" s="23">
        <v>45142</v>
      </c>
      <c r="B2140" s="13" t="s">
        <v>3157</v>
      </c>
      <c r="C2140" s="13" t="s">
        <v>3129</v>
      </c>
      <c r="D2140" s="13" t="s">
        <v>74</v>
      </c>
    </row>
    <row r="2141" spans="1:4">
      <c r="A2141" s="23">
        <v>45145</v>
      </c>
      <c r="B2141" s="13" t="s">
        <v>3159</v>
      </c>
      <c r="C2141" s="13" t="s">
        <v>3158</v>
      </c>
      <c r="D2141" s="13" t="s">
        <v>74</v>
      </c>
    </row>
    <row r="2142" spans="1:4">
      <c r="A2142" s="23">
        <v>45212</v>
      </c>
      <c r="B2142" s="13" t="s">
        <v>3161</v>
      </c>
      <c r="C2142" s="13" t="s">
        <v>3160</v>
      </c>
      <c r="D2142" s="13" t="s">
        <v>34</v>
      </c>
    </row>
    <row r="2143" spans="1:4">
      <c r="A2143" s="23">
        <v>45145</v>
      </c>
      <c r="B2143" s="13" t="s">
        <v>3163</v>
      </c>
      <c r="C2143" s="13" t="s">
        <v>3162</v>
      </c>
      <c r="D2143" s="13" t="s">
        <v>16</v>
      </c>
    </row>
    <row r="2144" spans="1:4">
      <c r="A2144" s="23">
        <v>45145</v>
      </c>
      <c r="B2144" s="13" t="s">
        <v>3164</v>
      </c>
      <c r="C2144" s="13" t="s">
        <v>83</v>
      </c>
      <c r="D2144" s="13" t="s">
        <v>81</v>
      </c>
    </row>
    <row r="2145" spans="1:4">
      <c r="A2145" s="23">
        <v>45145</v>
      </c>
      <c r="B2145" s="13" t="s">
        <v>3165</v>
      </c>
      <c r="C2145" s="13" t="s">
        <v>231</v>
      </c>
      <c r="D2145" s="13" t="s">
        <v>81</v>
      </c>
    </row>
    <row r="2146" spans="1:4">
      <c r="A2146" s="23">
        <v>45145</v>
      </c>
      <c r="B2146" s="13" t="s">
        <v>3167</v>
      </c>
      <c r="C2146" s="13" t="s">
        <v>3166</v>
      </c>
      <c r="D2146" s="13" t="s">
        <v>5</v>
      </c>
    </row>
    <row r="2147" spans="1:4">
      <c r="A2147" s="23">
        <v>45145</v>
      </c>
      <c r="B2147" s="13" t="s">
        <v>3168</v>
      </c>
      <c r="C2147" s="13" t="s">
        <v>312</v>
      </c>
      <c r="D2147" s="13" t="s">
        <v>81</v>
      </c>
    </row>
    <row r="2148" spans="1:4">
      <c r="A2148" s="23">
        <v>45145</v>
      </c>
      <c r="B2148" s="13" t="s">
        <v>3170</v>
      </c>
      <c r="C2148" s="13" t="s">
        <v>3169</v>
      </c>
      <c r="D2148" s="13" t="s">
        <v>24</v>
      </c>
    </row>
    <row r="2149" spans="1:4">
      <c r="A2149" s="23">
        <v>45145</v>
      </c>
      <c r="B2149" s="13" t="s">
        <v>3171</v>
      </c>
      <c r="C2149" s="13" t="s">
        <v>3158</v>
      </c>
      <c r="D2149" s="13" t="s">
        <v>74</v>
      </c>
    </row>
    <row r="2150" spans="1:4">
      <c r="A2150" s="23">
        <v>45212</v>
      </c>
      <c r="B2150" s="13" t="s">
        <v>3173</v>
      </c>
      <c r="C2150" s="13" t="s">
        <v>3172</v>
      </c>
      <c r="D2150" s="13" t="s">
        <v>34</v>
      </c>
    </row>
    <row r="2151" spans="1:4">
      <c r="A2151" s="23">
        <v>45204</v>
      </c>
      <c r="B2151" s="13" t="s">
        <v>3174</v>
      </c>
      <c r="C2151" s="13" t="s">
        <v>3084</v>
      </c>
      <c r="D2151" s="13" t="s">
        <v>74</v>
      </c>
    </row>
    <row r="2152" spans="1:4">
      <c r="A2152" s="23">
        <v>45145</v>
      </c>
      <c r="B2152" s="13" t="s">
        <v>3176</v>
      </c>
      <c r="C2152" s="13" t="s">
        <v>3175</v>
      </c>
      <c r="D2152" s="13" t="s">
        <v>8</v>
      </c>
    </row>
    <row r="2153" spans="1:4">
      <c r="A2153" s="23">
        <v>45146</v>
      </c>
      <c r="B2153" s="13" t="s">
        <v>3178</v>
      </c>
      <c r="C2153" s="13" t="s">
        <v>3177</v>
      </c>
      <c r="D2153" s="13" t="s">
        <v>81</v>
      </c>
    </row>
    <row r="2154" spans="1:4">
      <c r="A2154" s="23">
        <v>45146</v>
      </c>
      <c r="B2154" s="13" t="s">
        <v>3179</v>
      </c>
      <c r="C2154" s="13" t="s">
        <v>312</v>
      </c>
      <c r="D2154" s="13" t="s">
        <v>81</v>
      </c>
    </row>
    <row r="2155" spans="1:4">
      <c r="A2155" s="23">
        <v>45146</v>
      </c>
      <c r="B2155" s="13" t="s">
        <v>3181</v>
      </c>
      <c r="C2155" s="13" t="s">
        <v>3180</v>
      </c>
      <c r="D2155" s="13" t="s">
        <v>164</v>
      </c>
    </row>
    <row r="2156" spans="1:4">
      <c r="A2156" s="23">
        <v>45202</v>
      </c>
      <c r="B2156" s="13" t="s">
        <v>3183</v>
      </c>
      <c r="C2156" s="13" t="s">
        <v>3182</v>
      </c>
      <c r="D2156" s="13" t="s">
        <v>74</v>
      </c>
    </row>
    <row r="2157" spans="1:4">
      <c r="A2157" s="23">
        <v>45146</v>
      </c>
      <c r="B2157" s="13" t="s">
        <v>3184</v>
      </c>
      <c r="C2157" s="13" t="s">
        <v>2920</v>
      </c>
      <c r="D2157" s="13" t="s">
        <v>74</v>
      </c>
    </row>
    <row r="2158" spans="1:4">
      <c r="A2158" s="23">
        <v>45146</v>
      </c>
      <c r="B2158" s="13" t="s">
        <v>3185</v>
      </c>
      <c r="C2158" s="13" t="s">
        <v>2029</v>
      </c>
      <c r="D2158" s="13" t="s">
        <v>81</v>
      </c>
    </row>
    <row r="2159" spans="1:4">
      <c r="A2159" s="23">
        <v>45146</v>
      </c>
      <c r="B2159" s="13" t="s">
        <v>3187</v>
      </c>
      <c r="C2159" s="13" t="s">
        <v>3186</v>
      </c>
      <c r="D2159" s="13" t="s">
        <v>81</v>
      </c>
    </row>
    <row r="2160" spans="1:4">
      <c r="A2160" s="23">
        <v>45146</v>
      </c>
      <c r="B2160" s="13" t="s">
        <v>3189</v>
      </c>
      <c r="C2160" s="13" t="s">
        <v>3188</v>
      </c>
      <c r="D2160" s="13" t="s">
        <v>81</v>
      </c>
    </row>
    <row r="2161" spans="1:4">
      <c r="A2161" s="23">
        <v>45146</v>
      </c>
      <c r="B2161" s="13" t="s">
        <v>3190</v>
      </c>
      <c r="C2161" s="13" t="s">
        <v>1763</v>
      </c>
      <c r="D2161" s="13" t="s">
        <v>81</v>
      </c>
    </row>
    <row r="2162" spans="1:4">
      <c r="A2162" s="23">
        <v>45147</v>
      </c>
      <c r="B2162" s="13" t="s">
        <v>3192</v>
      </c>
      <c r="C2162" s="13" t="s">
        <v>3191</v>
      </c>
      <c r="D2162" s="13" t="s">
        <v>5</v>
      </c>
    </row>
    <row r="2163" spans="1:4">
      <c r="A2163" s="23">
        <v>45147</v>
      </c>
      <c r="B2163" s="13" t="s">
        <v>3194</v>
      </c>
      <c r="C2163" s="13" t="s">
        <v>3193</v>
      </c>
      <c r="D2163" s="13" t="s">
        <v>5</v>
      </c>
    </row>
    <row r="2164" spans="1:4">
      <c r="A2164" s="23">
        <v>45147</v>
      </c>
      <c r="B2164" s="13" t="s">
        <v>3196</v>
      </c>
      <c r="C2164" s="13" t="s">
        <v>3195</v>
      </c>
      <c r="D2164" s="13" t="s">
        <v>5</v>
      </c>
    </row>
    <row r="2165" spans="1:4">
      <c r="A2165" s="23">
        <v>45148</v>
      </c>
      <c r="B2165" s="13" t="s">
        <v>3198</v>
      </c>
      <c r="C2165" s="13" t="s">
        <v>3197</v>
      </c>
      <c r="D2165" s="13" t="s">
        <v>16</v>
      </c>
    </row>
    <row r="2166" spans="1:4">
      <c r="A2166" s="23">
        <v>45148</v>
      </c>
      <c r="B2166" s="13" t="s">
        <v>3200</v>
      </c>
      <c r="C2166" s="13" t="s">
        <v>3199</v>
      </c>
      <c r="D2166" s="13" t="s">
        <v>29</v>
      </c>
    </row>
    <row r="2167" spans="1:4">
      <c r="A2167" s="23">
        <v>45148</v>
      </c>
      <c r="B2167" s="13" t="s">
        <v>3202</v>
      </c>
      <c r="C2167" s="13" t="s">
        <v>3201</v>
      </c>
      <c r="D2167" s="13" t="s">
        <v>19</v>
      </c>
    </row>
    <row r="2168" spans="1:4">
      <c r="A2168" s="23">
        <v>45148</v>
      </c>
      <c r="B2168" s="13" t="s">
        <v>3203</v>
      </c>
      <c r="C2168" s="13" t="s">
        <v>3201</v>
      </c>
      <c r="D2168" s="13" t="s">
        <v>19</v>
      </c>
    </row>
    <row r="2169" spans="1:4">
      <c r="A2169" s="23">
        <v>45148</v>
      </c>
      <c r="B2169" s="13" t="s">
        <v>3204</v>
      </c>
      <c r="C2169" s="13" t="s">
        <v>3197</v>
      </c>
      <c r="D2169" s="13" t="s">
        <v>16</v>
      </c>
    </row>
    <row r="2170" spans="1:4">
      <c r="A2170" s="23">
        <v>45148</v>
      </c>
      <c r="B2170" s="13" t="s">
        <v>3206</v>
      </c>
      <c r="C2170" s="13" t="s">
        <v>3205</v>
      </c>
      <c r="D2170" s="13" t="s">
        <v>109</v>
      </c>
    </row>
    <row r="2171" spans="1:4">
      <c r="A2171" s="23">
        <v>45148</v>
      </c>
      <c r="B2171" s="13" t="s">
        <v>3208</v>
      </c>
      <c r="C2171" s="13" t="s">
        <v>3207</v>
      </c>
      <c r="D2171" s="13" t="s">
        <v>24</v>
      </c>
    </row>
    <row r="2172" spans="1:4">
      <c r="A2172" s="23">
        <v>45149</v>
      </c>
      <c r="B2172" s="13" t="s">
        <v>3210</v>
      </c>
      <c r="C2172" s="13" t="s">
        <v>3209</v>
      </c>
      <c r="D2172" s="13" t="s">
        <v>353</v>
      </c>
    </row>
    <row r="2173" spans="1:4">
      <c r="A2173" s="23">
        <v>45149</v>
      </c>
      <c r="B2173" s="13" t="s">
        <v>3212</v>
      </c>
      <c r="C2173" s="13" t="s">
        <v>3211</v>
      </c>
      <c r="D2173" s="13" t="s">
        <v>74</v>
      </c>
    </row>
    <row r="2174" spans="1:4">
      <c r="A2174" s="23">
        <v>45149</v>
      </c>
      <c r="B2174" s="13" t="s">
        <v>3214</v>
      </c>
      <c r="C2174" s="13" t="s">
        <v>3213</v>
      </c>
      <c r="D2174" s="13" t="s">
        <v>216</v>
      </c>
    </row>
    <row r="2175" spans="1:4">
      <c r="A2175" s="23">
        <v>45149</v>
      </c>
      <c r="B2175" s="13" t="s">
        <v>3216</v>
      </c>
      <c r="C2175" s="13" t="s">
        <v>3215</v>
      </c>
      <c r="D2175" s="13" t="s">
        <v>216</v>
      </c>
    </row>
    <row r="2176" spans="1:4">
      <c r="A2176" s="23">
        <v>45149</v>
      </c>
      <c r="B2176" s="13" t="s">
        <v>3218</v>
      </c>
      <c r="C2176" s="13" t="s">
        <v>3217</v>
      </c>
      <c r="D2176" s="13" t="s">
        <v>24</v>
      </c>
    </row>
    <row r="2177" spans="1:4">
      <c r="A2177" s="23">
        <v>45149</v>
      </c>
      <c r="B2177" s="13" t="s">
        <v>3220</v>
      </c>
      <c r="C2177" s="13" t="s">
        <v>3219</v>
      </c>
      <c r="D2177" s="13" t="s">
        <v>510</v>
      </c>
    </row>
    <row r="2178" spans="1:4">
      <c r="A2178" s="23">
        <v>45149</v>
      </c>
      <c r="B2178" s="13" t="s">
        <v>3222</v>
      </c>
      <c r="C2178" s="13" t="s">
        <v>3221</v>
      </c>
      <c r="D2178" s="13" t="s">
        <v>510</v>
      </c>
    </row>
    <row r="2179" spans="1:4">
      <c r="A2179" s="23">
        <v>45150</v>
      </c>
      <c r="B2179" s="13" t="s">
        <v>3224</v>
      </c>
      <c r="C2179" s="13" t="s">
        <v>3223</v>
      </c>
      <c r="D2179" s="13" t="s">
        <v>29</v>
      </c>
    </row>
    <row r="2180" spans="1:4">
      <c r="A2180" s="23">
        <v>45150</v>
      </c>
      <c r="B2180" s="13" t="s">
        <v>3226</v>
      </c>
      <c r="C2180" s="13" t="s">
        <v>3225</v>
      </c>
      <c r="D2180" s="13" t="s">
        <v>5</v>
      </c>
    </row>
    <row r="2181" spans="1:4">
      <c r="A2181" s="23">
        <v>45150</v>
      </c>
      <c r="B2181" s="13" t="s">
        <v>3227</v>
      </c>
      <c r="C2181" s="13" t="s">
        <v>312</v>
      </c>
      <c r="D2181" s="13" t="s">
        <v>81</v>
      </c>
    </row>
    <row r="2182" spans="1:4">
      <c r="A2182" s="23">
        <v>45150</v>
      </c>
      <c r="B2182" s="13" t="s">
        <v>3229</v>
      </c>
      <c r="C2182" s="13" t="s">
        <v>3228</v>
      </c>
      <c r="D2182" s="13" t="s">
        <v>29</v>
      </c>
    </row>
    <row r="2183" spans="1:4">
      <c r="A2183" s="23">
        <v>45150</v>
      </c>
      <c r="B2183" s="13" t="s">
        <v>3230</v>
      </c>
      <c r="C2183" s="13" t="s">
        <v>2957</v>
      </c>
      <c r="D2183" s="13" t="s">
        <v>81</v>
      </c>
    </row>
    <row r="2184" spans="1:4">
      <c r="A2184" s="23">
        <v>45150</v>
      </c>
      <c r="B2184" s="13" t="s">
        <v>3232</v>
      </c>
      <c r="C2184" s="13" t="s">
        <v>3231</v>
      </c>
      <c r="D2184" s="13" t="s">
        <v>5</v>
      </c>
    </row>
    <row r="2185" spans="1:4">
      <c r="A2185" s="23">
        <v>45152</v>
      </c>
      <c r="B2185" s="13" t="s">
        <v>3234</v>
      </c>
      <c r="C2185" s="13" t="s">
        <v>3233</v>
      </c>
      <c r="D2185" s="13" t="s">
        <v>8</v>
      </c>
    </row>
    <row r="2186" spans="1:4">
      <c r="A2186" s="23">
        <v>45152</v>
      </c>
      <c r="B2186" s="13" t="s">
        <v>3236</v>
      </c>
      <c r="C2186" s="13" t="s">
        <v>3235</v>
      </c>
      <c r="D2186" s="13" t="s">
        <v>74</v>
      </c>
    </row>
    <row r="2187" spans="1:4">
      <c r="A2187" s="23">
        <v>45152</v>
      </c>
      <c r="B2187" s="13" t="s">
        <v>3238</v>
      </c>
      <c r="C2187" s="13" t="s">
        <v>3237</v>
      </c>
      <c r="D2187" s="13" t="s">
        <v>19</v>
      </c>
    </row>
    <row r="2188" spans="1:4">
      <c r="A2188" s="23">
        <v>45152</v>
      </c>
      <c r="B2188" s="13" t="s">
        <v>3240</v>
      </c>
      <c r="C2188" s="13" t="s">
        <v>3239</v>
      </c>
      <c r="D2188" s="13" t="s">
        <v>29</v>
      </c>
    </row>
    <row r="2189" spans="1:4">
      <c r="A2189" s="23">
        <v>45152</v>
      </c>
      <c r="B2189" s="13" t="s">
        <v>3241</v>
      </c>
      <c r="C2189" s="13" t="s">
        <v>312</v>
      </c>
      <c r="D2189" s="13" t="s">
        <v>81</v>
      </c>
    </row>
    <row r="2190" spans="1:4">
      <c r="A2190" s="23">
        <v>45152</v>
      </c>
      <c r="B2190" s="13" t="s">
        <v>3243</v>
      </c>
      <c r="C2190" s="13" t="s">
        <v>3242</v>
      </c>
      <c r="D2190" s="13" t="s">
        <v>109</v>
      </c>
    </row>
    <row r="2191" spans="1:4">
      <c r="A2191" s="23">
        <v>45154</v>
      </c>
      <c r="B2191" s="13" t="s">
        <v>3245</v>
      </c>
      <c r="C2191" s="13" t="s">
        <v>3244</v>
      </c>
      <c r="D2191" s="13" t="s">
        <v>353</v>
      </c>
    </row>
    <row r="2192" spans="1:4">
      <c r="A2192" s="23">
        <v>45154</v>
      </c>
      <c r="B2192" s="13" t="s">
        <v>3247</v>
      </c>
      <c r="C2192" s="13" t="s">
        <v>3246</v>
      </c>
      <c r="D2192" s="13" t="s">
        <v>74</v>
      </c>
    </row>
    <row r="2193" spans="1:4">
      <c r="A2193" s="23">
        <v>45154</v>
      </c>
      <c r="B2193" s="13" t="s">
        <v>3249</v>
      </c>
      <c r="C2193" s="13" t="s">
        <v>3248</v>
      </c>
      <c r="D2193" s="13" t="s">
        <v>353</v>
      </c>
    </row>
    <row r="2194" spans="1:4">
      <c r="A2194" s="23">
        <v>45154</v>
      </c>
      <c r="B2194" s="13" t="s">
        <v>3251</v>
      </c>
      <c r="C2194" s="13" t="s">
        <v>3250</v>
      </c>
      <c r="D2194" s="13" t="s">
        <v>29</v>
      </c>
    </row>
    <row r="2195" spans="1:4">
      <c r="A2195" s="23">
        <v>45154</v>
      </c>
      <c r="B2195" s="13" t="s">
        <v>3253</v>
      </c>
      <c r="C2195" s="13" t="s">
        <v>3252</v>
      </c>
      <c r="D2195" s="13" t="s">
        <v>74</v>
      </c>
    </row>
    <row r="2196" spans="1:4">
      <c r="A2196" s="23">
        <v>45154</v>
      </c>
      <c r="B2196" s="13" t="s">
        <v>3255</v>
      </c>
      <c r="C2196" s="13" t="s">
        <v>3254</v>
      </c>
      <c r="D2196" s="13" t="s">
        <v>74</v>
      </c>
    </row>
    <row r="2197" spans="1:4">
      <c r="A2197" s="23">
        <v>45154</v>
      </c>
      <c r="B2197" s="13" t="s">
        <v>3257</v>
      </c>
      <c r="C2197" s="13" t="s">
        <v>3256</v>
      </c>
      <c r="D2197" s="13" t="s">
        <v>109</v>
      </c>
    </row>
    <row r="2198" spans="1:4">
      <c r="A2198" s="23">
        <v>45155</v>
      </c>
      <c r="B2198" s="13" t="s">
        <v>3259</v>
      </c>
      <c r="C2198" s="13" t="s">
        <v>3258</v>
      </c>
      <c r="D2198" s="13" t="s">
        <v>8</v>
      </c>
    </row>
    <row r="2199" spans="1:4">
      <c r="A2199" s="23">
        <v>45155</v>
      </c>
      <c r="B2199" s="13" t="s">
        <v>3261</v>
      </c>
      <c r="C2199" s="13" t="s">
        <v>3260</v>
      </c>
      <c r="D2199" s="13" t="s">
        <v>8</v>
      </c>
    </row>
    <row r="2200" spans="1:4">
      <c r="A2200" s="23">
        <v>45155</v>
      </c>
      <c r="B2200" s="13" t="s">
        <v>3263</v>
      </c>
      <c r="C2200" s="13" t="s">
        <v>3262</v>
      </c>
      <c r="D2200" s="13" t="s">
        <v>5</v>
      </c>
    </row>
    <row r="2201" spans="1:4">
      <c r="A2201" s="23">
        <v>45155</v>
      </c>
      <c r="B2201" s="13" t="s">
        <v>3265</v>
      </c>
      <c r="C2201" s="13" t="s">
        <v>3264</v>
      </c>
      <c r="D2201" s="13" t="s">
        <v>5</v>
      </c>
    </row>
    <row r="2202" spans="1:4">
      <c r="A2202" s="23">
        <v>45155</v>
      </c>
      <c r="B2202" s="13" t="s">
        <v>3266</v>
      </c>
      <c r="C2202" s="13" t="s">
        <v>3231</v>
      </c>
      <c r="D2202" s="13" t="s">
        <v>5</v>
      </c>
    </row>
    <row r="2203" spans="1:4">
      <c r="A2203" s="23">
        <v>45155</v>
      </c>
      <c r="B2203" s="13" t="s">
        <v>3268</v>
      </c>
      <c r="C2203" s="13" t="s">
        <v>3267</v>
      </c>
      <c r="D2203" s="13" t="s">
        <v>353</v>
      </c>
    </row>
    <row r="2204" spans="1:4">
      <c r="A2204" s="23">
        <v>45155</v>
      </c>
      <c r="B2204" s="13" t="s">
        <v>3270</v>
      </c>
      <c r="C2204" s="13" t="s">
        <v>3269</v>
      </c>
      <c r="D2204" s="13" t="s">
        <v>74</v>
      </c>
    </row>
    <row r="2205" spans="1:4">
      <c r="A2205" s="23">
        <v>45156</v>
      </c>
      <c r="B2205" s="13" t="s">
        <v>3272</v>
      </c>
      <c r="C2205" s="13" t="s">
        <v>3271</v>
      </c>
      <c r="D2205" s="13" t="s">
        <v>345</v>
      </c>
    </row>
    <row r="2206" spans="1:4">
      <c r="A2206" s="23">
        <v>45156</v>
      </c>
      <c r="B2206" s="13" t="s">
        <v>3274</v>
      </c>
      <c r="C2206" s="13" t="s">
        <v>3273</v>
      </c>
      <c r="D2206" s="13" t="s">
        <v>16</v>
      </c>
    </row>
    <row r="2207" spans="1:4">
      <c r="A2207" s="23">
        <v>45156</v>
      </c>
      <c r="B2207" s="13" t="s">
        <v>3276</v>
      </c>
      <c r="C2207" s="13" t="s">
        <v>3275</v>
      </c>
      <c r="D2207" s="13" t="s">
        <v>510</v>
      </c>
    </row>
    <row r="2208" spans="1:4">
      <c r="A2208" s="23">
        <v>45156</v>
      </c>
      <c r="B2208" s="13" t="s">
        <v>3278</v>
      </c>
      <c r="C2208" s="13" t="s">
        <v>3277</v>
      </c>
      <c r="D2208" s="13" t="s">
        <v>510</v>
      </c>
    </row>
    <row r="2209" spans="1:4">
      <c r="A2209" s="23">
        <v>45156</v>
      </c>
      <c r="B2209" s="13" t="s">
        <v>3280</v>
      </c>
      <c r="C2209" s="13" t="s">
        <v>3279</v>
      </c>
      <c r="D2209" s="13" t="s">
        <v>11</v>
      </c>
    </row>
    <row r="2210" spans="1:4">
      <c r="A2210" s="23">
        <v>45159</v>
      </c>
      <c r="B2210" s="13" t="s">
        <v>3282</v>
      </c>
      <c r="C2210" s="13" t="s">
        <v>3281</v>
      </c>
      <c r="D2210" s="13" t="s">
        <v>24</v>
      </c>
    </row>
    <row r="2211" spans="1:4">
      <c r="A2211" s="23">
        <v>45159</v>
      </c>
      <c r="B2211" s="13" t="s">
        <v>3284</v>
      </c>
      <c r="C2211" s="13" t="s">
        <v>3283</v>
      </c>
      <c r="D2211" s="13" t="s">
        <v>34</v>
      </c>
    </row>
    <row r="2212" spans="1:4">
      <c r="A2212" s="23">
        <v>45159</v>
      </c>
      <c r="B2212" s="13" t="s">
        <v>3286</v>
      </c>
      <c r="C2212" s="13" t="s">
        <v>3285</v>
      </c>
      <c r="D2212" s="13" t="s">
        <v>353</v>
      </c>
    </row>
    <row r="2213" spans="1:4">
      <c r="A2213" s="23">
        <v>45159</v>
      </c>
      <c r="B2213" s="13" t="s">
        <v>3288</v>
      </c>
      <c r="C2213" s="13" t="s">
        <v>3287</v>
      </c>
      <c r="D2213" s="13" t="s">
        <v>353</v>
      </c>
    </row>
    <row r="2214" spans="1:4">
      <c r="A2214" s="23">
        <v>45195</v>
      </c>
      <c r="B2214" s="13" t="s">
        <v>3289</v>
      </c>
      <c r="C2214" s="13" t="s">
        <v>83</v>
      </c>
      <c r="D2214" s="13" t="s">
        <v>81</v>
      </c>
    </row>
    <row r="2215" spans="1:4">
      <c r="A2215" s="23">
        <v>45198</v>
      </c>
      <c r="B2215" s="13" t="s">
        <v>3291</v>
      </c>
      <c r="C2215" s="13" t="s">
        <v>3290</v>
      </c>
      <c r="D2215" s="13" t="s">
        <v>29</v>
      </c>
    </row>
    <row r="2216" spans="1:4">
      <c r="A2216" s="23">
        <v>45202</v>
      </c>
      <c r="B2216" s="13" t="s">
        <v>3293</v>
      </c>
      <c r="C2216" s="13" t="s">
        <v>3292</v>
      </c>
      <c r="D2216" s="13" t="s">
        <v>109</v>
      </c>
    </row>
    <row r="2217" spans="1:4">
      <c r="A2217" s="23">
        <v>45198</v>
      </c>
      <c r="B2217" s="13" t="s">
        <v>3295</v>
      </c>
      <c r="C2217" s="13" t="s">
        <v>3294</v>
      </c>
      <c r="D2217" s="13" t="s">
        <v>109</v>
      </c>
    </row>
    <row r="2218" spans="1:4">
      <c r="A2218" s="23">
        <v>45198</v>
      </c>
      <c r="B2218" s="13" t="s">
        <v>3297</v>
      </c>
      <c r="C2218" s="13" t="s">
        <v>3296</v>
      </c>
      <c r="D2218" s="13" t="s">
        <v>109</v>
      </c>
    </row>
    <row r="2219" spans="1:4">
      <c r="A2219" s="23">
        <v>45206</v>
      </c>
      <c r="B2219" s="13" t="s">
        <v>3298</v>
      </c>
      <c r="C2219" s="13" t="s">
        <v>2797</v>
      </c>
      <c r="D2219" s="13" t="s">
        <v>16</v>
      </c>
    </row>
    <row r="2220" spans="1:4">
      <c r="A2220" s="23">
        <v>45173</v>
      </c>
      <c r="B2220" s="13" t="s">
        <v>3300</v>
      </c>
      <c r="C2220" s="13" t="s">
        <v>3299</v>
      </c>
      <c r="D2220" s="13" t="s">
        <v>109</v>
      </c>
    </row>
    <row r="2221" spans="1:4">
      <c r="A2221" s="23">
        <v>45204</v>
      </c>
      <c r="B2221" s="13" t="s">
        <v>3302</v>
      </c>
      <c r="C2221" s="13" t="s">
        <v>3301</v>
      </c>
      <c r="D2221" s="13" t="s">
        <v>11</v>
      </c>
    </row>
    <row r="2222" spans="1:4">
      <c r="A2222" s="23">
        <v>45195</v>
      </c>
      <c r="B2222" s="13" t="s">
        <v>3303</v>
      </c>
      <c r="C2222" s="13" t="s">
        <v>3102</v>
      </c>
      <c r="D2222" s="13" t="s">
        <v>81</v>
      </c>
    </row>
    <row r="2223" spans="1:4">
      <c r="A2223" s="23">
        <v>45211</v>
      </c>
      <c r="B2223" s="13" t="s">
        <v>3305</v>
      </c>
      <c r="C2223" s="13" t="s">
        <v>3304</v>
      </c>
      <c r="D2223" s="13" t="s">
        <v>16</v>
      </c>
    </row>
    <row r="2224" spans="1:4">
      <c r="A2224" s="23">
        <v>45205</v>
      </c>
      <c r="B2224" s="13" t="s">
        <v>3307</v>
      </c>
      <c r="C2224" s="13" t="s">
        <v>3306</v>
      </c>
      <c r="D2224" s="13" t="s">
        <v>34</v>
      </c>
    </row>
    <row r="2225" spans="1:4">
      <c r="A2225" s="23">
        <v>45194</v>
      </c>
      <c r="B2225" s="13" t="s">
        <v>3309</v>
      </c>
      <c r="C2225" s="13" t="s">
        <v>3308</v>
      </c>
      <c r="D2225" s="13" t="s">
        <v>109</v>
      </c>
    </row>
    <row r="2226" spans="1:4">
      <c r="A2226" s="23">
        <v>45162</v>
      </c>
      <c r="B2226" s="13" t="s">
        <v>3311</v>
      </c>
      <c r="C2226" s="13" t="s">
        <v>3310</v>
      </c>
      <c r="D2226" s="13" t="s">
        <v>5</v>
      </c>
    </row>
    <row r="2227" spans="1:4">
      <c r="A2227" s="23">
        <v>45203</v>
      </c>
      <c r="B2227" s="13" t="s">
        <v>3313</v>
      </c>
      <c r="C2227" s="13" t="s">
        <v>3312</v>
      </c>
      <c r="D2227" s="13" t="s">
        <v>24</v>
      </c>
    </row>
    <row r="2228" spans="1:4">
      <c r="A2228" s="23">
        <v>45195</v>
      </c>
      <c r="B2228" s="13" t="s">
        <v>3315</v>
      </c>
      <c r="C2228" s="13" t="s">
        <v>3314</v>
      </c>
      <c r="D2228" s="13" t="s">
        <v>8</v>
      </c>
    </row>
    <row r="2229" spans="1:4">
      <c r="A2229" s="23">
        <v>45162</v>
      </c>
      <c r="B2229" s="13" t="s">
        <v>3317</v>
      </c>
      <c r="C2229" s="13" t="s">
        <v>3316</v>
      </c>
      <c r="D2229" s="13" t="s">
        <v>74</v>
      </c>
    </row>
    <row r="2230" spans="1:4">
      <c r="A2230" s="23">
        <v>45183</v>
      </c>
      <c r="B2230" s="13" t="s">
        <v>3319</v>
      </c>
      <c r="C2230" s="13" t="s">
        <v>3318</v>
      </c>
      <c r="D2230" s="13" t="s">
        <v>345</v>
      </c>
    </row>
    <row r="2231" spans="1:4">
      <c r="A2231" s="23">
        <v>45162</v>
      </c>
      <c r="B2231" s="13" t="s">
        <v>3317</v>
      </c>
      <c r="C2231" s="13" t="s">
        <v>3316</v>
      </c>
      <c r="D2231" s="13" t="s">
        <v>74</v>
      </c>
    </row>
    <row r="2232" spans="1:4">
      <c r="A2232" s="23">
        <v>45162</v>
      </c>
      <c r="B2232" s="13" t="s">
        <v>3317</v>
      </c>
      <c r="C2232" s="13" t="s">
        <v>3316</v>
      </c>
      <c r="D2232" s="13" t="s">
        <v>74</v>
      </c>
    </row>
    <row r="2233" spans="1:4">
      <c r="A2233" s="23">
        <v>45163</v>
      </c>
      <c r="B2233" s="13" t="s">
        <v>3321</v>
      </c>
      <c r="C2233" s="13" t="s">
        <v>3320</v>
      </c>
      <c r="D2233" s="13" t="s">
        <v>74</v>
      </c>
    </row>
    <row r="2234" spans="1:4">
      <c r="A2234" s="23">
        <v>45163</v>
      </c>
      <c r="B2234" s="13" t="s">
        <v>3323</v>
      </c>
      <c r="C2234" s="13" t="s">
        <v>3322</v>
      </c>
      <c r="D2234" s="13" t="s">
        <v>5</v>
      </c>
    </row>
    <row r="2235" spans="1:4">
      <c r="A2235" s="23">
        <v>45163</v>
      </c>
      <c r="B2235" s="13" t="s">
        <v>3325</v>
      </c>
      <c r="C2235" s="13" t="s">
        <v>3324</v>
      </c>
      <c r="D2235" s="13" t="s">
        <v>74</v>
      </c>
    </row>
    <row r="2236" spans="1:4">
      <c r="A2236" s="23">
        <v>45163</v>
      </c>
      <c r="B2236" s="13" t="s">
        <v>3327</v>
      </c>
      <c r="C2236" s="13" t="s">
        <v>3326</v>
      </c>
      <c r="D2236" s="13" t="s">
        <v>5</v>
      </c>
    </row>
    <row r="2237" spans="1:4">
      <c r="A2237" s="23">
        <v>45163</v>
      </c>
      <c r="B2237" s="13" t="s">
        <v>3329</v>
      </c>
      <c r="C2237" s="13" t="s">
        <v>3328</v>
      </c>
      <c r="D2237" s="13" t="s">
        <v>24</v>
      </c>
    </row>
    <row r="2238" spans="1:4">
      <c r="A2238" s="23">
        <v>45163</v>
      </c>
      <c r="B2238" s="13" t="s">
        <v>3330</v>
      </c>
      <c r="C2238" s="13" t="s">
        <v>1322</v>
      </c>
      <c r="D2238" s="13" t="s">
        <v>353</v>
      </c>
    </row>
    <row r="2239" spans="1:4">
      <c r="A2239" s="23">
        <v>45163</v>
      </c>
      <c r="B2239" s="13" t="s">
        <v>3332</v>
      </c>
      <c r="C2239" s="13" t="s">
        <v>3331</v>
      </c>
      <c r="D2239" s="13" t="s">
        <v>74</v>
      </c>
    </row>
    <row r="2240" spans="1:4">
      <c r="A2240" s="23">
        <v>45163</v>
      </c>
      <c r="B2240" s="13" t="s">
        <v>3334</v>
      </c>
      <c r="C2240" s="13" t="s">
        <v>3333</v>
      </c>
      <c r="D2240" s="13" t="s">
        <v>353</v>
      </c>
    </row>
    <row r="2241" spans="1:4">
      <c r="A2241" s="23">
        <v>45166</v>
      </c>
      <c r="B2241" s="13" t="s">
        <v>3336</v>
      </c>
      <c r="C2241" s="13" t="s">
        <v>3335</v>
      </c>
      <c r="D2241" s="13" t="s">
        <v>109</v>
      </c>
    </row>
    <row r="2242" spans="1:4">
      <c r="A2242" s="23">
        <v>45166</v>
      </c>
      <c r="B2242" s="13" t="s">
        <v>3337</v>
      </c>
      <c r="C2242" s="13" t="s">
        <v>195</v>
      </c>
      <c r="D2242" s="13" t="s">
        <v>81</v>
      </c>
    </row>
    <row r="2243" spans="1:4">
      <c r="A2243" s="23">
        <v>45166</v>
      </c>
      <c r="B2243" s="13" t="s">
        <v>3339</v>
      </c>
      <c r="C2243" s="13" t="s">
        <v>3338</v>
      </c>
      <c r="D2243" s="13" t="s">
        <v>353</v>
      </c>
    </row>
    <row r="2244" spans="1:4">
      <c r="A2244" s="23">
        <v>45166</v>
      </c>
      <c r="B2244" s="13" t="s">
        <v>3341</v>
      </c>
      <c r="C2244" s="13" t="s">
        <v>3340</v>
      </c>
      <c r="D2244" s="13" t="s">
        <v>353</v>
      </c>
    </row>
    <row r="2245" spans="1:4">
      <c r="A2245" s="23">
        <v>45184</v>
      </c>
      <c r="B2245" s="13" t="s">
        <v>3343</v>
      </c>
      <c r="C2245" s="13" t="s">
        <v>3342</v>
      </c>
      <c r="D2245" s="13" t="s">
        <v>5</v>
      </c>
    </row>
    <row r="2246" spans="1:4">
      <c r="A2246" s="23">
        <v>45166</v>
      </c>
      <c r="B2246" s="13" t="s">
        <v>3344</v>
      </c>
      <c r="C2246" s="13" t="s">
        <v>1890</v>
      </c>
      <c r="D2246" s="13" t="s">
        <v>81</v>
      </c>
    </row>
    <row r="2247" spans="1:4">
      <c r="A2247" s="23">
        <v>45166</v>
      </c>
      <c r="B2247" s="13" t="s">
        <v>3345</v>
      </c>
      <c r="C2247" s="13" t="s">
        <v>309</v>
      </c>
      <c r="D2247" s="13" t="s">
        <v>81</v>
      </c>
    </row>
    <row r="2248" spans="1:4">
      <c r="A2248" s="23">
        <v>45166</v>
      </c>
      <c r="B2248" s="13" t="s">
        <v>3339</v>
      </c>
      <c r="C2248" s="13" t="s">
        <v>3338</v>
      </c>
      <c r="D2248" s="13" t="s">
        <v>353</v>
      </c>
    </row>
    <row r="2249" spans="1:4">
      <c r="A2249" s="23">
        <v>45167</v>
      </c>
      <c r="B2249" s="13" t="s">
        <v>3347</v>
      </c>
      <c r="C2249" s="13" t="s">
        <v>3346</v>
      </c>
      <c r="D2249" s="13" t="s">
        <v>24</v>
      </c>
    </row>
    <row r="2250" spans="1:4">
      <c r="A2250" s="23">
        <v>45167</v>
      </c>
      <c r="B2250" s="13" t="s">
        <v>3349</v>
      </c>
      <c r="C2250" s="13" t="s">
        <v>3348</v>
      </c>
      <c r="D2250" s="13" t="s">
        <v>8</v>
      </c>
    </row>
    <row r="2251" spans="1:4">
      <c r="A2251" s="23">
        <v>45167</v>
      </c>
      <c r="B2251" s="13" t="s">
        <v>3351</v>
      </c>
      <c r="C2251" s="13" t="s">
        <v>3350</v>
      </c>
      <c r="D2251" s="13" t="s">
        <v>81</v>
      </c>
    </row>
    <row r="2252" spans="1:4">
      <c r="A2252" s="23">
        <v>45191</v>
      </c>
      <c r="B2252" s="13" t="s">
        <v>3353</v>
      </c>
      <c r="C2252" s="13" t="s">
        <v>3352</v>
      </c>
      <c r="D2252" s="13" t="s">
        <v>29</v>
      </c>
    </row>
    <row r="2253" spans="1:4">
      <c r="A2253" s="23">
        <v>45167</v>
      </c>
      <c r="B2253" s="13" t="s">
        <v>3354</v>
      </c>
      <c r="C2253" s="13" t="s">
        <v>1763</v>
      </c>
      <c r="D2253" s="13" t="s">
        <v>81</v>
      </c>
    </row>
    <row r="2254" spans="1:4">
      <c r="A2254" s="23">
        <v>45167</v>
      </c>
      <c r="B2254" s="13" t="s">
        <v>3355</v>
      </c>
      <c r="C2254" s="13" t="s">
        <v>592</v>
      </c>
      <c r="D2254" s="13" t="s">
        <v>81</v>
      </c>
    </row>
    <row r="2255" spans="1:4">
      <c r="A2255" s="23">
        <v>45167</v>
      </c>
      <c r="B2255" s="13" t="s">
        <v>3357</v>
      </c>
      <c r="C2255" s="13" t="s">
        <v>3356</v>
      </c>
      <c r="D2255" s="13" t="s">
        <v>81</v>
      </c>
    </row>
    <row r="2256" spans="1:4">
      <c r="A2256" s="23">
        <v>45168</v>
      </c>
      <c r="B2256" s="13" t="s">
        <v>3358</v>
      </c>
      <c r="C2256" s="13" t="s">
        <v>2889</v>
      </c>
      <c r="D2256" s="13" t="s">
        <v>510</v>
      </c>
    </row>
    <row r="2257" spans="1:4">
      <c r="A2257" s="23">
        <v>45168</v>
      </c>
      <c r="B2257" s="13" t="s">
        <v>3360</v>
      </c>
      <c r="C2257" s="13" t="s">
        <v>3359</v>
      </c>
      <c r="D2257" s="13" t="s">
        <v>510</v>
      </c>
    </row>
    <row r="2258" spans="1:4">
      <c r="A2258" s="23">
        <v>45168</v>
      </c>
      <c r="B2258" s="13" t="s">
        <v>3361</v>
      </c>
      <c r="C2258" s="13" t="s">
        <v>2942</v>
      </c>
      <c r="D2258" s="13" t="s">
        <v>81</v>
      </c>
    </row>
    <row r="2259" spans="1:4">
      <c r="A2259" s="23">
        <v>45168</v>
      </c>
      <c r="B2259" s="13" t="s">
        <v>3362</v>
      </c>
      <c r="C2259" s="13" t="s">
        <v>2942</v>
      </c>
      <c r="D2259" s="13" t="s">
        <v>81</v>
      </c>
    </row>
    <row r="2260" spans="1:4">
      <c r="A2260" s="23">
        <v>45168</v>
      </c>
      <c r="B2260" s="13" t="s">
        <v>3364</v>
      </c>
      <c r="C2260" s="13" t="s">
        <v>3363</v>
      </c>
      <c r="D2260" s="13" t="s">
        <v>74</v>
      </c>
    </row>
    <row r="2261" spans="1:4">
      <c r="A2261" s="23">
        <v>45168</v>
      </c>
      <c r="B2261" s="13" t="s">
        <v>3366</v>
      </c>
      <c r="C2261" s="13" t="s">
        <v>3365</v>
      </c>
      <c r="D2261" s="13" t="s">
        <v>74</v>
      </c>
    </row>
    <row r="2262" spans="1:4">
      <c r="A2262" s="23">
        <v>45168</v>
      </c>
      <c r="B2262" s="13" t="s">
        <v>3368</v>
      </c>
      <c r="C2262" s="13" t="s">
        <v>3367</v>
      </c>
      <c r="D2262" s="13" t="s">
        <v>74</v>
      </c>
    </row>
    <row r="2263" spans="1:4">
      <c r="A2263" s="23">
        <v>45168</v>
      </c>
      <c r="B2263" s="13" t="s">
        <v>3369</v>
      </c>
      <c r="C2263" s="13" t="s">
        <v>1903</v>
      </c>
      <c r="D2263" s="13" t="s">
        <v>81</v>
      </c>
    </row>
    <row r="2264" spans="1:4">
      <c r="A2264" s="23">
        <v>45169</v>
      </c>
      <c r="B2264" s="13" t="s">
        <v>3371</v>
      </c>
      <c r="C2264" s="13" t="s">
        <v>3370</v>
      </c>
      <c r="D2264" s="13" t="s">
        <v>353</v>
      </c>
    </row>
    <row r="2265" spans="1:4">
      <c r="A2265" s="23">
        <v>45204</v>
      </c>
      <c r="B2265" s="13" t="s">
        <v>3373</v>
      </c>
      <c r="C2265" s="13" t="s">
        <v>3372</v>
      </c>
      <c r="D2265" s="13" t="s">
        <v>74</v>
      </c>
    </row>
    <row r="2266" spans="1:4">
      <c r="A2266" s="23">
        <v>45181</v>
      </c>
      <c r="B2266" s="13" t="s">
        <v>3375</v>
      </c>
      <c r="C2266" s="13" t="s">
        <v>3374</v>
      </c>
      <c r="D2266" s="13" t="s">
        <v>16</v>
      </c>
    </row>
    <row r="2267" spans="1:4">
      <c r="A2267" s="23">
        <v>45184</v>
      </c>
      <c r="B2267" s="13" t="s">
        <v>3377</v>
      </c>
      <c r="C2267" s="13" t="s">
        <v>3376</v>
      </c>
      <c r="D2267" s="13" t="s">
        <v>24</v>
      </c>
    </row>
    <row r="2268" spans="1:4">
      <c r="A2268" s="23">
        <v>45169</v>
      </c>
      <c r="B2268" s="13" t="s">
        <v>3379</v>
      </c>
      <c r="C2268" s="13" t="s">
        <v>3378</v>
      </c>
      <c r="D2268" s="13" t="s">
        <v>353</v>
      </c>
    </row>
    <row r="2269" spans="1:4">
      <c r="A2269" s="23">
        <v>45183</v>
      </c>
      <c r="B2269" s="13" t="s">
        <v>3381</v>
      </c>
      <c r="C2269" s="13" t="s">
        <v>3380</v>
      </c>
      <c r="D2269" s="13" t="s">
        <v>109</v>
      </c>
    </row>
    <row r="2270" spans="1:4">
      <c r="A2270" s="23">
        <v>45169</v>
      </c>
      <c r="B2270" s="13" t="s">
        <v>3382</v>
      </c>
      <c r="C2270" s="13" t="s">
        <v>2920</v>
      </c>
      <c r="D2270" s="13" t="s">
        <v>74</v>
      </c>
    </row>
    <row r="2271" spans="1:4">
      <c r="A2271" s="23">
        <v>45204</v>
      </c>
      <c r="B2271" s="13" t="s">
        <v>3384</v>
      </c>
      <c r="C2271" s="13" t="s">
        <v>3383</v>
      </c>
      <c r="D2271" s="13" t="s">
        <v>74</v>
      </c>
    </row>
    <row r="2272" spans="1:4">
      <c r="A2272" s="23">
        <v>45191</v>
      </c>
      <c r="B2272" s="13" t="s">
        <v>3386</v>
      </c>
      <c r="C2272" s="13" t="s">
        <v>3385</v>
      </c>
      <c r="D2272" s="13" t="s">
        <v>24</v>
      </c>
    </row>
    <row r="2273" spans="1:4">
      <c r="A2273" s="23">
        <v>45169</v>
      </c>
      <c r="B2273" s="13" t="s">
        <v>3388</v>
      </c>
      <c r="C2273" s="13" t="s">
        <v>3387</v>
      </c>
      <c r="D2273" s="13" t="s">
        <v>74</v>
      </c>
    </row>
    <row r="2274" spans="1:4">
      <c r="A2274" s="23">
        <v>45191</v>
      </c>
      <c r="B2274" s="13" t="s">
        <v>3390</v>
      </c>
      <c r="C2274" s="13" t="s">
        <v>3389</v>
      </c>
      <c r="D2274" s="13" t="s">
        <v>109</v>
      </c>
    </row>
    <row r="2275" spans="1:4">
      <c r="A2275" s="23">
        <v>45169</v>
      </c>
      <c r="B2275" s="13" t="s">
        <v>3392</v>
      </c>
      <c r="C2275" s="13" t="s">
        <v>3391</v>
      </c>
      <c r="D2275" s="13" t="s">
        <v>29</v>
      </c>
    </row>
    <row r="2276" spans="1:4">
      <c r="A2276" s="23">
        <v>45183</v>
      </c>
      <c r="B2276" s="13" t="s">
        <v>3394</v>
      </c>
      <c r="C2276" s="13" t="s">
        <v>3393</v>
      </c>
      <c r="D2276" s="13" t="s">
        <v>109</v>
      </c>
    </row>
    <row r="2277" spans="1:4">
      <c r="A2277" s="23">
        <v>45169</v>
      </c>
      <c r="B2277" s="13" t="s">
        <v>3396</v>
      </c>
      <c r="C2277" s="13" t="s">
        <v>3395</v>
      </c>
      <c r="D2277" s="13" t="s">
        <v>29</v>
      </c>
    </row>
    <row r="2278" spans="1:4">
      <c r="A2278" s="23">
        <v>45169</v>
      </c>
      <c r="B2278" s="13" t="s">
        <v>3398</v>
      </c>
      <c r="C2278" s="13" t="s">
        <v>3397</v>
      </c>
      <c r="D2278" s="13" t="s">
        <v>29</v>
      </c>
    </row>
    <row r="2279" spans="1:4">
      <c r="A2279" s="23">
        <v>45169</v>
      </c>
      <c r="B2279" s="13" t="s">
        <v>3366</v>
      </c>
      <c r="C2279" s="13" t="s">
        <v>3365</v>
      </c>
      <c r="D2279" s="13" t="s">
        <v>74</v>
      </c>
    </row>
    <row r="2280" spans="1:4">
      <c r="A2280" s="23">
        <v>45170</v>
      </c>
      <c r="B2280" s="13" t="s">
        <v>3400</v>
      </c>
      <c r="C2280" s="13" t="s">
        <v>3399</v>
      </c>
      <c r="D2280" s="13" t="s">
        <v>109</v>
      </c>
    </row>
    <row r="2281" spans="1:4">
      <c r="A2281" s="23">
        <v>45170</v>
      </c>
      <c r="B2281" s="13" t="s">
        <v>3402</v>
      </c>
      <c r="C2281" s="13" t="s">
        <v>3401</v>
      </c>
      <c r="D2281" s="13" t="s">
        <v>216</v>
      </c>
    </row>
    <row r="2282" spans="1:4">
      <c r="A2282" s="23">
        <v>45170</v>
      </c>
      <c r="B2282" s="13" t="s">
        <v>3404</v>
      </c>
      <c r="C2282" s="13" t="s">
        <v>3403</v>
      </c>
      <c r="D2282" s="13" t="s">
        <v>216</v>
      </c>
    </row>
    <row r="2283" spans="1:4">
      <c r="A2283" s="23">
        <v>45170</v>
      </c>
      <c r="B2283" s="13" t="s">
        <v>3405</v>
      </c>
      <c r="C2283" s="13" t="s">
        <v>3399</v>
      </c>
      <c r="D2283" s="13" t="s">
        <v>109</v>
      </c>
    </row>
    <row r="2284" spans="1:4">
      <c r="A2284" s="23">
        <v>45171</v>
      </c>
      <c r="B2284" s="13" t="s">
        <v>3407</v>
      </c>
      <c r="C2284" s="13" t="s">
        <v>3406</v>
      </c>
      <c r="D2284" s="13" t="s">
        <v>74</v>
      </c>
    </row>
    <row r="2285" spans="1:4">
      <c r="A2285" s="23">
        <v>45171</v>
      </c>
      <c r="B2285" s="13" t="s">
        <v>3408</v>
      </c>
      <c r="C2285" s="13" t="s">
        <v>3406</v>
      </c>
      <c r="D2285" s="13" t="s">
        <v>74</v>
      </c>
    </row>
    <row r="2286" spans="1:4">
      <c r="A2286" s="23">
        <v>45171</v>
      </c>
      <c r="B2286" s="13" t="s">
        <v>3408</v>
      </c>
      <c r="C2286" s="13" t="s">
        <v>3406</v>
      </c>
      <c r="D2286" s="13" t="s">
        <v>74</v>
      </c>
    </row>
    <row r="2287" spans="1:4">
      <c r="A2287" s="23">
        <v>45171</v>
      </c>
      <c r="B2287" s="13" t="s">
        <v>3410</v>
      </c>
      <c r="C2287" s="13" t="s">
        <v>3409</v>
      </c>
      <c r="D2287" s="13" t="s">
        <v>74</v>
      </c>
    </row>
    <row r="2288" spans="1:4">
      <c r="A2288" s="23">
        <v>45171</v>
      </c>
      <c r="B2288" s="13" t="s">
        <v>3412</v>
      </c>
      <c r="C2288" s="13" t="s">
        <v>3411</v>
      </c>
      <c r="D2288" s="13" t="s">
        <v>8</v>
      </c>
    </row>
    <row r="2289" spans="1:4">
      <c r="A2289" s="23">
        <v>45171</v>
      </c>
      <c r="B2289" s="13" t="s">
        <v>3413</v>
      </c>
      <c r="C2289" s="13" t="s">
        <v>3411</v>
      </c>
      <c r="D2289" s="13" t="s">
        <v>8</v>
      </c>
    </row>
    <row r="2290" spans="1:4">
      <c r="A2290" s="23">
        <v>45173</v>
      </c>
      <c r="B2290" s="13" t="s">
        <v>3415</v>
      </c>
      <c r="C2290" s="13" t="s">
        <v>3414</v>
      </c>
      <c r="D2290" s="13" t="s">
        <v>8</v>
      </c>
    </row>
    <row r="2291" spans="1:4">
      <c r="A2291" s="23">
        <v>45173</v>
      </c>
      <c r="B2291" s="13" t="s">
        <v>3417</v>
      </c>
      <c r="C2291" s="13" t="s">
        <v>3416</v>
      </c>
      <c r="D2291" s="13" t="s">
        <v>5</v>
      </c>
    </row>
    <row r="2292" spans="1:4">
      <c r="A2292" s="23">
        <v>45173</v>
      </c>
      <c r="B2292" s="13" t="s">
        <v>3419</v>
      </c>
      <c r="C2292" s="13" t="s">
        <v>3418</v>
      </c>
      <c r="D2292" s="13" t="s">
        <v>5</v>
      </c>
    </row>
    <row r="2293" spans="1:4">
      <c r="A2293" s="23">
        <v>45173</v>
      </c>
      <c r="B2293" s="13" t="s">
        <v>3421</v>
      </c>
      <c r="C2293" s="13" t="s">
        <v>3420</v>
      </c>
      <c r="D2293" s="13" t="s">
        <v>353</v>
      </c>
    </row>
    <row r="2294" spans="1:4">
      <c r="A2294" s="23">
        <v>45173</v>
      </c>
      <c r="B2294" s="13" t="s">
        <v>3423</v>
      </c>
      <c r="C2294" s="13" t="s">
        <v>3422</v>
      </c>
      <c r="D2294" s="13" t="s">
        <v>5</v>
      </c>
    </row>
    <row r="2295" spans="1:4">
      <c r="A2295" s="23">
        <v>45174</v>
      </c>
      <c r="B2295" s="13" t="s">
        <v>3425</v>
      </c>
      <c r="C2295" s="13" t="s">
        <v>3424</v>
      </c>
      <c r="D2295" s="13" t="s">
        <v>5</v>
      </c>
    </row>
    <row r="2296" spans="1:4">
      <c r="A2296" s="23">
        <v>45174</v>
      </c>
      <c r="B2296" s="13" t="s">
        <v>3427</v>
      </c>
      <c r="C2296" s="13" t="s">
        <v>3426</v>
      </c>
      <c r="D2296" s="13" t="s">
        <v>216</v>
      </c>
    </row>
    <row r="2297" spans="1:4">
      <c r="A2297" s="23">
        <v>45174</v>
      </c>
      <c r="B2297" s="13" t="s">
        <v>3429</v>
      </c>
      <c r="C2297" s="13" t="s">
        <v>3428</v>
      </c>
      <c r="D2297" s="13" t="s">
        <v>5</v>
      </c>
    </row>
    <row r="2298" spans="1:4">
      <c r="A2298" s="23">
        <v>45174</v>
      </c>
      <c r="B2298" s="13" t="s">
        <v>3431</v>
      </c>
      <c r="C2298" s="13" t="s">
        <v>3430</v>
      </c>
      <c r="D2298" s="13" t="s">
        <v>74</v>
      </c>
    </row>
    <row r="2299" spans="1:4">
      <c r="A2299" s="23">
        <v>45174</v>
      </c>
      <c r="B2299" s="13" t="s">
        <v>3433</v>
      </c>
      <c r="C2299" s="13" t="s">
        <v>3432</v>
      </c>
      <c r="D2299" s="13" t="s">
        <v>81</v>
      </c>
    </row>
    <row r="2300" spans="1:4">
      <c r="A2300" s="23">
        <v>45174</v>
      </c>
      <c r="B2300" s="13" t="s">
        <v>3435</v>
      </c>
      <c r="C2300" s="13" t="s">
        <v>3434</v>
      </c>
      <c r="D2300" s="13" t="s">
        <v>5</v>
      </c>
    </row>
    <row r="2301" spans="1:4">
      <c r="A2301" s="23">
        <v>45174</v>
      </c>
      <c r="B2301" s="13" t="s">
        <v>3436</v>
      </c>
      <c r="C2301" s="13" t="s">
        <v>312</v>
      </c>
      <c r="D2301" s="13" t="s">
        <v>81</v>
      </c>
    </row>
    <row r="2302" spans="1:4">
      <c r="A2302" s="23">
        <v>45174</v>
      </c>
      <c r="B2302" s="13" t="s">
        <v>3437</v>
      </c>
      <c r="C2302" s="13" t="s">
        <v>1763</v>
      </c>
      <c r="D2302" s="13" t="s">
        <v>81</v>
      </c>
    </row>
    <row r="2303" spans="1:4">
      <c r="A2303" s="23">
        <v>45174</v>
      </c>
      <c r="B2303" s="13" t="s">
        <v>3439</v>
      </c>
      <c r="C2303" s="13" t="s">
        <v>3438</v>
      </c>
      <c r="D2303" s="13" t="s">
        <v>109</v>
      </c>
    </row>
    <row r="2304" spans="1:4">
      <c r="A2304" s="23">
        <v>45174</v>
      </c>
      <c r="B2304" s="13" t="s">
        <v>3431</v>
      </c>
      <c r="C2304" s="13" t="s">
        <v>3440</v>
      </c>
      <c r="D2304" s="13" t="s">
        <v>74</v>
      </c>
    </row>
    <row r="2305" spans="1:4">
      <c r="A2305" s="23">
        <v>45174</v>
      </c>
      <c r="B2305" s="13" t="s">
        <v>3442</v>
      </c>
      <c r="C2305" s="13" t="s">
        <v>3441</v>
      </c>
      <c r="D2305" s="13" t="s">
        <v>74</v>
      </c>
    </row>
    <row r="2306" spans="1:4">
      <c r="A2306" s="23">
        <v>45176</v>
      </c>
      <c r="B2306" s="13" t="s">
        <v>3444</v>
      </c>
      <c r="C2306" s="13" t="s">
        <v>3443</v>
      </c>
      <c r="D2306" s="13" t="s">
        <v>74</v>
      </c>
    </row>
    <row r="2307" spans="1:4">
      <c r="A2307" s="23">
        <v>45176</v>
      </c>
      <c r="B2307" s="13" t="s">
        <v>3445</v>
      </c>
      <c r="C2307" s="13" t="s">
        <v>3406</v>
      </c>
      <c r="D2307" s="13" t="s">
        <v>74</v>
      </c>
    </row>
    <row r="2308" spans="1:4">
      <c r="A2308" s="23">
        <v>45176</v>
      </c>
      <c r="B2308" s="13" t="s">
        <v>3447</v>
      </c>
      <c r="C2308" s="13" t="s">
        <v>3446</v>
      </c>
      <c r="D2308" s="13" t="s">
        <v>24</v>
      </c>
    </row>
    <row r="2309" spans="1:4">
      <c r="A2309" s="23">
        <v>45176</v>
      </c>
      <c r="B2309" s="13" t="s">
        <v>3449</v>
      </c>
      <c r="C2309" s="13" t="s">
        <v>3448</v>
      </c>
      <c r="D2309" s="13" t="s">
        <v>8</v>
      </c>
    </row>
    <row r="2310" spans="1:4">
      <c r="A2310" s="23">
        <v>45176</v>
      </c>
      <c r="B2310" s="13" t="s">
        <v>3450</v>
      </c>
      <c r="C2310" s="13" t="s">
        <v>2856</v>
      </c>
      <c r="D2310" s="13" t="s">
        <v>19</v>
      </c>
    </row>
    <row r="2311" spans="1:4">
      <c r="A2311" s="23">
        <v>45176</v>
      </c>
      <c r="B2311" s="13" t="s">
        <v>3452</v>
      </c>
      <c r="C2311" s="13" t="s">
        <v>3451</v>
      </c>
      <c r="D2311" s="13" t="s">
        <v>74</v>
      </c>
    </row>
    <row r="2312" spans="1:4">
      <c r="A2312" s="23">
        <v>45176</v>
      </c>
      <c r="B2312" s="13" t="s">
        <v>3453</v>
      </c>
      <c r="C2312" s="13" t="s">
        <v>3269</v>
      </c>
      <c r="D2312" s="13" t="s">
        <v>74</v>
      </c>
    </row>
    <row r="2313" spans="1:4">
      <c r="A2313" s="23">
        <v>45176</v>
      </c>
      <c r="B2313" s="13" t="s">
        <v>3455</v>
      </c>
      <c r="C2313" s="13" t="s">
        <v>3454</v>
      </c>
      <c r="D2313" s="13" t="s">
        <v>74</v>
      </c>
    </row>
    <row r="2314" spans="1:4">
      <c r="A2314" s="23">
        <v>45176</v>
      </c>
      <c r="B2314" s="13" t="s">
        <v>3444</v>
      </c>
      <c r="C2314" s="13" t="s">
        <v>3443</v>
      </c>
      <c r="D2314" s="13" t="s">
        <v>74</v>
      </c>
    </row>
    <row r="2315" spans="1:4">
      <c r="A2315" s="23">
        <v>45176</v>
      </c>
      <c r="B2315" s="13" t="s">
        <v>3457</v>
      </c>
      <c r="C2315" s="13" t="s">
        <v>3456</v>
      </c>
      <c r="D2315" s="13" t="s">
        <v>345</v>
      </c>
    </row>
    <row r="2316" spans="1:4">
      <c r="A2316" s="23">
        <v>45177</v>
      </c>
      <c r="B2316" s="13" t="s">
        <v>3459</v>
      </c>
      <c r="C2316" s="13" t="s">
        <v>3458</v>
      </c>
      <c r="D2316" s="13" t="s">
        <v>141</v>
      </c>
    </row>
    <row r="2317" spans="1:4">
      <c r="A2317" s="23">
        <v>45177</v>
      </c>
      <c r="B2317" s="13" t="s">
        <v>3461</v>
      </c>
      <c r="C2317" s="13" t="s">
        <v>3460</v>
      </c>
      <c r="D2317" s="13" t="s">
        <v>74</v>
      </c>
    </row>
    <row r="2318" spans="1:4">
      <c r="A2318" s="23">
        <v>45177</v>
      </c>
      <c r="B2318" s="13" t="s">
        <v>3463</v>
      </c>
      <c r="C2318" s="13" t="s">
        <v>3462</v>
      </c>
      <c r="D2318" s="13" t="s">
        <v>74</v>
      </c>
    </row>
    <row r="2319" spans="1:4">
      <c r="A2319" s="23">
        <v>45177</v>
      </c>
      <c r="B2319" s="13" t="s">
        <v>3465</v>
      </c>
      <c r="C2319" s="13" t="s">
        <v>3464</v>
      </c>
      <c r="D2319" s="13" t="s">
        <v>5</v>
      </c>
    </row>
    <row r="2320" spans="1:4">
      <c r="A2320" s="23">
        <v>45177</v>
      </c>
      <c r="B2320" s="13" t="s">
        <v>3467</v>
      </c>
      <c r="C2320" s="13" t="s">
        <v>3466</v>
      </c>
      <c r="D2320" s="13" t="s">
        <v>5</v>
      </c>
    </row>
    <row r="2321" spans="1:4">
      <c r="A2321" s="23">
        <v>45177</v>
      </c>
      <c r="B2321" s="13" t="s">
        <v>3469</v>
      </c>
      <c r="C2321" s="13" t="s">
        <v>3468</v>
      </c>
      <c r="D2321" s="13" t="s">
        <v>74</v>
      </c>
    </row>
    <row r="2322" spans="1:4">
      <c r="A2322" s="23">
        <v>45177</v>
      </c>
      <c r="B2322" s="13" t="s">
        <v>3471</v>
      </c>
      <c r="C2322" s="13" t="s">
        <v>3470</v>
      </c>
      <c r="D2322" s="13" t="s">
        <v>5</v>
      </c>
    </row>
    <row r="2323" spans="1:4">
      <c r="A2323" s="23">
        <v>45178</v>
      </c>
      <c r="B2323" s="13" t="s">
        <v>3473</v>
      </c>
      <c r="C2323" s="13" t="s">
        <v>3472</v>
      </c>
      <c r="D2323" s="13" t="s">
        <v>74</v>
      </c>
    </row>
    <row r="2324" spans="1:4">
      <c r="A2324" s="23">
        <v>45180</v>
      </c>
      <c r="B2324" s="13" t="s">
        <v>3474</v>
      </c>
      <c r="C2324" s="13" t="s">
        <v>3299</v>
      </c>
      <c r="D2324" s="13" t="s">
        <v>109</v>
      </c>
    </row>
    <row r="2325" spans="1:4">
      <c r="A2325" s="23">
        <v>45180</v>
      </c>
      <c r="B2325" s="13" t="s">
        <v>3475</v>
      </c>
      <c r="C2325" s="13" t="s">
        <v>3296</v>
      </c>
      <c r="D2325" s="13" t="s">
        <v>109</v>
      </c>
    </row>
    <row r="2326" spans="1:4">
      <c r="A2326" s="23">
        <v>45181</v>
      </c>
      <c r="B2326" s="13" t="s">
        <v>3476</v>
      </c>
      <c r="C2326" s="13" t="s">
        <v>83</v>
      </c>
      <c r="D2326" s="13" t="s">
        <v>81</v>
      </c>
    </row>
    <row r="2327" spans="1:4">
      <c r="A2327" s="23">
        <v>45181</v>
      </c>
      <c r="B2327" s="13" t="s">
        <v>3477</v>
      </c>
      <c r="C2327" s="13" t="s">
        <v>91</v>
      </c>
      <c r="D2327" s="13" t="s">
        <v>81</v>
      </c>
    </row>
    <row r="2328" spans="1:4">
      <c r="A2328" s="23">
        <v>45181</v>
      </c>
      <c r="B2328" s="13" t="s">
        <v>3479</v>
      </c>
      <c r="C2328" s="13" t="s">
        <v>3478</v>
      </c>
      <c r="D2328" s="13" t="s">
        <v>109</v>
      </c>
    </row>
    <row r="2329" spans="1:4">
      <c r="A2329" s="23">
        <v>45181</v>
      </c>
      <c r="B2329" s="13" t="s">
        <v>3480</v>
      </c>
      <c r="C2329" s="13" t="s">
        <v>2882</v>
      </c>
      <c r="D2329" s="13" t="s">
        <v>81</v>
      </c>
    </row>
    <row r="2330" spans="1:4">
      <c r="A2330" s="23">
        <v>45181</v>
      </c>
      <c r="B2330" s="13" t="s">
        <v>3482</v>
      </c>
      <c r="C2330" s="13" t="s">
        <v>3481</v>
      </c>
      <c r="D2330" s="13" t="s">
        <v>74</v>
      </c>
    </row>
    <row r="2331" spans="1:4">
      <c r="A2331" s="23">
        <v>45182</v>
      </c>
      <c r="B2331" s="13" t="s">
        <v>3484</v>
      </c>
      <c r="C2331" s="13" t="s">
        <v>3483</v>
      </c>
      <c r="D2331" s="13" t="s">
        <v>11</v>
      </c>
    </row>
    <row r="2332" spans="1:4">
      <c r="A2332" s="23">
        <v>45181</v>
      </c>
      <c r="B2332" s="13" t="s">
        <v>3482</v>
      </c>
      <c r="C2332" s="13" t="s">
        <v>3485</v>
      </c>
      <c r="D2332" s="13" t="s">
        <v>74</v>
      </c>
    </row>
    <row r="2333" spans="1:4">
      <c r="A2333" s="23">
        <v>45194</v>
      </c>
      <c r="B2333" s="13" t="s">
        <v>3486</v>
      </c>
      <c r="C2333" s="13" t="s">
        <v>91</v>
      </c>
      <c r="D2333" s="13" t="s">
        <v>81</v>
      </c>
    </row>
    <row r="2334" spans="1:4">
      <c r="A2334" s="23">
        <v>45184</v>
      </c>
      <c r="B2334" s="13" t="s">
        <v>3488</v>
      </c>
      <c r="C2334" s="13" t="s">
        <v>3487</v>
      </c>
      <c r="D2334" s="13" t="s">
        <v>216</v>
      </c>
    </row>
    <row r="2335" spans="1:4">
      <c r="A2335" s="23">
        <v>45181</v>
      </c>
      <c r="B2335" s="13" t="s">
        <v>3482</v>
      </c>
      <c r="C2335" s="13" t="s">
        <v>3485</v>
      </c>
      <c r="D2335" s="13" t="s">
        <v>74</v>
      </c>
    </row>
    <row r="2336" spans="1:4">
      <c r="A2336" s="23">
        <v>45181</v>
      </c>
      <c r="B2336" s="13" t="s">
        <v>3489</v>
      </c>
      <c r="C2336" s="13" t="s">
        <v>3299</v>
      </c>
      <c r="D2336" s="13" t="s">
        <v>109</v>
      </c>
    </row>
    <row r="2337" spans="1:4">
      <c r="A2337" s="23">
        <v>45182</v>
      </c>
      <c r="B2337" s="13" t="s">
        <v>3491</v>
      </c>
      <c r="C2337" s="13" t="s">
        <v>3490</v>
      </c>
      <c r="D2337" s="13" t="s">
        <v>8</v>
      </c>
    </row>
    <row r="2338" spans="1:4">
      <c r="A2338" s="23">
        <v>45184</v>
      </c>
      <c r="B2338" s="13" t="s">
        <v>3492</v>
      </c>
      <c r="C2338" s="13" t="s">
        <v>3342</v>
      </c>
      <c r="D2338" s="13" t="s">
        <v>5</v>
      </c>
    </row>
    <row r="2339" spans="1:4">
      <c r="A2339" s="23">
        <v>45182</v>
      </c>
      <c r="B2339" s="13" t="s">
        <v>3494</v>
      </c>
      <c r="C2339" s="13" t="s">
        <v>3493</v>
      </c>
      <c r="D2339" s="13" t="s">
        <v>16</v>
      </c>
    </row>
    <row r="2340" spans="1:4">
      <c r="A2340" s="23">
        <v>45183</v>
      </c>
      <c r="B2340" s="13" t="s">
        <v>3496</v>
      </c>
      <c r="C2340" s="13" t="s">
        <v>3495</v>
      </c>
      <c r="D2340" s="13" t="s">
        <v>29</v>
      </c>
    </row>
    <row r="2341" spans="1:4">
      <c r="A2341" s="23">
        <v>45184</v>
      </c>
      <c r="B2341" s="13" t="s">
        <v>3498</v>
      </c>
      <c r="C2341" s="13" t="s">
        <v>3497</v>
      </c>
      <c r="D2341" s="13" t="s">
        <v>8</v>
      </c>
    </row>
    <row r="2342" spans="1:4">
      <c r="A2342" s="23">
        <v>45184</v>
      </c>
      <c r="B2342" s="13" t="s">
        <v>3500</v>
      </c>
      <c r="C2342" s="13" t="s">
        <v>3499</v>
      </c>
      <c r="D2342" s="13" t="s">
        <v>34</v>
      </c>
    </row>
    <row r="2343" spans="1:4">
      <c r="A2343" s="23">
        <v>45190</v>
      </c>
      <c r="B2343" s="13" t="s">
        <v>3501</v>
      </c>
      <c r="C2343" s="13" t="s">
        <v>1135</v>
      </c>
      <c r="D2343" s="13" t="s">
        <v>510</v>
      </c>
    </row>
    <row r="2344" spans="1:4">
      <c r="A2344" s="23">
        <v>45189</v>
      </c>
      <c r="B2344" s="13" t="s">
        <v>3503</v>
      </c>
      <c r="C2344" s="13" t="s">
        <v>3502</v>
      </c>
      <c r="D2344" s="13" t="s">
        <v>24</v>
      </c>
    </row>
    <row r="2345" spans="1:4">
      <c r="A2345" s="23">
        <v>45191</v>
      </c>
      <c r="B2345" s="13" t="s">
        <v>3505</v>
      </c>
      <c r="C2345" s="13" t="s">
        <v>3504</v>
      </c>
      <c r="D2345" s="13" t="s">
        <v>109</v>
      </c>
    </row>
    <row r="2346" spans="1:4">
      <c r="A2346" s="23">
        <v>45210</v>
      </c>
      <c r="B2346" s="13" t="s">
        <v>3507</v>
      </c>
      <c r="C2346" s="13" t="s">
        <v>3506</v>
      </c>
      <c r="D2346" s="13" t="s">
        <v>8</v>
      </c>
    </row>
    <row r="2347" spans="1:4">
      <c r="A2347" s="23">
        <v>45190</v>
      </c>
      <c r="B2347" s="13" t="s">
        <v>3509</v>
      </c>
      <c r="C2347" s="13" t="s">
        <v>3508</v>
      </c>
      <c r="D2347" s="13" t="s">
        <v>510</v>
      </c>
    </row>
    <row r="2348" spans="1:4">
      <c r="A2348" s="23">
        <v>45204</v>
      </c>
      <c r="B2348" s="13" t="s">
        <v>3511</v>
      </c>
      <c r="C2348" s="13" t="s">
        <v>3510</v>
      </c>
      <c r="D2348" s="13" t="s">
        <v>8</v>
      </c>
    </row>
    <row r="2349" spans="1:4">
      <c r="A2349" s="23">
        <v>45213</v>
      </c>
      <c r="B2349" s="13" t="s">
        <v>3513</v>
      </c>
      <c r="C2349" s="13" t="s">
        <v>3512</v>
      </c>
      <c r="D2349" s="13" t="s">
        <v>8</v>
      </c>
    </row>
    <row r="2350" spans="1:4">
      <c r="A2350" s="23">
        <v>45211</v>
      </c>
      <c r="B2350" s="13" t="s">
        <v>3515</v>
      </c>
      <c r="C2350" s="13" t="s">
        <v>3514</v>
      </c>
      <c r="D2350" s="13" t="s">
        <v>345</v>
      </c>
    </row>
    <row r="2351" spans="1:4">
      <c r="A2351" s="23">
        <v>45205</v>
      </c>
      <c r="B2351" s="13" t="s">
        <v>3517</v>
      </c>
      <c r="C2351" s="13" t="s">
        <v>3516</v>
      </c>
      <c r="D2351" s="13" t="s">
        <v>109</v>
      </c>
    </row>
    <row r="2352" spans="1:4">
      <c r="A2352" s="23">
        <v>45208</v>
      </c>
      <c r="B2352" s="13" t="s">
        <v>3518</v>
      </c>
      <c r="C2352" s="13" t="s">
        <v>91</v>
      </c>
      <c r="D2352" s="13" t="s">
        <v>81</v>
      </c>
    </row>
    <row r="2353" spans="1:4">
      <c r="A2353" s="23">
        <v>45216</v>
      </c>
      <c r="B2353" s="13" t="s">
        <v>2789</v>
      </c>
      <c r="C2353" s="13" t="s">
        <v>2788</v>
      </c>
      <c r="D2353" s="13" t="s">
        <v>19</v>
      </c>
    </row>
    <row r="2354" spans="1:4">
      <c r="A2354" s="23">
        <v>45203</v>
      </c>
      <c r="B2354" s="13" t="s">
        <v>3521</v>
      </c>
      <c r="C2354" s="13" t="s">
        <v>3520</v>
      </c>
      <c r="D2354" s="13" t="s">
        <v>11</v>
      </c>
    </row>
    <row r="2355" spans="1:4">
      <c r="A2355" s="23">
        <v>45212</v>
      </c>
      <c r="B2355" s="13" t="s">
        <v>3523</v>
      </c>
      <c r="C2355" s="13" t="s">
        <v>3522</v>
      </c>
      <c r="D2355" s="13" t="s">
        <v>345</v>
      </c>
    </row>
    <row r="2356" spans="1:4">
      <c r="A2356" s="23">
        <v>45206</v>
      </c>
      <c r="B2356" s="13" t="s">
        <v>3525</v>
      </c>
      <c r="C2356" s="13" t="s">
        <v>3524</v>
      </c>
      <c r="D2356" s="13" t="s">
        <v>16</v>
      </c>
    </row>
    <row r="2357" spans="1:4">
      <c r="A2357" s="23">
        <v>45217</v>
      </c>
      <c r="B2357" s="13" t="s">
        <v>3527</v>
      </c>
      <c r="C2357" s="13" t="s">
        <v>3526</v>
      </c>
      <c r="D2357" s="13" t="s">
        <v>510</v>
      </c>
    </row>
    <row r="2358" spans="1:4">
      <c r="A2358" s="23">
        <v>45204</v>
      </c>
      <c r="B2358" s="13" t="s">
        <v>3529</v>
      </c>
      <c r="C2358" s="13" t="s">
        <v>3528</v>
      </c>
      <c r="D2358" s="13" t="s">
        <v>5</v>
      </c>
    </row>
    <row r="2359" spans="1:4">
      <c r="A2359" s="23">
        <v>45212</v>
      </c>
      <c r="B2359" s="13" t="s">
        <v>3531</v>
      </c>
      <c r="C2359" s="13" t="s">
        <v>3530</v>
      </c>
      <c r="D2359" s="13" t="s">
        <v>74</v>
      </c>
    </row>
    <row r="2360" spans="1:4">
      <c r="A2360" s="23">
        <v>45223</v>
      </c>
      <c r="B2360" s="13" t="s">
        <v>3532</v>
      </c>
      <c r="C2360" s="13" t="s">
        <v>2792</v>
      </c>
      <c r="D2360" s="13" t="s">
        <v>8</v>
      </c>
    </row>
    <row r="2361" spans="1:4">
      <c r="A2361" s="23">
        <v>45203</v>
      </c>
      <c r="B2361" s="13" t="s">
        <v>3534</v>
      </c>
      <c r="C2361" s="13" t="s">
        <v>3533</v>
      </c>
      <c r="D2361" s="13" t="s">
        <v>109</v>
      </c>
    </row>
    <row r="2362" spans="1:4">
      <c r="A2362" s="23">
        <v>45205</v>
      </c>
      <c r="B2362" s="13" t="s">
        <v>3536</v>
      </c>
      <c r="C2362" s="13" t="s">
        <v>3535</v>
      </c>
      <c r="D2362" s="13" t="s">
        <v>74</v>
      </c>
    </row>
    <row r="2363" spans="1:4">
      <c r="A2363" s="23">
        <v>45203</v>
      </c>
      <c r="B2363" s="13" t="s">
        <v>3537</v>
      </c>
      <c r="C2363" s="13" t="s">
        <v>3533</v>
      </c>
      <c r="D2363" s="13" t="s">
        <v>109</v>
      </c>
    </row>
    <row r="2364" spans="1:4">
      <c r="A2364" s="23">
        <v>45202</v>
      </c>
      <c r="B2364" s="13" t="s">
        <v>3539</v>
      </c>
      <c r="C2364" s="13" t="s">
        <v>3538</v>
      </c>
      <c r="D2364" s="13" t="s">
        <v>74</v>
      </c>
    </row>
    <row r="2365" spans="1:4">
      <c r="A2365" s="23">
        <v>45202</v>
      </c>
      <c r="B2365" s="13" t="s">
        <v>3183</v>
      </c>
      <c r="C2365" s="13" t="s">
        <v>3182</v>
      </c>
      <c r="D2365" s="13" t="s">
        <v>74</v>
      </c>
    </row>
    <row r="2366" spans="1:4">
      <c r="A2366" s="23">
        <v>45203</v>
      </c>
      <c r="B2366" s="13" t="s">
        <v>3540</v>
      </c>
      <c r="C2366" s="13" t="s">
        <v>3306</v>
      </c>
      <c r="D2366" s="13" t="s">
        <v>34</v>
      </c>
    </row>
    <row r="2367" spans="1:4">
      <c r="A2367" s="23">
        <v>45203</v>
      </c>
      <c r="B2367" s="13" t="s">
        <v>3541</v>
      </c>
      <c r="C2367" s="13" t="s">
        <v>3306</v>
      </c>
      <c r="D2367" s="13" t="s">
        <v>34</v>
      </c>
    </row>
    <row r="2368" spans="1:4">
      <c r="A2368" s="23">
        <v>45224</v>
      </c>
      <c r="B2368" s="13" t="s">
        <v>3543</v>
      </c>
      <c r="C2368" s="13" t="s">
        <v>3542</v>
      </c>
      <c r="D2368" s="13" t="s">
        <v>29</v>
      </c>
    </row>
    <row r="2369" spans="1:4">
      <c r="A2369" s="23">
        <v>45224</v>
      </c>
      <c r="B2369" s="13" t="s">
        <v>3544</v>
      </c>
      <c r="C2369" s="13" t="s">
        <v>2283</v>
      </c>
      <c r="D2369" s="13" t="s">
        <v>109</v>
      </c>
    </row>
    <row r="2370" spans="1:4">
      <c r="A2370" s="23">
        <v>45224</v>
      </c>
      <c r="B2370" s="13" t="s">
        <v>3545</v>
      </c>
      <c r="C2370" s="13" t="s">
        <v>91</v>
      </c>
      <c r="D2370" s="13" t="s">
        <v>81</v>
      </c>
    </row>
    <row r="2371" spans="1:4">
      <c r="A2371" s="23">
        <v>45224</v>
      </c>
      <c r="B2371" s="13" t="s">
        <v>3547</v>
      </c>
      <c r="C2371" s="13" t="s">
        <v>3546</v>
      </c>
      <c r="D2371" s="13" t="s">
        <v>81</v>
      </c>
    </row>
    <row r="2372" spans="1:4">
      <c r="A2372" s="23">
        <v>45223</v>
      </c>
      <c r="B2372" s="13" t="s">
        <v>3548</v>
      </c>
      <c r="C2372" s="13" t="s">
        <v>1413</v>
      </c>
      <c r="D2372" s="13" t="s">
        <v>74</v>
      </c>
    </row>
    <row r="2373" spans="1:4">
      <c r="A2373" s="23">
        <v>45224</v>
      </c>
      <c r="B2373" s="13" t="s">
        <v>3549</v>
      </c>
      <c r="C2373" s="13" t="s">
        <v>91</v>
      </c>
      <c r="D2373" s="13" t="s">
        <v>81</v>
      </c>
    </row>
    <row r="2374" spans="1:4">
      <c r="A2374" s="23">
        <v>45223</v>
      </c>
      <c r="B2374" s="13" t="s">
        <v>3548</v>
      </c>
      <c r="C2374" s="13" t="s">
        <v>1413</v>
      </c>
      <c r="D2374" s="13" t="s">
        <v>74</v>
      </c>
    </row>
    <row r="2375" spans="1:4">
      <c r="A2375" s="23">
        <v>45224</v>
      </c>
      <c r="B2375" s="13" t="s">
        <v>3550</v>
      </c>
      <c r="C2375" s="13" t="s">
        <v>91</v>
      </c>
      <c r="D2375" s="13" t="s">
        <v>81</v>
      </c>
    </row>
    <row r="2376" spans="1:4">
      <c r="A2376" s="23">
        <v>45224</v>
      </c>
      <c r="B2376" s="13" t="s">
        <v>3551</v>
      </c>
      <c r="C2376" s="13" t="s">
        <v>3510</v>
      </c>
      <c r="D2376" s="13" t="s">
        <v>8</v>
      </c>
    </row>
    <row r="2377" spans="1:4">
      <c r="A2377" s="23">
        <v>45224</v>
      </c>
      <c r="B2377" s="13" t="s">
        <v>3553</v>
      </c>
      <c r="C2377" s="13" t="s">
        <v>3552</v>
      </c>
      <c r="D2377" s="13" t="s">
        <v>8</v>
      </c>
    </row>
    <row r="2378" spans="1:4">
      <c r="A2378" s="23">
        <v>44967</v>
      </c>
      <c r="B2378" s="13" t="s">
        <v>3555</v>
      </c>
      <c r="C2378" s="13" t="s">
        <v>3554</v>
      </c>
      <c r="D2378" s="13" t="s">
        <v>345</v>
      </c>
    </row>
    <row r="2379" spans="1:4">
      <c r="A2379" s="23">
        <v>44968</v>
      </c>
      <c r="B2379" s="13" t="s">
        <v>3557</v>
      </c>
      <c r="C2379" s="13" t="s">
        <v>3556</v>
      </c>
      <c r="D2379" s="13" t="s">
        <v>5</v>
      </c>
    </row>
    <row r="2380" spans="1:4">
      <c r="A2380" s="23">
        <v>44970</v>
      </c>
      <c r="B2380" s="13" t="s">
        <v>3559</v>
      </c>
      <c r="C2380" s="13" t="s">
        <v>3558</v>
      </c>
      <c r="D2380" s="13" t="s">
        <v>345</v>
      </c>
    </row>
    <row r="2381" spans="1:4">
      <c r="A2381" s="23">
        <v>44971</v>
      </c>
      <c r="B2381" s="13" t="s">
        <v>3561</v>
      </c>
      <c r="C2381" s="13" t="s">
        <v>3560</v>
      </c>
      <c r="D2381" s="13" t="s">
        <v>345</v>
      </c>
    </row>
    <row r="2382" spans="1:4">
      <c r="A2382" s="23">
        <v>44971</v>
      </c>
      <c r="B2382" s="13" t="s">
        <v>3561</v>
      </c>
      <c r="C2382" s="13" t="s">
        <v>3560</v>
      </c>
      <c r="D2382" s="13" t="s">
        <v>345</v>
      </c>
    </row>
    <row r="2383" spans="1:4">
      <c r="A2383" s="23">
        <v>44971</v>
      </c>
      <c r="B2383" s="13" t="s">
        <v>3563</v>
      </c>
      <c r="C2383" s="13" t="s">
        <v>3562</v>
      </c>
      <c r="D2383" s="13" t="s">
        <v>345</v>
      </c>
    </row>
    <row r="2384" spans="1:4">
      <c r="A2384" s="23">
        <v>44972</v>
      </c>
      <c r="B2384" s="13" t="s">
        <v>3565</v>
      </c>
      <c r="C2384" s="13" t="s">
        <v>3564</v>
      </c>
      <c r="D2384" s="13" t="s">
        <v>109</v>
      </c>
    </row>
    <row r="2385" spans="1:4">
      <c r="A2385" s="23">
        <v>44972</v>
      </c>
      <c r="B2385" s="13" t="s">
        <v>3567</v>
      </c>
      <c r="C2385" s="13" t="s">
        <v>3566</v>
      </c>
      <c r="D2385" s="13" t="s">
        <v>109</v>
      </c>
    </row>
    <row r="2386" spans="1:4">
      <c r="A2386" s="23">
        <v>44973</v>
      </c>
      <c r="B2386" s="13" t="s">
        <v>3569</v>
      </c>
      <c r="C2386" s="13" t="s">
        <v>3568</v>
      </c>
      <c r="D2386" s="13" t="s">
        <v>345</v>
      </c>
    </row>
    <row r="2387" spans="1:4">
      <c r="A2387" s="23">
        <v>44973</v>
      </c>
      <c r="B2387" s="13" t="s">
        <v>3571</v>
      </c>
      <c r="C2387" s="13" t="s">
        <v>3570</v>
      </c>
      <c r="D2387" s="16" t="s">
        <v>345</v>
      </c>
    </row>
    <row r="2388" spans="1:4">
      <c r="A2388" s="23">
        <v>44973</v>
      </c>
      <c r="B2388" s="13" t="s">
        <v>3573</v>
      </c>
      <c r="C2388" s="13" t="s">
        <v>3572</v>
      </c>
      <c r="D2388" s="13" t="s">
        <v>345</v>
      </c>
    </row>
    <row r="2389" spans="1:4">
      <c r="A2389" s="23">
        <v>44974</v>
      </c>
      <c r="B2389" s="13" t="s">
        <v>3575</v>
      </c>
      <c r="C2389" s="13" t="s">
        <v>3574</v>
      </c>
      <c r="D2389" s="13" t="s">
        <v>345</v>
      </c>
    </row>
    <row r="2390" spans="1:4">
      <c r="A2390" s="23">
        <v>44975</v>
      </c>
      <c r="B2390" s="13" t="s">
        <v>3577</v>
      </c>
      <c r="C2390" s="13" t="s">
        <v>3576</v>
      </c>
      <c r="D2390" s="13" t="s">
        <v>345</v>
      </c>
    </row>
    <row r="2391" spans="1:4">
      <c r="A2391" s="23">
        <v>44979</v>
      </c>
      <c r="B2391" s="13" t="s">
        <v>3579</v>
      </c>
      <c r="C2391" s="13" t="s">
        <v>3578</v>
      </c>
      <c r="D2391" s="13" t="s">
        <v>345</v>
      </c>
    </row>
    <row r="2392" spans="1:4">
      <c r="A2392" s="23">
        <v>44979</v>
      </c>
      <c r="B2392" s="13" t="s">
        <v>3581</v>
      </c>
      <c r="C2392" s="13" t="s">
        <v>3580</v>
      </c>
      <c r="D2392" s="13" t="s">
        <v>345</v>
      </c>
    </row>
    <row r="2393" spans="1:4">
      <c r="A2393" s="23">
        <v>44979</v>
      </c>
      <c r="B2393" s="13" t="s">
        <v>3582</v>
      </c>
      <c r="C2393" s="13" t="s">
        <v>3576</v>
      </c>
      <c r="D2393" s="13" t="s">
        <v>345</v>
      </c>
    </row>
    <row r="2394" spans="1:4">
      <c r="A2394" s="23">
        <v>44980</v>
      </c>
      <c r="B2394" s="13" t="s">
        <v>3584</v>
      </c>
      <c r="C2394" s="13" t="s">
        <v>3583</v>
      </c>
      <c r="D2394" s="13" t="s">
        <v>345</v>
      </c>
    </row>
    <row r="2395" spans="1:4">
      <c r="A2395" s="23">
        <v>44981</v>
      </c>
      <c r="B2395" s="13" t="s">
        <v>3586</v>
      </c>
      <c r="C2395" s="13" t="s">
        <v>3585</v>
      </c>
      <c r="D2395" s="13" t="s">
        <v>16</v>
      </c>
    </row>
    <row r="2396" spans="1:4">
      <c r="A2396" s="23">
        <v>44985</v>
      </c>
      <c r="B2396" s="13" t="s">
        <v>3588</v>
      </c>
      <c r="C2396" s="13" t="s">
        <v>3587</v>
      </c>
      <c r="D2396" s="13" t="s">
        <v>345</v>
      </c>
    </row>
    <row r="2397" spans="1:4">
      <c r="A2397" s="23">
        <v>44985</v>
      </c>
      <c r="B2397" s="13" t="s">
        <v>3590</v>
      </c>
      <c r="C2397" s="13" t="s">
        <v>3589</v>
      </c>
      <c r="D2397" s="13" t="s">
        <v>345</v>
      </c>
    </row>
    <row r="2398" spans="1:4">
      <c r="A2398" s="23">
        <v>44986</v>
      </c>
      <c r="B2398" s="13" t="s">
        <v>3592</v>
      </c>
      <c r="C2398" s="13" t="s">
        <v>3591</v>
      </c>
      <c r="D2398" s="13" t="s">
        <v>19</v>
      </c>
    </row>
    <row r="2399" spans="1:4">
      <c r="A2399" s="23">
        <v>44987</v>
      </c>
      <c r="B2399" s="13" t="s">
        <v>3594</v>
      </c>
      <c r="C2399" s="13" t="s">
        <v>3593</v>
      </c>
      <c r="D2399" s="13" t="s">
        <v>345</v>
      </c>
    </row>
    <row r="2400" spans="1:4">
      <c r="A2400" s="23">
        <v>44991</v>
      </c>
      <c r="B2400" s="13" t="s">
        <v>3596</v>
      </c>
      <c r="C2400" s="13" t="s">
        <v>3595</v>
      </c>
      <c r="D2400" s="13" t="s">
        <v>19</v>
      </c>
    </row>
    <row r="2401" spans="1:4">
      <c r="A2401" s="23">
        <v>44991</v>
      </c>
      <c r="B2401" s="13" t="s">
        <v>3597</v>
      </c>
      <c r="C2401" s="13" t="s">
        <v>3595</v>
      </c>
      <c r="D2401" s="13" t="s">
        <v>19</v>
      </c>
    </row>
    <row r="2402" spans="1:4">
      <c r="A2402" s="23">
        <v>44992</v>
      </c>
      <c r="B2402" s="13" t="s">
        <v>3599</v>
      </c>
      <c r="C2402" s="13" t="s">
        <v>3598</v>
      </c>
      <c r="D2402" s="13" t="s">
        <v>345</v>
      </c>
    </row>
    <row r="2403" spans="1:4">
      <c r="A2403" s="23">
        <v>44993</v>
      </c>
      <c r="B2403" s="13" t="s">
        <v>3601</v>
      </c>
      <c r="C2403" s="13" t="s">
        <v>3600</v>
      </c>
      <c r="D2403" s="13" t="s">
        <v>29</v>
      </c>
    </row>
    <row r="2404" spans="1:4">
      <c r="A2404" s="23">
        <v>44993</v>
      </c>
      <c r="B2404" s="13" t="s">
        <v>3603</v>
      </c>
      <c r="C2404" s="13" t="s">
        <v>3602</v>
      </c>
      <c r="D2404" s="13" t="s">
        <v>29</v>
      </c>
    </row>
    <row r="2405" spans="1:4">
      <c r="A2405" s="23">
        <v>44993</v>
      </c>
      <c r="B2405" s="13" t="s">
        <v>3605</v>
      </c>
      <c r="C2405" s="13" t="s">
        <v>3604</v>
      </c>
      <c r="D2405" s="13" t="s">
        <v>345</v>
      </c>
    </row>
    <row r="2406" spans="1:4">
      <c r="A2406" s="23">
        <v>44994</v>
      </c>
      <c r="B2406" s="13" t="s">
        <v>3607</v>
      </c>
      <c r="C2406" s="13" t="s">
        <v>3606</v>
      </c>
      <c r="D2406" s="13" t="s">
        <v>29</v>
      </c>
    </row>
    <row r="2407" spans="1:4">
      <c r="A2407" s="23">
        <v>44995</v>
      </c>
      <c r="B2407" s="13" t="s">
        <v>3609</v>
      </c>
      <c r="C2407" s="13" t="s">
        <v>3608</v>
      </c>
      <c r="D2407" s="13" t="s">
        <v>8</v>
      </c>
    </row>
    <row r="2408" spans="1:4">
      <c r="A2408" s="23">
        <v>44996</v>
      </c>
      <c r="B2408" s="13" t="s">
        <v>3611</v>
      </c>
      <c r="C2408" s="13" t="s">
        <v>3610</v>
      </c>
      <c r="D2408" s="13" t="s">
        <v>16</v>
      </c>
    </row>
    <row r="2409" spans="1:4">
      <c r="A2409" s="23">
        <v>44998</v>
      </c>
      <c r="B2409" s="13" t="s">
        <v>3613</v>
      </c>
      <c r="C2409" s="13" t="s">
        <v>3612</v>
      </c>
      <c r="D2409" s="13" t="s">
        <v>29</v>
      </c>
    </row>
    <row r="2410" spans="1:4">
      <c r="A2410" s="23">
        <v>44999</v>
      </c>
      <c r="B2410" s="13" t="s">
        <v>3615</v>
      </c>
      <c r="C2410" s="13" t="s">
        <v>3614</v>
      </c>
      <c r="D2410" s="13" t="s">
        <v>16</v>
      </c>
    </row>
    <row r="2411" spans="1:4">
      <c r="A2411" s="23">
        <v>45000</v>
      </c>
      <c r="B2411" s="13" t="s">
        <v>3617</v>
      </c>
      <c r="C2411" s="13" t="s">
        <v>3616</v>
      </c>
      <c r="D2411" s="13" t="s">
        <v>29</v>
      </c>
    </row>
    <row r="2412" spans="1:4">
      <c r="A2412" s="23">
        <v>45000</v>
      </c>
      <c r="B2412" s="13" t="s">
        <v>3619</v>
      </c>
      <c r="C2412" s="13" t="s">
        <v>3618</v>
      </c>
      <c r="D2412" s="13" t="s">
        <v>345</v>
      </c>
    </row>
    <row r="2413" spans="1:4">
      <c r="A2413" s="23">
        <v>45000</v>
      </c>
      <c r="B2413" s="13" t="s">
        <v>3621</v>
      </c>
      <c r="C2413" s="13" t="s">
        <v>3620</v>
      </c>
      <c r="D2413" s="13" t="s">
        <v>29</v>
      </c>
    </row>
    <row r="2414" spans="1:4">
      <c r="A2414" s="23">
        <v>45001</v>
      </c>
      <c r="B2414" s="13" t="s">
        <v>3623</v>
      </c>
      <c r="C2414" s="13" t="s">
        <v>3622</v>
      </c>
      <c r="D2414" s="13" t="s">
        <v>8</v>
      </c>
    </row>
    <row r="2415" spans="1:4">
      <c r="A2415" s="23">
        <v>45001</v>
      </c>
      <c r="B2415" s="13" t="s">
        <v>3625</v>
      </c>
      <c r="C2415" s="13" t="s">
        <v>3624</v>
      </c>
      <c r="D2415" s="13" t="s">
        <v>8</v>
      </c>
    </row>
    <row r="2416" spans="1:4">
      <c r="A2416" s="23">
        <v>45003</v>
      </c>
      <c r="B2416" s="13" t="s">
        <v>3627</v>
      </c>
      <c r="C2416" s="13" t="s">
        <v>3626</v>
      </c>
      <c r="D2416" s="13" t="s">
        <v>11</v>
      </c>
    </row>
    <row r="2417" spans="1:4">
      <c r="A2417" s="23">
        <v>45005</v>
      </c>
      <c r="B2417" s="13" t="s">
        <v>3629</v>
      </c>
      <c r="C2417" s="13" t="s">
        <v>3628</v>
      </c>
      <c r="D2417" s="13" t="s">
        <v>29</v>
      </c>
    </row>
    <row r="2418" spans="1:4">
      <c r="A2418" s="23">
        <v>45006</v>
      </c>
      <c r="B2418" s="13" t="s">
        <v>3631</v>
      </c>
      <c r="C2418" s="13" t="s">
        <v>3630</v>
      </c>
      <c r="D2418" s="13" t="s">
        <v>345</v>
      </c>
    </row>
    <row r="2419" spans="1:4">
      <c r="A2419" s="23">
        <v>45006</v>
      </c>
      <c r="B2419" s="13" t="s">
        <v>3633</v>
      </c>
      <c r="C2419" s="13" t="s">
        <v>3632</v>
      </c>
      <c r="D2419" s="13" t="s">
        <v>345</v>
      </c>
    </row>
    <row r="2420" spans="1:4">
      <c r="A2420" s="23">
        <v>45006</v>
      </c>
      <c r="B2420" s="13" t="s">
        <v>3635</v>
      </c>
      <c r="C2420" s="13" t="s">
        <v>3634</v>
      </c>
      <c r="D2420" s="13" t="s">
        <v>29</v>
      </c>
    </row>
    <row r="2421" spans="1:4">
      <c r="A2421" s="23">
        <v>45006</v>
      </c>
      <c r="B2421" s="13" t="s">
        <v>3637</v>
      </c>
      <c r="C2421" s="13" t="s">
        <v>3636</v>
      </c>
      <c r="D2421" s="13" t="s">
        <v>29</v>
      </c>
    </row>
    <row r="2422" spans="1:4">
      <c r="A2422" s="23">
        <v>45007</v>
      </c>
      <c r="B2422" s="13" t="s">
        <v>3639</v>
      </c>
      <c r="C2422" s="13" t="s">
        <v>3638</v>
      </c>
      <c r="D2422" s="13" t="s">
        <v>345</v>
      </c>
    </row>
    <row r="2423" spans="1:4">
      <c r="A2423" s="23">
        <v>45007</v>
      </c>
      <c r="B2423" s="13" t="s">
        <v>3641</v>
      </c>
      <c r="C2423" s="13" t="s">
        <v>3640</v>
      </c>
      <c r="D2423" s="13" t="s">
        <v>345</v>
      </c>
    </row>
    <row r="2424" spans="1:4">
      <c r="A2424" s="23">
        <v>45008</v>
      </c>
      <c r="B2424" s="13" t="s">
        <v>3643</v>
      </c>
      <c r="C2424" s="13" t="s">
        <v>3642</v>
      </c>
      <c r="D2424" s="13" t="s">
        <v>29</v>
      </c>
    </row>
    <row r="2425" spans="1:4">
      <c r="A2425" s="23">
        <v>45009</v>
      </c>
      <c r="B2425" s="13" t="s">
        <v>3644</v>
      </c>
      <c r="C2425" s="13" t="s">
        <v>3634</v>
      </c>
      <c r="D2425" s="13" t="s">
        <v>29</v>
      </c>
    </row>
    <row r="2426" spans="1:4">
      <c r="A2426" s="23">
        <v>45010</v>
      </c>
      <c r="B2426" s="13" t="s">
        <v>3646</v>
      </c>
      <c r="C2426" s="13" t="s">
        <v>3645</v>
      </c>
      <c r="D2426" s="13" t="s">
        <v>29</v>
      </c>
    </row>
    <row r="2427" spans="1:4">
      <c r="A2427" s="23">
        <v>45012</v>
      </c>
      <c r="B2427" s="13" t="s">
        <v>3648</v>
      </c>
      <c r="C2427" s="13" t="s">
        <v>3647</v>
      </c>
      <c r="D2427" s="13" t="s">
        <v>345</v>
      </c>
    </row>
    <row r="2428" spans="1:4">
      <c r="A2428" s="23">
        <v>45014</v>
      </c>
      <c r="B2428" s="13" t="s">
        <v>3650</v>
      </c>
      <c r="C2428" s="13" t="s">
        <v>3649</v>
      </c>
      <c r="D2428" s="13" t="s">
        <v>345</v>
      </c>
    </row>
    <row r="2429" spans="1:4">
      <c r="A2429" s="23">
        <v>45015</v>
      </c>
      <c r="B2429" s="13" t="s">
        <v>3652</v>
      </c>
      <c r="C2429" s="13" t="s">
        <v>3651</v>
      </c>
      <c r="D2429" s="13" t="s">
        <v>345</v>
      </c>
    </row>
    <row r="2430" spans="1:4">
      <c r="A2430" s="23">
        <v>45019</v>
      </c>
      <c r="B2430" s="13" t="s">
        <v>3654</v>
      </c>
      <c r="C2430" s="13" t="s">
        <v>3653</v>
      </c>
      <c r="D2430" s="13" t="s">
        <v>29</v>
      </c>
    </row>
    <row r="2431" spans="1:4">
      <c r="A2431" s="23">
        <v>45020</v>
      </c>
      <c r="B2431" s="13" t="s">
        <v>3656</v>
      </c>
      <c r="C2431" s="13" t="s">
        <v>3655</v>
      </c>
      <c r="D2431" s="13" t="s">
        <v>29</v>
      </c>
    </row>
    <row r="2432" spans="1:4">
      <c r="A2432" s="23">
        <v>45022</v>
      </c>
      <c r="B2432" s="13" t="s">
        <v>3658</v>
      </c>
      <c r="C2432" s="13" t="s">
        <v>3657</v>
      </c>
      <c r="D2432" s="13" t="s">
        <v>29</v>
      </c>
    </row>
    <row r="2433" spans="1:4">
      <c r="A2433" s="23">
        <v>45027</v>
      </c>
      <c r="B2433" s="13" t="s">
        <v>3660</v>
      </c>
      <c r="C2433" s="13" t="s">
        <v>3659</v>
      </c>
      <c r="D2433" s="13" t="s">
        <v>29</v>
      </c>
    </row>
    <row r="2434" spans="1:4">
      <c r="A2434" s="23">
        <v>45030</v>
      </c>
      <c r="B2434" s="13" t="s">
        <v>3662</v>
      </c>
      <c r="C2434" s="13" t="s">
        <v>3661</v>
      </c>
      <c r="D2434" s="13" t="s">
        <v>29</v>
      </c>
    </row>
    <row r="2435" spans="1:4">
      <c r="A2435" s="23">
        <v>45040</v>
      </c>
      <c r="B2435" s="13" t="s">
        <v>3664</v>
      </c>
      <c r="C2435" s="13" t="s">
        <v>3663</v>
      </c>
      <c r="D2435" s="13" t="s">
        <v>29</v>
      </c>
    </row>
    <row r="2436" spans="1:4">
      <c r="A2436" s="23">
        <v>45041</v>
      </c>
      <c r="B2436" s="13" t="s">
        <v>3666</v>
      </c>
      <c r="C2436" s="13" t="s">
        <v>3665</v>
      </c>
      <c r="D2436" s="13" t="s">
        <v>16</v>
      </c>
    </row>
    <row r="2437" spans="1:4">
      <c r="A2437" s="23">
        <v>45042</v>
      </c>
      <c r="B2437" s="13" t="s">
        <v>3668</v>
      </c>
      <c r="C2437" s="13" t="s">
        <v>3667</v>
      </c>
      <c r="D2437" s="13" t="s">
        <v>29</v>
      </c>
    </row>
    <row r="2438" spans="1:4">
      <c r="A2438" s="23">
        <v>45042</v>
      </c>
      <c r="B2438" s="13" t="s">
        <v>3670</v>
      </c>
      <c r="C2438" s="13" t="s">
        <v>3669</v>
      </c>
      <c r="D2438" s="13" t="s">
        <v>164</v>
      </c>
    </row>
    <row r="2439" spans="1:4">
      <c r="A2439" s="23">
        <v>45042</v>
      </c>
      <c r="B2439" s="13" t="s">
        <v>3672</v>
      </c>
      <c r="C2439" s="13" t="s">
        <v>3671</v>
      </c>
      <c r="D2439" s="13" t="s">
        <v>16</v>
      </c>
    </row>
    <row r="2440" spans="1:4">
      <c r="A2440" s="23">
        <v>45043</v>
      </c>
      <c r="B2440" s="13" t="s">
        <v>3674</v>
      </c>
      <c r="C2440" s="13" t="s">
        <v>3673</v>
      </c>
      <c r="D2440" s="13" t="s">
        <v>29</v>
      </c>
    </row>
    <row r="2441" spans="1:4">
      <c r="A2441" s="23">
        <v>45043</v>
      </c>
      <c r="B2441" s="13" t="s">
        <v>3676</v>
      </c>
      <c r="C2441" s="13" t="s">
        <v>3675</v>
      </c>
      <c r="D2441" s="13" t="s">
        <v>8</v>
      </c>
    </row>
    <row r="2442" spans="1:4">
      <c r="A2442" s="23">
        <v>45044</v>
      </c>
      <c r="B2442" s="13" t="s">
        <v>3678</v>
      </c>
      <c r="C2442" s="13" t="s">
        <v>3677</v>
      </c>
      <c r="D2442" s="13" t="s">
        <v>29</v>
      </c>
    </row>
    <row r="2443" spans="1:4">
      <c r="A2443" s="23">
        <v>45044</v>
      </c>
      <c r="B2443" s="13" t="s">
        <v>3680</v>
      </c>
      <c r="C2443" s="13" t="s">
        <v>3679</v>
      </c>
      <c r="D2443" s="13" t="s">
        <v>345</v>
      </c>
    </row>
    <row r="2444" spans="1:4">
      <c r="A2444" s="23">
        <v>45045</v>
      </c>
      <c r="B2444" s="13" t="s">
        <v>3682</v>
      </c>
      <c r="C2444" s="13" t="s">
        <v>3681</v>
      </c>
      <c r="D2444" s="13" t="s">
        <v>29</v>
      </c>
    </row>
    <row r="2445" spans="1:4">
      <c r="A2445" s="23">
        <v>45045</v>
      </c>
      <c r="B2445" s="13" t="s">
        <v>3684</v>
      </c>
      <c r="C2445" s="13" t="s">
        <v>3683</v>
      </c>
      <c r="D2445" s="13" t="s">
        <v>29</v>
      </c>
    </row>
    <row r="2446" spans="1:4">
      <c r="A2446" s="23">
        <v>45047</v>
      </c>
      <c r="B2446" s="13" t="s">
        <v>3686</v>
      </c>
      <c r="C2446" s="13" t="s">
        <v>3685</v>
      </c>
      <c r="D2446" s="13" t="s">
        <v>16</v>
      </c>
    </row>
    <row r="2447" spans="1:4">
      <c r="A2447" s="23">
        <v>45048</v>
      </c>
      <c r="B2447" s="13" t="s">
        <v>3688</v>
      </c>
      <c r="C2447" s="13" t="s">
        <v>3687</v>
      </c>
      <c r="D2447" s="13" t="s">
        <v>345</v>
      </c>
    </row>
    <row r="2448" spans="1:4">
      <c r="A2448" s="23">
        <v>45050</v>
      </c>
      <c r="B2448" s="13" t="s">
        <v>3690</v>
      </c>
      <c r="C2448" s="13" t="s">
        <v>3689</v>
      </c>
      <c r="D2448" s="13" t="s">
        <v>345</v>
      </c>
    </row>
    <row r="2449" spans="1:4">
      <c r="A2449" s="23">
        <v>45051</v>
      </c>
      <c r="B2449" s="13" t="s">
        <v>3692</v>
      </c>
      <c r="C2449" s="13" t="s">
        <v>3691</v>
      </c>
      <c r="D2449" s="13" t="s">
        <v>345</v>
      </c>
    </row>
    <row r="2450" spans="1:4">
      <c r="A2450" s="23">
        <v>45051</v>
      </c>
      <c r="B2450" s="13" t="s">
        <v>3693</v>
      </c>
      <c r="C2450" s="13" t="s">
        <v>3570</v>
      </c>
      <c r="D2450" s="13" t="s">
        <v>345</v>
      </c>
    </row>
    <row r="2451" spans="1:4">
      <c r="A2451" s="23">
        <v>45054</v>
      </c>
      <c r="B2451" s="13" t="s">
        <v>3694</v>
      </c>
      <c r="C2451" s="13" t="s">
        <v>3669</v>
      </c>
      <c r="D2451" s="13" t="s">
        <v>164</v>
      </c>
    </row>
    <row r="2452" spans="1:4">
      <c r="A2452" s="23">
        <v>45055</v>
      </c>
      <c r="B2452" s="13" t="s">
        <v>3696</v>
      </c>
      <c r="C2452" s="13" t="s">
        <v>3695</v>
      </c>
      <c r="D2452" s="13" t="s">
        <v>345</v>
      </c>
    </row>
    <row r="2453" spans="1:4">
      <c r="A2453" s="23">
        <v>45055</v>
      </c>
      <c r="B2453" s="13" t="s">
        <v>3696</v>
      </c>
      <c r="C2453" s="13" t="s">
        <v>3695</v>
      </c>
      <c r="D2453" s="13" t="s">
        <v>345</v>
      </c>
    </row>
    <row r="2454" spans="1:4">
      <c r="A2454" s="23">
        <v>45055</v>
      </c>
      <c r="B2454" s="13" t="s">
        <v>3698</v>
      </c>
      <c r="C2454" s="13" t="s">
        <v>3697</v>
      </c>
      <c r="D2454" s="13" t="s">
        <v>345</v>
      </c>
    </row>
    <row r="2455" spans="1:4">
      <c r="A2455" s="23">
        <v>45056</v>
      </c>
      <c r="B2455" s="13" t="s">
        <v>3700</v>
      </c>
      <c r="C2455" s="13" t="s">
        <v>3699</v>
      </c>
      <c r="D2455" s="13" t="s">
        <v>345</v>
      </c>
    </row>
    <row r="2456" spans="1:4">
      <c r="A2456" s="23">
        <v>45056</v>
      </c>
      <c r="B2456" s="13" t="s">
        <v>3702</v>
      </c>
      <c r="C2456" s="13" t="s">
        <v>3701</v>
      </c>
      <c r="D2456" s="13" t="s">
        <v>345</v>
      </c>
    </row>
    <row r="2457" spans="1:4">
      <c r="A2457" s="23">
        <v>45056</v>
      </c>
      <c r="B2457" s="13" t="s">
        <v>3704</v>
      </c>
      <c r="C2457" s="13" t="s">
        <v>3703</v>
      </c>
      <c r="D2457" s="13" t="s">
        <v>345</v>
      </c>
    </row>
    <row r="2458" spans="1:4">
      <c r="A2458" s="23">
        <v>45057</v>
      </c>
      <c r="B2458" s="13" t="s">
        <v>3706</v>
      </c>
      <c r="C2458" s="13" t="s">
        <v>3705</v>
      </c>
      <c r="D2458" s="13" t="s">
        <v>345</v>
      </c>
    </row>
    <row r="2459" spans="1:4">
      <c r="A2459" s="23">
        <v>45057</v>
      </c>
      <c r="B2459" s="13" t="s">
        <v>3708</v>
      </c>
      <c r="C2459" s="13" t="s">
        <v>3707</v>
      </c>
      <c r="D2459" s="13" t="s">
        <v>345</v>
      </c>
    </row>
    <row r="2460" spans="1:4">
      <c r="A2460" s="23">
        <v>45058</v>
      </c>
      <c r="B2460" s="13" t="s">
        <v>3710</v>
      </c>
      <c r="C2460" s="13" t="s">
        <v>3709</v>
      </c>
      <c r="D2460" s="13" t="s">
        <v>24</v>
      </c>
    </row>
    <row r="2461" spans="1:4">
      <c r="A2461" s="23">
        <v>45061</v>
      </c>
      <c r="B2461" s="13" t="s">
        <v>3712</v>
      </c>
      <c r="C2461" s="13" t="s">
        <v>3711</v>
      </c>
      <c r="D2461" s="13" t="s">
        <v>345</v>
      </c>
    </row>
    <row r="2462" spans="1:4">
      <c r="A2462" s="23">
        <v>45061</v>
      </c>
      <c r="B2462" s="13" t="s">
        <v>3714</v>
      </c>
      <c r="C2462" s="13" t="s">
        <v>3713</v>
      </c>
      <c r="D2462" s="13" t="s">
        <v>29</v>
      </c>
    </row>
    <row r="2463" spans="1:4">
      <c r="A2463" s="23">
        <v>45062</v>
      </c>
      <c r="B2463" s="13" t="s">
        <v>3716</v>
      </c>
      <c r="C2463" s="13" t="s">
        <v>3715</v>
      </c>
      <c r="D2463" s="13" t="s">
        <v>345</v>
      </c>
    </row>
    <row r="2464" spans="1:4">
      <c r="A2464" s="23">
        <v>45062</v>
      </c>
      <c r="B2464" s="13" t="s">
        <v>3718</v>
      </c>
      <c r="C2464" s="13" t="s">
        <v>3717</v>
      </c>
      <c r="D2464" s="13" t="s">
        <v>109</v>
      </c>
    </row>
    <row r="2465" spans="1:4">
      <c r="A2465" s="23">
        <v>45062</v>
      </c>
      <c r="B2465" s="13" t="s">
        <v>3720</v>
      </c>
      <c r="C2465" s="13" t="s">
        <v>3719</v>
      </c>
      <c r="D2465" s="13" t="s">
        <v>29</v>
      </c>
    </row>
    <row r="2466" spans="1:4">
      <c r="A2466" s="23">
        <v>45062</v>
      </c>
      <c r="B2466" s="13" t="s">
        <v>3722</v>
      </c>
      <c r="C2466" s="13" t="s">
        <v>3721</v>
      </c>
      <c r="D2466" s="13" t="s">
        <v>16</v>
      </c>
    </row>
    <row r="2467" spans="1:4">
      <c r="A2467" s="23">
        <v>45064</v>
      </c>
      <c r="B2467" s="13" t="s">
        <v>3724</v>
      </c>
      <c r="C2467" s="13" t="s">
        <v>3723</v>
      </c>
      <c r="D2467" s="13" t="s">
        <v>11</v>
      </c>
    </row>
    <row r="2468" spans="1:4">
      <c r="A2468" s="23">
        <v>45064</v>
      </c>
      <c r="B2468" s="13" t="s">
        <v>3726</v>
      </c>
      <c r="C2468" s="13" t="s">
        <v>3725</v>
      </c>
      <c r="D2468" s="16" t="s">
        <v>29</v>
      </c>
    </row>
    <row r="2469" spans="1:4">
      <c r="A2469" s="23">
        <v>45064</v>
      </c>
      <c r="B2469" s="13" t="s">
        <v>3727</v>
      </c>
      <c r="C2469" s="13" t="s">
        <v>3616</v>
      </c>
      <c r="D2469" s="13" t="s">
        <v>29</v>
      </c>
    </row>
    <row r="2470" spans="1:4">
      <c r="A2470" s="23">
        <v>45065</v>
      </c>
      <c r="B2470" s="13" t="s">
        <v>3729</v>
      </c>
      <c r="C2470" s="13" t="s">
        <v>3728</v>
      </c>
      <c r="D2470" s="13" t="s">
        <v>8</v>
      </c>
    </row>
    <row r="2471" spans="1:4">
      <c r="A2471" s="23">
        <v>45065</v>
      </c>
      <c r="B2471" s="13" t="s">
        <v>3731</v>
      </c>
      <c r="C2471" s="13" t="s">
        <v>3730</v>
      </c>
      <c r="D2471" s="13" t="s">
        <v>345</v>
      </c>
    </row>
    <row r="2472" spans="1:4">
      <c r="A2472" s="23">
        <v>45066</v>
      </c>
      <c r="B2472" s="13" t="s">
        <v>3733</v>
      </c>
      <c r="C2472" s="13" t="s">
        <v>3732</v>
      </c>
      <c r="D2472" s="13" t="s">
        <v>29</v>
      </c>
    </row>
    <row r="2473" spans="1:4">
      <c r="A2473" s="23">
        <v>45068</v>
      </c>
      <c r="B2473" s="13" t="s">
        <v>3735</v>
      </c>
      <c r="C2473" s="13" t="s">
        <v>3734</v>
      </c>
      <c r="D2473" s="13" t="s">
        <v>29</v>
      </c>
    </row>
    <row r="2474" spans="1:4">
      <c r="A2474" s="23">
        <v>45068</v>
      </c>
      <c r="B2474" s="13" t="s">
        <v>3737</v>
      </c>
      <c r="C2474" s="13" t="s">
        <v>3736</v>
      </c>
      <c r="D2474" s="13" t="s">
        <v>345</v>
      </c>
    </row>
    <row r="2475" spans="1:4">
      <c r="A2475" s="23">
        <v>45069</v>
      </c>
      <c r="B2475" s="13" t="s">
        <v>3739</v>
      </c>
      <c r="C2475" s="13" t="s">
        <v>3738</v>
      </c>
      <c r="D2475" s="13" t="s">
        <v>29</v>
      </c>
    </row>
    <row r="2476" spans="1:4">
      <c r="A2476" s="23">
        <v>45069</v>
      </c>
      <c r="B2476" s="13" t="s">
        <v>3740</v>
      </c>
      <c r="C2476" s="21">
        <v>70270</v>
      </c>
      <c r="D2476" s="13" t="s">
        <v>24</v>
      </c>
    </row>
    <row r="2477" spans="1:4">
      <c r="A2477" s="23">
        <v>45069</v>
      </c>
      <c r="B2477" s="13" t="s">
        <v>3742</v>
      </c>
      <c r="C2477" s="13" t="s">
        <v>3741</v>
      </c>
      <c r="D2477" s="13" t="s">
        <v>510</v>
      </c>
    </row>
    <row r="2478" spans="1:4">
      <c r="A2478" s="23">
        <v>45070</v>
      </c>
      <c r="B2478" s="13" t="s">
        <v>3744</v>
      </c>
      <c r="C2478" s="13" t="s">
        <v>3743</v>
      </c>
      <c r="D2478" s="13" t="s">
        <v>29</v>
      </c>
    </row>
    <row r="2479" spans="1:4">
      <c r="A2479" s="23">
        <v>45070</v>
      </c>
      <c r="B2479" s="13" t="s">
        <v>3746</v>
      </c>
      <c r="C2479" s="13" t="s">
        <v>3745</v>
      </c>
      <c r="D2479" s="13" t="s">
        <v>345</v>
      </c>
    </row>
    <row r="2480" spans="1:4">
      <c r="A2480" s="23">
        <v>45070</v>
      </c>
      <c r="B2480" s="13" t="s">
        <v>3748</v>
      </c>
      <c r="C2480" s="13" t="s">
        <v>3747</v>
      </c>
      <c r="D2480" s="13" t="s">
        <v>345</v>
      </c>
    </row>
    <row r="2481" spans="1:4">
      <c r="A2481" s="23">
        <v>45071</v>
      </c>
      <c r="B2481" s="13" t="s">
        <v>3749</v>
      </c>
      <c r="C2481" s="13" t="s">
        <v>3661</v>
      </c>
      <c r="D2481" s="13" t="s">
        <v>29</v>
      </c>
    </row>
    <row r="2482" spans="1:4">
      <c r="A2482" s="23">
        <v>45071</v>
      </c>
      <c r="B2482" s="13" t="s">
        <v>3751</v>
      </c>
      <c r="C2482" s="13" t="s">
        <v>3750</v>
      </c>
      <c r="D2482" s="16" t="s">
        <v>345</v>
      </c>
    </row>
    <row r="2483" spans="1:4">
      <c r="A2483" s="23">
        <v>45071</v>
      </c>
      <c r="B2483" s="13" t="s">
        <v>3753</v>
      </c>
      <c r="C2483" s="13" t="s">
        <v>3752</v>
      </c>
      <c r="D2483" s="16" t="s">
        <v>29</v>
      </c>
    </row>
    <row r="2484" spans="1:4">
      <c r="A2484" s="23">
        <v>45071</v>
      </c>
      <c r="B2484" s="13" t="s">
        <v>3754</v>
      </c>
      <c r="C2484" s="13" t="s">
        <v>3750</v>
      </c>
      <c r="D2484" s="16" t="s">
        <v>345</v>
      </c>
    </row>
    <row r="2485" spans="1:4">
      <c r="A2485" s="23">
        <v>45072</v>
      </c>
      <c r="B2485" s="13" t="s">
        <v>3756</v>
      </c>
      <c r="C2485" s="13" t="s">
        <v>3755</v>
      </c>
      <c r="D2485" s="16" t="s">
        <v>29</v>
      </c>
    </row>
    <row r="2486" spans="1:4">
      <c r="A2486" s="23">
        <v>45072</v>
      </c>
      <c r="B2486" s="13" t="s">
        <v>3758</v>
      </c>
      <c r="C2486" s="13" t="s">
        <v>3757</v>
      </c>
      <c r="D2486" s="13" t="s">
        <v>345</v>
      </c>
    </row>
    <row r="2487" spans="1:4">
      <c r="A2487" s="23">
        <v>45072</v>
      </c>
      <c r="B2487" s="13" t="s">
        <v>3760</v>
      </c>
      <c r="C2487" s="13" t="s">
        <v>3759</v>
      </c>
      <c r="D2487" s="13" t="s">
        <v>29</v>
      </c>
    </row>
    <row r="2488" spans="1:4">
      <c r="A2488" s="23">
        <v>45073</v>
      </c>
      <c r="B2488" s="13" t="s">
        <v>3762</v>
      </c>
      <c r="C2488" s="13" t="s">
        <v>3761</v>
      </c>
      <c r="D2488" s="13" t="s">
        <v>345</v>
      </c>
    </row>
    <row r="2489" spans="1:4">
      <c r="A2489" s="23">
        <v>45073</v>
      </c>
      <c r="B2489" s="13" t="s">
        <v>3762</v>
      </c>
      <c r="C2489" s="13" t="s">
        <v>3761</v>
      </c>
      <c r="D2489" s="13" t="s">
        <v>345</v>
      </c>
    </row>
    <row r="2490" spans="1:4">
      <c r="A2490" s="23">
        <v>45075</v>
      </c>
      <c r="B2490" s="13" t="s">
        <v>3764</v>
      </c>
      <c r="C2490" s="13" t="s">
        <v>3763</v>
      </c>
      <c r="D2490" s="13" t="s">
        <v>109</v>
      </c>
    </row>
    <row r="2491" spans="1:4">
      <c r="A2491" s="23">
        <v>45075</v>
      </c>
      <c r="B2491" s="13" t="s">
        <v>3766</v>
      </c>
      <c r="C2491" s="13" t="s">
        <v>3765</v>
      </c>
      <c r="D2491" s="13" t="s">
        <v>29</v>
      </c>
    </row>
    <row r="2492" spans="1:4">
      <c r="A2492" s="23">
        <v>45075</v>
      </c>
      <c r="B2492" s="13" t="s">
        <v>3768</v>
      </c>
      <c r="C2492" s="14" t="s">
        <v>3767</v>
      </c>
      <c r="D2492" s="13" t="s">
        <v>16</v>
      </c>
    </row>
    <row r="2493" spans="1:4">
      <c r="A2493" s="23">
        <v>45075</v>
      </c>
      <c r="B2493" s="13" t="s">
        <v>3768</v>
      </c>
      <c r="C2493" s="13" t="s">
        <v>3767</v>
      </c>
      <c r="D2493" s="13" t="s">
        <v>16</v>
      </c>
    </row>
    <row r="2494" spans="1:4">
      <c r="A2494" s="23">
        <v>45076</v>
      </c>
      <c r="B2494" s="13" t="s">
        <v>3770</v>
      </c>
      <c r="C2494" s="13" t="s">
        <v>3769</v>
      </c>
      <c r="D2494" s="13" t="s">
        <v>16</v>
      </c>
    </row>
    <row r="2495" spans="1:4">
      <c r="A2495" s="23">
        <v>45076</v>
      </c>
      <c r="B2495" s="13" t="s">
        <v>3772</v>
      </c>
      <c r="C2495" s="13" t="s">
        <v>3771</v>
      </c>
      <c r="D2495" s="13" t="s">
        <v>29</v>
      </c>
    </row>
    <row r="2496" spans="1:4">
      <c r="A2496" s="23">
        <v>45076</v>
      </c>
      <c r="B2496" s="13" t="s">
        <v>3774</v>
      </c>
      <c r="C2496" s="13" t="s">
        <v>3773</v>
      </c>
      <c r="D2496" s="13" t="s">
        <v>345</v>
      </c>
    </row>
    <row r="2497" spans="1:4">
      <c r="A2497" s="23">
        <v>45076</v>
      </c>
      <c r="B2497" s="13" t="s">
        <v>3776</v>
      </c>
      <c r="C2497" s="13" t="s">
        <v>3775</v>
      </c>
      <c r="D2497" s="13" t="s">
        <v>16</v>
      </c>
    </row>
    <row r="2498" spans="1:4">
      <c r="A2498" s="23">
        <v>45077</v>
      </c>
      <c r="B2498" s="13" t="s">
        <v>3778</v>
      </c>
      <c r="C2498" s="13" t="s">
        <v>3777</v>
      </c>
      <c r="D2498" s="13" t="s">
        <v>29</v>
      </c>
    </row>
    <row r="2499" spans="1:4">
      <c r="A2499" s="23">
        <v>45077</v>
      </c>
      <c r="B2499" s="13" t="s">
        <v>3780</v>
      </c>
      <c r="C2499" s="13" t="s">
        <v>3779</v>
      </c>
      <c r="D2499" s="13" t="s">
        <v>345</v>
      </c>
    </row>
    <row r="2500" spans="1:4">
      <c r="A2500" s="23">
        <v>45078</v>
      </c>
      <c r="B2500" s="13" t="s">
        <v>3782</v>
      </c>
      <c r="C2500" s="13" t="s">
        <v>3781</v>
      </c>
      <c r="D2500" s="13" t="s">
        <v>345</v>
      </c>
    </row>
    <row r="2501" spans="1:4">
      <c r="A2501" s="23">
        <v>45078</v>
      </c>
      <c r="B2501" s="13" t="s">
        <v>3784</v>
      </c>
      <c r="C2501" s="13" t="s">
        <v>3783</v>
      </c>
      <c r="D2501" s="13" t="s">
        <v>345</v>
      </c>
    </row>
    <row r="2502" spans="1:4">
      <c r="A2502" s="23">
        <v>45079</v>
      </c>
      <c r="B2502" s="13" t="s">
        <v>3786</v>
      </c>
      <c r="C2502" s="13" t="s">
        <v>3785</v>
      </c>
      <c r="D2502" s="13" t="s">
        <v>29</v>
      </c>
    </row>
    <row r="2503" spans="1:4">
      <c r="A2503" s="23">
        <v>45079</v>
      </c>
      <c r="B2503" s="13" t="s">
        <v>3788</v>
      </c>
      <c r="C2503" s="13" t="s">
        <v>3787</v>
      </c>
      <c r="D2503" s="13" t="s">
        <v>109</v>
      </c>
    </row>
    <row r="2504" spans="1:4">
      <c r="A2504" s="23">
        <v>45079</v>
      </c>
      <c r="B2504" s="13" t="s">
        <v>3790</v>
      </c>
      <c r="C2504" s="13" t="s">
        <v>3789</v>
      </c>
      <c r="D2504" s="13" t="s">
        <v>345</v>
      </c>
    </row>
    <row r="2505" spans="1:4">
      <c r="A2505" s="23">
        <v>45080</v>
      </c>
      <c r="B2505" s="13" t="s">
        <v>3792</v>
      </c>
      <c r="C2505" s="13" t="s">
        <v>3791</v>
      </c>
      <c r="D2505" s="13" t="s">
        <v>345</v>
      </c>
    </row>
    <row r="2506" spans="1:4">
      <c r="A2506" s="23">
        <v>45082</v>
      </c>
      <c r="B2506" s="13" t="s">
        <v>3794</v>
      </c>
      <c r="C2506" s="13" t="s">
        <v>3793</v>
      </c>
      <c r="D2506" s="13" t="s">
        <v>29</v>
      </c>
    </row>
    <row r="2507" spans="1:4">
      <c r="A2507" s="23">
        <v>45082</v>
      </c>
      <c r="B2507" s="13" t="s">
        <v>3796</v>
      </c>
      <c r="C2507" s="13" t="s">
        <v>3795</v>
      </c>
      <c r="D2507" s="13" t="s">
        <v>345</v>
      </c>
    </row>
    <row r="2508" spans="1:4">
      <c r="A2508" s="23">
        <v>45083</v>
      </c>
      <c r="B2508" s="13" t="s">
        <v>3798</v>
      </c>
      <c r="C2508" s="13" t="s">
        <v>3797</v>
      </c>
      <c r="D2508" s="13" t="s">
        <v>164</v>
      </c>
    </row>
    <row r="2509" spans="1:4">
      <c r="A2509" s="23">
        <v>45083</v>
      </c>
      <c r="B2509" s="13" t="s">
        <v>3800</v>
      </c>
      <c r="C2509" s="13" t="s">
        <v>3799</v>
      </c>
      <c r="D2509" s="13" t="s">
        <v>29</v>
      </c>
    </row>
    <row r="2510" spans="1:4">
      <c r="A2510" s="23">
        <v>45083</v>
      </c>
      <c r="B2510" s="13" t="s">
        <v>3802</v>
      </c>
      <c r="C2510" s="13" t="s">
        <v>3801</v>
      </c>
      <c r="D2510" s="13" t="s">
        <v>164</v>
      </c>
    </row>
    <row r="2511" spans="1:4">
      <c r="A2511" s="23">
        <v>45084</v>
      </c>
      <c r="B2511" s="13" t="s">
        <v>3804</v>
      </c>
      <c r="C2511" s="13" t="s">
        <v>3803</v>
      </c>
      <c r="D2511" s="13" t="s">
        <v>29</v>
      </c>
    </row>
    <row r="2512" spans="1:4">
      <c r="A2512" s="23">
        <v>45084</v>
      </c>
      <c r="B2512" s="13" t="s">
        <v>3806</v>
      </c>
      <c r="C2512" s="13" t="s">
        <v>3805</v>
      </c>
      <c r="D2512" s="13" t="s">
        <v>5</v>
      </c>
    </row>
    <row r="2513" spans="1:4">
      <c r="A2513" s="23">
        <v>45084</v>
      </c>
      <c r="B2513" s="13" t="s">
        <v>3808</v>
      </c>
      <c r="C2513" s="13" t="s">
        <v>3807</v>
      </c>
      <c r="D2513" s="13" t="s">
        <v>345</v>
      </c>
    </row>
    <row r="2514" spans="1:4">
      <c r="A2514" s="23">
        <v>45085</v>
      </c>
      <c r="B2514" s="13" t="s">
        <v>3810</v>
      </c>
      <c r="C2514" s="13" t="s">
        <v>3809</v>
      </c>
      <c r="D2514" s="13" t="s">
        <v>16</v>
      </c>
    </row>
    <row r="2515" spans="1:4">
      <c r="A2515" s="23">
        <v>45085</v>
      </c>
      <c r="B2515" s="13" t="s">
        <v>3812</v>
      </c>
      <c r="C2515" s="13" t="s">
        <v>3811</v>
      </c>
      <c r="D2515" s="13" t="s">
        <v>345</v>
      </c>
    </row>
    <row r="2516" spans="1:4">
      <c r="A2516" s="23">
        <v>45085</v>
      </c>
      <c r="B2516" s="13" t="s">
        <v>3814</v>
      </c>
      <c r="C2516" s="13" t="s">
        <v>3813</v>
      </c>
      <c r="D2516" s="13" t="s">
        <v>345</v>
      </c>
    </row>
    <row r="2517" spans="1:4">
      <c r="A2517" s="23">
        <v>45085</v>
      </c>
      <c r="B2517" s="13" t="s">
        <v>3816</v>
      </c>
      <c r="C2517" s="13" t="s">
        <v>3815</v>
      </c>
      <c r="D2517" s="13" t="s">
        <v>29</v>
      </c>
    </row>
    <row r="2518" spans="1:4">
      <c r="A2518" s="23">
        <v>45085</v>
      </c>
      <c r="B2518" s="13" t="s">
        <v>3818</v>
      </c>
      <c r="C2518" s="13" t="s">
        <v>3817</v>
      </c>
      <c r="D2518" s="13" t="s">
        <v>19</v>
      </c>
    </row>
    <row r="2519" spans="1:4">
      <c r="A2519" s="23">
        <v>45086</v>
      </c>
      <c r="B2519" s="13" t="s">
        <v>3820</v>
      </c>
      <c r="C2519" s="13" t="s">
        <v>3819</v>
      </c>
      <c r="D2519" s="13" t="s">
        <v>29</v>
      </c>
    </row>
    <row r="2520" spans="1:4">
      <c r="A2520" s="23">
        <v>45086</v>
      </c>
      <c r="B2520" s="13" t="s">
        <v>3822</v>
      </c>
      <c r="C2520" s="13" t="s">
        <v>3821</v>
      </c>
      <c r="D2520" s="13" t="s">
        <v>109</v>
      </c>
    </row>
    <row r="2521" spans="1:4">
      <c r="A2521" s="23">
        <v>45086</v>
      </c>
      <c r="B2521" s="13" t="s">
        <v>3822</v>
      </c>
      <c r="C2521" s="13" t="s">
        <v>3821</v>
      </c>
      <c r="D2521" s="13" t="s">
        <v>109</v>
      </c>
    </row>
    <row r="2522" spans="1:4">
      <c r="A2522" s="23">
        <v>45089</v>
      </c>
      <c r="B2522" s="13" t="s">
        <v>3824</v>
      </c>
      <c r="C2522" s="13" t="s">
        <v>3823</v>
      </c>
      <c r="D2522" s="13" t="s">
        <v>353</v>
      </c>
    </row>
    <row r="2523" spans="1:4">
      <c r="A2523" s="23">
        <v>45089</v>
      </c>
      <c r="B2523" s="13" t="s">
        <v>3826</v>
      </c>
      <c r="C2523" s="13" t="s">
        <v>3825</v>
      </c>
      <c r="D2523" s="13" t="s">
        <v>510</v>
      </c>
    </row>
    <row r="2524" spans="1:4">
      <c r="A2524" s="23">
        <v>45089</v>
      </c>
      <c r="B2524" s="13" t="s">
        <v>3828</v>
      </c>
      <c r="C2524" s="13" t="s">
        <v>3827</v>
      </c>
      <c r="D2524" s="13" t="s">
        <v>24</v>
      </c>
    </row>
    <row r="2525" spans="1:4">
      <c r="A2525" s="23">
        <v>45089</v>
      </c>
      <c r="B2525" s="13" t="s">
        <v>3830</v>
      </c>
      <c r="C2525" s="13" t="s">
        <v>3829</v>
      </c>
      <c r="D2525" s="13" t="s">
        <v>345</v>
      </c>
    </row>
    <row r="2526" spans="1:4">
      <c r="A2526" s="23">
        <v>45089</v>
      </c>
      <c r="B2526" s="13" t="s">
        <v>3832</v>
      </c>
      <c r="C2526" s="13" t="s">
        <v>3831</v>
      </c>
      <c r="D2526" s="13" t="s">
        <v>5</v>
      </c>
    </row>
    <row r="2527" spans="1:4">
      <c r="A2527" s="23">
        <v>45089</v>
      </c>
      <c r="B2527" s="13" t="s">
        <v>3834</v>
      </c>
      <c r="C2527" s="13" t="s">
        <v>3833</v>
      </c>
      <c r="D2527" s="13" t="s">
        <v>29</v>
      </c>
    </row>
    <row r="2528" spans="1:4">
      <c r="A2528" s="23">
        <v>45089</v>
      </c>
      <c r="B2528" s="13" t="s">
        <v>3835</v>
      </c>
      <c r="C2528" s="13" t="s">
        <v>3719</v>
      </c>
      <c r="D2528" s="13" t="s">
        <v>29</v>
      </c>
    </row>
    <row r="2529" spans="1:4">
      <c r="A2529" s="23">
        <v>45090</v>
      </c>
      <c r="B2529" s="13" t="s">
        <v>3837</v>
      </c>
      <c r="C2529" s="13" t="s">
        <v>3836</v>
      </c>
      <c r="D2529" s="13" t="s">
        <v>29</v>
      </c>
    </row>
    <row r="2530" spans="1:4">
      <c r="A2530" s="23">
        <v>45090</v>
      </c>
      <c r="B2530" s="13" t="s">
        <v>3839</v>
      </c>
      <c r="C2530" s="13" t="s">
        <v>3838</v>
      </c>
      <c r="D2530" s="13" t="s">
        <v>345</v>
      </c>
    </row>
    <row r="2531" spans="1:4">
      <c r="A2531" s="23">
        <v>45090</v>
      </c>
      <c r="B2531" s="13" t="s">
        <v>3841</v>
      </c>
      <c r="C2531" s="13" t="s">
        <v>3840</v>
      </c>
      <c r="D2531" s="13" t="s">
        <v>16</v>
      </c>
    </row>
    <row r="2532" spans="1:4">
      <c r="A2532" s="23">
        <v>45090</v>
      </c>
      <c r="B2532" s="13" t="s">
        <v>3843</v>
      </c>
      <c r="C2532" s="13" t="s">
        <v>3842</v>
      </c>
      <c r="D2532" s="13" t="s">
        <v>74</v>
      </c>
    </row>
    <row r="2533" spans="1:4">
      <c r="A2533" s="23">
        <v>45090</v>
      </c>
      <c r="B2533" s="13" t="s">
        <v>3845</v>
      </c>
      <c r="C2533" s="13" t="s">
        <v>3844</v>
      </c>
      <c r="D2533" s="13" t="s">
        <v>29</v>
      </c>
    </row>
    <row r="2534" spans="1:4">
      <c r="A2534" s="23">
        <v>45091</v>
      </c>
      <c r="B2534" s="13" t="s">
        <v>3847</v>
      </c>
      <c r="C2534" s="13" t="s">
        <v>3846</v>
      </c>
      <c r="D2534" s="13" t="s">
        <v>141</v>
      </c>
    </row>
    <row r="2535" spans="1:4">
      <c r="A2535" s="23">
        <v>45091</v>
      </c>
      <c r="B2535" s="13" t="s">
        <v>3849</v>
      </c>
      <c r="C2535" s="13" t="s">
        <v>3848</v>
      </c>
      <c r="D2535" s="13" t="s">
        <v>74</v>
      </c>
    </row>
    <row r="2536" spans="1:4">
      <c r="A2536" s="23">
        <v>45091</v>
      </c>
      <c r="B2536" s="13" t="s">
        <v>3851</v>
      </c>
      <c r="C2536" s="13" t="s">
        <v>3850</v>
      </c>
      <c r="D2536" s="13" t="s">
        <v>29</v>
      </c>
    </row>
    <row r="2537" spans="1:4">
      <c r="A2537" s="23">
        <v>45092</v>
      </c>
      <c r="B2537" s="13" t="s">
        <v>3853</v>
      </c>
      <c r="C2537" s="13" t="s">
        <v>3852</v>
      </c>
      <c r="D2537" s="13" t="s">
        <v>164</v>
      </c>
    </row>
    <row r="2538" spans="1:4">
      <c r="A2538" s="23">
        <v>45092</v>
      </c>
      <c r="B2538" s="13" t="s">
        <v>3855</v>
      </c>
      <c r="C2538" s="13" t="s">
        <v>3854</v>
      </c>
      <c r="D2538" s="13" t="s">
        <v>29</v>
      </c>
    </row>
    <row r="2539" spans="1:4">
      <c r="A2539" s="23">
        <v>45092</v>
      </c>
      <c r="B2539" s="13" t="s">
        <v>3857</v>
      </c>
      <c r="C2539" s="13" t="s">
        <v>3856</v>
      </c>
      <c r="D2539" s="13" t="s">
        <v>16</v>
      </c>
    </row>
    <row r="2540" spans="1:4">
      <c r="A2540" s="23">
        <v>45093</v>
      </c>
      <c r="B2540" s="13" t="s">
        <v>3859</v>
      </c>
      <c r="C2540" s="13" t="s">
        <v>3858</v>
      </c>
      <c r="D2540" s="13" t="s">
        <v>16</v>
      </c>
    </row>
    <row r="2541" spans="1:4">
      <c r="A2541" s="23">
        <v>45096</v>
      </c>
      <c r="B2541" s="13" t="s">
        <v>3861</v>
      </c>
      <c r="C2541" s="13" t="s">
        <v>3860</v>
      </c>
      <c r="D2541" s="13" t="s">
        <v>345</v>
      </c>
    </row>
    <row r="2542" spans="1:4">
      <c r="A2542" s="23">
        <v>45096</v>
      </c>
      <c r="B2542" s="13" t="s">
        <v>3863</v>
      </c>
      <c r="C2542" s="13" t="s">
        <v>3862</v>
      </c>
      <c r="D2542" s="13" t="s">
        <v>345</v>
      </c>
    </row>
    <row r="2543" spans="1:4">
      <c r="A2543" s="23">
        <v>45097</v>
      </c>
      <c r="B2543" s="13" t="s">
        <v>3865</v>
      </c>
      <c r="C2543" s="13" t="s">
        <v>3864</v>
      </c>
      <c r="D2543" s="13" t="s">
        <v>345</v>
      </c>
    </row>
    <row r="2544" spans="1:4">
      <c r="A2544" s="23">
        <v>45098</v>
      </c>
      <c r="B2544" s="13" t="s">
        <v>3867</v>
      </c>
      <c r="C2544" s="13" t="s">
        <v>3866</v>
      </c>
      <c r="D2544" s="13" t="s">
        <v>29</v>
      </c>
    </row>
    <row r="2545" spans="1:4">
      <c r="A2545" s="23">
        <v>45098</v>
      </c>
      <c r="B2545" s="13" t="s">
        <v>3869</v>
      </c>
      <c r="C2545" s="13" t="s">
        <v>3868</v>
      </c>
      <c r="D2545" s="13" t="s">
        <v>29</v>
      </c>
    </row>
    <row r="2546" spans="1:4">
      <c r="A2546" s="23">
        <v>45098</v>
      </c>
      <c r="B2546" s="13" t="s">
        <v>3871</v>
      </c>
      <c r="C2546" s="13" t="s">
        <v>3870</v>
      </c>
      <c r="D2546" s="13" t="s">
        <v>29</v>
      </c>
    </row>
    <row r="2547" spans="1:4">
      <c r="A2547" s="23">
        <v>45099</v>
      </c>
      <c r="B2547" s="13" t="s">
        <v>3873</v>
      </c>
      <c r="C2547" s="13" t="s">
        <v>3872</v>
      </c>
      <c r="D2547" s="13" t="s">
        <v>11</v>
      </c>
    </row>
    <row r="2548" spans="1:4">
      <c r="A2548" s="23">
        <v>45099</v>
      </c>
      <c r="B2548" s="13" t="s">
        <v>3873</v>
      </c>
      <c r="C2548" s="13" t="s">
        <v>3874</v>
      </c>
      <c r="D2548" s="13" t="s">
        <v>11</v>
      </c>
    </row>
    <row r="2549" spans="1:4">
      <c r="A2549" s="23">
        <v>45099</v>
      </c>
      <c r="B2549" s="13" t="s">
        <v>3876</v>
      </c>
      <c r="C2549" s="13" t="s">
        <v>3875</v>
      </c>
      <c r="D2549" s="13" t="s">
        <v>16</v>
      </c>
    </row>
    <row r="2550" spans="1:4">
      <c r="A2550" s="23">
        <v>45099</v>
      </c>
      <c r="B2550" s="13" t="s">
        <v>3878</v>
      </c>
      <c r="C2550" s="13" t="s">
        <v>3877</v>
      </c>
      <c r="D2550" s="13" t="s">
        <v>345</v>
      </c>
    </row>
    <row r="2551" spans="1:4">
      <c r="A2551" s="23">
        <v>45099</v>
      </c>
      <c r="B2551" s="13" t="s">
        <v>3880</v>
      </c>
      <c r="C2551" s="13" t="s">
        <v>3879</v>
      </c>
      <c r="D2551" s="13" t="s">
        <v>29</v>
      </c>
    </row>
    <row r="2552" spans="1:4">
      <c r="A2552" s="23">
        <v>45100</v>
      </c>
      <c r="B2552" s="13" t="s">
        <v>3882</v>
      </c>
      <c r="C2552" s="13" t="s">
        <v>3881</v>
      </c>
      <c r="D2552" s="13" t="s">
        <v>164</v>
      </c>
    </row>
    <row r="2553" spans="1:4">
      <c r="A2553" s="23">
        <v>45100</v>
      </c>
      <c r="B2553" s="13" t="s">
        <v>3884</v>
      </c>
      <c r="C2553" s="13" t="s">
        <v>3883</v>
      </c>
      <c r="D2553" s="13" t="s">
        <v>11</v>
      </c>
    </row>
    <row r="2554" spans="1:4">
      <c r="A2554" s="23">
        <v>45100</v>
      </c>
      <c r="B2554" s="13" t="s">
        <v>3886</v>
      </c>
      <c r="C2554" s="13" t="s">
        <v>3885</v>
      </c>
      <c r="D2554" s="13" t="s">
        <v>74</v>
      </c>
    </row>
    <row r="2555" spans="1:4">
      <c r="A2555" s="23">
        <v>45100</v>
      </c>
      <c r="B2555" s="13" t="s">
        <v>3882</v>
      </c>
      <c r="C2555" s="13" t="s">
        <v>3887</v>
      </c>
      <c r="D2555" s="13" t="s">
        <v>164</v>
      </c>
    </row>
    <row r="2556" spans="1:4">
      <c r="A2556" s="23">
        <v>45100</v>
      </c>
      <c r="B2556" s="13" t="s">
        <v>3889</v>
      </c>
      <c r="C2556" s="13" t="s">
        <v>3888</v>
      </c>
      <c r="D2556" s="13" t="s">
        <v>19</v>
      </c>
    </row>
    <row r="2557" spans="1:4">
      <c r="A2557" s="23">
        <v>45101</v>
      </c>
      <c r="B2557" s="13" t="s">
        <v>3882</v>
      </c>
      <c r="C2557" s="13" t="s">
        <v>3887</v>
      </c>
      <c r="D2557" s="13" t="s">
        <v>164</v>
      </c>
    </row>
    <row r="2558" spans="1:4">
      <c r="A2558" s="23">
        <v>45101</v>
      </c>
      <c r="B2558" s="13" t="s">
        <v>3882</v>
      </c>
      <c r="C2558" s="13" t="s">
        <v>3887</v>
      </c>
      <c r="D2558" s="13" t="s">
        <v>164</v>
      </c>
    </row>
    <row r="2559" spans="1:4">
      <c r="A2559" s="23">
        <v>45104</v>
      </c>
      <c r="B2559" s="13" t="s">
        <v>3891</v>
      </c>
      <c r="C2559" s="13" t="s">
        <v>3890</v>
      </c>
      <c r="D2559" s="13" t="s">
        <v>29</v>
      </c>
    </row>
    <row r="2560" spans="1:4">
      <c r="A2560" s="23">
        <v>45104</v>
      </c>
      <c r="B2560" s="13" t="s">
        <v>3893</v>
      </c>
      <c r="C2560" s="13" t="s">
        <v>3892</v>
      </c>
      <c r="D2560" s="13" t="s">
        <v>345</v>
      </c>
    </row>
    <row r="2561" spans="1:4">
      <c r="A2561" s="23">
        <v>45104</v>
      </c>
      <c r="B2561" s="13" t="s">
        <v>3895</v>
      </c>
      <c r="C2561" s="13" t="s">
        <v>3894</v>
      </c>
      <c r="D2561" s="13" t="s">
        <v>345</v>
      </c>
    </row>
    <row r="2562" spans="1:4">
      <c r="A2562" s="23">
        <v>45105</v>
      </c>
      <c r="B2562" s="13" t="s">
        <v>3897</v>
      </c>
      <c r="C2562" s="13" t="s">
        <v>3896</v>
      </c>
      <c r="D2562" s="13" t="s">
        <v>16</v>
      </c>
    </row>
    <row r="2563" spans="1:4">
      <c r="A2563" s="23">
        <v>45105</v>
      </c>
      <c r="B2563" s="13" t="s">
        <v>3899</v>
      </c>
      <c r="C2563" s="13" t="s">
        <v>3898</v>
      </c>
      <c r="D2563" s="16" t="s">
        <v>353</v>
      </c>
    </row>
    <row r="2564" spans="1:4">
      <c r="A2564" s="23">
        <v>45105</v>
      </c>
      <c r="B2564" s="13" t="s">
        <v>3900</v>
      </c>
      <c r="C2564" s="13" t="s">
        <v>3657</v>
      </c>
      <c r="D2564" s="16" t="s">
        <v>29</v>
      </c>
    </row>
    <row r="2565" spans="1:4">
      <c r="A2565" s="23">
        <v>45105</v>
      </c>
      <c r="B2565" s="13" t="s">
        <v>3902</v>
      </c>
      <c r="C2565" s="13" t="s">
        <v>3901</v>
      </c>
      <c r="D2565" s="16" t="s">
        <v>510</v>
      </c>
    </row>
    <row r="2566" spans="1:4">
      <c r="A2566" s="23">
        <v>45105</v>
      </c>
      <c r="B2566" s="13" t="s">
        <v>3904</v>
      </c>
      <c r="C2566" s="13" t="s">
        <v>3903</v>
      </c>
      <c r="D2566" s="16" t="s">
        <v>345</v>
      </c>
    </row>
    <row r="2567" spans="1:4">
      <c r="A2567" s="23">
        <v>45106</v>
      </c>
      <c r="B2567" s="13" t="s">
        <v>3906</v>
      </c>
      <c r="C2567" s="13" t="s">
        <v>3905</v>
      </c>
      <c r="D2567" s="13" t="s">
        <v>29</v>
      </c>
    </row>
    <row r="2568" spans="1:4">
      <c r="A2568" s="23">
        <v>45106</v>
      </c>
      <c r="B2568" s="13" t="s">
        <v>3908</v>
      </c>
      <c r="C2568" s="13" t="s">
        <v>3907</v>
      </c>
      <c r="D2568" s="13" t="s">
        <v>16</v>
      </c>
    </row>
    <row r="2569" spans="1:4">
      <c r="A2569" s="23">
        <v>45106</v>
      </c>
      <c r="B2569" s="13" t="s">
        <v>3910</v>
      </c>
      <c r="C2569" s="13" t="s">
        <v>3909</v>
      </c>
      <c r="D2569" s="13" t="s">
        <v>345</v>
      </c>
    </row>
    <row r="2570" spans="1:4">
      <c r="A2570" s="23">
        <v>45107</v>
      </c>
      <c r="B2570" s="13" t="s">
        <v>3912</v>
      </c>
      <c r="C2570" s="13" t="s">
        <v>3911</v>
      </c>
      <c r="D2570" s="13" t="s">
        <v>29</v>
      </c>
    </row>
    <row r="2571" spans="1:4">
      <c r="A2571" s="23">
        <v>45107</v>
      </c>
      <c r="B2571" s="13" t="s">
        <v>3914</v>
      </c>
      <c r="C2571" s="13" t="s">
        <v>3913</v>
      </c>
      <c r="D2571" s="13" t="s">
        <v>109</v>
      </c>
    </row>
    <row r="2572" spans="1:4">
      <c r="A2572" s="23">
        <v>45107</v>
      </c>
      <c r="B2572" s="13" t="s">
        <v>3916</v>
      </c>
      <c r="C2572" s="13" t="s">
        <v>3915</v>
      </c>
      <c r="D2572" s="13" t="s">
        <v>29</v>
      </c>
    </row>
    <row r="2573" spans="1:4">
      <c r="A2573" s="23">
        <v>45110</v>
      </c>
      <c r="B2573" s="13" t="s">
        <v>3917</v>
      </c>
      <c r="C2573" s="13" t="s">
        <v>3655</v>
      </c>
      <c r="D2573" s="13" t="s">
        <v>29</v>
      </c>
    </row>
    <row r="2574" spans="1:4">
      <c r="A2574" s="23">
        <v>45110</v>
      </c>
      <c r="B2574" s="13" t="s">
        <v>3919</v>
      </c>
      <c r="C2574" s="13" t="s">
        <v>3918</v>
      </c>
      <c r="D2574" s="13" t="s">
        <v>345</v>
      </c>
    </row>
    <row r="2575" spans="1:4">
      <c r="A2575" s="23">
        <v>45110</v>
      </c>
      <c r="B2575" s="13" t="s">
        <v>3919</v>
      </c>
      <c r="C2575" s="13" t="s">
        <v>3918</v>
      </c>
      <c r="D2575" s="13" t="s">
        <v>345</v>
      </c>
    </row>
    <row r="2576" spans="1:4">
      <c r="A2576" s="23">
        <v>45111</v>
      </c>
      <c r="B2576" s="13" t="s">
        <v>3921</v>
      </c>
      <c r="C2576" s="13" t="s">
        <v>3920</v>
      </c>
      <c r="D2576" s="13" t="s">
        <v>16</v>
      </c>
    </row>
    <row r="2577" spans="1:4">
      <c r="A2577" s="23">
        <v>45112</v>
      </c>
      <c r="B2577" s="13" t="s">
        <v>3923</v>
      </c>
      <c r="C2577" s="13" t="s">
        <v>3922</v>
      </c>
      <c r="D2577" s="13" t="s">
        <v>16</v>
      </c>
    </row>
    <row r="2578" spans="1:4">
      <c r="A2578" s="23">
        <v>45112</v>
      </c>
      <c r="B2578" s="13" t="s">
        <v>3925</v>
      </c>
      <c r="C2578" s="13" t="s">
        <v>3924</v>
      </c>
      <c r="D2578" s="13" t="s">
        <v>16</v>
      </c>
    </row>
    <row r="2579" spans="1:4">
      <c r="A2579" s="23">
        <v>45112</v>
      </c>
      <c r="B2579" s="13" t="s">
        <v>3927</v>
      </c>
      <c r="C2579" s="13" t="s">
        <v>3926</v>
      </c>
      <c r="D2579" s="13" t="s">
        <v>141</v>
      </c>
    </row>
    <row r="2580" spans="1:4">
      <c r="A2580" s="23">
        <v>45112</v>
      </c>
      <c r="B2580" s="13" t="s">
        <v>3929</v>
      </c>
      <c r="C2580" s="13" t="s">
        <v>3928</v>
      </c>
      <c r="D2580" s="13" t="s">
        <v>74</v>
      </c>
    </row>
    <row r="2581" spans="1:4">
      <c r="A2581" s="23">
        <v>45112</v>
      </c>
      <c r="B2581" s="13" t="s">
        <v>3931</v>
      </c>
      <c r="C2581" s="13" t="s">
        <v>3930</v>
      </c>
      <c r="D2581" s="13" t="s">
        <v>345</v>
      </c>
    </row>
    <row r="2582" spans="1:4">
      <c r="A2582" s="23">
        <v>45113</v>
      </c>
      <c r="B2582" s="13" t="s">
        <v>3933</v>
      </c>
      <c r="C2582" s="13" t="s">
        <v>3932</v>
      </c>
      <c r="D2582" s="13" t="s">
        <v>5</v>
      </c>
    </row>
    <row r="2583" spans="1:4">
      <c r="A2583" s="23">
        <v>45113</v>
      </c>
      <c r="B2583" s="13" t="s">
        <v>3935</v>
      </c>
      <c r="C2583" s="13" t="s">
        <v>3934</v>
      </c>
      <c r="D2583" s="13" t="s">
        <v>345</v>
      </c>
    </row>
    <row r="2584" spans="1:4">
      <c r="A2584" s="23">
        <v>45114</v>
      </c>
      <c r="B2584" s="13" t="s">
        <v>3937</v>
      </c>
      <c r="C2584" s="13" t="s">
        <v>3936</v>
      </c>
      <c r="D2584" s="13" t="s">
        <v>353</v>
      </c>
    </row>
    <row r="2585" spans="1:4">
      <c r="A2585" s="23">
        <v>45117</v>
      </c>
      <c r="B2585" s="13" t="s">
        <v>3939</v>
      </c>
      <c r="C2585" s="13" t="s">
        <v>3938</v>
      </c>
      <c r="D2585" s="13" t="s">
        <v>5</v>
      </c>
    </row>
    <row r="2586" spans="1:4">
      <c r="A2586" s="23">
        <v>45117</v>
      </c>
      <c r="B2586" s="13" t="s">
        <v>3941</v>
      </c>
      <c r="C2586" s="13" t="s">
        <v>3940</v>
      </c>
      <c r="D2586" s="13" t="s">
        <v>16</v>
      </c>
    </row>
    <row r="2587" spans="1:4">
      <c r="A2587" s="23">
        <v>45117</v>
      </c>
      <c r="B2587" s="13" t="s">
        <v>3943</v>
      </c>
      <c r="C2587" s="13" t="s">
        <v>3942</v>
      </c>
      <c r="D2587" s="13" t="s">
        <v>5</v>
      </c>
    </row>
    <row r="2588" spans="1:4">
      <c r="A2588" s="23">
        <v>45117</v>
      </c>
      <c r="B2588" s="13" t="s">
        <v>3945</v>
      </c>
      <c r="C2588" s="13" t="s">
        <v>3944</v>
      </c>
      <c r="D2588" s="13" t="s">
        <v>29</v>
      </c>
    </row>
    <row r="2589" spans="1:4">
      <c r="A2589" s="23">
        <v>45118</v>
      </c>
      <c r="B2589" s="13" t="s">
        <v>3947</v>
      </c>
      <c r="C2589" s="13" t="s">
        <v>3946</v>
      </c>
      <c r="D2589" s="13" t="s">
        <v>345</v>
      </c>
    </row>
    <row r="2590" spans="1:4">
      <c r="A2590" s="23">
        <v>45118</v>
      </c>
      <c r="B2590" s="13" t="s">
        <v>3949</v>
      </c>
      <c r="C2590" s="13" t="s">
        <v>3948</v>
      </c>
      <c r="D2590" s="13" t="s">
        <v>345</v>
      </c>
    </row>
    <row r="2591" spans="1:4">
      <c r="A2591" s="23">
        <v>45118</v>
      </c>
      <c r="B2591" s="13" t="s">
        <v>3951</v>
      </c>
      <c r="C2591" s="13" t="s">
        <v>3950</v>
      </c>
      <c r="D2591" s="13" t="s">
        <v>29</v>
      </c>
    </row>
    <row r="2592" spans="1:4">
      <c r="A2592" s="23">
        <v>45119</v>
      </c>
      <c r="B2592" s="13" t="s">
        <v>3953</v>
      </c>
      <c r="C2592" s="13" t="s">
        <v>3952</v>
      </c>
      <c r="D2592" s="13" t="s">
        <v>29</v>
      </c>
    </row>
    <row r="2593" spans="1:4">
      <c r="A2593" s="23">
        <v>45119</v>
      </c>
      <c r="B2593" s="13" t="s">
        <v>3955</v>
      </c>
      <c r="C2593" s="13" t="s">
        <v>3954</v>
      </c>
      <c r="D2593" s="13" t="s">
        <v>5</v>
      </c>
    </row>
    <row r="2594" spans="1:4">
      <c r="A2594" s="23">
        <v>45119</v>
      </c>
      <c r="B2594" s="13" t="s">
        <v>3957</v>
      </c>
      <c r="C2594" s="13" t="s">
        <v>3956</v>
      </c>
      <c r="D2594" s="13" t="s">
        <v>164</v>
      </c>
    </row>
    <row r="2595" spans="1:4">
      <c r="A2595" s="23">
        <v>45119</v>
      </c>
      <c r="B2595" s="13" t="s">
        <v>3959</v>
      </c>
      <c r="C2595" s="13" t="s">
        <v>3958</v>
      </c>
      <c r="D2595" s="13" t="s">
        <v>5</v>
      </c>
    </row>
    <row r="2596" spans="1:4">
      <c r="A2596" s="23">
        <v>45120</v>
      </c>
      <c r="B2596" s="13" t="s">
        <v>3961</v>
      </c>
      <c r="C2596" s="13" t="s">
        <v>3960</v>
      </c>
      <c r="D2596" s="13" t="s">
        <v>29</v>
      </c>
    </row>
    <row r="2597" spans="1:4">
      <c r="A2597" s="23">
        <v>45121</v>
      </c>
      <c r="B2597" s="13" t="s">
        <v>3963</v>
      </c>
      <c r="C2597" s="13" t="s">
        <v>3962</v>
      </c>
      <c r="D2597" s="13" t="s">
        <v>5</v>
      </c>
    </row>
    <row r="2598" spans="1:4">
      <c r="A2598" s="23">
        <v>45121</v>
      </c>
      <c r="B2598" s="13" t="s">
        <v>3965</v>
      </c>
      <c r="C2598" s="13" t="s">
        <v>3964</v>
      </c>
      <c r="D2598" s="13" t="s">
        <v>29</v>
      </c>
    </row>
    <row r="2599" spans="1:4">
      <c r="A2599" s="23">
        <v>45124</v>
      </c>
      <c r="B2599" s="13" t="s">
        <v>3967</v>
      </c>
      <c r="C2599" s="13" t="s">
        <v>3966</v>
      </c>
      <c r="D2599" s="13" t="s">
        <v>345</v>
      </c>
    </row>
    <row r="2600" spans="1:4">
      <c r="A2600" s="23">
        <v>45124</v>
      </c>
      <c r="B2600" s="13" t="s">
        <v>3969</v>
      </c>
      <c r="C2600" s="13" t="s">
        <v>3968</v>
      </c>
      <c r="D2600" s="13" t="s">
        <v>29</v>
      </c>
    </row>
    <row r="2601" spans="1:4">
      <c r="A2601" s="23">
        <v>45125</v>
      </c>
      <c r="B2601" s="13" t="s">
        <v>3971</v>
      </c>
      <c r="C2601" s="13" t="s">
        <v>3970</v>
      </c>
      <c r="D2601" s="13" t="s">
        <v>5</v>
      </c>
    </row>
    <row r="2602" spans="1:4">
      <c r="A2602" s="23">
        <v>45125</v>
      </c>
      <c r="B2602" s="13" t="s">
        <v>3973</v>
      </c>
      <c r="C2602" s="13" t="s">
        <v>3972</v>
      </c>
      <c r="D2602" s="13" t="s">
        <v>16</v>
      </c>
    </row>
    <row r="2603" spans="1:4">
      <c r="A2603" s="23">
        <v>45125</v>
      </c>
      <c r="B2603" s="13" t="s">
        <v>3975</v>
      </c>
      <c r="C2603" s="13" t="s">
        <v>3974</v>
      </c>
      <c r="D2603" s="13" t="s">
        <v>74</v>
      </c>
    </row>
    <row r="2604" spans="1:4">
      <c r="A2604" s="23">
        <v>45125</v>
      </c>
      <c r="B2604" s="13" t="s">
        <v>3977</v>
      </c>
      <c r="C2604" s="13" t="s">
        <v>3976</v>
      </c>
      <c r="D2604" s="13" t="s">
        <v>29</v>
      </c>
    </row>
    <row r="2605" spans="1:4">
      <c r="A2605" s="23">
        <v>45127</v>
      </c>
      <c r="B2605" s="13" t="s">
        <v>3979</v>
      </c>
      <c r="C2605" s="13" t="s">
        <v>3978</v>
      </c>
      <c r="D2605" s="13" t="s">
        <v>29</v>
      </c>
    </row>
    <row r="2606" spans="1:4">
      <c r="A2606" s="23">
        <v>45127</v>
      </c>
      <c r="B2606" s="13" t="s">
        <v>3981</v>
      </c>
      <c r="C2606" s="13" t="s">
        <v>3980</v>
      </c>
      <c r="D2606" s="13" t="s">
        <v>29</v>
      </c>
    </row>
    <row r="2607" spans="1:4">
      <c r="A2607" s="23">
        <v>45128</v>
      </c>
      <c r="B2607" s="13" t="s">
        <v>3983</v>
      </c>
      <c r="C2607" s="13" t="s">
        <v>3982</v>
      </c>
      <c r="D2607" s="13" t="s">
        <v>29</v>
      </c>
    </row>
    <row r="2608" spans="1:4">
      <c r="A2608" s="23">
        <v>45128</v>
      </c>
      <c r="B2608" s="13" t="s">
        <v>3985</v>
      </c>
      <c r="C2608" s="13" t="s">
        <v>3984</v>
      </c>
      <c r="D2608" s="13" t="s">
        <v>5</v>
      </c>
    </row>
    <row r="2609" spans="1:4">
      <c r="A2609" s="23">
        <v>45128</v>
      </c>
      <c r="B2609" s="13" t="s">
        <v>3987</v>
      </c>
      <c r="C2609" s="13" t="s">
        <v>3986</v>
      </c>
      <c r="D2609" s="13" t="s">
        <v>510</v>
      </c>
    </row>
    <row r="2610" spans="1:4">
      <c r="A2610" s="23">
        <v>45128</v>
      </c>
      <c r="B2610" s="13" t="s">
        <v>3989</v>
      </c>
      <c r="C2610" s="13" t="s">
        <v>3988</v>
      </c>
      <c r="D2610" s="13" t="s">
        <v>353</v>
      </c>
    </row>
    <row r="2611" spans="1:4">
      <c r="A2611" s="23">
        <v>45129</v>
      </c>
      <c r="B2611" s="13" t="s">
        <v>3991</v>
      </c>
      <c r="C2611" s="13" t="s">
        <v>3990</v>
      </c>
      <c r="D2611" s="13" t="s">
        <v>353</v>
      </c>
    </row>
    <row r="2612" spans="1:4">
      <c r="A2612" s="23">
        <v>45131</v>
      </c>
      <c r="B2612" s="13" t="s">
        <v>3993</v>
      </c>
      <c r="C2612" s="13" t="s">
        <v>3992</v>
      </c>
      <c r="D2612" s="13" t="s">
        <v>29</v>
      </c>
    </row>
    <row r="2613" spans="1:4">
      <c r="A2613" s="23">
        <v>45131</v>
      </c>
      <c r="B2613" s="13" t="s">
        <v>3995</v>
      </c>
      <c r="C2613" s="13" t="s">
        <v>3994</v>
      </c>
      <c r="D2613" s="13" t="s">
        <v>19</v>
      </c>
    </row>
    <row r="2614" spans="1:4">
      <c r="A2614" s="23">
        <v>45132</v>
      </c>
      <c r="B2614" s="13" t="s">
        <v>3997</v>
      </c>
      <c r="C2614" s="13" t="s">
        <v>3996</v>
      </c>
      <c r="D2614" s="13" t="s">
        <v>5</v>
      </c>
    </row>
    <row r="2615" spans="1:4">
      <c r="A2615" s="23">
        <v>45132</v>
      </c>
      <c r="B2615" s="13" t="s">
        <v>3999</v>
      </c>
      <c r="C2615" s="13" t="s">
        <v>3998</v>
      </c>
      <c r="D2615" s="13" t="s">
        <v>353</v>
      </c>
    </row>
    <row r="2616" spans="1:4">
      <c r="A2616" s="23">
        <v>45133</v>
      </c>
      <c r="B2616" s="13" t="s">
        <v>4001</v>
      </c>
      <c r="C2616" s="13" t="s">
        <v>4000</v>
      </c>
      <c r="D2616" s="13" t="s">
        <v>345</v>
      </c>
    </row>
    <row r="2617" spans="1:4">
      <c r="A2617" s="23">
        <v>45133</v>
      </c>
      <c r="B2617" s="13" t="s">
        <v>4003</v>
      </c>
      <c r="C2617" s="13" t="s">
        <v>4002</v>
      </c>
      <c r="D2617" s="16" t="s">
        <v>353</v>
      </c>
    </row>
    <row r="2618" spans="1:4">
      <c r="A2618" s="23">
        <v>45133</v>
      </c>
      <c r="B2618" s="13" t="s">
        <v>4005</v>
      </c>
      <c r="C2618" s="13" t="s">
        <v>4004</v>
      </c>
      <c r="D2618" s="13" t="s">
        <v>345</v>
      </c>
    </row>
    <row r="2619" spans="1:4">
      <c r="A2619" s="23">
        <v>45133</v>
      </c>
      <c r="B2619" s="13" t="s">
        <v>4006</v>
      </c>
      <c r="C2619" s="13" t="s">
        <v>3964</v>
      </c>
      <c r="D2619" s="13" t="s">
        <v>29</v>
      </c>
    </row>
    <row r="2620" spans="1:4">
      <c r="A2620" s="23">
        <v>45134</v>
      </c>
      <c r="B2620" s="13" t="s">
        <v>4008</v>
      </c>
      <c r="C2620" s="13" t="s">
        <v>4007</v>
      </c>
      <c r="D2620" s="13" t="s">
        <v>353</v>
      </c>
    </row>
    <row r="2621" spans="1:4">
      <c r="A2621" s="23">
        <v>45134</v>
      </c>
      <c r="B2621" s="13" t="s">
        <v>4010</v>
      </c>
      <c r="C2621" s="13" t="s">
        <v>4009</v>
      </c>
      <c r="D2621" s="13" t="s">
        <v>29</v>
      </c>
    </row>
    <row r="2622" spans="1:4">
      <c r="A2622" s="23">
        <v>45135</v>
      </c>
      <c r="B2622" s="13" t="s">
        <v>4012</v>
      </c>
      <c r="C2622" s="13" t="s">
        <v>4011</v>
      </c>
      <c r="D2622" s="13" t="s">
        <v>345</v>
      </c>
    </row>
    <row r="2623" spans="1:4">
      <c r="A2623" s="23">
        <v>45135</v>
      </c>
      <c r="B2623" s="13" t="s">
        <v>4012</v>
      </c>
      <c r="C2623" s="13" t="s">
        <v>4011</v>
      </c>
      <c r="D2623" s="13" t="s">
        <v>345</v>
      </c>
    </row>
    <row r="2624" spans="1:4">
      <c r="A2624" s="23">
        <v>45135</v>
      </c>
      <c r="B2624" s="13" t="s">
        <v>4014</v>
      </c>
      <c r="C2624" s="13" t="s">
        <v>4013</v>
      </c>
      <c r="D2624" s="13" t="s">
        <v>29</v>
      </c>
    </row>
    <row r="2625" spans="1:4">
      <c r="A2625" s="23">
        <v>45135</v>
      </c>
      <c r="B2625" s="13" t="s">
        <v>4015</v>
      </c>
      <c r="C2625" s="13" t="s">
        <v>3980</v>
      </c>
      <c r="D2625" s="13" t="s">
        <v>29</v>
      </c>
    </row>
    <row r="2626" spans="1:4">
      <c r="A2626" s="23">
        <v>45135</v>
      </c>
      <c r="B2626" s="13" t="s">
        <v>4017</v>
      </c>
      <c r="C2626" s="13" t="s">
        <v>4016</v>
      </c>
      <c r="D2626" s="13" t="s">
        <v>29</v>
      </c>
    </row>
    <row r="2627" spans="1:4">
      <c r="A2627" s="23">
        <v>45138</v>
      </c>
      <c r="B2627" s="13" t="s">
        <v>4019</v>
      </c>
      <c r="C2627" s="13" t="s">
        <v>4018</v>
      </c>
      <c r="D2627" s="13" t="s">
        <v>353</v>
      </c>
    </row>
    <row r="2628" spans="1:4">
      <c r="A2628" s="23">
        <v>45139</v>
      </c>
      <c r="B2628" s="13" t="s">
        <v>4021</v>
      </c>
      <c r="C2628" s="13" t="s">
        <v>4020</v>
      </c>
      <c r="D2628" s="13" t="s">
        <v>345</v>
      </c>
    </row>
    <row r="2629" spans="1:4">
      <c r="A2629" s="23">
        <v>45140</v>
      </c>
      <c r="B2629" s="13" t="s">
        <v>4023</v>
      </c>
      <c r="C2629" s="13" t="s">
        <v>4022</v>
      </c>
      <c r="D2629" s="13" t="s">
        <v>19</v>
      </c>
    </row>
    <row r="2630" spans="1:4">
      <c r="A2630" s="23">
        <v>45140</v>
      </c>
      <c r="B2630" s="13" t="s">
        <v>4025</v>
      </c>
      <c r="C2630" s="13" t="s">
        <v>4024</v>
      </c>
      <c r="D2630" s="13" t="s">
        <v>353</v>
      </c>
    </row>
    <row r="2631" spans="1:4">
      <c r="A2631" s="23">
        <v>45141</v>
      </c>
      <c r="B2631" s="13" t="s">
        <v>4027</v>
      </c>
      <c r="C2631" s="13" t="s">
        <v>4026</v>
      </c>
      <c r="D2631" s="13" t="s">
        <v>345</v>
      </c>
    </row>
    <row r="2632" spans="1:4">
      <c r="A2632" s="23">
        <v>45141</v>
      </c>
      <c r="B2632" s="13" t="s">
        <v>4029</v>
      </c>
      <c r="C2632" s="13" t="s">
        <v>4028</v>
      </c>
      <c r="D2632" s="13" t="s">
        <v>141</v>
      </c>
    </row>
    <row r="2633" spans="1:4">
      <c r="A2633" s="23">
        <v>45141</v>
      </c>
      <c r="B2633" s="13" t="s">
        <v>4031</v>
      </c>
      <c r="C2633" s="13" t="s">
        <v>4030</v>
      </c>
      <c r="D2633" s="13" t="s">
        <v>353</v>
      </c>
    </row>
    <row r="2634" spans="1:4">
      <c r="A2634" s="23">
        <v>45141</v>
      </c>
      <c r="B2634" s="13" t="s">
        <v>4031</v>
      </c>
      <c r="C2634" s="13" t="s">
        <v>4030</v>
      </c>
      <c r="D2634" s="13" t="s">
        <v>353</v>
      </c>
    </row>
    <row r="2635" spans="1:4">
      <c r="A2635" s="23">
        <v>45141</v>
      </c>
      <c r="B2635" s="13" t="s">
        <v>4033</v>
      </c>
      <c r="C2635" s="13" t="s">
        <v>4032</v>
      </c>
      <c r="D2635" s="13" t="s">
        <v>29</v>
      </c>
    </row>
    <row r="2636" spans="1:4">
      <c r="A2636" s="23">
        <v>45141</v>
      </c>
      <c r="B2636" s="13" t="s">
        <v>4035</v>
      </c>
      <c r="C2636" s="13" t="s">
        <v>4034</v>
      </c>
      <c r="D2636" s="13" t="s">
        <v>5</v>
      </c>
    </row>
    <row r="2637" spans="1:4">
      <c r="A2637" s="23">
        <v>45142</v>
      </c>
      <c r="B2637" s="13" t="s">
        <v>4037</v>
      </c>
      <c r="C2637" s="13" t="s">
        <v>4036</v>
      </c>
      <c r="D2637" s="13" t="s">
        <v>24</v>
      </c>
    </row>
    <row r="2638" spans="1:4">
      <c r="A2638" s="23">
        <v>45142</v>
      </c>
      <c r="B2638" s="13" t="s">
        <v>4039</v>
      </c>
      <c r="C2638" s="13" t="s">
        <v>4038</v>
      </c>
      <c r="D2638" s="13" t="s">
        <v>353</v>
      </c>
    </row>
    <row r="2639" spans="1:4">
      <c r="A2639" s="23">
        <v>45142</v>
      </c>
      <c r="B2639" s="13" t="s">
        <v>4041</v>
      </c>
      <c r="C2639" s="13" t="s">
        <v>4040</v>
      </c>
      <c r="D2639" s="13" t="s">
        <v>109</v>
      </c>
    </row>
    <row r="2640" spans="1:4">
      <c r="A2640" s="23">
        <v>45142</v>
      </c>
      <c r="B2640" s="13" t="s">
        <v>4043</v>
      </c>
      <c r="C2640" s="13" t="s">
        <v>4042</v>
      </c>
      <c r="D2640" s="13" t="s">
        <v>164</v>
      </c>
    </row>
    <row r="2641" spans="1:4">
      <c r="A2641" s="23">
        <v>45142</v>
      </c>
      <c r="B2641" s="13" t="s">
        <v>4045</v>
      </c>
      <c r="C2641" s="13" t="s">
        <v>4044</v>
      </c>
      <c r="D2641" s="13" t="s">
        <v>74</v>
      </c>
    </row>
    <row r="2642" spans="1:4">
      <c r="A2642" s="23">
        <v>45145</v>
      </c>
      <c r="B2642" s="13" t="s">
        <v>4047</v>
      </c>
      <c r="C2642" s="13" t="s">
        <v>4046</v>
      </c>
      <c r="D2642" s="13" t="s">
        <v>353</v>
      </c>
    </row>
    <row r="2643" spans="1:4">
      <c r="A2643" s="23">
        <v>45145</v>
      </c>
      <c r="B2643" s="13" t="s">
        <v>4047</v>
      </c>
      <c r="C2643" s="13" t="s">
        <v>4046</v>
      </c>
      <c r="D2643" s="13" t="s">
        <v>353</v>
      </c>
    </row>
    <row r="2644" spans="1:4">
      <c r="A2644" s="23">
        <v>45146</v>
      </c>
      <c r="B2644" s="13" t="s">
        <v>4049</v>
      </c>
      <c r="C2644" s="13" t="s">
        <v>4048</v>
      </c>
      <c r="D2644" s="13" t="s">
        <v>34</v>
      </c>
    </row>
    <row r="2645" spans="1:4">
      <c r="A2645" s="23">
        <v>45146</v>
      </c>
      <c r="B2645" s="13" t="s">
        <v>4051</v>
      </c>
      <c r="C2645" s="13" t="s">
        <v>4050</v>
      </c>
      <c r="D2645" s="13" t="s">
        <v>29</v>
      </c>
    </row>
    <row r="2646" spans="1:4">
      <c r="A2646" s="23">
        <v>45217</v>
      </c>
      <c r="B2646" s="13" t="s">
        <v>4053</v>
      </c>
      <c r="C2646" s="13" t="s">
        <v>4052</v>
      </c>
      <c r="D2646" s="13" t="s">
        <v>109</v>
      </c>
    </row>
    <row r="2647" spans="1:4">
      <c r="A2647" s="23">
        <v>45146</v>
      </c>
      <c r="B2647" s="13" t="s">
        <v>4055</v>
      </c>
      <c r="C2647" s="13" t="s">
        <v>4054</v>
      </c>
      <c r="D2647" s="13" t="s">
        <v>353</v>
      </c>
    </row>
    <row r="2648" spans="1:4">
      <c r="A2648" s="23">
        <v>45146</v>
      </c>
      <c r="B2648" s="13" t="s">
        <v>4057</v>
      </c>
      <c r="C2648" s="13" t="s">
        <v>4056</v>
      </c>
      <c r="D2648" s="13" t="s">
        <v>353</v>
      </c>
    </row>
    <row r="2649" spans="1:4">
      <c r="A2649" s="23">
        <v>45147</v>
      </c>
      <c r="B2649" s="13" t="s">
        <v>4055</v>
      </c>
      <c r="C2649" s="13" t="s">
        <v>4058</v>
      </c>
      <c r="D2649" s="13" t="s">
        <v>353</v>
      </c>
    </row>
    <row r="2650" spans="1:4">
      <c r="A2650" s="23">
        <v>45147</v>
      </c>
      <c r="B2650" s="13" t="s">
        <v>4059</v>
      </c>
      <c r="C2650" s="13" t="s">
        <v>3799</v>
      </c>
      <c r="D2650" s="13" t="s">
        <v>29</v>
      </c>
    </row>
    <row r="2651" spans="1:4">
      <c r="A2651" s="23">
        <v>45147</v>
      </c>
      <c r="B2651" s="13" t="s">
        <v>4061</v>
      </c>
      <c r="C2651" s="13" t="s">
        <v>4060</v>
      </c>
      <c r="D2651" s="13" t="s">
        <v>29</v>
      </c>
    </row>
    <row r="2652" spans="1:4">
      <c r="A2652" s="23">
        <v>45211</v>
      </c>
      <c r="B2652" s="13" t="s">
        <v>4063</v>
      </c>
      <c r="C2652" s="13" t="s">
        <v>4062</v>
      </c>
      <c r="D2652" s="13" t="s">
        <v>5</v>
      </c>
    </row>
    <row r="2653" spans="1:4">
      <c r="A2653" s="23">
        <v>45148</v>
      </c>
      <c r="B2653" s="13" t="s">
        <v>4065</v>
      </c>
      <c r="C2653" s="13" t="s">
        <v>4064</v>
      </c>
      <c r="D2653" s="13" t="s">
        <v>29</v>
      </c>
    </row>
    <row r="2654" spans="1:4">
      <c r="A2654" s="23">
        <v>45148</v>
      </c>
      <c r="B2654" s="13" t="s">
        <v>4067</v>
      </c>
      <c r="C2654" s="13" t="s">
        <v>4066</v>
      </c>
      <c r="D2654" s="13" t="s">
        <v>5</v>
      </c>
    </row>
    <row r="2655" spans="1:4">
      <c r="A2655" s="23">
        <v>45149</v>
      </c>
      <c r="B2655" s="13" t="s">
        <v>4069</v>
      </c>
      <c r="C2655" s="13" t="s">
        <v>4068</v>
      </c>
      <c r="D2655" s="13" t="s">
        <v>24</v>
      </c>
    </row>
    <row r="2656" spans="1:4">
      <c r="A2656" s="23">
        <v>45149</v>
      </c>
      <c r="B2656" s="13" t="s">
        <v>4069</v>
      </c>
      <c r="C2656" s="13" t="s">
        <v>4068</v>
      </c>
      <c r="D2656" s="13" t="s">
        <v>24</v>
      </c>
    </row>
    <row r="2657" spans="1:4">
      <c r="A2657" s="23">
        <v>45149</v>
      </c>
      <c r="B2657" s="13" t="s">
        <v>4071</v>
      </c>
      <c r="C2657" s="13" t="s">
        <v>4070</v>
      </c>
      <c r="D2657" s="13" t="s">
        <v>29</v>
      </c>
    </row>
    <row r="2658" spans="1:4">
      <c r="A2658" s="23">
        <v>45149</v>
      </c>
      <c r="B2658" s="13" t="s">
        <v>4073</v>
      </c>
      <c r="C2658" s="13" t="s">
        <v>4072</v>
      </c>
      <c r="D2658" s="13" t="s">
        <v>5</v>
      </c>
    </row>
    <row r="2659" spans="1:4">
      <c r="A2659" s="23">
        <v>45149</v>
      </c>
      <c r="B2659" s="13" t="s">
        <v>4075</v>
      </c>
      <c r="C2659" s="13" t="s">
        <v>4074</v>
      </c>
      <c r="D2659" s="13" t="s">
        <v>74</v>
      </c>
    </row>
    <row r="2660" spans="1:4">
      <c r="A2660" s="23">
        <v>45152</v>
      </c>
      <c r="B2660" s="13" t="s">
        <v>4077</v>
      </c>
      <c r="C2660" s="13" t="s">
        <v>4076</v>
      </c>
      <c r="D2660" s="13" t="s">
        <v>74</v>
      </c>
    </row>
    <row r="2661" spans="1:4">
      <c r="A2661" s="23">
        <v>45154</v>
      </c>
      <c r="B2661" s="13" t="s">
        <v>4079</v>
      </c>
      <c r="C2661" s="13" t="s">
        <v>4078</v>
      </c>
      <c r="D2661" s="13" t="s">
        <v>5</v>
      </c>
    </row>
    <row r="2662" spans="1:4">
      <c r="A2662" s="23">
        <v>45154</v>
      </c>
      <c r="B2662" s="13" t="s">
        <v>4081</v>
      </c>
      <c r="C2662" s="13" t="s">
        <v>4080</v>
      </c>
      <c r="D2662" s="13" t="s">
        <v>5</v>
      </c>
    </row>
    <row r="2663" spans="1:4">
      <c r="A2663" s="23">
        <v>45155</v>
      </c>
      <c r="B2663" s="13" t="s">
        <v>4083</v>
      </c>
      <c r="C2663" s="13" t="s">
        <v>4082</v>
      </c>
      <c r="D2663" s="13" t="s">
        <v>164</v>
      </c>
    </row>
    <row r="2664" spans="1:4">
      <c r="A2664" s="23">
        <v>45155</v>
      </c>
      <c r="B2664" s="13" t="s">
        <v>4085</v>
      </c>
      <c r="C2664" s="13" t="s">
        <v>4084</v>
      </c>
      <c r="D2664" s="13" t="s">
        <v>5</v>
      </c>
    </row>
    <row r="2665" spans="1:4">
      <c r="A2665" s="23">
        <v>45155</v>
      </c>
      <c r="B2665" s="13" t="s">
        <v>4087</v>
      </c>
      <c r="C2665" s="13" t="s">
        <v>4086</v>
      </c>
      <c r="D2665" s="13" t="s">
        <v>353</v>
      </c>
    </row>
    <row r="2666" spans="1:4">
      <c r="A2666" s="23">
        <v>45155</v>
      </c>
      <c r="B2666" s="13" t="s">
        <v>4089</v>
      </c>
      <c r="C2666" s="13" t="s">
        <v>4088</v>
      </c>
      <c r="D2666" s="13" t="s">
        <v>141</v>
      </c>
    </row>
    <row r="2667" spans="1:4">
      <c r="A2667" s="23">
        <v>45155</v>
      </c>
      <c r="B2667" s="13" t="s">
        <v>4091</v>
      </c>
      <c r="C2667" s="13" t="s">
        <v>4090</v>
      </c>
      <c r="D2667" s="13" t="s">
        <v>5</v>
      </c>
    </row>
    <row r="2668" spans="1:4">
      <c r="A2668" s="23">
        <v>45155</v>
      </c>
      <c r="B2668" s="13" t="s">
        <v>4083</v>
      </c>
      <c r="C2668" s="13" t="s">
        <v>4082</v>
      </c>
      <c r="D2668" s="13" t="s">
        <v>164</v>
      </c>
    </row>
    <row r="2669" spans="1:4">
      <c r="A2669" s="23">
        <v>45156</v>
      </c>
      <c r="B2669" s="13" t="s">
        <v>4093</v>
      </c>
      <c r="C2669" s="13" t="s">
        <v>4092</v>
      </c>
      <c r="D2669" s="13" t="s">
        <v>345</v>
      </c>
    </row>
    <row r="2670" spans="1:4">
      <c r="A2670" s="23">
        <v>45156</v>
      </c>
      <c r="B2670" s="13" t="s">
        <v>4095</v>
      </c>
      <c r="C2670" s="13" t="s">
        <v>4094</v>
      </c>
      <c r="D2670" s="13" t="s">
        <v>74</v>
      </c>
    </row>
    <row r="2671" spans="1:4">
      <c r="A2671" s="23">
        <v>45156</v>
      </c>
      <c r="B2671" s="13" t="s">
        <v>4097</v>
      </c>
      <c r="C2671" s="13" t="s">
        <v>4096</v>
      </c>
      <c r="D2671" s="13" t="s">
        <v>5</v>
      </c>
    </row>
    <row r="2672" spans="1:4">
      <c r="A2672" s="23">
        <v>45157</v>
      </c>
      <c r="B2672" s="13" t="s">
        <v>4099</v>
      </c>
      <c r="C2672" s="13" t="s">
        <v>4098</v>
      </c>
      <c r="D2672" s="13" t="s">
        <v>109</v>
      </c>
    </row>
    <row r="2673" spans="1:4">
      <c r="A2673" s="23">
        <v>45159</v>
      </c>
      <c r="B2673" s="13" t="s">
        <v>4101</v>
      </c>
      <c r="C2673" s="13" t="s">
        <v>4100</v>
      </c>
      <c r="D2673" s="13" t="s">
        <v>5</v>
      </c>
    </row>
    <row r="2674" spans="1:4">
      <c r="A2674" s="23">
        <v>45160</v>
      </c>
      <c r="B2674" s="13" t="s">
        <v>4103</v>
      </c>
      <c r="C2674" s="13" t="s">
        <v>4102</v>
      </c>
      <c r="D2674" s="13" t="s">
        <v>24</v>
      </c>
    </row>
    <row r="2675" spans="1:4">
      <c r="A2675" s="23">
        <v>45160</v>
      </c>
      <c r="B2675" s="13" t="s">
        <v>4105</v>
      </c>
      <c r="C2675" s="13" t="s">
        <v>4104</v>
      </c>
      <c r="D2675" s="13" t="s">
        <v>345</v>
      </c>
    </row>
    <row r="2676" spans="1:4">
      <c r="A2676" s="23">
        <v>45160</v>
      </c>
      <c r="B2676" s="13" t="s">
        <v>4087</v>
      </c>
      <c r="C2676" s="13" t="s">
        <v>4106</v>
      </c>
      <c r="D2676" s="13" t="s">
        <v>353</v>
      </c>
    </row>
    <row r="2677" spans="1:4">
      <c r="A2677" s="23">
        <v>45160</v>
      </c>
      <c r="B2677" s="13" t="s">
        <v>4108</v>
      </c>
      <c r="C2677" s="13" t="s">
        <v>4107</v>
      </c>
      <c r="D2677" s="13" t="s">
        <v>11</v>
      </c>
    </row>
    <row r="2678" spans="1:4">
      <c r="A2678" s="23">
        <v>45161</v>
      </c>
      <c r="B2678" s="13" t="s">
        <v>4110</v>
      </c>
      <c r="C2678" s="13" t="s">
        <v>4109</v>
      </c>
      <c r="D2678" s="13" t="s">
        <v>109</v>
      </c>
    </row>
    <row r="2679" spans="1:4">
      <c r="A2679" s="23">
        <v>45162</v>
      </c>
      <c r="B2679" s="13" t="s">
        <v>4112</v>
      </c>
      <c r="C2679" s="13" t="s">
        <v>4111</v>
      </c>
      <c r="D2679" s="13" t="s">
        <v>345</v>
      </c>
    </row>
    <row r="2680" spans="1:4">
      <c r="A2680" s="23">
        <v>45162</v>
      </c>
      <c r="B2680" s="13" t="s">
        <v>4114</v>
      </c>
      <c r="C2680" s="13" t="s">
        <v>4113</v>
      </c>
      <c r="D2680" s="13" t="s">
        <v>5</v>
      </c>
    </row>
    <row r="2681" spans="1:4">
      <c r="A2681" s="23">
        <v>45162</v>
      </c>
      <c r="B2681" s="13" t="s">
        <v>4116</v>
      </c>
      <c r="C2681" s="13" t="s">
        <v>4115</v>
      </c>
      <c r="D2681" s="13" t="s">
        <v>34</v>
      </c>
    </row>
    <row r="2682" spans="1:4">
      <c r="A2682" s="23">
        <v>45162</v>
      </c>
      <c r="B2682" s="13" t="s">
        <v>4118</v>
      </c>
      <c r="C2682" s="13" t="s">
        <v>4117</v>
      </c>
      <c r="D2682" s="13" t="s">
        <v>19</v>
      </c>
    </row>
    <row r="2683" spans="1:4">
      <c r="A2683" s="23">
        <v>45162</v>
      </c>
      <c r="B2683" s="13" t="s">
        <v>4120</v>
      </c>
      <c r="C2683" s="13" t="s">
        <v>4119</v>
      </c>
      <c r="D2683" s="13" t="s">
        <v>19</v>
      </c>
    </row>
    <row r="2684" spans="1:4">
      <c r="A2684" s="23">
        <v>45162</v>
      </c>
      <c r="B2684" s="13" t="s">
        <v>4122</v>
      </c>
      <c r="C2684" s="13" t="s">
        <v>4121</v>
      </c>
      <c r="D2684" s="13" t="s">
        <v>5</v>
      </c>
    </row>
    <row r="2685" spans="1:4">
      <c r="A2685" s="23">
        <v>45166</v>
      </c>
      <c r="B2685" s="13" t="s">
        <v>4124</v>
      </c>
      <c r="C2685" s="13" t="s">
        <v>4123</v>
      </c>
      <c r="D2685" s="16" t="s">
        <v>19</v>
      </c>
    </row>
    <row r="2686" spans="1:4">
      <c r="A2686" s="23">
        <v>45166</v>
      </c>
      <c r="B2686" s="13" t="s">
        <v>4126</v>
      </c>
      <c r="C2686" s="13" t="s">
        <v>4125</v>
      </c>
      <c r="D2686" s="16" t="s">
        <v>5</v>
      </c>
    </row>
    <row r="2687" spans="1:4">
      <c r="A2687" s="23">
        <v>45167</v>
      </c>
      <c r="B2687" s="13" t="s">
        <v>4127</v>
      </c>
      <c r="C2687" s="13" t="s">
        <v>4080</v>
      </c>
      <c r="D2687" s="13" t="s">
        <v>5</v>
      </c>
    </row>
    <row r="2688" spans="1:4">
      <c r="A2688" s="23">
        <v>45167</v>
      </c>
      <c r="B2688" s="13" t="s">
        <v>4129</v>
      </c>
      <c r="C2688" s="13" t="s">
        <v>4128</v>
      </c>
      <c r="D2688" s="13" t="s">
        <v>29</v>
      </c>
    </row>
    <row r="2689" spans="1:4">
      <c r="A2689" s="23">
        <v>45167</v>
      </c>
      <c r="B2689" s="13" t="s">
        <v>4131</v>
      </c>
      <c r="C2689" s="13" t="s">
        <v>4130</v>
      </c>
      <c r="D2689" s="13" t="s">
        <v>5</v>
      </c>
    </row>
    <row r="2690" spans="1:4">
      <c r="A2690" s="23">
        <v>45167</v>
      </c>
      <c r="B2690" s="13" t="s">
        <v>4133</v>
      </c>
      <c r="C2690" s="13" t="s">
        <v>4132</v>
      </c>
      <c r="D2690" s="13" t="s">
        <v>5</v>
      </c>
    </row>
    <row r="2691" spans="1:4">
      <c r="A2691" s="23">
        <v>45167</v>
      </c>
      <c r="B2691" s="13" t="s">
        <v>4135</v>
      </c>
      <c r="C2691" s="13" t="s">
        <v>4134</v>
      </c>
      <c r="D2691" s="13" t="s">
        <v>11</v>
      </c>
    </row>
    <row r="2692" spans="1:4">
      <c r="A2692" s="23">
        <v>45168</v>
      </c>
      <c r="B2692" s="13" t="s">
        <v>4137</v>
      </c>
      <c r="C2692" s="13" t="s">
        <v>4136</v>
      </c>
      <c r="D2692" s="16" t="s">
        <v>5</v>
      </c>
    </row>
    <row r="2693" spans="1:4">
      <c r="A2693" s="23">
        <v>45168</v>
      </c>
      <c r="B2693" s="13" t="s">
        <v>4139</v>
      </c>
      <c r="C2693" s="13" t="s">
        <v>4138</v>
      </c>
      <c r="D2693" s="13" t="s">
        <v>5</v>
      </c>
    </row>
    <row r="2694" spans="1:4">
      <c r="A2694" s="23">
        <v>45169</v>
      </c>
      <c r="B2694" s="13" t="s">
        <v>4141</v>
      </c>
      <c r="C2694" s="13" t="s">
        <v>4140</v>
      </c>
      <c r="D2694" s="13" t="s">
        <v>5</v>
      </c>
    </row>
    <row r="2695" spans="1:4">
      <c r="A2695" s="23">
        <v>45170</v>
      </c>
      <c r="B2695" s="13" t="s">
        <v>4143</v>
      </c>
      <c r="C2695" s="13" t="s">
        <v>4142</v>
      </c>
      <c r="D2695" s="13" t="s">
        <v>345</v>
      </c>
    </row>
    <row r="2696" spans="1:4">
      <c r="A2696" s="23">
        <v>45170</v>
      </c>
      <c r="B2696" s="13" t="s">
        <v>4145</v>
      </c>
      <c r="C2696" s="13" t="s">
        <v>4144</v>
      </c>
      <c r="D2696" s="13" t="s">
        <v>8</v>
      </c>
    </row>
    <row r="2697" spans="1:4">
      <c r="A2697" s="23">
        <v>45170</v>
      </c>
      <c r="B2697" s="13" t="s">
        <v>4147</v>
      </c>
      <c r="C2697" s="13" t="s">
        <v>4146</v>
      </c>
      <c r="D2697" s="13" t="s">
        <v>353</v>
      </c>
    </row>
    <row r="2698" spans="1:4">
      <c r="A2698" s="23">
        <v>45173</v>
      </c>
      <c r="B2698" s="13" t="s">
        <v>4149</v>
      </c>
      <c r="C2698" s="13" t="s">
        <v>4148</v>
      </c>
      <c r="D2698" s="16" t="s">
        <v>5</v>
      </c>
    </row>
    <row r="2699" spans="1:4">
      <c r="A2699" s="23">
        <v>45196</v>
      </c>
      <c r="B2699" s="13" t="s">
        <v>4151</v>
      </c>
      <c r="C2699" s="13" t="s">
        <v>4150</v>
      </c>
      <c r="D2699" s="13" t="s">
        <v>510</v>
      </c>
    </row>
    <row r="2700" spans="1:4">
      <c r="A2700" s="23">
        <v>45173</v>
      </c>
      <c r="B2700" s="13" t="s">
        <v>4153</v>
      </c>
      <c r="C2700" s="13" t="s">
        <v>4152</v>
      </c>
      <c r="D2700" s="13" t="s">
        <v>16</v>
      </c>
    </row>
    <row r="2701" spans="1:4">
      <c r="A2701" s="23">
        <v>45173</v>
      </c>
      <c r="B2701" s="13" t="s">
        <v>4155</v>
      </c>
      <c r="C2701" s="13" t="s">
        <v>4154</v>
      </c>
      <c r="D2701" s="13" t="s">
        <v>5</v>
      </c>
    </row>
    <row r="2702" spans="1:4">
      <c r="A2702" s="23">
        <v>45173</v>
      </c>
      <c r="B2702" s="13" t="s">
        <v>4157</v>
      </c>
      <c r="C2702" s="13" t="s">
        <v>4156</v>
      </c>
      <c r="D2702" s="13" t="s">
        <v>5</v>
      </c>
    </row>
    <row r="2703" spans="1:4">
      <c r="A2703" s="23">
        <v>45174</v>
      </c>
      <c r="B2703" s="13" t="s">
        <v>4159</v>
      </c>
      <c r="C2703" s="13" t="s">
        <v>4158</v>
      </c>
      <c r="D2703" s="13" t="s">
        <v>353</v>
      </c>
    </row>
    <row r="2704" spans="1:4">
      <c r="A2704" s="23">
        <v>45174</v>
      </c>
      <c r="B2704" s="13" t="s">
        <v>4161</v>
      </c>
      <c r="C2704" s="13" t="s">
        <v>4160</v>
      </c>
      <c r="D2704" s="13" t="s">
        <v>5</v>
      </c>
    </row>
    <row r="2705" spans="1:4">
      <c r="A2705" s="23">
        <v>45174</v>
      </c>
      <c r="B2705" s="13" t="s">
        <v>4163</v>
      </c>
      <c r="C2705" s="13" t="s">
        <v>4162</v>
      </c>
      <c r="D2705" s="13" t="s">
        <v>5</v>
      </c>
    </row>
    <row r="2706" spans="1:4">
      <c r="A2706" s="23">
        <v>45174</v>
      </c>
      <c r="B2706" s="13" t="s">
        <v>4165</v>
      </c>
      <c r="C2706" s="13" t="s">
        <v>4164</v>
      </c>
      <c r="D2706" s="13" t="s">
        <v>16</v>
      </c>
    </row>
    <row r="2707" spans="1:4">
      <c r="A2707" s="23">
        <v>45174</v>
      </c>
      <c r="B2707" s="13" t="s">
        <v>4167</v>
      </c>
      <c r="C2707" s="13" t="s">
        <v>4166</v>
      </c>
      <c r="D2707" s="13" t="s">
        <v>11</v>
      </c>
    </row>
    <row r="2708" spans="1:4">
      <c r="A2708" s="23">
        <v>45189</v>
      </c>
      <c r="B2708" s="13" t="s">
        <v>4169</v>
      </c>
      <c r="C2708" s="13" t="s">
        <v>4168</v>
      </c>
      <c r="D2708" s="13" t="s">
        <v>5</v>
      </c>
    </row>
    <row r="2709" spans="1:4">
      <c r="A2709" s="23">
        <v>45174</v>
      </c>
      <c r="B2709" s="13" t="s">
        <v>4170</v>
      </c>
      <c r="C2709" s="13" t="s">
        <v>4166</v>
      </c>
      <c r="D2709" s="13" t="s">
        <v>11</v>
      </c>
    </row>
    <row r="2710" spans="1:4">
      <c r="A2710" s="23">
        <v>45191</v>
      </c>
      <c r="B2710" s="13" t="s">
        <v>4172</v>
      </c>
      <c r="C2710" s="13" t="s">
        <v>4171</v>
      </c>
      <c r="D2710" s="13" t="s">
        <v>5</v>
      </c>
    </row>
    <row r="2711" spans="1:4">
      <c r="A2711" s="23">
        <v>45196</v>
      </c>
      <c r="B2711" s="13" t="s">
        <v>4174</v>
      </c>
      <c r="C2711" s="13" t="s">
        <v>4173</v>
      </c>
      <c r="D2711" s="13" t="s">
        <v>16</v>
      </c>
    </row>
    <row r="2712" spans="1:4">
      <c r="A2712" s="23">
        <v>45175</v>
      </c>
      <c r="B2712" s="13" t="s">
        <v>4176</v>
      </c>
      <c r="C2712" s="13" t="s">
        <v>4175</v>
      </c>
      <c r="D2712" s="13" t="s">
        <v>74</v>
      </c>
    </row>
    <row r="2713" spans="1:4">
      <c r="A2713" s="23">
        <v>45197</v>
      </c>
      <c r="B2713" s="13" t="s">
        <v>4178</v>
      </c>
      <c r="C2713" s="13" t="s">
        <v>4177</v>
      </c>
      <c r="D2713" s="13" t="s">
        <v>345</v>
      </c>
    </row>
    <row r="2714" spans="1:4">
      <c r="A2714" s="23">
        <v>45202</v>
      </c>
      <c r="B2714" s="13" t="s">
        <v>4180</v>
      </c>
      <c r="C2714" s="13" t="s">
        <v>4179</v>
      </c>
      <c r="D2714" s="13" t="s">
        <v>345</v>
      </c>
    </row>
    <row r="2715" spans="1:4">
      <c r="A2715" s="23">
        <v>45201</v>
      </c>
      <c r="B2715" s="13" t="s">
        <v>4182</v>
      </c>
      <c r="C2715" s="13" t="s">
        <v>4181</v>
      </c>
      <c r="D2715" s="13" t="s">
        <v>16</v>
      </c>
    </row>
    <row r="2716" spans="1:4">
      <c r="A2716" s="23">
        <v>45203</v>
      </c>
      <c r="B2716" s="13" t="s">
        <v>4184</v>
      </c>
      <c r="C2716" s="13" t="s">
        <v>4183</v>
      </c>
      <c r="D2716" s="13" t="s">
        <v>510</v>
      </c>
    </row>
    <row r="2717" spans="1:4">
      <c r="A2717" s="23">
        <v>45204</v>
      </c>
      <c r="B2717" s="13" t="s">
        <v>4186</v>
      </c>
      <c r="C2717" s="13" t="s">
        <v>4185</v>
      </c>
      <c r="D2717" s="13" t="s">
        <v>5</v>
      </c>
    </row>
    <row r="2718" spans="1:4">
      <c r="A2718" s="23">
        <v>45175</v>
      </c>
      <c r="B2718" s="13" t="s">
        <v>4188</v>
      </c>
      <c r="C2718" s="13" t="s">
        <v>4187</v>
      </c>
      <c r="D2718" s="13" t="s">
        <v>5</v>
      </c>
    </row>
    <row r="2719" spans="1:4">
      <c r="A2719" s="23">
        <v>45176</v>
      </c>
      <c r="B2719" s="13" t="s">
        <v>4190</v>
      </c>
      <c r="C2719" s="13" t="s">
        <v>4189</v>
      </c>
      <c r="D2719" s="13" t="s">
        <v>11</v>
      </c>
    </row>
    <row r="2720" spans="1:4">
      <c r="A2720" s="23">
        <v>45176</v>
      </c>
      <c r="B2720" s="13" t="s">
        <v>4192</v>
      </c>
      <c r="C2720" s="13" t="s">
        <v>4191</v>
      </c>
      <c r="D2720" s="13" t="s">
        <v>345</v>
      </c>
    </row>
    <row r="2721" spans="1:4">
      <c r="A2721" s="23">
        <v>45176</v>
      </c>
      <c r="B2721" s="13" t="s">
        <v>4194</v>
      </c>
      <c r="C2721" s="13" t="s">
        <v>4193</v>
      </c>
      <c r="D2721" s="16" t="s">
        <v>5</v>
      </c>
    </row>
    <row r="2722" spans="1:4">
      <c r="A2722" s="23">
        <v>45176</v>
      </c>
      <c r="B2722" s="13" t="s">
        <v>4196</v>
      </c>
      <c r="C2722" s="13" t="s">
        <v>4195</v>
      </c>
      <c r="D2722" s="13" t="s">
        <v>5</v>
      </c>
    </row>
    <row r="2723" spans="1:4">
      <c r="A2723" s="23">
        <v>45176</v>
      </c>
      <c r="B2723" s="13" t="s">
        <v>4198</v>
      </c>
      <c r="C2723" s="13" t="s">
        <v>4197</v>
      </c>
      <c r="D2723" s="13" t="s">
        <v>345</v>
      </c>
    </row>
    <row r="2724" spans="1:4">
      <c r="A2724" s="23">
        <v>45176</v>
      </c>
      <c r="B2724" s="13" t="s">
        <v>4200</v>
      </c>
      <c r="C2724" s="13" t="s">
        <v>4199</v>
      </c>
      <c r="D2724" s="13" t="s">
        <v>109</v>
      </c>
    </row>
    <row r="2725" spans="1:4">
      <c r="A2725" s="23">
        <v>45176</v>
      </c>
      <c r="B2725" s="13" t="s">
        <v>4202</v>
      </c>
      <c r="C2725" s="13" t="s">
        <v>4201</v>
      </c>
      <c r="D2725" s="13" t="s">
        <v>109</v>
      </c>
    </row>
    <row r="2726" spans="1:4">
      <c r="A2726" s="23">
        <v>45197</v>
      </c>
      <c r="B2726" s="13" t="s">
        <v>4204</v>
      </c>
      <c r="C2726" s="13" t="s">
        <v>4203</v>
      </c>
      <c r="D2726" s="13" t="s">
        <v>24</v>
      </c>
    </row>
    <row r="2727" spans="1:4">
      <c r="A2727" s="23">
        <v>45177</v>
      </c>
      <c r="B2727" s="13" t="s">
        <v>4206</v>
      </c>
      <c r="C2727" s="13" t="s">
        <v>4205</v>
      </c>
      <c r="D2727" s="13" t="s">
        <v>345</v>
      </c>
    </row>
    <row r="2728" spans="1:4">
      <c r="A2728" s="23">
        <v>45177</v>
      </c>
      <c r="B2728" s="13" t="s">
        <v>4207</v>
      </c>
      <c r="C2728" s="13" t="s">
        <v>4020</v>
      </c>
      <c r="D2728" s="13" t="s">
        <v>345</v>
      </c>
    </row>
    <row r="2729" spans="1:4">
      <c r="A2729" s="23">
        <v>45177</v>
      </c>
      <c r="B2729" s="13" t="s">
        <v>4209</v>
      </c>
      <c r="C2729" s="13" t="s">
        <v>4208</v>
      </c>
      <c r="D2729" s="13" t="s">
        <v>5</v>
      </c>
    </row>
    <row r="2730" spans="1:4">
      <c r="A2730" s="23">
        <v>45177</v>
      </c>
      <c r="B2730" s="13" t="s">
        <v>4211</v>
      </c>
      <c r="C2730" s="13" t="s">
        <v>4210</v>
      </c>
      <c r="D2730" s="13" t="s">
        <v>74</v>
      </c>
    </row>
    <row r="2731" spans="1:4">
      <c r="A2731" s="23">
        <v>45191</v>
      </c>
      <c r="B2731" s="13" t="s">
        <v>4213</v>
      </c>
      <c r="C2731" s="13" t="s">
        <v>4212</v>
      </c>
      <c r="D2731" s="13" t="s">
        <v>510</v>
      </c>
    </row>
    <row r="2732" spans="1:4">
      <c r="A2732" s="23">
        <v>45177</v>
      </c>
      <c r="B2732" s="13" t="s">
        <v>4215</v>
      </c>
      <c r="C2732" s="13" t="s">
        <v>4214</v>
      </c>
      <c r="D2732" s="13" t="s">
        <v>24</v>
      </c>
    </row>
    <row r="2733" spans="1:4">
      <c r="A2733" s="23">
        <v>45177</v>
      </c>
      <c r="B2733" s="13" t="s">
        <v>4217</v>
      </c>
      <c r="C2733" s="13" t="s">
        <v>4216</v>
      </c>
      <c r="D2733" s="16" t="s">
        <v>24</v>
      </c>
    </row>
    <row r="2734" spans="1:4">
      <c r="A2734" s="23">
        <v>45177</v>
      </c>
      <c r="B2734" s="13" t="s">
        <v>4219</v>
      </c>
      <c r="C2734" s="13" t="s">
        <v>4218</v>
      </c>
      <c r="D2734" s="13" t="s">
        <v>74</v>
      </c>
    </row>
    <row r="2735" spans="1:4">
      <c r="A2735" s="23">
        <v>45178</v>
      </c>
      <c r="B2735" s="13" t="s">
        <v>4221</v>
      </c>
      <c r="C2735" s="13" t="s">
        <v>4220</v>
      </c>
      <c r="D2735" s="13" t="s">
        <v>5</v>
      </c>
    </row>
    <row r="2736" spans="1:4">
      <c r="A2736" s="23">
        <v>45180</v>
      </c>
      <c r="B2736" s="13" t="s">
        <v>4223</v>
      </c>
      <c r="C2736" s="13" t="s">
        <v>4222</v>
      </c>
      <c r="D2736" s="13" t="s">
        <v>5</v>
      </c>
    </row>
    <row r="2737" spans="1:4">
      <c r="A2737" s="23">
        <v>45180</v>
      </c>
      <c r="B2737" s="13" t="s">
        <v>4225</v>
      </c>
      <c r="C2737" s="13" t="s">
        <v>4224</v>
      </c>
      <c r="D2737" s="13" t="s">
        <v>8</v>
      </c>
    </row>
    <row r="2738" spans="1:4">
      <c r="A2738" s="23">
        <v>45180</v>
      </c>
      <c r="B2738" s="13" t="s">
        <v>4226</v>
      </c>
      <c r="C2738" s="13" t="s">
        <v>4222</v>
      </c>
      <c r="D2738" s="13" t="s">
        <v>5</v>
      </c>
    </row>
    <row r="2739" spans="1:4">
      <c r="A2739" s="23">
        <v>45180</v>
      </c>
      <c r="B2739" s="13" t="s">
        <v>4228</v>
      </c>
      <c r="C2739" s="13" t="s">
        <v>4227</v>
      </c>
      <c r="D2739" s="13" t="s">
        <v>5</v>
      </c>
    </row>
    <row r="2740" spans="1:4">
      <c r="A2740" s="23">
        <v>45181</v>
      </c>
      <c r="B2740" s="13" t="s">
        <v>4230</v>
      </c>
      <c r="C2740" s="13" t="s">
        <v>4229</v>
      </c>
      <c r="D2740" s="13" t="s">
        <v>109</v>
      </c>
    </row>
    <row r="2741" spans="1:4">
      <c r="A2741" s="23">
        <v>45181</v>
      </c>
      <c r="B2741" s="13" t="s">
        <v>4232</v>
      </c>
      <c r="C2741" s="13" t="s">
        <v>4231</v>
      </c>
      <c r="D2741" s="13" t="s">
        <v>16</v>
      </c>
    </row>
    <row r="2742" spans="1:4">
      <c r="A2742" s="23">
        <v>45181</v>
      </c>
      <c r="B2742" s="13" t="s">
        <v>4234</v>
      </c>
      <c r="C2742" s="13" t="s">
        <v>4233</v>
      </c>
      <c r="D2742" s="13" t="s">
        <v>5</v>
      </c>
    </row>
    <row r="2743" spans="1:4">
      <c r="A2743" s="23">
        <v>45190</v>
      </c>
      <c r="B2743" s="13" t="s">
        <v>4236</v>
      </c>
      <c r="C2743" s="13" t="s">
        <v>4235</v>
      </c>
      <c r="D2743" s="13" t="s">
        <v>29</v>
      </c>
    </row>
    <row r="2744" spans="1:4">
      <c r="A2744" s="23">
        <v>45181</v>
      </c>
      <c r="B2744" s="13" t="s">
        <v>4238</v>
      </c>
      <c r="C2744" s="13" t="s">
        <v>4237</v>
      </c>
      <c r="D2744" s="13" t="s">
        <v>11</v>
      </c>
    </row>
    <row r="2745" spans="1:4">
      <c r="A2745" s="23">
        <v>45181</v>
      </c>
      <c r="B2745" s="13" t="s">
        <v>4240</v>
      </c>
      <c r="C2745" s="13" t="s">
        <v>4239</v>
      </c>
      <c r="D2745" s="13" t="s">
        <v>353</v>
      </c>
    </row>
    <row r="2746" spans="1:4">
      <c r="A2746" s="23">
        <v>45190</v>
      </c>
      <c r="B2746" s="13" t="s">
        <v>4242</v>
      </c>
      <c r="C2746" s="13" t="s">
        <v>4241</v>
      </c>
      <c r="D2746" s="13" t="s">
        <v>5</v>
      </c>
    </row>
    <row r="2747" spans="1:4">
      <c r="A2747" s="23">
        <v>45182</v>
      </c>
      <c r="B2747" s="13" t="s">
        <v>4244</v>
      </c>
      <c r="C2747" s="13" t="s">
        <v>4243</v>
      </c>
      <c r="D2747" s="13" t="s">
        <v>11</v>
      </c>
    </row>
    <row r="2748" spans="1:4">
      <c r="A2748" s="23">
        <v>45182</v>
      </c>
      <c r="B2748" s="13" t="s">
        <v>4246</v>
      </c>
      <c r="C2748" s="13" t="s">
        <v>4245</v>
      </c>
      <c r="D2748" s="13" t="s">
        <v>141</v>
      </c>
    </row>
    <row r="2749" spans="1:4">
      <c r="A2749" s="23">
        <v>45182</v>
      </c>
      <c r="B2749" s="13" t="s">
        <v>4248</v>
      </c>
      <c r="C2749" s="13" t="s">
        <v>4247</v>
      </c>
      <c r="D2749" s="13" t="s">
        <v>5</v>
      </c>
    </row>
    <row r="2750" spans="1:4">
      <c r="A2750" s="23">
        <v>45183</v>
      </c>
      <c r="B2750" s="13" t="s">
        <v>4250</v>
      </c>
      <c r="C2750" s="13" t="s">
        <v>4249</v>
      </c>
      <c r="D2750" s="13" t="s">
        <v>5</v>
      </c>
    </row>
    <row r="2751" spans="1:4">
      <c r="A2751" s="23">
        <v>45183</v>
      </c>
      <c r="B2751" s="13" t="s">
        <v>4252</v>
      </c>
      <c r="C2751" s="13" t="s">
        <v>4251</v>
      </c>
      <c r="D2751" s="13" t="s">
        <v>109</v>
      </c>
    </row>
    <row r="2752" spans="1:4">
      <c r="A2752" s="23">
        <v>45183</v>
      </c>
      <c r="B2752" s="13" t="s">
        <v>4254</v>
      </c>
      <c r="C2752" s="13" t="s">
        <v>4253</v>
      </c>
      <c r="D2752" s="13" t="s">
        <v>19</v>
      </c>
    </row>
    <row r="2753" spans="1:4">
      <c r="A2753" s="23">
        <v>45183</v>
      </c>
      <c r="B2753" s="13" t="s">
        <v>4256</v>
      </c>
      <c r="C2753" s="13" t="s">
        <v>4255</v>
      </c>
      <c r="D2753" s="13" t="s">
        <v>74</v>
      </c>
    </row>
    <row r="2754" spans="1:4">
      <c r="A2754" s="23">
        <v>45183</v>
      </c>
      <c r="B2754" s="13" t="s">
        <v>4258</v>
      </c>
      <c r="C2754" s="13" t="s">
        <v>4257</v>
      </c>
      <c r="D2754" s="13" t="s">
        <v>5</v>
      </c>
    </row>
    <row r="2755" spans="1:4">
      <c r="A2755" s="23">
        <v>45184</v>
      </c>
      <c r="B2755" s="13" t="s">
        <v>4260</v>
      </c>
      <c r="C2755" s="13" t="s">
        <v>4259</v>
      </c>
      <c r="D2755" s="13" t="s">
        <v>345</v>
      </c>
    </row>
    <row r="2756" spans="1:4">
      <c r="A2756" s="23">
        <v>45184</v>
      </c>
      <c r="B2756" s="13" t="s">
        <v>4262</v>
      </c>
      <c r="C2756" s="13" t="s">
        <v>4261</v>
      </c>
      <c r="D2756" s="13" t="s">
        <v>164</v>
      </c>
    </row>
    <row r="2757" spans="1:4">
      <c r="A2757" s="23">
        <v>45222</v>
      </c>
      <c r="B2757" s="13" t="s">
        <v>4264</v>
      </c>
      <c r="C2757" s="13" t="s">
        <v>4263</v>
      </c>
      <c r="D2757" s="13" t="s">
        <v>164</v>
      </c>
    </row>
    <row r="2758" spans="1:4">
      <c r="A2758" s="23">
        <v>45225</v>
      </c>
      <c r="B2758" s="13" t="s">
        <v>4266</v>
      </c>
      <c r="C2758" s="13" t="s">
        <v>4265</v>
      </c>
      <c r="D2758" s="13" t="s">
        <v>74</v>
      </c>
    </row>
    <row r="2759" spans="1:4">
      <c r="A2759" s="23">
        <v>45220</v>
      </c>
      <c r="B2759" s="13" t="s">
        <v>4268</v>
      </c>
      <c r="C2759" s="13" t="s">
        <v>4267</v>
      </c>
      <c r="D2759" s="13" t="s">
        <v>11</v>
      </c>
    </row>
    <row r="2760" spans="1:4">
      <c r="A2760" s="23">
        <v>45215</v>
      </c>
      <c r="B2760" s="13" t="s">
        <v>4270</v>
      </c>
      <c r="C2760" s="13" t="s">
        <v>4269</v>
      </c>
      <c r="D2760" s="13" t="s">
        <v>345</v>
      </c>
    </row>
    <row r="2761" spans="1:4">
      <c r="A2761" s="23">
        <v>45217</v>
      </c>
      <c r="B2761" s="13" t="s">
        <v>4272</v>
      </c>
      <c r="C2761" s="13" t="s">
        <v>4271</v>
      </c>
      <c r="D2761" s="13" t="s">
        <v>164</v>
      </c>
    </row>
    <row r="2762" spans="1:4">
      <c r="A2762" s="23">
        <v>45216</v>
      </c>
      <c r="B2762" s="13" t="s">
        <v>4273</v>
      </c>
      <c r="C2762" s="13" t="s">
        <v>4002</v>
      </c>
      <c r="D2762" s="13" t="s">
        <v>353</v>
      </c>
    </row>
    <row r="2763" spans="1:4">
      <c r="A2763" s="23">
        <v>45222</v>
      </c>
      <c r="B2763" s="13" t="s">
        <v>4275</v>
      </c>
      <c r="C2763" s="13" t="s">
        <v>4274</v>
      </c>
      <c r="D2763" s="13" t="s">
        <v>5</v>
      </c>
    </row>
    <row r="2764" spans="1:4">
      <c r="A2764" s="23">
        <v>45223</v>
      </c>
      <c r="B2764" s="13" t="s">
        <v>4277</v>
      </c>
      <c r="C2764" s="13" t="s">
        <v>4276</v>
      </c>
      <c r="D2764" s="13" t="s">
        <v>5</v>
      </c>
    </row>
    <row r="2765" spans="1:4">
      <c r="A2765" s="23">
        <v>45204</v>
      </c>
      <c r="B2765" s="13" t="s">
        <v>4279</v>
      </c>
      <c r="C2765" s="13" t="s">
        <v>4278</v>
      </c>
      <c r="D2765" s="13" t="s">
        <v>8</v>
      </c>
    </row>
    <row r="2766" spans="1:4">
      <c r="A2766" s="23">
        <v>45204</v>
      </c>
      <c r="B2766" s="13" t="s">
        <v>4279</v>
      </c>
      <c r="C2766" s="13" t="s">
        <v>4278</v>
      </c>
      <c r="D2766" s="16" t="s">
        <v>8</v>
      </c>
    </row>
    <row r="2767" spans="1:4">
      <c r="A2767" s="23">
        <v>45205</v>
      </c>
      <c r="B2767" s="13" t="s">
        <v>4281</v>
      </c>
      <c r="C2767" s="13" t="s">
        <v>4280</v>
      </c>
      <c r="D2767" s="16" t="s">
        <v>345</v>
      </c>
    </row>
    <row r="2768" spans="1:4">
      <c r="A2768" s="23">
        <v>45212</v>
      </c>
      <c r="B2768" s="13" t="s">
        <v>4282</v>
      </c>
      <c r="C2768" s="13" t="s">
        <v>4203</v>
      </c>
      <c r="D2768" s="13" t="s">
        <v>24</v>
      </c>
    </row>
    <row r="2769" spans="1:4">
      <c r="A2769" s="23">
        <v>45223</v>
      </c>
      <c r="B2769" s="13" t="s">
        <v>4284</v>
      </c>
      <c r="C2769" s="13" t="s">
        <v>4283</v>
      </c>
      <c r="D2769" s="13" t="s">
        <v>164</v>
      </c>
    </row>
    <row r="2770" spans="1:4">
      <c r="A2770" s="23">
        <v>45212</v>
      </c>
      <c r="B2770" s="13" t="s">
        <v>4286</v>
      </c>
      <c r="C2770" s="13" t="s">
        <v>4285</v>
      </c>
      <c r="D2770" s="13" t="s">
        <v>345</v>
      </c>
    </row>
    <row r="2771" spans="1:4">
      <c r="A2771" s="23">
        <v>45213</v>
      </c>
      <c r="B2771" s="13" t="s">
        <v>4288</v>
      </c>
      <c r="C2771" s="13" t="s">
        <v>4287</v>
      </c>
      <c r="D2771" s="13" t="s">
        <v>109</v>
      </c>
    </row>
    <row r="2772" spans="1:4">
      <c r="A2772" s="23">
        <v>45215</v>
      </c>
      <c r="B2772" s="13" t="s">
        <v>4290</v>
      </c>
      <c r="C2772" s="13" t="s">
        <v>4289</v>
      </c>
      <c r="D2772" s="13" t="s">
        <v>109</v>
      </c>
    </row>
    <row r="2773" spans="1:4">
      <c r="A2773" s="23">
        <v>45218</v>
      </c>
      <c r="B2773" s="13" t="s">
        <v>4292</v>
      </c>
      <c r="C2773" s="13" t="s">
        <v>4291</v>
      </c>
      <c r="D2773" s="16" t="s">
        <v>74</v>
      </c>
    </row>
    <row r="2774" spans="1:4">
      <c r="A2774" s="23">
        <v>45218</v>
      </c>
      <c r="B2774" s="13" t="s">
        <v>4294</v>
      </c>
      <c r="C2774" s="13" t="s">
        <v>4293</v>
      </c>
      <c r="D2774" s="13" t="s">
        <v>24</v>
      </c>
    </row>
    <row r="2775" spans="1:4">
      <c r="A2775" s="23">
        <v>45217</v>
      </c>
      <c r="B2775" s="13" t="s">
        <v>4296</v>
      </c>
      <c r="C2775" s="13" t="s">
        <v>4295</v>
      </c>
      <c r="D2775" s="13" t="s">
        <v>164</v>
      </c>
    </row>
    <row r="2776" spans="1:4">
      <c r="A2776" s="23">
        <v>45204</v>
      </c>
      <c r="B2776" s="13" t="s">
        <v>4298</v>
      </c>
      <c r="C2776" s="13" t="s">
        <v>4297</v>
      </c>
      <c r="D2776" s="13" t="s">
        <v>5</v>
      </c>
    </row>
    <row r="2777" spans="1:4">
      <c r="A2777" s="23">
        <v>45205</v>
      </c>
      <c r="B2777" s="13" t="s">
        <v>4300</v>
      </c>
      <c r="C2777" s="13" t="s">
        <v>4299</v>
      </c>
      <c r="D2777" s="13" t="s">
        <v>109</v>
      </c>
    </row>
    <row r="2778" spans="1:4">
      <c r="A2778" s="23">
        <v>45205</v>
      </c>
      <c r="B2778" s="13" t="s">
        <v>4300</v>
      </c>
      <c r="C2778" s="13" t="s">
        <v>4299</v>
      </c>
      <c r="D2778" s="13" t="s">
        <v>109</v>
      </c>
    </row>
    <row r="2779" spans="1:4">
      <c r="A2779" s="23">
        <v>45205</v>
      </c>
      <c r="B2779" s="13" t="s">
        <v>4300</v>
      </c>
      <c r="C2779" s="13" t="s">
        <v>4299</v>
      </c>
      <c r="D2779" s="13" t="s">
        <v>109</v>
      </c>
    </row>
    <row r="2780" spans="1:4">
      <c r="A2780" s="23">
        <v>45209</v>
      </c>
      <c r="B2780" s="13" t="s">
        <v>4302</v>
      </c>
      <c r="C2780" s="13" t="s">
        <v>4301</v>
      </c>
      <c r="D2780" s="13" t="s">
        <v>34</v>
      </c>
    </row>
    <row r="2781" spans="1:4">
      <c r="A2781" s="23">
        <v>45211</v>
      </c>
      <c r="B2781" s="13" t="s">
        <v>4304</v>
      </c>
      <c r="C2781" s="13" t="s">
        <v>4303</v>
      </c>
      <c r="D2781" s="13" t="s">
        <v>24</v>
      </c>
    </row>
    <row r="2782" spans="1:4">
      <c r="A2782" s="23">
        <v>45205</v>
      </c>
      <c r="B2782" s="13" t="s">
        <v>4306</v>
      </c>
      <c r="C2782" s="13" t="s">
        <v>4305</v>
      </c>
      <c r="D2782" s="13" t="s">
        <v>109</v>
      </c>
    </row>
    <row r="2783" spans="1:4">
      <c r="A2783" s="23">
        <v>45205</v>
      </c>
      <c r="B2783" s="13" t="s">
        <v>4306</v>
      </c>
      <c r="C2783" s="13" t="s">
        <v>4305</v>
      </c>
      <c r="D2783" s="13" t="s">
        <v>109</v>
      </c>
    </row>
    <row r="2784" spans="1:4">
      <c r="A2784" s="23">
        <v>45216</v>
      </c>
      <c r="B2784" s="13" t="s">
        <v>4308</v>
      </c>
      <c r="C2784" s="13" t="s">
        <v>4307</v>
      </c>
      <c r="D2784" s="13" t="s">
        <v>16</v>
      </c>
    </row>
    <row r="2785" spans="1:4">
      <c r="A2785" s="23">
        <v>45219</v>
      </c>
      <c r="B2785" s="13" t="s">
        <v>4310</v>
      </c>
      <c r="C2785" s="13" t="s">
        <v>4309</v>
      </c>
      <c r="D2785" s="13" t="s">
        <v>74</v>
      </c>
    </row>
    <row r="2786" spans="1:4">
      <c r="A2786" s="23">
        <v>45216</v>
      </c>
      <c r="B2786" s="13" t="s">
        <v>4312</v>
      </c>
      <c r="C2786" s="13" t="s">
        <v>4311</v>
      </c>
      <c r="D2786" s="13" t="s">
        <v>16</v>
      </c>
    </row>
    <row r="2787" spans="1:4">
      <c r="A2787" s="23">
        <v>45217</v>
      </c>
      <c r="B2787" s="13" t="s">
        <v>4314</v>
      </c>
      <c r="C2787" s="13" t="s">
        <v>4313</v>
      </c>
      <c r="D2787" s="13" t="s">
        <v>16</v>
      </c>
    </row>
    <row r="2788" spans="1:4">
      <c r="A2788" s="23">
        <v>45210</v>
      </c>
      <c r="B2788" s="13" t="s">
        <v>4316</v>
      </c>
      <c r="C2788" s="13" t="s">
        <v>4315</v>
      </c>
      <c r="D2788" s="13" t="s">
        <v>345</v>
      </c>
    </row>
    <row r="2789" spans="1:4">
      <c r="A2789" s="23">
        <v>45211</v>
      </c>
      <c r="B2789" s="13" t="s">
        <v>4318</v>
      </c>
      <c r="C2789" s="13" t="s">
        <v>4317</v>
      </c>
      <c r="D2789" s="13" t="s">
        <v>5</v>
      </c>
    </row>
    <row r="2790" spans="1:4">
      <c r="A2790" s="23">
        <v>45211</v>
      </c>
      <c r="B2790" s="13" t="s">
        <v>4318</v>
      </c>
      <c r="C2790" s="13" t="s">
        <v>4317</v>
      </c>
      <c r="D2790" s="13" t="s">
        <v>5</v>
      </c>
    </row>
    <row r="2791" spans="1:4">
      <c r="A2791" s="23">
        <v>45211</v>
      </c>
      <c r="B2791" s="13" t="s">
        <v>4320</v>
      </c>
      <c r="C2791" s="13" t="s">
        <v>4319</v>
      </c>
      <c r="D2791" s="13" t="s">
        <v>5</v>
      </c>
    </row>
    <row r="2792" spans="1:4">
      <c r="A2792" s="23">
        <v>45212</v>
      </c>
      <c r="B2792" s="13" t="s">
        <v>4322</v>
      </c>
      <c r="C2792" s="13" t="s">
        <v>4321</v>
      </c>
      <c r="D2792" s="13" t="s">
        <v>353</v>
      </c>
    </row>
    <row r="2793" spans="1:4">
      <c r="A2793" s="23">
        <v>45211</v>
      </c>
      <c r="B2793" s="13" t="s">
        <v>4324</v>
      </c>
      <c r="C2793" s="13" t="s">
        <v>4323</v>
      </c>
      <c r="D2793" s="13" t="s">
        <v>345</v>
      </c>
    </row>
    <row r="2794" spans="1:4">
      <c r="A2794" s="23">
        <v>45209</v>
      </c>
      <c r="B2794" s="13" t="s">
        <v>4326</v>
      </c>
      <c r="C2794" s="13" t="s">
        <v>4325</v>
      </c>
      <c r="D2794" s="13" t="s">
        <v>11</v>
      </c>
    </row>
    <row r="2795" spans="1:4">
      <c r="A2795" s="23">
        <v>45211</v>
      </c>
      <c r="B2795" s="13" t="s">
        <v>4328</v>
      </c>
      <c r="C2795" s="13" t="s">
        <v>4327</v>
      </c>
      <c r="D2795" s="13" t="s">
        <v>345</v>
      </c>
    </row>
    <row r="2796" spans="1:4">
      <c r="A2796" s="23">
        <v>45218</v>
      </c>
      <c r="B2796" s="13" t="s">
        <v>4330</v>
      </c>
      <c r="C2796" s="13" t="s">
        <v>4329</v>
      </c>
      <c r="D2796" s="13" t="s">
        <v>164</v>
      </c>
    </row>
    <row r="2797" spans="1:4">
      <c r="A2797" s="23">
        <v>45219</v>
      </c>
      <c r="B2797" s="13" t="s">
        <v>4332</v>
      </c>
      <c r="C2797" s="13" t="s">
        <v>4331</v>
      </c>
      <c r="D2797" s="13" t="s">
        <v>5</v>
      </c>
    </row>
    <row r="2798" spans="1:4">
      <c r="A2798" s="23">
        <v>45218</v>
      </c>
      <c r="B2798" s="13" t="s">
        <v>4334</v>
      </c>
      <c r="C2798" s="13" t="s">
        <v>4333</v>
      </c>
      <c r="D2798" s="13" t="s">
        <v>5</v>
      </c>
    </row>
    <row r="2799" spans="1:4">
      <c r="A2799" s="23">
        <v>45218</v>
      </c>
      <c r="B2799" s="13" t="s">
        <v>4336</v>
      </c>
      <c r="C2799" s="13" t="s">
        <v>4335</v>
      </c>
      <c r="D2799" s="13" t="s">
        <v>164</v>
      </c>
    </row>
    <row r="2800" spans="1:4">
      <c r="A2800" s="23">
        <v>45215</v>
      </c>
      <c r="B2800" s="13" t="s">
        <v>4338</v>
      </c>
      <c r="C2800" s="13" t="s">
        <v>4337</v>
      </c>
      <c r="D2800" s="13" t="s">
        <v>29</v>
      </c>
    </row>
    <row r="2801" spans="1:4">
      <c r="A2801" s="23">
        <v>45216</v>
      </c>
      <c r="B2801" s="13" t="s">
        <v>4339</v>
      </c>
      <c r="C2801" s="13" t="s">
        <v>4337</v>
      </c>
      <c r="D2801" s="13" t="s">
        <v>29</v>
      </c>
    </row>
    <row r="2802" spans="1:4">
      <c r="A2802" s="23">
        <v>45217</v>
      </c>
      <c r="B2802" s="13" t="s">
        <v>4341</v>
      </c>
      <c r="C2802" s="13" t="s">
        <v>4340</v>
      </c>
      <c r="D2802" s="16" t="s">
        <v>5</v>
      </c>
    </row>
    <row r="2803" spans="1:4">
      <c r="A2803" s="23">
        <v>45216</v>
      </c>
      <c r="B2803" s="13" t="s">
        <v>4343</v>
      </c>
      <c r="C2803" s="13" t="s">
        <v>4342</v>
      </c>
      <c r="D2803" s="13" t="s">
        <v>29</v>
      </c>
    </row>
    <row r="2804" spans="1:4">
      <c r="A2804" s="23">
        <v>44959</v>
      </c>
      <c r="B2804" s="13" t="s">
        <v>4345</v>
      </c>
      <c r="C2804" s="13" t="s">
        <v>4344</v>
      </c>
      <c r="D2804" s="13" t="s">
        <v>19</v>
      </c>
    </row>
    <row r="2805" spans="1:4">
      <c r="A2805" s="23">
        <v>44960</v>
      </c>
      <c r="B2805" s="13" t="s">
        <v>4347</v>
      </c>
      <c r="C2805" s="13" t="s">
        <v>4346</v>
      </c>
      <c r="D2805" s="13" t="s">
        <v>81</v>
      </c>
    </row>
    <row r="2806" spans="1:4">
      <c r="A2806" s="23">
        <v>44960</v>
      </c>
      <c r="B2806" s="13" t="s">
        <v>4349</v>
      </c>
      <c r="C2806" s="13" t="s">
        <v>4348</v>
      </c>
      <c r="D2806" s="13" t="s">
        <v>81</v>
      </c>
    </row>
    <row r="2807" spans="1:4">
      <c r="A2807" s="23">
        <v>44979</v>
      </c>
      <c r="B2807" s="13" t="s">
        <v>4350</v>
      </c>
      <c r="C2807" s="13" t="s">
        <v>949</v>
      </c>
      <c r="D2807" s="13" t="s">
        <v>81</v>
      </c>
    </row>
    <row r="2808" spans="1:4">
      <c r="A2808" s="23">
        <v>44981</v>
      </c>
      <c r="B2808" s="13" t="s">
        <v>4352</v>
      </c>
      <c r="C2808" s="13" t="s">
        <v>4351</v>
      </c>
      <c r="D2808" s="13" t="s">
        <v>24</v>
      </c>
    </row>
    <row r="2809" spans="1:4">
      <c r="A2809" s="23">
        <v>44981</v>
      </c>
      <c r="B2809" s="13" t="s">
        <v>4354</v>
      </c>
      <c r="C2809" s="13" t="s">
        <v>4353</v>
      </c>
      <c r="D2809" s="13" t="s">
        <v>74</v>
      </c>
    </row>
    <row r="2810" spans="1:4">
      <c r="A2810" s="23">
        <v>44984</v>
      </c>
      <c r="B2810" s="13" t="s">
        <v>4356</v>
      </c>
      <c r="C2810" s="13" t="s">
        <v>4355</v>
      </c>
      <c r="D2810" s="13" t="s">
        <v>5</v>
      </c>
    </row>
    <row r="2811" spans="1:4">
      <c r="A2811" s="23">
        <v>44984</v>
      </c>
      <c r="B2811" s="13" t="s">
        <v>4358</v>
      </c>
      <c r="C2811" s="13" t="s">
        <v>4357</v>
      </c>
      <c r="D2811" s="14" t="s">
        <v>11</v>
      </c>
    </row>
    <row r="2812" spans="1:4">
      <c r="A2812" s="23">
        <v>44985</v>
      </c>
      <c r="B2812" s="13" t="s">
        <v>4360</v>
      </c>
      <c r="C2812" s="13" t="s">
        <v>4359</v>
      </c>
      <c r="D2812" s="13" t="s">
        <v>29</v>
      </c>
    </row>
    <row r="2813" spans="1:4">
      <c r="A2813" s="23">
        <v>44985</v>
      </c>
      <c r="B2813" s="13" t="s">
        <v>4362</v>
      </c>
      <c r="C2813" s="13" t="s">
        <v>4361</v>
      </c>
      <c r="D2813" s="13" t="s">
        <v>345</v>
      </c>
    </row>
    <row r="2814" spans="1:4">
      <c r="A2814" s="23">
        <v>44985</v>
      </c>
      <c r="B2814" s="13" t="s">
        <v>4364</v>
      </c>
      <c r="C2814" s="13" t="s">
        <v>4363</v>
      </c>
      <c r="D2814" s="16" t="s">
        <v>345</v>
      </c>
    </row>
    <row r="2815" spans="1:4">
      <c r="A2815" s="23">
        <v>44985</v>
      </c>
      <c r="B2815" s="13" t="s">
        <v>4366</v>
      </c>
      <c r="C2815" s="13" t="s">
        <v>4365</v>
      </c>
      <c r="D2815" s="13" t="s">
        <v>345</v>
      </c>
    </row>
    <row r="2816" spans="1:4">
      <c r="A2816" s="23">
        <v>44986</v>
      </c>
      <c r="B2816" s="13" t="s">
        <v>4368</v>
      </c>
      <c r="C2816" s="13" t="s">
        <v>4367</v>
      </c>
      <c r="D2816" s="13" t="s">
        <v>5</v>
      </c>
    </row>
    <row r="2817" spans="1:4">
      <c r="A2817" s="23">
        <v>44986</v>
      </c>
      <c r="B2817" s="13" t="s">
        <v>4370</v>
      </c>
      <c r="C2817" s="13" t="s">
        <v>4369</v>
      </c>
      <c r="D2817" s="13" t="s">
        <v>5</v>
      </c>
    </row>
    <row r="2818" spans="1:4">
      <c r="A2818" s="23">
        <v>44987</v>
      </c>
      <c r="B2818" s="13" t="s">
        <v>4372</v>
      </c>
      <c r="C2818" s="13" t="s">
        <v>4371</v>
      </c>
      <c r="D2818" s="13" t="s">
        <v>109</v>
      </c>
    </row>
    <row r="2819" spans="1:4">
      <c r="A2819" s="23">
        <v>44987</v>
      </c>
      <c r="B2819" s="13" t="s">
        <v>4374</v>
      </c>
      <c r="C2819" s="13" t="s">
        <v>4373</v>
      </c>
      <c r="D2819" s="13" t="s">
        <v>141</v>
      </c>
    </row>
    <row r="2820" spans="1:4">
      <c r="A2820" s="23">
        <v>44987</v>
      </c>
      <c r="B2820" s="13" t="s">
        <v>4376</v>
      </c>
      <c r="C2820" s="13" t="s">
        <v>4375</v>
      </c>
      <c r="D2820" s="13" t="s">
        <v>74</v>
      </c>
    </row>
    <row r="2821" spans="1:4">
      <c r="A2821" s="23">
        <v>44990</v>
      </c>
      <c r="B2821" s="13" t="s">
        <v>4378</v>
      </c>
      <c r="C2821" s="13" t="s">
        <v>4377</v>
      </c>
      <c r="D2821" s="13" t="s">
        <v>74</v>
      </c>
    </row>
    <row r="2822" spans="1:4">
      <c r="A2822" s="23">
        <v>44992</v>
      </c>
      <c r="B2822" s="13" t="s">
        <v>4380</v>
      </c>
      <c r="C2822" s="13" t="s">
        <v>4379</v>
      </c>
      <c r="D2822" s="13" t="s">
        <v>109</v>
      </c>
    </row>
    <row r="2823" spans="1:4">
      <c r="A2823" s="23">
        <v>44992</v>
      </c>
      <c r="B2823" s="13" t="s">
        <v>4380</v>
      </c>
      <c r="C2823" s="13" t="s">
        <v>4381</v>
      </c>
      <c r="D2823" s="13" t="s">
        <v>109</v>
      </c>
    </row>
    <row r="2824" spans="1:4">
      <c r="A2824" s="23">
        <v>44992</v>
      </c>
      <c r="B2824" s="13" t="s">
        <v>4380</v>
      </c>
      <c r="C2824" s="13" t="s">
        <v>4379</v>
      </c>
      <c r="D2824" s="13" t="s">
        <v>109</v>
      </c>
    </row>
    <row r="2825" spans="1:4">
      <c r="A2825" s="23">
        <v>44994</v>
      </c>
      <c r="B2825" s="13" t="s">
        <v>4383</v>
      </c>
      <c r="C2825" s="13" t="s">
        <v>4382</v>
      </c>
      <c r="D2825" s="13" t="s">
        <v>109</v>
      </c>
    </row>
    <row r="2826" spans="1:4">
      <c r="A2826" s="23">
        <v>44994</v>
      </c>
      <c r="B2826" s="13" t="s">
        <v>4385</v>
      </c>
      <c r="C2826" s="13" t="s">
        <v>4384</v>
      </c>
      <c r="D2826" s="13" t="s">
        <v>29</v>
      </c>
    </row>
    <row r="2827" spans="1:4">
      <c r="A2827" s="23">
        <v>44995</v>
      </c>
      <c r="B2827" s="13" t="s">
        <v>4386</v>
      </c>
      <c r="C2827" s="13" t="s">
        <v>347</v>
      </c>
      <c r="D2827" s="13" t="s">
        <v>81</v>
      </c>
    </row>
    <row r="2828" spans="1:4">
      <c r="A2828" s="23">
        <v>44995</v>
      </c>
      <c r="B2828" s="13" t="s">
        <v>4388</v>
      </c>
      <c r="C2828" s="13" t="s">
        <v>4387</v>
      </c>
      <c r="D2828" s="13" t="s">
        <v>81</v>
      </c>
    </row>
    <row r="2829" spans="1:4">
      <c r="A2829" s="23">
        <v>44995</v>
      </c>
      <c r="B2829" s="13" t="s">
        <v>4390</v>
      </c>
      <c r="C2829" s="13" t="s">
        <v>4389</v>
      </c>
      <c r="D2829" s="13" t="s">
        <v>11</v>
      </c>
    </row>
    <row r="2830" spans="1:4">
      <c r="A2830" s="23">
        <v>44998</v>
      </c>
      <c r="B2830" s="13" t="s">
        <v>4392</v>
      </c>
      <c r="C2830" s="13" t="s">
        <v>4391</v>
      </c>
      <c r="D2830" s="13" t="s">
        <v>345</v>
      </c>
    </row>
    <row r="2831" spans="1:4">
      <c r="A2831" s="23">
        <v>44998</v>
      </c>
      <c r="B2831" s="13" t="s">
        <v>4394</v>
      </c>
      <c r="C2831" s="13" t="s">
        <v>4393</v>
      </c>
      <c r="D2831" s="13" t="s">
        <v>345</v>
      </c>
    </row>
    <row r="2832" spans="1:4">
      <c r="A2832" s="23">
        <v>44999</v>
      </c>
      <c r="B2832" s="13" t="s">
        <v>4396</v>
      </c>
      <c r="C2832" s="13" t="s">
        <v>4395</v>
      </c>
      <c r="D2832" s="13" t="s">
        <v>109</v>
      </c>
    </row>
    <row r="2833" spans="1:4">
      <c r="A2833" s="23">
        <v>44999</v>
      </c>
      <c r="B2833" s="13" t="s">
        <v>4398</v>
      </c>
      <c r="C2833" s="13" t="s">
        <v>4397</v>
      </c>
      <c r="D2833" s="13" t="s">
        <v>109</v>
      </c>
    </row>
    <row r="2834" spans="1:4">
      <c r="A2834" s="23">
        <v>44999</v>
      </c>
      <c r="B2834" s="13" t="s">
        <v>4400</v>
      </c>
      <c r="C2834" s="13" t="s">
        <v>4399</v>
      </c>
      <c r="D2834" s="13" t="s">
        <v>345</v>
      </c>
    </row>
    <row r="2835" spans="1:4">
      <c r="A2835" s="23">
        <v>45000</v>
      </c>
      <c r="B2835" s="13" t="s">
        <v>4402</v>
      </c>
      <c r="C2835" s="13" t="s">
        <v>4401</v>
      </c>
      <c r="D2835" s="13" t="s">
        <v>345</v>
      </c>
    </row>
    <row r="2836" spans="1:4">
      <c r="A2836" s="23">
        <v>45000</v>
      </c>
      <c r="B2836" s="13" t="s">
        <v>4404</v>
      </c>
      <c r="C2836" s="13" t="s">
        <v>4403</v>
      </c>
      <c r="D2836" s="13" t="s">
        <v>345</v>
      </c>
    </row>
    <row r="2837" spans="1:4">
      <c r="A2837" s="23">
        <v>45005</v>
      </c>
      <c r="B2837" s="13" t="s">
        <v>4406</v>
      </c>
      <c r="C2837" s="13" t="s">
        <v>4405</v>
      </c>
      <c r="D2837" s="13" t="s">
        <v>81</v>
      </c>
    </row>
    <row r="2838" spans="1:4">
      <c r="A2838" s="23">
        <v>45005</v>
      </c>
      <c r="B2838" s="13" t="s">
        <v>4408</v>
      </c>
      <c r="C2838" s="13" t="s">
        <v>4407</v>
      </c>
      <c r="D2838" s="13" t="s">
        <v>74</v>
      </c>
    </row>
    <row r="2839" spans="1:4">
      <c r="A2839" s="23">
        <v>45006</v>
      </c>
      <c r="B2839" s="13" t="s">
        <v>4410</v>
      </c>
      <c r="C2839" s="13" t="s">
        <v>4409</v>
      </c>
      <c r="D2839" s="13" t="s">
        <v>74</v>
      </c>
    </row>
    <row r="2840" spans="1:4">
      <c r="A2840" s="23">
        <v>45006</v>
      </c>
      <c r="B2840" s="13" t="s">
        <v>4412</v>
      </c>
      <c r="C2840" s="13" t="s">
        <v>4411</v>
      </c>
      <c r="D2840" s="13" t="s">
        <v>74</v>
      </c>
    </row>
    <row r="2841" spans="1:4">
      <c r="A2841" s="23">
        <v>45007</v>
      </c>
      <c r="B2841" s="13" t="s">
        <v>4414</v>
      </c>
      <c r="C2841" s="13" t="s">
        <v>4413</v>
      </c>
      <c r="D2841" s="13" t="s">
        <v>109</v>
      </c>
    </row>
    <row r="2842" spans="1:4">
      <c r="A2842" s="23">
        <v>45007</v>
      </c>
      <c r="B2842" s="13" t="s">
        <v>4416</v>
      </c>
      <c r="C2842" s="13" t="s">
        <v>4415</v>
      </c>
      <c r="D2842" s="13" t="s">
        <v>109</v>
      </c>
    </row>
    <row r="2843" spans="1:4">
      <c r="A2843" s="23">
        <v>45008</v>
      </c>
      <c r="B2843" s="13" t="s">
        <v>4418</v>
      </c>
      <c r="C2843" s="13" t="s">
        <v>4417</v>
      </c>
      <c r="D2843" s="13" t="s">
        <v>81</v>
      </c>
    </row>
    <row r="2844" spans="1:4">
      <c r="A2844" s="23">
        <v>45008</v>
      </c>
      <c r="B2844" s="13" t="s">
        <v>4419</v>
      </c>
      <c r="C2844" s="13" t="s">
        <v>167</v>
      </c>
      <c r="D2844" s="13" t="s">
        <v>81</v>
      </c>
    </row>
    <row r="2845" spans="1:4">
      <c r="A2845" s="23">
        <v>45009</v>
      </c>
      <c r="B2845" s="13" t="s">
        <v>4421</v>
      </c>
      <c r="C2845" s="13" t="s">
        <v>4420</v>
      </c>
      <c r="D2845" s="13" t="s">
        <v>5</v>
      </c>
    </row>
    <row r="2846" spans="1:4">
      <c r="A2846" s="23">
        <v>45009</v>
      </c>
      <c r="B2846" s="13" t="s">
        <v>4423</v>
      </c>
      <c r="C2846" s="13" t="s">
        <v>4422</v>
      </c>
      <c r="D2846" s="13" t="s">
        <v>81</v>
      </c>
    </row>
    <row r="2847" spans="1:4">
      <c r="A2847" s="23">
        <v>45009</v>
      </c>
      <c r="B2847" s="13" t="s">
        <v>4425</v>
      </c>
      <c r="C2847" s="13" t="s">
        <v>4424</v>
      </c>
      <c r="D2847" s="13" t="s">
        <v>81</v>
      </c>
    </row>
    <row r="2848" spans="1:4">
      <c r="A2848" s="23">
        <v>45010</v>
      </c>
      <c r="B2848" s="13" t="s">
        <v>4427</v>
      </c>
      <c r="C2848" s="13" t="s">
        <v>4426</v>
      </c>
      <c r="D2848" s="13" t="s">
        <v>11</v>
      </c>
    </row>
    <row r="2849" spans="1:4">
      <c r="A2849" s="23">
        <v>45010</v>
      </c>
      <c r="B2849" s="13" t="s">
        <v>4429</v>
      </c>
      <c r="C2849" s="13" t="s">
        <v>4428</v>
      </c>
      <c r="D2849" s="13" t="s">
        <v>29</v>
      </c>
    </row>
    <row r="2850" spans="1:4">
      <c r="A2850" s="23">
        <v>45012</v>
      </c>
      <c r="B2850" s="13" t="s">
        <v>4431</v>
      </c>
      <c r="C2850" s="13" t="s">
        <v>4430</v>
      </c>
      <c r="D2850" s="13" t="s">
        <v>29</v>
      </c>
    </row>
    <row r="2851" spans="1:4">
      <c r="A2851" s="23">
        <v>45012</v>
      </c>
      <c r="B2851" s="13" t="s">
        <v>4433</v>
      </c>
      <c r="C2851" s="13" t="s">
        <v>4432</v>
      </c>
      <c r="D2851" s="13" t="s">
        <v>109</v>
      </c>
    </row>
    <row r="2852" spans="1:4">
      <c r="A2852" s="23">
        <v>45013</v>
      </c>
      <c r="B2852" s="13" t="s">
        <v>4435</v>
      </c>
      <c r="C2852" s="13" t="s">
        <v>4434</v>
      </c>
      <c r="D2852" s="13" t="s">
        <v>74</v>
      </c>
    </row>
    <row r="2853" spans="1:4">
      <c r="A2853" s="23">
        <v>45013</v>
      </c>
      <c r="B2853" s="13" t="s">
        <v>4437</v>
      </c>
      <c r="C2853" s="13" t="s">
        <v>4436</v>
      </c>
      <c r="D2853" s="13" t="s">
        <v>109</v>
      </c>
    </row>
    <row r="2854" spans="1:4">
      <c r="A2854" s="23">
        <v>45013</v>
      </c>
      <c r="B2854" s="13" t="s">
        <v>4438</v>
      </c>
      <c r="C2854" s="13" t="s">
        <v>4436</v>
      </c>
      <c r="D2854" s="13" t="s">
        <v>109</v>
      </c>
    </row>
    <row r="2855" spans="1:4">
      <c r="A2855" s="23">
        <v>45013</v>
      </c>
      <c r="B2855" s="13" t="s">
        <v>4440</v>
      </c>
      <c r="C2855" s="13" t="s">
        <v>4439</v>
      </c>
      <c r="D2855" s="13" t="s">
        <v>81</v>
      </c>
    </row>
    <row r="2856" spans="1:4">
      <c r="A2856" s="23">
        <v>45013</v>
      </c>
      <c r="B2856" s="13" t="s">
        <v>4442</v>
      </c>
      <c r="C2856" s="13" t="s">
        <v>4441</v>
      </c>
      <c r="D2856" s="13" t="s">
        <v>74</v>
      </c>
    </row>
    <row r="2857" spans="1:4">
      <c r="A2857" s="23">
        <v>45014</v>
      </c>
      <c r="B2857" s="13" t="s">
        <v>4443</v>
      </c>
      <c r="C2857" s="13" t="s">
        <v>649</v>
      </c>
      <c r="D2857" s="13" t="s">
        <v>74</v>
      </c>
    </row>
    <row r="2858" spans="1:4">
      <c r="A2858" s="23">
        <v>45014</v>
      </c>
      <c r="B2858" s="13" t="s">
        <v>4445</v>
      </c>
      <c r="C2858" s="13" t="s">
        <v>4444</v>
      </c>
      <c r="D2858" s="13" t="s">
        <v>29</v>
      </c>
    </row>
    <row r="2859" spans="1:4">
      <c r="A2859" s="23">
        <v>45014</v>
      </c>
      <c r="B2859" s="13" t="s">
        <v>4447</v>
      </c>
      <c r="C2859" s="13" t="s">
        <v>4446</v>
      </c>
      <c r="D2859" s="13" t="s">
        <v>29</v>
      </c>
    </row>
    <row r="2860" spans="1:4">
      <c r="A2860" s="23">
        <v>45014</v>
      </c>
      <c r="B2860" s="13" t="s">
        <v>4448</v>
      </c>
      <c r="C2860" s="13" t="s">
        <v>4417</v>
      </c>
      <c r="D2860" s="13" t="s">
        <v>81</v>
      </c>
    </row>
    <row r="2861" spans="1:4">
      <c r="A2861" s="23">
        <v>45017</v>
      </c>
      <c r="B2861" s="13" t="s">
        <v>4450</v>
      </c>
      <c r="C2861" s="13" t="s">
        <v>4449</v>
      </c>
      <c r="D2861" s="13" t="s">
        <v>11</v>
      </c>
    </row>
    <row r="2862" spans="1:4">
      <c r="A2862" s="23">
        <v>45017</v>
      </c>
      <c r="B2862" s="13" t="s">
        <v>4452</v>
      </c>
      <c r="C2862" s="13" t="s">
        <v>4451</v>
      </c>
      <c r="D2862" s="13" t="s">
        <v>5</v>
      </c>
    </row>
    <row r="2863" spans="1:4">
      <c r="A2863" s="23">
        <v>45018</v>
      </c>
      <c r="B2863" s="13" t="s">
        <v>4453</v>
      </c>
      <c r="C2863" s="13" t="s">
        <v>180</v>
      </c>
      <c r="D2863" s="13" t="s">
        <v>109</v>
      </c>
    </row>
    <row r="2864" spans="1:4">
      <c r="A2864" s="23">
        <v>45018</v>
      </c>
      <c r="B2864" s="13" t="s">
        <v>4455</v>
      </c>
      <c r="C2864" s="13" t="s">
        <v>4454</v>
      </c>
      <c r="D2864" s="13" t="s">
        <v>109</v>
      </c>
    </row>
    <row r="2865" spans="1:4">
      <c r="A2865" s="23">
        <v>45018</v>
      </c>
      <c r="B2865" s="13" t="s">
        <v>4456</v>
      </c>
      <c r="C2865" s="13" t="s">
        <v>312</v>
      </c>
      <c r="D2865" s="13" t="s">
        <v>81</v>
      </c>
    </row>
    <row r="2866" spans="1:4">
      <c r="A2866" s="23">
        <v>45019</v>
      </c>
      <c r="B2866" s="13" t="s">
        <v>4458</v>
      </c>
      <c r="C2866" s="13" t="s">
        <v>4457</v>
      </c>
      <c r="D2866" s="13" t="s">
        <v>345</v>
      </c>
    </row>
    <row r="2867" spans="1:4">
      <c r="A2867" s="23">
        <v>45019</v>
      </c>
      <c r="B2867" s="13" t="s">
        <v>4460</v>
      </c>
      <c r="C2867" s="13" t="s">
        <v>4459</v>
      </c>
      <c r="D2867" s="13" t="s">
        <v>345</v>
      </c>
    </row>
    <row r="2868" spans="1:4">
      <c r="A2868" s="23">
        <v>45020</v>
      </c>
      <c r="B2868" s="13" t="s">
        <v>4462</v>
      </c>
      <c r="C2868" s="13" t="s">
        <v>4461</v>
      </c>
      <c r="D2868" s="13" t="s">
        <v>74</v>
      </c>
    </row>
    <row r="2869" spans="1:4">
      <c r="A2869" s="23">
        <v>45020</v>
      </c>
      <c r="B2869" s="13" t="s">
        <v>4464</v>
      </c>
      <c r="C2869" s="13" t="s">
        <v>4463</v>
      </c>
      <c r="D2869" s="13" t="s">
        <v>11</v>
      </c>
    </row>
    <row r="2870" spans="1:4">
      <c r="A2870" s="23">
        <v>45020</v>
      </c>
      <c r="B2870" s="13" t="s">
        <v>4466</v>
      </c>
      <c r="C2870" s="13" t="s">
        <v>4465</v>
      </c>
      <c r="D2870" s="13" t="s">
        <v>345</v>
      </c>
    </row>
    <row r="2871" spans="1:4">
      <c r="A2871" s="23">
        <v>45020</v>
      </c>
      <c r="B2871" s="13" t="s">
        <v>4468</v>
      </c>
      <c r="C2871" s="13" t="s">
        <v>4467</v>
      </c>
      <c r="D2871" s="13" t="s">
        <v>29</v>
      </c>
    </row>
    <row r="2872" spans="1:4">
      <c r="A2872" s="23">
        <v>45020</v>
      </c>
      <c r="B2872" s="13" t="s">
        <v>4468</v>
      </c>
      <c r="C2872" s="13" t="s">
        <v>4467</v>
      </c>
      <c r="D2872" s="13" t="s">
        <v>29</v>
      </c>
    </row>
    <row r="2873" spans="1:4">
      <c r="A2873" s="23">
        <v>45021</v>
      </c>
      <c r="B2873" s="13" t="s">
        <v>4470</v>
      </c>
      <c r="C2873" s="13" t="s">
        <v>4469</v>
      </c>
      <c r="D2873" s="13" t="s">
        <v>29</v>
      </c>
    </row>
    <row r="2874" spans="1:4">
      <c r="A2874" s="23">
        <v>45021</v>
      </c>
      <c r="B2874" s="13" t="s">
        <v>4472</v>
      </c>
      <c r="C2874" s="13" t="s">
        <v>4471</v>
      </c>
      <c r="D2874" s="13" t="s">
        <v>74</v>
      </c>
    </row>
    <row r="2875" spans="1:4">
      <c r="A2875" s="23">
        <v>45021</v>
      </c>
      <c r="B2875" s="13" t="s">
        <v>4470</v>
      </c>
      <c r="C2875" s="13" t="s">
        <v>4473</v>
      </c>
      <c r="D2875" s="13" t="s">
        <v>29</v>
      </c>
    </row>
    <row r="2876" spans="1:4">
      <c r="A2876" s="23">
        <v>45021</v>
      </c>
      <c r="B2876" s="13" t="s">
        <v>4475</v>
      </c>
      <c r="C2876" s="13" t="s">
        <v>4474</v>
      </c>
      <c r="D2876" s="13" t="s">
        <v>109</v>
      </c>
    </row>
    <row r="2877" spans="1:4">
      <c r="A2877" s="23">
        <v>45022</v>
      </c>
      <c r="B2877" s="13" t="s">
        <v>4476</v>
      </c>
      <c r="C2877" s="13" t="s">
        <v>1875</v>
      </c>
      <c r="D2877" s="13" t="s">
        <v>81</v>
      </c>
    </row>
    <row r="2878" spans="1:4">
      <c r="A2878" s="23">
        <v>45022</v>
      </c>
      <c r="B2878" s="13" t="s">
        <v>4477</v>
      </c>
      <c r="C2878" s="13" t="s">
        <v>312</v>
      </c>
      <c r="D2878" s="13" t="s">
        <v>81</v>
      </c>
    </row>
    <row r="2879" spans="1:4">
      <c r="A2879" s="23">
        <v>45022</v>
      </c>
      <c r="B2879" s="13" t="s">
        <v>4479</v>
      </c>
      <c r="C2879" s="13" t="s">
        <v>4478</v>
      </c>
      <c r="D2879" s="13" t="s">
        <v>345</v>
      </c>
    </row>
    <row r="2880" spans="1:4">
      <c r="A2880" s="23">
        <v>45022</v>
      </c>
      <c r="B2880" s="13" t="s">
        <v>4481</v>
      </c>
      <c r="C2880" s="13" t="s">
        <v>4480</v>
      </c>
      <c r="D2880" s="13" t="s">
        <v>345</v>
      </c>
    </row>
    <row r="2881" spans="1:4">
      <c r="A2881" s="23">
        <v>45022</v>
      </c>
      <c r="B2881" s="13" t="s">
        <v>4483</v>
      </c>
      <c r="C2881" s="13" t="s">
        <v>4482</v>
      </c>
      <c r="D2881" s="13" t="s">
        <v>109</v>
      </c>
    </row>
    <row r="2882" spans="1:4">
      <c r="A2882" s="23">
        <v>45022</v>
      </c>
      <c r="B2882" s="13" t="s">
        <v>4485</v>
      </c>
      <c r="C2882" s="13" t="s">
        <v>4484</v>
      </c>
      <c r="D2882" s="13" t="s">
        <v>345</v>
      </c>
    </row>
    <row r="2883" spans="1:4">
      <c r="A2883" s="23">
        <v>45026</v>
      </c>
      <c r="B2883" s="13" t="s">
        <v>4487</v>
      </c>
      <c r="C2883" s="13" t="s">
        <v>4486</v>
      </c>
      <c r="D2883" s="13" t="s">
        <v>29</v>
      </c>
    </row>
    <row r="2884" spans="1:4">
      <c r="A2884" s="23">
        <v>45026</v>
      </c>
      <c r="B2884" s="13" t="s">
        <v>4488</v>
      </c>
      <c r="C2884" s="13" t="s">
        <v>170</v>
      </c>
      <c r="D2884" s="13" t="s">
        <v>81</v>
      </c>
    </row>
    <row r="2885" spans="1:4">
      <c r="A2885" s="23">
        <v>45026</v>
      </c>
      <c r="B2885" s="13" t="s">
        <v>4489</v>
      </c>
      <c r="C2885" s="13" t="s">
        <v>83</v>
      </c>
      <c r="D2885" s="13" t="s">
        <v>81</v>
      </c>
    </row>
    <row r="2886" spans="1:4">
      <c r="A2886" s="23">
        <v>45027</v>
      </c>
      <c r="B2886" s="13" t="s">
        <v>4491</v>
      </c>
      <c r="C2886" s="13" t="s">
        <v>4490</v>
      </c>
      <c r="D2886" s="13" t="s">
        <v>345</v>
      </c>
    </row>
    <row r="2887" spans="1:4">
      <c r="A2887" s="23">
        <v>45027</v>
      </c>
      <c r="B2887" s="13" t="s">
        <v>4493</v>
      </c>
      <c r="C2887" s="13" t="s">
        <v>4492</v>
      </c>
      <c r="D2887" s="13" t="s">
        <v>81</v>
      </c>
    </row>
    <row r="2888" spans="1:4">
      <c r="A2888" s="23">
        <v>45027</v>
      </c>
      <c r="B2888" s="13" t="s">
        <v>4493</v>
      </c>
      <c r="C2888" s="13" t="s">
        <v>4492</v>
      </c>
      <c r="D2888" s="13" t="s">
        <v>81</v>
      </c>
    </row>
    <row r="2889" spans="1:4">
      <c r="A2889" s="23">
        <v>45027</v>
      </c>
      <c r="B2889" s="13" t="s">
        <v>4495</v>
      </c>
      <c r="C2889" s="13" t="s">
        <v>4494</v>
      </c>
      <c r="D2889" s="13" t="s">
        <v>345</v>
      </c>
    </row>
    <row r="2890" spans="1:4">
      <c r="A2890" s="23">
        <v>45029</v>
      </c>
      <c r="B2890" s="13" t="s">
        <v>4497</v>
      </c>
      <c r="C2890" s="13" t="s">
        <v>4496</v>
      </c>
      <c r="D2890" s="13" t="s">
        <v>345</v>
      </c>
    </row>
    <row r="2891" spans="1:4">
      <c r="A2891" s="23">
        <v>45029</v>
      </c>
      <c r="B2891" s="13" t="s">
        <v>4499</v>
      </c>
      <c r="C2891" s="13" t="s">
        <v>4498</v>
      </c>
      <c r="D2891" s="13" t="s">
        <v>345</v>
      </c>
    </row>
    <row r="2892" spans="1:4">
      <c r="A2892" s="23">
        <v>45029</v>
      </c>
      <c r="B2892" s="13" t="s">
        <v>4501</v>
      </c>
      <c r="C2892" s="13" t="s">
        <v>4500</v>
      </c>
      <c r="D2892" s="13" t="s">
        <v>5</v>
      </c>
    </row>
    <row r="2893" spans="1:4">
      <c r="A2893" s="23">
        <v>45029</v>
      </c>
      <c r="B2893" s="13" t="s">
        <v>4503</v>
      </c>
      <c r="C2893" s="13" t="s">
        <v>4502</v>
      </c>
      <c r="D2893" s="13" t="s">
        <v>345</v>
      </c>
    </row>
    <row r="2894" spans="1:4">
      <c r="A2894" s="23">
        <v>45029</v>
      </c>
      <c r="B2894" s="13" t="s">
        <v>4505</v>
      </c>
      <c r="C2894" s="13" t="s">
        <v>4504</v>
      </c>
      <c r="D2894" s="13" t="s">
        <v>345</v>
      </c>
    </row>
    <row r="2895" spans="1:4">
      <c r="A2895" s="23">
        <v>45030</v>
      </c>
      <c r="B2895" s="13" t="s">
        <v>4507</v>
      </c>
      <c r="C2895" s="13" t="s">
        <v>4506</v>
      </c>
      <c r="D2895" s="13" t="s">
        <v>345</v>
      </c>
    </row>
    <row r="2896" spans="1:4">
      <c r="A2896" s="23">
        <v>45030</v>
      </c>
      <c r="B2896" s="13" t="s">
        <v>4509</v>
      </c>
      <c r="C2896" s="13" t="s">
        <v>4508</v>
      </c>
      <c r="D2896" s="13" t="s">
        <v>345</v>
      </c>
    </row>
    <row r="2897" spans="1:4">
      <c r="A2897" s="23">
        <v>45030</v>
      </c>
      <c r="B2897" s="13" t="s">
        <v>4511</v>
      </c>
      <c r="C2897" s="13" t="s">
        <v>4510</v>
      </c>
      <c r="D2897" s="13" t="s">
        <v>74</v>
      </c>
    </row>
    <row r="2898" spans="1:4">
      <c r="A2898" s="23">
        <v>45033</v>
      </c>
      <c r="B2898" s="13" t="s">
        <v>4512</v>
      </c>
      <c r="C2898" s="13" t="s">
        <v>91</v>
      </c>
      <c r="D2898" s="13" t="s">
        <v>81</v>
      </c>
    </row>
    <row r="2899" spans="1:4">
      <c r="A2899" s="23">
        <v>45033</v>
      </c>
      <c r="B2899" s="13" t="s">
        <v>4514</v>
      </c>
      <c r="C2899" s="13" t="s">
        <v>4513</v>
      </c>
      <c r="D2899" s="13" t="s">
        <v>19</v>
      </c>
    </row>
    <row r="2900" spans="1:4">
      <c r="A2900" s="23">
        <v>45033</v>
      </c>
      <c r="B2900" s="13" t="s">
        <v>4516</v>
      </c>
      <c r="C2900" s="13" t="s">
        <v>4515</v>
      </c>
      <c r="D2900" s="13" t="s">
        <v>81</v>
      </c>
    </row>
    <row r="2901" spans="1:4">
      <c r="A2901" s="23">
        <v>45033</v>
      </c>
      <c r="B2901" s="13" t="s">
        <v>4518</v>
      </c>
      <c r="C2901" s="13" t="s">
        <v>4517</v>
      </c>
      <c r="D2901" s="13" t="s">
        <v>29</v>
      </c>
    </row>
    <row r="2902" spans="1:4">
      <c r="A2902" s="23">
        <v>45034</v>
      </c>
      <c r="B2902" s="13" t="s">
        <v>4520</v>
      </c>
      <c r="C2902" s="13" t="s">
        <v>4519</v>
      </c>
      <c r="D2902" s="13" t="s">
        <v>81</v>
      </c>
    </row>
    <row r="2903" spans="1:4">
      <c r="A2903" s="23">
        <v>45034</v>
      </c>
      <c r="B2903" s="13" t="s">
        <v>4522</v>
      </c>
      <c r="C2903" s="13" t="s">
        <v>4521</v>
      </c>
      <c r="D2903" s="13" t="s">
        <v>74</v>
      </c>
    </row>
    <row r="2904" spans="1:4">
      <c r="A2904" s="23">
        <v>45034</v>
      </c>
      <c r="B2904" s="13" t="s">
        <v>4524</v>
      </c>
      <c r="C2904" s="13" t="s">
        <v>4523</v>
      </c>
      <c r="D2904" s="13" t="s">
        <v>109</v>
      </c>
    </row>
    <row r="2905" spans="1:4">
      <c r="A2905" s="23">
        <v>45034</v>
      </c>
      <c r="B2905" s="13" t="s">
        <v>4526</v>
      </c>
      <c r="C2905" s="13" t="s">
        <v>4525</v>
      </c>
      <c r="D2905" s="13" t="s">
        <v>109</v>
      </c>
    </row>
    <row r="2906" spans="1:4">
      <c r="A2906" s="23">
        <v>45035</v>
      </c>
      <c r="B2906" s="13" t="s">
        <v>4528</v>
      </c>
      <c r="C2906" s="13" t="s">
        <v>4527</v>
      </c>
      <c r="D2906" s="13" t="s">
        <v>29</v>
      </c>
    </row>
    <row r="2907" spans="1:4">
      <c r="A2907" s="23">
        <v>45035</v>
      </c>
      <c r="B2907" s="13" t="s">
        <v>4530</v>
      </c>
      <c r="C2907" s="13" t="s">
        <v>4529</v>
      </c>
      <c r="D2907" s="13" t="s">
        <v>29</v>
      </c>
    </row>
    <row r="2908" spans="1:4">
      <c r="A2908" s="23">
        <v>45036</v>
      </c>
      <c r="B2908" s="13" t="s">
        <v>4532</v>
      </c>
      <c r="C2908" s="13" t="s">
        <v>4531</v>
      </c>
      <c r="D2908" s="13" t="s">
        <v>19</v>
      </c>
    </row>
    <row r="2909" spans="1:4">
      <c r="A2909" s="23">
        <v>45036</v>
      </c>
      <c r="B2909" s="13" t="s">
        <v>4534</v>
      </c>
      <c r="C2909" s="13" t="s">
        <v>4533</v>
      </c>
      <c r="D2909" s="13" t="s">
        <v>345</v>
      </c>
    </row>
    <row r="2910" spans="1:4">
      <c r="A2910" s="23">
        <v>45037</v>
      </c>
      <c r="B2910" s="13" t="s">
        <v>4536</v>
      </c>
      <c r="C2910" s="13" t="s">
        <v>4535</v>
      </c>
      <c r="D2910" s="13" t="s">
        <v>109</v>
      </c>
    </row>
    <row r="2911" spans="1:4">
      <c r="A2911" s="23">
        <v>45037</v>
      </c>
      <c r="B2911" s="13" t="s">
        <v>4538</v>
      </c>
      <c r="C2911" s="13" t="s">
        <v>4537</v>
      </c>
      <c r="D2911" s="13" t="s">
        <v>109</v>
      </c>
    </row>
    <row r="2912" spans="1:4">
      <c r="A2912" s="23">
        <v>45037</v>
      </c>
      <c r="B2912" s="13" t="s">
        <v>4540</v>
      </c>
      <c r="C2912" s="13" t="s">
        <v>4539</v>
      </c>
      <c r="D2912" s="13" t="s">
        <v>29</v>
      </c>
    </row>
    <row r="2913" spans="1:4">
      <c r="A2913" s="23">
        <v>45040</v>
      </c>
      <c r="B2913" s="13" t="s">
        <v>4542</v>
      </c>
      <c r="C2913" s="13" t="s">
        <v>4541</v>
      </c>
      <c r="D2913" s="13" t="s">
        <v>74</v>
      </c>
    </row>
    <row r="2914" spans="1:4">
      <c r="A2914" s="23">
        <v>45040</v>
      </c>
      <c r="B2914" s="13" t="s">
        <v>4544</v>
      </c>
      <c r="C2914" s="13" t="s">
        <v>4543</v>
      </c>
      <c r="D2914" s="13" t="s">
        <v>74</v>
      </c>
    </row>
    <row r="2915" spans="1:4">
      <c r="A2915" s="23">
        <v>45041</v>
      </c>
      <c r="B2915" s="13" t="s">
        <v>4546</v>
      </c>
      <c r="C2915" s="13" t="s">
        <v>4545</v>
      </c>
      <c r="D2915" s="13" t="s">
        <v>345</v>
      </c>
    </row>
    <row r="2916" spans="1:4">
      <c r="A2916" s="23">
        <v>45041</v>
      </c>
      <c r="B2916" s="13" t="s">
        <v>4548</v>
      </c>
      <c r="C2916" s="13" t="s">
        <v>4547</v>
      </c>
      <c r="D2916" s="13" t="s">
        <v>345</v>
      </c>
    </row>
    <row r="2917" spans="1:4">
      <c r="A2917" s="23">
        <v>45041</v>
      </c>
      <c r="B2917" s="13" t="s">
        <v>4550</v>
      </c>
      <c r="C2917" s="13" t="s">
        <v>4549</v>
      </c>
      <c r="D2917" s="13" t="s">
        <v>345</v>
      </c>
    </row>
    <row r="2918" spans="1:4">
      <c r="A2918" s="23">
        <v>45041</v>
      </c>
      <c r="B2918" s="13" t="s">
        <v>4552</v>
      </c>
      <c r="C2918" s="13" t="s">
        <v>4551</v>
      </c>
      <c r="D2918" s="13" t="s">
        <v>345</v>
      </c>
    </row>
    <row r="2919" spans="1:4">
      <c r="A2919" s="23">
        <v>45042</v>
      </c>
      <c r="B2919" s="13" t="s">
        <v>4554</v>
      </c>
      <c r="C2919" s="13" t="s">
        <v>4553</v>
      </c>
      <c r="D2919" s="13" t="s">
        <v>19</v>
      </c>
    </row>
    <row r="2920" spans="1:4">
      <c r="A2920" s="23">
        <v>45042</v>
      </c>
      <c r="B2920" s="13" t="s">
        <v>4556</v>
      </c>
      <c r="C2920" s="13" t="s">
        <v>4555</v>
      </c>
      <c r="D2920" s="13" t="s">
        <v>345</v>
      </c>
    </row>
    <row r="2921" spans="1:4">
      <c r="A2921" s="23">
        <v>45042</v>
      </c>
      <c r="B2921" s="13" t="s">
        <v>4558</v>
      </c>
      <c r="C2921" s="13" t="s">
        <v>4557</v>
      </c>
      <c r="D2921" s="13" t="s">
        <v>29</v>
      </c>
    </row>
    <row r="2922" spans="1:4">
      <c r="A2922" s="23">
        <v>45042</v>
      </c>
      <c r="B2922" s="13" t="s">
        <v>4560</v>
      </c>
      <c r="C2922" s="13" t="s">
        <v>4559</v>
      </c>
      <c r="D2922" s="13" t="s">
        <v>19</v>
      </c>
    </row>
    <row r="2923" spans="1:4">
      <c r="A2923" s="23">
        <v>45042</v>
      </c>
      <c r="B2923" s="13" t="s">
        <v>4562</v>
      </c>
      <c r="C2923" s="13" t="s">
        <v>4561</v>
      </c>
      <c r="D2923" s="13" t="s">
        <v>19</v>
      </c>
    </row>
    <row r="2924" spans="1:4">
      <c r="A2924" s="23">
        <v>45042</v>
      </c>
      <c r="B2924" s="13" t="s">
        <v>4564</v>
      </c>
      <c r="C2924" s="13" t="s">
        <v>4563</v>
      </c>
      <c r="D2924" s="13" t="s">
        <v>19</v>
      </c>
    </row>
    <row r="2925" spans="1:4">
      <c r="A2925" s="23">
        <v>45043</v>
      </c>
      <c r="B2925" s="13" t="s">
        <v>4566</v>
      </c>
      <c r="C2925" s="13" t="s">
        <v>4565</v>
      </c>
      <c r="D2925" s="13" t="s">
        <v>81</v>
      </c>
    </row>
    <row r="2926" spans="1:4">
      <c r="A2926" s="23">
        <v>45043</v>
      </c>
      <c r="B2926" s="13" t="s">
        <v>4568</v>
      </c>
      <c r="C2926" s="13" t="s">
        <v>4567</v>
      </c>
      <c r="D2926" s="13" t="s">
        <v>109</v>
      </c>
    </row>
    <row r="2927" spans="1:4">
      <c r="A2927" s="23">
        <v>45043</v>
      </c>
      <c r="B2927" s="13" t="s">
        <v>4524</v>
      </c>
      <c r="C2927" s="13" t="s">
        <v>4523</v>
      </c>
      <c r="D2927" s="13" t="s">
        <v>109</v>
      </c>
    </row>
    <row r="2928" spans="1:4">
      <c r="A2928" s="23">
        <v>45043</v>
      </c>
      <c r="B2928" s="13" t="s">
        <v>4524</v>
      </c>
      <c r="C2928" s="13" t="s">
        <v>4523</v>
      </c>
      <c r="D2928" s="13" t="s">
        <v>109</v>
      </c>
    </row>
    <row r="2929" spans="1:4">
      <c r="A2929" s="23">
        <v>45043</v>
      </c>
      <c r="B2929" s="13" t="s">
        <v>4570</v>
      </c>
      <c r="C2929" s="13" t="s">
        <v>4569</v>
      </c>
      <c r="D2929" s="13" t="s">
        <v>345</v>
      </c>
    </row>
    <row r="2930" spans="1:4">
      <c r="A2930" s="23">
        <v>45043</v>
      </c>
      <c r="B2930" s="13" t="s">
        <v>4571</v>
      </c>
      <c r="C2930" s="13" t="s">
        <v>167</v>
      </c>
      <c r="D2930" s="13" t="s">
        <v>74</v>
      </c>
    </row>
    <row r="2931" spans="1:4">
      <c r="A2931" s="23">
        <v>45043</v>
      </c>
      <c r="B2931" s="13" t="s">
        <v>4573</v>
      </c>
      <c r="C2931" s="13" t="s">
        <v>4572</v>
      </c>
      <c r="D2931" s="13" t="s">
        <v>345</v>
      </c>
    </row>
    <row r="2932" spans="1:4">
      <c r="A2932" s="23">
        <v>45044</v>
      </c>
      <c r="B2932" s="13" t="s">
        <v>4575</v>
      </c>
      <c r="C2932" s="13" t="s">
        <v>4574</v>
      </c>
      <c r="D2932" s="13" t="s">
        <v>11</v>
      </c>
    </row>
    <row r="2933" spans="1:4">
      <c r="A2933" s="23">
        <v>45044</v>
      </c>
      <c r="B2933" s="13" t="s">
        <v>4577</v>
      </c>
      <c r="C2933" s="13" t="s">
        <v>4576</v>
      </c>
      <c r="D2933" s="13" t="s">
        <v>11</v>
      </c>
    </row>
    <row r="2934" spans="1:4">
      <c r="A2934" s="23">
        <v>45044</v>
      </c>
      <c r="B2934" s="13" t="s">
        <v>4579</v>
      </c>
      <c r="C2934" s="13" t="s">
        <v>4578</v>
      </c>
      <c r="D2934" s="13" t="s">
        <v>345</v>
      </c>
    </row>
    <row r="2935" spans="1:4">
      <c r="A2935" s="23">
        <v>45044</v>
      </c>
      <c r="B2935" s="13" t="s">
        <v>4581</v>
      </c>
      <c r="C2935" s="13" t="s">
        <v>4580</v>
      </c>
      <c r="D2935" s="13" t="s">
        <v>345</v>
      </c>
    </row>
    <row r="2936" spans="1:4">
      <c r="A2936" s="23">
        <v>45044</v>
      </c>
      <c r="B2936" s="13" t="s">
        <v>4583</v>
      </c>
      <c r="C2936" s="13" t="s">
        <v>4582</v>
      </c>
      <c r="D2936" s="13" t="s">
        <v>109</v>
      </c>
    </row>
    <row r="2937" spans="1:4">
      <c r="A2937" s="23">
        <v>45044</v>
      </c>
      <c r="B2937" s="13" t="s">
        <v>4585</v>
      </c>
      <c r="C2937" s="13" t="s">
        <v>4584</v>
      </c>
      <c r="D2937" s="13" t="s">
        <v>109</v>
      </c>
    </row>
    <row r="2938" spans="1:4">
      <c r="A2938" s="23">
        <v>45048</v>
      </c>
      <c r="B2938" s="13" t="s">
        <v>4587</v>
      </c>
      <c r="C2938" s="13" t="s">
        <v>4586</v>
      </c>
      <c r="D2938" s="13" t="s">
        <v>29</v>
      </c>
    </row>
    <row r="2939" spans="1:4">
      <c r="A2939" s="23">
        <v>45048</v>
      </c>
      <c r="B2939" s="13" t="s">
        <v>4588</v>
      </c>
      <c r="C2939" s="13" t="s">
        <v>91</v>
      </c>
      <c r="D2939" s="13" t="s">
        <v>81</v>
      </c>
    </row>
    <row r="2940" spans="1:4">
      <c r="A2940" s="23">
        <v>45048</v>
      </c>
      <c r="B2940" s="13" t="s">
        <v>4590</v>
      </c>
      <c r="C2940" s="13" t="s">
        <v>4589</v>
      </c>
      <c r="D2940" s="13" t="s">
        <v>29</v>
      </c>
    </row>
    <row r="2941" spans="1:4">
      <c r="A2941" s="23">
        <v>45048</v>
      </c>
      <c r="B2941" s="13" t="s">
        <v>4592</v>
      </c>
      <c r="C2941" s="13" t="s">
        <v>4591</v>
      </c>
      <c r="D2941" s="13" t="s">
        <v>11</v>
      </c>
    </row>
    <row r="2942" spans="1:4">
      <c r="A2942" s="23">
        <v>45048</v>
      </c>
      <c r="B2942" s="13" t="s">
        <v>4594</v>
      </c>
      <c r="C2942" s="13" t="s">
        <v>4593</v>
      </c>
      <c r="D2942" s="13" t="s">
        <v>109</v>
      </c>
    </row>
    <row r="2943" spans="1:4">
      <c r="A2943" s="23">
        <v>45048</v>
      </c>
      <c r="B2943" s="13" t="s">
        <v>4596</v>
      </c>
      <c r="C2943" s="13" t="s">
        <v>4595</v>
      </c>
      <c r="D2943" s="13" t="s">
        <v>109</v>
      </c>
    </row>
    <row r="2944" spans="1:4">
      <c r="A2944" s="23">
        <v>45049</v>
      </c>
      <c r="B2944" s="13" t="s">
        <v>4598</v>
      </c>
      <c r="C2944" s="13" t="s">
        <v>4597</v>
      </c>
      <c r="D2944" s="13" t="s">
        <v>345</v>
      </c>
    </row>
    <row r="2945" spans="1:4">
      <c r="A2945" s="23">
        <v>45049</v>
      </c>
      <c r="B2945" s="13" t="s">
        <v>4600</v>
      </c>
      <c r="C2945" s="13" t="s">
        <v>4599</v>
      </c>
      <c r="D2945" s="13" t="s">
        <v>345</v>
      </c>
    </row>
    <row r="2946" spans="1:4">
      <c r="A2946" s="23">
        <v>45049</v>
      </c>
      <c r="B2946" s="13" t="s">
        <v>4602</v>
      </c>
      <c r="C2946" s="13" t="s">
        <v>4601</v>
      </c>
      <c r="D2946" s="13" t="s">
        <v>74</v>
      </c>
    </row>
    <row r="2947" spans="1:4">
      <c r="A2947" s="23">
        <v>45051</v>
      </c>
      <c r="B2947" s="13" t="s">
        <v>4604</v>
      </c>
      <c r="C2947" s="13" t="s">
        <v>4603</v>
      </c>
      <c r="D2947" s="13" t="s">
        <v>353</v>
      </c>
    </row>
    <row r="2948" spans="1:4">
      <c r="A2948" s="23">
        <v>45051</v>
      </c>
      <c r="B2948" s="13" t="s">
        <v>4606</v>
      </c>
      <c r="C2948" s="13" t="s">
        <v>4605</v>
      </c>
      <c r="D2948" s="13" t="s">
        <v>19</v>
      </c>
    </row>
    <row r="2949" spans="1:4">
      <c r="A2949" s="23">
        <v>45051</v>
      </c>
      <c r="B2949" s="13" t="s">
        <v>4608</v>
      </c>
      <c r="C2949" s="13" t="s">
        <v>4607</v>
      </c>
      <c r="D2949" s="13" t="s">
        <v>353</v>
      </c>
    </row>
    <row r="2950" spans="1:4">
      <c r="A2950" s="23">
        <v>45051</v>
      </c>
      <c r="B2950" s="13" t="s">
        <v>4610</v>
      </c>
      <c r="C2950" s="13" t="s">
        <v>4609</v>
      </c>
      <c r="D2950" s="13" t="s">
        <v>345</v>
      </c>
    </row>
    <row r="2951" spans="1:4">
      <c r="A2951" s="23">
        <v>45051</v>
      </c>
      <c r="B2951" s="13" t="s">
        <v>4612</v>
      </c>
      <c r="C2951" s="13" t="s">
        <v>4611</v>
      </c>
      <c r="D2951" s="13" t="s">
        <v>345</v>
      </c>
    </row>
    <row r="2952" spans="1:4">
      <c r="A2952" s="23">
        <v>45051</v>
      </c>
      <c r="B2952" s="13" t="s">
        <v>4614</v>
      </c>
      <c r="C2952" s="13" t="s">
        <v>4613</v>
      </c>
      <c r="D2952" s="13" t="s">
        <v>19</v>
      </c>
    </row>
    <row r="2953" spans="1:4">
      <c r="A2953" s="23">
        <v>45051</v>
      </c>
      <c r="B2953" s="13" t="s">
        <v>4616</v>
      </c>
      <c r="C2953" s="13" t="s">
        <v>4615</v>
      </c>
      <c r="D2953" s="13" t="s">
        <v>109</v>
      </c>
    </row>
    <row r="2954" spans="1:4">
      <c r="A2954" s="23">
        <v>45051</v>
      </c>
      <c r="B2954" s="13" t="s">
        <v>4618</v>
      </c>
      <c r="C2954" s="13" t="s">
        <v>4617</v>
      </c>
      <c r="D2954" s="13" t="s">
        <v>109</v>
      </c>
    </row>
    <row r="2955" spans="1:4">
      <c r="A2955" s="23">
        <v>45054</v>
      </c>
      <c r="B2955" s="13" t="s">
        <v>4620</v>
      </c>
      <c r="C2955" s="13" t="s">
        <v>4619</v>
      </c>
      <c r="D2955" s="13" t="s">
        <v>29</v>
      </c>
    </row>
    <row r="2956" spans="1:4">
      <c r="A2956" s="23">
        <v>45054</v>
      </c>
      <c r="B2956" s="13" t="s">
        <v>4622</v>
      </c>
      <c r="C2956" s="13" t="s">
        <v>4621</v>
      </c>
      <c r="D2956" s="13" t="s">
        <v>345</v>
      </c>
    </row>
    <row r="2957" spans="1:4">
      <c r="A2957" s="23">
        <v>45054</v>
      </c>
      <c r="B2957" s="13" t="s">
        <v>4624</v>
      </c>
      <c r="C2957" s="13" t="s">
        <v>4623</v>
      </c>
      <c r="D2957" s="13" t="s">
        <v>74</v>
      </c>
    </row>
    <row r="2958" spans="1:4">
      <c r="A2958" s="23">
        <v>45054</v>
      </c>
      <c r="B2958" s="13" t="s">
        <v>4626</v>
      </c>
      <c r="C2958" s="13" t="s">
        <v>4625</v>
      </c>
      <c r="D2958" s="13" t="s">
        <v>11</v>
      </c>
    </row>
    <row r="2959" spans="1:4">
      <c r="A2959" s="23">
        <v>45054</v>
      </c>
      <c r="B2959" s="13" t="s">
        <v>4628</v>
      </c>
      <c r="C2959" s="13" t="s">
        <v>4627</v>
      </c>
      <c r="D2959" s="13" t="s">
        <v>11</v>
      </c>
    </row>
    <row r="2960" spans="1:4">
      <c r="A2960" s="23">
        <v>45054</v>
      </c>
      <c r="B2960" s="13" t="s">
        <v>4629</v>
      </c>
      <c r="C2960" s="13" t="s">
        <v>4539</v>
      </c>
      <c r="D2960" s="13" t="s">
        <v>29</v>
      </c>
    </row>
    <row r="2961" spans="1:4">
      <c r="A2961" s="23">
        <v>45054</v>
      </c>
      <c r="B2961" s="13" t="s">
        <v>4631</v>
      </c>
      <c r="C2961" s="13" t="s">
        <v>4630</v>
      </c>
      <c r="D2961" s="13" t="s">
        <v>11</v>
      </c>
    </row>
    <row r="2962" spans="1:4">
      <c r="A2962" s="23">
        <v>45054</v>
      </c>
      <c r="B2962" s="13" t="s">
        <v>4427</v>
      </c>
      <c r="C2962" s="13" t="s">
        <v>4426</v>
      </c>
      <c r="D2962" s="13" t="s">
        <v>11</v>
      </c>
    </row>
    <row r="2963" spans="1:4">
      <c r="A2963" s="23">
        <v>45055</v>
      </c>
      <c r="B2963" s="13" t="s">
        <v>4633</v>
      </c>
      <c r="C2963" s="13" t="s">
        <v>4632</v>
      </c>
      <c r="D2963" s="13" t="s">
        <v>345</v>
      </c>
    </row>
    <row r="2964" spans="1:4">
      <c r="A2964" s="23">
        <v>45055</v>
      </c>
      <c r="B2964" s="13" t="s">
        <v>4635</v>
      </c>
      <c r="C2964" s="13" t="s">
        <v>4634</v>
      </c>
      <c r="D2964" s="13" t="s">
        <v>345</v>
      </c>
    </row>
    <row r="2965" spans="1:4">
      <c r="A2965" s="23">
        <v>45055</v>
      </c>
      <c r="B2965" s="13" t="s">
        <v>4637</v>
      </c>
      <c r="C2965" s="13" t="s">
        <v>4636</v>
      </c>
      <c r="D2965" s="13" t="s">
        <v>345</v>
      </c>
    </row>
    <row r="2966" spans="1:4">
      <c r="A2966" s="23">
        <v>45055</v>
      </c>
      <c r="B2966" s="13" t="s">
        <v>4639</v>
      </c>
      <c r="C2966" s="13" t="s">
        <v>4638</v>
      </c>
      <c r="D2966" s="13" t="s">
        <v>345</v>
      </c>
    </row>
    <row r="2967" spans="1:4">
      <c r="A2967" s="23">
        <v>45068</v>
      </c>
      <c r="B2967" s="13" t="s">
        <v>4641</v>
      </c>
      <c r="C2967" s="13" t="s">
        <v>4640</v>
      </c>
      <c r="D2967" s="13" t="s">
        <v>74</v>
      </c>
    </row>
    <row r="2968" spans="1:4">
      <c r="A2968" s="23">
        <v>45068</v>
      </c>
      <c r="B2968" s="13" t="s">
        <v>4643</v>
      </c>
      <c r="C2968" s="13" t="s">
        <v>4642</v>
      </c>
      <c r="D2968" s="13" t="s">
        <v>74</v>
      </c>
    </row>
    <row r="2969" spans="1:4">
      <c r="A2969" s="23">
        <v>45068</v>
      </c>
      <c r="B2969" s="13" t="s">
        <v>4645</v>
      </c>
      <c r="C2969" s="13" t="s">
        <v>4644</v>
      </c>
      <c r="D2969" s="13" t="s">
        <v>345</v>
      </c>
    </row>
    <row r="2970" spans="1:4">
      <c r="A2970" s="23">
        <v>45068</v>
      </c>
      <c r="B2970" s="13" t="s">
        <v>4647</v>
      </c>
      <c r="C2970" s="13" t="s">
        <v>4646</v>
      </c>
      <c r="D2970" s="13" t="s">
        <v>345</v>
      </c>
    </row>
    <row r="2971" spans="1:4">
      <c r="A2971" s="23">
        <v>45068</v>
      </c>
      <c r="B2971" s="13" t="s">
        <v>4645</v>
      </c>
      <c r="C2971" s="13" t="s">
        <v>4644</v>
      </c>
      <c r="D2971" s="13" t="s">
        <v>345</v>
      </c>
    </row>
    <row r="2972" spans="1:4">
      <c r="A2972" s="23">
        <v>45068</v>
      </c>
      <c r="B2972" s="13" t="s">
        <v>4649</v>
      </c>
      <c r="C2972" s="13" t="s">
        <v>4648</v>
      </c>
      <c r="D2972" s="13" t="s">
        <v>345</v>
      </c>
    </row>
    <row r="2973" spans="1:4">
      <c r="A2973" s="23">
        <v>45069</v>
      </c>
      <c r="B2973" s="13" t="s">
        <v>4429</v>
      </c>
      <c r="C2973" s="13" t="s">
        <v>4428</v>
      </c>
      <c r="D2973" s="13" t="s">
        <v>29</v>
      </c>
    </row>
    <row r="2974" spans="1:4">
      <c r="A2974" s="23">
        <v>45069</v>
      </c>
      <c r="B2974" s="13" t="s">
        <v>4651</v>
      </c>
      <c r="C2974" s="13" t="s">
        <v>4650</v>
      </c>
      <c r="D2974" s="13" t="s">
        <v>345</v>
      </c>
    </row>
    <row r="2975" spans="1:4">
      <c r="A2975" s="23">
        <v>45069</v>
      </c>
      <c r="B2975" s="13" t="s">
        <v>4653</v>
      </c>
      <c r="C2975" s="13" t="s">
        <v>4652</v>
      </c>
      <c r="D2975" s="13" t="s">
        <v>345</v>
      </c>
    </row>
    <row r="2976" spans="1:4">
      <c r="A2976" s="23">
        <v>45069</v>
      </c>
      <c r="B2976" s="13" t="s">
        <v>4655</v>
      </c>
      <c r="C2976" s="13" t="s">
        <v>4654</v>
      </c>
      <c r="D2976" s="13" t="s">
        <v>29</v>
      </c>
    </row>
    <row r="2977" spans="1:4">
      <c r="A2977" s="23">
        <v>45069</v>
      </c>
      <c r="B2977" s="13" t="s">
        <v>4429</v>
      </c>
      <c r="C2977" s="13" t="s">
        <v>4428</v>
      </c>
      <c r="D2977" s="13" t="s">
        <v>29</v>
      </c>
    </row>
    <row r="2978" spans="1:4">
      <c r="A2978" s="23">
        <v>45069</v>
      </c>
      <c r="B2978" s="13" t="s">
        <v>4657</v>
      </c>
      <c r="C2978" s="13" t="s">
        <v>4656</v>
      </c>
      <c r="D2978" s="13" t="s">
        <v>16</v>
      </c>
    </row>
    <row r="2979" spans="1:4">
      <c r="A2979" s="23">
        <v>45070</v>
      </c>
      <c r="B2979" s="13" t="s">
        <v>4659</v>
      </c>
      <c r="C2979" s="13" t="s">
        <v>4658</v>
      </c>
      <c r="D2979" s="13" t="s">
        <v>19</v>
      </c>
    </row>
    <row r="2980" spans="1:4">
      <c r="A2980" s="23">
        <v>45070</v>
      </c>
      <c r="B2980" s="13" t="s">
        <v>4661</v>
      </c>
      <c r="C2980" s="13" t="s">
        <v>4660</v>
      </c>
      <c r="D2980" s="13" t="s">
        <v>345</v>
      </c>
    </row>
    <row r="2981" spans="1:4">
      <c r="A2981" s="23">
        <v>45070</v>
      </c>
      <c r="B2981" s="13" t="s">
        <v>4662</v>
      </c>
      <c r="C2981" s="13" t="s">
        <v>4559</v>
      </c>
      <c r="D2981" s="13" t="s">
        <v>19</v>
      </c>
    </row>
    <row r="2982" spans="1:4">
      <c r="A2982" s="23">
        <v>45070</v>
      </c>
      <c r="B2982" s="13" t="s">
        <v>4664</v>
      </c>
      <c r="C2982" s="13" t="s">
        <v>4663</v>
      </c>
      <c r="D2982" s="13" t="s">
        <v>19</v>
      </c>
    </row>
    <row r="2983" spans="1:4">
      <c r="A2983" s="23">
        <v>45070</v>
      </c>
      <c r="B2983" s="13" t="s">
        <v>4666</v>
      </c>
      <c r="C2983" s="13" t="s">
        <v>4665</v>
      </c>
      <c r="D2983" s="13" t="s">
        <v>345</v>
      </c>
    </row>
    <row r="2984" spans="1:4">
      <c r="A2984" s="23">
        <v>45070</v>
      </c>
      <c r="B2984" s="13" t="s">
        <v>4668</v>
      </c>
      <c r="C2984" s="13" t="s">
        <v>4667</v>
      </c>
      <c r="D2984" s="13" t="s">
        <v>164</v>
      </c>
    </row>
    <row r="2985" spans="1:4">
      <c r="A2985" s="23">
        <v>45071</v>
      </c>
      <c r="B2985" s="13" t="s">
        <v>4670</v>
      </c>
      <c r="C2985" s="13" t="s">
        <v>4669</v>
      </c>
      <c r="D2985" s="13" t="s">
        <v>29</v>
      </c>
    </row>
    <row r="2986" spans="1:4">
      <c r="A2986" s="23">
        <v>45071</v>
      </c>
      <c r="B2986" s="13" t="s">
        <v>4672</v>
      </c>
      <c r="C2986" s="13" t="s">
        <v>4671</v>
      </c>
      <c r="D2986" s="13" t="s">
        <v>11</v>
      </c>
    </row>
    <row r="2987" spans="1:4">
      <c r="A2987" s="23">
        <v>45071</v>
      </c>
      <c r="B2987" s="13" t="s">
        <v>4674</v>
      </c>
      <c r="C2987" s="13" t="s">
        <v>4673</v>
      </c>
      <c r="D2987" s="13" t="s">
        <v>345</v>
      </c>
    </row>
    <row r="2988" spans="1:4">
      <c r="A2988" s="23">
        <v>45071</v>
      </c>
      <c r="B2988" s="13" t="s">
        <v>4676</v>
      </c>
      <c r="C2988" s="13" t="s">
        <v>4675</v>
      </c>
      <c r="D2988" s="13" t="s">
        <v>345</v>
      </c>
    </row>
    <row r="2989" spans="1:4">
      <c r="A2989" s="23">
        <v>45072</v>
      </c>
      <c r="B2989" s="13" t="s">
        <v>4678</v>
      </c>
      <c r="C2989" s="13" t="s">
        <v>4677</v>
      </c>
      <c r="D2989" s="13" t="s">
        <v>109</v>
      </c>
    </row>
    <row r="2990" spans="1:4">
      <c r="A2990" s="23">
        <v>45072</v>
      </c>
      <c r="B2990" s="13" t="s">
        <v>4678</v>
      </c>
      <c r="C2990" s="13" t="s">
        <v>4677</v>
      </c>
      <c r="D2990" s="13" t="s">
        <v>109</v>
      </c>
    </row>
    <row r="2991" spans="1:4">
      <c r="A2991" s="23">
        <v>45072</v>
      </c>
      <c r="B2991" s="13" t="s">
        <v>4680</v>
      </c>
      <c r="C2991" s="13" t="s">
        <v>4679</v>
      </c>
      <c r="D2991" s="13" t="s">
        <v>345</v>
      </c>
    </row>
    <row r="2992" spans="1:4">
      <c r="A2992" s="23">
        <v>45072</v>
      </c>
      <c r="B2992" s="13" t="s">
        <v>4682</v>
      </c>
      <c r="C2992" s="13" t="s">
        <v>4681</v>
      </c>
      <c r="D2992" s="13" t="s">
        <v>345</v>
      </c>
    </row>
    <row r="2993" spans="1:4">
      <c r="A2993" s="23">
        <v>45072</v>
      </c>
      <c r="B2993" s="13" t="s">
        <v>4684</v>
      </c>
      <c r="C2993" s="13" t="s">
        <v>4683</v>
      </c>
      <c r="D2993" s="13" t="s">
        <v>345</v>
      </c>
    </row>
    <row r="2994" spans="1:4">
      <c r="A2994" s="23">
        <v>45072</v>
      </c>
      <c r="B2994" s="13" t="s">
        <v>4686</v>
      </c>
      <c r="C2994" s="13" t="s">
        <v>4685</v>
      </c>
      <c r="D2994" s="13" t="s">
        <v>345</v>
      </c>
    </row>
    <row r="2995" spans="1:4">
      <c r="A2995" s="23">
        <v>45075</v>
      </c>
      <c r="B2995" s="13" t="s">
        <v>4688</v>
      </c>
      <c r="C2995" s="13" t="s">
        <v>4687</v>
      </c>
      <c r="D2995" s="13" t="s">
        <v>29</v>
      </c>
    </row>
    <row r="2996" spans="1:4">
      <c r="A2996" s="23">
        <v>45075</v>
      </c>
      <c r="B2996" s="13" t="s">
        <v>4689</v>
      </c>
      <c r="C2996" s="13" t="s">
        <v>4415</v>
      </c>
      <c r="D2996" s="13" t="s">
        <v>109</v>
      </c>
    </row>
    <row r="2997" spans="1:4">
      <c r="A2997" s="23">
        <v>45075</v>
      </c>
      <c r="B2997" s="13" t="s">
        <v>4691</v>
      </c>
      <c r="C2997" s="13" t="s">
        <v>4690</v>
      </c>
      <c r="D2997" s="13" t="s">
        <v>81</v>
      </c>
    </row>
    <row r="2998" spans="1:4">
      <c r="A2998" s="23">
        <v>45075</v>
      </c>
      <c r="B2998" s="13" t="s">
        <v>4693</v>
      </c>
      <c r="C2998" s="13" t="s">
        <v>4692</v>
      </c>
      <c r="D2998" s="13" t="s">
        <v>81</v>
      </c>
    </row>
    <row r="2999" spans="1:4">
      <c r="A2999" s="23">
        <v>45076</v>
      </c>
      <c r="B2999" s="13" t="s">
        <v>4695</v>
      </c>
      <c r="C2999" s="13" t="s">
        <v>4694</v>
      </c>
      <c r="D2999" s="13" t="s">
        <v>109</v>
      </c>
    </row>
    <row r="3000" spans="1:4">
      <c r="A3000" s="23">
        <v>45076</v>
      </c>
      <c r="B3000" s="13" t="s">
        <v>4697</v>
      </c>
      <c r="C3000" s="13" t="s">
        <v>4696</v>
      </c>
      <c r="D3000" s="13" t="s">
        <v>29</v>
      </c>
    </row>
    <row r="3001" spans="1:4">
      <c r="A3001" s="23">
        <v>45076</v>
      </c>
      <c r="B3001" s="13" t="s">
        <v>4699</v>
      </c>
      <c r="C3001" s="13" t="s">
        <v>4698</v>
      </c>
      <c r="D3001" s="13" t="s">
        <v>29</v>
      </c>
    </row>
    <row r="3002" spans="1:4">
      <c r="A3002" s="23">
        <v>45076</v>
      </c>
      <c r="B3002" s="13" t="s">
        <v>4695</v>
      </c>
      <c r="C3002" s="13" t="s">
        <v>4694</v>
      </c>
      <c r="D3002" s="13" t="s">
        <v>109</v>
      </c>
    </row>
    <row r="3003" spans="1:4">
      <c r="A3003" s="23">
        <v>45076</v>
      </c>
      <c r="B3003" s="13" t="s">
        <v>4701</v>
      </c>
      <c r="C3003" s="13" t="s">
        <v>4700</v>
      </c>
      <c r="D3003" s="13" t="s">
        <v>74</v>
      </c>
    </row>
    <row r="3004" spans="1:4">
      <c r="A3004" s="23">
        <v>45076</v>
      </c>
      <c r="B3004" s="13" t="s">
        <v>4703</v>
      </c>
      <c r="C3004" s="13" t="s">
        <v>4702</v>
      </c>
      <c r="D3004" s="13" t="s">
        <v>74</v>
      </c>
    </row>
    <row r="3005" spans="1:4">
      <c r="A3005" s="23">
        <v>45077</v>
      </c>
      <c r="B3005" s="13" t="s">
        <v>4705</v>
      </c>
      <c r="C3005" s="13" t="s">
        <v>4704</v>
      </c>
      <c r="D3005" s="13" t="s">
        <v>345</v>
      </c>
    </row>
    <row r="3006" spans="1:4">
      <c r="A3006" s="23">
        <v>45077</v>
      </c>
      <c r="B3006" s="13" t="s">
        <v>4707</v>
      </c>
      <c r="C3006" s="13" t="s">
        <v>4706</v>
      </c>
      <c r="D3006" s="13" t="s">
        <v>74</v>
      </c>
    </row>
    <row r="3007" spans="1:4">
      <c r="A3007" s="23">
        <v>45077</v>
      </c>
      <c r="B3007" s="13" t="s">
        <v>4709</v>
      </c>
      <c r="C3007" s="13" t="s">
        <v>4708</v>
      </c>
      <c r="D3007" s="13" t="s">
        <v>345</v>
      </c>
    </row>
    <row r="3008" spans="1:4">
      <c r="A3008" s="23">
        <v>45077</v>
      </c>
      <c r="B3008" s="13" t="s">
        <v>4711</v>
      </c>
      <c r="C3008" s="13" t="s">
        <v>4710</v>
      </c>
      <c r="D3008" s="13" t="s">
        <v>345</v>
      </c>
    </row>
    <row r="3009" spans="1:4">
      <c r="A3009" s="23">
        <v>45077</v>
      </c>
      <c r="B3009" s="13" t="s">
        <v>4713</v>
      </c>
      <c r="C3009" s="13" t="s">
        <v>4712</v>
      </c>
      <c r="D3009" s="13" t="s">
        <v>109</v>
      </c>
    </row>
    <row r="3010" spans="1:4">
      <c r="A3010" s="23">
        <v>45077</v>
      </c>
      <c r="B3010" s="13" t="s">
        <v>4715</v>
      </c>
      <c r="C3010" s="13" t="s">
        <v>4714</v>
      </c>
      <c r="D3010" s="13" t="s">
        <v>74</v>
      </c>
    </row>
    <row r="3011" spans="1:4">
      <c r="A3011" s="23">
        <v>45078</v>
      </c>
      <c r="B3011" s="13" t="s">
        <v>4717</v>
      </c>
      <c r="C3011" s="13" t="s">
        <v>4716</v>
      </c>
      <c r="D3011" s="13" t="s">
        <v>345</v>
      </c>
    </row>
    <row r="3012" spans="1:4">
      <c r="A3012" s="23">
        <v>45078</v>
      </c>
      <c r="B3012" s="13" t="s">
        <v>4719</v>
      </c>
      <c r="C3012" s="13" t="s">
        <v>4718</v>
      </c>
      <c r="D3012" s="13" t="s">
        <v>24</v>
      </c>
    </row>
    <row r="3013" spans="1:4">
      <c r="A3013" s="23">
        <v>45078</v>
      </c>
      <c r="B3013" s="13" t="s">
        <v>4721</v>
      </c>
      <c r="C3013" s="13" t="s">
        <v>4720</v>
      </c>
      <c r="D3013" s="13" t="s">
        <v>345</v>
      </c>
    </row>
    <row r="3014" spans="1:4">
      <c r="A3014" s="23">
        <v>45078</v>
      </c>
      <c r="B3014" s="13" t="s">
        <v>4721</v>
      </c>
      <c r="C3014" s="13" t="s">
        <v>4720</v>
      </c>
      <c r="D3014" s="13" t="s">
        <v>345</v>
      </c>
    </row>
    <row r="3015" spans="1:4">
      <c r="A3015" s="23">
        <v>45079</v>
      </c>
      <c r="B3015" s="13" t="s">
        <v>4723</v>
      </c>
      <c r="C3015" s="13" t="s">
        <v>4722</v>
      </c>
      <c r="D3015" s="13" t="s">
        <v>29</v>
      </c>
    </row>
    <row r="3016" spans="1:4">
      <c r="A3016" s="23">
        <v>45079</v>
      </c>
      <c r="B3016" s="13" t="s">
        <v>4725</v>
      </c>
      <c r="C3016" s="13" t="s">
        <v>4724</v>
      </c>
      <c r="D3016" s="13" t="s">
        <v>19</v>
      </c>
    </row>
    <row r="3017" spans="1:4">
      <c r="A3017" s="23">
        <v>45079</v>
      </c>
      <c r="B3017" s="13" t="s">
        <v>4727</v>
      </c>
      <c r="C3017" s="13" t="s">
        <v>4726</v>
      </c>
      <c r="D3017" s="13" t="s">
        <v>29</v>
      </c>
    </row>
    <row r="3018" spans="1:4">
      <c r="A3018" s="23">
        <v>45079</v>
      </c>
      <c r="B3018" s="13" t="s">
        <v>4723</v>
      </c>
      <c r="C3018" s="13" t="s">
        <v>4722</v>
      </c>
      <c r="D3018" s="13" t="s">
        <v>29</v>
      </c>
    </row>
    <row r="3019" spans="1:4">
      <c r="A3019" s="23">
        <v>45082</v>
      </c>
      <c r="B3019" s="13" t="s">
        <v>4729</v>
      </c>
      <c r="C3019" s="13" t="s">
        <v>4728</v>
      </c>
      <c r="D3019" s="13" t="s">
        <v>29</v>
      </c>
    </row>
    <row r="3020" spans="1:4">
      <c r="A3020" s="23">
        <v>45082</v>
      </c>
      <c r="B3020" s="13" t="s">
        <v>4729</v>
      </c>
      <c r="C3020" s="13" t="s">
        <v>4728</v>
      </c>
      <c r="D3020" s="13" t="s">
        <v>29</v>
      </c>
    </row>
    <row r="3021" spans="1:4">
      <c r="A3021" s="23">
        <v>45083</v>
      </c>
      <c r="B3021" s="13" t="s">
        <v>4731</v>
      </c>
      <c r="C3021" s="13" t="s">
        <v>4730</v>
      </c>
      <c r="D3021" s="13" t="s">
        <v>29</v>
      </c>
    </row>
    <row r="3022" spans="1:4">
      <c r="A3022" s="23">
        <v>45083</v>
      </c>
      <c r="B3022" s="13" t="s">
        <v>4733</v>
      </c>
      <c r="C3022" s="13" t="s">
        <v>4732</v>
      </c>
      <c r="D3022" s="13" t="s">
        <v>345</v>
      </c>
    </row>
    <row r="3023" spans="1:4">
      <c r="A3023" s="23">
        <v>45083</v>
      </c>
      <c r="B3023" s="13" t="s">
        <v>4735</v>
      </c>
      <c r="C3023" s="13" t="s">
        <v>4734</v>
      </c>
      <c r="D3023" s="13" t="s">
        <v>29</v>
      </c>
    </row>
    <row r="3024" spans="1:4">
      <c r="A3024" s="23">
        <v>45083</v>
      </c>
      <c r="B3024" s="13" t="s">
        <v>4737</v>
      </c>
      <c r="C3024" s="13" t="s">
        <v>4736</v>
      </c>
      <c r="D3024" s="13" t="s">
        <v>19</v>
      </c>
    </row>
    <row r="3025" spans="1:4">
      <c r="A3025" s="23">
        <v>45084</v>
      </c>
      <c r="B3025" s="13" t="s">
        <v>4739</v>
      </c>
      <c r="C3025" s="13" t="s">
        <v>4738</v>
      </c>
      <c r="D3025" s="13" t="s">
        <v>19</v>
      </c>
    </row>
    <row r="3026" spans="1:4">
      <c r="A3026" s="23">
        <v>45084</v>
      </c>
      <c r="B3026" s="13" t="s">
        <v>4741</v>
      </c>
      <c r="C3026" s="13" t="s">
        <v>4740</v>
      </c>
      <c r="D3026" s="13" t="s">
        <v>19</v>
      </c>
    </row>
    <row r="3027" spans="1:4">
      <c r="A3027" s="23">
        <v>45084</v>
      </c>
      <c r="B3027" s="13" t="s">
        <v>4743</v>
      </c>
      <c r="C3027" s="13" t="s">
        <v>4742</v>
      </c>
      <c r="D3027" s="13" t="s">
        <v>74</v>
      </c>
    </row>
    <row r="3028" spans="1:4">
      <c r="A3028" s="23">
        <v>45084</v>
      </c>
      <c r="B3028" s="13" t="s">
        <v>4745</v>
      </c>
      <c r="C3028" s="13" t="s">
        <v>4744</v>
      </c>
      <c r="D3028" s="13" t="s">
        <v>74</v>
      </c>
    </row>
    <row r="3029" spans="1:4">
      <c r="A3029" s="23">
        <v>45084</v>
      </c>
      <c r="B3029" s="13" t="s">
        <v>4739</v>
      </c>
      <c r="C3029" s="13" t="s">
        <v>4738</v>
      </c>
      <c r="D3029" s="13" t="s">
        <v>19</v>
      </c>
    </row>
    <row r="3030" spans="1:4">
      <c r="A3030" s="23">
        <v>45085</v>
      </c>
      <c r="B3030" s="13" t="s">
        <v>4747</v>
      </c>
      <c r="C3030" s="13" t="s">
        <v>4746</v>
      </c>
      <c r="D3030" s="13" t="s">
        <v>11</v>
      </c>
    </row>
    <row r="3031" spans="1:4">
      <c r="A3031" s="23">
        <v>45085</v>
      </c>
      <c r="B3031" s="13" t="s">
        <v>4748</v>
      </c>
      <c r="C3031" s="13" t="s">
        <v>3193</v>
      </c>
      <c r="D3031" s="13" t="s">
        <v>5</v>
      </c>
    </row>
    <row r="3032" spans="1:4">
      <c r="A3032" s="23">
        <v>45085</v>
      </c>
      <c r="B3032" s="13" t="s">
        <v>4747</v>
      </c>
      <c r="C3032" s="13" t="s">
        <v>4746</v>
      </c>
      <c r="D3032" s="13" t="s">
        <v>11</v>
      </c>
    </row>
    <row r="3033" spans="1:4">
      <c r="A3033" s="23">
        <v>45086</v>
      </c>
      <c r="B3033" s="13" t="s">
        <v>4750</v>
      </c>
      <c r="C3033" s="13" t="s">
        <v>4749</v>
      </c>
      <c r="D3033" s="13" t="s">
        <v>345</v>
      </c>
    </row>
    <row r="3034" spans="1:4">
      <c r="A3034" s="23">
        <v>45086</v>
      </c>
      <c r="B3034" s="13" t="s">
        <v>4752</v>
      </c>
      <c r="C3034" s="13" t="s">
        <v>4751</v>
      </c>
      <c r="D3034" s="13" t="s">
        <v>24</v>
      </c>
    </row>
    <row r="3035" spans="1:4">
      <c r="A3035" s="23">
        <v>45086</v>
      </c>
      <c r="B3035" s="13" t="s">
        <v>4754</v>
      </c>
      <c r="C3035" s="13" t="s">
        <v>4753</v>
      </c>
      <c r="D3035" s="13" t="s">
        <v>345</v>
      </c>
    </row>
    <row r="3036" spans="1:4">
      <c r="A3036" s="23">
        <v>45089</v>
      </c>
      <c r="B3036" s="13" t="s">
        <v>4755</v>
      </c>
      <c r="C3036" s="13" t="s">
        <v>4399</v>
      </c>
      <c r="D3036" s="13" t="s">
        <v>345</v>
      </c>
    </row>
    <row r="3037" spans="1:4">
      <c r="A3037" s="23">
        <v>45089</v>
      </c>
      <c r="B3037" s="13" t="s">
        <v>4757</v>
      </c>
      <c r="C3037" s="13" t="s">
        <v>4756</v>
      </c>
      <c r="D3037" s="13" t="s">
        <v>345</v>
      </c>
    </row>
    <row r="3038" spans="1:4">
      <c r="A3038" s="23">
        <v>45089</v>
      </c>
      <c r="B3038" s="13" t="s">
        <v>4721</v>
      </c>
      <c r="C3038" s="13" t="s">
        <v>4720</v>
      </c>
      <c r="D3038" s="13" t="s">
        <v>345</v>
      </c>
    </row>
    <row r="3039" spans="1:4">
      <c r="A3039" s="23">
        <v>45089</v>
      </c>
      <c r="B3039" s="13" t="s">
        <v>4758</v>
      </c>
      <c r="C3039" s="13" t="s">
        <v>4704</v>
      </c>
      <c r="D3039" s="13" t="s">
        <v>345</v>
      </c>
    </row>
    <row r="3040" spans="1:4" ht="48">
      <c r="A3040" s="23">
        <v>45089</v>
      </c>
      <c r="B3040" s="59" t="s">
        <v>4760</v>
      </c>
      <c r="C3040" s="13" t="s">
        <v>4759</v>
      </c>
      <c r="D3040" s="13" t="s">
        <v>74</v>
      </c>
    </row>
    <row r="3041" spans="1:4">
      <c r="A3041" s="23">
        <v>45089</v>
      </c>
      <c r="B3041" s="13" t="s">
        <v>4762</v>
      </c>
      <c r="C3041" s="13" t="s">
        <v>4761</v>
      </c>
      <c r="D3041" s="13" t="s">
        <v>74</v>
      </c>
    </row>
    <row r="3042" spans="1:4">
      <c r="A3042" s="23">
        <v>45090</v>
      </c>
      <c r="B3042" s="13" t="s">
        <v>4763</v>
      </c>
      <c r="C3042" s="13" t="s">
        <v>4494</v>
      </c>
      <c r="D3042" s="13" t="s">
        <v>345</v>
      </c>
    </row>
    <row r="3043" spans="1:4">
      <c r="A3043" s="23">
        <v>45090</v>
      </c>
      <c r="B3043" s="13" t="s">
        <v>4765</v>
      </c>
      <c r="C3043" s="13" t="s">
        <v>4764</v>
      </c>
      <c r="D3043" s="13" t="s">
        <v>29</v>
      </c>
    </row>
    <row r="3044" spans="1:4">
      <c r="A3044" s="23">
        <v>45090</v>
      </c>
      <c r="B3044" s="13" t="s">
        <v>4767</v>
      </c>
      <c r="C3044" s="13" t="s">
        <v>4766</v>
      </c>
      <c r="D3044" s="13" t="s">
        <v>19</v>
      </c>
    </row>
    <row r="3045" spans="1:4">
      <c r="A3045" s="23">
        <v>45090</v>
      </c>
      <c r="B3045" s="13" t="s">
        <v>4769</v>
      </c>
      <c r="C3045" s="13" t="s">
        <v>4768</v>
      </c>
      <c r="D3045" s="13" t="s">
        <v>29</v>
      </c>
    </row>
    <row r="3046" spans="1:4">
      <c r="A3046" s="23">
        <v>45090</v>
      </c>
      <c r="B3046" s="13" t="s">
        <v>4771</v>
      </c>
      <c r="C3046" s="13" t="s">
        <v>4770</v>
      </c>
      <c r="D3046" s="13" t="s">
        <v>109</v>
      </c>
    </row>
    <row r="3047" spans="1:4">
      <c r="A3047" s="23">
        <v>45090</v>
      </c>
      <c r="B3047" s="13" t="s">
        <v>4773</v>
      </c>
      <c r="C3047" s="13" t="s">
        <v>4772</v>
      </c>
      <c r="D3047" s="13" t="s">
        <v>29</v>
      </c>
    </row>
    <row r="3048" spans="1:4">
      <c r="A3048" s="23">
        <v>45090</v>
      </c>
      <c r="B3048" s="13" t="s">
        <v>4771</v>
      </c>
      <c r="C3048" s="13" t="s">
        <v>4770</v>
      </c>
      <c r="D3048" s="13" t="s">
        <v>109</v>
      </c>
    </row>
    <row r="3049" spans="1:4">
      <c r="A3049" s="23">
        <v>45091</v>
      </c>
      <c r="B3049" s="13" t="s">
        <v>4774</v>
      </c>
      <c r="C3049" s="13" t="s">
        <v>4746</v>
      </c>
      <c r="D3049" s="13" t="s">
        <v>11</v>
      </c>
    </row>
    <row r="3050" spans="1:4">
      <c r="A3050" s="23">
        <v>45091</v>
      </c>
      <c r="B3050" s="13" t="s">
        <v>4776</v>
      </c>
      <c r="C3050" s="13" t="s">
        <v>4775</v>
      </c>
      <c r="D3050" s="13" t="s">
        <v>345</v>
      </c>
    </row>
    <row r="3051" spans="1:4">
      <c r="A3051" s="23">
        <v>45091</v>
      </c>
      <c r="B3051" s="13" t="s">
        <v>4778</v>
      </c>
      <c r="C3051" s="13" t="s">
        <v>4777</v>
      </c>
      <c r="D3051" s="13" t="s">
        <v>345</v>
      </c>
    </row>
    <row r="3052" spans="1:4">
      <c r="A3052" s="23">
        <v>45091</v>
      </c>
      <c r="B3052" s="13" t="s">
        <v>4780</v>
      </c>
      <c r="C3052" s="13" t="s">
        <v>4779</v>
      </c>
      <c r="D3052" s="13" t="s">
        <v>29</v>
      </c>
    </row>
    <row r="3053" spans="1:4">
      <c r="A3053" s="23">
        <v>45091</v>
      </c>
      <c r="B3053" s="13" t="s">
        <v>4781</v>
      </c>
      <c r="C3053" s="13" t="s">
        <v>4746</v>
      </c>
      <c r="D3053" s="13" t="s">
        <v>11</v>
      </c>
    </row>
    <row r="3054" spans="1:4">
      <c r="A3054" s="23">
        <v>45092</v>
      </c>
      <c r="B3054" s="13" t="s">
        <v>4783</v>
      </c>
      <c r="C3054" s="13" t="s">
        <v>4782</v>
      </c>
      <c r="D3054" s="13" t="s">
        <v>19</v>
      </c>
    </row>
    <row r="3055" spans="1:4">
      <c r="A3055" s="23">
        <v>45092</v>
      </c>
      <c r="B3055" s="13" t="s">
        <v>4785</v>
      </c>
      <c r="C3055" s="13" t="s">
        <v>4784</v>
      </c>
      <c r="D3055" s="13" t="s">
        <v>24</v>
      </c>
    </row>
    <row r="3056" spans="1:4">
      <c r="A3056" s="23">
        <v>45092</v>
      </c>
      <c r="B3056" s="13" t="s">
        <v>4787</v>
      </c>
      <c r="C3056" s="13" t="s">
        <v>4786</v>
      </c>
      <c r="D3056" s="13" t="s">
        <v>345</v>
      </c>
    </row>
    <row r="3057" spans="1:4">
      <c r="A3057" s="23">
        <v>45092</v>
      </c>
      <c r="B3057" s="13" t="s">
        <v>4789</v>
      </c>
      <c r="C3057" s="13" t="s">
        <v>4788</v>
      </c>
      <c r="D3057" s="13" t="s">
        <v>345</v>
      </c>
    </row>
    <row r="3058" spans="1:4">
      <c r="A3058" s="23">
        <v>45093</v>
      </c>
      <c r="B3058" s="13" t="s">
        <v>4791</v>
      </c>
      <c r="C3058" s="13" t="s">
        <v>4790</v>
      </c>
      <c r="D3058" s="13" t="s">
        <v>345</v>
      </c>
    </row>
    <row r="3059" spans="1:4">
      <c r="A3059" s="23">
        <v>45093</v>
      </c>
      <c r="B3059" s="13" t="s">
        <v>4791</v>
      </c>
      <c r="C3059" s="13" t="s">
        <v>4790</v>
      </c>
      <c r="D3059" s="13" t="s">
        <v>345</v>
      </c>
    </row>
    <row r="3060" spans="1:4">
      <c r="A3060" s="23">
        <v>45093</v>
      </c>
      <c r="B3060" s="13" t="s">
        <v>4793</v>
      </c>
      <c r="C3060" s="13" t="s">
        <v>4792</v>
      </c>
      <c r="D3060" s="13" t="s">
        <v>11</v>
      </c>
    </row>
    <row r="3061" spans="1:4">
      <c r="A3061" s="23">
        <v>45093</v>
      </c>
      <c r="B3061" s="13" t="s">
        <v>4787</v>
      </c>
      <c r="C3061" s="13" t="s">
        <v>4786</v>
      </c>
      <c r="D3061" s="13" t="s">
        <v>345</v>
      </c>
    </row>
    <row r="3062" spans="1:4">
      <c r="A3062" s="23">
        <v>45093</v>
      </c>
      <c r="B3062" s="13" t="s">
        <v>4795</v>
      </c>
      <c r="C3062" s="13" t="s">
        <v>4794</v>
      </c>
      <c r="D3062" s="13" t="s">
        <v>81</v>
      </c>
    </row>
    <row r="3063" spans="1:4">
      <c r="A3063" s="23">
        <v>45093</v>
      </c>
      <c r="B3063" s="13" t="s">
        <v>4797</v>
      </c>
      <c r="C3063" s="13" t="s">
        <v>4796</v>
      </c>
      <c r="D3063" s="13" t="s">
        <v>74</v>
      </c>
    </row>
    <row r="3064" spans="1:4">
      <c r="A3064" s="23">
        <v>45093</v>
      </c>
      <c r="B3064" s="13" t="s">
        <v>4799</v>
      </c>
      <c r="C3064" s="13" t="s">
        <v>4798</v>
      </c>
      <c r="D3064" s="13" t="s">
        <v>11</v>
      </c>
    </row>
    <row r="3065" spans="1:4">
      <c r="A3065" s="23">
        <v>45096</v>
      </c>
      <c r="B3065" s="13" t="s">
        <v>4801</v>
      </c>
      <c r="C3065" s="13" t="s">
        <v>4800</v>
      </c>
      <c r="D3065" s="13" t="s">
        <v>74</v>
      </c>
    </row>
    <row r="3066" spans="1:4">
      <c r="A3066" s="23">
        <v>45096</v>
      </c>
      <c r="B3066" s="13" t="s">
        <v>4803</v>
      </c>
      <c r="C3066" s="13" t="s">
        <v>4802</v>
      </c>
      <c r="D3066" s="13" t="s">
        <v>345</v>
      </c>
    </row>
    <row r="3067" spans="1:4">
      <c r="A3067" s="23">
        <v>45096</v>
      </c>
      <c r="B3067" s="13" t="s">
        <v>4805</v>
      </c>
      <c r="C3067" s="13" t="s">
        <v>4804</v>
      </c>
      <c r="D3067" s="13" t="s">
        <v>345</v>
      </c>
    </row>
    <row r="3068" spans="1:4">
      <c r="A3068" s="23">
        <v>45096</v>
      </c>
      <c r="B3068" s="13" t="s">
        <v>4807</v>
      </c>
      <c r="C3068" s="13" t="s">
        <v>4806</v>
      </c>
      <c r="D3068" s="13" t="s">
        <v>29</v>
      </c>
    </row>
    <row r="3069" spans="1:4">
      <c r="A3069" s="23">
        <v>45097</v>
      </c>
      <c r="B3069" s="13" t="s">
        <v>4809</v>
      </c>
      <c r="C3069" s="13" t="s">
        <v>4808</v>
      </c>
      <c r="D3069" s="13" t="s">
        <v>11</v>
      </c>
    </row>
    <row r="3070" spans="1:4">
      <c r="A3070" s="23">
        <v>45097</v>
      </c>
      <c r="B3070" s="13" t="s">
        <v>4809</v>
      </c>
      <c r="C3070" s="13" t="s">
        <v>4810</v>
      </c>
      <c r="D3070" s="13" t="s">
        <v>11</v>
      </c>
    </row>
    <row r="3071" spans="1:4">
      <c r="A3071" s="23">
        <v>45097</v>
      </c>
      <c r="B3071" s="13" t="s">
        <v>4809</v>
      </c>
      <c r="C3071" s="13" t="s">
        <v>4810</v>
      </c>
      <c r="D3071" s="13" t="s">
        <v>11</v>
      </c>
    </row>
    <row r="3072" spans="1:4">
      <c r="A3072" s="23">
        <v>45097</v>
      </c>
      <c r="B3072" s="13" t="s">
        <v>4812</v>
      </c>
      <c r="C3072" s="13" t="s">
        <v>4811</v>
      </c>
      <c r="D3072" s="13" t="s">
        <v>11</v>
      </c>
    </row>
    <row r="3073" spans="1:4">
      <c r="A3073" s="23">
        <v>45097</v>
      </c>
      <c r="B3073" s="13" t="s">
        <v>4814</v>
      </c>
      <c r="C3073" s="13" t="s">
        <v>4813</v>
      </c>
      <c r="D3073" s="13" t="s">
        <v>345</v>
      </c>
    </row>
    <row r="3074" spans="1:4">
      <c r="A3074" s="23">
        <v>45097</v>
      </c>
      <c r="B3074" s="13" t="s">
        <v>4816</v>
      </c>
      <c r="C3074" s="13" t="s">
        <v>4815</v>
      </c>
      <c r="D3074" s="13" t="s">
        <v>345</v>
      </c>
    </row>
    <row r="3075" spans="1:4">
      <c r="A3075" s="23">
        <v>45099</v>
      </c>
      <c r="B3075" s="13" t="s">
        <v>4818</v>
      </c>
      <c r="C3075" s="13" t="s">
        <v>4817</v>
      </c>
      <c r="D3075" s="13" t="s">
        <v>345</v>
      </c>
    </row>
    <row r="3076" spans="1:4">
      <c r="A3076" s="23">
        <v>45099</v>
      </c>
      <c r="B3076" s="13" t="s">
        <v>4820</v>
      </c>
      <c r="C3076" s="13" t="s">
        <v>4819</v>
      </c>
      <c r="D3076" s="13" t="s">
        <v>11</v>
      </c>
    </row>
    <row r="3077" spans="1:4">
      <c r="A3077" s="23">
        <v>45099</v>
      </c>
      <c r="B3077" s="13" t="s">
        <v>4820</v>
      </c>
      <c r="C3077" s="13" t="s">
        <v>4819</v>
      </c>
      <c r="D3077" s="13" t="s">
        <v>11</v>
      </c>
    </row>
    <row r="3078" spans="1:4">
      <c r="A3078" s="23">
        <v>45099</v>
      </c>
      <c r="B3078" s="13" t="s">
        <v>4822</v>
      </c>
      <c r="C3078" s="13" t="s">
        <v>4821</v>
      </c>
      <c r="D3078" s="13" t="s">
        <v>29</v>
      </c>
    </row>
    <row r="3079" spans="1:4">
      <c r="A3079" s="23">
        <v>45099</v>
      </c>
      <c r="B3079" s="13" t="s">
        <v>4824</v>
      </c>
      <c r="C3079" s="13" t="s">
        <v>4823</v>
      </c>
      <c r="D3079" s="13" t="s">
        <v>345</v>
      </c>
    </row>
    <row r="3080" spans="1:4">
      <c r="A3080" s="23">
        <v>45099</v>
      </c>
      <c r="B3080" s="13" t="s">
        <v>4824</v>
      </c>
      <c r="C3080" s="13" t="s">
        <v>4823</v>
      </c>
      <c r="D3080" s="13" t="s">
        <v>345</v>
      </c>
    </row>
    <row r="3081" spans="1:4">
      <c r="A3081" s="23">
        <v>45100</v>
      </c>
      <c r="B3081" s="13" t="s">
        <v>4826</v>
      </c>
      <c r="C3081" s="13" t="s">
        <v>4825</v>
      </c>
      <c r="D3081" s="13" t="s">
        <v>8</v>
      </c>
    </row>
    <row r="3082" spans="1:4">
      <c r="A3082" s="23">
        <v>45100</v>
      </c>
      <c r="B3082" s="13" t="s">
        <v>4828</v>
      </c>
      <c r="C3082" s="13" t="s">
        <v>4827</v>
      </c>
      <c r="D3082" s="13" t="s">
        <v>11</v>
      </c>
    </row>
    <row r="3083" spans="1:4">
      <c r="A3083" s="23">
        <v>45100</v>
      </c>
      <c r="B3083" s="13" t="s">
        <v>4830</v>
      </c>
      <c r="C3083" s="13" t="s">
        <v>4829</v>
      </c>
      <c r="D3083" s="13" t="s">
        <v>74</v>
      </c>
    </row>
    <row r="3084" spans="1:4">
      <c r="A3084" s="23">
        <v>45104</v>
      </c>
      <c r="B3084" s="13" t="s">
        <v>4832</v>
      </c>
      <c r="C3084" s="13" t="s">
        <v>4831</v>
      </c>
      <c r="D3084" s="13" t="s">
        <v>109</v>
      </c>
    </row>
    <row r="3085" spans="1:4">
      <c r="A3085" s="23">
        <v>45104</v>
      </c>
      <c r="B3085" s="13" t="s">
        <v>4834</v>
      </c>
      <c r="C3085" s="13" t="s">
        <v>4833</v>
      </c>
      <c r="D3085" s="13" t="s">
        <v>74</v>
      </c>
    </row>
    <row r="3086" spans="1:4">
      <c r="A3086" s="23">
        <v>45104</v>
      </c>
      <c r="B3086" s="13" t="s">
        <v>4836</v>
      </c>
      <c r="C3086" s="13" t="s">
        <v>4835</v>
      </c>
      <c r="D3086" s="13" t="s">
        <v>29</v>
      </c>
    </row>
    <row r="3087" spans="1:4">
      <c r="A3087" s="23">
        <v>45104</v>
      </c>
      <c r="B3087" s="13" t="s">
        <v>4832</v>
      </c>
      <c r="C3087" s="13" t="s">
        <v>4831</v>
      </c>
      <c r="D3087" s="13" t="s">
        <v>109</v>
      </c>
    </row>
    <row r="3088" spans="1:4">
      <c r="A3088" s="23">
        <v>45104</v>
      </c>
      <c r="B3088" s="13" t="s">
        <v>4838</v>
      </c>
      <c r="C3088" s="13" t="s">
        <v>4837</v>
      </c>
      <c r="D3088" s="13" t="s">
        <v>8</v>
      </c>
    </row>
    <row r="3089" spans="1:4">
      <c r="A3089" s="23">
        <v>45105</v>
      </c>
      <c r="B3089" s="13" t="s">
        <v>4840</v>
      </c>
      <c r="C3089" s="13" t="s">
        <v>4839</v>
      </c>
      <c r="D3089" s="13" t="s">
        <v>74</v>
      </c>
    </row>
    <row r="3090" spans="1:4">
      <c r="A3090" s="23">
        <v>45105</v>
      </c>
      <c r="B3090" s="13" t="s">
        <v>4842</v>
      </c>
      <c r="C3090" s="13" t="s">
        <v>4841</v>
      </c>
      <c r="D3090" s="13" t="s">
        <v>11</v>
      </c>
    </row>
    <row r="3091" spans="1:4">
      <c r="A3091" s="23">
        <v>45105</v>
      </c>
      <c r="B3091" s="13" t="s">
        <v>4842</v>
      </c>
      <c r="C3091" s="13" t="s">
        <v>4841</v>
      </c>
      <c r="D3091" s="13" t="s">
        <v>11</v>
      </c>
    </row>
    <row r="3092" spans="1:4">
      <c r="A3092" s="23">
        <v>45105</v>
      </c>
      <c r="B3092" s="13" t="s">
        <v>4842</v>
      </c>
      <c r="C3092" s="13" t="s">
        <v>4841</v>
      </c>
      <c r="D3092" s="13" t="s">
        <v>11</v>
      </c>
    </row>
    <row r="3093" spans="1:4">
      <c r="A3093" s="23">
        <v>45105</v>
      </c>
      <c r="B3093" s="13" t="s">
        <v>4844</v>
      </c>
      <c r="C3093" s="13" t="s">
        <v>4843</v>
      </c>
      <c r="D3093" s="13" t="s">
        <v>11</v>
      </c>
    </row>
    <row r="3094" spans="1:4">
      <c r="A3094" s="23">
        <v>45106</v>
      </c>
      <c r="B3094" s="13" t="s">
        <v>4846</v>
      </c>
      <c r="C3094" s="13" t="s">
        <v>4845</v>
      </c>
      <c r="D3094" s="13" t="s">
        <v>345</v>
      </c>
    </row>
    <row r="3095" spans="1:4">
      <c r="A3095" s="23">
        <v>45106</v>
      </c>
      <c r="B3095" s="13" t="s">
        <v>4822</v>
      </c>
      <c r="C3095" s="13" t="s">
        <v>4821</v>
      </c>
      <c r="D3095" s="13" t="s">
        <v>29</v>
      </c>
    </row>
    <row r="3096" spans="1:4">
      <c r="A3096" s="23">
        <v>45106</v>
      </c>
      <c r="B3096" s="13" t="s">
        <v>4848</v>
      </c>
      <c r="C3096" s="13" t="s">
        <v>4847</v>
      </c>
      <c r="D3096" s="13" t="s">
        <v>19</v>
      </c>
    </row>
    <row r="3097" spans="1:4">
      <c r="A3097" s="23">
        <v>45106</v>
      </c>
      <c r="B3097" s="13" t="s">
        <v>4850</v>
      </c>
      <c r="C3097" s="13" t="s">
        <v>4849</v>
      </c>
      <c r="D3097" s="13" t="s">
        <v>19</v>
      </c>
    </row>
    <row r="3098" spans="1:4">
      <c r="A3098" s="23">
        <v>45107</v>
      </c>
      <c r="B3098" s="13" t="s">
        <v>4852</v>
      </c>
      <c r="C3098" s="13" t="s">
        <v>4851</v>
      </c>
      <c r="D3098" s="13" t="s">
        <v>74</v>
      </c>
    </row>
    <row r="3099" spans="1:4">
      <c r="A3099" s="23">
        <v>45107</v>
      </c>
      <c r="B3099" s="13" t="s">
        <v>4854</v>
      </c>
      <c r="C3099" s="13" t="s">
        <v>4853</v>
      </c>
      <c r="D3099" s="13" t="s">
        <v>74</v>
      </c>
    </row>
    <row r="3100" spans="1:4">
      <c r="A3100" s="23">
        <v>45107</v>
      </c>
      <c r="B3100" s="13" t="s">
        <v>4856</v>
      </c>
      <c r="C3100" s="13" t="s">
        <v>4855</v>
      </c>
      <c r="D3100" s="13" t="s">
        <v>8</v>
      </c>
    </row>
    <row r="3101" spans="1:4">
      <c r="A3101" s="23">
        <v>45107</v>
      </c>
      <c r="B3101" s="13" t="s">
        <v>4858</v>
      </c>
      <c r="C3101" s="13" t="s">
        <v>4857</v>
      </c>
      <c r="D3101" s="13" t="s">
        <v>19</v>
      </c>
    </row>
    <row r="3102" spans="1:4">
      <c r="A3102" s="23">
        <v>45110</v>
      </c>
      <c r="B3102" s="13" t="s">
        <v>4860</v>
      </c>
      <c r="C3102" s="13" t="s">
        <v>4859</v>
      </c>
      <c r="D3102" s="13" t="s">
        <v>74</v>
      </c>
    </row>
    <row r="3103" spans="1:4">
      <c r="A3103" s="23">
        <v>45110</v>
      </c>
      <c r="B3103" s="13" t="s">
        <v>4862</v>
      </c>
      <c r="C3103" s="13" t="s">
        <v>4861</v>
      </c>
      <c r="D3103" s="13" t="s">
        <v>74</v>
      </c>
    </row>
    <row r="3104" spans="1:4">
      <c r="A3104" s="23">
        <v>45110</v>
      </c>
      <c r="B3104" s="13" t="s">
        <v>4864</v>
      </c>
      <c r="C3104" s="13" t="s">
        <v>4863</v>
      </c>
      <c r="D3104" s="13" t="s">
        <v>345</v>
      </c>
    </row>
    <row r="3105" spans="1:4">
      <c r="A3105" s="23">
        <v>45110</v>
      </c>
      <c r="B3105" s="13" t="s">
        <v>4864</v>
      </c>
      <c r="C3105" s="13" t="s">
        <v>4865</v>
      </c>
      <c r="D3105" s="13" t="s">
        <v>345</v>
      </c>
    </row>
    <row r="3106" spans="1:4">
      <c r="A3106" s="23">
        <v>45110</v>
      </c>
      <c r="B3106" s="13" t="s">
        <v>4867</v>
      </c>
      <c r="C3106" s="13" t="s">
        <v>4866</v>
      </c>
      <c r="D3106" s="13" t="s">
        <v>345</v>
      </c>
    </row>
    <row r="3107" spans="1:4">
      <c r="A3107" s="23">
        <v>45110</v>
      </c>
      <c r="B3107" s="13" t="s">
        <v>4869</v>
      </c>
      <c r="C3107" s="13" t="s">
        <v>4868</v>
      </c>
      <c r="D3107" s="13" t="s">
        <v>29</v>
      </c>
    </row>
    <row r="3108" spans="1:4">
      <c r="A3108" s="23">
        <v>45111</v>
      </c>
      <c r="B3108" s="13" t="s">
        <v>4822</v>
      </c>
      <c r="C3108" s="13" t="s">
        <v>4821</v>
      </c>
      <c r="D3108" s="13" t="s">
        <v>29</v>
      </c>
    </row>
    <row r="3109" spans="1:4">
      <c r="A3109" s="23">
        <v>45111</v>
      </c>
      <c r="B3109" s="13" t="s">
        <v>4729</v>
      </c>
      <c r="C3109" s="13" t="s">
        <v>4728</v>
      </c>
      <c r="D3109" s="13" t="s">
        <v>29</v>
      </c>
    </row>
    <row r="3110" spans="1:4">
      <c r="A3110" s="23">
        <v>45111</v>
      </c>
      <c r="B3110" s="13" t="s">
        <v>4871</v>
      </c>
      <c r="C3110" s="13" t="s">
        <v>4870</v>
      </c>
      <c r="D3110" s="13" t="s">
        <v>29</v>
      </c>
    </row>
    <row r="3111" spans="1:4">
      <c r="A3111" s="23">
        <v>45112</v>
      </c>
      <c r="B3111" s="13" t="s">
        <v>4873</v>
      </c>
      <c r="C3111" s="13" t="s">
        <v>4872</v>
      </c>
      <c r="D3111" s="13" t="s">
        <v>19</v>
      </c>
    </row>
    <row r="3112" spans="1:4">
      <c r="A3112" s="23">
        <v>45112</v>
      </c>
      <c r="B3112" s="13" t="s">
        <v>4400</v>
      </c>
      <c r="C3112" s="13" t="s">
        <v>4399</v>
      </c>
      <c r="D3112" s="13" t="s">
        <v>345</v>
      </c>
    </row>
    <row r="3113" spans="1:4">
      <c r="A3113" s="23">
        <v>45112</v>
      </c>
      <c r="B3113" s="13" t="s">
        <v>4875</v>
      </c>
      <c r="C3113" s="13" t="s">
        <v>4874</v>
      </c>
      <c r="D3113" s="13" t="s">
        <v>8</v>
      </c>
    </row>
    <row r="3114" spans="1:4">
      <c r="A3114" s="23">
        <v>45112</v>
      </c>
      <c r="B3114" s="13" t="s">
        <v>4877</v>
      </c>
      <c r="C3114" s="13" t="s">
        <v>4876</v>
      </c>
      <c r="D3114" s="13" t="s">
        <v>345</v>
      </c>
    </row>
    <row r="3115" spans="1:4">
      <c r="A3115" s="23">
        <v>45112</v>
      </c>
      <c r="B3115" s="13" t="s">
        <v>4879</v>
      </c>
      <c r="C3115" s="13" t="s">
        <v>4878</v>
      </c>
      <c r="D3115" s="13" t="s">
        <v>29</v>
      </c>
    </row>
    <row r="3116" spans="1:4">
      <c r="A3116" s="23">
        <v>45112</v>
      </c>
      <c r="B3116" s="13" t="s">
        <v>4877</v>
      </c>
      <c r="C3116" s="13" t="s">
        <v>4876</v>
      </c>
      <c r="D3116" s="13" t="s">
        <v>345</v>
      </c>
    </row>
    <row r="3117" spans="1:4">
      <c r="A3117" s="23">
        <v>45113</v>
      </c>
      <c r="B3117" s="13" t="s">
        <v>4881</v>
      </c>
      <c r="C3117" s="13" t="s">
        <v>4880</v>
      </c>
      <c r="D3117" s="13" t="s">
        <v>11</v>
      </c>
    </row>
    <row r="3118" spans="1:4">
      <c r="A3118" s="23">
        <v>45113</v>
      </c>
      <c r="B3118" s="13" t="s">
        <v>4881</v>
      </c>
      <c r="C3118" s="13" t="s">
        <v>4880</v>
      </c>
      <c r="D3118" s="13" t="s">
        <v>11</v>
      </c>
    </row>
    <row r="3119" spans="1:4">
      <c r="A3119" s="23">
        <v>45113</v>
      </c>
      <c r="B3119" s="13" t="s">
        <v>4883</v>
      </c>
      <c r="C3119" s="13" t="s">
        <v>4882</v>
      </c>
      <c r="D3119" s="13" t="s">
        <v>74</v>
      </c>
    </row>
    <row r="3120" spans="1:4">
      <c r="A3120" s="23">
        <v>45113</v>
      </c>
      <c r="B3120" s="13" t="s">
        <v>4885</v>
      </c>
      <c r="C3120" s="13" t="s">
        <v>4884</v>
      </c>
      <c r="D3120" s="13" t="s">
        <v>29</v>
      </c>
    </row>
    <row r="3121" spans="1:4">
      <c r="A3121" s="23">
        <v>45113</v>
      </c>
      <c r="B3121" s="13" t="s">
        <v>4887</v>
      </c>
      <c r="C3121" s="13" t="s">
        <v>4886</v>
      </c>
      <c r="D3121" s="13" t="s">
        <v>29</v>
      </c>
    </row>
    <row r="3122" spans="1:4">
      <c r="A3122" s="23">
        <v>45113</v>
      </c>
      <c r="B3122" s="13" t="s">
        <v>4888</v>
      </c>
      <c r="C3122" s="13" t="s">
        <v>4446</v>
      </c>
      <c r="D3122" s="13" t="s">
        <v>29</v>
      </c>
    </row>
    <row r="3123" spans="1:4">
      <c r="A3123" s="23">
        <v>45114</v>
      </c>
      <c r="B3123" s="13" t="s">
        <v>4890</v>
      </c>
      <c r="C3123" s="13" t="s">
        <v>4889</v>
      </c>
      <c r="D3123" s="13" t="s">
        <v>11</v>
      </c>
    </row>
    <row r="3124" spans="1:4">
      <c r="A3124" s="23">
        <v>45114</v>
      </c>
      <c r="B3124" s="13" t="s">
        <v>4892</v>
      </c>
      <c r="C3124" s="13" t="s">
        <v>4891</v>
      </c>
      <c r="D3124" s="13" t="s">
        <v>74</v>
      </c>
    </row>
    <row r="3125" spans="1:4">
      <c r="A3125" s="23">
        <v>45114</v>
      </c>
      <c r="B3125" s="13" t="s">
        <v>4890</v>
      </c>
      <c r="C3125" s="13" t="s">
        <v>4889</v>
      </c>
      <c r="D3125" s="13" t="s">
        <v>11</v>
      </c>
    </row>
    <row r="3126" spans="1:4">
      <c r="A3126" s="23">
        <v>45114</v>
      </c>
      <c r="B3126" s="13" t="s">
        <v>4894</v>
      </c>
      <c r="C3126" s="13" t="s">
        <v>4893</v>
      </c>
      <c r="D3126" s="13" t="s">
        <v>74</v>
      </c>
    </row>
    <row r="3127" spans="1:4">
      <c r="A3127" s="23">
        <v>45114</v>
      </c>
      <c r="B3127" s="13" t="s">
        <v>4896</v>
      </c>
      <c r="C3127" s="13" t="s">
        <v>4895</v>
      </c>
      <c r="D3127" s="13" t="s">
        <v>34</v>
      </c>
    </row>
    <row r="3128" spans="1:4">
      <c r="A3128" s="23">
        <v>45117</v>
      </c>
      <c r="B3128" s="13" t="s">
        <v>4898</v>
      </c>
      <c r="C3128" s="13" t="s">
        <v>4897</v>
      </c>
      <c r="D3128" s="13" t="s">
        <v>345</v>
      </c>
    </row>
    <row r="3129" spans="1:4">
      <c r="A3129" s="23">
        <v>45117</v>
      </c>
      <c r="B3129" s="13" t="s">
        <v>4900</v>
      </c>
      <c r="C3129" s="13" t="s">
        <v>4899</v>
      </c>
      <c r="D3129" s="13" t="s">
        <v>345</v>
      </c>
    </row>
    <row r="3130" spans="1:4">
      <c r="A3130" s="23">
        <v>45117</v>
      </c>
      <c r="B3130" s="13" t="s">
        <v>4902</v>
      </c>
      <c r="C3130" s="13" t="s">
        <v>4901</v>
      </c>
      <c r="D3130" s="13" t="s">
        <v>345</v>
      </c>
    </row>
    <row r="3131" spans="1:4">
      <c r="A3131" s="23">
        <v>45117</v>
      </c>
      <c r="B3131" s="13" t="s">
        <v>4904</v>
      </c>
      <c r="C3131" s="13" t="s">
        <v>4903</v>
      </c>
      <c r="D3131" s="13" t="s">
        <v>345</v>
      </c>
    </row>
    <row r="3132" spans="1:4">
      <c r="A3132" s="23">
        <v>45118</v>
      </c>
      <c r="B3132" s="13" t="s">
        <v>4906</v>
      </c>
      <c r="C3132" s="13" t="s">
        <v>4905</v>
      </c>
      <c r="D3132" s="13" t="s">
        <v>19</v>
      </c>
    </row>
    <row r="3133" spans="1:4">
      <c r="A3133" s="23">
        <v>45118</v>
      </c>
      <c r="B3133" s="13" t="s">
        <v>4908</v>
      </c>
      <c r="C3133" s="13" t="s">
        <v>4907</v>
      </c>
      <c r="D3133" s="13" t="s">
        <v>345</v>
      </c>
    </row>
    <row r="3134" spans="1:4">
      <c r="A3134" s="23">
        <v>45118</v>
      </c>
      <c r="B3134" s="13" t="s">
        <v>4910</v>
      </c>
      <c r="C3134" s="13" t="s">
        <v>4909</v>
      </c>
      <c r="D3134" s="13" t="s">
        <v>29</v>
      </c>
    </row>
    <row r="3135" spans="1:4">
      <c r="A3135" s="23">
        <v>45118</v>
      </c>
      <c r="B3135" s="13" t="s">
        <v>4912</v>
      </c>
      <c r="C3135" s="13" t="s">
        <v>4911</v>
      </c>
      <c r="D3135" s="13" t="s">
        <v>345</v>
      </c>
    </row>
    <row r="3136" spans="1:4">
      <c r="A3136" s="23">
        <v>45120</v>
      </c>
      <c r="B3136" s="13" t="s">
        <v>4914</v>
      </c>
      <c r="C3136" s="13" t="s">
        <v>4913</v>
      </c>
      <c r="D3136" s="13" t="s">
        <v>8</v>
      </c>
    </row>
    <row r="3137" spans="1:4">
      <c r="A3137" s="23">
        <v>45120</v>
      </c>
      <c r="B3137" s="13" t="s">
        <v>4916</v>
      </c>
      <c r="C3137" s="13" t="s">
        <v>4915</v>
      </c>
      <c r="D3137" s="13" t="s">
        <v>345</v>
      </c>
    </row>
    <row r="3138" spans="1:4">
      <c r="A3138" s="23">
        <v>45120</v>
      </c>
      <c r="B3138" s="13" t="s">
        <v>4918</v>
      </c>
      <c r="C3138" s="13" t="s">
        <v>4917</v>
      </c>
      <c r="D3138" s="13" t="s">
        <v>19</v>
      </c>
    </row>
    <row r="3139" spans="1:4">
      <c r="A3139" s="23">
        <v>45120</v>
      </c>
      <c r="B3139" s="13" t="s">
        <v>4920</v>
      </c>
      <c r="C3139" s="13" t="s">
        <v>4919</v>
      </c>
      <c r="D3139" s="13" t="s">
        <v>345</v>
      </c>
    </row>
    <row r="3140" spans="1:4">
      <c r="A3140" s="23">
        <v>45120</v>
      </c>
      <c r="B3140" s="13" t="s">
        <v>4922</v>
      </c>
      <c r="C3140" s="13" t="s">
        <v>4921</v>
      </c>
      <c r="D3140" s="13" t="s">
        <v>345</v>
      </c>
    </row>
    <row r="3141" spans="1:4">
      <c r="A3141" s="23">
        <v>45121</v>
      </c>
      <c r="B3141" s="13" t="s">
        <v>4924</v>
      </c>
      <c r="C3141" s="13" t="s">
        <v>4923</v>
      </c>
      <c r="D3141" s="13" t="s">
        <v>345</v>
      </c>
    </row>
    <row r="3142" spans="1:4">
      <c r="A3142" s="23">
        <v>45121</v>
      </c>
      <c r="B3142" s="13" t="s">
        <v>4926</v>
      </c>
      <c r="C3142" s="13" t="s">
        <v>4925</v>
      </c>
      <c r="D3142" s="13" t="s">
        <v>29</v>
      </c>
    </row>
    <row r="3143" spans="1:4">
      <c r="A3143" s="23">
        <v>45121</v>
      </c>
      <c r="B3143" s="13" t="s">
        <v>4928</v>
      </c>
      <c r="C3143" s="13" t="s">
        <v>4927</v>
      </c>
      <c r="D3143" s="13" t="s">
        <v>11</v>
      </c>
    </row>
    <row r="3144" spans="1:4">
      <c r="A3144" s="23">
        <v>45124</v>
      </c>
      <c r="B3144" s="13" t="s">
        <v>4930</v>
      </c>
      <c r="C3144" s="13" t="s">
        <v>4929</v>
      </c>
      <c r="D3144" s="13" t="s">
        <v>345</v>
      </c>
    </row>
    <row r="3145" spans="1:4">
      <c r="A3145" s="23">
        <v>45124</v>
      </c>
      <c r="B3145" s="13" t="s">
        <v>4932</v>
      </c>
      <c r="C3145" s="13" t="s">
        <v>4931</v>
      </c>
      <c r="D3145" s="13" t="s">
        <v>19</v>
      </c>
    </row>
    <row r="3146" spans="1:4">
      <c r="A3146" s="23">
        <v>45124</v>
      </c>
      <c r="B3146" s="13" t="s">
        <v>4934</v>
      </c>
      <c r="C3146" s="13" t="s">
        <v>4933</v>
      </c>
      <c r="D3146" s="13" t="s">
        <v>24</v>
      </c>
    </row>
    <row r="3147" spans="1:4">
      <c r="A3147" s="23">
        <v>45134</v>
      </c>
      <c r="B3147" s="13" t="s">
        <v>4936</v>
      </c>
      <c r="C3147" s="13" t="s">
        <v>4935</v>
      </c>
      <c r="D3147" s="13" t="s">
        <v>345</v>
      </c>
    </row>
    <row r="3148" spans="1:4">
      <c r="A3148" s="23">
        <v>45134</v>
      </c>
      <c r="B3148" s="13" t="s">
        <v>4938</v>
      </c>
      <c r="C3148" s="13" t="s">
        <v>4937</v>
      </c>
      <c r="D3148" s="13" t="s">
        <v>345</v>
      </c>
    </row>
    <row r="3149" spans="1:4">
      <c r="A3149" s="23">
        <v>45134</v>
      </c>
      <c r="B3149" s="13" t="s">
        <v>4940</v>
      </c>
      <c r="C3149" s="13" t="s">
        <v>4939</v>
      </c>
      <c r="D3149" s="13" t="s">
        <v>109</v>
      </c>
    </row>
    <row r="3150" spans="1:4">
      <c r="A3150" s="23">
        <v>45134</v>
      </c>
      <c r="B3150" s="13" t="s">
        <v>4940</v>
      </c>
      <c r="C3150" s="13" t="s">
        <v>4939</v>
      </c>
      <c r="D3150" s="13" t="s">
        <v>109</v>
      </c>
    </row>
    <row r="3151" spans="1:4">
      <c r="A3151" s="23">
        <v>45134</v>
      </c>
      <c r="B3151" s="13" t="s">
        <v>4942</v>
      </c>
      <c r="C3151" s="13" t="s">
        <v>4941</v>
      </c>
      <c r="D3151" s="13" t="s">
        <v>345</v>
      </c>
    </row>
    <row r="3152" spans="1:4">
      <c r="A3152" s="23">
        <v>45135</v>
      </c>
      <c r="B3152" s="13" t="s">
        <v>4944</v>
      </c>
      <c r="C3152" s="13" t="s">
        <v>4943</v>
      </c>
      <c r="D3152" s="13" t="s">
        <v>74</v>
      </c>
    </row>
    <row r="3153" spans="1:4">
      <c r="A3153" s="23">
        <v>45135</v>
      </c>
      <c r="B3153" s="13" t="s">
        <v>4946</v>
      </c>
      <c r="C3153" s="13" t="s">
        <v>4945</v>
      </c>
      <c r="D3153" s="13" t="s">
        <v>345</v>
      </c>
    </row>
    <row r="3154" spans="1:4">
      <c r="A3154" s="23">
        <v>45135</v>
      </c>
      <c r="B3154" s="13" t="s">
        <v>4948</v>
      </c>
      <c r="C3154" s="13" t="s">
        <v>4947</v>
      </c>
      <c r="D3154" s="13" t="s">
        <v>29</v>
      </c>
    </row>
    <row r="3155" spans="1:4">
      <c r="A3155" s="23">
        <v>45135</v>
      </c>
      <c r="B3155" s="13" t="s">
        <v>4950</v>
      </c>
      <c r="C3155" s="13" t="s">
        <v>4949</v>
      </c>
      <c r="D3155" s="13" t="s">
        <v>345</v>
      </c>
    </row>
    <row r="3156" spans="1:4">
      <c r="A3156" s="23">
        <v>45135</v>
      </c>
      <c r="B3156" s="13" t="s">
        <v>4952</v>
      </c>
      <c r="C3156" s="13" t="s">
        <v>4951</v>
      </c>
      <c r="D3156" s="13" t="s">
        <v>353</v>
      </c>
    </row>
    <row r="3157" spans="1:4">
      <c r="A3157" s="23">
        <v>45135</v>
      </c>
      <c r="B3157" s="13" t="s">
        <v>4954</v>
      </c>
      <c r="C3157" s="13" t="s">
        <v>4953</v>
      </c>
      <c r="D3157" s="13" t="s">
        <v>74</v>
      </c>
    </row>
    <row r="3158" spans="1:4">
      <c r="A3158" s="23">
        <v>45135</v>
      </c>
      <c r="B3158" s="13" t="s">
        <v>4956</v>
      </c>
      <c r="C3158" s="13" t="s">
        <v>4955</v>
      </c>
      <c r="D3158" s="13" t="s">
        <v>74</v>
      </c>
    </row>
    <row r="3159" spans="1:4">
      <c r="A3159" s="23">
        <v>45137</v>
      </c>
      <c r="B3159" s="13" t="s">
        <v>4958</v>
      </c>
      <c r="C3159" s="13" t="s">
        <v>4957</v>
      </c>
      <c r="D3159" s="13" t="s">
        <v>11</v>
      </c>
    </row>
    <row r="3160" spans="1:4">
      <c r="A3160" s="23">
        <v>45138</v>
      </c>
      <c r="B3160" s="13" t="s">
        <v>4960</v>
      </c>
      <c r="C3160" s="13" t="s">
        <v>4959</v>
      </c>
      <c r="D3160" s="13" t="s">
        <v>345</v>
      </c>
    </row>
    <row r="3161" spans="1:4">
      <c r="A3161" s="23">
        <v>45138</v>
      </c>
      <c r="B3161" s="13" t="s">
        <v>4962</v>
      </c>
      <c r="C3161" s="13" t="s">
        <v>4961</v>
      </c>
      <c r="D3161" s="13" t="s">
        <v>345</v>
      </c>
    </row>
    <row r="3162" spans="1:4">
      <c r="A3162" s="23">
        <v>45138</v>
      </c>
      <c r="B3162" s="13" t="s">
        <v>4964</v>
      </c>
      <c r="C3162" s="13" t="s">
        <v>4963</v>
      </c>
      <c r="D3162" s="13" t="s">
        <v>345</v>
      </c>
    </row>
    <row r="3163" spans="1:4">
      <c r="A3163" s="23">
        <v>45138</v>
      </c>
      <c r="B3163" s="13" t="s">
        <v>4966</v>
      </c>
      <c r="C3163" s="13" t="s">
        <v>4965</v>
      </c>
      <c r="D3163" s="13" t="s">
        <v>29</v>
      </c>
    </row>
    <row r="3164" spans="1:4">
      <c r="A3164" s="23">
        <v>45138</v>
      </c>
      <c r="B3164" s="13" t="s">
        <v>4968</v>
      </c>
      <c r="C3164" s="13" t="s">
        <v>4967</v>
      </c>
      <c r="D3164" s="13" t="s">
        <v>345</v>
      </c>
    </row>
    <row r="3165" spans="1:4">
      <c r="A3165" s="23">
        <v>45138</v>
      </c>
      <c r="B3165" s="13" t="s">
        <v>4970</v>
      </c>
      <c r="C3165" s="13" t="s">
        <v>4969</v>
      </c>
      <c r="D3165" s="13" t="s">
        <v>29</v>
      </c>
    </row>
    <row r="3166" spans="1:4">
      <c r="A3166" s="23">
        <v>45139</v>
      </c>
      <c r="B3166" s="13" t="s">
        <v>4972</v>
      </c>
      <c r="C3166" s="13" t="s">
        <v>4971</v>
      </c>
      <c r="D3166" s="13" t="s">
        <v>29</v>
      </c>
    </row>
    <row r="3167" spans="1:4">
      <c r="A3167" s="23">
        <v>45139</v>
      </c>
      <c r="B3167" s="13" t="s">
        <v>4974</v>
      </c>
      <c r="C3167" s="13" t="s">
        <v>4973</v>
      </c>
      <c r="D3167" s="13" t="s">
        <v>74</v>
      </c>
    </row>
    <row r="3168" spans="1:4">
      <c r="A3168" s="23">
        <v>45139</v>
      </c>
      <c r="B3168" s="13" t="s">
        <v>4976</v>
      </c>
      <c r="C3168" s="13" t="s">
        <v>4975</v>
      </c>
      <c r="D3168" s="13" t="s">
        <v>74</v>
      </c>
    </row>
    <row r="3169" spans="1:4">
      <c r="A3169" s="23">
        <v>45139</v>
      </c>
      <c r="B3169" s="13" t="s">
        <v>4978</v>
      </c>
      <c r="C3169" s="13" t="s">
        <v>4977</v>
      </c>
      <c r="D3169" s="13" t="s">
        <v>74</v>
      </c>
    </row>
    <row r="3170" spans="1:4">
      <c r="A3170" s="23">
        <v>45140</v>
      </c>
      <c r="B3170" s="13" t="s">
        <v>4980</v>
      </c>
      <c r="C3170" s="13" t="s">
        <v>4979</v>
      </c>
      <c r="D3170" s="13" t="s">
        <v>29</v>
      </c>
    </row>
    <row r="3171" spans="1:4">
      <c r="A3171" s="23">
        <v>45140</v>
      </c>
      <c r="B3171" s="13" t="s">
        <v>4982</v>
      </c>
      <c r="C3171" s="13" t="s">
        <v>4981</v>
      </c>
      <c r="D3171" s="13" t="s">
        <v>19</v>
      </c>
    </row>
    <row r="3172" spans="1:4">
      <c r="A3172" s="23">
        <v>45140</v>
      </c>
      <c r="B3172" s="13" t="s">
        <v>4980</v>
      </c>
      <c r="C3172" s="13" t="s">
        <v>4979</v>
      </c>
      <c r="D3172" s="13" t="s">
        <v>29</v>
      </c>
    </row>
    <row r="3173" spans="1:4">
      <c r="A3173" s="23">
        <v>45140</v>
      </c>
      <c r="B3173" s="13" t="s">
        <v>4980</v>
      </c>
      <c r="C3173" s="13" t="s">
        <v>4979</v>
      </c>
      <c r="D3173" s="13" t="s">
        <v>29</v>
      </c>
    </row>
    <row r="3174" spans="1:4">
      <c r="A3174" s="23">
        <v>45141</v>
      </c>
      <c r="B3174" s="13" t="s">
        <v>4984</v>
      </c>
      <c r="C3174" s="13" t="s">
        <v>4983</v>
      </c>
      <c r="D3174" s="13" t="s">
        <v>345</v>
      </c>
    </row>
    <row r="3175" spans="1:4">
      <c r="A3175" s="23">
        <v>45141</v>
      </c>
      <c r="B3175" s="13" t="s">
        <v>4986</v>
      </c>
      <c r="C3175" s="13" t="s">
        <v>4985</v>
      </c>
      <c r="D3175" s="13" t="s">
        <v>29</v>
      </c>
    </row>
    <row r="3176" spans="1:4">
      <c r="A3176" s="23">
        <v>45141</v>
      </c>
      <c r="B3176" s="13" t="s">
        <v>4988</v>
      </c>
      <c r="C3176" s="13" t="s">
        <v>4987</v>
      </c>
      <c r="D3176" s="13" t="s">
        <v>29</v>
      </c>
    </row>
    <row r="3177" spans="1:4">
      <c r="A3177" s="23">
        <v>45141</v>
      </c>
      <c r="B3177" s="13" t="s">
        <v>4990</v>
      </c>
      <c r="C3177" s="13" t="s">
        <v>4989</v>
      </c>
      <c r="D3177" s="13" t="s">
        <v>345</v>
      </c>
    </row>
    <row r="3178" spans="1:4">
      <c r="A3178" s="23">
        <v>45142</v>
      </c>
      <c r="B3178" s="13" t="s">
        <v>4992</v>
      </c>
      <c r="C3178" s="13" t="s">
        <v>4991</v>
      </c>
      <c r="D3178" s="13" t="s">
        <v>345</v>
      </c>
    </row>
    <row r="3179" spans="1:4">
      <c r="A3179" s="23">
        <v>45163</v>
      </c>
      <c r="B3179" s="13" t="s">
        <v>4994</v>
      </c>
      <c r="C3179" s="13" t="s">
        <v>4993</v>
      </c>
      <c r="D3179" s="13" t="s">
        <v>24</v>
      </c>
    </row>
    <row r="3180" spans="1:4">
      <c r="A3180" s="23">
        <v>45167</v>
      </c>
      <c r="B3180" s="13" t="s">
        <v>4996</v>
      </c>
      <c r="C3180" s="13" t="s">
        <v>4995</v>
      </c>
      <c r="D3180" s="13" t="s">
        <v>74</v>
      </c>
    </row>
    <row r="3181" spans="1:4">
      <c r="A3181" s="23">
        <v>45166</v>
      </c>
      <c r="B3181" s="13" t="s">
        <v>4998</v>
      </c>
      <c r="C3181" s="13" t="s">
        <v>4997</v>
      </c>
      <c r="D3181" s="13" t="s">
        <v>74</v>
      </c>
    </row>
    <row r="3182" spans="1:4">
      <c r="A3182" s="23">
        <v>45142</v>
      </c>
      <c r="B3182" s="13" t="s">
        <v>5000</v>
      </c>
      <c r="C3182" s="13" t="s">
        <v>4999</v>
      </c>
      <c r="D3182" s="13" t="s">
        <v>29</v>
      </c>
    </row>
    <row r="3183" spans="1:4">
      <c r="A3183" s="23">
        <v>45142</v>
      </c>
      <c r="B3183" s="13" t="s">
        <v>5002</v>
      </c>
      <c r="C3183" s="13" t="s">
        <v>5001</v>
      </c>
      <c r="D3183" s="13" t="s">
        <v>345</v>
      </c>
    </row>
    <row r="3184" spans="1:4">
      <c r="A3184" s="23">
        <v>45142</v>
      </c>
      <c r="B3184" s="13" t="s">
        <v>5004</v>
      </c>
      <c r="C3184" s="13" t="s">
        <v>5003</v>
      </c>
      <c r="D3184" s="13" t="s">
        <v>19</v>
      </c>
    </row>
    <row r="3185" spans="1:4">
      <c r="A3185" s="23">
        <v>45145</v>
      </c>
      <c r="B3185" s="13" t="s">
        <v>5006</v>
      </c>
      <c r="C3185" s="13" t="s">
        <v>5005</v>
      </c>
      <c r="D3185" s="13" t="s">
        <v>11</v>
      </c>
    </row>
    <row r="3186" spans="1:4">
      <c r="A3186" s="23">
        <v>45166</v>
      </c>
      <c r="B3186" s="13" t="s">
        <v>5007</v>
      </c>
      <c r="C3186" s="13" t="s">
        <v>2765</v>
      </c>
      <c r="D3186" s="13" t="s">
        <v>74</v>
      </c>
    </row>
    <row r="3187" spans="1:4">
      <c r="A3187" s="23">
        <v>45167</v>
      </c>
      <c r="B3187" s="14" t="s">
        <v>5009</v>
      </c>
      <c r="C3187" s="13" t="s">
        <v>5008</v>
      </c>
      <c r="D3187" s="13" t="s">
        <v>19</v>
      </c>
    </row>
    <row r="3188" spans="1:4">
      <c r="A3188" s="23">
        <v>45145</v>
      </c>
      <c r="B3188" s="13" t="s">
        <v>5011</v>
      </c>
      <c r="C3188" s="13" t="s">
        <v>5010</v>
      </c>
      <c r="D3188" s="13" t="s">
        <v>11</v>
      </c>
    </row>
    <row r="3189" spans="1:4">
      <c r="A3189" s="23">
        <v>45168</v>
      </c>
      <c r="B3189" s="13" t="s">
        <v>5013</v>
      </c>
      <c r="C3189" s="13" t="s">
        <v>5012</v>
      </c>
      <c r="D3189" s="13" t="s">
        <v>345</v>
      </c>
    </row>
    <row r="3190" spans="1:4">
      <c r="A3190" s="23">
        <v>45163</v>
      </c>
      <c r="B3190" s="13" t="s">
        <v>5015</v>
      </c>
      <c r="C3190" s="13" t="s">
        <v>5014</v>
      </c>
      <c r="D3190" s="13" t="s">
        <v>345</v>
      </c>
    </row>
    <row r="3191" spans="1:4">
      <c r="A3191" s="23">
        <v>45146</v>
      </c>
      <c r="B3191" s="13" t="s">
        <v>5017</v>
      </c>
      <c r="C3191" s="13" t="s">
        <v>5016</v>
      </c>
      <c r="D3191" s="13" t="s">
        <v>19</v>
      </c>
    </row>
    <row r="3192" spans="1:4">
      <c r="A3192" s="23">
        <v>45146</v>
      </c>
      <c r="B3192" s="13" t="s">
        <v>5019</v>
      </c>
      <c r="C3192" s="13" t="s">
        <v>5018</v>
      </c>
      <c r="D3192" s="13" t="s">
        <v>29</v>
      </c>
    </row>
    <row r="3193" spans="1:4">
      <c r="A3193" s="23">
        <v>45146</v>
      </c>
      <c r="B3193" s="13" t="s">
        <v>5021</v>
      </c>
      <c r="C3193" s="13" t="s">
        <v>5020</v>
      </c>
      <c r="D3193" s="13" t="s">
        <v>345</v>
      </c>
    </row>
    <row r="3194" spans="1:4">
      <c r="A3194" s="23">
        <v>45146</v>
      </c>
      <c r="B3194" s="13" t="s">
        <v>5023</v>
      </c>
      <c r="C3194" s="13" t="s">
        <v>5022</v>
      </c>
      <c r="D3194" s="13" t="s">
        <v>74</v>
      </c>
    </row>
    <row r="3195" spans="1:4">
      <c r="A3195" s="23">
        <v>45166</v>
      </c>
      <c r="B3195" s="13" t="s">
        <v>5025</v>
      </c>
      <c r="C3195" s="13" t="s">
        <v>5024</v>
      </c>
      <c r="D3195" s="13" t="s">
        <v>109</v>
      </c>
    </row>
    <row r="3196" spans="1:4">
      <c r="A3196" s="23">
        <v>45146</v>
      </c>
      <c r="B3196" s="13" t="s">
        <v>5026</v>
      </c>
      <c r="C3196" s="13" t="s">
        <v>3519</v>
      </c>
      <c r="D3196" s="13" t="s">
        <v>345</v>
      </c>
    </row>
    <row r="3197" spans="1:4">
      <c r="A3197" s="23">
        <v>45147</v>
      </c>
      <c r="B3197" s="13" t="s">
        <v>5028</v>
      </c>
      <c r="C3197" s="13" t="s">
        <v>5027</v>
      </c>
      <c r="D3197" s="13" t="s">
        <v>345</v>
      </c>
    </row>
    <row r="3198" spans="1:4">
      <c r="A3198" s="23">
        <v>45161</v>
      </c>
      <c r="B3198" s="13" t="s">
        <v>5030</v>
      </c>
      <c r="C3198" s="13" t="s">
        <v>5029</v>
      </c>
      <c r="D3198" s="13" t="s">
        <v>81</v>
      </c>
    </row>
    <row r="3199" spans="1:4">
      <c r="A3199" s="23">
        <v>45161</v>
      </c>
      <c r="B3199" s="13" t="s">
        <v>5032</v>
      </c>
      <c r="C3199" s="13" t="s">
        <v>5031</v>
      </c>
      <c r="D3199" s="13" t="s">
        <v>74</v>
      </c>
    </row>
    <row r="3200" spans="1:4">
      <c r="A3200" s="23">
        <v>45147</v>
      </c>
      <c r="B3200" s="13" t="s">
        <v>5033</v>
      </c>
      <c r="C3200" s="22">
        <v>45067</v>
      </c>
      <c r="D3200" s="13" t="s">
        <v>81</v>
      </c>
    </row>
    <row r="3201" spans="1:4">
      <c r="A3201" s="23">
        <v>45147</v>
      </c>
      <c r="B3201" s="13" t="s">
        <v>5028</v>
      </c>
      <c r="C3201" s="13" t="s">
        <v>5027</v>
      </c>
      <c r="D3201" s="13" t="s">
        <v>345</v>
      </c>
    </row>
    <row r="3202" spans="1:4">
      <c r="A3202" s="23">
        <v>45147</v>
      </c>
      <c r="B3202" s="13" t="s">
        <v>5035</v>
      </c>
      <c r="C3202" s="13" t="s">
        <v>5034</v>
      </c>
      <c r="D3202" s="13" t="s">
        <v>29</v>
      </c>
    </row>
    <row r="3203" spans="1:4">
      <c r="A3203" s="23">
        <v>45163</v>
      </c>
      <c r="B3203" s="13" t="s">
        <v>5037</v>
      </c>
      <c r="C3203" s="13" t="s">
        <v>5036</v>
      </c>
      <c r="D3203" s="13" t="s">
        <v>345</v>
      </c>
    </row>
    <row r="3204" spans="1:4">
      <c r="A3204" s="23">
        <v>45147</v>
      </c>
      <c r="B3204" s="13" t="s">
        <v>5035</v>
      </c>
      <c r="C3204" s="13" t="s">
        <v>5034</v>
      </c>
      <c r="D3204" s="13" t="s">
        <v>29</v>
      </c>
    </row>
    <row r="3205" spans="1:4">
      <c r="A3205" s="23">
        <v>45147</v>
      </c>
      <c r="B3205" s="13" t="s">
        <v>5033</v>
      </c>
      <c r="C3205" s="22">
        <v>45067</v>
      </c>
      <c r="D3205" s="13" t="s">
        <v>81</v>
      </c>
    </row>
    <row r="3206" spans="1:4">
      <c r="A3206" s="23">
        <v>45148</v>
      </c>
      <c r="B3206" s="13" t="s">
        <v>5039</v>
      </c>
      <c r="C3206" s="13" t="s">
        <v>5038</v>
      </c>
      <c r="D3206" s="13" t="s">
        <v>16</v>
      </c>
    </row>
    <row r="3207" spans="1:4">
      <c r="A3207" s="23">
        <v>45162</v>
      </c>
      <c r="B3207" s="13" t="s">
        <v>5041</v>
      </c>
      <c r="C3207" s="13" t="s">
        <v>5040</v>
      </c>
      <c r="D3207" s="13" t="s">
        <v>74</v>
      </c>
    </row>
    <row r="3208" spans="1:4">
      <c r="A3208" s="23">
        <v>45148</v>
      </c>
      <c r="B3208" s="13" t="s">
        <v>5043</v>
      </c>
      <c r="C3208" s="13" t="s">
        <v>5042</v>
      </c>
      <c r="D3208" s="13" t="s">
        <v>29</v>
      </c>
    </row>
    <row r="3209" spans="1:4">
      <c r="A3209" s="23">
        <v>45148</v>
      </c>
      <c r="B3209" s="13" t="s">
        <v>5045</v>
      </c>
      <c r="C3209" s="13" t="s">
        <v>5044</v>
      </c>
      <c r="D3209" s="13" t="s">
        <v>74</v>
      </c>
    </row>
    <row r="3210" spans="1:4">
      <c r="A3210" s="23">
        <v>45148</v>
      </c>
      <c r="B3210" s="13" t="s">
        <v>5043</v>
      </c>
      <c r="C3210" s="13" t="s">
        <v>5042</v>
      </c>
      <c r="D3210" s="13" t="s">
        <v>29</v>
      </c>
    </row>
    <row r="3211" spans="1:4">
      <c r="A3211" s="23">
        <v>45149</v>
      </c>
      <c r="B3211" s="13" t="s">
        <v>5047</v>
      </c>
      <c r="C3211" s="13" t="s">
        <v>5046</v>
      </c>
      <c r="D3211" s="13" t="s">
        <v>109</v>
      </c>
    </row>
    <row r="3212" spans="1:4">
      <c r="A3212" s="23">
        <v>45149</v>
      </c>
      <c r="B3212" s="13" t="s">
        <v>5049</v>
      </c>
      <c r="C3212" s="13" t="s">
        <v>5048</v>
      </c>
      <c r="D3212" s="13" t="s">
        <v>29</v>
      </c>
    </row>
    <row r="3213" spans="1:4">
      <c r="A3213" s="23">
        <v>45152</v>
      </c>
      <c r="B3213" s="13" t="s">
        <v>5051</v>
      </c>
      <c r="C3213" s="13" t="s">
        <v>5050</v>
      </c>
      <c r="D3213" s="13" t="s">
        <v>345</v>
      </c>
    </row>
    <row r="3214" spans="1:4">
      <c r="A3214" s="23">
        <v>45152</v>
      </c>
      <c r="B3214" s="13" t="s">
        <v>5053</v>
      </c>
      <c r="C3214" s="13" t="s">
        <v>5052</v>
      </c>
      <c r="D3214" s="13" t="s">
        <v>164</v>
      </c>
    </row>
    <row r="3215" spans="1:4">
      <c r="A3215" s="23">
        <v>45152</v>
      </c>
      <c r="B3215" s="13" t="s">
        <v>5055</v>
      </c>
      <c r="C3215" s="13" t="s">
        <v>5054</v>
      </c>
      <c r="D3215" s="13" t="s">
        <v>345</v>
      </c>
    </row>
    <row r="3216" spans="1:4">
      <c r="A3216" s="23">
        <v>45152</v>
      </c>
      <c r="B3216" s="13" t="s">
        <v>5057</v>
      </c>
      <c r="C3216" s="13" t="s">
        <v>5056</v>
      </c>
      <c r="D3216" s="13" t="s">
        <v>345</v>
      </c>
    </row>
    <row r="3217" spans="1:4">
      <c r="A3217" s="23">
        <v>45154</v>
      </c>
      <c r="B3217" s="13" t="s">
        <v>5059</v>
      </c>
      <c r="C3217" s="13" t="s">
        <v>5058</v>
      </c>
      <c r="D3217" s="13" t="s">
        <v>19</v>
      </c>
    </row>
    <row r="3218" spans="1:4">
      <c r="A3218" s="23">
        <v>45154</v>
      </c>
      <c r="B3218" s="13" t="s">
        <v>5061</v>
      </c>
      <c r="C3218" s="13" t="s">
        <v>5060</v>
      </c>
      <c r="D3218" s="13" t="s">
        <v>29</v>
      </c>
    </row>
    <row r="3219" spans="1:4">
      <c r="A3219" s="23">
        <v>45154</v>
      </c>
      <c r="B3219" s="13" t="s">
        <v>5061</v>
      </c>
      <c r="C3219" s="13" t="s">
        <v>5060</v>
      </c>
      <c r="D3219" s="13" t="s">
        <v>29</v>
      </c>
    </row>
    <row r="3220" spans="1:4">
      <c r="A3220" s="23">
        <v>45159</v>
      </c>
      <c r="B3220" s="13" t="s">
        <v>5063</v>
      </c>
      <c r="C3220" s="13" t="s">
        <v>5062</v>
      </c>
      <c r="D3220" s="13" t="s">
        <v>11</v>
      </c>
    </row>
    <row r="3221" spans="1:4">
      <c r="A3221" s="23">
        <v>45155</v>
      </c>
      <c r="B3221" s="13" t="s">
        <v>5065</v>
      </c>
      <c r="C3221" s="13" t="s">
        <v>5064</v>
      </c>
      <c r="D3221" s="13" t="s">
        <v>29</v>
      </c>
    </row>
    <row r="3222" spans="1:4">
      <c r="A3222" s="23">
        <v>45159</v>
      </c>
      <c r="B3222" s="13" t="s">
        <v>5063</v>
      </c>
      <c r="C3222" s="13" t="s">
        <v>5062</v>
      </c>
      <c r="D3222" s="13" t="s">
        <v>11</v>
      </c>
    </row>
    <row r="3223" spans="1:4">
      <c r="A3223" s="23">
        <v>45162</v>
      </c>
      <c r="B3223" s="13" t="s">
        <v>5067</v>
      </c>
      <c r="C3223" s="13" t="s">
        <v>5066</v>
      </c>
      <c r="D3223" s="13" t="s">
        <v>29</v>
      </c>
    </row>
    <row r="3224" spans="1:4">
      <c r="A3224" s="23">
        <v>45162</v>
      </c>
      <c r="B3224" s="13" t="s">
        <v>5069</v>
      </c>
      <c r="C3224" s="13" t="s">
        <v>5068</v>
      </c>
      <c r="D3224" s="13" t="s">
        <v>29</v>
      </c>
    </row>
    <row r="3225" spans="1:4">
      <c r="A3225" s="23">
        <v>45155</v>
      </c>
      <c r="B3225" s="13" t="s">
        <v>5071</v>
      </c>
      <c r="C3225" s="13" t="s">
        <v>5070</v>
      </c>
      <c r="D3225" s="13" t="s">
        <v>345</v>
      </c>
    </row>
    <row r="3226" spans="1:4">
      <c r="A3226" s="23">
        <v>45155</v>
      </c>
      <c r="B3226" s="13" t="s">
        <v>5072</v>
      </c>
      <c r="C3226" s="13" t="s">
        <v>4891</v>
      </c>
      <c r="D3226" s="13" t="s">
        <v>74</v>
      </c>
    </row>
    <row r="3227" spans="1:4">
      <c r="A3227" s="23">
        <v>45155</v>
      </c>
      <c r="B3227" s="13" t="s">
        <v>5074</v>
      </c>
      <c r="C3227" s="13" t="s">
        <v>5073</v>
      </c>
      <c r="D3227" s="13" t="s">
        <v>8</v>
      </c>
    </row>
    <row r="3228" spans="1:4">
      <c r="A3228" s="23">
        <v>45168</v>
      </c>
      <c r="B3228" s="13" t="s">
        <v>5076</v>
      </c>
      <c r="C3228" s="13" t="s">
        <v>5075</v>
      </c>
      <c r="D3228" s="13" t="s">
        <v>8</v>
      </c>
    </row>
    <row r="3229" spans="1:4">
      <c r="A3229" s="23">
        <v>45162</v>
      </c>
      <c r="B3229" s="13" t="s">
        <v>5077</v>
      </c>
      <c r="C3229" s="13" t="s">
        <v>4821</v>
      </c>
      <c r="D3229" s="13" t="s">
        <v>29</v>
      </c>
    </row>
    <row r="3230" spans="1:4">
      <c r="A3230" s="23">
        <v>45156</v>
      </c>
      <c r="B3230" s="13" t="s">
        <v>5079</v>
      </c>
      <c r="C3230" s="13" t="s">
        <v>5078</v>
      </c>
      <c r="D3230" s="13" t="s">
        <v>345</v>
      </c>
    </row>
    <row r="3231" spans="1:4">
      <c r="A3231" s="23">
        <v>45156</v>
      </c>
      <c r="B3231" s="13" t="s">
        <v>5081</v>
      </c>
      <c r="C3231" s="13" t="s">
        <v>5080</v>
      </c>
      <c r="D3231" s="13" t="s">
        <v>29</v>
      </c>
    </row>
    <row r="3232" spans="1:4">
      <c r="A3232" s="23">
        <v>45156</v>
      </c>
      <c r="B3232" s="13" t="s">
        <v>5083</v>
      </c>
      <c r="C3232" s="13" t="s">
        <v>5082</v>
      </c>
      <c r="D3232" s="13" t="s">
        <v>345</v>
      </c>
    </row>
    <row r="3233" spans="1:4">
      <c r="A3233" s="23">
        <v>45156</v>
      </c>
      <c r="B3233" s="13" t="s">
        <v>5085</v>
      </c>
      <c r="C3233" s="13" t="s">
        <v>5084</v>
      </c>
      <c r="D3233" s="13" t="s">
        <v>345</v>
      </c>
    </row>
    <row r="3234" spans="1:4">
      <c r="A3234" s="23">
        <v>45156</v>
      </c>
      <c r="B3234" s="13" t="s">
        <v>5087</v>
      </c>
      <c r="C3234" s="13" t="s">
        <v>5086</v>
      </c>
      <c r="D3234" s="13" t="s">
        <v>345</v>
      </c>
    </row>
    <row r="3235" spans="1:4">
      <c r="A3235" s="23">
        <v>45156</v>
      </c>
      <c r="B3235" s="13" t="s">
        <v>5088</v>
      </c>
      <c r="C3235" s="13" t="s">
        <v>5084</v>
      </c>
      <c r="D3235" s="13" t="s">
        <v>345</v>
      </c>
    </row>
    <row r="3236" spans="1:4">
      <c r="A3236" s="23">
        <v>45161</v>
      </c>
      <c r="B3236" s="13" t="s">
        <v>5090</v>
      </c>
      <c r="C3236" s="13" t="s">
        <v>5089</v>
      </c>
      <c r="D3236" s="13" t="s">
        <v>345</v>
      </c>
    </row>
    <row r="3237" spans="1:4">
      <c r="A3237" s="23">
        <v>45176</v>
      </c>
      <c r="B3237" s="13" t="s">
        <v>5092</v>
      </c>
      <c r="C3237" s="13" t="s">
        <v>5091</v>
      </c>
      <c r="D3237" s="13" t="s">
        <v>29</v>
      </c>
    </row>
    <row r="3238" spans="1:4">
      <c r="A3238" s="23">
        <v>45159</v>
      </c>
      <c r="B3238" s="13" t="s">
        <v>5094</v>
      </c>
      <c r="C3238" s="13" t="s">
        <v>5093</v>
      </c>
      <c r="D3238" s="13" t="s">
        <v>109</v>
      </c>
    </row>
    <row r="3239" spans="1:4">
      <c r="A3239" s="23">
        <v>45167</v>
      </c>
      <c r="B3239" s="13" t="s">
        <v>5095</v>
      </c>
      <c r="C3239" s="13" t="s">
        <v>5003</v>
      </c>
      <c r="D3239" s="13" t="s">
        <v>19</v>
      </c>
    </row>
    <row r="3240" spans="1:4">
      <c r="A3240" s="23">
        <v>45159</v>
      </c>
      <c r="B3240" s="13" t="s">
        <v>5097</v>
      </c>
      <c r="C3240" s="13" t="s">
        <v>5096</v>
      </c>
      <c r="D3240" s="13" t="s">
        <v>109</v>
      </c>
    </row>
    <row r="3241" spans="1:4">
      <c r="A3241" s="23">
        <v>45190</v>
      </c>
      <c r="B3241" s="13" t="s">
        <v>5099</v>
      </c>
      <c r="C3241" s="13" t="s">
        <v>5098</v>
      </c>
      <c r="D3241" s="13" t="s">
        <v>74</v>
      </c>
    </row>
    <row r="3242" spans="1:4">
      <c r="A3242" s="23">
        <v>45198</v>
      </c>
      <c r="B3242" s="13" t="s">
        <v>5101</v>
      </c>
      <c r="C3242" s="13" t="s">
        <v>5100</v>
      </c>
      <c r="D3242" s="13" t="s">
        <v>74</v>
      </c>
    </row>
    <row r="3243" spans="1:4">
      <c r="A3243" s="23">
        <v>45180</v>
      </c>
      <c r="B3243" s="13" t="s">
        <v>5103</v>
      </c>
      <c r="C3243" s="13" t="s">
        <v>5102</v>
      </c>
      <c r="D3243" s="13" t="s">
        <v>345</v>
      </c>
    </row>
    <row r="3244" spans="1:4">
      <c r="A3244" s="23">
        <v>45189</v>
      </c>
      <c r="B3244" s="13" t="s">
        <v>5105</v>
      </c>
      <c r="C3244" s="13" t="s">
        <v>5104</v>
      </c>
      <c r="D3244" s="13" t="s">
        <v>74</v>
      </c>
    </row>
    <row r="3245" spans="1:4">
      <c r="A3245" s="23">
        <v>45196</v>
      </c>
      <c r="B3245" s="13" t="s">
        <v>5107</v>
      </c>
      <c r="C3245" s="13" t="s">
        <v>5106</v>
      </c>
      <c r="D3245" s="13" t="s">
        <v>74</v>
      </c>
    </row>
    <row r="3246" spans="1:4">
      <c r="A3246" s="23">
        <v>45201</v>
      </c>
      <c r="B3246" s="13" t="s">
        <v>5109</v>
      </c>
      <c r="C3246" s="13" t="s">
        <v>5108</v>
      </c>
      <c r="D3246" s="13" t="s">
        <v>16</v>
      </c>
    </row>
    <row r="3247" spans="1:4">
      <c r="A3247" s="23">
        <v>45183</v>
      </c>
      <c r="B3247" s="13" t="s">
        <v>5111</v>
      </c>
      <c r="C3247" s="13" t="s">
        <v>5110</v>
      </c>
      <c r="D3247" s="13" t="s">
        <v>5</v>
      </c>
    </row>
    <row r="3248" spans="1:4">
      <c r="A3248" s="23">
        <v>45190</v>
      </c>
      <c r="B3248" s="13" t="s">
        <v>5113</v>
      </c>
      <c r="C3248" s="13" t="s">
        <v>5112</v>
      </c>
      <c r="D3248" s="13" t="s">
        <v>345</v>
      </c>
    </row>
    <row r="3249" spans="1:4">
      <c r="A3249" s="23">
        <v>45180</v>
      </c>
      <c r="B3249" s="13" t="s">
        <v>5113</v>
      </c>
      <c r="C3249" s="13" t="s">
        <v>5112</v>
      </c>
      <c r="D3249" s="13" t="s">
        <v>345</v>
      </c>
    </row>
    <row r="3250" spans="1:4">
      <c r="A3250" s="23">
        <v>45170</v>
      </c>
      <c r="B3250" s="13" t="s">
        <v>5115</v>
      </c>
      <c r="C3250" s="13" t="s">
        <v>5114</v>
      </c>
      <c r="D3250" s="13" t="s">
        <v>74</v>
      </c>
    </row>
    <row r="3251" spans="1:4">
      <c r="A3251" s="23">
        <v>45177</v>
      </c>
      <c r="B3251" s="13" t="s">
        <v>5117</v>
      </c>
      <c r="C3251" s="13" t="s">
        <v>5116</v>
      </c>
      <c r="D3251" s="13" t="s">
        <v>345</v>
      </c>
    </row>
    <row r="3252" spans="1:4">
      <c r="A3252" s="23">
        <v>45170</v>
      </c>
      <c r="B3252" s="13" t="s">
        <v>5119</v>
      </c>
      <c r="C3252" s="13" t="s">
        <v>5118</v>
      </c>
      <c r="D3252" s="13" t="s">
        <v>5</v>
      </c>
    </row>
    <row r="3253" spans="1:4">
      <c r="A3253" s="23">
        <v>45175</v>
      </c>
      <c r="B3253" s="13" t="s">
        <v>5121</v>
      </c>
      <c r="C3253" s="13" t="s">
        <v>5120</v>
      </c>
      <c r="D3253" s="13" t="s">
        <v>29</v>
      </c>
    </row>
    <row r="3254" spans="1:4">
      <c r="A3254" s="23">
        <v>45167</v>
      </c>
      <c r="B3254" s="13" t="s">
        <v>4906</v>
      </c>
      <c r="C3254" s="13" t="s">
        <v>5122</v>
      </c>
      <c r="D3254" s="13" t="s">
        <v>19</v>
      </c>
    </row>
    <row r="3255" spans="1:4">
      <c r="A3255" s="23">
        <v>45190</v>
      </c>
      <c r="B3255" s="13" t="s">
        <v>5113</v>
      </c>
      <c r="C3255" s="13" t="s">
        <v>5112</v>
      </c>
      <c r="D3255" s="13" t="s">
        <v>345</v>
      </c>
    </row>
    <row r="3256" spans="1:4">
      <c r="A3256" s="23">
        <v>45201</v>
      </c>
      <c r="B3256" s="13" t="s">
        <v>5124</v>
      </c>
      <c r="C3256" s="13" t="s">
        <v>5123</v>
      </c>
      <c r="D3256" s="13" t="s">
        <v>5</v>
      </c>
    </row>
    <row r="3257" spans="1:4">
      <c r="A3257" s="23">
        <v>45201</v>
      </c>
      <c r="B3257" s="13" t="s">
        <v>5126</v>
      </c>
      <c r="C3257" s="13" t="s">
        <v>5125</v>
      </c>
      <c r="D3257" s="13" t="s">
        <v>510</v>
      </c>
    </row>
    <row r="3258" spans="1:4">
      <c r="A3258" s="23">
        <v>45196</v>
      </c>
      <c r="B3258" s="13" t="s">
        <v>5107</v>
      </c>
      <c r="C3258" s="13" t="s">
        <v>5106</v>
      </c>
      <c r="D3258" s="13" t="s">
        <v>74</v>
      </c>
    </row>
    <row r="3259" spans="1:4">
      <c r="A3259" s="23">
        <v>45175</v>
      </c>
      <c r="B3259" s="13" t="s">
        <v>5128</v>
      </c>
      <c r="C3259" s="13" t="s">
        <v>5127</v>
      </c>
      <c r="D3259" s="13" t="s">
        <v>11</v>
      </c>
    </row>
    <row r="3260" spans="1:4">
      <c r="A3260" s="23">
        <v>45184</v>
      </c>
      <c r="B3260" s="13" t="s">
        <v>5130</v>
      </c>
      <c r="C3260" s="13" t="s">
        <v>5129</v>
      </c>
      <c r="D3260" s="13" t="s">
        <v>109</v>
      </c>
    </row>
    <row r="3261" spans="1:4">
      <c r="A3261" s="23">
        <v>45182</v>
      </c>
      <c r="B3261" s="13" t="s">
        <v>5132</v>
      </c>
      <c r="C3261" s="13" t="s">
        <v>5131</v>
      </c>
      <c r="D3261" s="13" t="s">
        <v>29</v>
      </c>
    </row>
    <row r="3262" spans="1:4">
      <c r="A3262" s="23">
        <v>45181</v>
      </c>
      <c r="B3262" s="13" t="s">
        <v>5133</v>
      </c>
      <c r="C3262" s="13" t="s">
        <v>1328</v>
      </c>
      <c r="D3262" s="13" t="s">
        <v>81</v>
      </c>
    </row>
    <row r="3263" spans="1:4">
      <c r="A3263" s="23">
        <v>45175</v>
      </c>
      <c r="B3263" s="13" t="s">
        <v>5135</v>
      </c>
      <c r="C3263" s="13" t="s">
        <v>5134</v>
      </c>
      <c r="D3263" s="13" t="s">
        <v>74</v>
      </c>
    </row>
    <row r="3264" spans="1:4">
      <c r="A3264" s="23">
        <v>45181</v>
      </c>
      <c r="B3264" s="13" t="s">
        <v>5133</v>
      </c>
      <c r="C3264" s="13" t="s">
        <v>1328</v>
      </c>
      <c r="D3264" s="13" t="s">
        <v>81</v>
      </c>
    </row>
    <row r="3265" spans="1:4">
      <c r="A3265" s="23">
        <v>45176</v>
      </c>
      <c r="B3265" s="13" t="s">
        <v>5136</v>
      </c>
      <c r="C3265" s="13" t="s">
        <v>4971</v>
      </c>
      <c r="D3265" s="13" t="s">
        <v>29</v>
      </c>
    </row>
    <row r="3266" spans="1:4">
      <c r="A3266" s="23">
        <v>45174</v>
      </c>
      <c r="B3266" s="13" t="s">
        <v>5138</v>
      </c>
      <c r="C3266" s="13" t="s">
        <v>5137</v>
      </c>
      <c r="D3266" s="13" t="s">
        <v>164</v>
      </c>
    </row>
    <row r="3267" spans="1:4">
      <c r="A3267" s="23">
        <v>45177</v>
      </c>
      <c r="B3267" s="13" t="s">
        <v>5140</v>
      </c>
      <c r="C3267" s="13" t="s">
        <v>5139</v>
      </c>
      <c r="D3267" s="13" t="s">
        <v>345</v>
      </c>
    </row>
    <row r="3268" spans="1:4">
      <c r="A3268" s="23">
        <v>45173</v>
      </c>
      <c r="B3268" s="13" t="s">
        <v>5142</v>
      </c>
      <c r="C3268" s="13" t="s">
        <v>5141</v>
      </c>
      <c r="D3268" s="13" t="s">
        <v>345</v>
      </c>
    </row>
    <row r="3269" spans="1:4">
      <c r="A3269" s="23">
        <v>45196</v>
      </c>
      <c r="B3269" s="13" t="s">
        <v>5107</v>
      </c>
      <c r="C3269" s="13" t="s">
        <v>5106</v>
      </c>
      <c r="D3269" s="13" t="s">
        <v>74</v>
      </c>
    </row>
    <row r="3270" spans="1:4">
      <c r="A3270" s="23">
        <v>45197</v>
      </c>
      <c r="B3270" s="13" t="s">
        <v>5144</v>
      </c>
      <c r="C3270" s="13" t="s">
        <v>5143</v>
      </c>
      <c r="D3270" s="13" t="s">
        <v>109</v>
      </c>
    </row>
    <row r="3271" spans="1:4">
      <c r="A3271" s="23">
        <v>45190</v>
      </c>
      <c r="B3271" s="13" t="s">
        <v>5146</v>
      </c>
      <c r="C3271" s="13" t="s">
        <v>5145</v>
      </c>
      <c r="D3271" s="13" t="s">
        <v>345</v>
      </c>
    </row>
    <row r="3272" spans="1:4">
      <c r="A3272" s="23">
        <v>45202</v>
      </c>
      <c r="B3272" s="13" t="s">
        <v>5148</v>
      </c>
      <c r="C3272" s="13" t="s">
        <v>5147</v>
      </c>
      <c r="D3272" s="13" t="s">
        <v>5</v>
      </c>
    </row>
    <row r="3273" spans="1:4">
      <c r="A3273" s="23">
        <v>45189</v>
      </c>
      <c r="B3273" s="13" t="s">
        <v>5150</v>
      </c>
      <c r="C3273" s="13" t="s">
        <v>5149</v>
      </c>
      <c r="D3273" s="13" t="s">
        <v>345</v>
      </c>
    </row>
    <row r="3274" spans="1:4">
      <c r="A3274" s="23">
        <v>45202</v>
      </c>
      <c r="B3274" s="13" t="s">
        <v>5152</v>
      </c>
      <c r="C3274" s="13" t="s">
        <v>5151</v>
      </c>
      <c r="D3274" s="13" t="s">
        <v>345</v>
      </c>
    </row>
    <row r="3275" spans="1:4">
      <c r="A3275" s="23">
        <v>45222</v>
      </c>
      <c r="B3275" s="13" t="s">
        <v>5154</v>
      </c>
      <c r="C3275" s="13" t="s">
        <v>5153</v>
      </c>
      <c r="D3275" s="16" t="s">
        <v>29</v>
      </c>
    </row>
    <row r="3276" spans="1:4">
      <c r="A3276" s="23">
        <v>45225</v>
      </c>
      <c r="B3276" s="13" t="s">
        <v>5156</v>
      </c>
      <c r="C3276" s="13" t="s">
        <v>5155</v>
      </c>
      <c r="D3276" s="13" t="s">
        <v>345</v>
      </c>
    </row>
    <row r="3277" spans="1:4">
      <c r="A3277" s="23">
        <v>45197</v>
      </c>
      <c r="B3277" s="13" t="s">
        <v>5144</v>
      </c>
      <c r="C3277" s="13" t="s">
        <v>5143</v>
      </c>
      <c r="D3277" s="13" t="s">
        <v>109</v>
      </c>
    </row>
    <row r="3278" spans="1:4">
      <c r="A3278" s="23">
        <v>45197</v>
      </c>
      <c r="B3278" s="13" t="s">
        <v>5144</v>
      </c>
      <c r="C3278" s="13" t="s">
        <v>5143</v>
      </c>
      <c r="D3278" s="13" t="s">
        <v>109</v>
      </c>
    </row>
    <row r="3279" spans="1:4">
      <c r="A3279" s="23">
        <v>45195</v>
      </c>
      <c r="B3279" s="13" t="s">
        <v>5158</v>
      </c>
      <c r="C3279" s="13" t="s">
        <v>5157</v>
      </c>
      <c r="D3279" s="13" t="s">
        <v>74</v>
      </c>
    </row>
    <row r="3280" spans="1:4">
      <c r="A3280" s="23">
        <v>45194</v>
      </c>
      <c r="B3280" s="13" t="s">
        <v>5160</v>
      </c>
      <c r="C3280" s="13" t="s">
        <v>5159</v>
      </c>
      <c r="D3280" s="13" t="s">
        <v>109</v>
      </c>
    </row>
    <row r="3281" spans="1:4">
      <c r="A3281" s="23">
        <v>45190</v>
      </c>
      <c r="B3281" s="13" t="s">
        <v>5162</v>
      </c>
      <c r="C3281" s="13" t="s">
        <v>5161</v>
      </c>
      <c r="D3281" s="13" t="s">
        <v>345</v>
      </c>
    </row>
    <row r="3282" spans="1:4">
      <c r="A3282" s="23">
        <v>45205</v>
      </c>
      <c r="B3282" s="13" t="s">
        <v>5164</v>
      </c>
      <c r="C3282" s="13" t="s">
        <v>5163</v>
      </c>
      <c r="D3282" s="13" t="s">
        <v>109</v>
      </c>
    </row>
    <row r="3283" spans="1:4">
      <c r="A3283" s="23">
        <v>45205</v>
      </c>
      <c r="B3283" s="13" t="s">
        <v>5164</v>
      </c>
      <c r="C3283" s="13" t="s">
        <v>5163</v>
      </c>
      <c r="D3283" s="13" t="s">
        <v>109</v>
      </c>
    </row>
    <row r="3284" spans="1:4">
      <c r="A3284" s="23">
        <v>45189</v>
      </c>
      <c r="B3284" s="13" t="s">
        <v>5166</v>
      </c>
      <c r="C3284" s="13" t="s">
        <v>5165</v>
      </c>
      <c r="D3284" s="13" t="s">
        <v>19</v>
      </c>
    </row>
    <row r="3285" spans="1:4">
      <c r="A3285" s="23">
        <v>45165</v>
      </c>
      <c r="B3285" s="13" t="s">
        <v>4972</v>
      </c>
      <c r="C3285" s="13" t="s">
        <v>4971</v>
      </c>
      <c r="D3285" s="13" t="s">
        <v>29</v>
      </c>
    </row>
    <row r="3286" spans="1:4">
      <c r="A3286" s="23">
        <v>45174</v>
      </c>
      <c r="B3286" s="13" t="s">
        <v>5168</v>
      </c>
      <c r="C3286" s="13" t="s">
        <v>5167</v>
      </c>
      <c r="D3286" s="13" t="s">
        <v>11</v>
      </c>
    </row>
    <row r="3287" spans="1:4">
      <c r="A3287" s="23">
        <v>45180</v>
      </c>
      <c r="B3287" s="13" t="s">
        <v>5170</v>
      </c>
      <c r="C3287" s="13" t="s">
        <v>5169</v>
      </c>
      <c r="D3287" s="13" t="s">
        <v>345</v>
      </c>
    </row>
    <row r="3288" spans="1:4">
      <c r="A3288" s="23">
        <v>45175</v>
      </c>
      <c r="B3288" s="13" t="s">
        <v>5172</v>
      </c>
      <c r="C3288" s="13" t="s">
        <v>5171</v>
      </c>
      <c r="D3288" s="13" t="s">
        <v>29</v>
      </c>
    </row>
    <row r="3289" spans="1:4">
      <c r="A3289" s="23">
        <v>45169</v>
      </c>
      <c r="B3289" s="13" t="s">
        <v>5173</v>
      </c>
      <c r="C3289" s="13" t="s">
        <v>5080</v>
      </c>
      <c r="D3289" s="13" t="s">
        <v>29</v>
      </c>
    </row>
    <row r="3290" spans="1:4">
      <c r="A3290" s="23">
        <v>45196</v>
      </c>
      <c r="B3290" s="13" t="s">
        <v>5175</v>
      </c>
      <c r="C3290" s="13" t="s">
        <v>5174</v>
      </c>
      <c r="D3290" s="13" t="s">
        <v>345</v>
      </c>
    </row>
    <row r="3291" spans="1:4">
      <c r="A3291" s="23">
        <v>45194</v>
      </c>
      <c r="B3291" s="13" t="s">
        <v>5177</v>
      </c>
      <c r="C3291" s="13" t="s">
        <v>5176</v>
      </c>
      <c r="D3291" s="13" t="s">
        <v>345</v>
      </c>
    </row>
    <row r="3292" spans="1:4">
      <c r="A3292" s="23">
        <v>45203</v>
      </c>
      <c r="B3292" s="13" t="s">
        <v>5179</v>
      </c>
      <c r="C3292" s="13" t="s">
        <v>5178</v>
      </c>
      <c r="D3292" s="13" t="s">
        <v>345</v>
      </c>
    </row>
    <row r="3293" spans="1:4">
      <c r="A3293" s="23">
        <v>45196</v>
      </c>
      <c r="B3293" s="13" t="s">
        <v>5180</v>
      </c>
      <c r="C3293" s="13" t="s">
        <v>5174</v>
      </c>
      <c r="D3293" s="13" t="s">
        <v>345</v>
      </c>
    </row>
    <row r="3294" spans="1:4">
      <c r="A3294" s="23">
        <v>45181</v>
      </c>
      <c r="B3294" s="13" t="s">
        <v>5182</v>
      </c>
      <c r="C3294" s="13" t="s">
        <v>5181</v>
      </c>
      <c r="D3294" s="13" t="s">
        <v>29</v>
      </c>
    </row>
    <row r="3295" spans="1:4">
      <c r="A3295" s="23">
        <v>45198</v>
      </c>
      <c r="B3295" s="13" t="s">
        <v>5184</v>
      </c>
      <c r="C3295" s="13" t="s">
        <v>5183</v>
      </c>
      <c r="D3295" s="13" t="s">
        <v>109</v>
      </c>
    </row>
    <row r="3296" spans="1:4">
      <c r="A3296" s="23">
        <v>45194</v>
      </c>
      <c r="B3296" s="13" t="s">
        <v>5186</v>
      </c>
      <c r="C3296" s="13" t="s">
        <v>5185</v>
      </c>
      <c r="D3296" s="13" t="s">
        <v>29</v>
      </c>
    </row>
    <row r="3297" spans="1:4">
      <c r="A3297" s="23">
        <v>45197</v>
      </c>
      <c r="B3297" s="13" t="s">
        <v>5188</v>
      </c>
      <c r="C3297" s="13" t="s">
        <v>5187</v>
      </c>
      <c r="D3297" s="13" t="s">
        <v>29</v>
      </c>
    </row>
    <row r="3298" spans="1:4">
      <c r="A3298" s="23">
        <v>45201</v>
      </c>
      <c r="B3298" s="13" t="s">
        <v>5190</v>
      </c>
      <c r="C3298" s="13" t="s">
        <v>5189</v>
      </c>
      <c r="D3298" s="13" t="s">
        <v>11</v>
      </c>
    </row>
    <row r="3299" spans="1:4">
      <c r="A3299" s="23">
        <v>45180</v>
      </c>
      <c r="B3299" s="13" t="s">
        <v>5192</v>
      </c>
      <c r="C3299" s="13" t="s">
        <v>5191</v>
      </c>
      <c r="D3299" s="13" t="s">
        <v>345</v>
      </c>
    </row>
    <row r="3300" spans="1:4">
      <c r="A3300" s="23">
        <v>45194</v>
      </c>
      <c r="B3300" s="13" t="s">
        <v>5194</v>
      </c>
      <c r="C3300" s="13" t="s">
        <v>5193</v>
      </c>
      <c r="D3300" s="13" t="s">
        <v>345</v>
      </c>
    </row>
    <row r="3301" spans="1:4">
      <c r="A3301" s="23">
        <v>45175</v>
      </c>
      <c r="B3301" s="13" t="s">
        <v>5196</v>
      </c>
      <c r="C3301" s="13" t="s">
        <v>5195</v>
      </c>
      <c r="D3301" s="13" t="s">
        <v>74</v>
      </c>
    </row>
    <row r="3302" spans="1:4">
      <c r="A3302" s="23">
        <v>45176</v>
      </c>
      <c r="B3302" s="13" t="s">
        <v>5198</v>
      </c>
      <c r="C3302" s="13" t="s">
        <v>5197</v>
      </c>
      <c r="D3302" s="13" t="s">
        <v>29</v>
      </c>
    </row>
    <row r="3303" spans="1:4">
      <c r="A3303" s="23">
        <v>45191</v>
      </c>
      <c r="B3303" s="13" t="s">
        <v>5200</v>
      </c>
      <c r="C3303" s="13" t="s">
        <v>5199</v>
      </c>
      <c r="D3303" s="13" t="s">
        <v>11</v>
      </c>
    </row>
    <row r="3304" spans="1:4">
      <c r="A3304" s="23">
        <v>45184</v>
      </c>
      <c r="B3304" s="13" t="s">
        <v>5202</v>
      </c>
      <c r="C3304" s="13" t="s">
        <v>5201</v>
      </c>
      <c r="D3304" s="13" t="s">
        <v>74</v>
      </c>
    </row>
    <row r="3305" spans="1:4">
      <c r="A3305" s="23">
        <v>45201</v>
      </c>
      <c r="B3305" s="13" t="s">
        <v>5204</v>
      </c>
      <c r="C3305" s="13" t="s">
        <v>5203</v>
      </c>
      <c r="D3305" s="13" t="s">
        <v>16</v>
      </c>
    </row>
    <row r="3306" spans="1:4">
      <c r="A3306" s="23">
        <v>45203</v>
      </c>
      <c r="B3306" s="13" t="s">
        <v>5206</v>
      </c>
      <c r="C3306" s="13" t="s">
        <v>5205</v>
      </c>
      <c r="D3306" s="13" t="s">
        <v>345</v>
      </c>
    </row>
    <row r="3307" spans="1:4">
      <c r="A3307" s="23">
        <v>45195</v>
      </c>
      <c r="B3307" s="13" t="s">
        <v>5208</v>
      </c>
      <c r="C3307" s="13" t="s">
        <v>5207</v>
      </c>
      <c r="D3307" s="13" t="s">
        <v>5</v>
      </c>
    </row>
    <row r="3308" spans="1:4">
      <c r="A3308" s="23">
        <v>45198</v>
      </c>
      <c r="B3308" s="13" t="s">
        <v>5210</v>
      </c>
      <c r="C3308" s="13" t="s">
        <v>5209</v>
      </c>
      <c r="D3308" s="13" t="s">
        <v>29</v>
      </c>
    </row>
    <row r="3309" spans="1:4">
      <c r="A3309" s="23">
        <v>45181</v>
      </c>
      <c r="B3309" s="13" t="s">
        <v>5212</v>
      </c>
      <c r="C3309" s="13" t="s">
        <v>5211</v>
      </c>
      <c r="D3309" s="13" t="s">
        <v>29</v>
      </c>
    </row>
    <row r="3310" spans="1:4">
      <c r="A3310" s="23">
        <v>45197</v>
      </c>
      <c r="B3310" s="13" t="s">
        <v>5214</v>
      </c>
      <c r="C3310" s="13" t="s">
        <v>5213</v>
      </c>
      <c r="D3310" s="13" t="s">
        <v>29</v>
      </c>
    </row>
    <row r="3311" spans="1:4">
      <c r="A3311" s="23">
        <v>45197</v>
      </c>
      <c r="B3311" s="13" t="s">
        <v>5215</v>
      </c>
      <c r="C3311" s="13" t="s">
        <v>5042</v>
      </c>
      <c r="D3311" s="13" t="s">
        <v>29</v>
      </c>
    </row>
    <row r="3312" spans="1:4">
      <c r="A3312" s="23">
        <v>45191</v>
      </c>
      <c r="B3312" s="13" t="s">
        <v>5217</v>
      </c>
      <c r="C3312" s="13" t="s">
        <v>5216</v>
      </c>
      <c r="D3312" s="13" t="s">
        <v>24</v>
      </c>
    </row>
    <row r="3313" spans="1:4">
      <c r="A3313" s="23">
        <v>45183</v>
      </c>
      <c r="B3313" s="13" t="s">
        <v>5111</v>
      </c>
      <c r="C3313" s="13" t="s">
        <v>5110</v>
      </c>
      <c r="D3313" s="13" t="s">
        <v>5</v>
      </c>
    </row>
    <row r="3314" spans="1:4">
      <c r="A3314" s="23">
        <v>45183</v>
      </c>
      <c r="B3314" s="13" t="s">
        <v>5219</v>
      </c>
      <c r="C3314" s="13" t="s">
        <v>5218</v>
      </c>
      <c r="D3314" s="13" t="s">
        <v>11</v>
      </c>
    </row>
    <row r="3315" spans="1:4">
      <c r="A3315" s="23">
        <v>45209</v>
      </c>
      <c r="B3315" s="13" t="s">
        <v>5221</v>
      </c>
      <c r="C3315" s="13" t="s">
        <v>5220</v>
      </c>
      <c r="D3315" s="13" t="s">
        <v>109</v>
      </c>
    </row>
    <row r="3316" spans="1:4">
      <c r="A3316" s="23">
        <v>45180</v>
      </c>
      <c r="B3316" s="13" t="s">
        <v>5223</v>
      </c>
      <c r="C3316" s="13" t="s">
        <v>5222</v>
      </c>
      <c r="D3316" s="13" t="s">
        <v>109</v>
      </c>
    </row>
    <row r="3317" spans="1:4">
      <c r="A3317" s="23">
        <v>45180</v>
      </c>
      <c r="B3317" s="13" t="s">
        <v>5223</v>
      </c>
      <c r="C3317" s="13" t="s">
        <v>5222</v>
      </c>
      <c r="D3317" s="13" t="s">
        <v>109</v>
      </c>
    </row>
    <row r="3318" spans="1:4">
      <c r="A3318" s="23">
        <v>45202</v>
      </c>
      <c r="B3318" s="13" t="s">
        <v>5225</v>
      </c>
      <c r="C3318" s="13" t="s">
        <v>5224</v>
      </c>
      <c r="D3318" s="13" t="s">
        <v>34</v>
      </c>
    </row>
    <row r="3319" spans="1:4">
      <c r="A3319" s="23">
        <v>45203</v>
      </c>
      <c r="B3319" s="13" t="s">
        <v>5227</v>
      </c>
      <c r="C3319" s="13" t="s">
        <v>5226</v>
      </c>
      <c r="D3319" s="13" t="s">
        <v>19</v>
      </c>
    </row>
    <row r="3320" spans="1:4">
      <c r="A3320" s="23">
        <v>45190</v>
      </c>
      <c r="B3320" s="13" t="s">
        <v>5229</v>
      </c>
      <c r="C3320" s="13" t="s">
        <v>5228</v>
      </c>
      <c r="D3320" s="13" t="s">
        <v>345</v>
      </c>
    </row>
    <row r="3321" spans="1:4">
      <c r="A3321" s="23">
        <v>45200</v>
      </c>
      <c r="B3321" s="13" t="s">
        <v>5231</v>
      </c>
      <c r="C3321" s="13" t="s">
        <v>5230</v>
      </c>
      <c r="D3321" s="13" t="s">
        <v>109</v>
      </c>
    </row>
    <row r="3322" spans="1:4">
      <c r="A3322" s="23">
        <v>45197</v>
      </c>
      <c r="B3322" s="13" t="s">
        <v>5233</v>
      </c>
      <c r="C3322" s="13" t="s">
        <v>5232</v>
      </c>
      <c r="D3322" s="13" t="s">
        <v>345</v>
      </c>
    </row>
    <row r="3323" spans="1:4">
      <c r="A3323" s="23">
        <v>45195</v>
      </c>
      <c r="B3323" s="13" t="s">
        <v>5235</v>
      </c>
      <c r="C3323" s="13" t="s">
        <v>5234</v>
      </c>
      <c r="D3323" s="13" t="s">
        <v>8</v>
      </c>
    </row>
    <row r="3324" spans="1:4">
      <c r="A3324" s="23">
        <v>45202</v>
      </c>
      <c r="B3324" s="13" t="s">
        <v>5237</v>
      </c>
      <c r="C3324" s="13" t="s">
        <v>5236</v>
      </c>
      <c r="D3324" s="13" t="s">
        <v>345</v>
      </c>
    </row>
    <row r="3325" spans="1:4">
      <c r="A3325" s="23">
        <v>45181</v>
      </c>
      <c r="B3325" s="13" t="s">
        <v>5133</v>
      </c>
      <c r="C3325" s="13" t="s">
        <v>1328</v>
      </c>
      <c r="D3325" s="13" t="s">
        <v>81</v>
      </c>
    </row>
    <row r="3326" spans="1:4">
      <c r="A3326" s="23">
        <v>45174</v>
      </c>
      <c r="B3326" s="13" t="s">
        <v>5239</v>
      </c>
      <c r="C3326" s="13" t="s">
        <v>5238</v>
      </c>
      <c r="D3326" s="13" t="s">
        <v>11</v>
      </c>
    </row>
    <row r="3327" spans="1:4">
      <c r="A3327" s="23">
        <v>45168</v>
      </c>
      <c r="B3327" s="13" t="s">
        <v>5241</v>
      </c>
      <c r="C3327" s="13" t="s">
        <v>5240</v>
      </c>
      <c r="D3327" s="13" t="s">
        <v>345</v>
      </c>
    </row>
    <row r="3328" spans="1:4">
      <c r="A3328" s="23">
        <v>45203</v>
      </c>
      <c r="B3328" s="13" t="s">
        <v>5243</v>
      </c>
      <c r="C3328" s="13" t="s">
        <v>5242</v>
      </c>
      <c r="D3328" s="13" t="s">
        <v>19</v>
      </c>
    </row>
    <row r="3329" spans="1:4">
      <c r="A3329" s="23">
        <v>45189</v>
      </c>
      <c r="B3329" s="13" t="s">
        <v>5245</v>
      </c>
      <c r="C3329" s="13" t="s">
        <v>5244</v>
      </c>
      <c r="D3329" s="13" t="s">
        <v>74</v>
      </c>
    </row>
    <row r="3330" spans="1:4">
      <c r="A3330" s="23">
        <v>45198</v>
      </c>
      <c r="B3330" s="13" t="s">
        <v>5247</v>
      </c>
      <c r="C3330" s="13" t="s">
        <v>5246</v>
      </c>
      <c r="D3330" s="13" t="s">
        <v>74</v>
      </c>
    </row>
    <row r="3331" spans="1:4">
      <c r="A3331" s="23">
        <v>45191</v>
      </c>
      <c r="B3331" s="13" t="s">
        <v>5249</v>
      </c>
      <c r="C3331" s="13" t="s">
        <v>5248</v>
      </c>
      <c r="D3331" s="13" t="s">
        <v>11</v>
      </c>
    </row>
    <row r="3332" spans="1:4">
      <c r="A3332" s="23">
        <v>45191</v>
      </c>
      <c r="B3332" s="13" t="s">
        <v>5251</v>
      </c>
      <c r="C3332" s="13" t="s">
        <v>5250</v>
      </c>
      <c r="D3332" s="16" t="s">
        <v>74</v>
      </c>
    </row>
    <row r="3333" spans="1:4">
      <c r="A3333" s="23">
        <v>45199</v>
      </c>
      <c r="B3333" s="13" t="s">
        <v>5252</v>
      </c>
      <c r="C3333" s="13" t="s">
        <v>5050</v>
      </c>
      <c r="D3333" s="13" t="s">
        <v>345</v>
      </c>
    </row>
    <row r="3334" spans="1:4">
      <c r="A3334" s="23">
        <v>45184</v>
      </c>
      <c r="B3334" s="13" t="s">
        <v>5202</v>
      </c>
      <c r="C3334" s="13" t="s">
        <v>5201</v>
      </c>
      <c r="D3334" s="13" t="s">
        <v>74</v>
      </c>
    </row>
    <row r="3335" spans="1:4">
      <c r="A3335" s="23">
        <v>45200</v>
      </c>
      <c r="B3335" s="13" t="s">
        <v>5231</v>
      </c>
      <c r="C3335" s="13" t="s">
        <v>5230</v>
      </c>
      <c r="D3335" s="13" t="s">
        <v>109</v>
      </c>
    </row>
    <row r="3336" spans="1:4">
      <c r="A3336" s="23">
        <v>45203</v>
      </c>
      <c r="B3336" s="13" t="s">
        <v>5254</v>
      </c>
      <c r="C3336" s="13" t="s">
        <v>5253</v>
      </c>
      <c r="D3336" s="13" t="s">
        <v>29</v>
      </c>
    </row>
    <row r="3337" spans="1:4">
      <c r="A3337" s="23">
        <v>45225</v>
      </c>
      <c r="B3337" s="13" t="s">
        <v>5256</v>
      </c>
      <c r="C3337" s="13" t="s">
        <v>5255</v>
      </c>
      <c r="D3337" s="13" t="s">
        <v>345</v>
      </c>
    </row>
    <row r="3338" spans="1:4">
      <c r="A3338" s="23">
        <v>45219</v>
      </c>
      <c r="B3338" s="13" t="s">
        <v>5258</v>
      </c>
      <c r="C3338" s="13" t="s">
        <v>5257</v>
      </c>
      <c r="D3338" s="13" t="s">
        <v>74</v>
      </c>
    </row>
    <row r="3339" spans="1:4">
      <c r="A3339" s="23">
        <v>45219</v>
      </c>
      <c r="B3339" s="13" t="s">
        <v>5259</v>
      </c>
      <c r="C3339" s="13" t="s">
        <v>2963</v>
      </c>
      <c r="D3339" s="13" t="s">
        <v>74</v>
      </c>
    </row>
    <row r="3340" spans="1:4">
      <c r="A3340" s="23">
        <v>45222</v>
      </c>
      <c r="B3340" s="13" t="s">
        <v>5261</v>
      </c>
      <c r="C3340" s="13" t="s">
        <v>5260</v>
      </c>
      <c r="D3340" s="13" t="s">
        <v>24</v>
      </c>
    </row>
    <row r="3341" spans="1:4">
      <c r="A3341" s="23">
        <v>45222</v>
      </c>
      <c r="B3341" s="13" t="s">
        <v>5154</v>
      </c>
      <c r="C3341" s="13" t="s">
        <v>5153</v>
      </c>
      <c r="D3341" s="13" t="s">
        <v>29</v>
      </c>
    </row>
    <row r="3342" spans="1:4">
      <c r="A3342" s="23">
        <v>45202</v>
      </c>
      <c r="B3342" s="13" t="s">
        <v>5263</v>
      </c>
      <c r="C3342" s="13" t="s">
        <v>5262</v>
      </c>
      <c r="D3342" s="13" t="s">
        <v>34</v>
      </c>
    </row>
    <row r="3343" spans="1:4">
      <c r="A3343" s="23">
        <v>45204</v>
      </c>
      <c r="B3343" s="13" t="s">
        <v>5265</v>
      </c>
      <c r="C3343" s="13" t="s">
        <v>5264</v>
      </c>
      <c r="D3343" s="13" t="s">
        <v>5</v>
      </c>
    </row>
    <row r="3344" spans="1:4">
      <c r="A3344" s="23">
        <v>45209</v>
      </c>
      <c r="B3344" s="13" t="s">
        <v>5267</v>
      </c>
      <c r="C3344" s="13" t="s">
        <v>5266</v>
      </c>
      <c r="D3344" s="13" t="s">
        <v>353</v>
      </c>
    </row>
    <row r="3345" spans="1:4">
      <c r="A3345" s="23">
        <v>44964</v>
      </c>
      <c r="B3345" s="13" t="s">
        <v>5269</v>
      </c>
      <c r="C3345" s="13" t="s">
        <v>5268</v>
      </c>
      <c r="D3345" s="13" t="s">
        <v>74</v>
      </c>
    </row>
    <row r="3346" spans="1:4">
      <c r="A3346" s="23">
        <v>44964</v>
      </c>
      <c r="B3346" s="13" t="s">
        <v>5271</v>
      </c>
      <c r="C3346" s="13" t="s">
        <v>5270</v>
      </c>
      <c r="D3346" s="13" t="s">
        <v>74</v>
      </c>
    </row>
    <row r="3347" spans="1:4">
      <c r="A3347" s="23">
        <v>44964</v>
      </c>
      <c r="B3347" s="13" t="s">
        <v>5271</v>
      </c>
      <c r="C3347" s="13" t="s">
        <v>5270</v>
      </c>
      <c r="D3347" s="13" t="s">
        <v>74</v>
      </c>
    </row>
    <row r="3348" spans="1:4">
      <c r="A3348" s="23">
        <v>44965</v>
      </c>
      <c r="B3348" s="13" t="s">
        <v>5273</v>
      </c>
      <c r="C3348" s="13" t="s">
        <v>5272</v>
      </c>
      <c r="D3348" s="13" t="s">
        <v>109</v>
      </c>
    </row>
    <row r="3349" spans="1:4">
      <c r="A3349" s="23">
        <v>44965</v>
      </c>
      <c r="B3349" s="13" t="s">
        <v>5275</v>
      </c>
      <c r="C3349" s="13" t="s">
        <v>5274</v>
      </c>
      <c r="D3349" s="13" t="s">
        <v>109</v>
      </c>
    </row>
    <row r="3350" spans="1:4">
      <c r="A3350" s="23">
        <v>44965</v>
      </c>
      <c r="B3350" s="13" t="s">
        <v>5277</v>
      </c>
      <c r="C3350" s="13" t="s">
        <v>5276</v>
      </c>
      <c r="D3350" s="13" t="s">
        <v>109</v>
      </c>
    </row>
    <row r="3351" spans="1:4">
      <c r="A3351" s="23">
        <v>44966</v>
      </c>
      <c r="B3351" s="13" t="s">
        <v>5279</v>
      </c>
      <c r="C3351" s="13" t="s">
        <v>5278</v>
      </c>
      <c r="D3351" s="13" t="s">
        <v>216</v>
      </c>
    </row>
    <row r="3352" spans="1:4">
      <c r="A3352" s="23">
        <v>44966</v>
      </c>
      <c r="B3352" s="13" t="s">
        <v>5281</v>
      </c>
      <c r="C3352" s="13" t="s">
        <v>5280</v>
      </c>
      <c r="D3352" s="13" t="s">
        <v>216</v>
      </c>
    </row>
    <row r="3353" spans="1:4">
      <c r="A3353" s="23">
        <v>44966</v>
      </c>
      <c r="B3353" s="13" t="s">
        <v>5283</v>
      </c>
      <c r="C3353" s="13" t="s">
        <v>5282</v>
      </c>
      <c r="D3353" s="13" t="s">
        <v>5</v>
      </c>
    </row>
    <row r="3354" spans="1:4">
      <c r="A3354" s="23">
        <v>44966</v>
      </c>
      <c r="B3354" s="13" t="s">
        <v>5284</v>
      </c>
      <c r="C3354" s="13" t="s">
        <v>2988</v>
      </c>
      <c r="D3354" s="13" t="s">
        <v>5</v>
      </c>
    </row>
    <row r="3355" spans="1:4">
      <c r="A3355" s="23">
        <v>44966</v>
      </c>
      <c r="B3355" s="13" t="s">
        <v>5285</v>
      </c>
      <c r="C3355" s="13" t="s">
        <v>2856</v>
      </c>
      <c r="D3355" s="13" t="s">
        <v>5</v>
      </c>
    </row>
    <row r="3356" spans="1:4">
      <c r="A3356" s="23">
        <v>44966</v>
      </c>
      <c r="B3356" s="13" t="s">
        <v>5287</v>
      </c>
      <c r="C3356" s="13" t="s">
        <v>5286</v>
      </c>
      <c r="D3356" s="13" t="s">
        <v>216</v>
      </c>
    </row>
    <row r="3357" spans="1:4">
      <c r="A3357" s="23">
        <v>44967</v>
      </c>
      <c r="B3357" s="13" t="s">
        <v>5289</v>
      </c>
      <c r="C3357" s="13" t="s">
        <v>5288</v>
      </c>
      <c r="D3357" s="13" t="s">
        <v>109</v>
      </c>
    </row>
    <row r="3358" spans="1:4">
      <c r="A3358" s="23">
        <v>44967</v>
      </c>
      <c r="B3358" s="13" t="s">
        <v>5289</v>
      </c>
      <c r="C3358" s="13" t="s">
        <v>5288</v>
      </c>
      <c r="D3358" s="13" t="s">
        <v>109</v>
      </c>
    </row>
    <row r="3359" spans="1:4">
      <c r="A3359" s="23">
        <v>44967</v>
      </c>
      <c r="B3359" s="13" t="s">
        <v>5291</v>
      </c>
      <c r="C3359" s="13" t="s">
        <v>5290</v>
      </c>
      <c r="D3359" s="13" t="s">
        <v>34</v>
      </c>
    </row>
    <row r="3360" spans="1:4">
      <c r="A3360" s="23">
        <v>44967</v>
      </c>
      <c r="B3360" s="13" t="s">
        <v>5293</v>
      </c>
      <c r="C3360" s="13" t="s">
        <v>5292</v>
      </c>
      <c r="D3360" s="13" t="s">
        <v>34</v>
      </c>
    </row>
    <row r="3361" spans="1:4">
      <c r="A3361" s="23">
        <v>44967</v>
      </c>
      <c r="B3361" s="13" t="s">
        <v>5295</v>
      </c>
      <c r="C3361" s="13" t="s">
        <v>5294</v>
      </c>
      <c r="D3361" s="13" t="s">
        <v>109</v>
      </c>
    </row>
    <row r="3362" spans="1:4">
      <c r="A3362" s="23">
        <v>44970</v>
      </c>
      <c r="B3362" s="13" t="s">
        <v>5297</v>
      </c>
      <c r="C3362" s="13" t="s">
        <v>5296</v>
      </c>
      <c r="D3362" s="13" t="s">
        <v>109</v>
      </c>
    </row>
    <row r="3363" spans="1:4">
      <c r="A3363" s="23">
        <v>44970</v>
      </c>
      <c r="B3363" s="13" t="s">
        <v>5297</v>
      </c>
      <c r="C3363" s="13" t="s">
        <v>5296</v>
      </c>
      <c r="D3363" s="13" t="s">
        <v>109</v>
      </c>
    </row>
    <row r="3364" spans="1:4">
      <c r="A3364" s="23">
        <v>44970</v>
      </c>
      <c r="B3364" s="13" t="s">
        <v>5299</v>
      </c>
      <c r="C3364" s="13" t="s">
        <v>5298</v>
      </c>
      <c r="D3364" s="13" t="s">
        <v>109</v>
      </c>
    </row>
    <row r="3365" spans="1:4">
      <c r="A3365" s="23">
        <v>44970</v>
      </c>
      <c r="B3365" s="13" t="s">
        <v>5301</v>
      </c>
      <c r="C3365" s="13" t="s">
        <v>5300</v>
      </c>
      <c r="D3365" s="13" t="s">
        <v>34</v>
      </c>
    </row>
    <row r="3366" spans="1:4">
      <c r="A3366" s="23">
        <v>44970</v>
      </c>
      <c r="B3366" s="13" t="s">
        <v>5303</v>
      </c>
      <c r="C3366" s="13" t="s">
        <v>5302</v>
      </c>
      <c r="D3366" s="13" t="s">
        <v>34</v>
      </c>
    </row>
    <row r="3367" spans="1:4">
      <c r="A3367" s="23">
        <v>44971</v>
      </c>
      <c r="B3367" s="13" t="s">
        <v>5305</v>
      </c>
      <c r="C3367" s="13" t="s">
        <v>5304</v>
      </c>
      <c r="D3367" s="13" t="s">
        <v>345</v>
      </c>
    </row>
    <row r="3368" spans="1:4">
      <c r="A3368" s="23">
        <v>44971</v>
      </c>
      <c r="B3368" s="13" t="s">
        <v>5307</v>
      </c>
      <c r="C3368" s="13" t="s">
        <v>5306</v>
      </c>
      <c r="D3368" s="13" t="s">
        <v>34</v>
      </c>
    </row>
    <row r="3369" spans="1:4">
      <c r="A3369" s="23">
        <v>44971</v>
      </c>
      <c r="B3369" s="13" t="s">
        <v>5309</v>
      </c>
      <c r="C3369" s="13" t="s">
        <v>5308</v>
      </c>
      <c r="D3369" s="13" t="s">
        <v>34</v>
      </c>
    </row>
    <row r="3370" spans="1:4">
      <c r="A3370" s="23">
        <v>44972</v>
      </c>
      <c r="B3370" s="13" t="s">
        <v>5311</v>
      </c>
      <c r="C3370" s="13" t="s">
        <v>5310</v>
      </c>
      <c r="D3370" s="13" t="s">
        <v>8</v>
      </c>
    </row>
    <row r="3371" spans="1:4">
      <c r="A3371" s="23">
        <v>44972</v>
      </c>
      <c r="B3371" s="13" t="s">
        <v>5313</v>
      </c>
      <c r="C3371" s="13" t="s">
        <v>5312</v>
      </c>
      <c r="D3371" s="13" t="s">
        <v>8</v>
      </c>
    </row>
    <row r="3372" spans="1:4">
      <c r="A3372" s="23">
        <v>44973</v>
      </c>
      <c r="B3372" s="13" t="s">
        <v>5315</v>
      </c>
      <c r="C3372" s="13" t="s">
        <v>5314</v>
      </c>
      <c r="D3372" s="13" t="s">
        <v>11</v>
      </c>
    </row>
    <row r="3373" spans="1:4">
      <c r="A3373" s="23">
        <v>44973</v>
      </c>
      <c r="B3373" s="13" t="s">
        <v>5317</v>
      </c>
      <c r="C3373" s="13" t="s">
        <v>5316</v>
      </c>
      <c r="D3373" s="13" t="s">
        <v>11</v>
      </c>
    </row>
    <row r="3374" spans="1:4">
      <c r="A3374" s="23">
        <v>44973</v>
      </c>
      <c r="B3374" s="13" t="s">
        <v>5319</v>
      </c>
      <c r="C3374" s="13" t="s">
        <v>5318</v>
      </c>
      <c r="D3374" s="13" t="s">
        <v>109</v>
      </c>
    </row>
    <row r="3375" spans="1:4">
      <c r="A3375" s="23">
        <v>44973</v>
      </c>
      <c r="B3375" s="13" t="s">
        <v>5321</v>
      </c>
      <c r="C3375" s="13" t="s">
        <v>5320</v>
      </c>
      <c r="D3375" s="13" t="s">
        <v>11</v>
      </c>
    </row>
    <row r="3376" spans="1:4">
      <c r="A3376" s="23">
        <v>44973</v>
      </c>
      <c r="B3376" s="13" t="s">
        <v>5323</v>
      </c>
      <c r="C3376" s="13" t="s">
        <v>5322</v>
      </c>
      <c r="D3376" s="13" t="s">
        <v>109</v>
      </c>
    </row>
    <row r="3377" spans="1:4">
      <c r="A3377" s="23">
        <v>44973</v>
      </c>
      <c r="B3377" s="13" t="s">
        <v>5325</v>
      </c>
      <c r="C3377" s="13" t="s">
        <v>5324</v>
      </c>
      <c r="D3377" s="13" t="s">
        <v>109</v>
      </c>
    </row>
    <row r="3378" spans="1:4">
      <c r="A3378" s="23">
        <v>44974</v>
      </c>
      <c r="B3378" s="13" t="s">
        <v>5327</v>
      </c>
      <c r="C3378" s="13" t="s">
        <v>5326</v>
      </c>
      <c r="D3378" s="13" t="s">
        <v>109</v>
      </c>
    </row>
    <row r="3379" spans="1:4">
      <c r="A3379" s="23">
        <v>44974</v>
      </c>
      <c r="B3379" s="13" t="s">
        <v>5329</v>
      </c>
      <c r="C3379" s="13" t="s">
        <v>5328</v>
      </c>
      <c r="D3379" s="13" t="s">
        <v>109</v>
      </c>
    </row>
    <row r="3380" spans="1:4">
      <c r="A3380" s="23">
        <v>44974</v>
      </c>
      <c r="B3380" s="13" t="s">
        <v>5331</v>
      </c>
      <c r="C3380" s="13" t="s">
        <v>5330</v>
      </c>
      <c r="D3380" s="13" t="s">
        <v>109</v>
      </c>
    </row>
    <row r="3381" spans="1:4">
      <c r="A3381" s="23">
        <v>44974</v>
      </c>
      <c r="B3381" s="13" t="s">
        <v>5333</v>
      </c>
      <c r="C3381" s="13" t="s">
        <v>5332</v>
      </c>
      <c r="D3381" s="13" t="s">
        <v>109</v>
      </c>
    </row>
    <row r="3382" spans="1:4">
      <c r="A3382" s="23">
        <v>44974</v>
      </c>
      <c r="B3382" s="13" t="s">
        <v>5335</v>
      </c>
      <c r="C3382" s="13" t="s">
        <v>5334</v>
      </c>
      <c r="D3382" s="13" t="s">
        <v>74</v>
      </c>
    </row>
    <row r="3383" spans="1:4">
      <c r="A3383" s="23">
        <v>44974</v>
      </c>
      <c r="B3383" s="13" t="s">
        <v>5337</v>
      </c>
      <c r="C3383" s="13" t="s">
        <v>5336</v>
      </c>
      <c r="D3383" s="13" t="s">
        <v>34</v>
      </c>
    </row>
    <row r="3384" spans="1:4">
      <c r="A3384" s="23">
        <v>44975</v>
      </c>
      <c r="B3384" s="13" t="s">
        <v>5339</v>
      </c>
      <c r="C3384" s="13" t="s">
        <v>5338</v>
      </c>
      <c r="D3384" s="13" t="s">
        <v>109</v>
      </c>
    </row>
    <row r="3385" spans="1:4">
      <c r="A3385" s="23">
        <v>44975</v>
      </c>
      <c r="B3385" s="13" t="s">
        <v>5341</v>
      </c>
      <c r="C3385" s="13" t="s">
        <v>5340</v>
      </c>
      <c r="D3385" s="13" t="s">
        <v>11</v>
      </c>
    </row>
    <row r="3386" spans="1:4">
      <c r="A3386" s="23">
        <v>44975</v>
      </c>
      <c r="B3386" s="13" t="s">
        <v>5343</v>
      </c>
      <c r="C3386" s="13" t="s">
        <v>5342</v>
      </c>
      <c r="D3386" s="13" t="s">
        <v>29</v>
      </c>
    </row>
    <row r="3387" spans="1:4">
      <c r="A3387" s="23">
        <v>44977</v>
      </c>
      <c r="B3387" s="13" t="s">
        <v>5345</v>
      </c>
      <c r="C3387" s="13" t="s">
        <v>5344</v>
      </c>
      <c r="D3387" s="13" t="s">
        <v>5</v>
      </c>
    </row>
    <row r="3388" spans="1:4">
      <c r="A3388" s="23">
        <v>44977</v>
      </c>
      <c r="B3388" s="13" t="s">
        <v>5347</v>
      </c>
      <c r="C3388" s="13" t="s">
        <v>5346</v>
      </c>
      <c r="D3388" s="13" t="s">
        <v>109</v>
      </c>
    </row>
    <row r="3389" spans="1:4">
      <c r="A3389" s="23">
        <v>44977</v>
      </c>
      <c r="B3389" s="13" t="s">
        <v>5349</v>
      </c>
      <c r="C3389" s="13" t="s">
        <v>5348</v>
      </c>
      <c r="D3389" s="13" t="s">
        <v>34</v>
      </c>
    </row>
    <row r="3390" spans="1:4">
      <c r="A3390" s="23">
        <v>44977</v>
      </c>
      <c r="B3390" s="13" t="s">
        <v>5351</v>
      </c>
      <c r="C3390" s="13" t="s">
        <v>5350</v>
      </c>
      <c r="D3390" s="13" t="s">
        <v>5</v>
      </c>
    </row>
    <row r="3391" spans="1:4">
      <c r="A3391" s="23">
        <v>44977</v>
      </c>
      <c r="B3391" s="13" t="s">
        <v>5353</v>
      </c>
      <c r="C3391" s="13" t="s">
        <v>5352</v>
      </c>
      <c r="D3391" s="13" t="s">
        <v>5</v>
      </c>
    </row>
    <row r="3392" spans="1:4">
      <c r="A3392" s="23">
        <v>44977</v>
      </c>
      <c r="B3392" s="13" t="s">
        <v>5355</v>
      </c>
      <c r="C3392" s="13" t="s">
        <v>5354</v>
      </c>
      <c r="D3392" s="13" t="s">
        <v>34</v>
      </c>
    </row>
    <row r="3393" spans="1:4">
      <c r="A3393" s="23">
        <v>44977</v>
      </c>
      <c r="B3393" s="13" t="s">
        <v>5357</v>
      </c>
      <c r="C3393" s="13" t="s">
        <v>5356</v>
      </c>
      <c r="D3393" s="13" t="s">
        <v>5</v>
      </c>
    </row>
    <row r="3394" spans="1:4">
      <c r="A3394" s="23">
        <v>44978</v>
      </c>
      <c r="B3394" s="13" t="s">
        <v>5359</v>
      </c>
      <c r="C3394" s="13" t="s">
        <v>5358</v>
      </c>
      <c r="D3394" s="13" t="s">
        <v>109</v>
      </c>
    </row>
    <row r="3395" spans="1:4">
      <c r="A3395" s="23">
        <v>44978</v>
      </c>
      <c r="B3395" s="13" t="s">
        <v>5361</v>
      </c>
      <c r="C3395" s="13" t="s">
        <v>5360</v>
      </c>
      <c r="D3395" s="13" t="s">
        <v>109</v>
      </c>
    </row>
    <row r="3396" spans="1:4">
      <c r="A3396" s="23">
        <v>44978</v>
      </c>
      <c r="B3396" s="13" t="s">
        <v>5363</v>
      </c>
      <c r="C3396" s="13" t="s">
        <v>5362</v>
      </c>
      <c r="D3396" s="13" t="s">
        <v>74</v>
      </c>
    </row>
    <row r="3397" spans="1:4">
      <c r="A3397" s="23">
        <v>44979</v>
      </c>
      <c r="B3397" s="13" t="s">
        <v>5365</v>
      </c>
      <c r="C3397" s="13" t="s">
        <v>5364</v>
      </c>
      <c r="D3397" s="13" t="s">
        <v>74</v>
      </c>
    </row>
    <row r="3398" spans="1:4">
      <c r="A3398" s="23">
        <v>44979</v>
      </c>
      <c r="B3398" s="13" t="s">
        <v>5367</v>
      </c>
      <c r="C3398" s="13" t="s">
        <v>5366</v>
      </c>
      <c r="D3398" s="13" t="s">
        <v>74</v>
      </c>
    </row>
    <row r="3399" spans="1:4">
      <c r="A3399" s="23">
        <v>44979</v>
      </c>
      <c r="B3399" s="13" t="s">
        <v>5369</v>
      </c>
      <c r="C3399" s="13" t="s">
        <v>5368</v>
      </c>
      <c r="D3399" s="13" t="s">
        <v>109</v>
      </c>
    </row>
    <row r="3400" spans="1:4">
      <c r="A3400" s="23">
        <v>44980</v>
      </c>
      <c r="B3400" s="13" t="s">
        <v>5370</v>
      </c>
      <c r="C3400" s="13" t="s">
        <v>2856</v>
      </c>
      <c r="D3400" s="13" t="s">
        <v>109</v>
      </c>
    </row>
    <row r="3401" spans="1:4">
      <c r="A3401" s="23">
        <v>44980</v>
      </c>
      <c r="B3401" s="13" t="s">
        <v>5372</v>
      </c>
      <c r="C3401" s="13" t="s">
        <v>5371</v>
      </c>
      <c r="D3401" s="13" t="s">
        <v>109</v>
      </c>
    </row>
    <row r="3402" spans="1:4">
      <c r="A3402" s="23">
        <v>44980</v>
      </c>
      <c r="B3402" s="13" t="s">
        <v>5374</v>
      </c>
      <c r="C3402" s="13" t="s">
        <v>5373</v>
      </c>
      <c r="D3402" s="13" t="s">
        <v>109</v>
      </c>
    </row>
    <row r="3403" spans="1:4">
      <c r="A3403" s="23">
        <v>44980</v>
      </c>
      <c r="B3403" s="13" t="s">
        <v>5374</v>
      </c>
      <c r="C3403" s="13" t="s">
        <v>5373</v>
      </c>
      <c r="D3403" s="13" t="s">
        <v>109</v>
      </c>
    </row>
    <row r="3404" spans="1:4">
      <c r="A3404" s="23">
        <v>44981</v>
      </c>
      <c r="B3404" s="13" t="s">
        <v>5376</v>
      </c>
      <c r="C3404" s="13" t="s">
        <v>5375</v>
      </c>
      <c r="D3404" s="13" t="s">
        <v>109</v>
      </c>
    </row>
    <row r="3405" spans="1:4">
      <c r="A3405" s="23">
        <v>44981</v>
      </c>
      <c r="B3405" s="13" t="s">
        <v>5378</v>
      </c>
      <c r="C3405" s="13" t="s">
        <v>5377</v>
      </c>
      <c r="D3405" s="13" t="s">
        <v>109</v>
      </c>
    </row>
    <row r="3406" spans="1:4">
      <c r="A3406" s="23">
        <v>44981</v>
      </c>
      <c r="B3406" s="13" t="s">
        <v>5380</v>
      </c>
      <c r="C3406" s="13" t="s">
        <v>5379</v>
      </c>
      <c r="D3406" s="13" t="s">
        <v>109</v>
      </c>
    </row>
    <row r="3407" spans="1:4">
      <c r="A3407" s="23">
        <v>44982</v>
      </c>
      <c r="B3407" s="13" t="s">
        <v>5382</v>
      </c>
      <c r="C3407" s="13" t="s">
        <v>5381</v>
      </c>
      <c r="D3407" s="13" t="s">
        <v>74</v>
      </c>
    </row>
    <row r="3408" spans="1:4">
      <c r="A3408" s="23">
        <v>44982</v>
      </c>
      <c r="B3408" s="13" t="s">
        <v>5384</v>
      </c>
      <c r="C3408" s="13" t="s">
        <v>5383</v>
      </c>
      <c r="D3408" s="13" t="s">
        <v>34</v>
      </c>
    </row>
    <row r="3409" spans="1:4">
      <c r="A3409" s="23">
        <v>44984</v>
      </c>
      <c r="B3409" s="13" t="s">
        <v>5386</v>
      </c>
      <c r="C3409" s="13" t="s">
        <v>5385</v>
      </c>
      <c r="D3409" s="13" t="s">
        <v>29</v>
      </c>
    </row>
    <row r="3410" spans="1:4">
      <c r="A3410" s="23">
        <v>44984</v>
      </c>
      <c r="B3410" s="13" t="s">
        <v>5388</v>
      </c>
      <c r="C3410" s="13" t="s">
        <v>5387</v>
      </c>
      <c r="D3410" s="13" t="s">
        <v>29</v>
      </c>
    </row>
    <row r="3411" spans="1:4">
      <c r="A3411" s="23">
        <v>44984</v>
      </c>
      <c r="B3411" s="13" t="s">
        <v>5390</v>
      </c>
      <c r="C3411" s="13" t="s">
        <v>5389</v>
      </c>
      <c r="D3411" s="13" t="s">
        <v>109</v>
      </c>
    </row>
    <row r="3412" spans="1:4">
      <c r="A3412" s="23">
        <v>44984</v>
      </c>
      <c r="B3412" s="13" t="s">
        <v>5392</v>
      </c>
      <c r="C3412" s="13" t="s">
        <v>5391</v>
      </c>
      <c r="D3412" s="13" t="s">
        <v>29</v>
      </c>
    </row>
    <row r="3413" spans="1:4">
      <c r="A3413" s="23">
        <v>44985</v>
      </c>
      <c r="B3413" s="13" t="s">
        <v>5394</v>
      </c>
      <c r="C3413" s="13" t="s">
        <v>5393</v>
      </c>
      <c r="D3413" s="13" t="s">
        <v>109</v>
      </c>
    </row>
    <row r="3414" spans="1:4">
      <c r="A3414" s="23">
        <v>44986</v>
      </c>
      <c r="B3414" s="13" t="s">
        <v>5396</v>
      </c>
      <c r="C3414" s="13" t="s">
        <v>5395</v>
      </c>
      <c r="D3414" s="13" t="s">
        <v>29</v>
      </c>
    </row>
    <row r="3415" spans="1:4">
      <c r="A3415" s="23">
        <v>44986</v>
      </c>
      <c r="B3415" s="13" t="s">
        <v>5398</v>
      </c>
      <c r="C3415" s="13" t="s">
        <v>5397</v>
      </c>
      <c r="D3415" s="13" t="s">
        <v>29</v>
      </c>
    </row>
    <row r="3416" spans="1:4">
      <c r="A3416" s="23">
        <v>44986</v>
      </c>
      <c r="B3416" s="13" t="s">
        <v>5400</v>
      </c>
      <c r="C3416" s="13" t="s">
        <v>5399</v>
      </c>
      <c r="D3416" s="13" t="s">
        <v>19</v>
      </c>
    </row>
    <row r="3417" spans="1:4">
      <c r="A3417" s="23">
        <v>44987</v>
      </c>
      <c r="B3417" s="13" t="s">
        <v>5402</v>
      </c>
      <c r="C3417" s="13" t="s">
        <v>5401</v>
      </c>
      <c r="D3417" s="13" t="s">
        <v>109</v>
      </c>
    </row>
    <row r="3418" spans="1:4">
      <c r="A3418" s="23">
        <v>44987</v>
      </c>
      <c r="B3418" s="13" t="s">
        <v>5404</v>
      </c>
      <c r="C3418" s="13" t="s">
        <v>5403</v>
      </c>
      <c r="D3418" s="13" t="s">
        <v>109</v>
      </c>
    </row>
    <row r="3419" spans="1:4">
      <c r="A3419" s="23">
        <v>44987</v>
      </c>
      <c r="B3419" s="13" t="s">
        <v>5406</v>
      </c>
      <c r="C3419" s="13" t="s">
        <v>5405</v>
      </c>
      <c r="D3419" s="13" t="s">
        <v>109</v>
      </c>
    </row>
    <row r="3420" spans="1:4">
      <c r="A3420" s="23">
        <v>44987</v>
      </c>
      <c r="B3420" s="13" t="s">
        <v>5408</v>
      </c>
      <c r="C3420" s="13" t="s">
        <v>5407</v>
      </c>
      <c r="D3420" s="13" t="s">
        <v>109</v>
      </c>
    </row>
    <row r="3421" spans="1:4">
      <c r="A3421" s="23">
        <v>44987</v>
      </c>
      <c r="B3421" s="13" t="s">
        <v>5410</v>
      </c>
      <c r="C3421" s="13" t="s">
        <v>5409</v>
      </c>
      <c r="D3421" s="13" t="s">
        <v>109</v>
      </c>
    </row>
    <row r="3422" spans="1:4">
      <c r="A3422" s="23">
        <v>44987</v>
      </c>
      <c r="B3422" s="13" t="s">
        <v>5412</v>
      </c>
      <c r="C3422" s="13" t="s">
        <v>5411</v>
      </c>
      <c r="D3422" s="13" t="s">
        <v>29</v>
      </c>
    </row>
    <row r="3423" spans="1:4">
      <c r="A3423" s="23">
        <v>44987</v>
      </c>
      <c r="B3423" s="13" t="s">
        <v>5414</v>
      </c>
      <c r="C3423" s="13" t="s">
        <v>5413</v>
      </c>
      <c r="D3423" s="13" t="s">
        <v>345</v>
      </c>
    </row>
    <row r="3424" spans="1:4">
      <c r="A3424" s="23">
        <v>44987</v>
      </c>
      <c r="B3424" s="13" t="s">
        <v>5416</v>
      </c>
      <c r="C3424" s="13" t="s">
        <v>5415</v>
      </c>
      <c r="D3424" s="13" t="s">
        <v>109</v>
      </c>
    </row>
    <row r="3425" spans="1:4">
      <c r="A3425" s="23">
        <v>44988</v>
      </c>
      <c r="B3425" s="13" t="s">
        <v>5418</v>
      </c>
      <c r="C3425" s="13" t="s">
        <v>5417</v>
      </c>
      <c r="D3425" s="13" t="s">
        <v>353</v>
      </c>
    </row>
    <row r="3426" spans="1:4">
      <c r="A3426" s="23">
        <v>44988</v>
      </c>
      <c r="B3426" s="13" t="s">
        <v>5420</v>
      </c>
      <c r="C3426" s="13" t="s">
        <v>5419</v>
      </c>
      <c r="D3426" s="13" t="s">
        <v>353</v>
      </c>
    </row>
    <row r="3427" spans="1:4">
      <c r="A3427" s="23">
        <v>44988</v>
      </c>
      <c r="B3427" s="13" t="s">
        <v>5418</v>
      </c>
      <c r="C3427" s="13" t="s">
        <v>5417</v>
      </c>
      <c r="D3427" s="13" t="s">
        <v>353</v>
      </c>
    </row>
    <row r="3428" spans="1:4">
      <c r="A3428" s="23">
        <v>44989</v>
      </c>
      <c r="B3428" s="13" t="s">
        <v>5422</v>
      </c>
      <c r="C3428" s="13" t="s">
        <v>5421</v>
      </c>
      <c r="D3428" s="13" t="s">
        <v>34</v>
      </c>
    </row>
    <row r="3429" spans="1:4">
      <c r="A3429" s="23">
        <v>44991</v>
      </c>
      <c r="B3429" s="13" t="s">
        <v>5424</v>
      </c>
      <c r="C3429" s="13" t="s">
        <v>5423</v>
      </c>
      <c r="D3429" s="13" t="s">
        <v>34</v>
      </c>
    </row>
    <row r="3430" spans="1:4">
      <c r="A3430" s="23">
        <v>44991</v>
      </c>
      <c r="B3430" s="13" t="s">
        <v>5426</v>
      </c>
      <c r="C3430" s="13" t="s">
        <v>5425</v>
      </c>
      <c r="D3430" s="13" t="s">
        <v>109</v>
      </c>
    </row>
    <row r="3431" spans="1:4">
      <c r="A3431" s="23">
        <v>44991</v>
      </c>
      <c r="B3431" s="13" t="s">
        <v>5428</v>
      </c>
      <c r="C3431" s="13" t="s">
        <v>5427</v>
      </c>
      <c r="D3431" s="13" t="s">
        <v>109</v>
      </c>
    </row>
    <row r="3432" spans="1:4">
      <c r="A3432" s="23">
        <v>44991</v>
      </c>
      <c r="B3432" s="13" t="s">
        <v>5428</v>
      </c>
      <c r="C3432" s="13" t="s">
        <v>5427</v>
      </c>
      <c r="D3432" s="13" t="s">
        <v>109</v>
      </c>
    </row>
    <row r="3433" spans="1:4">
      <c r="A3433" s="23">
        <v>44991</v>
      </c>
      <c r="B3433" s="13" t="s">
        <v>5430</v>
      </c>
      <c r="C3433" s="13" t="s">
        <v>5429</v>
      </c>
      <c r="D3433" s="13" t="s">
        <v>345</v>
      </c>
    </row>
    <row r="3434" spans="1:4">
      <c r="A3434" s="23">
        <v>44992</v>
      </c>
      <c r="B3434" s="13" t="s">
        <v>5432</v>
      </c>
      <c r="C3434" s="13" t="s">
        <v>5431</v>
      </c>
      <c r="D3434" s="13" t="s">
        <v>34</v>
      </c>
    </row>
    <row r="3435" spans="1:4">
      <c r="A3435" s="23">
        <v>44992</v>
      </c>
      <c r="B3435" s="13" t="s">
        <v>5434</v>
      </c>
      <c r="C3435" s="13" t="s">
        <v>5433</v>
      </c>
      <c r="D3435" s="13" t="s">
        <v>34</v>
      </c>
    </row>
    <row r="3436" spans="1:4">
      <c r="A3436" s="23">
        <v>44992</v>
      </c>
      <c r="B3436" s="13" t="s">
        <v>5435</v>
      </c>
      <c r="C3436" s="18">
        <v>33352</v>
      </c>
      <c r="D3436" s="13" t="s">
        <v>109</v>
      </c>
    </row>
    <row r="3437" spans="1:4">
      <c r="A3437" s="23">
        <v>44992</v>
      </c>
      <c r="B3437" s="13" t="s">
        <v>5437</v>
      </c>
      <c r="C3437" s="13" t="s">
        <v>5436</v>
      </c>
      <c r="D3437" s="13" t="s">
        <v>109</v>
      </c>
    </row>
    <row r="3438" spans="1:4">
      <c r="A3438" s="23">
        <v>44992</v>
      </c>
      <c r="B3438" s="13" t="s">
        <v>5437</v>
      </c>
      <c r="C3438" s="13" t="s">
        <v>5436</v>
      </c>
      <c r="D3438" s="13" t="s">
        <v>109</v>
      </c>
    </row>
    <row r="3439" spans="1:4">
      <c r="A3439" s="23">
        <v>44993</v>
      </c>
      <c r="B3439" s="13" t="s">
        <v>5439</v>
      </c>
      <c r="C3439" s="13" t="s">
        <v>5438</v>
      </c>
      <c r="D3439" s="13" t="s">
        <v>29</v>
      </c>
    </row>
    <row r="3440" spans="1:4">
      <c r="A3440" s="23">
        <v>44993</v>
      </c>
      <c r="B3440" s="13" t="s">
        <v>5441</v>
      </c>
      <c r="C3440" s="13" t="s">
        <v>5440</v>
      </c>
      <c r="D3440" s="13" t="s">
        <v>345</v>
      </c>
    </row>
    <row r="3441" spans="1:4">
      <c r="A3441" s="23">
        <v>44993</v>
      </c>
      <c r="B3441" s="13" t="s">
        <v>5443</v>
      </c>
      <c r="C3441" s="13" t="s">
        <v>5442</v>
      </c>
      <c r="D3441" s="13" t="s">
        <v>109</v>
      </c>
    </row>
    <row r="3442" spans="1:4">
      <c r="A3442" s="23">
        <v>44994</v>
      </c>
      <c r="B3442" s="13" t="s">
        <v>5445</v>
      </c>
      <c r="C3442" s="13" t="s">
        <v>5444</v>
      </c>
      <c r="D3442" s="13" t="s">
        <v>34</v>
      </c>
    </row>
    <row r="3443" spans="1:4">
      <c r="A3443" s="23">
        <v>44994</v>
      </c>
      <c r="B3443" s="13" t="s">
        <v>5447</v>
      </c>
      <c r="C3443" s="13" t="s">
        <v>5446</v>
      </c>
      <c r="D3443" s="13" t="s">
        <v>345</v>
      </c>
    </row>
    <row r="3444" spans="1:4">
      <c r="A3444" s="23">
        <v>44994</v>
      </c>
      <c r="B3444" s="13" t="s">
        <v>5449</v>
      </c>
      <c r="C3444" s="13" t="s">
        <v>5448</v>
      </c>
      <c r="D3444" s="13" t="s">
        <v>29</v>
      </c>
    </row>
    <row r="3445" spans="1:4">
      <c r="A3445" s="23">
        <v>44994</v>
      </c>
      <c r="B3445" s="13" t="s">
        <v>5451</v>
      </c>
      <c r="C3445" s="13" t="s">
        <v>5450</v>
      </c>
      <c r="D3445" s="13" t="s">
        <v>109</v>
      </c>
    </row>
    <row r="3446" spans="1:4">
      <c r="A3446" s="23">
        <v>44994</v>
      </c>
      <c r="B3446" s="13" t="s">
        <v>5453</v>
      </c>
      <c r="C3446" s="13" t="s">
        <v>5452</v>
      </c>
      <c r="D3446" s="13" t="s">
        <v>216</v>
      </c>
    </row>
    <row r="3447" spans="1:4">
      <c r="A3447" s="23">
        <v>44994</v>
      </c>
      <c r="B3447" s="13" t="s">
        <v>5455</v>
      </c>
      <c r="C3447" s="13" t="s">
        <v>5454</v>
      </c>
      <c r="D3447" s="13" t="s">
        <v>216</v>
      </c>
    </row>
    <row r="3448" spans="1:4">
      <c r="A3448" s="23">
        <v>44994</v>
      </c>
      <c r="B3448" s="13" t="s">
        <v>5457</v>
      </c>
      <c r="C3448" s="13" t="s">
        <v>5456</v>
      </c>
      <c r="D3448" s="13" t="s">
        <v>216</v>
      </c>
    </row>
    <row r="3449" spans="1:4">
      <c r="A3449" s="23">
        <v>44994</v>
      </c>
      <c r="B3449" s="13" t="s">
        <v>5459</v>
      </c>
      <c r="C3449" s="13" t="s">
        <v>5458</v>
      </c>
      <c r="D3449" s="13" t="s">
        <v>216</v>
      </c>
    </row>
    <row r="3450" spans="1:4">
      <c r="A3450" s="23">
        <v>44995</v>
      </c>
      <c r="B3450" s="13" t="s">
        <v>5461</v>
      </c>
      <c r="C3450" s="13" t="s">
        <v>5460</v>
      </c>
      <c r="D3450" s="13" t="s">
        <v>5</v>
      </c>
    </row>
    <row r="3451" spans="1:4">
      <c r="A3451" s="23">
        <v>44995</v>
      </c>
      <c r="B3451" s="13" t="s">
        <v>5463</v>
      </c>
      <c r="C3451" s="13" t="s">
        <v>5462</v>
      </c>
      <c r="D3451" s="13" t="s">
        <v>5</v>
      </c>
    </row>
    <row r="3452" spans="1:4">
      <c r="A3452" s="23">
        <v>44995</v>
      </c>
      <c r="B3452" s="13" t="s">
        <v>5464</v>
      </c>
      <c r="C3452" s="13" t="s">
        <v>690</v>
      </c>
      <c r="D3452" s="13" t="s">
        <v>74</v>
      </c>
    </row>
    <row r="3453" spans="1:4">
      <c r="A3453" s="23">
        <v>44995</v>
      </c>
      <c r="B3453" s="13" t="s">
        <v>5466</v>
      </c>
      <c r="C3453" s="13" t="s">
        <v>5465</v>
      </c>
      <c r="D3453" s="13" t="s">
        <v>74</v>
      </c>
    </row>
    <row r="3454" spans="1:4">
      <c r="A3454" s="23">
        <v>44995</v>
      </c>
      <c r="B3454" s="13" t="s">
        <v>5468</v>
      </c>
      <c r="C3454" s="13" t="s">
        <v>5467</v>
      </c>
      <c r="D3454" s="13" t="s">
        <v>5</v>
      </c>
    </row>
    <row r="3455" spans="1:4">
      <c r="A3455" s="23">
        <v>44995</v>
      </c>
      <c r="B3455" s="13" t="s">
        <v>5469</v>
      </c>
      <c r="C3455" s="21">
        <v>29847</v>
      </c>
      <c r="D3455" s="13" t="s">
        <v>5</v>
      </c>
    </row>
    <row r="3456" spans="1:4">
      <c r="A3456" s="23">
        <v>44998</v>
      </c>
      <c r="B3456" s="13" t="s">
        <v>5471</v>
      </c>
      <c r="C3456" s="13" t="s">
        <v>5470</v>
      </c>
      <c r="D3456" s="13" t="s">
        <v>34</v>
      </c>
    </row>
    <row r="3457" spans="1:4">
      <c r="A3457" s="23">
        <v>44998</v>
      </c>
      <c r="B3457" s="13" t="s">
        <v>5473</v>
      </c>
      <c r="C3457" s="13" t="s">
        <v>5472</v>
      </c>
      <c r="D3457" s="13" t="s">
        <v>29</v>
      </c>
    </row>
    <row r="3458" spans="1:4">
      <c r="A3458" s="23">
        <v>44998</v>
      </c>
      <c r="B3458" s="13" t="s">
        <v>5475</v>
      </c>
      <c r="C3458" s="13" t="s">
        <v>5474</v>
      </c>
      <c r="D3458" s="13" t="s">
        <v>19</v>
      </c>
    </row>
    <row r="3459" spans="1:4">
      <c r="A3459" s="23">
        <v>44998</v>
      </c>
      <c r="B3459" s="13" t="s">
        <v>5477</v>
      </c>
      <c r="C3459" s="13" t="s">
        <v>5476</v>
      </c>
      <c r="D3459" s="13" t="s">
        <v>109</v>
      </c>
    </row>
    <row r="3460" spans="1:4">
      <c r="A3460" s="23">
        <v>44998</v>
      </c>
      <c r="B3460" s="13" t="s">
        <v>5479</v>
      </c>
      <c r="C3460" s="13" t="s">
        <v>5478</v>
      </c>
      <c r="D3460" s="13" t="s">
        <v>19</v>
      </c>
    </row>
    <row r="3461" spans="1:4">
      <c r="A3461" s="23">
        <v>44998</v>
      </c>
      <c r="B3461" s="13" t="s">
        <v>5481</v>
      </c>
      <c r="C3461" s="13" t="s">
        <v>5480</v>
      </c>
      <c r="D3461" s="13" t="s">
        <v>109</v>
      </c>
    </row>
    <row r="3462" spans="1:4">
      <c r="A3462" s="23">
        <v>44998</v>
      </c>
      <c r="B3462" s="13" t="s">
        <v>5483</v>
      </c>
      <c r="C3462" s="13" t="s">
        <v>5482</v>
      </c>
      <c r="D3462" s="13" t="s">
        <v>19</v>
      </c>
    </row>
    <row r="3463" spans="1:4">
      <c r="A3463" s="23">
        <v>44998</v>
      </c>
      <c r="B3463" s="13" t="s">
        <v>5485</v>
      </c>
      <c r="C3463" s="13" t="s">
        <v>5484</v>
      </c>
      <c r="D3463" s="13" t="s">
        <v>19</v>
      </c>
    </row>
    <row r="3464" spans="1:4">
      <c r="A3464" s="23">
        <v>44998</v>
      </c>
      <c r="B3464" s="13" t="s">
        <v>5487</v>
      </c>
      <c r="C3464" s="13" t="s">
        <v>5486</v>
      </c>
      <c r="D3464" s="13" t="s">
        <v>34</v>
      </c>
    </row>
    <row r="3465" spans="1:4">
      <c r="A3465" s="23">
        <v>44998</v>
      </c>
      <c r="B3465" s="13" t="s">
        <v>5489</v>
      </c>
      <c r="C3465" s="13" t="s">
        <v>5488</v>
      </c>
      <c r="D3465" s="13" t="s">
        <v>109</v>
      </c>
    </row>
    <row r="3466" spans="1:4">
      <c r="A3466" s="23">
        <v>44999</v>
      </c>
      <c r="B3466" s="13" t="s">
        <v>5491</v>
      </c>
      <c r="C3466" s="13" t="s">
        <v>5490</v>
      </c>
      <c r="D3466" s="13" t="s">
        <v>34</v>
      </c>
    </row>
    <row r="3467" spans="1:4">
      <c r="A3467" s="23">
        <v>44999</v>
      </c>
      <c r="B3467" s="13" t="s">
        <v>5492</v>
      </c>
      <c r="C3467" s="13" t="s">
        <v>180</v>
      </c>
      <c r="D3467" s="13" t="s">
        <v>34</v>
      </c>
    </row>
    <row r="3468" spans="1:4">
      <c r="A3468" s="23">
        <v>44999</v>
      </c>
      <c r="B3468" s="13" t="s">
        <v>5430</v>
      </c>
      <c r="C3468" s="13" t="s">
        <v>5493</v>
      </c>
      <c r="D3468" s="13" t="s">
        <v>345</v>
      </c>
    </row>
    <row r="3469" spans="1:4">
      <c r="A3469" s="23">
        <v>44999</v>
      </c>
      <c r="B3469" s="13" t="s">
        <v>5495</v>
      </c>
      <c r="C3469" s="13" t="s">
        <v>5494</v>
      </c>
      <c r="D3469" s="13" t="s">
        <v>109</v>
      </c>
    </row>
    <row r="3470" spans="1:4">
      <c r="A3470" s="23">
        <v>45000</v>
      </c>
      <c r="B3470" s="13" t="s">
        <v>5497</v>
      </c>
      <c r="C3470" s="13" t="s">
        <v>5496</v>
      </c>
      <c r="D3470" s="13" t="s">
        <v>109</v>
      </c>
    </row>
    <row r="3471" spans="1:4">
      <c r="A3471" s="23">
        <v>45000</v>
      </c>
      <c r="B3471" s="13" t="s">
        <v>5499</v>
      </c>
      <c r="C3471" s="13" t="s">
        <v>5498</v>
      </c>
      <c r="D3471" s="13" t="s">
        <v>345</v>
      </c>
    </row>
    <row r="3472" spans="1:4">
      <c r="A3472" s="23">
        <v>45000</v>
      </c>
      <c r="B3472" s="13" t="s">
        <v>5501</v>
      </c>
      <c r="C3472" s="13" t="s">
        <v>5500</v>
      </c>
      <c r="D3472" s="13" t="s">
        <v>345</v>
      </c>
    </row>
    <row r="3473" spans="1:4">
      <c r="A3473" s="23">
        <v>45000</v>
      </c>
      <c r="B3473" s="13" t="s">
        <v>5503</v>
      </c>
      <c r="C3473" s="13" t="s">
        <v>5502</v>
      </c>
      <c r="D3473" s="13" t="s">
        <v>109</v>
      </c>
    </row>
    <row r="3474" spans="1:4">
      <c r="A3474" s="23">
        <v>45000</v>
      </c>
      <c r="B3474" s="13" t="s">
        <v>5497</v>
      </c>
      <c r="C3474" s="13" t="s">
        <v>5496</v>
      </c>
      <c r="D3474" s="13" t="s">
        <v>109</v>
      </c>
    </row>
    <row r="3475" spans="1:4">
      <c r="A3475" s="23">
        <v>45000</v>
      </c>
      <c r="B3475" s="13" t="s">
        <v>5505</v>
      </c>
      <c r="C3475" s="13" t="s">
        <v>5504</v>
      </c>
      <c r="D3475" s="13" t="s">
        <v>109</v>
      </c>
    </row>
    <row r="3476" spans="1:4">
      <c r="A3476" s="23">
        <v>45001</v>
      </c>
      <c r="B3476" s="13" t="s">
        <v>5507</v>
      </c>
      <c r="C3476" s="13" t="s">
        <v>5506</v>
      </c>
      <c r="D3476" s="13" t="s">
        <v>141</v>
      </c>
    </row>
    <row r="3477" spans="1:4">
      <c r="A3477" s="23">
        <v>45001</v>
      </c>
      <c r="B3477" s="13" t="s">
        <v>5509</v>
      </c>
      <c r="C3477" s="13" t="s">
        <v>5508</v>
      </c>
      <c r="D3477" s="13" t="s">
        <v>34</v>
      </c>
    </row>
    <row r="3478" spans="1:4">
      <c r="A3478" s="23">
        <v>45001</v>
      </c>
      <c r="B3478" s="13" t="s">
        <v>5511</v>
      </c>
      <c r="C3478" s="13" t="s">
        <v>5510</v>
      </c>
      <c r="D3478" s="13" t="s">
        <v>109</v>
      </c>
    </row>
    <row r="3479" spans="1:4">
      <c r="A3479" s="23">
        <v>45001</v>
      </c>
      <c r="B3479" s="13" t="s">
        <v>5513</v>
      </c>
      <c r="C3479" s="13" t="s">
        <v>5512</v>
      </c>
      <c r="D3479" s="13" t="s">
        <v>141</v>
      </c>
    </row>
    <row r="3480" spans="1:4">
      <c r="A3480" s="23">
        <v>45001</v>
      </c>
      <c r="B3480" s="13" t="s">
        <v>5515</v>
      </c>
      <c r="C3480" s="13" t="s">
        <v>5514</v>
      </c>
      <c r="D3480" s="13" t="s">
        <v>109</v>
      </c>
    </row>
    <row r="3481" spans="1:4">
      <c r="A3481" s="23">
        <v>45001</v>
      </c>
      <c r="B3481" s="13" t="s">
        <v>5517</v>
      </c>
      <c r="C3481" s="13" t="s">
        <v>5516</v>
      </c>
      <c r="D3481" s="13" t="s">
        <v>29</v>
      </c>
    </row>
    <row r="3482" spans="1:4">
      <c r="A3482" s="23">
        <v>45002</v>
      </c>
      <c r="B3482" s="13" t="s">
        <v>5519</v>
      </c>
      <c r="C3482" s="13" t="s">
        <v>5518</v>
      </c>
      <c r="D3482" s="13" t="s">
        <v>345</v>
      </c>
    </row>
    <row r="3483" spans="1:4">
      <c r="A3483" s="23">
        <v>45002</v>
      </c>
      <c r="B3483" s="13" t="s">
        <v>5521</v>
      </c>
      <c r="C3483" s="13" t="s">
        <v>5520</v>
      </c>
      <c r="D3483" s="13" t="s">
        <v>34</v>
      </c>
    </row>
    <row r="3484" spans="1:4">
      <c r="A3484" s="23">
        <v>45002</v>
      </c>
      <c r="B3484" s="13" t="s">
        <v>5523</v>
      </c>
      <c r="C3484" s="13" t="s">
        <v>5522</v>
      </c>
      <c r="D3484" s="13" t="s">
        <v>34</v>
      </c>
    </row>
    <row r="3485" spans="1:4">
      <c r="A3485" s="23">
        <v>45003</v>
      </c>
      <c r="B3485" s="13" t="s">
        <v>5525</v>
      </c>
      <c r="C3485" s="13" t="s">
        <v>5524</v>
      </c>
      <c r="D3485" s="13" t="s">
        <v>5</v>
      </c>
    </row>
    <row r="3486" spans="1:4">
      <c r="A3486" s="23">
        <v>45003</v>
      </c>
      <c r="B3486" s="13" t="s">
        <v>5515</v>
      </c>
      <c r="C3486" s="13" t="s">
        <v>5526</v>
      </c>
      <c r="D3486" s="13" t="s">
        <v>109</v>
      </c>
    </row>
    <row r="3487" spans="1:4">
      <c r="A3487" s="23">
        <v>45003</v>
      </c>
      <c r="B3487" s="13" t="s">
        <v>5528</v>
      </c>
      <c r="C3487" s="13" t="s">
        <v>5527</v>
      </c>
      <c r="D3487" s="13" t="s">
        <v>510</v>
      </c>
    </row>
    <row r="3488" spans="1:4">
      <c r="A3488" s="23">
        <v>45003</v>
      </c>
      <c r="B3488" s="13" t="s">
        <v>5530</v>
      </c>
      <c r="C3488" s="13" t="s">
        <v>5529</v>
      </c>
      <c r="D3488" s="13" t="s">
        <v>510</v>
      </c>
    </row>
    <row r="3489" spans="1:4">
      <c r="A3489" s="23">
        <v>45004</v>
      </c>
      <c r="B3489" s="13" t="s">
        <v>5532</v>
      </c>
      <c r="C3489" s="13" t="s">
        <v>5531</v>
      </c>
      <c r="D3489" s="13" t="s">
        <v>5</v>
      </c>
    </row>
    <row r="3490" spans="1:4">
      <c r="A3490" s="23">
        <v>45004</v>
      </c>
      <c r="B3490" s="13" t="s">
        <v>5534</v>
      </c>
      <c r="C3490" s="13" t="s">
        <v>5533</v>
      </c>
      <c r="D3490" s="13" t="s">
        <v>216</v>
      </c>
    </row>
    <row r="3491" spans="1:4">
      <c r="A3491" s="23">
        <v>45004</v>
      </c>
      <c r="B3491" s="13" t="s">
        <v>5536</v>
      </c>
      <c r="C3491" s="13" t="s">
        <v>5535</v>
      </c>
      <c r="D3491" s="13" t="s">
        <v>109</v>
      </c>
    </row>
    <row r="3492" spans="1:4">
      <c r="A3492" s="23">
        <v>45004</v>
      </c>
      <c r="B3492" s="13" t="s">
        <v>5534</v>
      </c>
      <c r="C3492" s="13" t="s">
        <v>5533</v>
      </c>
      <c r="D3492" s="13" t="s">
        <v>216</v>
      </c>
    </row>
    <row r="3493" spans="1:4">
      <c r="A3493" s="23">
        <v>45004</v>
      </c>
      <c r="B3493" s="13" t="s">
        <v>5538</v>
      </c>
      <c r="C3493" s="13" t="s">
        <v>5537</v>
      </c>
      <c r="D3493" s="13" t="s">
        <v>109</v>
      </c>
    </row>
    <row r="3494" spans="1:4">
      <c r="A3494" s="23">
        <v>45004</v>
      </c>
      <c r="B3494" s="13" t="s">
        <v>5536</v>
      </c>
      <c r="C3494" s="13" t="s">
        <v>5535</v>
      </c>
      <c r="D3494" s="13" t="s">
        <v>109</v>
      </c>
    </row>
    <row r="3495" spans="1:4">
      <c r="A3495" s="23">
        <v>45005</v>
      </c>
      <c r="B3495" s="13" t="s">
        <v>5540</v>
      </c>
      <c r="C3495" s="13" t="s">
        <v>5539</v>
      </c>
      <c r="D3495" s="13" t="s">
        <v>34</v>
      </c>
    </row>
    <row r="3496" spans="1:4">
      <c r="A3496" s="23">
        <v>45005</v>
      </c>
      <c r="B3496" s="13" t="s">
        <v>5541</v>
      </c>
      <c r="C3496" s="13" t="s">
        <v>180</v>
      </c>
      <c r="D3496" s="13" t="s">
        <v>34</v>
      </c>
    </row>
    <row r="3497" spans="1:4">
      <c r="A3497" s="23">
        <v>45005</v>
      </c>
      <c r="B3497" s="13" t="s">
        <v>5543</v>
      </c>
      <c r="C3497" s="13" t="s">
        <v>5542</v>
      </c>
      <c r="D3497" s="13" t="s">
        <v>353</v>
      </c>
    </row>
    <row r="3498" spans="1:4">
      <c r="A3498" s="23">
        <v>45006</v>
      </c>
      <c r="B3498" s="13" t="s">
        <v>5544</v>
      </c>
      <c r="C3498" s="13" t="s">
        <v>3767</v>
      </c>
      <c r="D3498" s="13" t="s">
        <v>16</v>
      </c>
    </row>
    <row r="3499" spans="1:4">
      <c r="A3499" s="23">
        <v>45008</v>
      </c>
      <c r="B3499" s="13" t="s">
        <v>5546</v>
      </c>
      <c r="C3499" s="13" t="s">
        <v>5545</v>
      </c>
      <c r="D3499" s="13" t="s">
        <v>29</v>
      </c>
    </row>
    <row r="3500" spans="1:4">
      <c r="A3500" s="23">
        <v>45009</v>
      </c>
      <c r="B3500" s="13" t="s">
        <v>5548</v>
      </c>
      <c r="C3500" s="13" t="s">
        <v>5547</v>
      </c>
      <c r="D3500" s="13" t="s">
        <v>74</v>
      </c>
    </row>
    <row r="3501" spans="1:4">
      <c r="A3501" s="23">
        <v>45009</v>
      </c>
      <c r="B3501" s="13" t="s">
        <v>5550</v>
      </c>
      <c r="C3501" s="13" t="s">
        <v>5549</v>
      </c>
      <c r="D3501" s="13" t="s">
        <v>74</v>
      </c>
    </row>
    <row r="3502" spans="1:4">
      <c r="A3502" s="23">
        <v>45009</v>
      </c>
      <c r="B3502" s="13" t="s">
        <v>5552</v>
      </c>
      <c r="C3502" s="13" t="s">
        <v>5551</v>
      </c>
      <c r="D3502" s="13" t="s">
        <v>109</v>
      </c>
    </row>
    <row r="3503" spans="1:4">
      <c r="A3503" s="23">
        <v>45010</v>
      </c>
      <c r="B3503" s="13" t="s">
        <v>5554</v>
      </c>
      <c r="C3503" s="13" t="s">
        <v>5553</v>
      </c>
      <c r="D3503" s="13" t="s">
        <v>345</v>
      </c>
    </row>
    <row r="3504" spans="1:4">
      <c r="A3504" s="23">
        <v>45010</v>
      </c>
      <c r="B3504" s="13" t="s">
        <v>5556</v>
      </c>
      <c r="C3504" s="13" t="s">
        <v>5555</v>
      </c>
      <c r="D3504" s="13" t="s">
        <v>29</v>
      </c>
    </row>
    <row r="3505" spans="1:4">
      <c r="A3505" s="23">
        <v>45010</v>
      </c>
      <c r="B3505" s="13" t="s">
        <v>5558</v>
      </c>
      <c r="C3505" s="13" t="s">
        <v>5557</v>
      </c>
      <c r="D3505" s="13" t="s">
        <v>345</v>
      </c>
    </row>
    <row r="3506" spans="1:4">
      <c r="A3506" s="23">
        <v>45010</v>
      </c>
      <c r="B3506" s="13" t="s">
        <v>5560</v>
      </c>
      <c r="C3506" s="13" t="s">
        <v>5559</v>
      </c>
      <c r="D3506" s="13" t="s">
        <v>29</v>
      </c>
    </row>
    <row r="3507" spans="1:4">
      <c r="A3507" s="23">
        <v>45012</v>
      </c>
      <c r="B3507" s="13" t="s">
        <v>5562</v>
      </c>
      <c r="C3507" s="13" t="s">
        <v>5561</v>
      </c>
      <c r="D3507" s="13" t="s">
        <v>109</v>
      </c>
    </row>
    <row r="3508" spans="1:4">
      <c r="A3508" s="23">
        <v>45012</v>
      </c>
      <c r="B3508" s="13" t="s">
        <v>5564</v>
      </c>
      <c r="C3508" s="13" t="s">
        <v>5563</v>
      </c>
      <c r="D3508" s="13" t="s">
        <v>109</v>
      </c>
    </row>
    <row r="3509" spans="1:4">
      <c r="A3509" s="23">
        <v>45012</v>
      </c>
      <c r="B3509" s="13" t="s">
        <v>5566</v>
      </c>
      <c r="C3509" s="13" t="s">
        <v>5565</v>
      </c>
      <c r="D3509" s="13" t="s">
        <v>109</v>
      </c>
    </row>
    <row r="3510" spans="1:4">
      <c r="A3510" s="23">
        <v>45013</v>
      </c>
      <c r="B3510" s="13" t="s">
        <v>5568</v>
      </c>
      <c r="C3510" s="13" t="s">
        <v>5567</v>
      </c>
      <c r="D3510" s="13" t="s">
        <v>34</v>
      </c>
    </row>
    <row r="3511" spans="1:4">
      <c r="A3511" s="23">
        <v>45013</v>
      </c>
      <c r="B3511" s="13" t="s">
        <v>5570</v>
      </c>
      <c r="C3511" s="13" t="s">
        <v>5569</v>
      </c>
      <c r="D3511" s="13" t="s">
        <v>5</v>
      </c>
    </row>
    <row r="3512" spans="1:4">
      <c r="A3512" s="23">
        <v>45013</v>
      </c>
      <c r="B3512" s="13" t="s">
        <v>5572</v>
      </c>
      <c r="C3512" s="13" t="s">
        <v>5571</v>
      </c>
      <c r="D3512" s="13" t="s">
        <v>29</v>
      </c>
    </row>
    <row r="3513" spans="1:4">
      <c r="A3513" s="23">
        <v>45013</v>
      </c>
      <c r="B3513" s="13" t="s">
        <v>5574</v>
      </c>
      <c r="C3513" s="13" t="s">
        <v>5573</v>
      </c>
      <c r="D3513" s="13" t="s">
        <v>109</v>
      </c>
    </row>
    <row r="3514" spans="1:4">
      <c r="A3514" s="23">
        <v>45013</v>
      </c>
      <c r="B3514" s="13" t="s">
        <v>5576</v>
      </c>
      <c r="C3514" s="13" t="s">
        <v>5575</v>
      </c>
      <c r="D3514" s="13" t="s">
        <v>109</v>
      </c>
    </row>
    <row r="3515" spans="1:4">
      <c r="A3515" s="23">
        <v>45014</v>
      </c>
      <c r="B3515" s="13" t="s">
        <v>5578</v>
      </c>
      <c r="C3515" s="13" t="s">
        <v>5577</v>
      </c>
      <c r="D3515" s="13" t="s">
        <v>74</v>
      </c>
    </row>
    <row r="3516" spans="1:4">
      <c r="A3516" s="23">
        <v>45014</v>
      </c>
      <c r="B3516" s="13" t="s">
        <v>5580</v>
      </c>
      <c r="C3516" s="13" t="s">
        <v>5579</v>
      </c>
      <c r="D3516" s="13" t="s">
        <v>109</v>
      </c>
    </row>
    <row r="3517" spans="1:4">
      <c r="A3517" s="23">
        <v>45014</v>
      </c>
      <c r="B3517" s="13" t="s">
        <v>5582</v>
      </c>
      <c r="C3517" s="13" t="s">
        <v>5581</v>
      </c>
      <c r="D3517" s="13" t="s">
        <v>74</v>
      </c>
    </row>
    <row r="3518" spans="1:4">
      <c r="A3518" s="23">
        <v>45014</v>
      </c>
      <c r="B3518" s="13" t="s">
        <v>5584</v>
      </c>
      <c r="C3518" s="13" t="s">
        <v>5583</v>
      </c>
      <c r="D3518" s="13" t="s">
        <v>74</v>
      </c>
    </row>
    <row r="3519" spans="1:4">
      <c r="A3519" s="23">
        <v>45014</v>
      </c>
      <c r="B3519" s="13" t="s">
        <v>5586</v>
      </c>
      <c r="C3519" s="13" t="s">
        <v>5585</v>
      </c>
      <c r="D3519" s="13" t="s">
        <v>29</v>
      </c>
    </row>
    <row r="3520" spans="1:4">
      <c r="A3520" s="23">
        <v>45015</v>
      </c>
      <c r="B3520" s="13" t="s">
        <v>5588</v>
      </c>
      <c r="C3520" s="13" t="s">
        <v>5587</v>
      </c>
      <c r="D3520" s="13" t="s">
        <v>109</v>
      </c>
    </row>
    <row r="3521" spans="1:4">
      <c r="A3521" s="23">
        <v>45015</v>
      </c>
      <c r="B3521" s="13" t="s">
        <v>5590</v>
      </c>
      <c r="C3521" s="13" t="s">
        <v>5589</v>
      </c>
      <c r="D3521" s="13" t="s">
        <v>141</v>
      </c>
    </row>
    <row r="3522" spans="1:4">
      <c r="A3522" s="23">
        <v>45015</v>
      </c>
      <c r="B3522" s="13" t="s">
        <v>5592</v>
      </c>
      <c r="C3522" s="13" t="s">
        <v>5591</v>
      </c>
      <c r="D3522" s="13" t="s">
        <v>109</v>
      </c>
    </row>
    <row r="3523" spans="1:4">
      <c r="A3523" s="23">
        <v>45015</v>
      </c>
      <c r="B3523" s="13" t="s">
        <v>5594</v>
      </c>
      <c r="C3523" s="13" t="s">
        <v>5593</v>
      </c>
      <c r="D3523" s="13" t="s">
        <v>141</v>
      </c>
    </row>
    <row r="3524" spans="1:4">
      <c r="A3524" s="23">
        <v>45015</v>
      </c>
      <c r="B3524" s="13" t="s">
        <v>5596</v>
      </c>
      <c r="C3524" s="13" t="s">
        <v>5595</v>
      </c>
      <c r="D3524" s="13" t="s">
        <v>109</v>
      </c>
    </row>
    <row r="3525" spans="1:4">
      <c r="A3525" s="23">
        <v>45015</v>
      </c>
      <c r="B3525" s="13" t="s">
        <v>5598</v>
      </c>
      <c r="C3525" s="13" t="s">
        <v>5597</v>
      </c>
      <c r="D3525" s="13" t="s">
        <v>353</v>
      </c>
    </row>
    <row r="3526" spans="1:4">
      <c r="A3526" s="23">
        <v>45016</v>
      </c>
      <c r="B3526" s="13" t="s">
        <v>5600</v>
      </c>
      <c r="C3526" s="13" t="s">
        <v>5599</v>
      </c>
      <c r="D3526" s="13" t="s">
        <v>109</v>
      </c>
    </row>
    <row r="3527" spans="1:4">
      <c r="A3527" s="23">
        <v>45017</v>
      </c>
      <c r="B3527" s="13" t="s">
        <v>5602</v>
      </c>
      <c r="C3527" s="13" t="s">
        <v>5601</v>
      </c>
      <c r="D3527" s="13" t="s">
        <v>345</v>
      </c>
    </row>
    <row r="3528" spans="1:4">
      <c r="A3528" s="23">
        <v>45017</v>
      </c>
      <c r="B3528" s="13" t="s">
        <v>5604</v>
      </c>
      <c r="C3528" s="13" t="s">
        <v>5603</v>
      </c>
      <c r="D3528" s="13" t="s">
        <v>345</v>
      </c>
    </row>
    <row r="3529" spans="1:4">
      <c r="A3529" s="23">
        <v>45017</v>
      </c>
      <c r="B3529" s="13" t="s">
        <v>5604</v>
      </c>
      <c r="C3529" s="13" t="s">
        <v>5603</v>
      </c>
      <c r="D3529" s="13" t="s">
        <v>345</v>
      </c>
    </row>
    <row r="3530" spans="1:4">
      <c r="A3530" s="23">
        <v>45018</v>
      </c>
      <c r="B3530" s="13" t="s">
        <v>5606</v>
      </c>
      <c r="C3530" s="13" t="s">
        <v>5605</v>
      </c>
      <c r="D3530" s="13" t="s">
        <v>11</v>
      </c>
    </row>
    <row r="3531" spans="1:4">
      <c r="A3531" s="23">
        <v>45018</v>
      </c>
      <c r="B3531" s="13" t="s">
        <v>5606</v>
      </c>
      <c r="C3531" s="13" t="s">
        <v>5605</v>
      </c>
      <c r="D3531" s="13" t="s">
        <v>11</v>
      </c>
    </row>
    <row r="3532" spans="1:4">
      <c r="A3532" s="23">
        <v>45019</v>
      </c>
      <c r="B3532" s="13" t="s">
        <v>5608</v>
      </c>
      <c r="C3532" s="13" t="s">
        <v>5607</v>
      </c>
      <c r="D3532" s="13" t="s">
        <v>74</v>
      </c>
    </row>
    <row r="3533" spans="1:4">
      <c r="A3533" s="23">
        <v>45019</v>
      </c>
      <c r="B3533" s="13" t="s">
        <v>5610</v>
      </c>
      <c r="C3533" s="13" t="s">
        <v>5609</v>
      </c>
      <c r="D3533" s="13" t="s">
        <v>109</v>
      </c>
    </row>
    <row r="3534" spans="1:4">
      <c r="A3534" s="23">
        <v>45019</v>
      </c>
      <c r="B3534" s="13" t="s">
        <v>5610</v>
      </c>
      <c r="C3534" s="13" t="s">
        <v>5609</v>
      </c>
      <c r="D3534" s="13" t="s">
        <v>109</v>
      </c>
    </row>
    <row r="3535" spans="1:4">
      <c r="A3535" s="23">
        <v>45019</v>
      </c>
      <c r="B3535" s="13" t="s">
        <v>5612</v>
      </c>
      <c r="C3535" s="13" t="s">
        <v>5611</v>
      </c>
      <c r="D3535" s="13" t="s">
        <v>19</v>
      </c>
    </row>
    <row r="3536" spans="1:4">
      <c r="A3536" s="23">
        <v>45019</v>
      </c>
      <c r="B3536" s="13" t="s">
        <v>5614</v>
      </c>
      <c r="C3536" s="13" t="s">
        <v>5613</v>
      </c>
      <c r="D3536" s="13" t="s">
        <v>109</v>
      </c>
    </row>
    <row r="3537" spans="1:4">
      <c r="A3537" s="23">
        <v>45019</v>
      </c>
      <c r="B3537" s="13" t="s">
        <v>5616</v>
      </c>
      <c r="C3537" s="13" t="s">
        <v>5615</v>
      </c>
      <c r="D3537" s="13" t="s">
        <v>109</v>
      </c>
    </row>
    <row r="3538" spans="1:4">
      <c r="A3538" s="23">
        <v>45019</v>
      </c>
      <c r="B3538" s="13" t="s">
        <v>5618</v>
      </c>
      <c r="C3538" s="13" t="s">
        <v>5617</v>
      </c>
      <c r="D3538" s="13" t="s">
        <v>74</v>
      </c>
    </row>
    <row r="3539" spans="1:4">
      <c r="A3539" s="23">
        <v>45020</v>
      </c>
      <c r="B3539" s="13" t="s">
        <v>5620</v>
      </c>
      <c r="C3539" s="13" t="s">
        <v>5619</v>
      </c>
      <c r="D3539" s="13" t="s">
        <v>109</v>
      </c>
    </row>
    <row r="3540" spans="1:4">
      <c r="A3540" s="23">
        <v>45020</v>
      </c>
      <c r="B3540" s="13" t="s">
        <v>5622</v>
      </c>
      <c r="C3540" s="13" t="s">
        <v>5621</v>
      </c>
      <c r="D3540" s="13" t="s">
        <v>345</v>
      </c>
    </row>
    <row r="3541" spans="1:4">
      <c r="A3541" s="23">
        <v>45020</v>
      </c>
      <c r="B3541" s="13" t="s">
        <v>5623</v>
      </c>
      <c r="C3541" s="13" t="s">
        <v>1806</v>
      </c>
      <c r="D3541" s="13" t="s">
        <v>141</v>
      </c>
    </row>
    <row r="3542" spans="1:4">
      <c r="A3542" s="23">
        <v>45020</v>
      </c>
      <c r="B3542" s="13" t="s">
        <v>5625</v>
      </c>
      <c r="C3542" s="13" t="s">
        <v>5624</v>
      </c>
      <c r="D3542" s="13" t="s">
        <v>141</v>
      </c>
    </row>
    <row r="3543" spans="1:4">
      <c r="A3543" s="23">
        <v>45020</v>
      </c>
      <c r="B3543" s="13" t="s">
        <v>5578</v>
      </c>
      <c r="C3543" s="13" t="s">
        <v>5626</v>
      </c>
      <c r="D3543" s="13" t="s">
        <v>74</v>
      </c>
    </row>
    <row r="3544" spans="1:4">
      <c r="A3544" s="23">
        <v>45020</v>
      </c>
      <c r="B3544" s="13" t="s">
        <v>5628</v>
      </c>
      <c r="C3544" s="13" t="s">
        <v>5627</v>
      </c>
      <c r="D3544" s="13" t="s">
        <v>109</v>
      </c>
    </row>
    <row r="3545" spans="1:4">
      <c r="A3545" s="23">
        <v>45020</v>
      </c>
      <c r="B3545" s="13" t="s">
        <v>5630</v>
      </c>
      <c r="C3545" s="13" t="s">
        <v>5629</v>
      </c>
      <c r="D3545" s="13" t="s">
        <v>74</v>
      </c>
    </row>
    <row r="3546" spans="1:4">
      <c r="A3546" s="23">
        <v>45021</v>
      </c>
      <c r="B3546" s="13" t="s">
        <v>5632</v>
      </c>
      <c r="C3546" s="13" t="s">
        <v>5631</v>
      </c>
      <c r="D3546" s="13" t="s">
        <v>141</v>
      </c>
    </row>
    <row r="3547" spans="1:4">
      <c r="A3547" s="23">
        <v>45021</v>
      </c>
      <c r="B3547" s="13" t="s">
        <v>5634</v>
      </c>
      <c r="C3547" s="13" t="s">
        <v>5633</v>
      </c>
      <c r="D3547" s="13" t="s">
        <v>109</v>
      </c>
    </row>
    <row r="3548" spans="1:4">
      <c r="A3548" s="23">
        <v>45021</v>
      </c>
      <c r="B3548" s="13" t="s">
        <v>5636</v>
      </c>
      <c r="C3548" s="13" t="s">
        <v>5635</v>
      </c>
      <c r="D3548" s="13" t="s">
        <v>109</v>
      </c>
    </row>
    <row r="3549" spans="1:4">
      <c r="A3549" s="23">
        <v>45021</v>
      </c>
      <c r="B3549" s="13" t="s">
        <v>5637</v>
      </c>
      <c r="C3549" s="13" t="s">
        <v>5619</v>
      </c>
      <c r="D3549" s="13" t="s">
        <v>109</v>
      </c>
    </row>
    <row r="3550" spans="1:4">
      <c r="A3550" s="23">
        <v>45022</v>
      </c>
      <c r="B3550" s="13" t="s">
        <v>5639</v>
      </c>
      <c r="C3550" s="13" t="s">
        <v>5638</v>
      </c>
      <c r="D3550" s="13" t="s">
        <v>29</v>
      </c>
    </row>
    <row r="3551" spans="1:4">
      <c r="A3551" s="23">
        <v>45022</v>
      </c>
      <c r="B3551" s="13" t="s">
        <v>5641</v>
      </c>
      <c r="C3551" s="13" t="s">
        <v>5640</v>
      </c>
      <c r="D3551" s="13" t="s">
        <v>345</v>
      </c>
    </row>
    <row r="3552" spans="1:4">
      <c r="A3552" s="23">
        <v>45022</v>
      </c>
      <c r="B3552" s="13" t="s">
        <v>5643</v>
      </c>
      <c r="C3552" s="13" t="s">
        <v>5642</v>
      </c>
      <c r="D3552" s="13" t="s">
        <v>34</v>
      </c>
    </row>
    <row r="3553" spans="1:4">
      <c r="A3553" s="23">
        <v>45022</v>
      </c>
      <c r="B3553" s="13" t="s">
        <v>5645</v>
      </c>
      <c r="C3553" s="13" t="s">
        <v>5644</v>
      </c>
      <c r="D3553" s="13" t="s">
        <v>109</v>
      </c>
    </row>
    <row r="3554" spans="1:4">
      <c r="A3554" s="23">
        <v>45022</v>
      </c>
      <c r="B3554" s="13" t="s">
        <v>5647</v>
      </c>
      <c r="C3554" s="13" t="s">
        <v>5646</v>
      </c>
      <c r="D3554" s="13" t="s">
        <v>34</v>
      </c>
    </row>
    <row r="3555" spans="1:4">
      <c r="A3555" s="23">
        <v>45022</v>
      </c>
      <c r="B3555" s="13" t="s">
        <v>5649</v>
      </c>
      <c r="C3555" s="13" t="s">
        <v>5648</v>
      </c>
      <c r="D3555" s="13" t="s">
        <v>34</v>
      </c>
    </row>
    <row r="3556" spans="1:4">
      <c r="A3556" s="23">
        <v>45022</v>
      </c>
      <c r="B3556" s="13" t="s">
        <v>5651</v>
      </c>
      <c r="C3556" s="13" t="s">
        <v>5650</v>
      </c>
      <c r="D3556" s="13" t="s">
        <v>34</v>
      </c>
    </row>
    <row r="3557" spans="1:4">
      <c r="A3557" s="23">
        <v>45026</v>
      </c>
      <c r="B3557" s="13" t="s">
        <v>5653</v>
      </c>
      <c r="C3557" s="13" t="s">
        <v>5652</v>
      </c>
      <c r="D3557" s="13" t="s">
        <v>109</v>
      </c>
    </row>
    <row r="3558" spans="1:4">
      <c r="A3558" s="23">
        <v>45026</v>
      </c>
      <c r="B3558" s="13" t="s">
        <v>5655</v>
      </c>
      <c r="C3558" s="13" t="s">
        <v>5654</v>
      </c>
      <c r="D3558" s="13" t="s">
        <v>109</v>
      </c>
    </row>
    <row r="3559" spans="1:4">
      <c r="A3559" s="23">
        <v>45026</v>
      </c>
      <c r="B3559" s="13" t="s">
        <v>5657</v>
      </c>
      <c r="C3559" s="13" t="s">
        <v>5656</v>
      </c>
      <c r="D3559" s="13" t="s">
        <v>353</v>
      </c>
    </row>
    <row r="3560" spans="1:4">
      <c r="A3560" s="23">
        <v>45026</v>
      </c>
      <c r="B3560" s="13" t="s">
        <v>5659</v>
      </c>
      <c r="C3560" s="13" t="s">
        <v>5658</v>
      </c>
      <c r="D3560" s="13" t="s">
        <v>353</v>
      </c>
    </row>
    <row r="3561" spans="1:4">
      <c r="A3561" s="23">
        <v>45026</v>
      </c>
      <c r="B3561" s="13" t="s">
        <v>5661</v>
      </c>
      <c r="C3561" s="13" t="s">
        <v>5660</v>
      </c>
      <c r="D3561" s="13" t="s">
        <v>109</v>
      </c>
    </row>
    <row r="3562" spans="1:4">
      <c r="A3562" s="23">
        <v>45026</v>
      </c>
      <c r="B3562" s="13" t="s">
        <v>5663</v>
      </c>
      <c r="C3562" s="13" t="s">
        <v>5662</v>
      </c>
      <c r="D3562" s="13" t="s">
        <v>109</v>
      </c>
    </row>
    <row r="3563" spans="1:4">
      <c r="A3563" s="23">
        <v>45027</v>
      </c>
      <c r="B3563" s="13" t="s">
        <v>5665</v>
      </c>
      <c r="C3563" s="13" t="s">
        <v>5664</v>
      </c>
      <c r="D3563" s="13" t="s">
        <v>109</v>
      </c>
    </row>
    <row r="3564" spans="1:4">
      <c r="A3564" s="23">
        <v>45027</v>
      </c>
      <c r="B3564" s="13" t="s">
        <v>5666</v>
      </c>
      <c r="C3564" s="13" t="s">
        <v>5597</v>
      </c>
      <c r="D3564" s="13" t="s">
        <v>353</v>
      </c>
    </row>
    <row r="3565" spans="1:4">
      <c r="A3565" s="23">
        <v>45027</v>
      </c>
      <c r="B3565" s="13" t="s">
        <v>5668</v>
      </c>
      <c r="C3565" s="13" t="s">
        <v>5667</v>
      </c>
      <c r="D3565" s="13" t="s">
        <v>109</v>
      </c>
    </row>
    <row r="3566" spans="1:4">
      <c r="A3566" s="23">
        <v>45027</v>
      </c>
      <c r="B3566" s="13" t="s">
        <v>5670</v>
      </c>
      <c r="C3566" s="13" t="s">
        <v>5669</v>
      </c>
      <c r="D3566" s="13" t="s">
        <v>353</v>
      </c>
    </row>
    <row r="3567" spans="1:4">
      <c r="A3567" s="23">
        <v>45028</v>
      </c>
      <c r="B3567" s="13" t="s">
        <v>5672</v>
      </c>
      <c r="C3567" s="13" t="s">
        <v>5671</v>
      </c>
      <c r="D3567" s="13" t="s">
        <v>16</v>
      </c>
    </row>
    <row r="3568" spans="1:4">
      <c r="A3568" s="23">
        <v>45028</v>
      </c>
      <c r="B3568" s="13" t="s">
        <v>5674</v>
      </c>
      <c r="C3568" s="13" t="s">
        <v>5673</v>
      </c>
      <c r="D3568" s="13" t="s">
        <v>109</v>
      </c>
    </row>
    <row r="3569" spans="1:4">
      <c r="A3569" s="23">
        <v>45028</v>
      </c>
      <c r="B3569" s="13" t="s">
        <v>5676</v>
      </c>
      <c r="C3569" s="13" t="s">
        <v>5675</v>
      </c>
      <c r="D3569" s="13" t="s">
        <v>109</v>
      </c>
    </row>
    <row r="3570" spans="1:4">
      <c r="A3570" s="23">
        <v>45028</v>
      </c>
      <c r="B3570" s="13" t="s">
        <v>5678</v>
      </c>
      <c r="C3570" s="13" t="s">
        <v>5677</v>
      </c>
      <c r="D3570" s="13" t="s">
        <v>109</v>
      </c>
    </row>
    <row r="3571" spans="1:4">
      <c r="A3571" s="23">
        <v>45028</v>
      </c>
      <c r="B3571" s="13" t="s">
        <v>5680</v>
      </c>
      <c r="C3571" s="13" t="s">
        <v>5679</v>
      </c>
      <c r="D3571" s="13" t="s">
        <v>109</v>
      </c>
    </row>
    <row r="3572" spans="1:4">
      <c r="A3572" s="23">
        <v>45029</v>
      </c>
      <c r="B3572" s="13" t="s">
        <v>5682</v>
      </c>
      <c r="C3572" s="13" t="s">
        <v>5681</v>
      </c>
      <c r="D3572" s="13" t="s">
        <v>353</v>
      </c>
    </row>
    <row r="3573" spans="1:4">
      <c r="A3573" s="23">
        <v>45029</v>
      </c>
      <c r="B3573" s="13" t="s">
        <v>5684</v>
      </c>
      <c r="C3573" s="13" t="s">
        <v>5683</v>
      </c>
      <c r="D3573" s="13" t="s">
        <v>353</v>
      </c>
    </row>
    <row r="3574" spans="1:4">
      <c r="A3574" s="23">
        <v>45029</v>
      </c>
      <c r="B3574" s="13" t="s">
        <v>5686</v>
      </c>
      <c r="C3574" s="13" t="s">
        <v>5685</v>
      </c>
      <c r="D3574" s="13" t="s">
        <v>353</v>
      </c>
    </row>
    <row r="3575" spans="1:4">
      <c r="A3575" s="23">
        <v>45029</v>
      </c>
      <c r="B3575" s="13" t="s">
        <v>5688</v>
      </c>
      <c r="C3575" s="13" t="s">
        <v>5687</v>
      </c>
      <c r="D3575" s="13" t="s">
        <v>109</v>
      </c>
    </row>
    <row r="3576" spans="1:4">
      <c r="A3576" s="23">
        <v>45029</v>
      </c>
      <c r="B3576" s="13" t="s">
        <v>5690</v>
      </c>
      <c r="C3576" s="13" t="s">
        <v>5689</v>
      </c>
      <c r="D3576" s="13" t="s">
        <v>345</v>
      </c>
    </row>
    <row r="3577" spans="1:4">
      <c r="A3577" s="23">
        <v>45029</v>
      </c>
      <c r="B3577" s="13" t="s">
        <v>5692</v>
      </c>
      <c r="C3577" s="13" t="s">
        <v>5691</v>
      </c>
      <c r="D3577" s="13" t="s">
        <v>34</v>
      </c>
    </row>
    <row r="3578" spans="1:4">
      <c r="A3578" s="23">
        <v>45029</v>
      </c>
      <c r="B3578" s="13" t="s">
        <v>5694</v>
      </c>
      <c r="C3578" s="13" t="s">
        <v>5693</v>
      </c>
      <c r="D3578" s="13" t="s">
        <v>34</v>
      </c>
    </row>
    <row r="3579" spans="1:4">
      <c r="A3579" s="23">
        <v>45029</v>
      </c>
      <c r="B3579" s="13" t="s">
        <v>5696</v>
      </c>
      <c r="C3579" s="13" t="s">
        <v>5695</v>
      </c>
      <c r="D3579" s="13" t="s">
        <v>109</v>
      </c>
    </row>
    <row r="3580" spans="1:4">
      <c r="A3580" s="23">
        <v>45029</v>
      </c>
      <c r="B3580" s="13" t="s">
        <v>5698</v>
      </c>
      <c r="C3580" s="13" t="s">
        <v>5697</v>
      </c>
      <c r="D3580" s="13" t="s">
        <v>109</v>
      </c>
    </row>
    <row r="3581" spans="1:4">
      <c r="A3581" s="23">
        <v>45030</v>
      </c>
      <c r="B3581" s="13" t="s">
        <v>5700</v>
      </c>
      <c r="C3581" s="13" t="s">
        <v>5699</v>
      </c>
      <c r="D3581" s="13" t="s">
        <v>216</v>
      </c>
    </row>
    <row r="3582" spans="1:4">
      <c r="A3582" s="23">
        <v>45030</v>
      </c>
      <c r="B3582" s="13" t="s">
        <v>5702</v>
      </c>
      <c r="C3582" s="13" t="s">
        <v>5701</v>
      </c>
      <c r="D3582" s="13" t="s">
        <v>109</v>
      </c>
    </row>
    <row r="3583" spans="1:4">
      <c r="A3583" s="23">
        <v>45030</v>
      </c>
      <c r="B3583" s="13" t="s">
        <v>5704</v>
      </c>
      <c r="C3583" s="13" t="s">
        <v>5703</v>
      </c>
      <c r="D3583" s="13" t="s">
        <v>109</v>
      </c>
    </row>
    <row r="3584" spans="1:4">
      <c r="A3584" s="23">
        <v>45030</v>
      </c>
      <c r="B3584" s="13" t="s">
        <v>5706</v>
      </c>
      <c r="C3584" s="13" t="s">
        <v>5705</v>
      </c>
      <c r="D3584" s="13" t="s">
        <v>345</v>
      </c>
    </row>
    <row r="3585" spans="1:4">
      <c r="A3585" s="23">
        <v>45030</v>
      </c>
      <c r="B3585" s="13" t="s">
        <v>5708</v>
      </c>
      <c r="C3585" s="13" t="s">
        <v>5707</v>
      </c>
      <c r="D3585" s="13" t="s">
        <v>8</v>
      </c>
    </row>
    <row r="3586" spans="1:4">
      <c r="A3586" s="23">
        <v>45030</v>
      </c>
      <c r="B3586" s="13" t="s">
        <v>5710</v>
      </c>
      <c r="C3586" s="13" t="s">
        <v>5709</v>
      </c>
      <c r="D3586" s="13" t="s">
        <v>109</v>
      </c>
    </row>
    <row r="3587" spans="1:4">
      <c r="A3587" s="23">
        <v>45030</v>
      </c>
      <c r="B3587" s="13" t="s">
        <v>5712</v>
      </c>
      <c r="C3587" s="13" t="s">
        <v>5711</v>
      </c>
      <c r="D3587" s="13" t="s">
        <v>109</v>
      </c>
    </row>
    <row r="3588" spans="1:4">
      <c r="A3588" s="23">
        <v>45030</v>
      </c>
      <c r="B3588" s="13" t="s">
        <v>5714</v>
      </c>
      <c r="C3588" s="13" t="s">
        <v>5713</v>
      </c>
      <c r="D3588" s="13" t="s">
        <v>109</v>
      </c>
    </row>
    <row r="3589" spans="1:4">
      <c r="A3589" s="23">
        <v>45030</v>
      </c>
      <c r="B3589" s="13" t="s">
        <v>5706</v>
      </c>
      <c r="C3589" s="13" t="s">
        <v>5705</v>
      </c>
      <c r="D3589" s="13" t="s">
        <v>345</v>
      </c>
    </row>
    <row r="3590" spans="1:4">
      <c r="A3590" s="23">
        <v>45032</v>
      </c>
      <c r="B3590" s="13" t="s">
        <v>5716</v>
      </c>
      <c r="C3590" s="13" t="s">
        <v>5715</v>
      </c>
      <c r="D3590" s="13" t="s">
        <v>109</v>
      </c>
    </row>
    <row r="3591" spans="1:4">
      <c r="A3591" s="23">
        <v>45032</v>
      </c>
      <c r="B3591" s="13" t="s">
        <v>5718</v>
      </c>
      <c r="C3591" s="13" t="s">
        <v>5717</v>
      </c>
      <c r="D3591" s="13" t="s">
        <v>109</v>
      </c>
    </row>
    <row r="3592" spans="1:4">
      <c r="A3592" s="23">
        <v>45032</v>
      </c>
      <c r="B3592" s="13" t="s">
        <v>5719</v>
      </c>
      <c r="C3592" s="13" t="s">
        <v>5597</v>
      </c>
      <c r="D3592" s="13" t="s">
        <v>353</v>
      </c>
    </row>
    <row r="3593" spans="1:4">
      <c r="A3593" s="23">
        <v>45033</v>
      </c>
      <c r="B3593" s="13" t="s">
        <v>5720</v>
      </c>
      <c r="C3593" s="13" t="s">
        <v>5660</v>
      </c>
      <c r="D3593" s="13" t="s">
        <v>109</v>
      </c>
    </row>
    <row r="3594" spans="1:4">
      <c r="A3594" s="23">
        <v>45033</v>
      </c>
      <c r="B3594" s="13" t="s">
        <v>5721</v>
      </c>
      <c r="C3594" s="13" t="s">
        <v>2856</v>
      </c>
      <c r="D3594" s="13" t="s">
        <v>5</v>
      </c>
    </row>
    <row r="3595" spans="1:4">
      <c r="A3595" s="23">
        <v>45033</v>
      </c>
      <c r="B3595" s="13" t="s">
        <v>5723</v>
      </c>
      <c r="C3595" s="13" t="s">
        <v>5722</v>
      </c>
      <c r="D3595" s="13" t="s">
        <v>5</v>
      </c>
    </row>
    <row r="3596" spans="1:4">
      <c r="A3596" s="23">
        <v>45033</v>
      </c>
      <c r="B3596" s="13" t="s">
        <v>5655</v>
      </c>
      <c r="C3596" s="13" t="s">
        <v>5654</v>
      </c>
      <c r="D3596" s="13" t="s">
        <v>109</v>
      </c>
    </row>
    <row r="3597" spans="1:4">
      <c r="A3597" s="23">
        <v>45034</v>
      </c>
      <c r="B3597" s="13" t="s">
        <v>5725</v>
      </c>
      <c r="C3597" s="13" t="s">
        <v>5724</v>
      </c>
      <c r="D3597" s="13" t="s">
        <v>109</v>
      </c>
    </row>
    <row r="3598" spans="1:4">
      <c r="A3598" s="23">
        <v>45034</v>
      </c>
      <c r="B3598" s="13" t="s">
        <v>5727</v>
      </c>
      <c r="C3598" s="13" t="s">
        <v>5726</v>
      </c>
      <c r="D3598" s="13" t="s">
        <v>109</v>
      </c>
    </row>
    <row r="3599" spans="1:4">
      <c r="A3599" s="23">
        <v>45034</v>
      </c>
      <c r="B3599" s="13" t="s">
        <v>5729</v>
      </c>
      <c r="C3599" s="13" t="s">
        <v>5728</v>
      </c>
      <c r="D3599" s="13" t="s">
        <v>109</v>
      </c>
    </row>
    <row r="3600" spans="1:4">
      <c r="A3600" s="23">
        <v>45034</v>
      </c>
      <c r="B3600" s="13" t="s">
        <v>5731</v>
      </c>
      <c r="C3600" s="13" t="s">
        <v>5730</v>
      </c>
      <c r="D3600" s="13" t="s">
        <v>34</v>
      </c>
    </row>
    <row r="3601" spans="1:4">
      <c r="A3601" s="23">
        <v>45034</v>
      </c>
      <c r="B3601" s="13" t="s">
        <v>5733</v>
      </c>
      <c r="C3601" s="13" t="s">
        <v>5732</v>
      </c>
      <c r="D3601" s="13" t="s">
        <v>109</v>
      </c>
    </row>
    <row r="3602" spans="1:4">
      <c r="A3602" s="23">
        <v>45034</v>
      </c>
      <c r="B3602" s="13" t="s">
        <v>5735</v>
      </c>
      <c r="C3602" s="13" t="s">
        <v>5734</v>
      </c>
      <c r="D3602" s="13" t="s">
        <v>34</v>
      </c>
    </row>
    <row r="3603" spans="1:4">
      <c r="A3603" s="23">
        <v>45034</v>
      </c>
      <c r="B3603" s="13" t="s">
        <v>5736</v>
      </c>
      <c r="C3603" s="13" t="s">
        <v>5354</v>
      </c>
      <c r="D3603" s="13" t="s">
        <v>34</v>
      </c>
    </row>
    <row r="3604" spans="1:4">
      <c r="A3604" s="23">
        <v>45035</v>
      </c>
      <c r="B3604" s="13" t="s">
        <v>5738</v>
      </c>
      <c r="C3604" s="13" t="s">
        <v>5737</v>
      </c>
      <c r="D3604" s="13" t="s">
        <v>34</v>
      </c>
    </row>
    <row r="3605" spans="1:4">
      <c r="A3605" s="23">
        <v>45035</v>
      </c>
      <c r="B3605" s="13" t="s">
        <v>5736</v>
      </c>
      <c r="C3605" s="13" t="s">
        <v>695</v>
      </c>
      <c r="D3605" s="13" t="s">
        <v>34</v>
      </c>
    </row>
    <row r="3606" spans="1:4">
      <c r="A3606" s="23">
        <v>45035</v>
      </c>
      <c r="B3606" s="13" t="s">
        <v>5740</v>
      </c>
      <c r="C3606" s="13" t="s">
        <v>5739</v>
      </c>
      <c r="D3606" s="13" t="s">
        <v>109</v>
      </c>
    </row>
    <row r="3607" spans="1:4">
      <c r="A3607" s="23">
        <v>45035</v>
      </c>
      <c r="B3607" s="13" t="s">
        <v>5742</v>
      </c>
      <c r="C3607" s="13" t="s">
        <v>5741</v>
      </c>
      <c r="D3607" s="13" t="s">
        <v>109</v>
      </c>
    </row>
    <row r="3608" spans="1:4">
      <c r="A3608" s="23">
        <v>45035</v>
      </c>
      <c r="B3608" s="13" t="s">
        <v>5744</v>
      </c>
      <c r="C3608" s="13" t="s">
        <v>5743</v>
      </c>
      <c r="D3608" s="13" t="s">
        <v>109</v>
      </c>
    </row>
    <row r="3609" spans="1:4">
      <c r="A3609" s="23">
        <v>45036</v>
      </c>
      <c r="B3609" s="13" t="s">
        <v>5744</v>
      </c>
      <c r="C3609" s="13" t="s">
        <v>5743</v>
      </c>
      <c r="D3609" s="13" t="s">
        <v>109</v>
      </c>
    </row>
    <row r="3610" spans="1:4">
      <c r="A3610" s="23">
        <v>45036</v>
      </c>
      <c r="B3610" s="13" t="s">
        <v>5746</v>
      </c>
      <c r="C3610" s="13" t="s">
        <v>5745</v>
      </c>
      <c r="D3610" s="13" t="s">
        <v>109</v>
      </c>
    </row>
    <row r="3611" spans="1:4">
      <c r="A3611" s="23">
        <v>45036</v>
      </c>
      <c r="B3611" s="13" t="s">
        <v>5748</v>
      </c>
      <c r="C3611" s="13" t="s">
        <v>5747</v>
      </c>
      <c r="D3611" s="13" t="s">
        <v>109</v>
      </c>
    </row>
    <row r="3612" spans="1:4">
      <c r="A3612" s="23">
        <v>45036</v>
      </c>
      <c r="B3612" s="13" t="s">
        <v>5750</v>
      </c>
      <c r="C3612" s="13" t="s">
        <v>5749</v>
      </c>
      <c r="D3612" s="13" t="s">
        <v>109</v>
      </c>
    </row>
    <row r="3613" spans="1:4">
      <c r="A3613" s="23">
        <v>45036</v>
      </c>
      <c r="B3613" s="13" t="s">
        <v>5752</v>
      </c>
      <c r="C3613" s="13" t="s">
        <v>5751</v>
      </c>
      <c r="D3613" s="13" t="s">
        <v>109</v>
      </c>
    </row>
    <row r="3614" spans="1:4">
      <c r="A3614" s="23">
        <v>45036</v>
      </c>
      <c r="B3614" s="13" t="s">
        <v>5754</v>
      </c>
      <c r="C3614" s="13" t="s">
        <v>5753</v>
      </c>
      <c r="D3614" s="13" t="s">
        <v>109</v>
      </c>
    </row>
    <row r="3615" spans="1:4">
      <c r="A3615" s="23">
        <v>45036</v>
      </c>
      <c r="B3615" s="13" t="s">
        <v>5756</v>
      </c>
      <c r="C3615" s="13" t="s">
        <v>5755</v>
      </c>
      <c r="D3615" s="13" t="s">
        <v>109</v>
      </c>
    </row>
    <row r="3616" spans="1:4">
      <c r="A3616" s="23">
        <v>45036</v>
      </c>
      <c r="B3616" s="13" t="s">
        <v>5758</v>
      </c>
      <c r="C3616" s="13" t="s">
        <v>5757</v>
      </c>
      <c r="D3616" s="13" t="s">
        <v>34</v>
      </c>
    </row>
    <row r="3617" spans="1:4">
      <c r="A3617" s="23">
        <v>45037</v>
      </c>
      <c r="B3617" s="13" t="s">
        <v>5710</v>
      </c>
      <c r="C3617" s="13" t="s">
        <v>5709</v>
      </c>
      <c r="D3617" s="13" t="s">
        <v>109</v>
      </c>
    </row>
    <row r="3618" spans="1:4">
      <c r="A3618" s="23">
        <v>45037</v>
      </c>
      <c r="B3618" s="13" t="s">
        <v>5760</v>
      </c>
      <c r="C3618" s="13" t="s">
        <v>5759</v>
      </c>
      <c r="D3618" s="13" t="s">
        <v>109</v>
      </c>
    </row>
    <row r="3619" spans="1:4">
      <c r="A3619" s="23">
        <v>45037</v>
      </c>
      <c r="B3619" s="13" t="s">
        <v>5762</v>
      </c>
      <c r="C3619" s="13" t="s">
        <v>5761</v>
      </c>
      <c r="D3619" s="13" t="s">
        <v>109</v>
      </c>
    </row>
    <row r="3620" spans="1:4">
      <c r="A3620" s="23">
        <v>45037</v>
      </c>
      <c r="B3620" s="13" t="s">
        <v>5764</v>
      </c>
      <c r="C3620" s="13" t="s">
        <v>5763</v>
      </c>
      <c r="D3620" s="13" t="s">
        <v>109</v>
      </c>
    </row>
    <row r="3621" spans="1:4">
      <c r="A3621" s="23">
        <v>45037</v>
      </c>
      <c r="B3621" s="13" t="s">
        <v>5766</v>
      </c>
      <c r="C3621" s="13" t="s">
        <v>5765</v>
      </c>
      <c r="D3621" s="13" t="s">
        <v>345</v>
      </c>
    </row>
    <row r="3622" spans="1:4">
      <c r="A3622" s="23">
        <v>45037</v>
      </c>
      <c r="B3622" s="13" t="s">
        <v>5768</v>
      </c>
      <c r="C3622" s="13" t="s">
        <v>5767</v>
      </c>
      <c r="D3622" s="13" t="s">
        <v>109</v>
      </c>
    </row>
    <row r="3623" spans="1:4">
      <c r="A3623" s="23">
        <v>45037</v>
      </c>
      <c r="B3623" s="13" t="s">
        <v>5770</v>
      </c>
      <c r="C3623" s="13" t="s">
        <v>5769</v>
      </c>
      <c r="D3623" s="13" t="s">
        <v>164</v>
      </c>
    </row>
    <row r="3624" spans="1:4">
      <c r="A3624" s="23">
        <v>45037</v>
      </c>
      <c r="B3624" s="13" t="s">
        <v>5760</v>
      </c>
      <c r="C3624" s="13" t="s">
        <v>5759</v>
      </c>
      <c r="D3624" s="13" t="s">
        <v>109</v>
      </c>
    </row>
    <row r="3625" spans="1:4">
      <c r="A3625" s="23">
        <v>45038</v>
      </c>
      <c r="B3625" s="13" t="s">
        <v>5772</v>
      </c>
      <c r="C3625" s="13" t="s">
        <v>5771</v>
      </c>
      <c r="D3625" s="13" t="s">
        <v>510</v>
      </c>
    </row>
    <row r="3626" spans="1:4">
      <c r="A3626" s="23">
        <v>45038</v>
      </c>
      <c r="B3626" s="13" t="s">
        <v>5774</v>
      </c>
      <c r="C3626" s="13" t="s">
        <v>5773</v>
      </c>
      <c r="D3626" s="13" t="s">
        <v>510</v>
      </c>
    </row>
    <row r="3627" spans="1:4">
      <c r="A3627" s="23">
        <v>45040</v>
      </c>
      <c r="B3627" s="13" t="s">
        <v>5776</v>
      </c>
      <c r="C3627" s="13" t="s">
        <v>5775</v>
      </c>
      <c r="D3627" s="13" t="s">
        <v>74</v>
      </c>
    </row>
    <row r="3628" spans="1:4">
      <c r="A3628" s="23">
        <v>45040</v>
      </c>
      <c r="B3628" s="13" t="s">
        <v>5778</v>
      </c>
      <c r="C3628" s="13" t="s">
        <v>5777</v>
      </c>
      <c r="D3628" s="13" t="s">
        <v>109</v>
      </c>
    </row>
    <row r="3629" spans="1:4">
      <c r="A3629" s="23">
        <v>45040</v>
      </c>
      <c r="B3629" s="13" t="s">
        <v>5780</v>
      </c>
      <c r="C3629" s="13" t="s">
        <v>5779</v>
      </c>
      <c r="D3629" s="13" t="s">
        <v>109</v>
      </c>
    </row>
    <row r="3630" spans="1:4">
      <c r="A3630" s="23">
        <v>45040</v>
      </c>
      <c r="B3630" s="13" t="s">
        <v>5780</v>
      </c>
      <c r="C3630" s="13" t="s">
        <v>5779</v>
      </c>
      <c r="D3630" s="13" t="s">
        <v>109</v>
      </c>
    </row>
    <row r="3631" spans="1:4">
      <c r="A3631" s="23">
        <v>45040</v>
      </c>
      <c r="B3631" s="13" t="s">
        <v>5782</v>
      </c>
      <c r="C3631" s="13" t="s">
        <v>5781</v>
      </c>
      <c r="D3631" s="13" t="s">
        <v>109</v>
      </c>
    </row>
    <row r="3632" spans="1:4">
      <c r="A3632" s="23">
        <v>45040</v>
      </c>
      <c r="B3632" s="13" t="s">
        <v>5783</v>
      </c>
      <c r="C3632" s="13" t="s">
        <v>5759</v>
      </c>
      <c r="D3632" s="13" t="s">
        <v>109</v>
      </c>
    </row>
    <row r="3633" spans="1:4">
      <c r="A3633" s="23">
        <v>45040</v>
      </c>
      <c r="B3633" s="13" t="s">
        <v>5785</v>
      </c>
      <c r="C3633" s="13" t="s">
        <v>5784</v>
      </c>
      <c r="D3633" s="13" t="s">
        <v>29</v>
      </c>
    </row>
    <row r="3634" spans="1:4">
      <c r="A3634" s="23">
        <v>45040</v>
      </c>
      <c r="B3634" s="13" t="s">
        <v>5787</v>
      </c>
      <c r="C3634" s="13" t="s">
        <v>5786</v>
      </c>
      <c r="D3634" s="13" t="s">
        <v>109</v>
      </c>
    </row>
    <row r="3635" spans="1:4">
      <c r="A3635" s="23">
        <v>45041</v>
      </c>
      <c r="B3635" s="13" t="s">
        <v>5789</v>
      </c>
      <c r="C3635" s="13" t="s">
        <v>5788</v>
      </c>
      <c r="D3635" s="13" t="s">
        <v>19</v>
      </c>
    </row>
    <row r="3636" spans="1:4">
      <c r="A3636" s="23">
        <v>45041</v>
      </c>
      <c r="B3636" s="13" t="s">
        <v>5789</v>
      </c>
      <c r="C3636" s="13" t="s">
        <v>5788</v>
      </c>
      <c r="D3636" s="13" t="s">
        <v>19</v>
      </c>
    </row>
    <row r="3637" spans="1:4">
      <c r="A3637" s="23">
        <v>45041</v>
      </c>
      <c r="B3637" s="13" t="s">
        <v>5791</v>
      </c>
      <c r="C3637" s="13" t="s">
        <v>5790</v>
      </c>
      <c r="D3637" s="13" t="s">
        <v>109</v>
      </c>
    </row>
    <row r="3638" spans="1:4">
      <c r="A3638" s="23">
        <v>45041</v>
      </c>
      <c r="B3638" s="13" t="s">
        <v>5793</v>
      </c>
      <c r="C3638" s="13" t="s">
        <v>5792</v>
      </c>
      <c r="D3638" s="13" t="s">
        <v>109</v>
      </c>
    </row>
    <row r="3639" spans="1:4">
      <c r="A3639" s="23">
        <v>45041</v>
      </c>
      <c r="B3639" s="13" t="s">
        <v>5795</v>
      </c>
      <c r="C3639" s="13" t="s">
        <v>5794</v>
      </c>
      <c r="D3639" s="13" t="s">
        <v>19</v>
      </c>
    </row>
    <row r="3640" spans="1:4">
      <c r="A3640" s="23">
        <v>45041</v>
      </c>
      <c r="B3640" s="13" t="s">
        <v>5797</v>
      </c>
      <c r="C3640" s="13" t="s">
        <v>5796</v>
      </c>
      <c r="D3640" s="13" t="s">
        <v>74</v>
      </c>
    </row>
    <row r="3641" spans="1:4">
      <c r="A3641" s="23">
        <v>45041</v>
      </c>
      <c r="B3641" s="13" t="s">
        <v>5799</v>
      </c>
      <c r="C3641" s="13" t="s">
        <v>5798</v>
      </c>
      <c r="D3641" s="13" t="s">
        <v>109</v>
      </c>
    </row>
    <row r="3642" spans="1:4">
      <c r="A3642" s="23">
        <v>45041</v>
      </c>
      <c r="B3642" s="13" t="s">
        <v>5801</v>
      </c>
      <c r="C3642" s="13" t="s">
        <v>5800</v>
      </c>
      <c r="D3642" s="13" t="s">
        <v>109</v>
      </c>
    </row>
    <row r="3643" spans="1:4">
      <c r="A3643" s="23">
        <v>45041</v>
      </c>
      <c r="B3643" s="13" t="s">
        <v>5803</v>
      </c>
      <c r="C3643" s="13" t="s">
        <v>5802</v>
      </c>
      <c r="D3643" s="13" t="s">
        <v>109</v>
      </c>
    </row>
    <row r="3644" spans="1:4">
      <c r="A3644" s="23">
        <v>45041</v>
      </c>
      <c r="B3644" s="13" t="s">
        <v>5805</v>
      </c>
      <c r="C3644" s="13" t="s">
        <v>5804</v>
      </c>
      <c r="D3644" s="13" t="s">
        <v>19</v>
      </c>
    </row>
    <row r="3645" spans="1:4">
      <c r="A3645" s="23">
        <v>45041</v>
      </c>
      <c r="B3645" s="13" t="s">
        <v>5807</v>
      </c>
      <c r="C3645" s="13" t="s">
        <v>5806</v>
      </c>
      <c r="D3645" s="13" t="s">
        <v>109</v>
      </c>
    </row>
    <row r="3646" spans="1:4">
      <c r="A3646" s="23">
        <v>45042</v>
      </c>
      <c r="B3646" s="13" t="s">
        <v>5808</v>
      </c>
      <c r="C3646" s="13" t="s">
        <v>1806</v>
      </c>
      <c r="D3646" s="13" t="s">
        <v>141</v>
      </c>
    </row>
    <row r="3647" spans="1:4">
      <c r="A3647" s="23">
        <v>45042</v>
      </c>
      <c r="B3647" s="13" t="s">
        <v>5810</v>
      </c>
      <c r="C3647" s="13" t="s">
        <v>5809</v>
      </c>
      <c r="D3647" s="13" t="s">
        <v>74</v>
      </c>
    </row>
    <row r="3648" spans="1:4">
      <c r="A3648" s="23">
        <v>45042</v>
      </c>
      <c r="B3648" s="13" t="s">
        <v>5811</v>
      </c>
      <c r="C3648" s="13" t="s">
        <v>463</v>
      </c>
      <c r="D3648" s="13" t="s">
        <v>74</v>
      </c>
    </row>
    <row r="3649" spans="1:4">
      <c r="A3649" s="23">
        <v>45042</v>
      </c>
      <c r="B3649" s="13" t="s">
        <v>5813</v>
      </c>
      <c r="C3649" s="13" t="s">
        <v>5812</v>
      </c>
      <c r="D3649" s="13" t="s">
        <v>216</v>
      </c>
    </row>
    <row r="3650" spans="1:4">
      <c r="A3650" s="23">
        <v>45042</v>
      </c>
      <c r="B3650" s="13" t="s">
        <v>5815</v>
      </c>
      <c r="C3650" s="13" t="s">
        <v>5814</v>
      </c>
      <c r="D3650" s="13" t="s">
        <v>216</v>
      </c>
    </row>
    <row r="3651" spans="1:4">
      <c r="A3651" s="23">
        <v>45042</v>
      </c>
      <c r="B3651" s="13" t="s">
        <v>5817</v>
      </c>
      <c r="C3651" s="13" t="s">
        <v>5816</v>
      </c>
      <c r="D3651" s="13" t="s">
        <v>109</v>
      </c>
    </row>
    <row r="3652" spans="1:4">
      <c r="A3652" s="23">
        <v>45042</v>
      </c>
      <c r="B3652" s="13" t="s">
        <v>5819</v>
      </c>
      <c r="C3652" s="13" t="s">
        <v>5818</v>
      </c>
      <c r="D3652" s="13" t="s">
        <v>29</v>
      </c>
    </row>
    <row r="3653" spans="1:4">
      <c r="A3653" s="23">
        <v>45042</v>
      </c>
      <c r="B3653" s="13" t="s">
        <v>5821</v>
      </c>
      <c r="C3653" s="13" t="s">
        <v>5820</v>
      </c>
      <c r="D3653" s="13" t="s">
        <v>16</v>
      </c>
    </row>
    <row r="3654" spans="1:4">
      <c r="A3654" s="23">
        <v>45042</v>
      </c>
      <c r="B3654" s="13" t="s">
        <v>5823</v>
      </c>
      <c r="C3654" s="13" t="s">
        <v>5822</v>
      </c>
      <c r="D3654" s="13" t="s">
        <v>109</v>
      </c>
    </row>
    <row r="3655" spans="1:4">
      <c r="A3655" s="23">
        <v>45042</v>
      </c>
      <c r="B3655" s="13" t="s">
        <v>5825</v>
      </c>
      <c r="C3655" s="13" t="s">
        <v>5824</v>
      </c>
      <c r="D3655" s="13" t="s">
        <v>74</v>
      </c>
    </row>
    <row r="3656" spans="1:4">
      <c r="A3656" s="23">
        <v>45042</v>
      </c>
      <c r="B3656" s="13" t="s">
        <v>5827</v>
      </c>
      <c r="C3656" s="13" t="s">
        <v>5826</v>
      </c>
      <c r="D3656" s="13" t="s">
        <v>216</v>
      </c>
    </row>
    <row r="3657" spans="1:4">
      <c r="A3657" s="23">
        <v>45042</v>
      </c>
      <c r="B3657" s="13" t="s">
        <v>5829</v>
      </c>
      <c r="C3657" s="13" t="s">
        <v>5828</v>
      </c>
      <c r="D3657" s="13" t="s">
        <v>109</v>
      </c>
    </row>
    <row r="3658" spans="1:4">
      <c r="A3658" s="23">
        <v>45042</v>
      </c>
      <c r="B3658" s="13" t="s">
        <v>5831</v>
      </c>
      <c r="C3658" s="13" t="s">
        <v>5830</v>
      </c>
      <c r="D3658" s="13" t="s">
        <v>109</v>
      </c>
    </row>
    <row r="3659" spans="1:4">
      <c r="A3659" s="23">
        <v>45042</v>
      </c>
      <c r="B3659" s="13" t="s">
        <v>5832</v>
      </c>
      <c r="C3659" s="13" t="s">
        <v>1322</v>
      </c>
      <c r="D3659" s="13" t="s">
        <v>353</v>
      </c>
    </row>
    <row r="3660" spans="1:4">
      <c r="A3660" s="23">
        <v>45043</v>
      </c>
      <c r="B3660" s="13" t="s">
        <v>5834</v>
      </c>
      <c r="C3660" s="13" t="s">
        <v>5833</v>
      </c>
      <c r="D3660" s="13" t="s">
        <v>34</v>
      </c>
    </row>
    <row r="3661" spans="1:4">
      <c r="A3661" s="23">
        <v>45043</v>
      </c>
      <c r="B3661" s="13" t="s">
        <v>5836</v>
      </c>
      <c r="C3661" s="13" t="s">
        <v>5835</v>
      </c>
      <c r="D3661" s="13" t="s">
        <v>5</v>
      </c>
    </row>
    <row r="3662" spans="1:4">
      <c r="A3662" s="23">
        <v>45043</v>
      </c>
      <c r="B3662" s="13" t="s">
        <v>5838</v>
      </c>
      <c r="C3662" s="13" t="s">
        <v>5837</v>
      </c>
      <c r="D3662" s="13" t="s">
        <v>8</v>
      </c>
    </row>
    <row r="3663" spans="1:4">
      <c r="A3663" s="23">
        <v>45043</v>
      </c>
      <c r="B3663" s="13" t="s">
        <v>5836</v>
      </c>
      <c r="C3663" s="13" t="s">
        <v>5835</v>
      </c>
      <c r="D3663" s="13" t="s">
        <v>5</v>
      </c>
    </row>
    <row r="3664" spans="1:4">
      <c r="A3664" s="23">
        <v>45043</v>
      </c>
      <c r="B3664" s="13" t="s">
        <v>5840</v>
      </c>
      <c r="C3664" s="13" t="s">
        <v>5839</v>
      </c>
      <c r="D3664" s="13" t="s">
        <v>109</v>
      </c>
    </row>
    <row r="3665" spans="1:4">
      <c r="A3665" s="23">
        <v>45043</v>
      </c>
      <c r="B3665" s="13" t="s">
        <v>5842</v>
      </c>
      <c r="C3665" s="13" t="s">
        <v>5841</v>
      </c>
      <c r="D3665" s="13" t="s">
        <v>5</v>
      </c>
    </row>
    <row r="3666" spans="1:4">
      <c r="A3666" s="23">
        <v>45043</v>
      </c>
      <c r="B3666" s="13" t="s">
        <v>5844</v>
      </c>
      <c r="C3666" s="13" t="s">
        <v>5843</v>
      </c>
      <c r="D3666" s="13" t="s">
        <v>19</v>
      </c>
    </row>
    <row r="3667" spans="1:4">
      <c r="A3667" s="23">
        <v>45043</v>
      </c>
      <c r="B3667" s="13" t="s">
        <v>5651</v>
      </c>
      <c r="C3667" s="13" t="s">
        <v>5845</v>
      </c>
      <c r="D3667" s="13" t="s">
        <v>34</v>
      </c>
    </row>
    <row r="3668" spans="1:4">
      <c r="A3668" s="23">
        <v>45043</v>
      </c>
      <c r="B3668" s="13" t="s">
        <v>5847</v>
      </c>
      <c r="C3668" s="13" t="s">
        <v>5846</v>
      </c>
      <c r="D3668" s="13" t="s">
        <v>74</v>
      </c>
    </row>
    <row r="3669" spans="1:4">
      <c r="A3669" s="23">
        <v>45043</v>
      </c>
      <c r="B3669" s="13" t="s">
        <v>5849</v>
      </c>
      <c r="C3669" s="13" t="s">
        <v>5848</v>
      </c>
      <c r="D3669" s="13" t="s">
        <v>74</v>
      </c>
    </row>
    <row r="3670" spans="1:4">
      <c r="A3670" s="23">
        <v>45043</v>
      </c>
      <c r="B3670" s="13" t="s">
        <v>5851</v>
      </c>
      <c r="C3670" s="13" t="s">
        <v>5850</v>
      </c>
      <c r="D3670" s="13" t="s">
        <v>109</v>
      </c>
    </row>
    <row r="3671" spans="1:4">
      <c r="A3671" s="23">
        <v>45043</v>
      </c>
      <c r="B3671" s="13" t="s">
        <v>5853</v>
      </c>
      <c r="C3671" s="13" t="s">
        <v>5852</v>
      </c>
      <c r="D3671" s="13" t="s">
        <v>19</v>
      </c>
    </row>
    <row r="3672" spans="1:4">
      <c r="A3672" s="23">
        <v>45043</v>
      </c>
      <c r="B3672" s="13" t="s">
        <v>5855</v>
      </c>
      <c r="C3672" s="13" t="s">
        <v>5854</v>
      </c>
      <c r="D3672" s="13" t="s">
        <v>109</v>
      </c>
    </row>
    <row r="3673" spans="1:4">
      <c r="A3673" s="23">
        <v>45043</v>
      </c>
      <c r="B3673" s="13" t="s">
        <v>5857</v>
      </c>
      <c r="C3673" s="13" t="s">
        <v>5856</v>
      </c>
      <c r="D3673" s="13" t="s">
        <v>19</v>
      </c>
    </row>
    <row r="3674" spans="1:4">
      <c r="A3674" s="23">
        <v>45043</v>
      </c>
      <c r="B3674" s="13" t="s">
        <v>5851</v>
      </c>
      <c r="C3674" s="13" t="s">
        <v>5850</v>
      </c>
      <c r="D3674" s="13" t="s">
        <v>109</v>
      </c>
    </row>
    <row r="3675" spans="1:4">
      <c r="A3675" s="23">
        <v>45044</v>
      </c>
      <c r="B3675" s="13" t="s">
        <v>5859</v>
      </c>
      <c r="C3675" s="13" t="s">
        <v>5858</v>
      </c>
      <c r="D3675" s="13" t="s">
        <v>109</v>
      </c>
    </row>
    <row r="3676" spans="1:4">
      <c r="A3676" s="23">
        <v>45044</v>
      </c>
      <c r="B3676" s="13" t="s">
        <v>5860</v>
      </c>
      <c r="C3676" s="13" t="s">
        <v>3070</v>
      </c>
      <c r="D3676" s="13" t="s">
        <v>74</v>
      </c>
    </row>
    <row r="3677" spans="1:4">
      <c r="A3677" s="23">
        <v>45044</v>
      </c>
      <c r="B3677" s="13" t="s">
        <v>5862</v>
      </c>
      <c r="C3677" s="13" t="s">
        <v>5861</v>
      </c>
      <c r="D3677" s="13" t="s">
        <v>74</v>
      </c>
    </row>
    <row r="3678" spans="1:4">
      <c r="A3678" s="23">
        <v>45044</v>
      </c>
      <c r="B3678" s="13" t="s">
        <v>5864</v>
      </c>
      <c r="C3678" s="13" t="s">
        <v>5863</v>
      </c>
      <c r="D3678" s="13" t="s">
        <v>109</v>
      </c>
    </row>
    <row r="3679" spans="1:4">
      <c r="A3679" s="23">
        <v>45044</v>
      </c>
      <c r="B3679" s="13" t="s">
        <v>5866</v>
      </c>
      <c r="C3679" s="13" t="s">
        <v>5865</v>
      </c>
      <c r="D3679" s="13" t="s">
        <v>109</v>
      </c>
    </row>
    <row r="3680" spans="1:4">
      <c r="A3680" s="23">
        <v>45044</v>
      </c>
      <c r="B3680" s="13" t="s">
        <v>5868</v>
      </c>
      <c r="C3680" s="13" t="s">
        <v>5867</v>
      </c>
      <c r="D3680" s="13" t="s">
        <v>74</v>
      </c>
    </row>
    <row r="3681" spans="1:4">
      <c r="A3681" s="23">
        <v>45044</v>
      </c>
      <c r="B3681" s="13" t="s">
        <v>5870</v>
      </c>
      <c r="C3681" s="13" t="s">
        <v>5869</v>
      </c>
      <c r="D3681" s="13" t="s">
        <v>109</v>
      </c>
    </row>
    <row r="3682" spans="1:4">
      <c r="A3682" s="23">
        <v>45044</v>
      </c>
      <c r="B3682" s="13" t="s">
        <v>5872</v>
      </c>
      <c r="C3682" s="13" t="s">
        <v>5871</v>
      </c>
      <c r="D3682" s="13" t="s">
        <v>109</v>
      </c>
    </row>
    <row r="3683" spans="1:4">
      <c r="A3683" s="23">
        <v>45044</v>
      </c>
      <c r="B3683" s="13" t="s">
        <v>5874</v>
      </c>
      <c r="C3683" s="13" t="s">
        <v>5873</v>
      </c>
      <c r="D3683" s="13" t="s">
        <v>109</v>
      </c>
    </row>
    <row r="3684" spans="1:4">
      <c r="A3684" s="23">
        <v>45045</v>
      </c>
      <c r="B3684" s="13" t="s">
        <v>5876</v>
      </c>
      <c r="C3684" s="13" t="s">
        <v>5875</v>
      </c>
      <c r="D3684" s="13" t="s">
        <v>29</v>
      </c>
    </row>
    <row r="3685" spans="1:4">
      <c r="A3685" s="23">
        <v>45045</v>
      </c>
      <c r="B3685" s="13" t="s">
        <v>5878</v>
      </c>
      <c r="C3685" s="13" t="s">
        <v>5877</v>
      </c>
      <c r="D3685" s="13" t="s">
        <v>216</v>
      </c>
    </row>
    <row r="3686" spans="1:4">
      <c r="A3686" s="23">
        <v>45045</v>
      </c>
      <c r="B3686" s="13" t="s">
        <v>5880</v>
      </c>
      <c r="C3686" s="13" t="s">
        <v>5879</v>
      </c>
      <c r="D3686" s="13" t="s">
        <v>5</v>
      </c>
    </row>
    <row r="3687" spans="1:4">
      <c r="A3687" s="23">
        <v>45045</v>
      </c>
      <c r="B3687" s="13" t="s">
        <v>5882</v>
      </c>
      <c r="C3687" s="13" t="s">
        <v>5881</v>
      </c>
      <c r="D3687" s="13" t="s">
        <v>5</v>
      </c>
    </row>
    <row r="3688" spans="1:4">
      <c r="A3688" s="23">
        <v>45048</v>
      </c>
      <c r="B3688" s="13" t="s">
        <v>5884</v>
      </c>
      <c r="C3688" s="13" t="s">
        <v>5883</v>
      </c>
      <c r="D3688" s="13" t="s">
        <v>109</v>
      </c>
    </row>
    <row r="3689" spans="1:4">
      <c r="A3689" s="23">
        <v>45048</v>
      </c>
      <c r="B3689" s="13" t="s">
        <v>5886</v>
      </c>
      <c r="C3689" s="13" t="s">
        <v>5885</v>
      </c>
      <c r="D3689" s="13" t="s">
        <v>109</v>
      </c>
    </row>
    <row r="3690" spans="1:4">
      <c r="A3690" s="23">
        <v>45048</v>
      </c>
      <c r="B3690" s="13" t="s">
        <v>5888</v>
      </c>
      <c r="C3690" s="13" t="s">
        <v>5887</v>
      </c>
      <c r="D3690" s="13" t="s">
        <v>74</v>
      </c>
    </row>
    <row r="3691" spans="1:4">
      <c r="A3691" s="23">
        <v>45048</v>
      </c>
      <c r="B3691" s="13" t="s">
        <v>5890</v>
      </c>
      <c r="C3691" s="13" t="s">
        <v>5889</v>
      </c>
      <c r="D3691" s="13" t="s">
        <v>109</v>
      </c>
    </row>
    <row r="3692" spans="1:4">
      <c r="A3692" s="23">
        <v>45048</v>
      </c>
      <c r="B3692" s="13" t="s">
        <v>5886</v>
      </c>
      <c r="C3692" s="13" t="s">
        <v>5885</v>
      </c>
      <c r="D3692" s="13" t="s">
        <v>109</v>
      </c>
    </row>
    <row r="3693" spans="1:4">
      <c r="A3693" s="23">
        <v>45049</v>
      </c>
      <c r="B3693" s="13" t="s">
        <v>5892</v>
      </c>
      <c r="C3693" s="13" t="s">
        <v>5891</v>
      </c>
      <c r="D3693" s="13" t="s">
        <v>5</v>
      </c>
    </row>
    <row r="3694" spans="1:4">
      <c r="A3694" s="23">
        <v>45049</v>
      </c>
      <c r="B3694" s="13" t="s">
        <v>5894</v>
      </c>
      <c r="C3694" s="13" t="s">
        <v>5893</v>
      </c>
      <c r="D3694" s="13" t="s">
        <v>109</v>
      </c>
    </row>
    <row r="3695" spans="1:4">
      <c r="A3695" s="23">
        <v>45049</v>
      </c>
      <c r="B3695" s="13" t="s">
        <v>5894</v>
      </c>
      <c r="C3695" s="13" t="s">
        <v>5893</v>
      </c>
      <c r="D3695" s="13" t="s">
        <v>109</v>
      </c>
    </row>
    <row r="3696" spans="1:4">
      <c r="A3696" s="23">
        <v>45050</v>
      </c>
      <c r="B3696" s="13" t="s">
        <v>5896</v>
      </c>
      <c r="C3696" s="13" t="s">
        <v>5895</v>
      </c>
      <c r="D3696" s="13" t="s">
        <v>11</v>
      </c>
    </row>
    <row r="3697" spans="1:4">
      <c r="A3697" s="23">
        <v>45050</v>
      </c>
      <c r="B3697" s="13" t="s">
        <v>5898</v>
      </c>
      <c r="C3697" s="13" t="s">
        <v>5897</v>
      </c>
      <c r="D3697" s="13" t="s">
        <v>216</v>
      </c>
    </row>
    <row r="3698" spans="1:4">
      <c r="A3698" s="23">
        <v>45050</v>
      </c>
      <c r="B3698" s="13" t="s">
        <v>5900</v>
      </c>
      <c r="C3698" s="13" t="s">
        <v>5899</v>
      </c>
      <c r="D3698" s="13" t="s">
        <v>353</v>
      </c>
    </row>
    <row r="3699" spans="1:4">
      <c r="A3699" s="23">
        <v>45050</v>
      </c>
      <c r="B3699" s="13" t="s">
        <v>5902</v>
      </c>
      <c r="C3699" s="13" t="s">
        <v>5901</v>
      </c>
      <c r="D3699" s="13" t="s">
        <v>5</v>
      </c>
    </row>
    <row r="3700" spans="1:4">
      <c r="A3700" s="23">
        <v>45050</v>
      </c>
      <c r="B3700" s="13" t="s">
        <v>5904</v>
      </c>
      <c r="C3700" s="13" t="s">
        <v>5903</v>
      </c>
      <c r="D3700" s="13" t="s">
        <v>109</v>
      </c>
    </row>
    <row r="3701" spans="1:4">
      <c r="A3701" s="23">
        <v>45050</v>
      </c>
      <c r="B3701" s="13" t="s">
        <v>5906</v>
      </c>
      <c r="C3701" s="13" t="s">
        <v>5905</v>
      </c>
      <c r="D3701" s="13" t="s">
        <v>109</v>
      </c>
    </row>
    <row r="3702" spans="1:4">
      <c r="A3702" s="23">
        <v>45050</v>
      </c>
      <c r="B3702" s="13" t="s">
        <v>5900</v>
      </c>
      <c r="C3702" s="13" t="s">
        <v>5899</v>
      </c>
      <c r="D3702" s="13" t="s">
        <v>353</v>
      </c>
    </row>
    <row r="3703" spans="1:4">
      <c r="A3703" s="23">
        <v>45051</v>
      </c>
      <c r="B3703" s="13" t="s">
        <v>5908</v>
      </c>
      <c r="C3703" s="13" t="s">
        <v>5907</v>
      </c>
      <c r="D3703" s="13" t="s">
        <v>74</v>
      </c>
    </row>
    <row r="3704" spans="1:4">
      <c r="A3704" s="23">
        <v>45051</v>
      </c>
      <c r="B3704" s="13" t="s">
        <v>5910</v>
      </c>
      <c r="C3704" s="13" t="s">
        <v>5909</v>
      </c>
      <c r="D3704" s="13" t="s">
        <v>74</v>
      </c>
    </row>
    <row r="3705" spans="1:4">
      <c r="A3705" s="23">
        <v>45051</v>
      </c>
      <c r="B3705" s="13" t="s">
        <v>5912</v>
      </c>
      <c r="C3705" s="13" t="s">
        <v>5911</v>
      </c>
      <c r="D3705" s="13" t="s">
        <v>109</v>
      </c>
    </row>
    <row r="3706" spans="1:4">
      <c r="A3706" s="23">
        <v>45051</v>
      </c>
      <c r="B3706" s="13" t="s">
        <v>5914</v>
      </c>
      <c r="C3706" s="13" t="s">
        <v>5913</v>
      </c>
      <c r="D3706" s="13" t="s">
        <v>109</v>
      </c>
    </row>
    <row r="3707" spans="1:4">
      <c r="A3707" s="23">
        <v>45051</v>
      </c>
      <c r="B3707" s="13" t="s">
        <v>5916</v>
      </c>
      <c r="C3707" s="13" t="s">
        <v>5915</v>
      </c>
      <c r="D3707" s="13" t="s">
        <v>19</v>
      </c>
    </row>
    <row r="3708" spans="1:4">
      <c r="A3708" s="23">
        <v>45051</v>
      </c>
      <c r="B3708" s="13" t="s">
        <v>5918</v>
      </c>
      <c r="C3708" s="13" t="s">
        <v>5917</v>
      </c>
      <c r="D3708" s="13" t="s">
        <v>109</v>
      </c>
    </row>
    <row r="3709" spans="1:4">
      <c r="A3709" s="23">
        <v>45052</v>
      </c>
      <c r="B3709" s="13" t="s">
        <v>5920</v>
      </c>
      <c r="C3709" s="13" t="s">
        <v>5919</v>
      </c>
      <c r="D3709" s="13" t="s">
        <v>109</v>
      </c>
    </row>
    <row r="3710" spans="1:4">
      <c r="A3710" s="23">
        <v>45052</v>
      </c>
      <c r="B3710" s="13" t="s">
        <v>5920</v>
      </c>
      <c r="C3710" s="13" t="s">
        <v>5921</v>
      </c>
      <c r="D3710" s="13" t="s">
        <v>109</v>
      </c>
    </row>
    <row r="3711" spans="1:4">
      <c r="A3711" s="23">
        <v>45052</v>
      </c>
      <c r="B3711" s="13" t="s">
        <v>5920</v>
      </c>
      <c r="C3711" s="13" t="s">
        <v>5919</v>
      </c>
      <c r="D3711" s="13" t="s">
        <v>109</v>
      </c>
    </row>
    <row r="3712" spans="1:4">
      <c r="A3712" s="23">
        <v>45052</v>
      </c>
      <c r="B3712" s="13" t="s">
        <v>5651</v>
      </c>
      <c r="C3712" s="13" t="s">
        <v>5650</v>
      </c>
      <c r="D3712" s="13" t="s">
        <v>34</v>
      </c>
    </row>
    <row r="3713" spans="1:4">
      <c r="A3713" s="23">
        <v>45054</v>
      </c>
      <c r="B3713" s="13" t="s">
        <v>5923</v>
      </c>
      <c r="C3713" s="13" t="s">
        <v>5922</v>
      </c>
      <c r="D3713" s="13" t="s">
        <v>109</v>
      </c>
    </row>
    <row r="3714" spans="1:4">
      <c r="A3714" s="23">
        <v>45054</v>
      </c>
      <c r="B3714" s="13" t="s">
        <v>5925</v>
      </c>
      <c r="C3714" s="13" t="s">
        <v>5924</v>
      </c>
      <c r="D3714" s="13" t="s">
        <v>109</v>
      </c>
    </row>
    <row r="3715" spans="1:4">
      <c r="A3715" s="23">
        <v>45054</v>
      </c>
      <c r="B3715" s="13" t="s">
        <v>5927</v>
      </c>
      <c r="C3715" s="13" t="s">
        <v>5926</v>
      </c>
      <c r="D3715" s="13" t="s">
        <v>24</v>
      </c>
    </row>
    <row r="3716" spans="1:4">
      <c r="A3716" s="23">
        <v>45054</v>
      </c>
      <c r="B3716" s="13" t="s">
        <v>5929</v>
      </c>
      <c r="C3716" s="13" t="s">
        <v>5928</v>
      </c>
      <c r="D3716" s="13" t="s">
        <v>109</v>
      </c>
    </row>
    <row r="3717" spans="1:4">
      <c r="A3717" s="23">
        <v>45055</v>
      </c>
      <c r="B3717" s="13" t="s">
        <v>5930</v>
      </c>
      <c r="C3717" s="13" t="s">
        <v>463</v>
      </c>
      <c r="D3717" s="13" t="s">
        <v>74</v>
      </c>
    </row>
    <row r="3718" spans="1:4">
      <c r="A3718" s="23">
        <v>45055</v>
      </c>
      <c r="B3718" s="13" t="s">
        <v>5932</v>
      </c>
      <c r="C3718" s="13" t="s">
        <v>5931</v>
      </c>
      <c r="D3718" s="13" t="s">
        <v>109</v>
      </c>
    </row>
    <row r="3719" spans="1:4">
      <c r="A3719" s="23">
        <v>45055</v>
      </c>
      <c r="B3719" s="13" t="s">
        <v>5934</v>
      </c>
      <c r="C3719" s="13" t="s">
        <v>5933</v>
      </c>
      <c r="D3719" s="13" t="s">
        <v>74</v>
      </c>
    </row>
    <row r="3720" spans="1:4">
      <c r="A3720" s="23">
        <v>45056</v>
      </c>
      <c r="B3720" s="13" t="s">
        <v>5936</v>
      </c>
      <c r="C3720" s="13" t="s">
        <v>5935</v>
      </c>
      <c r="D3720" s="13" t="s">
        <v>109</v>
      </c>
    </row>
    <row r="3721" spans="1:4">
      <c r="A3721" s="23">
        <v>45056</v>
      </c>
      <c r="B3721" s="13" t="s">
        <v>5938</v>
      </c>
      <c r="C3721" s="13" t="s">
        <v>5937</v>
      </c>
      <c r="D3721" s="13" t="s">
        <v>109</v>
      </c>
    </row>
    <row r="3722" spans="1:4">
      <c r="A3722" s="23">
        <v>45056</v>
      </c>
      <c r="B3722" s="13" t="s">
        <v>5939</v>
      </c>
      <c r="C3722" s="13" t="s">
        <v>649</v>
      </c>
      <c r="D3722" s="13" t="s">
        <v>74</v>
      </c>
    </row>
    <row r="3723" spans="1:4">
      <c r="A3723" s="23">
        <v>45056</v>
      </c>
      <c r="B3723" s="13" t="s">
        <v>5941</v>
      </c>
      <c r="C3723" s="13" t="s">
        <v>5940</v>
      </c>
      <c r="D3723" s="13" t="s">
        <v>109</v>
      </c>
    </row>
    <row r="3724" spans="1:4">
      <c r="A3724" s="23">
        <v>45056</v>
      </c>
      <c r="B3724" s="13" t="s">
        <v>5943</v>
      </c>
      <c r="C3724" s="13" t="s">
        <v>5942</v>
      </c>
      <c r="D3724" s="13" t="s">
        <v>353</v>
      </c>
    </row>
    <row r="3725" spans="1:4">
      <c r="A3725" s="23">
        <v>45057</v>
      </c>
      <c r="B3725" s="13" t="s">
        <v>5944</v>
      </c>
      <c r="C3725" s="13" t="s">
        <v>5861</v>
      </c>
      <c r="D3725" s="13" t="s">
        <v>74</v>
      </c>
    </row>
    <row r="3726" spans="1:4">
      <c r="A3726" s="23">
        <v>45057</v>
      </c>
      <c r="B3726" s="13" t="s">
        <v>5946</v>
      </c>
      <c r="C3726" s="13" t="s">
        <v>5945</v>
      </c>
      <c r="D3726" s="13" t="s">
        <v>109</v>
      </c>
    </row>
    <row r="3727" spans="1:4">
      <c r="A3727" s="23">
        <v>45057</v>
      </c>
      <c r="B3727" s="13" t="s">
        <v>5948</v>
      </c>
      <c r="C3727" s="13" t="s">
        <v>5947</v>
      </c>
      <c r="D3727" s="13" t="s">
        <v>109</v>
      </c>
    </row>
    <row r="3728" spans="1:4">
      <c r="A3728" s="23">
        <v>45058</v>
      </c>
      <c r="B3728" s="13" t="s">
        <v>5950</v>
      </c>
      <c r="C3728" s="13" t="s">
        <v>5949</v>
      </c>
      <c r="D3728" s="13" t="s">
        <v>34</v>
      </c>
    </row>
    <row r="3729" spans="1:4">
      <c r="A3729" s="23">
        <v>45058</v>
      </c>
      <c r="B3729" s="13" t="s">
        <v>5952</v>
      </c>
      <c r="C3729" s="13" t="s">
        <v>5951</v>
      </c>
      <c r="D3729" s="13" t="s">
        <v>109</v>
      </c>
    </row>
    <row r="3730" spans="1:4">
      <c r="A3730" s="23">
        <v>45058</v>
      </c>
      <c r="B3730" s="13" t="s">
        <v>5954</v>
      </c>
      <c r="C3730" s="13" t="s">
        <v>5953</v>
      </c>
      <c r="D3730" s="13" t="s">
        <v>109</v>
      </c>
    </row>
    <row r="3731" spans="1:4">
      <c r="A3731" s="23">
        <v>45058</v>
      </c>
      <c r="B3731" s="13" t="s">
        <v>5956</v>
      </c>
      <c r="C3731" s="13" t="s">
        <v>5955</v>
      </c>
      <c r="D3731" s="13" t="s">
        <v>109</v>
      </c>
    </row>
    <row r="3732" spans="1:4">
      <c r="A3732" s="23">
        <v>45058</v>
      </c>
      <c r="B3732" s="13" t="s">
        <v>5958</v>
      </c>
      <c r="C3732" s="13" t="s">
        <v>5957</v>
      </c>
      <c r="D3732" s="13" t="s">
        <v>109</v>
      </c>
    </row>
    <row r="3733" spans="1:4">
      <c r="A3733" s="23">
        <v>45058</v>
      </c>
      <c r="B3733" s="13" t="s">
        <v>5958</v>
      </c>
      <c r="C3733" s="13" t="s">
        <v>5957</v>
      </c>
      <c r="D3733" s="13" t="s">
        <v>109</v>
      </c>
    </row>
    <row r="3734" spans="1:4">
      <c r="A3734" s="23">
        <v>45058</v>
      </c>
      <c r="B3734" s="13" t="s">
        <v>5960</v>
      </c>
      <c r="C3734" s="13" t="s">
        <v>5959</v>
      </c>
      <c r="D3734" s="13" t="s">
        <v>109</v>
      </c>
    </row>
    <row r="3735" spans="1:4">
      <c r="A3735" s="23">
        <v>45062</v>
      </c>
      <c r="B3735" s="13" t="s">
        <v>5962</v>
      </c>
      <c r="C3735" s="13" t="s">
        <v>5961</v>
      </c>
      <c r="D3735" s="13" t="s">
        <v>109</v>
      </c>
    </row>
    <row r="3736" spans="1:4">
      <c r="A3736" s="23">
        <v>45062</v>
      </c>
      <c r="B3736" s="13" t="s">
        <v>5963</v>
      </c>
      <c r="C3736" s="13" t="s">
        <v>5701</v>
      </c>
      <c r="D3736" s="13" t="s">
        <v>109</v>
      </c>
    </row>
    <row r="3737" spans="1:4">
      <c r="A3737" s="23">
        <v>45062</v>
      </c>
      <c r="B3737" s="13" t="s">
        <v>5965</v>
      </c>
      <c r="C3737" s="13" t="s">
        <v>5964</v>
      </c>
      <c r="D3737" s="13" t="s">
        <v>19</v>
      </c>
    </row>
    <row r="3738" spans="1:4">
      <c r="A3738" s="23">
        <v>45063</v>
      </c>
      <c r="B3738" s="13" t="s">
        <v>5967</v>
      </c>
      <c r="C3738" s="13" t="s">
        <v>5966</v>
      </c>
      <c r="D3738" s="13" t="s">
        <v>74</v>
      </c>
    </row>
    <row r="3739" spans="1:4">
      <c r="A3739" s="23">
        <v>45063</v>
      </c>
      <c r="B3739" s="13" t="s">
        <v>5969</v>
      </c>
      <c r="C3739" s="13" t="s">
        <v>5968</v>
      </c>
      <c r="D3739" s="13" t="s">
        <v>74</v>
      </c>
    </row>
    <row r="3740" spans="1:4">
      <c r="A3740" s="23">
        <v>45063</v>
      </c>
      <c r="B3740" s="13" t="s">
        <v>5971</v>
      </c>
      <c r="C3740" s="13" t="s">
        <v>5970</v>
      </c>
      <c r="D3740" s="13" t="s">
        <v>109</v>
      </c>
    </row>
    <row r="3741" spans="1:4">
      <c r="A3741" s="23">
        <v>45063</v>
      </c>
      <c r="B3741" s="13" t="s">
        <v>5973</v>
      </c>
      <c r="C3741" s="13" t="s">
        <v>5972</v>
      </c>
      <c r="D3741" s="13" t="s">
        <v>109</v>
      </c>
    </row>
    <row r="3742" spans="1:4">
      <c r="A3742" s="23">
        <v>45064</v>
      </c>
      <c r="B3742" s="13" t="s">
        <v>5975</v>
      </c>
      <c r="C3742" s="13" t="s">
        <v>5974</v>
      </c>
      <c r="D3742" s="13" t="s">
        <v>29</v>
      </c>
    </row>
    <row r="3743" spans="1:4">
      <c r="A3743" s="23">
        <v>45065</v>
      </c>
      <c r="B3743" s="13" t="s">
        <v>5977</v>
      </c>
      <c r="C3743" s="13" t="s">
        <v>5976</v>
      </c>
      <c r="D3743" s="13" t="s">
        <v>109</v>
      </c>
    </row>
    <row r="3744" spans="1:4">
      <c r="A3744" s="23">
        <v>45065</v>
      </c>
      <c r="B3744" s="13" t="s">
        <v>5979</v>
      </c>
      <c r="C3744" s="13" t="s">
        <v>5978</v>
      </c>
      <c r="D3744" s="13" t="s">
        <v>109</v>
      </c>
    </row>
    <row r="3745" spans="1:4">
      <c r="A3745" s="23">
        <v>45065</v>
      </c>
      <c r="B3745" s="13" t="s">
        <v>5981</v>
      </c>
      <c r="C3745" s="13" t="s">
        <v>5980</v>
      </c>
      <c r="D3745" s="13" t="s">
        <v>109</v>
      </c>
    </row>
    <row r="3746" spans="1:4">
      <c r="A3746" s="23">
        <v>45065</v>
      </c>
      <c r="B3746" s="13" t="s">
        <v>5982</v>
      </c>
      <c r="C3746" s="13" t="s">
        <v>5689</v>
      </c>
      <c r="D3746" s="13" t="s">
        <v>345</v>
      </c>
    </row>
    <row r="3747" spans="1:4">
      <c r="A3747" s="23">
        <v>45066</v>
      </c>
      <c r="B3747" s="13" t="s">
        <v>5984</v>
      </c>
      <c r="C3747" s="13" t="s">
        <v>5983</v>
      </c>
      <c r="D3747" s="13" t="s">
        <v>109</v>
      </c>
    </row>
    <row r="3748" spans="1:4">
      <c r="A3748" s="23">
        <v>45066</v>
      </c>
      <c r="B3748" s="13" t="s">
        <v>5986</v>
      </c>
      <c r="C3748" s="13" t="s">
        <v>5985</v>
      </c>
      <c r="D3748" s="13" t="s">
        <v>109</v>
      </c>
    </row>
    <row r="3749" spans="1:4">
      <c r="A3749" s="23">
        <v>45066</v>
      </c>
      <c r="B3749" s="13" t="s">
        <v>5988</v>
      </c>
      <c r="C3749" s="13" t="s">
        <v>5987</v>
      </c>
      <c r="D3749" s="13" t="s">
        <v>74</v>
      </c>
    </row>
    <row r="3750" spans="1:4">
      <c r="A3750" s="23">
        <v>45066</v>
      </c>
      <c r="B3750" s="13" t="s">
        <v>5990</v>
      </c>
      <c r="C3750" s="13" t="s">
        <v>5989</v>
      </c>
      <c r="D3750" s="13" t="s">
        <v>5</v>
      </c>
    </row>
    <row r="3751" spans="1:4">
      <c r="A3751" s="23">
        <v>45066</v>
      </c>
      <c r="B3751" s="13" t="s">
        <v>5991</v>
      </c>
      <c r="C3751" s="13" t="s">
        <v>5985</v>
      </c>
      <c r="D3751" s="13" t="s">
        <v>109</v>
      </c>
    </row>
    <row r="3752" spans="1:4">
      <c r="A3752" s="23">
        <v>45066</v>
      </c>
      <c r="B3752" s="13" t="s">
        <v>5993</v>
      </c>
      <c r="C3752" s="13" t="s">
        <v>5992</v>
      </c>
      <c r="D3752" s="13" t="s">
        <v>109</v>
      </c>
    </row>
    <row r="3753" spans="1:4">
      <c r="A3753" s="23">
        <v>45066</v>
      </c>
      <c r="B3753" s="13" t="s">
        <v>5995</v>
      </c>
      <c r="C3753" s="13" t="s">
        <v>5994</v>
      </c>
      <c r="D3753" s="13" t="s">
        <v>345</v>
      </c>
    </row>
    <row r="3754" spans="1:4">
      <c r="A3754" s="23">
        <v>45066</v>
      </c>
      <c r="B3754" s="13" t="s">
        <v>5997</v>
      </c>
      <c r="C3754" s="13" t="s">
        <v>5996</v>
      </c>
      <c r="D3754" s="13" t="s">
        <v>345</v>
      </c>
    </row>
    <row r="3755" spans="1:4">
      <c r="A3755" s="23">
        <v>45067</v>
      </c>
      <c r="B3755" s="13" t="s">
        <v>5999</v>
      </c>
      <c r="C3755" s="13" t="s">
        <v>5998</v>
      </c>
      <c r="D3755" s="13" t="s">
        <v>109</v>
      </c>
    </row>
    <row r="3756" spans="1:4">
      <c r="A3756" s="23">
        <v>45068</v>
      </c>
      <c r="B3756" s="13" t="s">
        <v>6001</v>
      </c>
      <c r="C3756" s="13" t="s">
        <v>6000</v>
      </c>
      <c r="D3756" s="13" t="s">
        <v>24</v>
      </c>
    </row>
    <row r="3757" spans="1:4">
      <c r="A3757" s="23">
        <v>45069</v>
      </c>
      <c r="B3757" s="13" t="s">
        <v>6003</v>
      </c>
      <c r="C3757" s="13" t="s">
        <v>6002</v>
      </c>
      <c r="D3757" s="13" t="s">
        <v>109</v>
      </c>
    </row>
    <row r="3758" spans="1:4">
      <c r="A3758" s="23">
        <v>45069</v>
      </c>
      <c r="B3758" s="13" t="s">
        <v>6005</v>
      </c>
      <c r="C3758" s="13" t="s">
        <v>6004</v>
      </c>
      <c r="D3758" s="13" t="s">
        <v>109</v>
      </c>
    </row>
    <row r="3759" spans="1:4">
      <c r="A3759" s="23">
        <v>45069</v>
      </c>
      <c r="B3759" s="13" t="s">
        <v>6007</v>
      </c>
      <c r="C3759" s="13" t="s">
        <v>6006</v>
      </c>
      <c r="D3759" s="13" t="s">
        <v>109</v>
      </c>
    </row>
    <row r="3760" spans="1:4">
      <c r="A3760" s="23">
        <v>45069</v>
      </c>
      <c r="B3760" s="13" t="s">
        <v>6009</v>
      </c>
      <c r="C3760" s="13" t="s">
        <v>6008</v>
      </c>
      <c r="D3760" s="13" t="s">
        <v>29</v>
      </c>
    </row>
    <row r="3761" spans="1:4">
      <c r="A3761" s="23">
        <v>45069</v>
      </c>
      <c r="B3761" s="13" t="s">
        <v>6011</v>
      </c>
      <c r="C3761" s="13" t="s">
        <v>6010</v>
      </c>
      <c r="D3761" s="13" t="s">
        <v>29</v>
      </c>
    </row>
    <row r="3762" spans="1:4">
      <c r="A3762" s="23">
        <v>45069</v>
      </c>
      <c r="B3762" s="13" t="s">
        <v>6012</v>
      </c>
      <c r="C3762" s="13" t="s">
        <v>6006</v>
      </c>
      <c r="D3762" s="13" t="s">
        <v>109</v>
      </c>
    </row>
    <row r="3763" spans="1:4">
      <c r="A3763" s="23">
        <v>45070</v>
      </c>
      <c r="B3763" s="13" t="s">
        <v>6014</v>
      </c>
      <c r="C3763" s="13" t="s">
        <v>6013</v>
      </c>
      <c r="D3763" s="13" t="s">
        <v>34</v>
      </c>
    </row>
    <row r="3764" spans="1:4">
      <c r="A3764" s="23">
        <v>45070</v>
      </c>
      <c r="B3764" s="13" t="s">
        <v>6016</v>
      </c>
      <c r="C3764" s="13" t="s">
        <v>6015</v>
      </c>
      <c r="D3764" s="13" t="s">
        <v>5</v>
      </c>
    </row>
    <row r="3765" spans="1:4">
      <c r="A3765" s="23">
        <v>45070</v>
      </c>
      <c r="B3765" s="13" t="s">
        <v>5643</v>
      </c>
      <c r="C3765" s="13" t="s">
        <v>6017</v>
      </c>
      <c r="D3765" s="13" t="s">
        <v>34</v>
      </c>
    </row>
    <row r="3766" spans="1:4">
      <c r="A3766" s="23">
        <v>45070</v>
      </c>
      <c r="B3766" s="13" t="s">
        <v>6019</v>
      </c>
      <c r="C3766" s="13" t="s">
        <v>6018</v>
      </c>
      <c r="D3766" s="13" t="s">
        <v>74</v>
      </c>
    </row>
    <row r="3767" spans="1:4">
      <c r="A3767" s="23">
        <v>45070</v>
      </c>
      <c r="B3767" s="13" t="s">
        <v>6021</v>
      </c>
      <c r="C3767" s="13" t="s">
        <v>6020</v>
      </c>
      <c r="D3767" s="13" t="s">
        <v>109</v>
      </c>
    </row>
    <row r="3768" spans="1:4">
      <c r="A3768" s="23">
        <v>45070</v>
      </c>
      <c r="B3768" s="13" t="s">
        <v>6023</v>
      </c>
      <c r="C3768" s="13" t="s">
        <v>6022</v>
      </c>
      <c r="D3768" s="13" t="s">
        <v>5</v>
      </c>
    </row>
    <row r="3769" spans="1:4">
      <c r="A3769" s="23">
        <v>45070</v>
      </c>
      <c r="B3769" s="13" t="s">
        <v>6025</v>
      </c>
      <c r="C3769" s="13" t="s">
        <v>6024</v>
      </c>
      <c r="D3769" s="13" t="s">
        <v>74</v>
      </c>
    </row>
    <row r="3770" spans="1:4">
      <c r="A3770" s="23">
        <v>45070</v>
      </c>
      <c r="B3770" s="13" t="s">
        <v>6027</v>
      </c>
      <c r="C3770" s="13" t="s">
        <v>6026</v>
      </c>
      <c r="D3770" s="13" t="s">
        <v>109</v>
      </c>
    </row>
    <row r="3771" spans="1:4">
      <c r="A3771" s="23">
        <v>45070</v>
      </c>
      <c r="B3771" s="13" t="s">
        <v>6029</v>
      </c>
      <c r="C3771" s="13" t="s">
        <v>6028</v>
      </c>
      <c r="D3771" s="13" t="s">
        <v>109</v>
      </c>
    </row>
    <row r="3772" spans="1:4">
      <c r="A3772" s="23">
        <v>45070</v>
      </c>
      <c r="B3772" s="13" t="s">
        <v>6031</v>
      </c>
      <c r="C3772" s="13" t="s">
        <v>6030</v>
      </c>
      <c r="D3772" s="13" t="s">
        <v>109</v>
      </c>
    </row>
    <row r="3773" spans="1:4">
      <c r="A3773" s="23">
        <v>45071</v>
      </c>
      <c r="B3773" s="13" t="s">
        <v>6033</v>
      </c>
      <c r="C3773" s="13" t="s">
        <v>6032</v>
      </c>
      <c r="D3773" s="13" t="s">
        <v>29</v>
      </c>
    </row>
    <row r="3774" spans="1:4">
      <c r="A3774" s="23">
        <v>45071</v>
      </c>
      <c r="B3774" s="13" t="s">
        <v>6035</v>
      </c>
      <c r="C3774" s="13" t="s">
        <v>6034</v>
      </c>
      <c r="D3774" s="13" t="s">
        <v>74</v>
      </c>
    </row>
    <row r="3775" spans="1:4">
      <c r="A3775" s="23">
        <v>45071</v>
      </c>
      <c r="B3775" s="13" t="s">
        <v>6037</v>
      </c>
      <c r="C3775" s="13" t="s">
        <v>6036</v>
      </c>
      <c r="D3775" s="13" t="s">
        <v>109</v>
      </c>
    </row>
    <row r="3776" spans="1:4">
      <c r="A3776" s="23">
        <v>45071</v>
      </c>
      <c r="B3776" s="13" t="s">
        <v>6039</v>
      </c>
      <c r="C3776" s="13" t="s">
        <v>6038</v>
      </c>
      <c r="D3776" s="13" t="s">
        <v>109</v>
      </c>
    </row>
    <row r="3777" spans="1:4">
      <c r="A3777" s="23">
        <v>45071</v>
      </c>
      <c r="B3777" s="13" t="s">
        <v>6041</v>
      </c>
      <c r="C3777" s="13" t="s">
        <v>6040</v>
      </c>
      <c r="D3777" s="13" t="s">
        <v>141</v>
      </c>
    </row>
    <row r="3778" spans="1:4">
      <c r="A3778" s="23">
        <v>45071</v>
      </c>
      <c r="B3778" s="13" t="s">
        <v>6043</v>
      </c>
      <c r="C3778" s="13" t="s">
        <v>6042</v>
      </c>
      <c r="D3778" s="13" t="s">
        <v>141</v>
      </c>
    </row>
    <row r="3779" spans="1:4">
      <c r="A3779" s="23">
        <v>45071</v>
      </c>
      <c r="B3779" s="13" t="s">
        <v>6045</v>
      </c>
      <c r="C3779" s="13" t="s">
        <v>6044</v>
      </c>
      <c r="D3779" s="13" t="s">
        <v>109</v>
      </c>
    </row>
    <row r="3780" spans="1:4">
      <c r="A3780" s="23">
        <v>45071</v>
      </c>
      <c r="B3780" s="13" t="s">
        <v>6045</v>
      </c>
      <c r="C3780" s="13" t="s">
        <v>6044</v>
      </c>
      <c r="D3780" s="13" t="s">
        <v>109</v>
      </c>
    </row>
    <row r="3781" spans="1:4">
      <c r="A3781" s="23">
        <v>45071</v>
      </c>
      <c r="B3781" s="13" t="s">
        <v>6047</v>
      </c>
      <c r="C3781" s="13" t="s">
        <v>6046</v>
      </c>
      <c r="D3781" s="13" t="s">
        <v>74</v>
      </c>
    </row>
    <row r="3782" spans="1:4">
      <c r="A3782" s="23">
        <v>45075</v>
      </c>
      <c r="B3782" s="13" t="s">
        <v>6049</v>
      </c>
      <c r="C3782" s="13" t="s">
        <v>6048</v>
      </c>
      <c r="D3782" s="13" t="s">
        <v>5</v>
      </c>
    </row>
    <row r="3783" spans="1:4">
      <c r="A3783" s="23">
        <v>45078</v>
      </c>
      <c r="B3783" s="13" t="s">
        <v>6051</v>
      </c>
      <c r="C3783" s="13" t="s">
        <v>6050</v>
      </c>
      <c r="D3783" s="13" t="s">
        <v>74</v>
      </c>
    </row>
    <row r="3784" spans="1:4">
      <c r="A3784" s="23">
        <v>45078</v>
      </c>
      <c r="B3784" s="13" t="s">
        <v>6053</v>
      </c>
      <c r="C3784" s="13" t="s">
        <v>6052</v>
      </c>
      <c r="D3784" s="13" t="s">
        <v>34</v>
      </c>
    </row>
    <row r="3785" spans="1:4">
      <c r="A3785" s="23">
        <v>45078</v>
      </c>
      <c r="B3785" s="13" t="s">
        <v>6054</v>
      </c>
      <c r="C3785" s="13" t="s">
        <v>1122</v>
      </c>
      <c r="D3785" s="13" t="s">
        <v>34</v>
      </c>
    </row>
    <row r="3786" spans="1:4">
      <c r="A3786" s="23">
        <v>45078</v>
      </c>
      <c r="B3786" s="13" t="s">
        <v>6056</v>
      </c>
      <c r="C3786" s="13" t="s">
        <v>6055</v>
      </c>
      <c r="D3786" s="13" t="s">
        <v>74</v>
      </c>
    </row>
    <row r="3787" spans="1:4">
      <c r="A3787" s="23">
        <v>45079</v>
      </c>
      <c r="B3787" s="13" t="s">
        <v>6058</v>
      </c>
      <c r="C3787" s="13" t="s">
        <v>6057</v>
      </c>
      <c r="D3787" s="13" t="s">
        <v>11</v>
      </c>
    </row>
    <row r="3788" spans="1:4">
      <c r="A3788" s="23">
        <v>45079</v>
      </c>
      <c r="B3788" s="13" t="s">
        <v>6060</v>
      </c>
      <c r="C3788" s="13" t="s">
        <v>6059</v>
      </c>
      <c r="D3788" s="13" t="s">
        <v>11</v>
      </c>
    </row>
    <row r="3789" spans="1:4">
      <c r="A3789" s="23">
        <v>45079</v>
      </c>
      <c r="B3789" s="13" t="s">
        <v>6062</v>
      </c>
      <c r="C3789" s="13" t="s">
        <v>6061</v>
      </c>
      <c r="D3789" s="13" t="s">
        <v>109</v>
      </c>
    </row>
    <row r="3790" spans="1:4">
      <c r="A3790" s="23">
        <v>45079</v>
      </c>
      <c r="B3790" s="13" t="s">
        <v>6064</v>
      </c>
      <c r="C3790" s="13" t="s">
        <v>6063</v>
      </c>
      <c r="D3790" s="13" t="s">
        <v>109</v>
      </c>
    </row>
    <row r="3791" spans="1:4">
      <c r="A3791" s="23">
        <v>45079</v>
      </c>
      <c r="B3791" s="13" t="s">
        <v>6066</v>
      </c>
      <c r="C3791" s="13" t="s">
        <v>6065</v>
      </c>
      <c r="D3791" s="13" t="s">
        <v>109</v>
      </c>
    </row>
    <row r="3792" spans="1:4">
      <c r="A3792" s="23">
        <v>45079</v>
      </c>
      <c r="B3792" s="13" t="s">
        <v>6068</v>
      </c>
      <c r="C3792" s="13" t="s">
        <v>6067</v>
      </c>
      <c r="D3792" s="13" t="s">
        <v>74</v>
      </c>
    </row>
    <row r="3793" spans="1:4">
      <c r="A3793" s="23">
        <v>45080</v>
      </c>
      <c r="B3793" s="13" t="s">
        <v>6070</v>
      </c>
      <c r="C3793" s="13" t="s">
        <v>6069</v>
      </c>
      <c r="D3793" s="13" t="s">
        <v>109</v>
      </c>
    </row>
    <row r="3794" spans="1:4">
      <c r="A3794" s="23">
        <v>45080</v>
      </c>
      <c r="B3794" s="13" t="s">
        <v>6072</v>
      </c>
      <c r="C3794" s="13" t="s">
        <v>6071</v>
      </c>
      <c r="D3794" s="13" t="s">
        <v>109</v>
      </c>
    </row>
    <row r="3795" spans="1:4">
      <c r="A3795" s="23">
        <v>45080</v>
      </c>
      <c r="B3795" s="13" t="s">
        <v>6072</v>
      </c>
      <c r="C3795" s="13" t="s">
        <v>6071</v>
      </c>
      <c r="D3795" s="13" t="s">
        <v>109</v>
      </c>
    </row>
    <row r="3796" spans="1:4">
      <c r="A3796" s="23">
        <v>45080</v>
      </c>
      <c r="B3796" s="13" t="s">
        <v>6074</v>
      </c>
      <c r="C3796" s="13" t="s">
        <v>6073</v>
      </c>
      <c r="D3796" s="13" t="s">
        <v>74</v>
      </c>
    </row>
    <row r="3797" spans="1:4">
      <c r="A3797" s="23">
        <v>45081</v>
      </c>
      <c r="B3797" s="13" t="s">
        <v>6076</v>
      </c>
      <c r="C3797" s="13" t="s">
        <v>6075</v>
      </c>
      <c r="D3797" s="13" t="s">
        <v>109</v>
      </c>
    </row>
    <row r="3798" spans="1:4">
      <c r="A3798" s="23">
        <v>45082</v>
      </c>
      <c r="B3798" s="13" t="s">
        <v>6078</v>
      </c>
      <c r="C3798" s="13" t="s">
        <v>6077</v>
      </c>
      <c r="D3798" s="13" t="s">
        <v>109</v>
      </c>
    </row>
    <row r="3799" spans="1:4">
      <c r="A3799" s="23">
        <v>45082</v>
      </c>
      <c r="B3799" s="13" t="s">
        <v>6080</v>
      </c>
      <c r="C3799" s="13" t="s">
        <v>6079</v>
      </c>
      <c r="D3799" s="13" t="s">
        <v>109</v>
      </c>
    </row>
    <row r="3800" spans="1:4">
      <c r="A3800" s="23">
        <v>45082</v>
      </c>
      <c r="B3800" s="13" t="s">
        <v>6082</v>
      </c>
      <c r="C3800" s="13" t="s">
        <v>6081</v>
      </c>
      <c r="D3800" s="13" t="s">
        <v>109</v>
      </c>
    </row>
    <row r="3801" spans="1:4">
      <c r="A3801" s="23">
        <v>45082</v>
      </c>
      <c r="B3801" s="13" t="s">
        <v>6084</v>
      </c>
      <c r="C3801" s="13" t="s">
        <v>6083</v>
      </c>
      <c r="D3801" s="13" t="s">
        <v>5</v>
      </c>
    </row>
    <row r="3802" spans="1:4">
      <c r="A3802" s="23">
        <v>45082</v>
      </c>
      <c r="B3802" s="13" t="s">
        <v>6086</v>
      </c>
      <c r="C3802" s="13" t="s">
        <v>6085</v>
      </c>
      <c r="D3802" s="13" t="s">
        <v>19</v>
      </c>
    </row>
    <row r="3803" spans="1:4">
      <c r="A3803" s="23">
        <v>45082</v>
      </c>
      <c r="B3803" s="13" t="s">
        <v>6078</v>
      </c>
      <c r="C3803" s="13" t="s">
        <v>6077</v>
      </c>
      <c r="D3803" s="13" t="s">
        <v>109</v>
      </c>
    </row>
    <row r="3804" spans="1:4">
      <c r="A3804" s="23">
        <v>45082</v>
      </c>
      <c r="B3804" s="13" t="s">
        <v>6087</v>
      </c>
      <c r="C3804" s="13" t="s">
        <v>6077</v>
      </c>
      <c r="D3804" s="13" t="s">
        <v>109</v>
      </c>
    </row>
    <row r="3805" spans="1:4">
      <c r="A3805" s="23">
        <v>45083</v>
      </c>
      <c r="B3805" s="13" t="s">
        <v>6089</v>
      </c>
      <c r="C3805" s="13" t="s">
        <v>6088</v>
      </c>
      <c r="D3805" s="13" t="s">
        <v>109</v>
      </c>
    </row>
    <row r="3806" spans="1:4">
      <c r="A3806" s="23">
        <v>45083</v>
      </c>
      <c r="B3806" s="13" t="s">
        <v>5975</v>
      </c>
      <c r="C3806" s="13" t="s">
        <v>5974</v>
      </c>
      <c r="D3806" s="13" t="s">
        <v>29</v>
      </c>
    </row>
    <row r="3807" spans="1:4">
      <c r="A3807" s="23">
        <v>45083</v>
      </c>
      <c r="B3807" s="13" t="s">
        <v>6091</v>
      </c>
      <c r="C3807" s="13" t="s">
        <v>6090</v>
      </c>
      <c r="D3807" s="13" t="s">
        <v>109</v>
      </c>
    </row>
    <row r="3808" spans="1:4">
      <c r="A3808" s="23">
        <v>45083</v>
      </c>
      <c r="B3808" s="13" t="s">
        <v>6093</v>
      </c>
      <c r="C3808" s="13" t="s">
        <v>6092</v>
      </c>
      <c r="D3808" s="13" t="s">
        <v>109</v>
      </c>
    </row>
    <row r="3809" spans="1:4">
      <c r="A3809" s="23">
        <v>45083</v>
      </c>
      <c r="B3809" s="13" t="s">
        <v>5975</v>
      </c>
      <c r="C3809" s="13" t="s">
        <v>5974</v>
      </c>
      <c r="D3809" s="13" t="s">
        <v>29</v>
      </c>
    </row>
    <row r="3810" spans="1:4">
      <c r="A3810" s="23">
        <v>45083</v>
      </c>
      <c r="B3810" s="13" t="s">
        <v>6095</v>
      </c>
      <c r="C3810" s="13" t="s">
        <v>6094</v>
      </c>
      <c r="D3810" s="13" t="s">
        <v>29</v>
      </c>
    </row>
    <row r="3811" spans="1:4">
      <c r="A3811" s="23">
        <v>45084</v>
      </c>
      <c r="B3811" s="13" t="s">
        <v>6097</v>
      </c>
      <c r="C3811" s="13" t="s">
        <v>6096</v>
      </c>
      <c r="D3811" s="13" t="s">
        <v>5</v>
      </c>
    </row>
    <row r="3812" spans="1:4">
      <c r="A3812" s="23">
        <v>45084</v>
      </c>
      <c r="B3812" s="13" t="s">
        <v>6099</v>
      </c>
      <c r="C3812" s="13" t="s">
        <v>6098</v>
      </c>
      <c r="D3812" s="13" t="s">
        <v>164</v>
      </c>
    </row>
    <row r="3813" spans="1:4">
      <c r="A3813" s="23">
        <v>45084</v>
      </c>
      <c r="B3813" s="13" t="s">
        <v>6101</v>
      </c>
      <c r="C3813" s="13" t="s">
        <v>6100</v>
      </c>
      <c r="D3813" s="13" t="s">
        <v>5</v>
      </c>
    </row>
    <row r="3814" spans="1:4">
      <c r="A3814" s="23">
        <v>45085</v>
      </c>
      <c r="B3814" s="13" t="s">
        <v>6103</v>
      </c>
      <c r="C3814" s="13" t="s">
        <v>6102</v>
      </c>
      <c r="D3814" s="13" t="s">
        <v>109</v>
      </c>
    </row>
    <row r="3815" spans="1:4">
      <c r="A3815" s="23">
        <v>45085</v>
      </c>
      <c r="B3815" s="13" t="s">
        <v>6105</v>
      </c>
      <c r="C3815" s="13" t="s">
        <v>6104</v>
      </c>
      <c r="D3815" s="13" t="s">
        <v>74</v>
      </c>
    </row>
    <row r="3816" spans="1:4">
      <c r="A3816" s="23">
        <v>45085</v>
      </c>
      <c r="B3816" s="13" t="s">
        <v>6107</v>
      </c>
      <c r="C3816" s="13" t="s">
        <v>6106</v>
      </c>
      <c r="D3816" s="13" t="s">
        <v>109</v>
      </c>
    </row>
    <row r="3817" spans="1:4">
      <c r="A3817" s="23">
        <v>45085</v>
      </c>
      <c r="B3817" s="13" t="s">
        <v>6109</v>
      </c>
      <c r="C3817" s="13" t="s">
        <v>6108</v>
      </c>
      <c r="D3817" s="13" t="s">
        <v>109</v>
      </c>
    </row>
    <row r="3818" spans="1:4">
      <c r="A3818" s="23">
        <v>45085</v>
      </c>
      <c r="B3818" s="13" t="s">
        <v>6111</v>
      </c>
      <c r="C3818" s="13" t="s">
        <v>6110</v>
      </c>
      <c r="D3818" s="13" t="s">
        <v>74</v>
      </c>
    </row>
    <row r="3819" spans="1:4">
      <c r="A3819" s="23">
        <v>45085</v>
      </c>
      <c r="B3819" s="13" t="s">
        <v>6113</v>
      </c>
      <c r="C3819" s="13" t="s">
        <v>6112</v>
      </c>
      <c r="D3819" s="13" t="s">
        <v>5</v>
      </c>
    </row>
    <row r="3820" spans="1:4">
      <c r="A3820" s="23">
        <v>45086</v>
      </c>
      <c r="B3820" s="13" t="s">
        <v>6115</v>
      </c>
      <c r="C3820" s="13" t="s">
        <v>6114</v>
      </c>
      <c r="D3820" s="13" t="s">
        <v>16</v>
      </c>
    </row>
    <row r="3821" spans="1:4">
      <c r="A3821" s="23">
        <v>45086</v>
      </c>
      <c r="B3821" s="13" t="s">
        <v>6117</v>
      </c>
      <c r="C3821" s="13" t="s">
        <v>6116</v>
      </c>
      <c r="D3821" s="13" t="s">
        <v>74</v>
      </c>
    </row>
    <row r="3822" spans="1:4">
      <c r="A3822" s="23">
        <v>45087</v>
      </c>
      <c r="B3822" s="13" t="s">
        <v>6119</v>
      </c>
      <c r="C3822" s="13" t="s">
        <v>6118</v>
      </c>
      <c r="D3822" s="13" t="s">
        <v>109</v>
      </c>
    </row>
    <row r="3823" spans="1:4">
      <c r="A3823" s="23">
        <v>45087</v>
      </c>
      <c r="B3823" s="13" t="s">
        <v>6121</v>
      </c>
      <c r="C3823" s="13" t="s">
        <v>6120</v>
      </c>
      <c r="D3823" s="13" t="s">
        <v>109</v>
      </c>
    </row>
    <row r="3824" spans="1:4">
      <c r="A3824" s="23">
        <v>45087</v>
      </c>
      <c r="B3824" s="13" t="s">
        <v>6123</v>
      </c>
      <c r="C3824" s="13" t="s">
        <v>6122</v>
      </c>
      <c r="D3824" s="13" t="s">
        <v>109</v>
      </c>
    </row>
    <row r="3825" spans="1:4">
      <c r="A3825" s="23">
        <v>45087</v>
      </c>
      <c r="B3825" s="13" t="s">
        <v>6125</v>
      </c>
      <c r="C3825" s="13" t="s">
        <v>6124</v>
      </c>
      <c r="D3825" s="13" t="s">
        <v>109</v>
      </c>
    </row>
    <row r="3826" spans="1:4">
      <c r="A3826" s="23">
        <v>45088</v>
      </c>
      <c r="B3826" s="13" t="s">
        <v>6127</v>
      </c>
      <c r="C3826" s="13" t="s">
        <v>6126</v>
      </c>
      <c r="D3826" s="13" t="s">
        <v>24</v>
      </c>
    </row>
    <row r="3827" spans="1:4">
      <c r="A3827" s="23">
        <v>45088</v>
      </c>
      <c r="B3827" s="13" t="s">
        <v>6129</v>
      </c>
      <c r="C3827" s="13" t="s">
        <v>6128</v>
      </c>
      <c r="D3827" s="13" t="s">
        <v>8</v>
      </c>
    </row>
    <row r="3828" spans="1:4">
      <c r="A3828" s="23">
        <v>45088</v>
      </c>
      <c r="B3828" s="13" t="s">
        <v>6131</v>
      </c>
      <c r="C3828" s="13" t="s">
        <v>6130</v>
      </c>
      <c r="D3828" s="13" t="s">
        <v>8</v>
      </c>
    </row>
    <row r="3829" spans="1:4">
      <c r="A3829" s="23">
        <v>45089</v>
      </c>
      <c r="B3829" s="13" t="s">
        <v>6133</v>
      </c>
      <c r="C3829" s="13" t="s">
        <v>6132</v>
      </c>
      <c r="D3829" s="13" t="s">
        <v>109</v>
      </c>
    </row>
    <row r="3830" spans="1:4">
      <c r="A3830" s="23">
        <v>45089</v>
      </c>
      <c r="B3830" s="13" t="s">
        <v>6135</v>
      </c>
      <c r="C3830" s="13" t="s">
        <v>6134</v>
      </c>
      <c r="D3830" s="13" t="s">
        <v>109</v>
      </c>
    </row>
    <row r="3831" spans="1:4">
      <c r="A3831" s="23">
        <v>45089</v>
      </c>
      <c r="B3831" s="13" t="s">
        <v>6137</v>
      </c>
      <c r="C3831" s="13" t="s">
        <v>6136</v>
      </c>
      <c r="D3831" s="13" t="s">
        <v>109</v>
      </c>
    </row>
    <row r="3832" spans="1:4">
      <c r="A3832" s="23">
        <v>45089</v>
      </c>
      <c r="B3832" s="13" t="s">
        <v>6139</v>
      </c>
      <c r="C3832" s="13" t="s">
        <v>6138</v>
      </c>
      <c r="D3832" s="13" t="s">
        <v>109</v>
      </c>
    </row>
    <row r="3833" spans="1:4">
      <c r="A3833" s="23">
        <v>45089</v>
      </c>
      <c r="B3833" s="13" t="s">
        <v>6133</v>
      </c>
      <c r="C3833" s="13" t="s">
        <v>6132</v>
      </c>
      <c r="D3833" s="13" t="s">
        <v>109</v>
      </c>
    </row>
    <row r="3834" spans="1:4">
      <c r="A3834" s="23">
        <v>45090</v>
      </c>
      <c r="B3834" s="13" t="s">
        <v>6141</v>
      </c>
      <c r="C3834" s="13" t="s">
        <v>6140</v>
      </c>
      <c r="D3834" s="13" t="s">
        <v>109</v>
      </c>
    </row>
    <row r="3835" spans="1:4">
      <c r="A3835" s="23">
        <v>45090</v>
      </c>
      <c r="B3835" s="13" t="s">
        <v>6143</v>
      </c>
      <c r="C3835" s="13" t="s">
        <v>6142</v>
      </c>
      <c r="D3835" s="13" t="s">
        <v>109</v>
      </c>
    </row>
    <row r="3836" spans="1:4">
      <c r="A3836" s="23">
        <v>45090</v>
      </c>
      <c r="B3836" s="13" t="s">
        <v>6145</v>
      </c>
      <c r="C3836" s="13" t="s">
        <v>6144</v>
      </c>
      <c r="D3836" s="13" t="s">
        <v>29</v>
      </c>
    </row>
    <row r="3837" spans="1:4">
      <c r="A3837" s="23">
        <v>45090</v>
      </c>
      <c r="B3837" s="13" t="s">
        <v>6146</v>
      </c>
      <c r="C3837" s="13" t="s">
        <v>5861</v>
      </c>
      <c r="D3837" s="13" t="s">
        <v>74</v>
      </c>
    </row>
    <row r="3838" spans="1:4">
      <c r="A3838" s="23">
        <v>45090</v>
      </c>
      <c r="B3838" s="13" t="s">
        <v>6148</v>
      </c>
      <c r="C3838" s="13" t="s">
        <v>6147</v>
      </c>
      <c r="D3838" s="13" t="s">
        <v>109</v>
      </c>
    </row>
    <row r="3839" spans="1:4">
      <c r="A3839" s="23">
        <v>45090</v>
      </c>
      <c r="B3839" s="13" t="s">
        <v>6150</v>
      </c>
      <c r="C3839" s="13" t="s">
        <v>6149</v>
      </c>
      <c r="D3839" s="13" t="s">
        <v>109</v>
      </c>
    </row>
    <row r="3840" spans="1:4">
      <c r="A3840" s="23">
        <v>45091</v>
      </c>
      <c r="B3840" s="13" t="s">
        <v>6152</v>
      </c>
      <c r="C3840" s="13" t="s">
        <v>6151</v>
      </c>
      <c r="D3840" s="13" t="s">
        <v>109</v>
      </c>
    </row>
    <row r="3841" spans="1:4">
      <c r="A3841" s="23">
        <v>45091</v>
      </c>
      <c r="B3841" s="13" t="s">
        <v>6154</v>
      </c>
      <c r="C3841" s="13" t="s">
        <v>6153</v>
      </c>
      <c r="D3841" s="13" t="s">
        <v>109</v>
      </c>
    </row>
    <row r="3842" spans="1:4">
      <c r="A3842" s="23">
        <v>45091</v>
      </c>
      <c r="B3842" s="13" t="s">
        <v>6156</v>
      </c>
      <c r="C3842" s="13" t="s">
        <v>6155</v>
      </c>
      <c r="D3842" s="13" t="s">
        <v>109</v>
      </c>
    </row>
    <row r="3843" spans="1:4">
      <c r="A3843" s="23">
        <v>45091</v>
      </c>
      <c r="B3843" s="13" t="s">
        <v>6158</v>
      </c>
      <c r="C3843" s="13" t="s">
        <v>6157</v>
      </c>
      <c r="D3843" s="13" t="s">
        <v>109</v>
      </c>
    </row>
    <row r="3844" spans="1:4">
      <c r="A3844" s="23">
        <v>45091</v>
      </c>
      <c r="B3844" s="13" t="s">
        <v>6159</v>
      </c>
      <c r="C3844" s="13" t="s">
        <v>5928</v>
      </c>
      <c r="D3844" s="13" t="s">
        <v>109</v>
      </c>
    </row>
    <row r="3845" spans="1:4">
      <c r="A3845" s="23">
        <v>45091</v>
      </c>
      <c r="B3845" s="13" t="s">
        <v>6161</v>
      </c>
      <c r="C3845" s="13" t="s">
        <v>6160</v>
      </c>
      <c r="D3845" s="13" t="s">
        <v>74</v>
      </c>
    </row>
    <row r="3846" spans="1:4">
      <c r="A3846" s="23">
        <v>45091</v>
      </c>
      <c r="B3846" s="13" t="s">
        <v>6163</v>
      </c>
      <c r="C3846" s="13" t="s">
        <v>6162</v>
      </c>
      <c r="D3846" s="13" t="s">
        <v>109</v>
      </c>
    </row>
    <row r="3847" spans="1:4">
      <c r="A3847" s="23">
        <v>45091</v>
      </c>
      <c r="B3847" s="13" t="s">
        <v>6165</v>
      </c>
      <c r="C3847" s="13" t="s">
        <v>6164</v>
      </c>
      <c r="D3847" s="13" t="s">
        <v>109</v>
      </c>
    </row>
    <row r="3848" spans="1:4">
      <c r="A3848" s="23">
        <v>45091</v>
      </c>
      <c r="B3848" s="13" t="s">
        <v>6167</v>
      </c>
      <c r="C3848" s="13" t="s">
        <v>6166</v>
      </c>
      <c r="D3848" s="13" t="s">
        <v>109</v>
      </c>
    </row>
    <row r="3849" spans="1:4">
      <c r="A3849" s="23">
        <v>45092</v>
      </c>
      <c r="B3849" s="13" t="s">
        <v>6169</v>
      </c>
      <c r="C3849" s="13" t="s">
        <v>6168</v>
      </c>
      <c r="D3849" s="13" t="s">
        <v>5</v>
      </c>
    </row>
    <row r="3850" spans="1:4">
      <c r="A3850" s="23">
        <v>45092</v>
      </c>
      <c r="B3850" s="13" t="s">
        <v>6171</v>
      </c>
      <c r="C3850" s="13" t="s">
        <v>6170</v>
      </c>
      <c r="D3850" s="13" t="s">
        <v>5</v>
      </c>
    </row>
    <row r="3851" spans="1:4">
      <c r="A3851" s="23">
        <v>45092</v>
      </c>
      <c r="B3851" s="13" t="s">
        <v>6173</v>
      </c>
      <c r="C3851" s="13" t="s">
        <v>6172</v>
      </c>
      <c r="D3851" s="13" t="s">
        <v>109</v>
      </c>
    </row>
    <row r="3852" spans="1:4">
      <c r="A3852" s="23">
        <v>45092</v>
      </c>
      <c r="B3852" s="13" t="s">
        <v>6175</v>
      </c>
      <c r="C3852" s="13" t="s">
        <v>6174</v>
      </c>
      <c r="D3852" s="13" t="s">
        <v>164</v>
      </c>
    </row>
    <row r="3853" spans="1:4">
      <c r="A3853" s="23">
        <v>45092</v>
      </c>
      <c r="B3853" s="13" t="s">
        <v>6177</v>
      </c>
      <c r="C3853" s="13" t="s">
        <v>6176</v>
      </c>
      <c r="D3853" s="13" t="s">
        <v>109</v>
      </c>
    </row>
    <row r="3854" spans="1:4">
      <c r="A3854" s="23">
        <v>45092</v>
      </c>
      <c r="B3854" s="13" t="s">
        <v>6179</v>
      </c>
      <c r="C3854" s="13" t="s">
        <v>6178</v>
      </c>
      <c r="D3854" s="13" t="s">
        <v>109</v>
      </c>
    </row>
    <row r="3855" spans="1:4">
      <c r="A3855" s="23">
        <v>45092</v>
      </c>
      <c r="B3855" s="13" t="s">
        <v>6180</v>
      </c>
      <c r="C3855" s="13" t="s">
        <v>3640</v>
      </c>
      <c r="D3855" s="13" t="s">
        <v>74</v>
      </c>
    </row>
    <row r="3856" spans="1:4">
      <c r="A3856" s="23">
        <v>45092</v>
      </c>
      <c r="B3856" s="13" t="s">
        <v>6182</v>
      </c>
      <c r="C3856" s="13" t="s">
        <v>6181</v>
      </c>
      <c r="D3856" s="13" t="s">
        <v>74</v>
      </c>
    </row>
    <row r="3857" spans="1:4">
      <c r="A3857" s="23">
        <v>45093</v>
      </c>
      <c r="B3857" s="13" t="s">
        <v>6184</v>
      </c>
      <c r="C3857" s="13" t="s">
        <v>6183</v>
      </c>
      <c r="D3857" s="13" t="s">
        <v>109</v>
      </c>
    </row>
    <row r="3858" spans="1:4">
      <c r="A3858" s="23">
        <v>45093</v>
      </c>
      <c r="B3858" s="13" t="s">
        <v>6186</v>
      </c>
      <c r="C3858" s="13" t="s">
        <v>6185</v>
      </c>
      <c r="D3858" s="13" t="s">
        <v>74</v>
      </c>
    </row>
    <row r="3859" spans="1:4">
      <c r="A3859" s="23">
        <v>45093</v>
      </c>
      <c r="B3859" s="13" t="s">
        <v>6187</v>
      </c>
      <c r="C3859" s="13" t="s">
        <v>6183</v>
      </c>
      <c r="D3859" s="13" t="s">
        <v>109</v>
      </c>
    </row>
    <row r="3860" spans="1:4">
      <c r="A3860" s="23">
        <v>45093</v>
      </c>
      <c r="B3860" s="13" t="s">
        <v>6189</v>
      </c>
      <c r="C3860" s="13" t="s">
        <v>6188</v>
      </c>
      <c r="D3860" s="13" t="s">
        <v>74</v>
      </c>
    </row>
    <row r="3861" spans="1:4">
      <c r="A3861" s="23">
        <v>45093</v>
      </c>
      <c r="B3861" s="13" t="s">
        <v>6190</v>
      </c>
      <c r="C3861" s="13" t="s">
        <v>6140</v>
      </c>
      <c r="D3861" s="13" t="s">
        <v>29</v>
      </c>
    </row>
    <row r="3862" spans="1:4">
      <c r="A3862" s="23">
        <v>45093</v>
      </c>
      <c r="B3862" s="13" t="s">
        <v>6192</v>
      </c>
      <c r="C3862" s="13" t="s">
        <v>6191</v>
      </c>
      <c r="D3862" s="13" t="s">
        <v>109</v>
      </c>
    </row>
    <row r="3863" spans="1:4">
      <c r="A3863" s="23">
        <v>45093</v>
      </c>
      <c r="B3863" s="13" t="s">
        <v>6194</v>
      </c>
      <c r="C3863" s="13" t="s">
        <v>6193</v>
      </c>
      <c r="D3863" s="13" t="s">
        <v>109</v>
      </c>
    </row>
    <row r="3864" spans="1:4">
      <c r="A3864" s="23">
        <v>45094</v>
      </c>
      <c r="B3864" s="13" t="s">
        <v>6196</v>
      </c>
      <c r="C3864" s="13" t="s">
        <v>6195</v>
      </c>
      <c r="D3864" s="13" t="s">
        <v>109</v>
      </c>
    </row>
    <row r="3865" spans="1:4">
      <c r="A3865" s="23">
        <v>45096</v>
      </c>
      <c r="B3865" s="13" t="s">
        <v>6198</v>
      </c>
      <c r="C3865" s="13" t="s">
        <v>6197</v>
      </c>
      <c r="D3865" s="13" t="s">
        <v>11</v>
      </c>
    </row>
    <row r="3866" spans="1:4">
      <c r="A3866" s="23">
        <v>45096</v>
      </c>
      <c r="B3866" s="13" t="s">
        <v>6200</v>
      </c>
      <c r="C3866" s="13" t="s">
        <v>6199</v>
      </c>
      <c r="D3866" s="13" t="s">
        <v>19</v>
      </c>
    </row>
    <row r="3867" spans="1:4">
      <c r="A3867" s="23">
        <v>45096</v>
      </c>
      <c r="B3867" s="13" t="s">
        <v>6202</v>
      </c>
      <c r="C3867" s="13" t="s">
        <v>6201</v>
      </c>
      <c r="D3867" s="13" t="s">
        <v>19</v>
      </c>
    </row>
    <row r="3868" spans="1:4">
      <c r="A3868" s="23">
        <v>45096</v>
      </c>
      <c r="B3868" s="13" t="s">
        <v>6204</v>
      </c>
      <c r="C3868" s="13" t="s">
        <v>6203</v>
      </c>
      <c r="D3868" s="13" t="s">
        <v>19</v>
      </c>
    </row>
    <row r="3869" spans="1:4">
      <c r="A3869" s="23">
        <v>45097</v>
      </c>
      <c r="B3869" s="13" t="s">
        <v>6206</v>
      </c>
      <c r="C3869" s="13" t="s">
        <v>6205</v>
      </c>
      <c r="D3869" s="13" t="s">
        <v>74</v>
      </c>
    </row>
    <row r="3870" spans="1:4">
      <c r="A3870" s="23">
        <v>45098</v>
      </c>
      <c r="B3870" s="13" t="s">
        <v>6208</v>
      </c>
      <c r="C3870" s="13" t="s">
        <v>6207</v>
      </c>
      <c r="D3870" s="13" t="s">
        <v>34</v>
      </c>
    </row>
    <row r="3871" spans="1:4">
      <c r="A3871" s="23">
        <v>45098</v>
      </c>
      <c r="B3871" s="13" t="s">
        <v>6210</v>
      </c>
      <c r="C3871" s="13" t="s">
        <v>6209</v>
      </c>
      <c r="D3871" s="13" t="s">
        <v>74</v>
      </c>
    </row>
    <row r="3872" spans="1:4">
      <c r="A3872" s="23">
        <v>45098</v>
      </c>
      <c r="B3872" s="13" t="s">
        <v>6212</v>
      </c>
      <c r="C3872" s="13" t="s">
        <v>6211</v>
      </c>
      <c r="D3872" s="13" t="s">
        <v>109</v>
      </c>
    </row>
    <row r="3873" spans="1:4">
      <c r="A3873" s="23">
        <v>45098</v>
      </c>
      <c r="B3873" s="13" t="s">
        <v>6212</v>
      </c>
      <c r="C3873" s="13" t="s">
        <v>6211</v>
      </c>
      <c r="D3873" s="13" t="s">
        <v>109</v>
      </c>
    </row>
    <row r="3874" spans="1:4">
      <c r="A3874" s="23">
        <v>45099</v>
      </c>
      <c r="B3874" s="13" t="s">
        <v>6214</v>
      </c>
      <c r="C3874" s="13" t="s">
        <v>6213</v>
      </c>
      <c r="D3874" s="13" t="s">
        <v>16</v>
      </c>
    </row>
    <row r="3875" spans="1:4">
      <c r="A3875" s="23">
        <v>45099</v>
      </c>
      <c r="B3875" s="13" t="s">
        <v>6216</v>
      </c>
      <c r="C3875" s="13" t="s">
        <v>6215</v>
      </c>
      <c r="D3875" s="13" t="s">
        <v>109</v>
      </c>
    </row>
    <row r="3876" spans="1:4">
      <c r="A3876" s="23">
        <v>45099</v>
      </c>
      <c r="B3876" s="13" t="s">
        <v>6218</v>
      </c>
      <c r="C3876" s="13" t="s">
        <v>6217</v>
      </c>
      <c r="D3876" s="13" t="s">
        <v>109</v>
      </c>
    </row>
    <row r="3877" spans="1:4">
      <c r="A3877" s="23">
        <v>45100</v>
      </c>
      <c r="B3877" s="13" t="s">
        <v>6220</v>
      </c>
      <c r="C3877" s="13" t="s">
        <v>6219</v>
      </c>
      <c r="D3877" s="13" t="s">
        <v>109</v>
      </c>
    </row>
    <row r="3878" spans="1:4">
      <c r="A3878" s="23">
        <v>45100</v>
      </c>
      <c r="B3878" s="13" t="s">
        <v>6222</v>
      </c>
      <c r="C3878" s="13" t="s">
        <v>6221</v>
      </c>
      <c r="D3878" s="13" t="s">
        <v>109</v>
      </c>
    </row>
    <row r="3879" spans="1:4">
      <c r="A3879" s="23">
        <v>45101</v>
      </c>
      <c r="B3879" s="13" t="s">
        <v>6224</v>
      </c>
      <c r="C3879" s="13" t="s">
        <v>6223</v>
      </c>
      <c r="D3879" s="13" t="s">
        <v>19</v>
      </c>
    </row>
    <row r="3880" spans="1:4">
      <c r="A3880" s="23">
        <v>45104</v>
      </c>
      <c r="B3880" s="13" t="s">
        <v>6226</v>
      </c>
      <c r="C3880" s="13" t="s">
        <v>6225</v>
      </c>
      <c r="D3880" s="13" t="s">
        <v>109</v>
      </c>
    </row>
    <row r="3881" spans="1:4">
      <c r="A3881" s="23">
        <v>45104</v>
      </c>
      <c r="B3881" s="13" t="s">
        <v>6228</v>
      </c>
      <c r="C3881" s="13" t="s">
        <v>6227</v>
      </c>
      <c r="D3881" s="13" t="s">
        <v>29</v>
      </c>
    </row>
    <row r="3882" spans="1:4">
      <c r="A3882" s="23">
        <v>45104</v>
      </c>
      <c r="B3882" s="13" t="s">
        <v>6230</v>
      </c>
      <c r="C3882" s="13" t="s">
        <v>6229</v>
      </c>
      <c r="D3882" s="13" t="s">
        <v>16</v>
      </c>
    </row>
    <row r="3883" spans="1:4">
      <c r="A3883" s="23">
        <v>45104</v>
      </c>
      <c r="B3883" s="13" t="s">
        <v>6232</v>
      </c>
      <c r="C3883" s="13" t="s">
        <v>6231</v>
      </c>
      <c r="D3883" s="13" t="s">
        <v>109</v>
      </c>
    </row>
    <row r="3884" spans="1:4">
      <c r="A3884" s="23">
        <v>45104</v>
      </c>
      <c r="B3884" s="13" t="s">
        <v>6234</v>
      </c>
      <c r="C3884" s="13" t="s">
        <v>6233</v>
      </c>
      <c r="D3884" s="13" t="s">
        <v>109</v>
      </c>
    </row>
    <row r="3885" spans="1:4">
      <c r="A3885" s="23">
        <v>45105</v>
      </c>
      <c r="B3885" s="13" t="s">
        <v>6236</v>
      </c>
      <c r="C3885" s="13" t="s">
        <v>6235</v>
      </c>
      <c r="D3885" s="13" t="s">
        <v>74</v>
      </c>
    </row>
    <row r="3886" spans="1:4">
      <c r="A3886" s="23">
        <v>45105</v>
      </c>
      <c r="B3886" s="13" t="s">
        <v>6238</v>
      </c>
      <c r="C3886" s="13" t="s">
        <v>6237</v>
      </c>
      <c r="D3886" s="13" t="s">
        <v>109</v>
      </c>
    </row>
    <row r="3887" spans="1:4">
      <c r="A3887" s="23">
        <v>45105</v>
      </c>
      <c r="B3887" s="13" t="s">
        <v>6240</v>
      </c>
      <c r="C3887" s="13" t="s">
        <v>6239</v>
      </c>
      <c r="D3887" s="13" t="s">
        <v>109</v>
      </c>
    </row>
    <row r="3888" spans="1:4">
      <c r="A3888" s="23">
        <v>45105</v>
      </c>
      <c r="B3888" s="13" t="s">
        <v>6242</v>
      </c>
      <c r="C3888" s="13" t="s">
        <v>6241</v>
      </c>
      <c r="D3888" s="13" t="s">
        <v>109</v>
      </c>
    </row>
    <row r="3889" spans="1:4">
      <c r="A3889" s="23">
        <v>45105</v>
      </c>
      <c r="B3889" s="13" t="s">
        <v>6244</v>
      </c>
      <c r="C3889" s="13" t="s">
        <v>6243</v>
      </c>
      <c r="D3889" s="13" t="s">
        <v>74</v>
      </c>
    </row>
    <row r="3890" spans="1:4">
      <c r="A3890" s="23">
        <v>45105</v>
      </c>
      <c r="B3890" s="13" t="s">
        <v>6246</v>
      </c>
      <c r="C3890" s="13" t="s">
        <v>6245</v>
      </c>
      <c r="D3890" s="13" t="s">
        <v>34</v>
      </c>
    </row>
    <row r="3891" spans="1:4">
      <c r="A3891" s="23">
        <v>45106</v>
      </c>
      <c r="B3891" s="13" t="s">
        <v>6248</v>
      </c>
      <c r="C3891" s="13" t="s">
        <v>6247</v>
      </c>
      <c r="D3891" s="13" t="s">
        <v>109</v>
      </c>
    </row>
    <row r="3892" spans="1:4">
      <c r="A3892" s="23">
        <v>45106</v>
      </c>
      <c r="B3892" s="13" t="s">
        <v>6250</v>
      </c>
      <c r="C3892" s="13" t="s">
        <v>6249</v>
      </c>
      <c r="D3892" s="13" t="s">
        <v>5</v>
      </c>
    </row>
    <row r="3893" spans="1:4">
      <c r="A3893" s="23">
        <v>45106</v>
      </c>
      <c r="B3893" s="13" t="s">
        <v>6252</v>
      </c>
      <c r="C3893" s="13" t="s">
        <v>6251</v>
      </c>
      <c r="D3893" s="13" t="s">
        <v>109</v>
      </c>
    </row>
    <row r="3894" spans="1:4">
      <c r="A3894" s="23">
        <v>45106</v>
      </c>
      <c r="B3894" s="13" t="s">
        <v>6254</v>
      </c>
      <c r="C3894" s="13" t="s">
        <v>6253</v>
      </c>
      <c r="D3894" s="13" t="s">
        <v>109</v>
      </c>
    </row>
    <row r="3895" spans="1:4">
      <c r="A3895" s="23">
        <v>45106</v>
      </c>
      <c r="B3895" s="13" t="s">
        <v>6256</v>
      </c>
      <c r="C3895" s="13" t="s">
        <v>6255</v>
      </c>
      <c r="D3895" s="13" t="s">
        <v>109</v>
      </c>
    </row>
    <row r="3896" spans="1:4">
      <c r="A3896" s="23">
        <v>45106</v>
      </c>
      <c r="B3896" s="13" t="s">
        <v>6258</v>
      </c>
      <c r="C3896" s="13" t="s">
        <v>6257</v>
      </c>
      <c r="D3896" s="13" t="s">
        <v>5</v>
      </c>
    </row>
    <row r="3897" spans="1:4">
      <c r="A3897" s="23">
        <v>45106</v>
      </c>
      <c r="B3897" s="13" t="s">
        <v>6260</v>
      </c>
      <c r="C3897" s="13" t="s">
        <v>6259</v>
      </c>
      <c r="D3897" s="13" t="s">
        <v>109</v>
      </c>
    </row>
    <row r="3898" spans="1:4">
      <c r="A3898" s="23">
        <v>45107</v>
      </c>
      <c r="B3898" s="13" t="s">
        <v>6262</v>
      </c>
      <c r="C3898" s="13" t="s">
        <v>6261</v>
      </c>
      <c r="D3898" s="13" t="s">
        <v>109</v>
      </c>
    </row>
    <row r="3899" spans="1:4">
      <c r="A3899" s="23">
        <v>45107</v>
      </c>
      <c r="B3899" s="13" t="s">
        <v>6264</v>
      </c>
      <c r="C3899" s="13" t="s">
        <v>6263</v>
      </c>
      <c r="D3899" s="13" t="s">
        <v>109</v>
      </c>
    </row>
    <row r="3900" spans="1:4">
      <c r="A3900" s="23">
        <v>45107</v>
      </c>
      <c r="B3900" s="13" t="s">
        <v>6266</v>
      </c>
      <c r="C3900" s="13" t="s">
        <v>6265</v>
      </c>
      <c r="D3900" s="13" t="s">
        <v>109</v>
      </c>
    </row>
    <row r="3901" spans="1:4">
      <c r="A3901" s="23">
        <v>45107</v>
      </c>
      <c r="B3901" s="13" t="s">
        <v>6267</v>
      </c>
      <c r="C3901" s="13" t="s">
        <v>649</v>
      </c>
      <c r="D3901" s="13" t="s">
        <v>74</v>
      </c>
    </row>
    <row r="3902" spans="1:4">
      <c r="A3902" s="23">
        <v>45108</v>
      </c>
      <c r="B3902" s="13" t="s">
        <v>6269</v>
      </c>
      <c r="C3902" s="13" t="s">
        <v>6268</v>
      </c>
      <c r="D3902" s="13" t="s">
        <v>5</v>
      </c>
    </row>
    <row r="3903" spans="1:4">
      <c r="A3903" s="23">
        <v>45108</v>
      </c>
      <c r="B3903" s="13" t="s">
        <v>6269</v>
      </c>
      <c r="C3903" s="13" t="s">
        <v>6270</v>
      </c>
      <c r="D3903" s="13" t="s">
        <v>5</v>
      </c>
    </row>
    <row r="3904" spans="1:4">
      <c r="A3904" s="23">
        <v>45110</v>
      </c>
      <c r="B3904" s="13" t="s">
        <v>6272</v>
      </c>
      <c r="C3904" s="13" t="s">
        <v>6271</v>
      </c>
      <c r="D3904" s="13" t="s">
        <v>109</v>
      </c>
    </row>
    <row r="3905" spans="1:4">
      <c r="A3905" s="23">
        <v>45110</v>
      </c>
      <c r="B3905" s="13" t="s">
        <v>6274</v>
      </c>
      <c r="C3905" s="13" t="s">
        <v>6273</v>
      </c>
      <c r="D3905" s="13" t="s">
        <v>109</v>
      </c>
    </row>
    <row r="3906" spans="1:4">
      <c r="A3906" s="23">
        <v>45110</v>
      </c>
      <c r="B3906" s="13" t="s">
        <v>6276</v>
      </c>
      <c r="C3906" s="13" t="s">
        <v>6275</v>
      </c>
      <c r="D3906" s="13" t="s">
        <v>74</v>
      </c>
    </row>
    <row r="3907" spans="1:4">
      <c r="A3907" s="23">
        <v>45110</v>
      </c>
      <c r="B3907" s="13" t="s">
        <v>6278</v>
      </c>
      <c r="C3907" s="13" t="s">
        <v>6277</v>
      </c>
      <c r="D3907" s="13" t="s">
        <v>109</v>
      </c>
    </row>
    <row r="3908" spans="1:4">
      <c r="A3908" s="23">
        <v>45111</v>
      </c>
      <c r="B3908" s="13" t="s">
        <v>6280</v>
      </c>
      <c r="C3908" s="13" t="s">
        <v>6279</v>
      </c>
      <c r="D3908" s="13" t="s">
        <v>109</v>
      </c>
    </row>
    <row r="3909" spans="1:4">
      <c r="A3909" s="23">
        <v>45111</v>
      </c>
      <c r="B3909" s="13" t="s">
        <v>6282</v>
      </c>
      <c r="C3909" s="13" t="s">
        <v>6281</v>
      </c>
      <c r="D3909" s="13" t="s">
        <v>109</v>
      </c>
    </row>
    <row r="3910" spans="1:4">
      <c r="A3910" s="23">
        <v>45111</v>
      </c>
      <c r="B3910" s="13" t="s">
        <v>6284</v>
      </c>
      <c r="C3910" s="13" t="s">
        <v>6283</v>
      </c>
      <c r="D3910" s="13" t="s">
        <v>109</v>
      </c>
    </row>
    <row r="3911" spans="1:4">
      <c r="A3911" s="23">
        <v>45111</v>
      </c>
      <c r="B3911" s="13" t="s">
        <v>6286</v>
      </c>
      <c r="C3911" s="13" t="s">
        <v>6285</v>
      </c>
      <c r="D3911" s="13" t="s">
        <v>34</v>
      </c>
    </row>
    <row r="3912" spans="1:4">
      <c r="A3912" s="23">
        <v>45111</v>
      </c>
      <c r="B3912" s="13" t="s">
        <v>6288</v>
      </c>
      <c r="C3912" s="13" t="s">
        <v>6287</v>
      </c>
      <c r="D3912" s="13" t="s">
        <v>109</v>
      </c>
    </row>
    <row r="3913" spans="1:4">
      <c r="A3913" s="23">
        <v>45111</v>
      </c>
      <c r="B3913" s="13" t="s">
        <v>6290</v>
      </c>
      <c r="C3913" s="13" t="s">
        <v>6289</v>
      </c>
      <c r="D3913" s="13" t="s">
        <v>34</v>
      </c>
    </row>
    <row r="3914" spans="1:4">
      <c r="A3914" s="23">
        <v>45112</v>
      </c>
      <c r="B3914" s="13" t="s">
        <v>6292</v>
      </c>
      <c r="C3914" s="13" t="s">
        <v>6291</v>
      </c>
      <c r="D3914" s="13" t="s">
        <v>74</v>
      </c>
    </row>
    <row r="3915" spans="1:4">
      <c r="A3915" s="23">
        <v>45112</v>
      </c>
      <c r="B3915" s="13" t="s">
        <v>6294</v>
      </c>
      <c r="C3915" s="13" t="s">
        <v>6293</v>
      </c>
      <c r="D3915" s="13" t="s">
        <v>109</v>
      </c>
    </row>
    <row r="3916" spans="1:4">
      <c r="A3916" s="23">
        <v>45112</v>
      </c>
      <c r="B3916" s="13" t="s">
        <v>6296</v>
      </c>
      <c r="C3916" s="13" t="s">
        <v>6295</v>
      </c>
      <c r="D3916" s="13" t="s">
        <v>74</v>
      </c>
    </row>
    <row r="3917" spans="1:4">
      <c r="A3917" s="23">
        <v>45112</v>
      </c>
      <c r="B3917" s="13" t="s">
        <v>6297</v>
      </c>
      <c r="C3917" s="13" t="s">
        <v>5865</v>
      </c>
      <c r="D3917" s="13" t="s">
        <v>109</v>
      </c>
    </row>
    <row r="3918" spans="1:4">
      <c r="A3918" s="23">
        <v>45112</v>
      </c>
      <c r="B3918" s="13" t="s">
        <v>6299</v>
      </c>
      <c r="C3918" s="13" t="s">
        <v>6298</v>
      </c>
      <c r="D3918" s="13" t="s">
        <v>74</v>
      </c>
    </row>
    <row r="3919" spans="1:4">
      <c r="A3919" s="23">
        <v>45112</v>
      </c>
      <c r="B3919" s="13" t="s">
        <v>6301</v>
      </c>
      <c r="C3919" s="13" t="s">
        <v>6300</v>
      </c>
      <c r="D3919" s="13" t="s">
        <v>109</v>
      </c>
    </row>
    <row r="3920" spans="1:4">
      <c r="A3920" s="23">
        <v>45113</v>
      </c>
      <c r="B3920" s="13" t="s">
        <v>6303</v>
      </c>
      <c r="C3920" s="13" t="s">
        <v>6302</v>
      </c>
      <c r="D3920" s="13" t="s">
        <v>109</v>
      </c>
    </row>
    <row r="3921" spans="1:4">
      <c r="A3921" s="23">
        <v>45113</v>
      </c>
      <c r="B3921" s="13" t="s">
        <v>6305</v>
      </c>
      <c r="C3921" s="13" t="s">
        <v>6304</v>
      </c>
      <c r="D3921" s="13" t="s">
        <v>109</v>
      </c>
    </row>
    <row r="3922" spans="1:4">
      <c r="A3922" s="23">
        <v>45113</v>
      </c>
      <c r="B3922" s="13" t="s">
        <v>6307</v>
      </c>
      <c r="C3922" s="13" t="s">
        <v>6306</v>
      </c>
      <c r="D3922" s="13" t="s">
        <v>109</v>
      </c>
    </row>
    <row r="3923" spans="1:4">
      <c r="A3923" s="23">
        <v>45113</v>
      </c>
      <c r="B3923" s="13" t="s">
        <v>6309</v>
      </c>
      <c r="C3923" s="13" t="s">
        <v>6308</v>
      </c>
      <c r="D3923" s="13" t="s">
        <v>11</v>
      </c>
    </row>
    <row r="3924" spans="1:4">
      <c r="A3924" s="23">
        <v>45113</v>
      </c>
      <c r="B3924" s="13" t="s">
        <v>6311</v>
      </c>
      <c r="C3924" s="13" t="s">
        <v>6310</v>
      </c>
      <c r="D3924" s="13" t="s">
        <v>29</v>
      </c>
    </row>
    <row r="3925" spans="1:4">
      <c r="A3925" s="23">
        <v>45114</v>
      </c>
      <c r="B3925" s="13" t="s">
        <v>6313</v>
      </c>
      <c r="C3925" s="13" t="s">
        <v>6312</v>
      </c>
      <c r="D3925" s="13" t="s">
        <v>345</v>
      </c>
    </row>
    <row r="3926" spans="1:4">
      <c r="A3926" s="23">
        <v>45114</v>
      </c>
      <c r="B3926" s="13" t="s">
        <v>6315</v>
      </c>
      <c r="C3926" s="13" t="s">
        <v>6314</v>
      </c>
      <c r="D3926" s="13" t="s">
        <v>345</v>
      </c>
    </row>
    <row r="3927" spans="1:4">
      <c r="A3927" s="23">
        <v>45115</v>
      </c>
      <c r="B3927" s="13" t="s">
        <v>6317</v>
      </c>
      <c r="C3927" s="13" t="s">
        <v>6316</v>
      </c>
      <c r="D3927" s="13" t="s">
        <v>74</v>
      </c>
    </row>
    <row r="3928" spans="1:4">
      <c r="A3928" s="23">
        <v>45117</v>
      </c>
      <c r="B3928" s="13" t="s">
        <v>6318</v>
      </c>
      <c r="C3928" s="13" t="s">
        <v>2856</v>
      </c>
      <c r="D3928" s="13" t="s">
        <v>5</v>
      </c>
    </row>
    <row r="3929" spans="1:4">
      <c r="A3929" s="23">
        <v>45117</v>
      </c>
      <c r="B3929" s="13" t="s">
        <v>6320</v>
      </c>
      <c r="C3929" s="13" t="s">
        <v>6319</v>
      </c>
      <c r="D3929" s="13" t="s">
        <v>5</v>
      </c>
    </row>
    <row r="3930" spans="1:4">
      <c r="A3930" s="23">
        <v>45117</v>
      </c>
      <c r="B3930" s="13" t="s">
        <v>6322</v>
      </c>
      <c r="C3930" s="13" t="s">
        <v>6321</v>
      </c>
      <c r="D3930" s="13" t="s">
        <v>109</v>
      </c>
    </row>
    <row r="3931" spans="1:4">
      <c r="A3931" s="23">
        <v>45117</v>
      </c>
      <c r="B3931" s="13" t="s">
        <v>6324</v>
      </c>
      <c r="C3931" s="13" t="s">
        <v>6323</v>
      </c>
      <c r="D3931" s="13" t="s">
        <v>109</v>
      </c>
    </row>
    <row r="3932" spans="1:4">
      <c r="A3932" s="23">
        <v>45118</v>
      </c>
      <c r="B3932" s="13" t="s">
        <v>6326</v>
      </c>
      <c r="C3932" s="13" t="s">
        <v>6325</v>
      </c>
      <c r="D3932" s="13" t="s">
        <v>109</v>
      </c>
    </row>
    <row r="3933" spans="1:4">
      <c r="A3933" s="23">
        <v>45118</v>
      </c>
      <c r="B3933" s="13" t="s">
        <v>6328</v>
      </c>
      <c r="C3933" s="13" t="s">
        <v>6327</v>
      </c>
      <c r="D3933" s="13" t="s">
        <v>109</v>
      </c>
    </row>
    <row r="3934" spans="1:4">
      <c r="A3934" s="23">
        <v>45118</v>
      </c>
      <c r="B3934" s="13" t="s">
        <v>6330</v>
      </c>
      <c r="C3934" s="13" t="s">
        <v>6329</v>
      </c>
      <c r="D3934" s="13" t="s">
        <v>5</v>
      </c>
    </row>
    <row r="3935" spans="1:4">
      <c r="A3935" s="23">
        <v>45119</v>
      </c>
      <c r="B3935" s="13" t="s">
        <v>6332</v>
      </c>
      <c r="C3935" s="13" t="s">
        <v>6331</v>
      </c>
      <c r="D3935" s="13" t="s">
        <v>109</v>
      </c>
    </row>
    <row r="3936" spans="1:4">
      <c r="A3936" s="23">
        <v>45119</v>
      </c>
      <c r="B3936" s="13" t="s">
        <v>6334</v>
      </c>
      <c r="C3936" s="13" t="s">
        <v>6333</v>
      </c>
      <c r="D3936" s="13" t="s">
        <v>345</v>
      </c>
    </row>
    <row r="3937" spans="1:4">
      <c r="A3937" s="23">
        <v>45119</v>
      </c>
      <c r="B3937" s="13" t="s">
        <v>6332</v>
      </c>
      <c r="C3937" s="13" t="s">
        <v>6331</v>
      </c>
      <c r="D3937" s="13" t="s">
        <v>109</v>
      </c>
    </row>
    <row r="3938" spans="1:4">
      <c r="A3938" s="23">
        <v>45120</v>
      </c>
      <c r="B3938" s="13" t="s">
        <v>6336</v>
      </c>
      <c r="C3938" s="13" t="s">
        <v>6335</v>
      </c>
      <c r="D3938" s="13" t="s">
        <v>345</v>
      </c>
    </row>
    <row r="3939" spans="1:4">
      <c r="A3939" s="23">
        <v>45120</v>
      </c>
      <c r="B3939" s="13" t="s">
        <v>6338</v>
      </c>
      <c r="C3939" s="13" t="s">
        <v>6337</v>
      </c>
      <c r="D3939" s="13" t="s">
        <v>109</v>
      </c>
    </row>
    <row r="3940" spans="1:4">
      <c r="A3940" s="23">
        <v>45120</v>
      </c>
      <c r="B3940" s="13" t="s">
        <v>6340</v>
      </c>
      <c r="C3940" s="13" t="s">
        <v>6339</v>
      </c>
      <c r="D3940" s="13" t="s">
        <v>109</v>
      </c>
    </row>
    <row r="3941" spans="1:4">
      <c r="A3941" s="23">
        <v>45120</v>
      </c>
      <c r="B3941" s="13" t="s">
        <v>6342</v>
      </c>
      <c r="C3941" s="13" t="s">
        <v>6341</v>
      </c>
      <c r="D3941" s="13" t="s">
        <v>109</v>
      </c>
    </row>
    <row r="3942" spans="1:4">
      <c r="A3942" s="23">
        <v>45120</v>
      </c>
      <c r="B3942" s="13" t="s">
        <v>6344</v>
      </c>
      <c r="C3942" s="13" t="s">
        <v>6343</v>
      </c>
      <c r="D3942" s="13" t="s">
        <v>19</v>
      </c>
    </row>
    <row r="3943" spans="1:4">
      <c r="A3943" s="23">
        <v>45121</v>
      </c>
      <c r="B3943" s="13" t="s">
        <v>6346</v>
      </c>
      <c r="C3943" s="13" t="s">
        <v>6345</v>
      </c>
      <c r="D3943" s="13" t="s">
        <v>109</v>
      </c>
    </row>
    <row r="3944" spans="1:4">
      <c r="A3944" s="23">
        <v>45121</v>
      </c>
      <c r="B3944" s="13" t="s">
        <v>6348</v>
      </c>
      <c r="C3944" s="13" t="s">
        <v>6347</v>
      </c>
      <c r="D3944" s="13" t="s">
        <v>109</v>
      </c>
    </row>
    <row r="3945" spans="1:4">
      <c r="A3945" s="23">
        <v>45121</v>
      </c>
      <c r="B3945" s="13" t="s">
        <v>6350</v>
      </c>
      <c r="C3945" s="13" t="s">
        <v>6349</v>
      </c>
      <c r="D3945" s="13" t="s">
        <v>8</v>
      </c>
    </row>
    <row r="3946" spans="1:4">
      <c r="A3946" s="23">
        <v>45121</v>
      </c>
      <c r="B3946" s="13" t="s">
        <v>6352</v>
      </c>
      <c r="C3946" s="13" t="s">
        <v>6351</v>
      </c>
      <c r="D3946" s="13" t="s">
        <v>5</v>
      </c>
    </row>
    <row r="3947" spans="1:4">
      <c r="A3947" s="23">
        <v>45124</v>
      </c>
      <c r="B3947" s="13" t="s">
        <v>6354</v>
      </c>
      <c r="C3947" s="13" t="s">
        <v>6353</v>
      </c>
      <c r="D3947" s="13" t="s">
        <v>5</v>
      </c>
    </row>
    <row r="3948" spans="1:4">
      <c r="A3948" s="23">
        <v>45124</v>
      </c>
      <c r="B3948" s="13" t="s">
        <v>6356</v>
      </c>
      <c r="C3948" s="13" t="s">
        <v>6355</v>
      </c>
      <c r="D3948" s="13" t="s">
        <v>109</v>
      </c>
    </row>
    <row r="3949" spans="1:4">
      <c r="A3949" s="23">
        <v>45124</v>
      </c>
      <c r="B3949" s="13" t="s">
        <v>6358</v>
      </c>
      <c r="C3949" s="13" t="s">
        <v>6357</v>
      </c>
      <c r="D3949" s="13" t="s">
        <v>109</v>
      </c>
    </row>
    <row r="3950" spans="1:4">
      <c r="A3950" s="23">
        <v>45124</v>
      </c>
      <c r="B3950" s="13" t="s">
        <v>6360</v>
      </c>
      <c r="C3950" s="13" t="s">
        <v>6359</v>
      </c>
      <c r="D3950" s="13" t="s">
        <v>5</v>
      </c>
    </row>
    <row r="3951" spans="1:4">
      <c r="A3951" s="23">
        <v>45124</v>
      </c>
      <c r="B3951" s="13" t="s">
        <v>6362</v>
      </c>
      <c r="C3951" s="13" t="s">
        <v>6361</v>
      </c>
      <c r="D3951" s="13" t="s">
        <v>109</v>
      </c>
    </row>
    <row r="3952" spans="1:4">
      <c r="A3952" s="23">
        <v>45125</v>
      </c>
      <c r="B3952" s="13" t="s">
        <v>6364</v>
      </c>
      <c r="C3952" s="13" t="s">
        <v>6363</v>
      </c>
      <c r="D3952" s="13" t="s">
        <v>19</v>
      </c>
    </row>
    <row r="3953" spans="1:4">
      <c r="A3953" s="23">
        <v>45125</v>
      </c>
      <c r="B3953" s="13" t="s">
        <v>6366</v>
      </c>
      <c r="C3953" s="13" t="s">
        <v>6365</v>
      </c>
      <c r="D3953" s="13" t="s">
        <v>109</v>
      </c>
    </row>
    <row r="3954" spans="1:4">
      <c r="A3954" s="23">
        <v>45125</v>
      </c>
      <c r="B3954" s="13" t="s">
        <v>6364</v>
      </c>
      <c r="C3954" s="13" t="s">
        <v>6363</v>
      </c>
      <c r="D3954" s="13" t="s">
        <v>19</v>
      </c>
    </row>
    <row r="3955" spans="1:4">
      <c r="A3955" s="23">
        <v>45125</v>
      </c>
      <c r="B3955" s="13" t="s">
        <v>6368</v>
      </c>
      <c r="C3955" s="13" t="s">
        <v>6367</v>
      </c>
      <c r="D3955" s="13" t="s">
        <v>109</v>
      </c>
    </row>
    <row r="3956" spans="1:4">
      <c r="A3956" s="23">
        <v>45125</v>
      </c>
      <c r="B3956" s="13" t="s">
        <v>6369</v>
      </c>
      <c r="C3956" s="13" t="s">
        <v>6273</v>
      </c>
      <c r="D3956" s="13" t="s">
        <v>109</v>
      </c>
    </row>
    <row r="3957" spans="1:4">
      <c r="A3957" s="23">
        <v>45125</v>
      </c>
      <c r="B3957" s="13" t="s">
        <v>6371</v>
      </c>
      <c r="C3957" s="13" t="s">
        <v>6370</v>
      </c>
      <c r="D3957" s="13" t="s">
        <v>109</v>
      </c>
    </row>
    <row r="3958" spans="1:4">
      <c r="A3958" s="23">
        <v>45125</v>
      </c>
      <c r="B3958" s="13" t="s">
        <v>6373</v>
      </c>
      <c r="C3958" s="13" t="s">
        <v>6372</v>
      </c>
      <c r="D3958" s="13" t="s">
        <v>109</v>
      </c>
    </row>
    <row r="3959" spans="1:4">
      <c r="A3959" s="23">
        <v>45126</v>
      </c>
      <c r="B3959" s="13" t="s">
        <v>6375</v>
      </c>
      <c r="C3959" s="13" t="s">
        <v>6374</v>
      </c>
      <c r="D3959" s="13" t="s">
        <v>34</v>
      </c>
    </row>
    <row r="3960" spans="1:4">
      <c r="A3960" s="23">
        <v>45126</v>
      </c>
      <c r="B3960" s="13" t="s">
        <v>6376</v>
      </c>
      <c r="C3960" s="13" t="s">
        <v>6273</v>
      </c>
      <c r="D3960" s="13" t="s">
        <v>109</v>
      </c>
    </row>
    <row r="3961" spans="1:4">
      <c r="A3961" s="23">
        <v>45126</v>
      </c>
      <c r="B3961" s="13" t="s">
        <v>6378</v>
      </c>
      <c r="C3961" s="13" t="s">
        <v>6377</v>
      </c>
      <c r="D3961" s="13" t="s">
        <v>34</v>
      </c>
    </row>
    <row r="3962" spans="1:4">
      <c r="A3962" s="23">
        <v>45126</v>
      </c>
      <c r="B3962" s="13" t="s">
        <v>6380</v>
      </c>
      <c r="C3962" s="13" t="s">
        <v>6379</v>
      </c>
      <c r="D3962" s="13" t="s">
        <v>74</v>
      </c>
    </row>
    <row r="3963" spans="1:4">
      <c r="A3963" s="23">
        <v>45126</v>
      </c>
      <c r="B3963" s="13" t="s">
        <v>6382</v>
      </c>
      <c r="C3963" s="13" t="s">
        <v>6381</v>
      </c>
      <c r="D3963" s="13" t="s">
        <v>74</v>
      </c>
    </row>
    <row r="3964" spans="1:4">
      <c r="A3964" s="23">
        <v>45126</v>
      </c>
      <c r="B3964" s="13" t="s">
        <v>6384</v>
      </c>
      <c r="C3964" s="13" t="s">
        <v>6383</v>
      </c>
      <c r="D3964" s="13" t="s">
        <v>74</v>
      </c>
    </row>
    <row r="3965" spans="1:4">
      <c r="A3965" s="23">
        <v>45126</v>
      </c>
      <c r="B3965" s="13" t="s">
        <v>6386</v>
      </c>
      <c r="C3965" s="13" t="s">
        <v>6385</v>
      </c>
      <c r="D3965" s="13" t="s">
        <v>109</v>
      </c>
    </row>
    <row r="3966" spans="1:4">
      <c r="A3966" s="23">
        <v>45126</v>
      </c>
      <c r="B3966" s="13" t="s">
        <v>6388</v>
      </c>
      <c r="C3966" s="13" t="s">
        <v>6387</v>
      </c>
      <c r="D3966" s="13" t="s">
        <v>109</v>
      </c>
    </row>
    <row r="3967" spans="1:4">
      <c r="A3967" s="23">
        <v>45127</v>
      </c>
      <c r="B3967" s="13" t="s">
        <v>6390</v>
      </c>
      <c r="C3967" s="13" t="s">
        <v>6389</v>
      </c>
      <c r="D3967" s="13" t="s">
        <v>109</v>
      </c>
    </row>
    <row r="3968" spans="1:4">
      <c r="A3968" s="23">
        <v>45127</v>
      </c>
      <c r="B3968" s="13" t="s">
        <v>6392</v>
      </c>
      <c r="C3968" s="13" t="s">
        <v>6391</v>
      </c>
      <c r="D3968" s="13" t="s">
        <v>109</v>
      </c>
    </row>
    <row r="3969" spans="1:4">
      <c r="A3969" s="23">
        <v>45127</v>
      </c>
      <c r="B3969" s="13" t="s">
        <v>6394</v>
      </c>
      <c r="C3969" s="13" t="s">
        <v>6393</v>
      </c>
      <c r="D3969" s="13" t="s">
        <v>109</v>
      </c>
    </row>
    <row r="3970" spans="1:4">
      <c r="A3970" s="23">
        <v>45128</v>
      </c>
      <c r="B3970" s="13" t="s">
        <v>5445</v>
      </c>
      <c r="C3970" s="13" t="s">
        <v>5444</v>
      </c>
      <c r="D3970" s="13" t="s">
        <v>34</v>
      </c>
    </row>
    <row r="3971" spans="1:4">
      <c r="A3971" s="23">
        <v>45128</v>
      </c>
      <c r="B3971" s="13" t="s">
        <v>6396</v>
      </c>
      <c r="C3971" s="13" t="s">
        <v>6395</v>
      </c>
      <c r="D3971" s="13" t="s">
        <v>109</v>
      </c>
    </row>
    <row r="3972" spans="1:4">
      <c r="A3972" s="23">
        <v>45131</v>
      </c>
      <c r="B3972" s="13" t="s">
        <v>6398</v>
      </c>
      <c r="C3972" s="13" t="s">
        <v>6397</v>
      </c>
      <c r="D3972" s="13" t="s">
        <v>109</v>
      </c>
    </row>
    <row r="3973" spans="1:4">
      <c r="A3973" s="23">
        <v>45131</v>
      </c>
      <c r="B3973" s="13" t="s">
        <v>6399</v>
      </c>
      <c r="C3973" s="22">
        <v>45040</v>
      </c>
      <c r="D3973" s="13" t="s">
        <v>109</v>
      </c>
    </row>
    <row r="3974" spans="1:4">
      <c r="A3974" s="23">
        <v>45132</v>
      </c>
      <c r="B3974" s="13" t="s">
        <v>6401</v>
      </c>
      <c r="C3974" s="13" t="s">
        <v>6400</v>
      </c>
      <c r="D3974" s="13" t="s">
        <v>11</v>
      </c>
    </row>
    <row r="3975" spans="1:4">
      <c r="A3975" s="23">
        <v>45132</v>
      </c>
      <c r="B3975" s="13" t="s">
        <v>6403</v>
      </c>
      <c r="C3975" s="13" t="s">
        <v>6402</v>
      </c>
      <c r="D3975" s="13" t="s">
        <v>109</v>
      </c>
    </row>
    <row r="3976" spans="1:4">
      <c r="A3976" s="23">
        <v>45132</v>
      </c>
      <c r="B3976" s="13" t="s">
        <v>6405</v>
      </c>
      <c r="C3976" s="13" t="s">
        <v>6404</v>
      </c>
      <c r="D3976" s="13" t="s">
        <v>109</v>
      </c>
    </row>
    <row r="3977" spans="1:4">
      <c r="A3977" s="23">
        <v>45132</v>
      </c>
      <c r="B3977" s="13" t="s">
        <v>6407</v>
      </c>
      <c r="C3977" s="13" t="s">
        <v>6406</v>
      </c>
      <c r="D3977" s="13" t="s">
        <v>34</v>
      </c>
    </row>
    <row r="3978" spans="1:4">
      <c r="A3978" s="23">
        <v>45132</v>
      </c>
      <c r="B3978" s="13" t="s">
        <v>6409</v>
      </c>
      <c r="C3978" s="13" t="s">
        <v>6408</v>
      </c>
      <c r="D3978" s="13" t="s">
        <v>16</v>
      </c>
    </row>
    <row r="3979" spans="1:4">
      <c r="A3979" s="23">
        <v>45133</v>
      </c>
      <c r="B3979" s="13" t="s">
        <v>6411</v>
      </c>
      <c r="C3979" s="13" t="s">
        <v>6410</v>
      </c>
      <c r="D3979" s="13" t="s">
        <v>109</v>
      </c>
    </row>
    <row r="3980" spans="1:4">
      <c r="A3980" s="23">
        <v>45133</v>
      </c>
      <c r="B3980" s="13" t="s">
        <v>6413</v>
      </c>
      <c r="C3980" s="13" t="s">
        <v>6412</v>
      </c>
      <c r="D3980" s="13" t="s">
        <v>5</v>
      </c>
    </row>
    <row r="3981" spans="1:4">
      <c r="A3981" s="23">
        <v>45133</v>
      </c>
      <c r="B3981" s="13" t="s">
        <v>6415</v>
      </c>
      <c r="C3981" s="13" t="s">
        <v>6414</v>
      </c>
      <c r="D3981" s="13" t="s">
        <v>109</v>
      </c>
    </row>
    <row r="3982" spans="1:4">
      <c r="A3982" s="23">
        <v>45216</v>
      </c>
      <c r="B3982" s="13" t="s">
        <v>6417</v>
      </c>
      <c r="C3982" s="13" t="s">
        <v>6416</v>
      </c>
      <c r="D3982" s="13" t="s">
        <v>109</v>
      </c>
    </row>
    <row r="3983" spans="1:4">
      <c r="A3983" s="23">
        <v>45134</v>
      </c>
      <c r="B3983" s="13" t="s">
        <v>6419</v>
      </c>
      <c r="C3983" s="13" t="s">
        <v>6418</v>
      </c>
      <c r="D3983" s="13" t="s">
        <v>109</v>
      </c>
    </row>
    <row r="3984" spans="1:4">
      <c r="A3984" s="23">
        <v>45134</v>
      </c>
      <c r="B3984" s="13" t="s">
        <v>6421</v>
      </c>
      <c r="C3984" s="13" t="s">
        <v>6420</v>
      </c>
      <c r="D3984" s="13" t="s">
        <v>19</v>
      </c>
    </row>
    <row r="3985" spans="1:4">
      <c r="A3985" s="23">
        <v>45212</v>
      </c>
      <c r="B3985" s="13" t="s">
        <v>6423</v>
      </c>
      <c r="C3985" s="13" t="s">
        <v>6422</v>
      </c>
      <c r="D3985" s="13" t="s">
        <v>109</v>
      </c>
    </row>
    <row r="3986" spans="1:4">
      <c r="A3986" s="23">
        <v>45134</v>
      </c>
      <c r="B3986" s="13" t="s">
        <v>6425</v>
      </c>
      <c r="C3986" s="13" t="s">
        <v>6424</v>
      </c>
      <c r="D3986" s="13" t="s">
        <v>109</v>
      </c>
    </row>
    <row r="3987" spans="1:4">
      <c r="A3987" s="23">
        <v>45134</v>
      </c>
      <c r="B3987" s="13" t="s">
        <v>6427</v>
      </c>
      <c r="C3987" s="13" t="s">
        <v>6426</v>
      </c>
      <c r="D3987" s="13" t="s">
        <v>109</v>
      </c>
    </row>
    <row r="3988" spans="1:4">
      <c r="A3988" s="23">
        <v>45138</v>
      </c>
      <c r="B3988" s="13" t="s">
        <v>6429</v>
      </c>
      <c r="C3988" s="13" t="s">
        <v>6428</v>
      </c>
      <c r="D3988" s="13" t="s">
        <v>109</v>
      </c>
    </row>
    <row r="3989" spans="1:4">
      <c r="A3989" s="23">
        <v>45139</v>
      </c>
      <c r="B3989" s="13" t="s">
        <v>6431</v>
      </c>
      <c r="C3989" s="13" t="s">
        <v>6430</v>
      </c>
      <c r="D3989" s="13" t="s">
        <v>109</v>
      </c>
    </row>
    <row r="3990" spans="1:4">
      <c r="A3990" s="23">
        <v>45139</v>
      </c>
      <c r="B3990" s="13" t="s">
        <v>6433</v>
      </c>
      <c r="C3990" s="13" t="s">
        <v>6432</v>
      </c>
      <c r="D3990" s="13" t="s">
        <v>109</v>
      </c>
    </row>
    <row r="3991" spans="1:4">
      <c r="A3991" s="23">
        <v>45212</v>
      </c>
      <c r="B3991" s="13" t="s">
        <v>6435</v>
      </c>
      <c r="C3991" s="13" t="s">
        <v>6434</v>
      </c>
      <c r="D3991" s="13" t="s">
        <v>109</v>
      </c>
    </row>
    <row r="3992" spans="1:4">
      <c r="A3992" s="23">
        <v>45139</v>
      </c>
      <c r="B3992" s="13" t="s">
        <v>6437</v>
      </c>
      <c r="C3992" s="13" t="s">
        <v>6436</v>
      </c>
      <c r="D3992" s="13" t="s">
        <v>109</v>
      </c>
    </row>
    <row r="3993" spans="1:4">
      <c r="A3993" s="23">
        <v>45212</v>
      </c>
      <c r="B3993" s="13" t="s">
        <v>6439</v>
      </c>
      <c r="C3993" s="13" t="s">
        <v>6438</v>
      </c>
      <c r="D3993" s="13" t="s">
        <v>109</v>
      </c>
    </row>
    <row r="3994" spans="1:4">
      <c r="A3994" s="23">
        <v>45219</v>
      </c>
      <c r="B3994" s="13" t="s">
        <v>6441</v>
      </c>
      <c r="C3994" s="13" t="s">
        <v>6440</v>
      </c>
      <c r="D3994" s="13" t="s">
        <v>109</v>
      </c>
    </row>
    <row r="3995" spans="1:4">
      <c r="A3995" s="23">
        <v>45218</v>
      </c>
      <c r="B3995" s="13" t="s">
        <v>6443</v>
      </c>
      <c r="C3995" s="13" t="s">
        <v>6442</v>
      </c>
      <c r="D3995" s="13" t="s">
        <v>109</v>
      </c>
    </row>
    <row r="3996" spans="1:4">
      <c r="A3996" s="23">
        <v>45140</v>
      </c>
      <c r="B3996" s="13" t="s">
        <v>6445</v>
      </c>
      <c r="C3996" s="13" t="s">
        <v>6444</v>
      </c>
      <c r="D3996" s="13" t="s">
        <v>29</v>
      </c>
    </row>
    <row r="3997" spans="1:4">
      <c r="A3997" s="23">
        <v>45140</v>
      </c>
      <c r="B3997" s="13" t="s">
        <v>5625</v>
      </c>
      <c r="C3997" s="13" t="s">
        <v>6446</v>
      </c>
      <c r="D3997" s="13" t="s">
        <v>141</v>
      </c>
    </row>
    <row r="3998" spans="1:4">
      <c r="A3998" s="23">
        <v>45140</v>
      </c>
      <c r="B3998" s="13" t="s">
        <v>6448</v>
      </c>
      <c r="C3998" s="13" t="s">
        <v>6447</v>
      </c>
      <c r="D3998" s="13" t="s">
        <v>74</v>
      </c>
    </row>
    <row r="3999" spans="1:4">
      <c r="A3999" s="23">
        <v>45140</v>
      </c>
      <c r="B3999" s="13" t="s">
        <v>6450</v>
      </c>
      <c r="C3999" s="13" t="s">
        <v>6449</v>
      </c>
      <c r="D3999" s="13" t="s">
        <v>74</v>
      </c>
    </row>
    <row r="4000" spans="1:4">
      <c r="A4000" s="23">
        <v>45140</v>
      </c>
      <c r="B4000" s="13" t="s">
        <v>6452</v>
      </c>
      <c r="C4000" s="13" t="s">
        <v>6451</v>
      </c>
      <c r="D4000" s="13" t="s">
        <v>109</v>
      </c>
    </row>
    <row r="4001" spans="1:4">
      <c r="A4001" s="23">
        <v>45140</v>
      </c>
      <c r="B4001" s="13" t="s">
        <v>6454</v>
      </c>
      <c r="C4001" s="13" t="s">
        <v>6453</v>
      </c>
      <c r="D4001" s="13" t="s">
        <v>109</v>
      </c>
    </row>
    <row r="4002" spans="1:4">
      <c r="A4002" s="23">
        <v>45141</v>
      </c>
      <c r="B4002" s="13" t="s">
        <v>6456</v>
      </c>
      <c r="C4002" s="13" t="s">
        <v>6455</v>
      </c>
      <c r="D4002" s="13" t="s">
        <v>29</v>
      </c>
    </row>
    <row r="4003" spans="1:4">
      <c r="A4003" s="23">
        <v>45141</v>
      </c>
      <c r="B4003" s="13" t="s">
        <v>6421</v>
      </c>
      <c r="C4003" s="13" t="s">
        <v>6420</v>
      </c>
      <c r="D4003" s="13" t="s">
        <v>19</v>
      </c>
    </row>
    <row r="4004" spans="1:4">
      <c r="A4004" s="23">
        <v>45141</v>
      </c>
      <c r="B4004" s="13" t="s">
        <v>6421</v>
      </c>
      <c r="C4004" s="13" t="s">
        <v>6420</v>
      </c>
      <c r="D4004" s="13" t="s">
        <v>19</v>
      </c>
    </row>
    <row r="4005" spans="1:4">
      <c r="A4005" s="23">
        <v>45141</v>
      </c>
      <c r="B4005" s="13" t="s">
        <v>6458</v>
      </c>
      <c r="C4005" s="13" t="s">
        <v>6457</v>
      </c>
      <c r="D4005" s="13" t="s">
        <v>29</v>
      </c>
    </row>
    <row r="4006" spans="1:4">
      <c r="A4006" s="23">
        <v>45142</v>
      </c>
      <c r="B4006" s="13" t="s">
        <v>6212</v>
      </c>
      <c r="C4006" s="13" t="s">
        <v>6211</v>
      </c>
      <c r="D4006" s="13" t="s">
        <v>109</v>
      </c>
    </row>
    <row r="4007" spans="1:4">
      <c r="A4007" s="23">
        <v>45142</v>
      </c>
      <c r="B4007" s="13" t="s">
        <v>6460</v>
      </c>
      <c r="C4007" s="13" t="s">
        <v>6459</v>
      </c>
      <c r="D4007" s="13" t="s">
        <v>74</v>
      </c>
    </row>
    <row r="4008" spans="1:4">
      <c r="A4008" s="23">
        <v>45142</v>
      </c>
      <c r="B4008" s="13" t="s">
        <v>6462</v>
      </c>
      <c r="C4008" s="13" t="s">
        <v>6461</v>
      </c>
      <c r="D4008" s="13" t="s">
        <v>109</v>
      </c>
    </row>
    <row r="4009" spans="1:4">
      <c r="A4009" s="23">
        <v>45142</v>
      </c>
      <c r="B4009" s="13" t="s">
        <v>6464</v>
      </c>
      <c r="C4009" s="13" t="s">
        <v>6463</v>
      </c>
      <c r="D4009" s="13" t="s">
        <v>109</v>
      </c>
    </row>
    <row r="4010" spans="1:4">
      <c r="A4010" s="23">
        <v>45142</v>
      </c>
      <c r="B4010" s="13" t="s">
        <v>6465</v>
      </c>
      <c r="C4010" s="13" t="s">
        <v>1737</v>
      </c>
      <c r="D4010" s="13" t="s">
        <v>353</v>
      </c>
    </row>
    <row r="4011" spans="1:4">
      <c r="A4011" s="23">
        <v>45142</v>
      </c>
      <c r="B4011" s="13" t="s">
        <v>6468</v>
      </c>
      <c r="C4011" s="13" t="s">
        <v>6466</v>
      </c>
      <c r="D4011" s="13" t="s">
        <v>6467</v>
      </c>
    </row>
    <row r="4012" spans="1:4">
      <c r="A4012" s="23">
        <v>45145</v>
      </c>
      <c r="B4012" s="13" t="s">
        <v>6470</v>
      </c>
      <c r="C4012" s="13" t="s">
        <v>6469</v>
      </c>
      <c r="D4012" s="13" t="s">
        <v>29</v>
      </c>
    </row>
    <row r="4013" spans="1:4">
      <c r="A4013" s="23">
        <v>45145</v>
      </c>
      <c r="B4013" s="13" t="s">
        <v>6472</v>
      </c>
      <c r="C4013" s="13" t="s">
        <v>6471</v>
      </c>
      <c r="D4013" s="13" t="s">
        <v>74</v>
      </c>
    </row>
    <row r="4014" spans="1:4">
      <c r="A4014" s="23">
        <v>45145</v>
      </c>
      <c r="B4014" s="13" t="s">
        <v>6474</v>
      </c>
      <c r="C4014" s="13" t="s">
        <v>6473</v>
      </c>
      <c r="D4014" s="13" t="s">
        <v>109</v>
      </c>
    </row>
    <row r="4015" spans="1:4">
      <c r="A4015" s="23">
        <v>45145</v>
      </c>
      <c r="B4015" s="13" t="s">
        <v>6476</v>
      </c>
      <c r="C4015" s="13" t="s">
        <v>6475</v>
      </c>
      <c r="D4015" s="13" t="s">
        <v>109</v>
      </c>
    </row>
    <row r="4016" spans="1:4">
      <c r="A4016" s="23">
        <v>45147</v>
      </c>
      <c r="B4016" s="13" t="s">
        <v>6478</v>
      </c>
      <c r="C4016" s="13" t="s">
        <v>6477</v>
      </c>
      <c r="D4016" s="13" t="s">
        <v>5</v>
      </c>
    </row>
    <row r="4017" spans="1:4">
      <c r="A4017" s="23">
        <v>45147</v>
      </c>
      <c r="B4017" s="13" t="s">
        <v>6480</v>
      </c>
      <c r="C4017" s="13" t="s">
        <v>6479</v>
      </c>
      <c r="D4017" s="13" t="s">
        <v>74</v>
      </c>
    </row>
    <row r="4018" spans="1:4">
      <c r="A4018" s="23">
        <v>45147</v>
      </c>
      <c r="B4018" s="13" t="s">
        <v>6482</v>
      </c>
      <c r="C4018" s="13" t="s">
        <v>6481</v>
      </c>
      <c r="D4018" s="13" t="s">
        <v>109</v>
      </c>
    </row>
    <row r="4019" spans="1:4">
      <c r="A4019" s="23">
        <v>45147</v>
      </c>
      <c r="B4019" s="13" t="s">
        <v>6484</v>
      </c>
      <c r="C4019" s="13" t="s">
        <v>6483</v>
      </c>
      <c r="D4019" s="13" t="s">
        <v>109</v>
      </c>
    </row>
    <row r="4020" spans="1:4">
      <c r="A4020" s="23">
        <v>45147</v>
      </c>
      <c r="B4020" s="13" t="s">
        <v>6486</v>
      </c>
      <c r="C4020" s="13" t="s">
        <v>6485</v>
      </c>
      <c r="D4020" s="13" t="s">
        <v>74</v>
      </c>
    </row>
    <row r="4021" spans="1:4">
      <c r="A4021" s="23">
        <v>45148</v>
      </c>
      <c r="B4021" s="13" t="s">
        <v>6488</v>
      </c>
      <c r="C4021" s="13" t="s">
        <v>6487</v>
      </c>
      <c r="D4021" s="13" t="s">
        <v>29</v>
      </c>
    </row>
    <row r="4022" spans="1:4">
      <c r="A4022" s="23">
        <v>45148</v>
      </c>
      <c r="B4022" s="13" t="s">
        <v>6490</v>
      </c>
      <c r="C4022" s="13" t="s">
        <v>6489</v>
      </c>
      <c r="D4022" s="13" t="s">
        <v>29</v>
      </c>
    </row>
    <row r="4023" spans="1:4">
      <c r="A4023" s="23">
        <v>45148</v>
      </c>
      <c r="B4023" s="13" t="s">
        <v>6492</v>
      </c>
      <c r="C4023" s="13" t="s">
        <v>6491</v>
      </c>
      <c r="D4023" s="13" t="s">
        <v>109</v>
      </c>
    </row>
    <row r="4024" spans="1:4">
      <c r="A4024" s="23">
        <v>45149</v>
      </c>
      <c r="B4024" s="13" t="s">
        <v>6494</v>
      </c>
      <c r="C4024" s="13" t="s">
        <v>6493</v>
      </c>
      <c r="D4024" s="13" t="s">
        <v>109</v>
      </c>
    </row>
    <row r="4025" spans="1:4">
      <c r="A4025" s="23">
        <v>45149</v>
      </c>
      <c r="B4025" s="13" t="s">
        <v>6496</v>
      </c>
      <c r="C4025" s="13" t="s">
        <v>6495</v>
      </c>
      <c r="D4025" s="13" t="s">
        <v>5</v>
      </c>
    </row>
    <row r="4026" spans="1:4">
      <c r="A4026" s="23">
        <v>45149</v>
      </c>
      <c r="B4026" s="13" t="s">
        <v>6498</v>
      </c>
      <c r="C4026" s="13" t="s">
        <v>6497</v>
      </c>
      <c r="D4026" s="13" t="s">
        <v>74</v>
      </c>
    </row>
    <row r="4027" spans="1:4">
      <c r="A4027" s="23">
        <v>45149</v>
      </c>
      <c r="B4027" s="13" t="s">
        <v>6500</v>
      </c>
      <c r="C4027" s="13" t="s">
        <v>6499</v>
      </c>
      <c r="D4027" s="13" t="s">
        <v>5</v>
      </c>
    </row>
    <row r="4028" spans="1:4">
      <c r="A4028" s="23">
        <v>45149</v>
      </c>
      <c r="B4028" s="13" t="s">
        <v>6502</v>
      </c>
      <c r="C4028" s="13" t="s">
        <v>6501</v>
      </c>
      <c r="D4028" s="13" t="s">
        <v>19</v>
      </c>
    </row>
    <row r="4029" spans="1:4">
      <c r="A4029" s="23">
        <v>45149</v>
      </c>
      <c r="B4029" s="13" t="s">
        <v>6504</v>
      </c>
      <c r="C4029" s="13" t="s">
        <v>6503</v>
      </c>
      <c r="D4029" s="13" t="s">
        <v>109</v>
      </c>
    </row>
    <row r="4030" spans="1:4">
      <c r="A4030" s="23">
        <v>45149</v>
      </c>
      <c r="B4030" s="13" t="s">
        <v>6506</v>
      </c>
      <c r="C4030" s="13" t="s">
        <v>6505</v>
      </c>
      <c r="D4030" s="13" t="s">
        <v>109</v>
      </c>
    </row>
    <row r="4031" spans="1:4">
      <c r="A4031" s="23">
        <v>45152</v>
      </c>
      <c r="B4031" s="13" t="s">
        <v>6508</v>
      </c>
      <c r="C4031" s="13" t="s">
        <v>6507</v>
      </c>
      <c r="D4031" s="13" t="s">
        <v>109</v>
      </c>
    </row>
    <row r="4032" spans="1:4">
      <c r="A4032" s="23">
        <v>45152</v>
      </c>
      <c r="B4032" s="13" t="s">
        <v>6508</v>
      </c>
      <c r="C4032" s="13" t="s">
        <v>6507</v>
      </c>
      <c r="D4032" s="13" t="s">
        <v>109</v>
      </c>
    </row>
    <row r="4033" spans="1:4">
      <c r="A4033" s="23">
        <v>45152</v>
      </c>
      <c r="B4033" s="13" t="s">
        <v>6510</v>
      </c>
      <c r="C4033" s="13" t="s">
        <v>6509</v>
      </c>
      <c r="D4033" s="13" t="s">
        <v>19</v>
      </c>
    </row>
    <row r="4034" spans="1:4">
      <c r="A4034" s="23">
        <v>45152</v>
      </c>
      <c r="B4034" s="13" t="s">
        <v>6512</v>
      </c>
      <c r="C4034" s="13" t="s">
        <v>6511</v>
      </c>
      <c r="D4034" s="13" t="s">
        <v>141</v>
      </c>
    </row>
    <row r="4035" spans="1:4">
      <c r="A4035" s="23">
        <v>45153</v>
      </c>
      <c r="B4035" s="13" t="s">
        <v>6514</v>
      </c>
      <c r="C4035" s="13" t="s">
        <v>6513</v>
      </c>
      <c r="D4035" s="13" t="s">
        <v>109</v>
      </c>
    </row>
    <row r="4036" spans="1:4">
      <c r="A4036" s="23">
        <v>45153</v>
      </c>
      <c r="B4036" s="13" t="s">
        <v>6516</v>
      </c>
      <c r="C4036" s="13" t="s">
        <v>6515</v>
      </c>
      <c r="D4036" s="13" t="s">
        <v>109</v>
      </c>
    </row>
    <row r="4037" spans="1:4">
      <c r="A4037" s="23">
        <v>45154</v>
      </c>
      <c r="B4037" s="13" t="s">
        <v>6517</v>
      </c>
      <c r="C4037" s="13" t="s">
        <v>5861</v>
      </c>
      <c r="D4037" s="13" t="s">
        <v>74</v>
      </c>
    </row>
    <row r="4038" spans="1:4">
      <c r="A4038" s="23">
        <v>45154</v>
      </c>
      <c r="B4038" s="13" t="s">
        <v>6519</v>
      </c>
      <c r="C4038" s="13" t="s">
        <v>6518</v>
      </c>
      <c r="D4038" s="13" t="s">
        <v>109</v>
      </c>
    </row>
    <row r="4039" spans="1:4">
      <c r="A4039" s="23">
        <v>45154</v>
      </c>
      <c r="B4039" s="13" t="s">
        <v>6521</v>
      </c>
      <c r="C4039" s="13" t="s">
        <v>6520</v>
      </c>
      <c r="D4039" s="13" t="s">
        <v>109</v>
      </c>
    </row>
    <row r="4040" spans="1:4">
      <c r="A4040" s="23">
        <v>45154</v>
      </c>
      <c r="B4040" s="13" t="s">
        <v>6523</v>
      </c>
      <c r="C4040" s="13" t="s">
        <v>6522</v>
      </c>
      <c r="D4040" s="13" t="s">
        <v>109</v>
      </c>
    </row>
    <row r="4041" spans="1:4">
      <c r="A4041" s="23">
        <v>45154</v>
      </c>
      <c r="B4041" s="13" t="s">
        <v>6525</v>
      </c>
      <c r="C4041" s="13" t="s">
        <v>6524</v>
      </c>
      <c r="D4041" s="13" t="s">
        <v>216</v>
      </c>
    </row>
    <row r="4042" spans="1:4">
      <c r="A4042" s="23">
        <v>45154</v>
      </c>
      <c r="B4042" s="13" t="s">
        <v>6527</v>
      </c>
      <c r="C4042" s="13" t="s">
        <v>6526</v>
      </c>
      <c r="D4042" s="13" t="s">
        <v>74</v>
      </c>
    </row>
    <row r="4043" spans="1:4">
      <c r="A4043" s="23">
        <v>45155</v>
      </c>
      <c r="B4043" s="13" t="s">
        <v>6529</v>
      </c>
      <c r="C4043" s="13" t="s">
        <v>6528</v>
      </c>
      <c r="D4043" s="13" t="s">
        <v>345</v>
      </c>
    </row>
    <row r="4044" spans="1:4">
      <c r="A4044" s="23">
        <v>45155</v>
      </c>
      <c r="B4044" s="13" t="s">
        <v>6531</v>
      </c>
      <c r="C4044" s="13" t="s">
        <v>6530</v>
      </c>
      <c r="D4044" s="13" t="s">
        <v>29</v>
      </c>
    </row>
    <row r="4045" spans="1:4">
      <c r="A4045" s="23">
        <v>45155</v>
      </c>
      <c r="B4045" s="13" t="s">
        <v>6533</v>
      </c>
      <c r="C4045" s="13" t="s">
        <v>6532</v>
      </c>
      <c r="D4045" s="13" t="s">
        <v>109</v>
      </c>
    </row>
    <row r="4046" spans="1:4">
      <c r="A4046" s="23">
        <v>45155</v>
      </c>
      <c r="B4046" s="13" t="s">
        <v>6535</v>
      </c>
      <c r="C4046" s="13" t="s">
        <v>6534</v>
      </c>
      <c r="D4046" s="13" t="s">
        <v>29</v>
      </c>
    </row>
    <row r="4047" spans="1:4">
      <c r="A4047" s="23">
        <v>45155</v>
      </c>
      <c r="B4047" s="13" t="s">
        <v>6537</v>
      </c>
      <c r="C4047" s="13" t="s">
        <v>6536</v>
      </c>
      <c r="D4047" s="13" t="s">
        <v>109</v>
      </c>
    </row>
    <row r="4048" spans="1:4">
      <c r="A4048" s="23">
        <v>45155</v>
      </c>
      <c r="B4048" s="13" t="s">
        <v>6537</v>
      </c>
      <c r="C4048" s="13" t="s">
        <v>6536</v>
      </c>
      <c r="D4048" s="13" t="s">
        <v>109</v>
      </c>
    </row>
    <row r="4049" spans="1:4">
      <c r="A4049" s="23">
        <v>45155</v>
      </c>
      <c r="B4049" s="13" t="s">
        <v>6539</v>
      </c>
      <c r="C4049" s="13" t="s">
        <v>6538</v>
      </c>
      <c r="D4049" s="13" t="s">
        <v>345</v>
      </c>
    </row>
    <row r="4050" spans="1:4">
      <c r="A4050" s="23">
        <v>45156</v>
      </c>
      <c r="B4050" s="13" t="s">
        <v>6541</v>
      </c>
      <c r="C4050" s="13" t="s">
        <v>6540</v>
      </c>
      <c r="D4050" s="13" t="s">
        <v>109</v>
      </c>
    </row>
    <row r="4051" spans="1:4">
      <c r="A4051" s="23">
        <v>45156</v>
      </c>
      <c r="B4051" s="13" t="s">
        <v>6543</v>
      </c>
      <c r="C4051" s="13" t="s">
        <v>6542</v>
      </c>
      <c r="D4051" s="13" t="s">
        <v>109</v>
      </c>
    </row>
    <row r="4052" spans="1:4">
      <c r="A4052" s="23">
        <v>45156</v>
      </c>
      <c r="B4052" s="13" t="s">
        <v>6541</v>
      </c>
      <c r="C4052" s="13" t="s">
        <v>6540</v>
      </c>
      <c r="D4052" s="13" t="s">
        <v>109</v>
      </c>
    </row>
    <row r="4053" spans="1:4">
      <c r="A4053" s="23">
        <v>45160</v>
      </c>
      <c r="B4053" s="13" t="s">
        <v>6545</v>
      </c>
      <c r="C4053" s="13" t="s">
        <v>6544</v>
      </c>
      <c r="D4053" s="13" t="s">
        <v>29</v>
      </c>
    </row>
    <row r="4054" spans="1:4">
      <c r="A4054" s="23">
        <v>45162</v>
      </c>
      <c r="B4054" s="13" t="s">
        <v>6547</v>
      </c>
      <c r="C4054" s="13" t="s">
        <v>6546</v>
      </c>
      <c r="D4054" s="13" t="s">
        <v>16</v>
      </c>
    </row>
    <row r="4055" spans="1:4">
      <c r="A4055" s="23">
        <v>45162</v>
      </c>
      <c r="B4055" s="13" t="s">
        <v>6548</v>
      </c>
      <c r="C4055" s="13" t="s">
        <v>6432</v>
      </c>
      <c r="D4055" s="13" t="s">
        <v>109</v>
      </c>
    </row>
    <row r="4056" spans="1:4">
      <c r="A4056" s="23">
        <v>45162</v>
      </c>
      <c r="B4056" s="13" t="s">
        <v>6550</v>
      </c>
      <c r="C4056" s="13" t="s">
        <v>6549</v>
      </c>
      <c r="D4056" s="13" t="s">
        <v>345</v>
      </c>
    </row>
    <row r="4057" spans="1:4">
      <c r="A4057" s="23">
        <v>45163</v>
      </c>
      <c r="B4057" s="13" t="s">
        <v>6552</v>
      </c>
      <c r="C4057" s="13" t="s">
        <v>6551</v>
      </c>
      <c r="D4057" s="13" t="s">
        <v>109</v>
      </c>
    </row>
    <row r="4058" spans="1:4">
      <c r="A4058" s="23">
        <v>45163</v>
      </c>
      <c r="B4058" s="13" t="s">
        <v>6554</v>
      </c>
      <c r="C4058" s="13" t="s">
        <v>6553</v>
      </c>
      <c r="D4058" s="13" t="s">
        <v>109</v>
      </c>
    </row>
    <row r="4059" spans="1:4">
      <c r="A4059" s="23">
        <v>45163</v>
      </c>
      <c r="B4059" s="13" t="s">
        <v>6556</v>
      </c>
      <c r="C4059" s="13" t="s">
        <v>6555</v>
      </c>
      <c r="D4059" s="13" t="s">
        <v>109</v>
      </c>
    </row>
    <row r="4060" spans="1:4">
      <c r="A4060" s="23">
        <v>45163</v>
      </c>
      <c r="B4060" s="13" t="s">
        <v>6558</v>
      </c>
      <c r="C4060" s="13" t="s">
        <v>6557</v>
      </c>
      <c r="D4060" s="13" t="s">
        <v>109</v>
      </c>
    </row>
    <row r="4061" spans="1:4">
      <c r="A4061" s="23">
        <v>45164</v>
      </c>
      <c r="B4061" s="13" t="s">
        <v>6560</v>
      </c>
      <c r="C4061" s="13" t="s">
        <v>6559</v>
      </c>
      <c r="D4061" s="13" t="s">
        <v>594</v>
      </c>
    </row>
    <row r="4062" spans="1:4">
      <c r="A4062" s="23">
        <v>45164</v>
      </c>
      <c r="B4062" s="13" t="s">
        <v>6562</v>
      </c>
      <c r="C4062" s="13" t="s">
        <v>6561</v>
      </c>
      <c r="D4062" s="13" t="s">
        <v>594</v>
      </c>
    </row>
    <row r="4063" spans="1:4">
      <c r="A4063" s="23">
        <v>45165</v>
      </c>
      <c r="B4063" s="13" t="s">
        <v>6564</v>
      </c>
      <c r="C4063" s="13" t="s">
        <v>6563</v>
      </c>
      <c r="D4063" s="13" t="s">
        <v>29</v>
      </c>
    </row>
    <row r="4064" spans="1:4">
      <c r="A4064" s="23">
        <v>45166</v>
      </c>
      <c r="B4064" s="13" t="s">
        <v>6566</v>
      </c>
      <c r="C4064" s="13" t="s">
        <v>6565</v>
      </c>
      <c r="D4064" s="13" t="s">
        <v>109</v>
      </c>
    </row>
    <row r="4065" spans="1:4">
      <c r="A4065" s="23">
        <v>45168</v>
      </c>
      <c r="B4065" s="13" t="s">
        <v>6568</v>
      </c>
      <c r="C4065" s="13" t="s">
        <v>6567</v>
      </c>
      <c r="D4065" s="13" t="s">
        <v>109</v>
      </c>
    </row>
    <row r="4066" spans="1:4">
      <c r="A4066" s="23">
        <v>45169</v>
      </c>
      <c r="B4066" s="13" t="s">
        <v>6570</v>
      </c>
      <c r="C4066" s="13" t="s">
        <v>6569</v>
      </c>
      <c r="D4066" s="13" t="s">
        <v>594</v>
      </c>
    </row>
    <row r="4067" spans="1:4">
      <c r="A4067" s="23">
        <v>45169</v>
      </c>
      <c r="B4067" s="13" t="s">
        <v>6571</v>
      </c>
      <c r="C4067" s="13" t="s">
        <v>6561</v>
      </c>
      <c r="D4067" s="13" t="s">
        <v>594</v>
      </c>
    </row>
    <row r="4068" spans="1:4">
      <c r="A4068" s="23">
        <v>45169</v>
      </c>
      <c r="B4068" s="13" t="s">
        <v>6573</v>
      </c>
      <c r="C4068" s="13" t="s">
        <v>6572</v>
      </c>
      <c r="D4068" s="13" t="s">
        <v>109</v>
      </c>
    </row>
    <row r="4069" spans="1:4">
      <c r="A4069" s="23">
        <v>45170</v>
      </c>
      <c r="B4069" s="13" t="s">
        <v>6575</v>
      </c>
      <c r="C4069" s="13" t="s">
        <v>6574</v>
      </c>
      <c r="D4069" s="13" t="s">
        <v>74</v>
      </c>
    </row>
    <row r="4070" spans="1:4">
      <c r="A4070" s="23">
        <v>45170</v>
      </c>
      <c r="B4070" s="13" t="s">
        <v>6576</v>
      </c>
      <c r="C4070" s="13" t="s">
        <v>3443</v>
      </c>
      <c r="D4070" s="13" t="s">
        <v>74</v>
      </c>
    </row>
    <row r="4071" spans="1:4">
      <c r="A4071" s="23">
        <v>45171</v>
      </c>
      <c r="B4071" s="13" t="s">
        <v>6578</v>
      </c>
      <c r="C4071" s="13" t="s">
        <v>6577</v>
      </c>
      <c r="D4071" s="13" t="s">
        <v>74</v>
      </c>
    </row>
    <row r="4072" spans="1:4">
      <c r="A4072" s="23">
        <v>45171</v>
      </c>
      <c r="B4072" s="13" t="s">
        <v>6580</v>
      </c>
      <c r="C4072" s="13" t="s">
        <v>6579</v>
      </c>
      <c r="D4072" s="13" t="s">
        <v>29</v>
      </c>
    </row>
    <row r="4073" spans="1:4">
      <c r="A4073" s="23">
        <v>45173</v>
      </c>
      <c r="B4073" s="13" t="s">
        <v>6582</v>
      </c>
      <c r="C4073" s="13" t="s">
        <v>6581</v>
      </c>
      <c r="D4073" s="13" t="s">
        <v>109</v>
      </c>
    </row>
    <row r="4074" spans="1:4">
      <c r="A4074" s="23">
        <v>45173</v>
      </c>
      <c r="B4074" s="13" t="s">
        <v>6584</v>
      </c>
      <c r="C4074" s="13" t="s">
        <v>6583</v>
      </c>
      <c r="D4074" s="13" t="s">
        <v>109</v>
      </c>
    </row>
    <row r="4075" spans="1:4">
      <c r="A4075" s="23">
        <v>45173</v>
      </c>
      <c r="B4075" s="13" t="s">
        <v>6586</v>
      </c>
      <c r="C4075" s="13" t="s">
        <v>6585</v>
      </c>
      <c r="D4075" s="13" t="s">
        <v>109</v>
      </c>
    </row>
    <row r="4076" spans="1:4">
      <c r="A4076" s="23">
        <v>45174</v>
      </c>
      <c r="B4076" s="13" t="s">
        <v>6587</v>
      </c>
      <c r="C4076" s="13" t="s">
        <v>6536</v>
      </c>
      <c r="D4076" s="13" t="s">
        <v>109</v>
      </c>
    </row>
    <row r="4077" spans="1:4">
      <c r="A4077" s="23">
        <v>45215</v>
      </c>
      <c r="B4077" s="13" t="s">
        <v>6589</v>
      </c>
      <c r="C4077" s="13" t="s">
        <v>6588</v>
      </c>
      <c r="D4077" s="13" t="s">
        <v>510</v>
      </c>
    </row>
    <row r="4078" spans="1:4">
      <c r="A4078" s="23">
        <v>45191</v>
      </c>
      <c r="B4078" s="13" t="s">
        <v>6591</v>
      </c>
      <c r="C4078" s="13" t="s">
        <v>6590</v>
      </c>
      <c r="D4078" s="13" t="s">
        <v>29</v>
      </c>
    </row>
    <row r="4079" spans="1:4">
      <c r="A4079" s="23">
        <v>45191</v>
      </c>
      <c r="B4079" s="13" t="s">
        <v>6593</v>
      </c>
      <c r="C4079" s="13" t="s">
        <v>6592</v>
      </c>
      <c r="D4079" s="13" t="s">
        <v>345</v>
      </c>
    </row>
    <row r="4080" spans="1:4">
      <c r="A4080" s="23">
        <v>45191</v>
      </c>
      <c r="B4080" s="13" t="s">
        <v>6595</v>
      </c>
      <c r="C4080" s="13" t="s">
        <v>6594</v>
      </c>
      <c r="D4080" s="13" t="s">
        <v>29</v>
      </c>
    </row>
    <row r="4081" spans="1:4">
      <c r="A4081" s="23">
        <v>45174</v>
      </c>
      <c r="B4081" s="13" t="s">
        <v>6597</v>
      </c>
      <c r="C4081" s="13" t="s">
        <v>6596</v>
      </c>
      <c r="D4081" s="13" t="s">
        <v>109</v>
      </c>
    </row>
    <row r="4082" spans="1:4">
      <c r="A4082" s="23">
        <v>45174</v>
      </c>
      <c r="B4082" s="13" t="s">
        <v>6599</v>
      </c>
      <c r="C4082" s="13" t="s">
        <v>6598</v>
      </c>
      <c r="D4082" s="13" t="s">
        <v>109</v>
      </c>
    </row>
    <row r="4083" spans="1:4">
      <c r="A4083" s="23">
        <v>45176</v>
      </c>
      <c r="B4083" s="13" t="s">
        <v>6601</v>
      </c>
      <c r="C4083" s="13" t="s">
        <v>6600</v>
      </c>
      <c r="D4083" s="13" t="s">
        <v>5</v>
      </c>
    </row>
    <row r="4084" spans="1:4">
      <c r="A4084" s="23">
        <v>45176</v>
      </c>
      <c r="B4084" s="13" t="s">
        <v>6603</v>
      </c>
      <c r="C4084" s="13" t="s">
        <v>6602</v>
      </c>
      <c r="D4084" s="13" t="s">
        <v>19</v>
      </c>
    </row>
    <row r="4085" spans="1:4">
      <c r="A4085" s="23">
        <v>45176</v>
      </c>
      <c r="B4085" s="13" t="s">
        <v>6604</v>
      </c>
      <c r="C4085" s="13" t="s">
        <v>6195</v>
      </c>
      <c r="D4085" s="13" t="s">
        <v>109</v>
      </c>
    </row>
    <row r="4086" spans="1:4">
      <c r="A4086" s="23">
        <v>45176</v>
      </c>
      <c r="B4086" s="13" t="s">
        <v>6606</v>
      </c>
      <c r="C4086" s="13" t="s">
        <v>6605</v>
      </c>
      <c r="D4086" s="13" t="s">
        <v>19</v>
      </c>
    </row>
    <row r="4087" spans="1:4">
      <c r="A4087" s="23">
        <v>45176</v>
      </c>
      <c r="B4087" s="13" t="s">
        <v>6608</v>
      </c>
      <c r="C4087" s="13" t="s">
        <v>6607</v>
      </c>
      <c r="D4087" s="13" t="s">
        <v>19</v>
      </c>
    </row>
    <row r="4088" spans="1:4">
      <c r="A4088" s="23">
        <v>45177</v>
      </c>
      <c r="B4088" s="13" t="s">
        <v>6610</v>
      </c>
      <c r="C4088" s="13" t="s">
        <v>6609</v>
      </c>
      <c r="D4088" s="13" t="s">
        <v>109</v>
      </c>
    </row>
    <row r="4089" spans="1:4">
      <c r="A4089" s="23">
        <v>45177</v>
      </c>
      <c r="B4089" s="13" t="s">
        <v>6612</v>
      </c>
      <c r="C4089" s="13" t="s">
        <v>6611</v>
      </c>
      <c r="D4089" s="13" t="s">
        <v>29</v>
      </c>
    </row>
    <row r="4090" spans="1:4">
      <c r="A4090" s="23">
        <v>45177</v>
      </c>
      <c r="B4090" s="13" t="s">
        <v>6614</v>
      </c>
      <c r="C4090" s="13" t="s">
        <v>6613</v>
      </c>
      <c r="D4090" s="13" t="s">
        <v>74</v>
      </c>
    </row>
    <row r="4091" spans="1:4">
      <c r="A4091" s="23">
        <v>45181</v>
      </c>
      <c r="B4091" s="13" t="s">
        <v>6616</v>
      </c>
      <c r="C4091" s="13" t="s">
        <v>6615</v>
      </c>
      <c r="D4091" s="13" t="s">
        <v>5</v>
      </c>
    </row>
    <row r="4092" spans="1:4">
      <c r="A4092" s="23">
        <v>45181</v>
      </c>
      <c r="B4092" s="13" t="s">
        <v>6618</v>
      </c>
      <c r="C4092" s="13" t="s">
        <v>6617</v>
      </c>
      <c r="D4092" s="13" t="s">
        <v>5</v>
      </c>
    </row>
    <row r="4093" spans="1:4">
      <c r="A4093" s="23">
        <v>45181</v>
      </c>
      <c r="B4093" s="13" t="s">
        <v>6620</v>
      </c>
      <c r="C4093" s="13" t="s">
        <v>6619</v>
      </c>
      <c r="D4093" s="13" t="s">
        <v>74</v>
      </c>
    </row>
    <row r="4094" spans="1:4">
      <c r="A4094" s="23">
        <v>45181</v>
      </c>
      <c r="B4094" s="13" t="s">
        <v>6622</v>
      </c>
      <c r="C4094" s="13" t="s">
        <v>6621</v>
      </c>
      <c r="D4094" s="13" t="s">
        <v>74</v>
      </c>
    </row>
    <row r="4095" spans="1:4">
      <c r="A4095" s="23">
        <v>45181</v>
      </c>
      <c r="B4095" s="13" t="s">
        <v>6624</v>
      </c>
      <c r="C4095" s="13" t="s">
        <v>6623</v>
      </c>
      <c r="D4095" s="13" t="s">
        <v>74</v>
      </c>
    </row>
    <row r="4096" spans="1:4">
      <c r="A4096" s="23">
        <v>45204</v>
      </c>
      <c r="B4096" s="13" t="s">
        <v>6626</v>
      </c>
      <c r="C4096" s="13" t="s">
        <v>6625</v>
      </c>
      <c r="D4096" s="13" t="s">
        <v>5</v>
      </c>
    </row>
    <row r="4097" spans="1:4">
      <c r="A4097" s="23">
        <v>45181</v>
      </c>
      <c r="B4097" s="13" t="s">
        <v>6628</v>
      </c>
      <c r="C4097" s="13" t="s">
        <v>6627</v>
      </c>
      <c r="D4097" s="13" t="s">
        <v>19</v>
      </c>
    </row>
    <row r="4098" spans="1:4">
      <c r="A4098" s="23">
        <v>45181</v>
      </c>
      <c r="B4098" s="13" t="s">
        <v>6629</v>
      </c>
      <c r="C4098" s="13"/>
      <c r="D4098" s="13" t="s">
        <v>19</v>
      </c>
    </row>
    <row r="4099" spans="1:4">
      <c r="A4099" s="23">
        <v>45181</v>
      </c>
      <c r="B4099" s="13" t="s">
        <v>6631</v>
      </c>
      <c r="C4099" s="13" t="s">
        <v>6630</v>
      </c>
      <c r="D4099" s="13" t="s">
        <v>5</v>
      </c>
    </row>
    <row r="4100" spans="1:4">
      <c r="A4100" s="23">
        <v>45182</v>
      </c>
      <c r="B4100" s="13" t="s">
        <v>6633</v>
      </c>
      <c r="C4100" s="13" t="s">
        <v>6632</v>
      </c>
      <c r="D4100" s="13" t="s">
        <v>29</v>
      </c>
    </row>
    <row r="4101" spans="1:4">
      <c r="A4101" s="23">
        <v>45182</v>
      </c>
      <c r="B4101" s="13" t="s">
        <v>6634</v>
      </c>
      <c r="C4101" s="13" t="s">
        <v>6370</v>
      </c>
      <c r="D4101" s="13" t="s">
        <v>109</v>
      </c>
    </row>
    <row r="4102" spans="1:4">
      <c r="A4102" s="23">
        <v>45182</v>
      </c>
      <c r="B4102" s="13" t="s">
        <v>6635</v>
      </c>
      <c r="C4102" s="13" t="s">
        <v>6518</v>
      </c>
      <c r="D4102" s="13" t="s">
        <v>109</v>
      </c>
    </row>
    <row r="4103" spans="1:4">
      <c r="A4103" s="23">
        <v>45182</v>
      </c>
      <c r="B4103" s="13" t="s">
        <v>6637</v>
      </c>
      <c r="C4103" s="13" t="s">
        <v>6636</v>
      </c>
      <c r="D4103" s="13" t="s">
        <v>5</v>
      </c>
    </row>
    <row r="4104" spans="1:4">
      <c r="A4104" s="23">
        <v>45182</v>
      </c>
      <c r="B4104" s="13" t="s">
        <v>6639</v>
      </c>
      <c r="C4104" s="13" t="s">
        <v>6638</v>
      </c>
      <c r="D4104" s="13" t="s">
        <v>109</v>
      </c>
    </row>
    <row r="4105" spans="1:4">
      <c r="A4105" s="23">
        <v>45182</v>
      </c>
      <c r="B4105" s="13" t="s">
        <v>6641</v>
      </c>
      <c r="C4105" s="13" t="s">
        <v>6640</v>
      </c>
      <c r="D4105" s="13" t="s">
        <v>5</v>
      </c>
    </row>
    <row r="4106" spans="1:4">
      <c r="A4106" s="23">
        <v>45183</v>
      </c>
      <c r="B4106" s="13" t="s">
        <v>6643</v>
      </c>
      <c r="C4106" s="13" t="s">
        <v>6642</v>
      </c>
      <c r="D4106" s="13" t="s">
        <v>29</v>
      </c>
    </row>
    <row r="4107" spans="1:4">
      <c r="A4107" s="23">
        <v>45183</v>
      </c>
      <c r="B4107" s="13" t="s">
        <v>6643</v>
      </c>
      <c r="C4107" s="13" t="s">
        <v>6644</v>
      </c>
      <c r="D4107" s="13" t="s">
        <v>164</v>
      </c>
    </row>
    <row r="4108" spans="1:4">
      <c r="A4108" s="23">
        <v>45183</v>
      </c>
      <c r="B4108" s="13" t="s">
        <v>6646</v>
      </c>
      <c r="C4108" s="13" t="s">
        <v>6645</v>
      </c>
      <c r="D4108" s="13" t="s">
        <v>164</v>
      </c>
    </row>
    <row r="4109" spans="1:4">
      <c r="A4109" s="23">
        <v>45183</v>
      </c>
      <c r="B4109" s="13" t="s">
        <v>6646</v>
      </c>
      <c r="C4109" s="13" t="s">
        <v>6645</v>
      </c>
      <c r="D4109" s="13" t="s">
        <v>164</v>
      </c>
    </row>
    <row r="4110" spans="1:4">
      <c r="A4110" s="23">
        <v>45183</v>
      </c>
      <c r="B4110" s="13" t="s">
        <v>6646</v>
      </c>
      <c r="C4110" s="13" t="s">
        <v>6645</v>
      </c>
      <c r="D4110" s="13" t="s">
        <v>164</v>
      </c>
    </row>
    <row r="4111" spans="1:4">
      <c r="A4111" s="23">
        <v>45210</v>
      </c>
      <c r="B4111" s="13" t="s">
        <v>6648</v>
      </c>
      <c r="C4111" s="13" t="s">
        <v>6647</v>
      </c>
      <c r="D4111" s="13" t="s">
        <v>109</v>
      </c>
    </row>
    <row r="4112" spans="1:4">
      <c r="A4112" s="23">
        <v>45189</v>
      </c>
      <c r="B4112" s="13" t="s">
        <v>6650</v>
      </c>
      <c r="C4112" s="13" t="s">
        <v>6649</v>
      </c>
      <c r="D4112" s="13" t="s">
        <v>5</v>
      </c>
    </row>
    <row r="4113" spans="1:4">
      <c r="A4113" s="23">
        <v>45189</v>
      </c>
      <c r="B4113" s="13" t="s">
        <v>6652</v>
      </c>
      <c r="C4113" s="13" t="s">
        <v>6651</v>
      </c>
      <c r="D4113" s="13" t="s">
        <v>5</v>
      </c>
    </row>
    <row r="4114" spans="1:4">
      <c r="A4114" s="23">
        <v>45211</v>
      </c>
      <c r="B4114" s="13" t="s">
        <v>6654</v>
      </c>
      <c r="C4114" s="13" t="s">
        <v>6653</v>
      </c>
      <c r="D4114" s="13" t="s">
        <v>109</v>
      </c>
    </row>
    <row r="4115" spans="1:4">
      <c r="A4115" s="23">
        <v>45191</v>
      </c>
      <c r="B4115" s="13" t="s">
        <v>6656</v>
      </c>
      <c r="C4115" s="13" t="s">
        <v>6655</v>
      </c>
      <c r="D4115" s="13" t="s">
        <v>109</v>
      </c>
    </row>
    <row r="4116" spans="1:4">
      <c r="A4116" s="23">
        <v>45194</v>
      </c>
      <c r="B4116" s="13" t="s">
        <v>6658</v>
      </c>
      <c r="C4116" s="13" t="s">
        <v>6657</v>
      </c>
      <c r="D4116" s="13" t="s">
        <v>74</v>
      </c>
    </row>
    <row r="4117" spans="1:4">
      <c r="A4117" s="23">
        <v>45191</v>
      </c>
      <c r="B4117" s="13" t="s">
        <v>6660</v>
      </c>
      <c r="C4117" s="13" t="s">
        <v>6659</v>
      </c>
      <c r="D4117" s="13" t="s">
        <v>345</v>
      </c>
    </row>
    <row r="4118" spans="1:4">
      <c r="A4118" s="23">
        <v>45160</v>
      </c>
      <c r="B4118" s="13" t="s">
        <v>6662</v>
      </c>
      <c r="C4118" s="13" t="s">
        <v>6661</v>
      </c>
      <c r="D4118" s="13" t="s">
        <v>74</v>
      </c>
    </row>
    <row r="4119" spans="1:4">
      <c r="A4119" s="23">
        <v>45166</v>
      </c>
      <c r="B4119" s="13" t="s">
        <v>6664</v>
      </c>
      <c r="C4119" s="13" t="s">
        <v>6663</v>
      </c>
      <c r="D4119" s="13" t="s">
        <v>109</v>
      </c>
    </row>
    <row r="4120" spans="1:4">
      <c r="A4120" s="23">
        <v>45203</v>
      </c>
      <c r="B4120" s="13" t="s">
        <v>6666</v>
      </c>
      <c r="C4120" s="13" t="s">
        <v>6665</v>
      </c>
      <c r="D4120" s="13" t="s">
        <v>109</v>
      </c>
    </row>
    <row r="4121" spans="1:4">
      <c r="A4121" s="23">
        <v>45209</v>
      </c>
      <c r="B4121" s="13" t="s">
        <v>6668</v>
      </c>
      <c r="C4121" s="13" t="s">
        <v>6667</v>
      </c>
      <c r="D4121" s="13" t="s">
        <v>109</v>
      </c>
    </row>
    <row r="4122" spans="1:4">
      <c r="A4122" s="23">
        <v>45189</v>
      </c>
      <c r="B4122" s="13" t="s">
        <v>6670</v>
      </c>
      <c r="C4122" s="13" t="s">
        <v>6669</v>
      </c>
      <c r="D4122" s="13" t="s">
        <v>109</v>
      </c>
    </row>
    <row r="4123" spans="1:4">
      <c r="A4123" s="23">
        <v>45191</v>
      </c>
      <c r="B4123" s="13" t="s">
        <v>6672</v>
      </c>
      <c r="C4123" s="13" t="s">
        <v>6671</v>
      </c>
      <c r="D4123" s="13" t="s">
        <v>29</v>
      </c>
    </row>
    <row r="4124" spans="1:4">
      <c r="A4124" s="23">
        <v>45209</v>
      </c>
      <c r="B4124" s="13" t="s">
        <v>6674</v>
      </c>
      <c r="C4124" s="13" t="s">
        <v>6673</v>
      </c>
      <c r="D4124" s="13" t="s">
        <v>109</v>
      </c>
    </row>
    <row r="4125" spans="1:4">
      <c r="A4125" s="23">
        <v>45167</v>
      </c>
      <c r="B4125" s="13" t="s">
        <v>6676</v>
      </c>
      <c r="C4125" s="13" t="s">
        <v>6675</v>
      </c>
      <c r="D4125" s="13" t="s">
        <v>109</v>
      </c>
    </row>
    <row r="4126" spans="1:4">
      <c r="A4126" s="23">
        <v>45198</v>
      </c>
      <c r="B4126" s="13" t="s">
        <v>6678</v>
      </c>
      <c r="C4126" s="13" t="s">
        <v>6677</v>
      </c>
      <c r="D4126" s="13" t="s">
        <v>34</v>
      </c>
    </row>
    <row r="4127" spans="1:4">
      <c r="A4127" s="23">
        <v>45189</v>
      </c>
      <c r="B4127" s="13" t="s">
        <v>6680</v>
      </c>
      <c r="C4127" s="13" t="s">
        <v>6679</v>
      </c>
      <c r="D4127" s="13" t="s">
        <v>109</v>
      </c>
    </row>
    <row r="4128" spans="1:4">
      <c r="A4128" s="23">
        <v>45189</v>
      </c>
      <c r="B4128" s="13" t="s">
        <v>6682</v>
      </c>
      <c r="C4128" s="13" t="s">
        <v>6681</v>
      </c>
      <c r="D4128" s="13" t="s">
        <v>109</v>
      </c>
    </row>
    <row r="4129" spans="1:4">
      <c r="A4129" s="23">
        <v>45167</v>
      </c>
      <c r="B4129" s="13" t="s">
        <v>6684</v>
      </c>
      <c r="C4129" s="13" t="s">
        <v>6683</v>
      </c>
      <c r="D4129" s="13" t="s">
        <v>109</v>
      </c>
    </row>
    <row r="4130" spans="1:4">
      <c r="A4130" s="23">
        <v>45195</v>
      </c>
      <c r="B4130" s="13" t="s">
        <v>6685</v>
      </c>
      <c r="C4130" s="13" t="s">
        <v>6361</v>
      </c>
      <c r="D4130" s="13" t="s">
        <v>109</v>
      </c>
    </row>
    <row r="4131" spans="1:4">
      <c r="A4131" s="23">
        <v>45190</v>
      </c>
      <c r="B4131" s="13" t="s">
        <v>6687</v>
      </c>
      <c r="C4131" s="13" t="s">
        <v>6686</v>
      </c>
      <c r="D4131" s="13" t="s">
        <v>74</v>
      </c>
    </row>
    <row r="4132" spans="1:4">
      <c r="A4132" s="23">
        <v>45168</v>
      </c>
      <c r="B4132" s="13" t="s">
        <v>6689</v>
      </c>
      <c r="C4132" s="13" t="s">
        <v>6688</v>
      </c>
      <c r="D4132" s="13" t="s">
        <v>109</v>
      </c>
    </row>
    <row r="4133" spans="1:4">
      <c r="A4133" s="23">
        <v>45196</v>
      </c>
      <c r="B4133" s="13" t="s">
        <v>6691</v>
      </c>
      <c r="C4133" s="13" t="s">
        <v>6690</v>
      </c>
      <c r="D4133" s="13" t="s">
        <v>24</v>
      </c>
    </row>
    <row r="4134" spans="1:4">
      <c r="A4134" s="23">
        <v>45194</v>
      </c>
      <c r="B4134" s="13" t="s">
        <v>6693</v>
      </c>
      <c r="C4134" s="13" t="s">
        <v>6692</v>
      </c>
      <c r="D4134" s="13" t="s">
        <v>5</v>
      </c>
    </row>
    <row r="4135" spans="1:4">
      <c r="A4135" s="23">
        <v>45190</v>
      </c>
      <c r="B4135" s="13" t="s">
        <v>6695</v>
      </c>
      <c r="C4135" s="13" t="s">
        <v>6694</v>
      </c>
      <c r="D4135" s="13" t="s">
        <v>74</v>
      </c>
    </row>
    <row r="4136" spans="1:4">
      <c r="A4136" s="23">
        <v>45194</v>
      </c>
      <c r="B4136" s="13" t="s">
        <v>6697</v>
      </c>
      <c r="C4136" s="13" t="s">
        <v>6696</v>
      </c>
      <c r="D4136" s="13" t="s">
        <v>109</v>
      </c>
    </row>
    <row r="4137" spans="1:4">
      <c r="A4137" s="23">
        <v>45192</v>
      </c>
      <c r="B4137" s="13" t="s">
        <v>6699</v>
      </c>
      <c r="C4137" s="13" t="s">
        <v>6698</v>
      </c>
      <c r="D4137" s="13" t="s">
        <v>74</v>
      </c>
    </row>
    <row r="4138" spans="1:4">
      <c r="A4138" s="23">
        <v>45195</v>
      </c>
      <c r="B4138" s="13" t="s">
        <v>6701</v>
      </c>
      <c r="C4138" s="13" t="s">
        <v>6700</v>
      </c>
      <c r="D4138" s="13" t="s">
        <v>109</v>
      </c>
    </row>
    <row r="4139" spans="1:4">
      <c r="A4139" s="23">
        <v>45203</v>
      </c>
      <c r="B4139" s="13" t="s">
        <v>6666</v>
      </c>
      <c r="C4139" s="13" t="s">
        <v>6665</v>
      </c>
      <c r="D4139" s="13" t="s">
        <v>109</v>
      </c>
    </row>
    <row r="4140" spans="1:4">
      <c r="A4140" s="23">
        <v>45191</v>
      </c>
      <c r="B4140" s="13" t="s">
        <v>6656</v>
      </c>
      <c r="C4140" s="13" t="s">
        <v>6702</v>
      </c>
      <c r="D4140" s="13" t="s">
        <v>109</v>
      </c>
    </row>
    <row r="4141" spans="1:4">
      <c r="A4141" s="23">
        <v>45203</v>
      </c>
      <c r="B4141" s="13" t="s">
        <v>6704</v>
      </c>
      <c r="C4141" s="13" t="s">
        <v>6703</v>
      </c>
      <c r="D4141" s="13" t="s">
        <v>74</v>
      </c>
    </row>
    <row r="4142" spans="1:4">
      <c r="A4142" s="23">
        <v>45203</v>
      </c>
      <c r="B4142" s="13" t="s">
        <v>6706</v>
      </c>
      <c r="C4142" s="13" t="s">
        <v>6705</v>
      </c>
      <c r="D4142" s="13" t="s">
        <v>74</v>
      </c>
    </row>
    <row r="4143" spans="1:4">
      <c r="A4143" s="23">
        <v>45203</v>
      </c>
      <c r="B4143" s="13" t="s">
        <v>6708</v>
      </c>
      <c r="C4143" s="13" t="s">
        <v>6707</v>
      </c>
      <c r="D4143" s="13" t="s">
        <v>16</v>
      </c>
    </row>
    <row r="4144" spans="1:4">
      <c r="A4144" s="23">
        <v>45213</v>
      </c>
      <c r="B4144" s="13" t="s">
        <v>6710</v>
      </c>
      <c r="C4144" s="13" t="s">
        <v>6709</v>
      </c>
      <c r="D4144" s="13" t="s">
        <v>74</v>
      </c>
    </row>
    <row r="4145" spans="1:4">
      <c r="A4145" s="23">
        <v>45197</v>
      </c>
      <c r="B4145" s="13" t="s">
        <v>6712</v>
      </c>
      <c r="C4145" s="13" t="s">
        <v>6711</v>
      </c>
      <c r="D4145" s="13" t="s">
        <v>74</v>
      </c>
    </row>
    <row r="4146" spans="1:4">
      <c r="A4146" s="23">
        <v>45196</v>
      </c>
      <c r="B4146" s="13" t="s">
        <v>6714</v>
      </c>
      <c r="C4146" s="13" t="s">
        <v>6713</v>
      </c>
      <c r="D4146" s="13" t="s">
        <v>74</v>
      </c>
    </row>
    <row r="4147" spans="1:4">
      <c r="A4147" s="23">
        <v>45195</v>
      </c>
      <c r="B4147" s="13" t="s">
        <v>6716</v>
      </c>
      <c r="C4147" s="13" t="s">
        <v>6715</v>
      </c>
      <c r="D4147" s="13" t="s">
        <v>74</v>
      </c>
    </row>
    <row r="4148" spans="1:4">
      <c r="A4148" s="23">
        <v>45198</v>
      </c>
      <c r="B4148" s="13" t="s">
        <v>6717</v>
      </c>
      <c r="C4148" s="13" t="s">
        <v>6613</v>
      </c>
      <c r="D4148" s="13" t="s">
        <v>74</v>
      </c>
    </row>
    <row r="4149" spans="1:4">
      <c r="A4149" s="23">
        <v>45199</v>
      </c>
      <c r="B4149" s="13" t="s">
        <v>6719</v>
      </c>
      <c r="C4149" s="13" t="s">
        <v>6718</v>
      </c>
      <c r="D4149" s="13" t="s">
        <v>345</v>
      </c>
    </row>
    <row r="4150" spans="1:4">
      <c r="A4150" s="23">
        <v>45197</v>
      </c>
      <c r="B4150" s="13" t="s">
        <v>6721</v>
      </c>
      <c r="C4150" s="13" t="s">
        <v>6720</v>
      </c>
      <c r="D4150" s="13" t="s">
        <v>74</v>
      </c>
    </row>
    <row r="4151" spans="1:4">
      <c r="A4151" s="23">
        <v>45197</v>
      </c>
      <c r="B4151" s="13" t="s">
        <v>6723</v>
      </c>
      <c r="C4151" s="13" t="s">
        <v>6722</v>
      </c>
      <c r="D4151" s="13" t="s">
        <v>74</v>
      </c>
    </row>
    <row r="4152" spans="1:4">
      <c r="A4152" s="23">
        <v>45197</v>
      </c>
      <c r="B4152" s="13" t="s">
        <v>6724</v>
      </c>
      <c r="C4152" s="13" t="s">
        <v>3885</v>
      </c>
      <c r="D4152" s="13" t="s">
        <v>74</v>
      </c>
    </row>
    <row r="4153" spans="1:4">
      <c r="A4153" s="23">
        <v>45196</v>
      </c>
      <c r="B4153" s="13" t="s">
        <v>6726</v>
      </c>
      <c r="C4153" s="13" t="s">
        <v>6725</v>
      </c>
      <c r="D4153" s="13" t="s">
        <v>74</v>
      </c>
    </row>
    <row r="4154" spans="1:4">
      <c r="A4154" s="23">
        <v>45197</v>
      </c>
      <c r="B4154" s="13" t="s">
        <v>6728</v>
      </c>
      <c r="C4154" s="13" t="s">
        <v>6727</v>
      </c>
      <c r="D4154" s="13" t="s">
        <v>5</v>
      </c>
    </row>
    <row r="4155" spans="1:4">
      <c r="A4155" s="23">
        <v>45197</v>
      </c>
      <c r="B4155" s="13" t="s">
        <v>6730</v>
      </c>
      <c r="C4155" s="13" t="s">
        <v>6729</v>
      </c>
      <c r="D4155" s="13" t="s">
        <v>5</v>
      </c>
    </row>
    <row r="4156" spans="1:4">
      <c r="A4156" s="23">
        <v>45195</v>
      </c>
      <c r="B4156" s="13" t="s">
        <v>6732</v>
      </c>
      <c r="C4156" s="13" t="s">
        <v>6731</v>
      </c>
      <c r="D4156" s="13" t="s">
        <v>74</v>
      </c>
    </row>
    <row r="4157" spans="1:4">
      <c r="A4157" s="23">
        <v>45199</v>
      </c>
      <c r="B4157" s="13" t="s">
        <v>6734</v>
      </c>
      <c r="C4157" s="13" t="s">
        <v>6733</v>
      </c>
      <c r="D4157" s="13" t="s">
        <v>74</v>
      </c>
    </row>
    <row r="4158" spans="1:4">
      <c r="A4158" s="23">
        <v>45198</v>
      </c>
      <c r="B4158" s="13" t="s">
        <v>6736</v>
      </c>
      <c r="C4158" s="13" t="s">
        <v>6735</v>
      </c>
      <c r="D4158" s="13" t="s">
        <v>109</v>
      </c>
    </row>
    <row r="4159" spans="1:4">
      <c r="A4159" s="23">
        <v>45198</v>
      </c>
      <c r="B4159" s="13" t="s">
        <v>6738</v>
      </c>
      <c r="C4159" s="13" t="s">
        <v>6737</v>
      </c>
      <c r="D4159" s="13" t="s">
        <v>5</v>
      </c>
    </row>
    <row r="4160" spans="1:4">
      <c r="A4160" s="23">
        <v>45202</v>
      </c>
      <c r="B4160" s="13" t="s">
        <v>6740</v>
      </c>
      <c r="C4160" s="13" t="s">
        <v>6739</v>
      </c>
      <c r="D4160" s="13" t="s">
        <v>109</v>
      </c>
    </row>
    <row r="4161" spans="1:4">
      <c r="A4161" s="23">
        <v>45204</v>
      </c>
      <c r="B4161" s="13" t="s">
        <v>6742</v>
      </c>
      <c r="C4161" s="13" t="s">
        <v>6741</v>
      </c>
      <c r="D4161" s="13" t="s">
        <v>109</v>
      </c>
    </row>
    <row r="4162" spans="1:4">
      <c r="A4162" s="23">
        <v>45202</v>
      </c>
      <c r="B4162" s="13" t="s">
        <v>6708</v>
      </c>
      <c r="C4162" s="13" t="s">
        <v>6743</v>
      </c>
      <c r="D4162" s="13" t="s">
        <v>16</v>
      </c>
    </row>
    <row r="4163" spans="1:4">
      <c r="A4163" s="23">
        <v>45202</v>
      </c>
      <c r="B4163" s="13" t="s">
        <v>6745</v>
      </c>
      <c r="C4163" s="13" t="s">
        <v>6744</v>
      </c>
      <c r="D4163" s="13" t="s">
        <v>109</v>
      </c>
    </row>
    <row r="4164" spans="1:4">
      <c r="A4164" s="23">
        <v>45212</v>
      </c>
      <c r="B4164" s="13" t="s">
        <v>6746</v>
      </c>
      <c r="C4164" s="13" t="s">
        <v>6227</v>
      </c>
      <c r="D4164" s="13" t="s">
        <v>29</v>
      </c>
    </row>
    <row r="4165" spans="1:4">
      <c r="A4165" s="23">
        <v>45216</v>
      </c>
      <c r="B4165" s="13" t="s">
        <v>6748</v>
      </c>
      <c r="C4165" s="13" t="s">
        <v>6747</v>
      </c>
      <c r="D4165" s="13" t="s">
        <v>29</v>
      </c>
    </row>
    <row r="4166" spans="1:4">
      <c r="A4166" s="23">
        <v>45198</v>
      </c>
      <c r="B4166" s="13" t="s">
        <v>6750</v>
      </c>
      <c r="C4166" s="13" t="s">
        <v>6749</v>
      </c>
      <c r="D4166" s="13" t="s">
        <v>109</v>
      </c>
    </row>
    <row r="4167" spans="1:4">
      <c r="A4167" s="23">
        <v>45203</v>
      </c>
      <c r="B4167" s="13" t="s">
        <v>6752</v>
      </c>
      <c r="C4167" s="13" t="s">
        <v>6751</v>
      </c>
      <c r="D4167" s="13" t="s">
        <v>74</v>
      </c>
    </row>
    <row r="4168" spans="1:4">
      <c r="A4168" s="23">
        <v>45210</v>
      </c>
      <c r="B4168" s="13" t="s">
        <v>6754</v>
      </c>
      <c r="C4168" s="13" t="s">
        <v>6753</v>
      </c>
      <c r="D4168" s="13" t="s">
        <v>109</v>
      </c>
    </row>
    <row r="4169" spans="1:4">
      <c r="A4169" s="23">
        <v>45195</v>
      </c>
      <c r="B4169" s="13" t="s">
        <v>6756</v>
      </c>
      <c r="C4169" s="13" t="s">
        <v>6755</v>
      </c>
      <c r="D4169" s="13" t="s">
        <v>5</v>
      </c>
    </row>
    <row r="4170" spans="1:4">
      <c r="A4170" s="23">
        <v>45197</v>
      </c>
      <c r="B4170" s="13" t="s">
        <v>6758</v>
      </c>
      <c r="C4170" s="13" t="s">
        <v>6757</v>
      </c>
      <c r="D4170" s="13" t="s">
        <v>74</v>
      </c>
    </row>
    <row r="4171" spans="1:4">
      <c r="A4171" s="23">
        <v>45212</v>
      </c>
      <c r="B4171" s="13" t="s">
        <v>6760</v>
      </c>
      <c r="C4171" s="13" t="s">
        <v>6759</v>
      </c>
      <c r="D4171" s="13" t="s">
        <v>109</v>
      </c>
    </row>
    <row r="4172" spans="1:4">
      <c r="A4172" s="23">
        <v>45211</v>
      </c>
      <c r="B4172" s="13" t="s">
        <v>6762</v>
      </c>
      <c r="C4172" s="13" t="s">
        <v>6761</v>
      </c>
      <c r="D4172" s="13" t="s">
        <v>109</v>
      </c>
    </row>
    <row r="4173" spans="1:4">
      <c r="A4173" s="23">
        <v>45216</v>
      </c>
      <c r="B4173" s="13" t="s">
        <v>6764</v>
      </c>
      <c r="C4173" s="13" t="s">
        <v>6763</v>
      </c>
      <c r="D4173" s="13" t="s">
        <v>109</v>
      </c>
    </row>
    <row r="4174" spans="1:4">
      <c r="A4174" s="23">
        <v>45219</v>
      </c>
      <c r="B4174" s="13" t="s">
        <v>6766</v>
      </c>
      <c r="C4174" s="13" t="s">
        <v>6765</v>
      </c>
      <c r="D4174" s="13" t="s">
        <v>109</v>
      </c>
    </row>
    <row r="4175" spans="1:4">
      <c r="A4175" s="23">
        <v>45219</v>
      </c>
      <c r="B4175" s="13" t="s">
        <v>6768</v>
      </c>
      <c r="C4175" s="13" t="s">
        <v>6767</v>
      </c>
      <c r="D4175" s="13" t="s">
        <v>29</v>
      </c>
    </row>
    <row r="4176" spans="1:4">
      <c r="A4176" s="23">
        <v>45219</v>
      </c>
      <c r="B4176" s="13" t="s">
        <v>6770</v>
      </c>
      <c r="C4176" s="13" t="s">
        <v>6769</v>
      </c>
      <c r="D4176" s="13" t="s">
        <v>109</v>
      </c>
    </row>
    <row r="4177" spans="1:4">
      <c r="A4177" s="23">
        <v>45219</v>
      </c>
      <c r="B4177" s="13" t="s">
        <v>6772</v>
      </c>
      <c r="C4177" s="13" t="s">
        <v>6771</v>
      </c>
      <c r="D4177" s="13" t="s">
        <v>109</v>
      </c>
    </row>
    <row r="4178" spans="1:4">
      <c r="A4178" s="23">
        <v>45218</v>
      </c>
      <c r="B4178" s="13" t="s">
        <v>6774</v>
      </c>
      <c r="C4178" s="13" t="s">
        <v>6773</v>
      </c>
      <c r="D4178" s="13" t="s">
        <v>109</v>
      </c>
    </row>
    <row r="4179" spans="1:4">
      <c r="A4179" s="23">
        <v>45219</v>
      </c>
      <c r="B4179" s="13" t="s">
        <v>6776</v>
      </c>
      <c r="C4179" s="13" t="s">
        <v>6775</v>
      </c>
      <c r="D4179" s="13" t="s">
        <v>5</v>
      </c>
    </row>
    <row r="4180" spans="1:4">
      <c r="A4180" s="23">
        <v>45220</v>
      </c>
      <c r="B4180" s="13" t="s">
        <v>6778</v>
      </c>
      <c r="C4180" s="13" t="s">
        <v>6777</v>
      </c>
      <c r="D4180" s="13" t="s">
        <v>29</v>
      </c>
    </row>
    <row r="4181" spans="1:4">
      <c r="A4181" s="23">
        <v>45220</v>
      </c>
      <c r="B4181" s="13" t="s">
        <v>6780</v>
      </c>
      <c r="C4181" s="13" t="s">
        <v>6779</v>
      </c>
      <c r="D4181" s="13" t="s">
        <v>109</v>
      </c>
    </row>
    <row r="4182" spans="1:4">
      <c r="A4182" s="23">
        <v>45220</v>
      </c>
      <c r="B4182" s="13" t="s">
        <v>6782</v>
      </c>
      <c r="C4182" s="13" t="s">
        <v>6781</v>
      </c>
      <c r="D4182" s="13" t="s">
        <v>29</v>
      </c>
    </row>
    <row r="4183" spans="1:4">
      <c r="A4183" s="23">
        <v>45220</v>
      </c>
      <c r="B4183" s="13" t="s">
        <v>6784</v>
      </c>
      <c r="C4183" s="13" t="s">
        <v>6783</v>
      </c>
      <c r="D4183" s="13" t="s">
        <v>109</v>
      </c>
    </row>
    <row r="4184" spans="1:4">
      <c r="A4184" s="23">
        <v>45218</v>
      </c>
      <c r="B4184" s="13" t="s">
        <v>6786</v>
      </c>
      <c r="C4184" s="13" t="s">
        <v>6785</v>
      </c>
      <c r="D4184" s="13" t="s">
        <v>109</v>
      </c>
    </row>
    <row r="4185" spans="1:4">
      <c r="A4185" s="23">
        <v>45218</v>
      </c>
      <c r="B4185" s="13" t="s">
        <v>6788</v>
      </c>
      <c r="C4185" s="13" t="s">
        <v>6787</v>
      </c>
      <c r="D4185" s="13" t="s">
        <v>109</v>
      </c>
    </row>
    <row r="4186" spans="1:4">
      <c r="A4186" s="23">
        <v>45220</v>
      </c>
      <c r="B4186" s="13" t="s">
        <v>6790</v>
      </c>
      <c r="C4186" s="13" t="s">
        <v>6789</v>
      </c>
      <c r="D4186" s="13" t="s">
        <v>5</v>
      </c>
    </row>
    <row r="4187" spans="1:4">
      <c r="A4187" s="23">
        <v>45220</v>
      </c>
      <c r="B4187" s="13" t="s">
        <v>6792</v>
      </c>
      <c r="C4187" s="13" t="s">
        <v>6791</v>
      </c>
      <c r="D4187" s="13" t="s">
        <v>5</v>
      </c>
    </row>
    <row r="4188" spans="1:4">
      <c r="A4188" s="23">
        <v>44978</v>
      </c>
      <c r="B4188" s="13" t="s">
        <v>6794</v>
      </c>
      <c r="C4188" s="13" t="s">
        <v>6793</v>
      </c>
      <c r="D4188" s="13" t="s">
        <v>109</v>
      </c>
    </row>
    <row r="4189" spans="1:4">
      <c r="A4189" s="23">
        <v>44978</v>
      </c>
      <c r="B4189" s="13" t="s">
        <v>6796</v>
      </c>
      <c r="C4189" s="13" t="s">
        <v>6795</v>
      </c>
      <c r="D4189" s="13" t="s">
        <v>345</v>
      </c>
    </row>
    <row r="4190" spans="1:4">
      <c r="A4190" s="23">
        <v>44988</v>
      </c>
      <c r="B4190" s="13" t="s">
        <v>6798</v>
      </c>
      <c r="C4190" s="13" t="s">
        <v>6797</v>
      </c>
      <c r="D4190" s="13" t="s">
        <v>29</v>
      </c>
    </row>
    <row r="4191" spans="1:4">
      <c r="A4191" s="23">
        <v>44966</v>
      </c>
      <c r="B4191" s="13" t="s">
        <v>6800</v>
      </c>
      <c r="C4191" s="13" t="s">
        <v>6799</v>
      </c>
      <c r="D4191" s="13" t="s">
        <v>5</v>
      </c>
    </row>
    <row r="4192" spans="1:4">
      <c r="A4192" s="23">
        <v>44985</v>
      </c>
      <c r="B4192" s="13" t="s">
        <v>6802</v>
      </c>
      <c r="C4192" s="13" t="s">
        <v>6801</v>
      </c>
      <c r="D4192" s="13" t="s">
        <v>74</v>
      </c>
    </row>
    <row r="4193" spans="1:4">
      <c r="A4193" s="23">
        <v>44984</v>
      </c>
      <c r="B4193" s="13" t="s">
        <v>6804</v>
      </c>
      <c r="C4193" s="13" t="s">
        <v>6803</v>
      </c>
      <c r="D4193" s="13" t="s">
        <v>11</v>
      </c>
    </row>
    <row r="4194" spans="1:4">
      <c r="A4194" s="23">
        <v>44986</v>
      </c>
      <c r="B4194" s="13" t="s">
        <v>6806</v>
      </c>
      <c r="C4194" s="13" t="s">
        <v>6805</v>
      </c>
      <c r="D4194" s="13" t="s">
        <v>11</v>
      </c>
    </row>
    <row r="4195" spans="1:4">
      <c r="A4195" s="23">
        <v>44980</v>
      </c>
      <c r="B4195" s="13" t="s">
        <v>6807</v>
      </c>
      <c r="C4195" s="13" t="s">
        <v>3383</v>
      </c>
      <c r="D4195" s="13" t="s">
        <v>34</v>
      </c>
    </row>
    <row r="4196" spans="1:4">
      <c r="A4196" s="23">
        <v>44988</v>
      </c>
      <c r="B4196" s="13" t="s">
        <v>6809</v>
      </c>
      <c r="C4196" s="13" t="s">
        <v>6808</v>
      </c>
      <c r="D4196" s="13" t="s">
        <v>109</v>
      </c>
    </row>
    <row r="4197" spans="1:4">
      <c r="A4197" s="23">
        <v>44987</v>
      </c>
      <c r="B4197" s="13" t="s">
        <v>6810</v>
      </c>
      <c r="C4197" s="13" t="s">
        <v>3383</v>
      </c>
      <c r="D4197" s="13" t="s">
        <v>34</v>
      </c>
    </row>
    <row r="4198" spans="1:4">
      <c r="A4198" s="23">
        <v>44987</v>
      </c>
      <c r="B4198" s="13" t="s">
        <v>6811</v>
      </c>
      <c r="C4198" s="13" t="s">
        <v>4504</v>
      </c>
      <c r="D4198" s="13" t="s">
        <v>345</v>
      </c>
    </row>
    <row r="4199" spans="1:4">
      <c r="A4199" s="23">
        <v>44965</v>
      </c>
      <c r="B4199" s="13" t="s">
        <v>6800</v>
      </c>
      <c r="C4199" s="13" t="s">
        <v>6812</v>
      </c>
      <c r="D4199" s="13" t="s">
        <v>74</v>
      </c>
    </row>
    <row r="4200" spans="1:4">
      <c r="A4200" s="23">
        <v>44986</v>
      </c>
      <c r="B4200" s="13" t="s">
        <v>6814</v>
      </c>
      <c r="C4200" s="13" t="s">
        <v>6813</v>
      </c>
      <c r="D4200" s="13" t="s">
        <v>109</v>
      </c>
    </row>
    <row r="4201" spans="1:4">
      <c r="A4201" s="23">
        <v>44984</v>
      </c>
      <c r="B4201" s="13" t="s">
        <v>6816</v>
      </c>
      <c r="C4201" s="13" t="s">
        <v>6815</v>
      </c>
      <c r="D4201" s="13" t="s">
        <v>109</v>
      </c>
    </row>
    <row r="4202" spans="1:4">
      <c r="A4202" s="23">
        <v>44986</v>
      </c>
      <c r="B4202" s="13" t="s">
        <v>6817</v>
      </c>
      <c r="C4202" s="21">
        <v>710294</v>
      </c>
      <c r="D4202" s="13" t="s">
        <v>109</v>
      </c>
    </row>
    <row r="4203" spans="1:4">
      <c r="A4203" s="23">
        <v>44995</v>
      </c>
      <c r="B4203" s="13" t="s">
        <v>6819</v>
      </c>
      <c r="C4203" s="13" t="s">
        <v>6818</v>
      </c>
      <c r="D4203" s="13" t="s">
        <v>5</v>
      </c>
    </row>
    <row r="4204" spans="1:4">
      <c r="A4204" s="23">
        <v>44974</v>
      </c>
      <c r="B4204" s="13" t="s">
        <v>6821</v>
      </c>
      <c r="C4204" s="13" t="s">
        <v>6820</v>
      </c>
      <c r="D4204" s="13" t="s">
        <v>345</v>
      </c>
    </row>
    <row r="4205" spans="1:4">
      <c r="A4205" s="23">
        <v>44973</v>
      </c>
      <c r="B4205" s="13" t="s">
        <v>6823</v>
      </c>
      <c r="C4205" s="13" t="s">
        <v>6822</v>
      </c>
      <c r="D4205" s="13" t="s">
        <v>345</v>
      </c>
    </row>
    <row r="4206" spans="1:4">
      <c r="A4206" s="23">
        <v>44981</v>
      </c>
      <c r="B4206" s="13" t="s">
        <v>6825</v>
      </c>
      <c r="C4206" s="13" t="s">
        <v>6824</v>
      </c>
      <c r="D4206" s="13" t="s">
        <v>345</v>
      </c>
    </row>
    <row r="4207" spans="1:4">
      <c r="A4207" s="23">
        <v>44972</v>
      </c>
      <c r="B4207" s="13" t="s">
        <v>6827</v>
      </c>
      <c r="C4207" s="13" t="s">
        <v>6826</v>
      </c>
      <c r="D4207" s="13" t="s">
        <v>24</v>
      </c>
    </row>
    <row r="4208" spans="1:4">
      <c r="A4208" s="23">
        <v>45007</v>
      </c>
      <c r="B4208" s="13" t="s">
        <v>6829</v>
      </c>
      <c r="C4208" s="13" t="s">
        <v>6828</v>
      </c>
      <c r="D4208" s="13" t="s">
        <v>109</v>
      </c>
    </row>
    <row r="4209" spans="1:4">
      <c r="A4209" s="23">
        <v>45006</v>
      </c>
      <c r="B4209" s="13" t="s">
        <v>6831</v>
      </c>
      <c r="C4209" s="13" t="s">
        <v>6830</v>
      </c>
      <c r="D4209" s="13" t="s">
        <v>74</v>
      </c>
    </row>
    <row r="4210" spans="1:4">
      <c r="A4210" s="23">
        <v>45005</v>
      </c>
      <c r="B4210" s="13" t="s">
        <v>6833</v>
      </c>
      <c r="C4210" s="13" t="s">
        <v>6832</v>
      </c>
      <c r="D4210" s="13" t="s">
        <v>141</v>
      </c>
    </row>
    <row r="4211" spans="1:4">
      <c r="A4211" s="23">
        <v>45009</v>
      </c>
      <c r="B4211" s="13" t="s">
        <v>6835</v>
      </c>
      <c r="C4211" s="13" t="s">
        <v>6834</v>
      </c>
      <c r="D4211" s="13" t="s">
        <v>345</v>
      </c>
    </row>
    <row r="4212" spans="1:4">
      <c r="A4212" s="23">
        <v>45013</v>
      </c>
      <c r="B4212" s="13" t="s">
        <v>6837</v>
      </c>
      <c r="C4212" s="13" t="s">
        <v>6836</v>
      </c>
      <c r="D4212" s="13" t="s">
        <v>109</v>
      </c>
    </row>
    <row r="4213" spans="1:4">
      <c r="A4213" s="23">
        <v>45009</v>
      </c>
      <c r="B4213" s="13" t="s">
        <v>6839</v>
      </c>
      <c r="C4213" s="13" t="s">
        <v>6838</v>
      </c>
      <c r="D4213" s="13" t="s">
        <v>109</v>
      </c>
    </row>
    <row r="4214" spans="1:4">
      <c r="A4214" s="23">
        <v>45008</v>
      </c>
      <c r="B4214" s="13" t="s">
        <v>6841</v>
      </c>
      <c r="C4214" s="13" t="s">
        <v>6840</v>
      </c>
      <c r="D4214" s="13" t="s">
        <v>109</v>
      </c>
    </row>
    <row r="4215" spans="1:4">
      <c r="A4215" s="23">
        <v>45008</v>
      </c>
      <c r="B4215" s="13" t="s">
        <v>6841</v>
      </c>
      <c r="C4215" s="13" t="s">
        <v>6840</v>
      </c>
      <c r="D4215" s="13" t="s">
        <v>109</v>
      </c>
    </row>
    <row r="4216" spans="1:4">
      <c r="A4216" s="23">
        <v>44994</v>
      </c>
      <c r="B4216" s="13" t="s">
        <v>6843</v>
      </c>
      <c r="C4216" s="13" t="s">
        <v>6842</v>
      </c>
      <c r="D4216" s="13" t="s">
        <v>345</v>
      </c>
    </row>
    <row r="4217" spans="1:4">
      <c r="A4217" s="23">
        <v>44995</v>
      </c>
      <c r="B4217" s="13" t="s">
        <v>6845</v>
      </c>
      <c r="C4217" s="13" t="s">
        <v>6844</v>
      </c>
      <c r="D4217" s="13" t="s">
        <v>29</v>
      </c>
    </row>
    <row r="4218" spans="1:4">
      <c r="A4218" s="23">
        <v>44998</v>
      </c>
      <c r="B4218" s="13" t="s">
        <v>6847</v>
      </c>
      <c r="C4218" s="13" t="s">
        <v>6846</v>
      </c>
      <c r="D4218" s="13" t="s">
        <v>5</v>
      </c>
    </row>
    <row r="4219" spans="1:4">
      <c r="A4219" s="23">
        <v>44993</v>
      </c>
      <c r="B4219" s="13" t="s">
        <v>6848</v>
      </c>
      <c r="C4219" s="13" t="s">
        <v>2515</v>
      </c>
      <c r="D4219" s="13" t="s">
        <v>74</v>
      </c>
    </row>
    <row r="4220" spans="1:4">
      <c r="A4220" s="23">
        <v>45006</v>
      </c>
      <c r="B4220" s="13" t="s">
        <v>6831</v>
      </c>
      <c r="C4220" s="13" t="s">
        <v>6849</v>
      </c>
      <c r="D4220" s="13" t="s">
        <v>345</v>
      </c>
    </row>
    <row r="4221" spans="1:4">
      <c r="A4221" s="23">
        <v>45006</v>
      </c>
      <c r="B4221" s="13" t="s">
        <v>6851</v>
      </c>
      <c r="C4221" s="13" t="s">
        <v>6850</v>
      </c>
      <c r="D4221" s="13" t="s">
        <v>109</v>
      </c>
    </row>
    <row r="4222" spans="1:4">
      <c r="A4222" s="23">
        <v>45007</v>
      </c>
      <c r="B4222" s="13" t="s">
        <v>6852</v>
      </c>
      <c r="C4222" s="13" t="s">
        <v>6828</v>
      </c>
      <c r="D4222" s="13" t="s">
        <v>109</v>
      </c>
    </row>
    <row r="4223" spans="1:4">
      <c r="A4223" s="23">
        <v>45005</v>
      </c>
      <c r="B4223" s="13" t="s">
        <v>6854</v>
      </c>
      <c r="C4223" s="13" t="s">
        <v>6853</v>
      </c>
      <c r="D4223" s="13" t="s">
        <v>8</v>
      </c>
    </row>
    <row r="4224" spans="1:4">
      <c r="A4224" s="23">
        <v>45000</v>
      </c>
      <c r="B4224" s="13" t="s">
        <v>6856</v>
      </c>
      <c r="C4224" s="13" t="s">
        <v>6855</v>
      </c>
      <c r="D4224" s="13" t="s">
        <v>16</v>
      </c>
    </row>
    <row r="4225" spans="1:4">
      <c r="A4225" s="23">
        <v>45002</v>
      </c>
      <c r="B4225" s="13" t="s">
        <v>6858</v>
      </c>
      <c r="C4225" s="13" t="s">
        <v>6857</v>
      </c>
      <c r="D4225" s="13" t="s">
        <v>74</v>
      </c>
    </row>
    <row r="4226" spans="1:4">
      <c r="A4226" s="23">
        <v>45002</v>
      </c>
      <c r="B4226" s="13" t="s">
        <v>6860</v>
      </c>
      <c r="C4226" s="13" t="s">
        <v>6859</v>
      </c>
      <c r="D4226" s="13" t="s">
        <v>345</v>
      </c>
    </row>
    <row r="4227" spans="1:4">
      <c r="A4227" s="23">
        <v>44998</v>
      </c>
      <c r="B4227" s="13" t="s">
        <v>6862</v>
      </c>
      <c r="C4227" s="13" t="s">
        <v>6861</v>
      </c>
      <c r="D4227" s="13" t="s">
        <v>29</v>
      </c>
    </row>
    <row r="4228" spans="1:4">
      <c r="A4228" s="23">
        <v>45016</v>
      </c>
      <c r="B4228" s="13" t="s">
        <v>6864</v>
      </c>
      <c r="C4228" s="13" t="s">
        <v>6863</v>
      </c>
      <c r="D4228" s="13" t="s">
        <v>109</v>
      </c>
    </row>
    <row r="4229" spans="1:4">
      <c r="A4229" s="23">
        <v>45005</v>
      </c>
      <c r="B4229" s="13" t="s">
        <v>6865</v>
      </c>
      <c r="C4229" s="13" t="s">
        <v>6859</v>
      </c>
      <c r="D4229" s="13" t="s">
        <v>345</v>
      </c>
    </row>
    <row r="4230" spans="1:4">
      <c r="A4230" s="23">
        <v>45002</v>
      </c>
      <c r="B4230" s="13" t="s">
        <v>6867</v>
      </c>
      <c r="C4230" s="13" t="s">
        <v>6866</v>
      </c>
      <c r="D4230" s="13" t="s">
        <v>5</v>
      </c>
    </row>
    <row r="4231" spans="1:4">
      <c r="A4231" s="23">
        <v>45036</v>
      </c>
      <c r="B4231" s="13" t="s">
        <v>6869</v>
      </c>
      <c r="C4231" s="13" t="s">
        <v>6868</v>
      </c>
      <c r="D4231" s="13" t="s">
        <v>109</v>
      </c>
    </row>
    <row r="4232" spans="1:4">
      <c r="A4232" s="23">
        <v>45033</v>
      </c>
      <c r="B4232" s="13" t="s">
        <v>6871</v>
      </c>
      <c r="C4232" s="13" t="s">
        <v>6870</v>
      </c>
      <c r="D4232" s="13" t="s">
        <v>11</v>
      </c>
    </row>
    <row r="4233" spans="1:4">
      <c r="A4233" s="23">
        <v>45001</v>
      </c>
      <c r="B4233" s="13" t="s">
        <v>6873</v>
      </c>
      <c r="C4233" s="13" t="s">
        <v>6872</v>
      </c>
      <c r="D4233" s="13" t="s">
        <v>353</v>
      </c>
    </row>
    <row r="4234" spans="1:4">
      <c r="A4234" s="23">
        <v>45000</v>
      </c>
      <c r="B4234" s="13" t="s">
        <v>6875</v>
      </c>
      <c r="C4234" s="13" t="s">
        <v>6874</v>
      </c>
      <c r="D4234" s="13" t="s">
        <v>5</v>
      </c>
    </row>
    <row r="4235" spans="1:4">
      <c r="A4235" s="23">
        <v>44995</v>
      </c>
      <c r="B4235" s="13" t="s">
        <v>6877</v>
      </c>
      <c r="C4235" s="13" t="s">
        <v>6876</v>
      </c>
      <c r="D4235" s="13" t="s">
        <v>5</v>
      </c>
    </row>
    <row r="4236" spans="1:4">
      <c r="A4236" s="23">
        <v>44999</v>
      </c>
      <c r="B4236" s="13" t="s">
        <v>6879</v>
      </c>
      <c r="C4236" s="13" t="s">
        <v>6878</v>
      </c>
      <c r="D4236" s="13" t="s">
        <v>29</v>
      </c>
    </row>
    <row r="4237" spans="1:4">
      <c r="A4237" s="23">
        <v>45030</v>
      </c>
      <c r="B4237" s="13" t="s">
        <v>6881</v>
      </c>
      <c r="C4237" s="13" t="s">
        <v>6880</v>
      </c>
      <c r="D4237" s="13" t="s">
        <v>16</v>
      </c>
    </row>
    <row r="4238" spans="1:4">
      <c r="A4238" s="23">
        <v>45009</v>
      </c>
      <c r="B4238" s="13" t="s">
        <v>6883</v>
      </c>
      <c r="C4238" s="13" t="s">
        <v>6882</v>
      </c>
      <c r="D4238" s="13" t="s">
        <v>109</v>
      </c>
    </row>
    <row r="4239" spans="1:4">
      <c r="A4239" s="23">
        <v>45006</v>
      </c>
      <c r="B4239" s="13" t="s">
        <v>6885</v>
      </c>
      <c r="C4239" s="13" t="s">
        <v>6884</v>
      </c>
      <c r="D4239" s="13" t="s">
        <v>109</v>
      </c>
    </row>
    <row r="4240" spans="1:4">
      <c r="A4240" s="23">
        <v>45012</v>
      </c>
      <c r="B4240" s="13" t="s">
        <v>6887</v>
      </c>
      <c r="C4240" s="13" t="s">
        <v>6886</v>
      </c>
      <c r="D4240" s="13" t="s">
        <v>5</v>
      </c>
    </row>
    <row r="4241" spans="1:4">
      <c r="A4241" s="23">
        <v>45009</v>
      </c>
      <c r="B4241" s="13" t="s">
        <v>6889</v>
      </c>
      <c r="C4241" s="13" t="s">
        <v>6888</v>
      </c>
      <c r="D4241" s="13" t="s">
        <v>109</v>
      </c>
    </row>
    <row r="4242" spans="1:4">
      <c r="A4242" s="23">
        <v>45014</v>
      </c>
      <c r="B4242" s="13" t="s">
        <v>6891</v>
      </c>
      <c r="C4242" s="13" t="s">
        <v>6890</v>
      </c>
      <c r="D4242" s="13" t="s">
        <v>345</v>
      </c>
    </row>
    <row r="4243" spans="1:4">
      <c r="A4243" s="23">
        <v>45015</v>
      </c>
      <c r="B4243" s="13" t="s">
        <v>6893</v>
      </c>
      <c r="C4243" s="13" t="s">
        <v>6892</v>
      </c>
      <c r="D4243" s="13" t="s">
        <v>29</v>
      </c>
    </row>
    <row r="4244" spans="1:4">
      <c r="A4244" s="23">
        <v>45015</v>
      </c>
      <c r="B4244" s="13" t="s">
        <v>6895</v>
      </c>
      <c r="C4244" s="13" t="s">
        <v>6894</v>
      </c>
      <c r="D4244" s="13" t="s">
        <v>16</v>
      </c>
    </row>
    <row r="4245" spans="1:4">
      <c r="A4245" s="23">
        <v>45015</v>
      </c>
      <c r="B4245" s="13" t="s">
        <v>6897</v>
      </c>
      <c r="C4245" s="13" t="s">
        <v>6896</v>
      </c>
      <c r="D4245" s="13" t="s">
        <v>109</v>
      </c>
    </row>
    <row r="4246" spans="1:4">
      <c r="A4246" s="23">
        <v>45015</v>
      </c>
      <c r="B4246" s="13" t="s">
        <v>6899</v>
      </c>
      <c r="C4246" s="13" t="s">
        <v>6898</v>
      </c>
      <c r="D4246" s="13" t="s">
        <v>109</v>
      </c>
    </row>
    <row r="4247" spans="1:4">
      <c r="A4247" s="23">
        <v>45014</v>
      </c>
      <c r="B4247" s="13" t="s">
        <v>6901</v>
      </c>
      <c r="C4247" s="13" t="s">
        <v>6900</v>
      </c>
      <c r="D4247" s="13" t="s">
        <v>109</v>
      </c>
    </row>
    <row r="4248" spans="1:4">
      <c r="A4248" s="23">
        <v>45016</v>
      </c>
      <c r="B4248" s="13" t="s">
        <v>6903</v>
      </c>
      <c r="C4248" s="13" t="s">
        <v>6902</v>
      </c>
      <c r="D4248" s="13" t="s">
        <v>109</v>
      </c>
    </row>
    <row r="4249" spans="1:4">
      <c r="A4249" s="23">
        <v>45029</v>
      </c>
      <c r="B4249" s="13" t="s">
        <v>6905</v>
      </c>
      <c r="C4249" s="13" t="s">
        <v>6904</v>
      </c>
      <c r="D4249" s="13" t="s">
        <v>109</v>
      </c>
    </row>
    <row r="4250" spans="1:4">
      <c r="A4250" s="23">
        <v>45034</v>
      </c>
      <c r="B4250" s="13" t="s">
        <v>6907</v>
      </c>
      <c r="C4250" s="13" t="s">
        <v>6906</v>
      </c>
      <c r="D4250" s="13" t="s">
        <v>16</v>
      </c>
    </row>
    <row r="4251" spans="1:4">
      <c r="A4251" s="23">
        <v>45029</v>
      </c>
      <c r="B4251" s="13" t="s">
        <v>6909</v>
      </c>
      <c r="C4251" s="13" t="s">
        <v>6908</v>
      </c>
      <c r="D4251" s="13" t="s">
        <v>109</v>
      </c>
    </row>
    <row r="4252" spans="1:4">
      <c r="A4252" s="23">
        <v>45034</v>
      </c>
      <c r="B4252" s="13" t="s">
        <v>6911</v>
      </c>
      <c r="C4252" s="13" t="s">
        <v>6910</v>
      </c>
      <c r="D4252" s="13" t="s">
        <v>109</v>
      </c>
    </row>
    <row r="4253" spans="1:4">
      <c r="A4253" s="23">
        <v>45035</v>
      </c>
      <c r="B4253" s="13" t="s">
        <v>6913</v>
      </c>
      <c r="C4253" s="13" t="s">
        <v>6912</v>
      </c>
      <c r="D4253" s="13" t="s">
        <v>29</v>
      </c>
    </row>
    <row r="4254" spans="1:4">
      <c r="A4254" s="23">
        <v>45034</v>
      </c>
      <c r="B4254" s="13" t="s">
        <v>6914</v>
      </c>
      <c r="C4254" s="18">
        <v>31161</v>
      </c>
      <c r="D4254" s="13" t="s">
        <v>109</v>
      </c>
    </row>
    <row r="4255" spans="1:4">
      <c r="A4255" s="23">
        <v>45035</v>
      </c>
      <c r="B4255" s="13" t="s">
        <v>6916</v>
      </c>
      <c r="C4255" s="13" t="s">
        <v>6915</v>
      </c>
      <c r="D4255" s="13" t="s">
        <v>29</v>
      </c>
    </row>
    <row r="4256" spans="1:4">
      <c r="A4256" s="23">
        <v>45015</v>
      </c>
      <c r="B4256" s="13" t="s">
        <v>6918</v>
      </c>
      <c r="C4256" s="13" t="s">
        <v>6917</v>
      </c>
      <c r="D4256" s="13" t="s">
        <v>74</v>
      </c>
    </row>
    <row r="4257" spans="1:4">
      <c r="A4257" s="23">
        <v>45028</v>
      </c>
      <c r="B4257" s="13" t="s">
        <v>6881</v>
      </c>
      <c r="C4257" s="13" t="s">
        <v>6919</v>
      </c>
      <c r="D4257" s="13" t="s">
        <v>29</v>
      </c>
    </row>
    <row r="4258" spans="1:4">
      <c r="A4258" s="23">
        <v>45015</v>
      </c>
      <c r="B4258" s="13" t="s">
        <v>6920</v>
      </c>
      <c r="C4258" s="13" t="s">
        <v>6917</v>
      </c>
      <c r="D4258" s="13" t="s">
        <v>74</v>
      </c>
    </row>
    <row r="4259" spans="1:4">
      <c r="A4259" s="23">
        <v>45015</v>
      </c>
      <c r="B4259" s="13" t="s">
        <v>6922</v>
      </c>
      <c r="C4259" s="13" t="s">
        <v>6921</v>
      </c>
      <c r="D4259" s="13" t="s">
        <v>29</v>
      </c>
    </row>
    <row r="4260" spans="1:4">
      <c r="A4260" s="23">
        <v>45034</v>
      </c>
      <c r="B4260" s="13" t="s">
        <v>6907</v>
      </c>
      <c r="C4260" s="13" t="s">
        <v>6906</v>
      </c>
      <c r="D4260" s="13" t="s">
        <v>16</v>
      </c>
    </row>
    <row r="4261" spans="1:4">
      <c r="A4261" s="23">
        <v>45030</v>
      </c>
      <c r="B4261" s="13" t="s">
        <v>6924</v>
      </c>
      <c r="C4261" s="13" t="s">
        <v>6923</v>
      </c>
      <c r="D4261" s="13" t="s">
        <v>109</v>
      </c>
    </row>
    <row r="4262" spans="1:4">
      <c r="A4262" s="23">
        <v>45034</v>
      </c>
      <c r="B4262" s="13" t="s">
        <v>6907</v>
      </c>
      <c r="C4262" s="13" t="s">
        <v>6906</v>
      </c>
      <c r="D4262" s="13" t="s">
        <v>16</v>
      </c>
    </row>
    <row r="4263" spans="1:4">
      <c r="A4263" s="23">
        <v>45033</v>
      </c>
      <c r="B4263" s="13" t="s">
        <v>6925</v>
      </c>
      <c r="C4263" s="13" t="s">
        <v>4819</v>
      </c>
      <c r="D4263" s="13" t="s">
        <v>11</v>
      </c>
    </row>
    <row r="4264" spans="1:4">
      <c r="A4264" s="23">
        <v>45028</v>
      </c>
      <c r="B4264" s="13" t="s">
        <v>6905</v>
      </c>
      <c r="C4264" s="13" t="s">
        <v>6926</v>
      </c>
      <c r="D4264" s="13" t="s">
        <v>109</v>
      </c>
    </row>
    <row r="4265" spans="1:4">
      <c r="A4265" s="23">
        <v>45030</v>
      </c>
      <c r="B4265" s="13" t="s">
        <v>6925</v>
      </c>
      <c r="C4265" s="13" t="s">
        <v>6927</v>
      </c>
      <c r="D4265" s="13" t="s">
        <v>29</v>
      </c>
    </row>
    <row r="4266" spans="1:4">
      <c r="A4266" s="23">
        <v>45028</v>
      </c>
      <c r="B4266" s="13" t="s">
        <v>6929</v>
      </c>
      <c r="C4266" s="13" t="s">
        <v>6928</v>
      </c>
      <c r="D4266" s="13" t="s">
        <v>109</v>
      </c>
    </row>
    <row r="4267" spans="1:4">
      <c r="A4267" s="23">
        <v>45022</v>
      </c>
      <c r="B4267" s="13" t="s">
        <v>6931</v>
      </c>
      <c r="C4267" s="13" t="s">
        <v>6930</v>
      </c>
      <c r="D4267" s="13" t="s">
        <v>109</v>
      </c>
    </row>
    <row r="4268" spans="1:4">
      <c r="A4268" s="23">
        <v>45022</v>
      </c>
      <c r="B4268" s="13" t="s">
        <v>6933</v>
      </c>
      <c r="C4268" s="13" t="s">
        <v>6932</v>
      </c>
      <c r="D4268" s="13" t="s">
        <v>24</v>
      </c>
    </row>
    <row r="4269" spans="1:4">
      <c r="A4269" s="23">
        <v>45015</v>
      </c>
      <c r="B4269" s="13" t="s">
        <v>6918</v>
      </c>
      <c r="C4269" s="13" t="s">
        <v>6917</v>
      </c>
      <c r="D4269" s="13" t="s">
        <v>74</v>
      </c>
    </row>
    <row r="4270" spans="1:4">
      <c r="A4270" s="23">
        <v>45014</v>
      </c>
      <c r="B4270" s="13" t="s">
        <v>6935</v>
      </c>
      <c r="C4270" s="13" t="s">
        <v>6934</v>
      </c>
      <c r="D4270" s="13" t="s">
        <v>345</v>
      </c>
    </row>
    <row r="4271" spans="1:4">
      <c r="A4271" s="23">
        <v>45040</v>
      </c>
      <c r="B4271" s="13" t="s">
        <v>6937</v>
      </c>
      <c r="C4271" s="13" t="s">
        <v>6936</v>
      </c>
      <c r="D4271" s="13" t="s">
        <v>510</v>
      </c>
    </row>
    <row r="4272" spans="1:4">
      <c r="A4272" s="23">
        <v>45036</v>
      </c>
      <c r="B4272" s="13" t="s">
        <v>6939</v>
      </c>
      <c r="C4272" s="13" t="s">
        <v>6938</v>
      </c>
      <c r="D4272" s="13" t="s">
        <v>109</v>
      </c>
    </row>
    <row r="4273" spans="1:4">
      <c r="A4273" s="23">
        <v>45040</v>
      </c>
      <c r="B4273" s="13" t="s">
        <v>6941</v>
      </c>
      <c r="C4273" s="13" t="s">
        <v>6940</v>
      </c>
      <c r="D4273" s="13" t="s">
        <v>510</v>
      </c>
    </row>
    <row r="4274" spans="1:4">
      <c r="A4274" s="23">
        <v>45041</v>
      </c>
      <c r="B4274" s="13" t="s">
        <v>6943</v>
      </c>
      <c r="C4274" s="13" t="s">
        <v>6942</v>
      </c>
      <c r="D4274" s="13" t="s">
        <v>5</v>
      </c>
    </row>
    <row r="4275" spans="1:4">
      <c r="A4275" s="23">
        <v>45042</v>
      </c>
      <c r="B4275" s="13" t="s">
        <v>6945</v>
      </c>
      <c r="C4275" s="13" t="s">
        <v>6944</v>
      </c>
      <c r="D4275" s="13" t="s">
        <v>510</v>
      </c>
    </row>
    <row r="4276" spans="1:4">
      <c r="A4276" s="23">
        <v>45035</v>
      </c>
      <c r="B4276" s="13" t="s">
        <v>6946</v>
      </c>
      <c r="C4276" s="13" t="s">
        <v>6942</v>
      </c>
      <c r="D4276" s="13" t="s">
        <v>5</v>
      </c>
    </row>
    <row r="4277" spans="1:4">
      <c r="A4277" s="23">
        <v>45035</v>
      </c>
      <c r="B4277" s="13" t="s">
        <v>6946</v>
      </c>
      <c r="C4277" s="13" t="s">
        <v>6942</v>
      </c>
      <c r="D4277" s="13" t="s">
        <v>5</v>
      </c>
    </row>
    <row r="4278" spans="1:4">
      <c r="A4278" s="23">
        <v>45036</v>
      </c>
      <c r="B4278" s="13" t="s">
        <v>6948</v>
      </c>
      <c r="C4278" s="13" t="s">
        <v>6947</v>
      </c>
      <c r="D4278" s="13" t="s">
        <v>16</v>
      </c>
    </row>
    <row r="4279" spans="1:4">
      <c r="A4279" s="23">
        <v>45036</v>
      </c>
      <c r="B4279" s="13" t="s">
        <v>6950</v>
      </c>
      <c r="C4279" s="13" t="s">
        <v>6949</v>
      </c>
      <c r="D4279" s="13" t="s">
        <v>345</v>
      </c>
    </row>
    <row r="4280" spans="1:4">
      <c r="A4280" s="23">
        <v>45052</v>
      </c>
      <c r="B4280" s="13" t="s">
        <v>6952</v>
      </c>
      <c r="C4280" s="13" t="s">
        <v>6951</v>
      </c>
      <c r="D4280" s="13" t="s">
        <v>109</v>
      </c>
    </row>
    <row r="4281" spans="1:4">
      <c r="A4281" s="23">
        <v>45052</v>
      </c>
      <c r="B4281" s="13" t="s">
        <v>6954</v>
      </c>
      <c r="C4281" s="13" t="s">
        <v>6953</v>
      </c>
      <c r="D4281" s="13" t="s">
        <v>109</v>
      </c>
    </row>
    <row r="4282" spans="1:4">
      <c r="A4282" s="23">
        <v>45054</v>
      </c>
      <c r="B4282" s="13" t="s">
        <v>6956</v>
      </c>
      <c r="C4282" s="13" t="s">
        <v>6955</v>
      </c>
      <c r="D4282" s="13" t="s">
        <v>5</v>
      </c>
    </row>
    <row r="4283" spans="1:4">
      <c r="A4283" s="23">
        <v>45054</v>
      </c>
      <c r="B4283" s="13" t="s">
        <v>6958</v>
      </c>
      <c r="C4283" s="13" t="s">
        <v>6957</v>
      </c>
      <c r="D4283" s="13" t="s">
        <v>5</v>
      </c>
    </row>
    <row r="4284" spans="1:4">
      <c r="A4284" s="23">
        <v>45054</v>
      </c>
      <c r="B4284" s="13" t="s">
        <v>6960</v>
      </c>
      <c r="C4284" s="13" t="s">
        <v>6959</v>
      </c>
      <c r="D4284" s="13" t="s">
        <v>5</v>
      </c>
    </row>
    <row r="4285" spans="1:4">
      <c r="A4285" s="23">
        <v>45054</v>
      </c>
      <c r="B4285" s="13" t="s">
        <v>6962</v>
      </c>
      <c r="C4285" s="13" t="s">
        <v>6961</v>
      </c>
      <c r="D4285" s="13" t="s">
        <v>109</v>
      </c>
    </row>
    <row r="4286" spans="1:4">
      <c r="A4286" s="23">
        <v>45055</v>
      </c>
      <c r="B4286" s="13" t="s">
        <v>6964</v>
      </c>
      <c r="C4286" s="13" t="s">
        <v>6963</v>
      </c>
      <c r="D4286" s="13" t="s">
        <v>24</v>
      </c>
    </row>
    <row r="4287" spans="1:4">
      <c r="A4287" s="23">
        <v>45055</v>
      </c>
      <c r="B4287" s="13" t="s">
        <v>6966</v>
      </c>
      <c r="C4287" s="13" t="s">
        <v>6965</v>
      </c>
      <c r="D4287" s="13" t="s">
        <v>8</v>
      </c>
    </row>
    <row r="4288" spans="1:4">
      <c r="A4288" s="23">
        <v>45055</v>
      </c>
      <c r="B4288" s="13" t="s">
        <v>6968</v>
      </c>
      <c r="C4288" s="13" t="s">
        <v>6967</v>
      </c>
      <c r="D4288" s="13" t="s">
        <v>8</v>
      </c>
    </row>
    <row r="4289" spans="1:4">
      <c r="A4289" s="23">
        <v>45057</v>
      </c>
      <c r="B4289" s="13" t="s">
        <v>6970</v>
      </c>
      <c r="C4289" s="13" t="s">
        <v>6969</v>
      </c>
      <c r="D4289" s="13" t="s">
        <v>353</v>
      </c>
    </row>
    <row r="4290" spans="1:4">
      <c r="A4290" s="23">
        <v>45057</v>
      </c>
      <c r="B4290" s="13" t="s">
        <v>6972</v>
      </c>
      <c r="C4290" s="13" t="s">
        <v>6971</v>
      </c>
      <c r="D4290" s="13" t="s">
        <v>109</v>
      </c>
    </row>
    <row r="4291" spans="1:4">
      <c r="A4291" s="23">
        <v>45063</v>
      </c>
      <c r="B4291" s="13" t="s">
        <v>6974</v>
      </c>
      <c r="C4291" s="13" t="s">
        <v>6973</v>
      </c>
      <c r="D4291" s="13" t="s">
        <v>353</v>
      </c>
    </row>
    <row r="4292" spans="1:4">
      <c r="A4292" s="23">
        <v>45065</v>
      </c>
      <c r="B4292" s="13" t="s">
        <v>6976</v>
      </c>
      <c r="C4292" s="13" t="s">
        <v>6975</v>
      </c>
      <c r="D4292" s="13" t="s">
        <v>29</v>
      </c>
    </row>
    <row r="4293" spans="1:4">
      <c r="A4293" s="23">
        <v>45065</v>
      </c>
      <c r="B4293" s="13" t="s">
        <v>6978</v>
      </c>
      <c r="C4293" s="13" t="s">
        <v>6977</v>
      </c>
      <c r="D4293" s="13" t="s">
        <v>29</v>
      </c>
    </row>
    <row r="4294" spans="1:4">
      <c r="A4294" s="23">
        <v>45071</v>
      </c>
      <c r="B4294" s="13" t="s">
        <v>6980</v>
      </c>
      <c r="C4294" s="13" t="s">
        <v>6979</v>
      </c>
      <c r="D4294" s="13" t="s">
        <v>109</v>
      </c>
    </row>
    <row r="4295" spans="1:4">
      <c r="A4295" s="23">
        <v>45071</v>
      </c>
      <c r="B4295" s="13" t="s">
        <v>6982</v>
      </c>
      <c r="C4295" s="13" t="s">
        <v>6981</v>
      </c>
      <c r="D4295" s="13" t="s">
        <v>109</v>
      </c>
    </row>
    <row r="4296" spans="1:4">
      <c r="A4296" s="23">
        <v>45075</v>
      </c>
      <c r="B4296" s="13" t="s">
        <v>6984</v>
      </c>
      <c r="C4296" s="13" t="s">
        <v>6983</v>
      </c>
      <c r="D4296" s="13" t="s">
        <v>109</v>
      </c>
    </row>
    <row r="4297" spans="1:4">
      <c r="A4297" s="23">
        <v>45076</v>
      </c>
      <c r="B4297" s="13" t="s">
        <v>6986</v>
      </c>
      <c r="C4297" s="13" t="s">
        <v>6985</v>
      </c>
      <c r="D4297" s="13" t="s">
        <v>24</v>
      </c>
    </row>
    <row r="4298" spans="1:4">
      <c r="A4298" s="23">
        <v>45076</v>
      </c>
      <c r="B4298" s="13" t="s">
        <v>6988</v>
      </c>
      <c r="C4298" s="13" t="s">
        <v>6987</v>
      </c>
      <c r="D4298" s="13" t="s">
        <v>24</v>
      </c>
    </row>
    <row r="4299" spans="1:4">
      <c r="A4299" s="23">
        <v>45077</v>
      </c>
      <c r="B4299" s="13" t="s">
        <v>6990</v>
      </c>
      <c r="C4299" s="13" t="s">
        <v>6989</v>
      </c>
      <c r="D4299" s="13" t="s">
        <v>353</v>
      </c>
    </row>
    <row r="4300" spans="1:4">
      <c r="A4300" s="23">
        <v>45077</v>
      </c>
      <c r="B4300" s="13" t="s">
        <v>6992</v>
      </c>
      <c r="C4300" s="13" t="s">
        <v>6991</v>
      </c>
      <c r="D4300" s="13" t="s">
        <v>353</v>
      </c>
    </row>
    <row r="4301" spans="1:4">
      <c r="A4301" s="23">
        <v>45078</v>
      </c>
      <c r="B4301" s="13" t="s">
        <v>6994</v>
      </c>
      <c r="C4301" s="13" t="s">
        <v>6993</v>
      </c>
      <c r="D4301" s="13" t="s">
        <v>74</v>
      </c>
    </row>
    <row r="4302" spans="1:4">
      <c r="A4302" s="23">
        <v>45082</v>
      </c>
      <c r="B4302" s="13" t="s">
        <v>6996</v>
      </c>
      <c r="C4302" s="13" t="s">
        <v>6995</v>
      </c>
      <c r="D4302" s="13" t="s">
        <v>109</v>
      </c>
    </row>
    <row r="4303" spans="1:4">
      <c r="A4303" s="23">
        <v>45082</v>
      </c>
      <c r="B4303" s="13" t="s">
        <v>6998</v>
      </c>
      <c r="C4303" s="13" t="s">
        <v>6997</v>
      </c>
      <c r="D4303" s="13" t="s">
        <v>353</v>
      </c>
    </row>
    <row r="4304" spans="1:4">
      <c r="A4304" s="23">
        <v>45083</v>
      </c>
      <c r="B4304" s="13" t="s">
        <v>7000</v>
      </c>
      <c r="C4304" s="13" t="s">
        <v>6999</v>
      </c>
      <c r="D4304" s="13" t="s">
        <v>29</v>
      </c>
    </row>
    <row r="4305" spans="1:4">
      <c r="A4305" s="23">
        <v>45083</v>
      </c>
      <c r="B4305" s="13" t="s">
        <v>7002</v>
      </c>
      <c r="C4305" s="13" t="s">
        <v>7001</v>
      </c>
      <c r="D4305" s="13" t="s">
        <v>510</v>
      </c>
    </row>
    <row r="4306" spans="1:4">
      <c r="A4306" s="23">
        <v>45084</v>
      </c>
      <c r="B4306" s="13" t="s">
        <v>7003</v>
      </c>
      <c r="C4306" s="13" t="s">
        <v>6281</v>
      </c>
      <c r="D4306" s="13" t="s">
        <v>109</v>
      </c>
    </row>
    <row r="4307" spans="1:4">
      <c r="A4307" s="23">
        <v>45084</v>
      </c>
      <c r="B4307" s="13" t="s">
        <v>7005</v>
      </c>
      <c r="C4307" s="13" t="s">
        <v>7004</v>
      </c>
      <c r="D4307" s="13" t="s">
        <v>109</v>
      </c>
    </row>
    <row r="4308" spans="1:4">
      <c r="A4308" s="23">
        <v>45085</v>
      </c>
      <c r="B4308" s="13" t="s">
        <v>7007</v>
      </c>
      <c r="C4308" s="13" t="s">
        <v>7006</v>
      </c>
      <c r="D4308" s="13" t="s">
        <v>353</v>
      </c>
    </row>
    <row r="4309" spans="1:4">
      <c r="A4309" s="23">
        <v>45085</v>
      </c>
      <c r="B4309" s="13" t="s">
        <v>7009</v>
      </c>
      <c r="C4309" s="13" t="s">
        <v>7008</v>
      </c>
      <c r="D4309" s="13" t="s">
        <v>24</v>
      </c>
    </row>
    <row r="4310" spans="1:4">
      <c r="A4310" s="23">
        <v>45091</v>
      </c>
      <c r="B4310" s="13" t="s">
        <v>7011</v>
      </c>
      <c r="C4310" s="13" t="s">
        <v>7010</v>
      </c>
      <c r="D4310" s="13" t="s">
        <v>11</v>
      </c>
    </row>
    <row r="4311" spans="1:4">
      <c r="A4311" s="23">
        <v>45091</v>
      </c>
      <c r="B4311" s="13" t="s">
        <v>7011</v>
      </c>
      <c r="C4311" s="13" t="s">
        <v>7010</v>
      </c>
      <c r="D4311" s="13" t="s">
        <v>11</v>
      </c>
    </row>
    <row r="4312" spans="1:4">
      <c r="A4312" s="23">
        <v>45093</v>
      </c>
      <c r="B4312" s="13" t="s">
        <v>7003</v>
      </c>
      <c r="C4312" s="13" t="s">
        <v>7012</v>
      </c>
      <c r="D4312" s="13" t="s">
        <v>109</v>
      </c>
    </row>
    <row r="4313" spans="1:4">
      <c r="A4313" s="23">
        <v>45093</v>
      </c>
      <c r="B4313" s="13" t="s">
        <v>7014</v>
      </c>
      <c r="C4313" s="13" t="s">
        <v>7013</v>
      </c>
      <c r="D4313" s="13" t="s">
        <v>74</v>
      </c>
    </row>
    <row r="4314" spans="1:4">
      <c r="A4314" s="23">
        <v>45096</v>
      </c>
      <c r="B4314" s="13" t="s">
        <v>7015</v>
      </c>
      <c r="C4314" s="13" t="s">
        <v>6999</v>
      </c>
      <c r="D4314" s="13" t="s">
        <v>109</v>
      </c>
    </row>
    <row r="4315" spans="1:4">
      <c r="A4315" s="23">
        <v>45099</v>
      </c>
      <c r="B4315" s="13" t="s">
        <v>7017</v>
      </c>
      <c r="C4315" s="13" t="s">
        <v>7016</v>
      </c>
      <c r="D4315" s="13" t="s">
        <v>345</v>
      </c>
    </row>
    <row r="4316" spans="1:4">
      <c r="A4316" s="23">
        <v>45100</v>
      </c>
      <c r="B4316" s="13" t="s">
        <v>7019</v>
      </c>
      <c r="C4316" s="13" t="s">
        <v>7018</v>
      </c>
      <c r="D4316" s="13" t="s">
        <v>11</v>
      </c>
    </row>
    <row r="4317" spans="1:4">
      <c r="A4317" s="23">
        <v>45111</v>
      </c>
      <c r="B4317" s="13" t="s">
        <v>7021</v>
      </c>
      <c r="C4317" s="13" t="s">
        <v>7020</v>
      </c>
      <c r="D4317" s="13" t="s">
        <v>345</v>
      </c>
    </row>
    <row r="4318" spans="1:4">
      <c r="A4318" s="23">
        <v>45111</v>
      </c>
      <c r="B4318" s="13" t="s">
        <v>7023</v>
      </c>
      <c r="C4318" s="13" t="s">
        <v>7022</v>
      </c>
      <c r="D4318" s="13" t="s">
        <v>345</v>
      </c>
    </row>
    <row r="4319" spans="1:4">
      <c r="A4319" s="23">
        <v>45112</v>
      </c>
      <c r="B4319" s="13" t="s">
        <v>7025</v>
      </c>
      <c r="C4319" s="13" t="s">
        <v>7024</v>
      </c>
      <c r="D4319" s="13" t="s">
        <v>5</v>
      </c>
    </row>
    <row r="4320" spans="1:4">
      <c r="A4320" s="23">
        <v>45112</v>
      </c>
      <c r="B4320" s="13" t="s">
        <v>7027</v>
      </c>
      <c r="C4320" s="13" t="s">
        <v>7026</v>
      </c>
      <c r="D4320" s="13" t="s">
        <v>5</v>
      </c>
    </row>
    <row r="4321" spans="1:4">
      <c r="A4321" s="23">
        <v>45113</v>
      </c>
      <c r="B4321" s="13" t="s">
        <v>7029</v>
      </c>
      <c r="C4321" s="13" t="s">
        <v>7028</v>
      </c>
      <c r="D4321" s="13" t="s">
        <v>353</v>
      </c>
    </row>
    <row r="4322" spans="1:4">
      <c r="A4322" s="23">
        <v>45114</v>
      </c>
      <c r="B4322" s="13" t="s">
        <v>7031</v>
      </c>
      <c r="C4322" s="13" t="s">
        <v>7030</v>
      </c>
      <c r="D4322" s="13" t="s">
        <v>345</v>
      </c>
    </row>
    <row r="4323" spans="1:4">
      <c r="A4323" s="23">
        <v>45114</v>
      </c>
      <c r="B4323" s="13" t="s">
        <v>7033</v>
      </c>
      <c r="C4323" s="13" t="s">
        <v>7032</v>
      </c>
      <c r="D4323" s="13" t="s">
        <v>109</v>
      </c>
    </row>
    <row r="4324" spans="1:4">
      <c r="A4324" s="23">
        <v>45117</v>
      </c>
      <c r="B4324" s="13" t="s">
        <v>7035</v>
      </c>
      <c r="C4324" s="13" t="s">
        <v>7034</v>
      </c>
      <c r="D4324" s="13" t="s">
        <v>109</v>
      </c>
    </row>
    <row r="4325" spans="1:4">
      <c r="A4325" s="23">
        <v>45117</v>
      </c>
      <c r="B4325" s="13" t="s">
        <v>7037</v>
      </c>
      <c r="C4325" s="13" t="s">
        <v>7036</v>
      </c>
      <c r="D4325" s="13" t="s">
        <v>109</v>
      </c>
    </row>
    <row r="4326" spans="1:4">
      <c r="A4326" s="23">
        <v>45120</v>
      </c>
      <c r="B4326" s="13" t="s">
        <v>7039</v>
      </c>
      <c r="C4326" s="13" t="s">
        <v>7038</v>
      </c>
      <c r="D4326" s="13" t="s">
        <v>345</v>
      </c>
    </row>
    <row r="4327" spans="1:4">
      <c r="A4327" s="23">
        <v>45120</v>
      </c>
      <c r="B4327" s="13" t="s">
        <v>7041</v>
      </c>
      <c r="C4327" s="13" t="s">
        <v>7040</v>
      </c>
      <c r="D4327" s="13" t="s">
        <v>345</v>
      </c>
    </row>
    <row r="4328" spans="1:4">
      <c r="A4328" s="23">
        <v>45121</v>
      </c>
      <c r="B4328" s="13" t="s">
        <v>7044</v>
      </c>
      <c r="C4328" s="13" t="s">
        <v>7042</v>
      </c>
      <c r="D4328" s="13" t="s">
        <v>7043</v>
      </c>
    </row>
    <row r="4329" spans="1:4">
      <c r="A4329" s="23">
        <v>45125</v>
      </c>
      <c r="B4329" s="13" t="s">
        <v>7046</v>
      </c>
      <c r="C4329" s="13" t="s">
        <v>7045</v>
      </c>
      <c r="D4329" s="13" t="s">
        <v>345</v>
      </c>
    </row>
    <row r="4330" spans="1:4">
      <c r="A4330" s="23">
        <v>45145</v>
      </c>
      <c r="B4330" s="13" t="s">
        <v>7048</v>
      </c>
      <c r="C4330" s="13" t="s">
        <v>7047</v>
      </c>
      <c r="D4330" s="13" t="s">
        <v>109</v>
      </c>
    </row>
    <row r="4331" spans="1:4">
      <c r="A4331" s="23">
        <v>45145</v>
      </c>
      <c r="B4331" s="13" t="s">
        <v>7050</v>
      </c>
      <c r="C4331" s="13" t="s">
        <v>7049</v>
      </c>
      <c r="D4331" s="13" t="s">
        <v>5</v>
      </c>
    </row>
    <row r="4332" spans="1:4">
      <c r="A4332" s="23">
        <v>45154</v>
      </c>
      <c r="B4332" s="13" t="s">
        <v>7052</v>
      </c>
      <c r="C4332" s="13" t="s">
        <v>7051</v>
      </c>
      <c r="D4332" s="13" t="s">
        <v>5</v>
      </c>
    </row>
    <row r="4333" spans="1:4">
      <c r="A4333" s="23">
        <v>45156</v>
      </c>
      <c r="B4333" s="13" t="s">
        <v>7054</v>
      </c>
      <c r="C4333" s="13" t="s">
        <v>7053</v>
      </c>
      <c r="D4333" s="13" t="s">
        <v>109</v>
      </c>
    </row>
    <row r="4334" spans="1:4">
      <c r="A4334" s="23">
        <v>45156</v>
      </c>
      <c r="B4334" s="13" t="s">
        <v>7055</v>
      </c>
      <c r="C4334" s="13" t="s">
        <v>7028</v>
      </c>
      <c r="D4334" s="13" t="s">
        <v>353</v>
      </c>
    </row>
    <row r="4335" spans="1:4">
      <c r="A4335" s="23">
        <v>45159</v>
      </c>
      <c r="B4335" s="13" t="s">
        <v>7057</v>
      </c>
      <c r="C4335" s="13" t="s">
        <v>7056</v>
      </c>
      <c r="D4335" s="13" t="s">
        <v>109</v>
      </c>
    </row>
    <row r="4336" spans="1:4">
      <c r="A4336" s="23">
        <v>45159</v>
      </c>
      <c r="B4336" s="13" t="s">
        <v>7057</v>
      </c>
      <c r="C4336" s="13" t="s">
        <v>7058</v>
      </c>
      <c r="D4336" s="13" t="s">
        <v>109</v>
      </c>
    </row>
    <row r="4337" spans="1:4">
      <c r="A4337" s="23">
        <v>45160</v>
      </c>
      <c r="B4337" s="13" t="s">
        <v>7060</v>
      </c>
      <c r="C4337" s="13" t="s">
        <v>7059</v>
      </c>
      <c r="D4337" s="13" t="s">
        <v>353</v>
      </c>
    </row>
    <row r="4338" spans="1:4">
      <c r="A4338" s="23">
        <v>45163</v>
      </c>
      <c r="B4338" s="13" t="s">
        <v>7062</v>
      </c>
      <c r="C4338" s="13" t="s">
        <v>7061</v>
      </c>
      <c r="D4338" s="13" t="s">
        <v>141</v>
      </c>
    </row>
    <row r="4339" spans="1:4">
      <c r="A4339" s="23">
        <v>45163</v>
      </c>
      <c r="B4339" s="13" t="s">
        <v>7064</v>
      </c>
      <c r="C4339" s="13" t="s">
        <v>7063</v>
      </c>
      <c r="D4339" s="13" t="s">
        <v>345</v>
      </c>
    </row>
    <row r="4340" spans="1:4">
      <c r="A4340" s="23">
        <v>45166</v>
      </c>
      <c r="B4340" s="13" t="s">
        <v>7066</v>
      </c>
      <c r="C4340" s="13" t="s">
        <v>7065</v>
      </c>
      <c r="D4340" s="13" t="s">
        <v>164</v>
      </c>
    </row>
    <row r="4341" spans="1:4">
      <c r="A4341" s="23">
        <v>45168</v>
      </c>
      <c r="B4341" s="13" t="s">
        <v>7068</v>
      </c>
      <c r="C4341" s="13" t="s">
        <v>7067</v>
      </c>
      <c r="D4341" s="13" t="s">
        <v>74</v>
      </c>
    </row>
    <row r="4342" spans="1:4">
      <c r="A4342" s="23">
        <v>45169</v>
      </c>
      <c r="B4342" s="13" t="s">
        <v>7070</v>
      </c>
      <c r="C4342" s="13" t="s">
        <v>7069</v>
      </c>
      <c r="D4342" s="13" t="s">
        <v>510</v>
      </c>
    </row>
    <row r="4343" spans="1:4">
      <c r="A4343" s="23">
        <v>45170</v>
      </c>
      <c r="B4343" s="13" t="s">
        <v>7072</v>
      </c>
      <c r="C4343" s="13" t="s">
        <v>7071</v>
      </c>
      <c r="D4343" s="13" t="s">
        <v>5</v>
      </c>
    </row>
    <row r="4344" spans="1:4">
      <c r="A4344" s="23">
        <v>45173</v>
      </c>
      <c r="B4344" s="13" t="s">
        <v>7074</v>
      </c>
      <c r="C4344" s="13" t="s">
        <v>7073</v>
      </c>
      <c r="D4344" s="13" t="s">
        <v>5</v>
      </c>
    </row>
    <row r="4345" spans="1:4">
      <c r="A4345" s="23">
        <v>45173</v>
      </c>
      <c r="B4345" s="13" t="s">
        <v>7074</v>
      </c>
      <c r="C4345" s="13" t="s">
        <v>7073</v>
      </c>
      <c r="D4345" s="13" t="s">
        <v>5</v>
      </c>
    </row>
    <row r="4346" spans="1:4">
      <c r="A4346" s="23">
        <v>45174</v>
      </c>
      <c r="B4346" s="13" t="s">
        <v>7074</v>
      </c>
      <c r="C4346" s="13" t="s">
        <v>7073</v>
      </c>
      <c r="D4346" s="13" t="s">
        <v>5</v>
      </c>
    </row>
    <row r="4347" spans="1:4">
      <c r="A4347" s="23">
        <v>45174</v>
      </c>
      <c r="B4347" s="13" t="s">
        <v>7076</v>
      </c>
      <c r="C4347" s="13" t="s">
        <v>7075</v>
      </c>
      <c r="D4347" s="13" t="s">
        <v>5</v>
      </c>
    </row>
    <row r="4348" spans="1:4">
      <c r="A4348" s="23">
        <v>45175</v>
      </c>
      <c r="B4348" s="13" t="s">
        <v>7078</v>
      </c>
      <c r="C4348" s="13" t="s">
        <v>7077</v>
      </c>
      <c r="D4348" s="13" t="s">
        <v>109</v>
      </c>
    </row>
    <row r="4349" spans="1:4">
      <c r="A4349" s="23">
        <v>45175</v>
      </c>
      <c r="B4349" s="13" t="s">
        <v>7079</v>
      </c>
      <c r="C4349" s="13" t="s">
        <v>7077</v>
      </c>
      <c r="D4349" s="13" t="s">
        <v>109</v>
      </c>
    </row>
    <row r="4350" spans="1:4">
      <c r="A4350" s="23">
        <v>45176</v>
      </c>
      <c r="B4350" s="13" t="s">
        <v>7081</v>
      </c>
      <c r="C4350" s="13" t="s">
        <v>7080</v>
      </c>
      <c r="D4350" s="13" t="s">
        <v>5</v>
      </c>
    </row>
    <row r="4351" spans="1:4">
      <c r="A4351" s="23">
        <v>45176</v>
      </c>
      <c r="B4351" s="13" t="s">
        <v>7083</v>
      </c>
      <c r="C4351" s="13" t="s">
        <v>7082</v>
      </c>
      <c r="D4351" s="13" t="s">
        <v>29</v>
      </c>
    </row>
    <row r="4352" spans="1:4">
      <c r="A4352" s="23">
        <v>45181</v>
      </c>
      <c r="B4352" s="13" t="s">
        <v>7085</v>
      </c>
      <c r="C4352" s="13" t="s">
        <v>7084</v>
      </c>
      <c r="D4352" s="13" t="s">
        <v>5</v>
      </c>
    </row>
    <row r="4353" spans="1:4">
      <c r="A4353" s="23">
        <v>45181</v>
      </c>
      <c r="B4353" s="13" t="s">
        <v>7085</v>
      </c>
      <c r="C4353" s="13" t="s">
        <v>7084</v>
      </c>
      <c r="D4353" s="13" t="s">
        <v>5</v>
      </c>
    </row>
    <row r="4354" spans="1:4">
      <c r="A4354" s="23">
        <v>45182</v>
      </c>
      <c r="B4354" s="13" t="s">
        <v>7085</v>
      </c>
      <c r="C4354" s="13" t="s">
        <v>7084</v>
      </c>
      <c r="D4354" s="13" t="s">
        <v>5</v>
      </c>
    </row>
    <row r="4355" spans="1:4">
      <c r="A4355" s="23">
        <v>45182</v>
      </c>
      <c r="B4355" s="13" t="s">
        <v>7085</v>
      </c>
      <c r="C4355" s="13" t="s">
        <v>7084</v>
      </c>
      <c r="D4355" s="13" t="s">
        <v>5</v>
      </c>
    </row>
    <row r="4356" spans="1:4">
      <c r="A4356" s="23">
        <v>45183</v>
      </c>
      <c r="B4356" s="13" t="s">
        <v>7087</v>
      </c>
      <c r="C4356" s="13" t="s">
        <v>7086</v>
      </c>
      <c r="D4356" s="13" t="s">
        <v>5</v>
      </c>
    </row>
    <row r="4357" spans="1:4">
      <c r="A4357" s="23">
        <v>45183</v>
      </c>
      <c r="B4357" s="13" t="s">
        <v>7087</v>
      </c>
      <c r="C4357" s="13" t="s">
        <v>7086</v>
      </c>
      <c r="D4357" s="13" t="s">
        <v>5</v>
      </c>
    </row>
    <row r="4358" spans="1:4">
      <c r="A4358" s="23">
        <v>45185</v>
      </c>
      <c r="B4358" s="13" t="s">
        <v>7089</v>
      </c>
      <c r="C4358" s="13" t="s">
        <v>7088</v>
      </c>
      <c r="D4358" s="13" t="s">
        <v>5</v>
      </c>
    </row>
    <row r="4359" spans="1:4">
      <c r="A4359" s="23">
        <v>45189</v>
      </c>
      <c r="B4359" s="13" t="s">
        <v>7089</v>
      </c>
      <c r="C4359" s="13" t="s">
        <v>7088</v>
      </c>
      <c r="D4359" s="13" t="s">
        <v>5</v>
      </c>
    </row>
    <row r="4360" spans="1:4">
      <c r="A4360" s="23">
        <v>45189</v>
      </c>
      <c r="B4360" s="13" t="s">
        <v>7091</v>
      </c>
      <c r="C4360" s="13" t="s">
        <v>7090</v>
      </c>
      <c r="D4360" s="13" t="s">
        <v>5</v>
      </c>
    </row>
    <row r="4361" spans="1:4">
      <c r="A4361" s="23">
        <v>45190</v>
      </c>
      <c r="B4361" s="13" t="s">
        <v>7093</v>
      </c>
      <c r="C4361" s="13" t="s">
        <v>7092</v>
      </c>
      <c r="D4361" s="13" t="s">
        <v>5</v>
      </c>
    </row>
    <row r="4362" spans="1:4">
      <c r="A4362" s="23">
        <v>45190</v>
      </c>
      <c r="B4362" s="13" t="s">
        <v>7095</v>
      </c>
      <c r="C4362" s="13" t="s">
        <v>7094</v>
      </c>
      <c r="D4362" s="13" t="s">
        <v>5</v>
      </c>
    </row>
    <row r="4363" spans="1:4">
      <c r="A4363" s="23">
        <v>45191</v>
      </c>
      <c r="B4363" s="13" t="s">
        <v>7093</v>
      </c>
      <c r="C4363" s="13" t="s">
        <v>7092</v>
      </c>
      <c r="D4363" s="13" t="s">
        <v>5</v>
      </c>
    </row>
    <row r="4364" spans="1:4">
      <c r="A4364" s="23">
        <v>45191</v>
      </c>
      <c r="B4364" s="13" t="s">
        <v>7093</v>
      </c>
      <c r="C4364" s="13" t="s">
        <v>7092</v>
      </c>
      <c r="D4364" s="13" t="s">
        <v>5</v>
      </c>
    </row>
    <row r="4365" spans="1:4">
      <c r="A4365" s="23">
        <v>45197</v>
      </c>
      <c r="B4365" s="13" t="s">
        <v>7027</v>
      </c>
      <c r="C4365" s="13" t="s">
        <v>7026</v>
      </c>
      <c r="D4365" s="13" t="s">
        <v>5</v>
      </c>
    </row>
    <row r="4366" spans="1:4">
      <c r="A4366" s="23">
        <v>45197</v>
      </c>
      <c r="B4366" s="13" t="s">
        <v>7097</v>
      </c>
      <c r="C4366" s="13" t="s">
        <v>7096</v>
      </c>
      <c r="D4366" s="13" t="s">
        <v>5</v>
      </c>
    </row>
    <row r="4367" spans="1:4">
      <c r="A4367" s="23">
        <v>45198</v>
      </c>
      <c r="B4367" s="13" t="s">
        <v>7099</v>
      </c>
      <c r="C4367" s="13" t="s">
        <v>7098</v>
      </c>
      <c r="D4367" s="13" t="s">
        <v>29</v>
      </c>
    </row>
    <row r="4368" spans="1:4">
      <c r="A4368" s="23">
        <v>45201</v>
      </c>
      <c r="B4368" s="13" t="s">
        <v>7101</v>
      </c>
      <c r="C4368" s="13" t="s">
        <v>7100</v>
      </c>
      <c r="D4368" s="13" t="s">
        <v>5</v>
      </c>
    </row>
    <row r="4369" spans="1:4">
      <c r="A4369" s="23">
        <v>45201</v>
      </c>
      <c r="B4369" s="13" t="s">
        <v>7101</v>
      </c>
      <c r="C4369" s="13" t="s">
        <v>7100</v>
      </c>
      <c r="D4369" s="13" t="s">
        <v>5</v>
      </c>
    </row>
    <row r="4370" spans="1:4">
      <c r="A4370" s="23">
        <v>45202</v>
      </c>
      <c r="B4370" s="13" t="s">
        <v>7103</v>
      </c>
      <c r="C4370" s="13" t="s">
        <v>7102</v>
      </c>
      <c r="D4370" s="13" t="s">
        <v>5</v>
      </c>
    </row>
    <row r="4371" spans="1:4">
      <c r="A4371" s="23">
        <v>45202</v>
      </c>
      <c r="B4371" s="13" t="s">
        <v>7103</v>
      </c>
      <c r="C4371" s="13" t="s">
        <v>7102</v>
      </c>
      <c r="D4371" s="13" t="s">
        <v>5</v>
      </c>
    </row>
    <row r="4372" spans="1:4">
      <c r="A4372" s="23">
        <v>45202</v>
      </c>
      <c r="B4372" s="13" t="s">
        <v>7103</v>
      </c>
      <c r="C4372" s="13" t="s">
        <v>7102</v>
      </c>
      <c r="D4372" s="13" t="s">
        <v>5</v>
      </c>
    </row>
    <row r="4373" spans="1:4">
      <c r="A4373" s="23">
        <v>45202</v>
      </c>
      <c r="B4373" s="13" t="s">
        <v>7103</v>
      </c>
      <c r="C4373" s="13" t="s">
        <v>7102</v>
      </c>
      <c r="D4373" s="13" t="s">
        <v>5</v>
      </c>
    </row>
    <row r="4374" spans="1:4">
      <c r="A4374" s="23">
        <v>45203</v>
      </c>
      <c r="B4374" s="13" t="s">
        <v>7105</v>
      </c>
      <c r="C4374" s="13" t="s">
        <v>7104</v>
      </c>
      <c r="D4374" s="13" t="s">
        <v>5</v>
      </c>
    </row>
    <row r="4375" spans="1:4">
      <c r="A4375" s="23">
        <v>45203</v>
      </c>
      <c r="B4375" s="13" t="s">
        <v>7105</v>
      </c>
      <c r="C4375" s="13" t="s">
        <v>7104</v>
      </c>
      <c r="D4375" s="13" t="s">
        <v>5</v>
      </c>
    </row>
    <row r="4376" spans="1:4">
      <c r="A4376" s="23">
        <v>45203</v>
      </c>
      <c r="B4376" s="13" t="s">
        <v>7105</v>
      </c>
      <c r="C4376" s="13" t="s">
        <v>7104</v>
      </c>
      <c r="D4376" s="13" t="s">
        <v>5</v>
      </c>
    </row>
    <row r="4377" spans="1:4">
      <c r="A4377" s="23">
        <v>45204</v>
      </c>
      <c r="B4377" s="13" t="s">
        <v>7107</v>
      </c>
      <c r="C4377" s="13" t="s">
        <v>7106</v>
      </c>
      <c r="D4377" s="13" t="s">
        <v>5</v>
      </c>
    </row>
    <row r="4378" spans="1:4">
      <c r="A4378" s="23">
        <v>45204</v>
      </c>
      <c r="B4378" s="13" t="s">
        <v>7107</v>
      </c>
      <c r="C4378" s="13" t="s">
        <v>7106</v>
      </c>
      <c r="D4378" s="13" t="s">
        <v>5</v>
      </c>
    </row>
    <row r="4379" spans="1:4">
      <c r="A4379" s="23">
        <v>45204</v>
      </c>
      <c r="B4379" s="13" t="s">
        <v>7107</v>
      </c>
      <c r="C4379" s="13" t="s">
        <v>7106</v>
      </c>
      <c r="D4379" s="13" t="s">
        <v>5</v>
      </c>
    </row>
    <row r="4380" spans="1:4">
      <c r="A4380" s="23">
        <v>45205</v>
      </c>
      <c r="B4380" s="13" t="s">
        <v>7109</v>
      </c>
      <c r="C4380" s="13" t="s">
        <v>7108</v>
      </c>
      <c r="D4380" s="13" t="s">
        <v>5</v>
      </c>
    </row>
    <row r="4381" spans="1:4">
      <c r="A4381" s="23">
        <v>45210</v>
      </c>
      <c r="B4381" s="13" t="s">
        <v>7111</v>
      </c>
      <c r="C4381" s="13" t="s">
        <v>7110</v>
      </c>
      <c r="D4381" s="13" t="s">
        <v>5</v>
      </c>
    </row>
    <row r="4382" spans="1:4">
      <c r="A4382" s="23">
        <v>45210</v>
      </c>
      <c r="B4382" s="13" t="s">
        <v>7113</v>
      </c>
      <c r="C4382" s="13" t="s">
        <v>7112</v>
      </c>
      <c r="D4382" s="13" t="s">
        <v>5</v>
      </c>
    </row>
    <row r="4383" spans="1:4">
      <c r="A4383" s="23">
        <v>45019</v>
      </c>
      <c r="B4383" s="13" t="s">
        <v>7115</v>
      </c>
      <c r="C4383" s="13" t="s">
        <v>7114</v>
      </c>
      <c r="D4383" s="13" t="s">
        <v>109</v>
      </c>
    </row>
    <row r="4384" spans="1:4">
      <c r="A4384" s="23">
        <v>45019</v>
      </c>
      <c r="B4384" s="13" t="s">
        <v>7117</v>
      </c>
      <c r="C4384" s="13" t="s">
        <v>7116</v>
      </c>
      <c r="D4384" s="13" t="s">
        <v>109</v>
      </c>
    </row>
    <row r="4385" spans="1:4">
      <c r="A4385" s="23">
        <v>45019</v>
      </c>
      <c r="B4385" s="13" t="s">
        <v>7119</v>
      </c>
      <c r="C4385" s="13" t="s">
        <v>7118</v>
      </c>
      <c r="D4385" s="13" t="s">
        <v>74</v>
      </c>
    </row>
    <row r="4386" spans="1:4">
      <c r="A4386" s="23">
        <v>45027</v>
      </c>
      <c r="B4386" s="13" t="s">
        <v>7121</v>
      </c>
      <c r="C4386" s="13" t="s">
        <v>7120</v>
      </c>
      <c r="D4386" s="13" t="s">
        <v>29</v>
      </c>
    </row>
    <row r="4387" spans="1:4">
      <c r="A4387" s="23">
        <v>45027</v>
      </c>
      <c r="B4387" s="13" t="s">
        <v>7123</v>
      </c>
      <c r="C4387" s="13" t="s">
        <v>7122</v>
      </c>
      <c r="D4387" s="13" t="s">
        <v>19</v>
      </c>
    </row>
    <row r="4388" spans="1:4">
      <c r="A4388" s="23">
        <v>45027</v>
      </c>
      <c r="B4388" s="13" t="s">
        <v>7125</v>
      </c>
      <c r="C4388" s="13" t="s">
        <v>7124</v>
      </c>
      <c r="D4388" s="13" t="s">
        <v>74</v>
      </c>
    </row>
    <row r="4389" spans="1:4">
      <c r="A4389" s="23">
        <v>45027</v>
      </c>
      <c r="B4389" s="13" t="s">
        <v>7126</v>
      </c>
      <c r="C4389" s="13" t="s">
        <v>7122</v>
      </c>
      <c r="D4389" s="13" t="s">
        <v>19</v>
      </c>
    </row>
    <row r="4390" spans="1:4">
      <c r="A4390" s="23">
        <v>45028</v>
      </c>
      <c r="B4390" s="13" t="s">
        <v>7127</v>
      </c>
      <c r="C4390" s="13" t="s">
        <v>7122</v>
      </c>
      <c r="D4390" s="13" t="s">
        <v>19</v>
      </c>
    </row>
    <row r="4391" spans="1:4">
      <c r="A4391" s="23">
        <v>45028</v>
      </c>
      <c r="B4391" s="13" t="s">
        <v>7129</v>
      </c>
      <c r="C4391" s="13" t="s">
        <v>7128</v>
      </c>
      <c r="D4391" s="13" t="s">
        <v>29</v>
      </c>
    </row>
    <row r="4392" spans="1:4">
      <c r="A4392" s="23">
        <v>45028</v>
      </c>
      <c r="B4392" s="13" t="s">
        <v>7131</v>
      </c>
      <c r="C4392" s="13" t="s">
        <v>7130</v>
      </c>
      <c r="D4392" s="13" t="s">
        <v>11</v>
      </c>
    </row>
    <row r="4393" spans="1:4">
      <c r="A4393" s="23">
        <v>45029</v>
      </c>
      <c r="B4393" s="13" t="s">
        <v>7133</v>
      </c>
      <c r="C4393" s="13" t="s">
        <v>7132</v>
      </c>
      <c r="D4393" s="13" t="s">
        <v>29</v>
      </c>
    </row>
    <row r="4394" spans="1:4">
      <c r="A4394" s="23">
        <v>45033</v>
      </c>
      <c r="B4394" s="13" t="s">
        <v>7135</v>
      </c>
      <c r="C4394" s="13" t="s">
        <v>7134</v>
      </c>
      <c r="D4394" s="13" t="s">
        <v>29</v>
      </c>
    </row>
    <row r="4395" spans="1:4">
      <c r="A4395" s="23">
        <v>45033</v>
      </c>
      <c r="B4395" s="13" t="s">
        <v>7137</v>
      </c>
      <c r="C4395" s="13" t="s">
        <v>7136</v>
      </c>
      <c r="D4395" s="13" t="s">
        <v>29</v>
      </c>
    </row>
    <row r="4396" spans="1:4">
      <c r="A4396" s="23">
        <v>45034</v>
      </c>
      <c r="B4396" s="13" t="s">
        <v>7139</v>
      </c>
      <c r="C4396" s="13" t="s">
        <v>7138</v>
      </c>
      <c r="D4396" s="13" t="s">
        <v>19</v>
      </c>
    </row>
    <row r="4397" spans="1:4">
      <c r="A4397" s="23">
        <v>45035</v>
      </c>
      <c r="B4397" s="13" t="s">
        <v>7141</v>
      </c>
      <c r="C4397" s="13" t="s">
        <v>7140</v>
      </c>
      <c r="D4397" s="13" t="s">
        <v>74</v>
      </c>
    </row>
    <row r="4398" spans="1:4">
      <c r="A4398" s="23">
        <v>45036</v>
      </c>
      <c r="B4398" s="13" t="s">
        <v>7143</v>
      </c>
      <c r="C4398" s="13" t="s">
        <v>7142</v>
      </c>
      <c r="D4398" s="13" t="s">
        <v>16</v>
      </c>
    </row>
    <row r="4399" spans="1:4">
      <c r="A4399" s="23">
        <v>45040</v>
      </c>
      <c r="B4399" s="13" t="s">
        <v>7145</v>
      </c>
      <c r="C4399" s="13" t="s">
        <v>7144</v>
      </c>
      <c r="D4399" s="13" t="s">
        <v>19</v>
      </c>
    </row>
    <row r="4400" spans="1:4">
      <c r="A4400" s="23">
        <v>45041</v>
      </c>
      <c r="B4400" s="13" t="s">
        <v>7147</v>
      </c>
      <c r="C4400" s="13" t="s">
        <v>7146</v>
      </c>
      <c r="D4400" s="13" t="s">
        <v>353</v>
      </c>
    </row>
    <row r="4401" spans="1:4">
      <c r="A4401" s="23">
        <v>45042</v>
      </c>
      <c r="B4401" s="13" t="s">
        <v>7149</v>
      </c>
      <c r="C4401" s="13" t="s">
        <v>7148</v>
      </c>
      <c r="D4401" s="13" t="s">
        <v>5</v>
      </c>
    </row>
    <row r="4402" spans="1:4">
      <c r="A4402" s="23">
        <v>45042</v>
      </c>
      <c r="B4402" s="13" t="s">
        <v>7151</v>
      </c>
      <c r="C4402" s="13" t="s">
        <v>7150</v>
      </c>
      <c r="D4402" s="13" t="s">
        <v>5</v>
      </c>
    </row>
    <row r="4403" spans="1:4">
      <c r="A4403" s="23">
        <v>45043</v>
      </c>
      <c r="B4403" s="13" t="s">
        <v>7153</v>
      </c>
      <c r="C4403" s="13" t="s">
        <v>7152</v>
      </c>
      <c r="D4403" s="13" t="s">
        <v>5</v>
      </c>
    </row>
    <row r="4404" spans="1:4">
      <c r="A4404" s="23">
        <v>45048</v>
      </c>
      <c r="B4404" s="13" t="s">
        <v>7155</v>
      </c>
      <c r="C4404" s="13" t="s">
        <v>7154</v>
      </c>
      <c r="D4404" s="13" t="s">
        <v>5</v>
      </c>
    </row>
    <row r="4405" spans="1:4">
      <c r="A4405" s="23">
        <v>45049</v>
      </c>
      <c r="B4405" s="13" t="s">
        <v>7157</v>
      </c>
      <c r="C4405" s="13" t="s">
        <v>7156</v>
      </c>
      <c r="D4405" s="13" t="s">
        <v>5</v>
      </c>
    </row>
    <row r="4406" spans="1:4">
      <c r="A4406" s="23">
        <v>45049</v>
      </c>
      <c r="B4406" s="13" t="s">
        <v>7159</v>
      </c>
      <c r="C4406" s="13" t="s">
        <v>7158</v>
      </c>
      <c r="D4406" s="13" t="s">
        <v>5</v>
      </c>
    </row>
    <row r="4407" spans="1:4">
      <c r="A4407" s="23">
        <v>45050</v>
      </c>
      <c r="B4407" s="13" t="s">
        <v>7161</v>
      </c>
      <c r="C4407" s="13" t="s">
        <v>7160</v>
      </c>
      <c r="D4407" s="13" t="s">
        <v>5</v>
      </c>
    </row>
    <row r="4408" spans="1:4">
      <c r="A4408" s="23">
        <v>45050</v>
      </c>
      <c r="B4408" s="13" t="s">
        <v>7163</v>
      </c>
      <c r="C4408" s="13" t="s">
        <v>7162</v>
      </c>
      <c r="D4408" s="13" t="s">
        <v>345</v>
      </c>
    </row>
    <row r="4409" spans="1:4">
      <c r="A4409" s="23">
        <v>45057</v>
      </c>
      <c r="B4409" s="13" t="s">
        <v>7165</v>
      </c>
      <c r="C4409" s="13" t="s">
        <v>7164</v>
      </c>
      <c r="D4409" s="13" t="s">
        <v>5</v>
      </c>
    </row>
    <row r="4410" spans="1:4">
      <c r="A4410" s="23">
        <v>45058</v>
      </c>
      <c r="B4410" s="13" t="s">
        <v>7167</v>
      </c>
      <c r="C4410" s="13" t="s">
        <v>7166</v>
      </c>
      <c r="D4410" s="13" t="s">
        <v>19</v>
      </c>
    </row>
    <row r="4411" spans="1:4">
      <c r="A4411" s="23">
        <v>45063</v>
      </c>
      <c r="B4411" s="13" t="s">
        <v>7169</v>
      </c>
      <c r="C4411" s="13" t="s">
        <v>7168</v>
      </c>
      <c r="D4411" s="13" t="s">
        <v>109</v>
      </c>
    </row>
    <row r="4412" spans="1:4">
      <c r="A4412" s="23">
        <v>45065</v>
      </c>
      <c r="B4412" s="13" t="s">
        <v>7171</v>
      </c>
      <c r="C4412" s="13" t="s">
        <v>7170</v>
      </c>
      <c r="D4412" s="13" t="s">
        <v>109</v>
      </c>
    </row>
    <row r="4413" spans="1:4">
      <c r="A4413" s="23">
        <v>45065</v>
      </c>
      <c r="B4413" s="13" t="s">
        <v>7173</v>
      </c>
      <c r="C4413" s="13" t="s">
        <v>7172</v>
      </c>
      <c r="D4413" s="13" t="s">
        <v>109</v>
      </c>
    </row>
    <row r="4414" spans="1:4">
      <c r="A4414" s="23">
        <v>45068</v>
      </c>
      <c r="B4414" s="13" t="s">
        <v>7175</v>
      </c>
      <c r="C4414" s="13" t="s">
        <v>7174</v>
      </c>
      <c r="D4414" s="13" t="s">
        <v>109</v>
      </c>
    </row>
    <row r="4415" spans="1:4">
      <c r="A4415" s="23">
        <v>45068</v>
      </c>
      <c r="B4415" s="13" t="s">
        <v>7177</v>
      </c>
      <c r="C4415" s="13" t="s">
        <v>7176</v>
      </c>
      <c r="D4415" s="13" t="s">
        <v>16</v>
      </c>
    </row>
    <row r="4416" spans="1:4">
      <c r="A4416" s="23">
        <v>45069</v>
      </c>
      <c r="B4416" s="13" t="s">
        <v>7179</v>
      </c>
      <c r="C4416" s="13" t="s">
        <v>7178</v>
      </c>
      <c r="D4416" s="13" t="s">
        <v>109</v>
      </c>
    </row>
    <row r="4417" spans="1:4">
      <c r="A4417" s="23">
        <v>45069</v>
      </c>
      <c r="B4417" s="13" t="s">
        <v>7181</v>
      </c>
      <c r="C4417" s="13" t="s">
        <v>7180</v>
      </c>
      <c r="D4417" s="13" t="s">
        <v>164</v>
      </c>
    </row>
    <row r="4418" spans="1:4">
      <c r="A4418" s="23">
        <v>45070</v>
      </c>
      <c r="B4418" s="13" t="s">
        <v>7183</v>
      </c>
      <c r="C4418" s="13" t="s">
        <v>7182</v>
      </c>
      <c r="D4418" s="13" t="s">
        <v>16</v>
      </c>
    </row>
    <row r="4419" spans="1:4">
      <c r="A4419" s="23">
        <v>45070</v>
      </c>
      <c r="B4419" s="13" t="s">
        <v>7185</v>
      </c>
      <c r="C4419" s="13" t="s">
        <v>7184</v>
      </c>
      <c r="D4419" s="13" t="s">
        <v>164</v>
      </c>
    </row>
    <row r="4420" spans="1:4">
      <c r="A4420" s="23">
        <v>45070</v>
      </c>
      <c r="B4420" s="13" t="s">
        <v>7187</v>
      </c>
      <c r="C4420" s="13" t="s">
        <v>7186</v>
      </c>
      <c r="D4420" s="13" t="s">
        <v>345</v>
      </c>
    </row>
    <row r="4421" spans="1:4">
      <c r="A4421" s="23">
        <v>45075</v>
      </c>
      <c r="B4421" s="13" t="s">
        <v>7189</v>
      </c>
      <c r="C4421" s="13" t="s">
        <v>7188</v>
      </c>
      <c r="D4421" s="13" t="s">
        <v>74</v>
      </c>
    </row>
    <row r="4422" spans="1:4">
      <c r="A4422" s="23">
        <v>45076</v>
      </c>
      <c r="B4422" s="13" t="s">
        <v>7189</v>
      </c>
      <c r="C4422" s="13" t="s">
        <v>7188</v>
      </c>
      <c r="D4422" s="13" t="s">
        <v>74</v>
      </c>
    </row>
    <row r="4423" spans="1:4">
      <c r="A4423" s="23">
        <v>45077</v>
      </c>
      <c r="B4423" s="13" t="s">
        <v>7191</v>
      </c>
      <c r="C4423" s="13" t="s">
        <v>7190</v>
      </c>
      <c r="D4423" s="13" t="s">
        <v>74</v>
      </c>
    </row>
    <row r="4424" spans="1:4">
      <c r="A4424" s="23">
        <v>45078</v>
      </c>
      <c r="B4424" s="13" t="s">
        <v>7193</v>
      </c>
      <c r="C4424" s="13" t="s">
        <v>7192</v>
      </c>
      <c r="D4424" s="13" t="s">
        <v>109</v>
      </c>
    </row>
    <row r="4425" spans="1:4">
      <c r="A4425" s="23">
        <v>45079</v>
      </c>
      <c r="B4425" s="13" t="s">
        <v>7195</v>
      </c>
      <c r="C4425" s="13" t="s">
        <v>7194</v>
      </c>
      <c r="D4425" s="13" t="s">
        <v>74</v>
      </c>
    </row>
    <row r="4426" spans="1:4">
      <c r="A4426" s="23">
        <v>45080</v>
      </c>
      <c r="B4426" s="13" t="s">
        <v>7197</v>
      </c>
      <c r="C4426" s="13" t="s">
        <v>7196</v>
      </c>
      <c r="D4426" s="13" t="s">
        <v>109</v>
      </c>
    </row>
    <row r="4427" spans="1:4">
      <c r="A4427" s="23">
        <v>45081</v>
      </c>
      <c r="B4427" s="13" t="s">
        <v>7200</v>
      </c>
      <c r="C4427" s="13" t="s">
        <v>7198</v>
      </c>
      <c r="D4427" s="13" t="s">
        <v>7199</v>
      </c>
    </row>
    <row r="4428" spans="1:4">
      <c r="A4428" s="23">
        <v>45082</v>
      </c>
      <c r="B4428" s="13" t="s">
        <v>7202</v>
      </c>
      <c r="C4428" s="13" t="s">
        <v>7201</v>
      </c>
      <c r="D4428" s="13" t="s">
        <v>74</v>
      </c>
    </row>
    <row r="4429" spans="1:4">
      <c r="A4429" s="23">
        <v>45082</v>
      </c>
      <c r="B4429" s="13" t="s">
        <v>7204</v>
      </c>
      <c r="C4429" s="13" t="s">
        <v>7203</v>
      </c>
      <c r="D4429" s="13" t="s">
        <v>74</v>
      </c>
    </row>
    <row r="4430" spans="1:4">
      <c r="A4430" s="23">
        <v>45083</v>
      </c>
      <c r="B4430" s="13" t="s">
        <v>7202</v>
      </c>
      <c r="C4430" s="13" t="s">
        <v>7201</v>
      </c>
      <c r="D4430" s="13" t="s">
        <v>74</v>
      </c>
    </row>
    <row r="4431" spans="1:4">
      <c r="A4431" s="23">
        <v>45084</v>
      </c>
      <c r="B4431" s="13" t="s">
        <v>7206</v>
      </c>
      <c r="C4431" s="13" t="s">
        <v>7205</v>
      </c>
      <c r="D4431" s="13" t="s">
        <v>74</v>
      </c>
    </row>
    <row r="4432" spans="1:4">
      <c r="A4432" s="23">
        <v>45085</v>
      </c>
      <c r="B4432" s="13" t="s">
        <v>7208</v>
      </c>
      <c r="C4432" s="13" t="s">
        <v>7207</v>
      </c>
      <c r="D4432" s="13" t="s">
        <v>74</v>
      </c>
    </row>
    <row r="4433" spans="1:4">
      <c r="A4433" s="23">
        <v>45086</v>
      </c>
      <c r="B4433" s="13" t="s">
        <v>7210</v>
      </c>
      <c r="C4433" s="13" t="s">
        <v>7209</v>
      </c>
      <c r="D4433" s="13" t="s">
        <v>74</v>
      </c>
    </row>
    <row r="4434" spans="1:4">
      <c r="A4434" s="23">
        <v>45087</v>
      </c>
      <c r="B4434" s="13" t="s">
        <v>7212</v>
      </c>
      <c r="C4434" s="13" t="s">
        <v>7211</v>
      </c>
      <c r="D4434" s="13" t="s">
        <v>5</v>
      </c>
    </row>
    <row r="4435" spans="1:4">
      <c r="A4435" s="23">
        <v>45088</v>
      </c>
      <c r="B4435" s="13" t="s">
        <v>7214</v>
      </c>
      <c r="C4435" s="13" t="s">
        <v>7213</v>
      </c>
      <c r="D4435" s="13" t="s">
        <v>8</v>
      </c>
    </row>
    <row r="4436" spans="1:4">
      <c r="A4436" s="23">
        <v>45089</v>
      </c>
      <c r="B4436" s="13" t="s">
        <v>7216</v>
      </c>
      <c r="C4436" s="13" t="s">
        <v>7215</v>
      </c>
      <c r="D4436" s="13" t="s">
        <v>74</v>
      </c>
    </row>
    <row r="4437" spans="1:4">
      <c r="A4437" s="23">
        <v>45090</v>
      </c>
      <c r="B4437" s="13" t="s">
        <v>7218</v>
      </c>
      <c r="C4437" s="13" t="s">
        <v>7217</v>
      </c>
      <c r="D4437" s="13" t="s">
        <v>29</v>
      </c>
    </row>
    <row r="4438" spans="1:4">
      <c r="A4438" s="23">
        <v>45091</v>
      </c>
      <c r="B4438" s="13" t="s">
        <v>7220</v>
      </c>
      <c r="C4438" s="13" t="s">
        <v>7219</v>
      </c>
      <c r="D4438" s="13" t="s">
        <v>29</v>
      </c>
    </row>
    <row r="4439" spans="1:4">
      <c r="A4439" s="23">
        <v>45092</v>
      </c>
      <c r="B4439" s="13" t="s">
        <v>7222</v>
      </c>
      <c r="C4439" s="13" t="s">
        <v>7221</v>
      </c>
      <c r="D4439" s="13" t="s">
        <v>16</v>
      </c>
    </row>
    <row r="4440" spans="1:4">
      <c r="A4440" s="23">
        <v>45093</v>
      </c>
      <c r="B4440" s="13" t="s">
        <v>7224</v>
      </c>
      <c r="C4440" s="13" t="s">
        <v>7223</v>
      </c>
      <c r="D4440" s="13" t="s">
        <v>16</v>
      </c>
    </row>
    <row r="4441" spans="1:4">
      <c r="A4441" s="23">
        <v>45094</v>
      </c>
      <c r="B4441" s="13" t="s">
        <v>7226</v>
      </c>
      <c r="C4441" s="13" t="s">
        <v>7225</v>
      </c>
      <c r="D4441" s="13" t="s">
        <v>16</v>
      </c>
    </row>
    <row r="4442" spans="1:4">
      <c r="A4442" s="23">
        <v>45095</v>
      </c>
      <c r="B4442" s="13" t="s">
        <v>7228</v>
      </c>
      <c r="C4442" s="13" t="s">
        <v>7227</v>
      </c>
      <c r="D4442" s="13" t="s">
        <v>164</v>
      </c>
    </row>
    <row r="4443" spans="1:4">
      <c r="A4443" s="23">
        <v>45096</v>
      </c>
      <c r="B4443" s="13" t="s">
        <v>7230</v>
      </c>
      <c r="C4443" s="13" t="s">
        <v>7229</v>
      </c>
      <c r="D4443" s="13" t="s">
        <v>5</v>
      </c>
    </row>
    <row r="4444" spans="1:4">
      <c r="A4444" s="23">
        <v>45097</v>
      </c>
      <c r="B4444" s="13" t="s">
        <v>7232</v>
      </c>
      <c r="C4444" s="13" t="s">
        <v>7231</v>
      </c>
      <c r="D4444" s="13" t="s">
        <v>5</v>
      </c>
    </row>
    <row r="4445" spans="1:4">
      <c r="A4445" s="23">
        <v>45104</v>
      </c>
      <c r="B4445" s="13" t="s">
        <v>7234</v>
      </c>
      <c r="C4445" s="13" t="s">
        <v>7233</v>
      </c>
      <c r="D4445" s="13" t="s">
        <v>19</v>
      </c>
    </row>
    <row r="4446" spans="1:4">
      <c r="A4446" s="23">
        <v>45104</v>
      </c>
      <c r="B4446" s="13" t="s">
        <v>7236</v>
      </c>
      <c r="C4446" s="13" t="s">
        <v>7235</v>
      </c>
      <c r="D4446" s="13" t="s">
        <v>5</v>
      </c>
    </row>
    <row r="4447" spans="1:4">
      <c r="A4447" s="23">
        <v>45105</v>
      </c>
      <c r="B4447" s="13" t="s">
        <v>7238</v>
      </c>
      <c r="C4447" s="13" t="s">
        <v>7237</v>
      </c>
      <c r="D4447" s="13" t="s">
        <v>74</v>
      </c>
    </row>
    <row r="4448" spans="1:4">
      <c r="A4448" s="23">
        <v>45105</v>
      </c>
      <c r="B4448" s="13" t="s">
        <v>7240</v>
      </c>
      <c r="C4448" s="13" t="s">
        <v>7239</v>
      </c>
      <c r="D4448" s="13" t="s">
        <v>74</v>
      </c>
    </row>
    <row r="4449" spans="1:4">
      <c r="A4449" s="23">
        <v>45105</v>
      </c>
      <c r="B4449" s="13" t="s">
        <v>7241</v>
      </c>
      <c r="C4449" s="13" t="s">
        <v>594</v>
      </c>
      <c r="D4449" s="13" t="s">
        <v>74</v>
      </c>
    </row>
    <row r="4450" spans="1:4">
      <c r="A4450" s="23">
        <v>45105</v>
      </c>
      <c r="B4450" s="13" t="s">
        <v>7238</v>
      </c>
      <c r="C4450" s="13" t="s">
        <v>7239</v>
      </c>
      <c r="D4450" s="13" t="s">
        <v>74</v>
      </c>
    </row>
    <row r="4451" spans="1:4">
      <c r="A4451" s="23">
        <v>45106</v>
      </c>
      <c r="B4451" s="13" t="s">
        <v>7238</v>
      </c>
      <c r="C4451" s="13" t="s">
        <v>7242</v>
      </c>
      <c r="D4451" s="13" t="s">
        <v>74</v>
      </c>
    </row>
    <row r="4452" spans="1:4">
      <c r="A4452" s="23">
        <v>45106</v>
      </c>
      <c r="B4452" s="13" t="s">
        <v>7244</v>
      </c>
      <c r="C4452" s="13" t="s">
        <v>7243</v>
      </c>
      <c r="D4452" s="13" t="s">
        <v>74</v>
      </c>
    </row>
    <row r="4453" spans="1:4">
      <c r="A4453" s="23">
        <v>45106</v>
      </c>
      <c r="B4453" s="13" t="s">
        <v>7246</v>
      </c>
      <c r="C4453" s="13" t="s">
        <v>7245</v>
      </c>
      <c r="D4453" s="13" t="s">
        <v>74</v>
      </c>
    </row>
    <row r="4454" spans="1:4">
      <c r="A4454" s="23">
        <v>45106</v>
      </c>
      <c r="B4454" s="13" t="s">
        <v>7248</v>
      </c>
      <c r="C4454" s="13" t="s">
        <v>7247</v>
      </c>
      <c r="D4454" s="13" t="s">
        <v>24</v>
      </c>
    </row>
    <row r="4455" spans="1:4">
      <c r="A4455" s="23">
        <v>45107</v>
      </c>
      <c r="B4455" s="13" t="s">
        <v>7250</v>
      </c>
      <c r="C4455" s="13" t="s">
        <v>7249</v>
      </c>
      <c r="D4455" s="13" t="s">
        <v>109</v>
      </c>
    </row>
    <row r="4456" spans="1:4">
      <c r="A4456" s="23">
        <v>45107</v>
      </c>
      <c r="B4456" s="13" t="s">
        <v>7252</v>
      </c>
      <c r="C4456" s="13" t="s">
        <v>7251</v>
      </c>
      <c r="D4456" s="13" t="s">
        <v>19</v>
      </c>
    </row>
    <row r="4457" spans="1:4">
      <c r="A4457" s="23">
        <v>45107</v>
      </c>
      <c r="B4457" s="13" t="s">
        <v>7254</v>
      </c>
      <c r="C4457" s="13" t="s">
        <v>7253</v>
      </c>
      <c r="D4457" s="13" t="s">
        <v>19</v>
      </c>
    </row>
    <row r="4458" spans="1:4">
      <c r="A4458" s="23">
        <v>45110</v>
      </c>
      <c r="B4458" s="13" t="s">
        <v>7202</v>
      </c>
      <c r="C4458" s="13" t="s">
        <v>7255</v>
      </c>
      <c r="D4458" s="13" t="s">
        <v>74</v>
      </c>
    </row>
    <row r="4459" spans="1:4">
      <c r="A4459" s="23">
        <v>45110</v>
      </c>
      <c r="B4459" s="13" t="s">
        <v>7257</v>
      </c>
      <c r="C4459" s="13" t="s">
        <v>7256</v>
      </c>
      <c r="D4459" s="13" t="s">
        <v>19</v>
      </c>
    </row>
    <row r="4460" spans="1:4">
      <c r="A4460" s="23">
        <v>45110</v>
      </c>
      <c r="B4460" s="13" t="s">
        <v>7258</v>
      </c>
      <c r="C4460" s="13" t="s">
        <v>7201</v>
      </c>
      <c r="D4460" s="13" t="s">
        <v>74</v>
      </c>
    </row>
    <row r="4461" spans="1:4">
      <c r="A4461" s="23">
        <v>45110</v>
      </c>
      <c r="B4461" s="13" t="s">
        <v>7259</v>
      </c>
      <c r="C4461" s="13" t="s">
        <v>7198</v>
      </c>
      <c r="D4461" s="13" t="s">
        <v>74</v>
      </c>
    </row>
    <row r="4462" spans="1:4">
      <c r="A4462" s="23">
        <v>45110</v>
      </c>
      <c r="B4462" s="13" t="s">
        <v>7261</v>
      </c>
      <c r="C4462" s="13" t="s">
        <v>7260</v>
      </c>
      <c r="D4462" s="13" t="s">
        <v>74</v>
      </c>
    </row>
    <row r="4463" spans="1:4">
      <c r="A4463" s="23">
        <v>45110</v>
      </c>
      <c r="B4463" s="13" t="s">
        <v>7263</v>
      </c>
      <c r="C4463" s="13" t="s">
        <v>7262</v>
      </c>
      <c r="D4463" s="13" t="s">
        <v>74</v>
      </c>
    </row>
    <row r="4464" spans="1:4">
      <c r="A4464" s="23">
        <v>45110</v>
      </c>
      <c r="B4464" s="13" t="s">
        <v>7264</v>
      </c>
      <c r="C4464" s="13" t="s">
        <v>7251</v>
      </c>
      <c r="D4464" s="13" t="s">
        <v>19</v>
      </c>
    </row>
    <row r="4465" spans="1:4">
      <c r="A4465" s="23">
        <v>45111</v>
      </c>
      <c r="B4465" s="13" t="s">
        <v>7266</v>
      </c>
      <c r="C4465" s="13" t="s">
        <v>7265</v>
      </c>
      <c r="D4465" s="13" t="s">
        <v>74</v>
      </c>
    </row>
    <row r="4466" spans="1:4">
      <c r="A4466" s="23">
        <v>45111</v>
      </c>
      <c r="B4466" s="13" t="s">
        <v>7268</v>
      </c>
      <c r="C4466" s="13" t="s">
        <v>7267</v>
      </c>
      <c r="D4466" s="13" t="s">
        <v>19</v>
      </c>
    </row>
    <row r="4467" spans="1:4">
      <c r="A4467" s="23">
        <v>45111</v>
      </c>
      <c r="B4467" s="13" t="s">
        <v>7270</v>
      </c>
      <c r="C4467" s="13" t="s">
        <v>7269</v>
      </c>
      <c r="D4467" s="13" t="s">
        <v>74</v>
      </c>
    </row>
    <row r="4468" spans="1:4">
      <c r="A4468" s="23">
        <v>45111</v>
      </c>
      <c r="B4468" s="13" t="s">
        <v>7271</v>
      </c>
      <c r="C4468" s="13" t="s">
        <v>6561</v>
      </c>
      <c r="D4468" s="13" t="s">
        <v>74</v>
      </c>
    </row>
    <row r="4469" spans="1:4">
      <c r="A4469" s="23">
        <v>45111</v>
      </c>
      <c r="B4469" s="13" t="s">
        <v>7273</v>
      </c>
      <c r="C4469" s="13" t="s">
        <v>7272</v>
      </c>
      <c r="D4469" s="13" t="s">
        <v>345</v>
      </c>
    </row>
    <row r="4470" spans="1:4">
      <c r="A4470" s="23">
        <v>45111</v>
      </c>
      <c r="B4470" s="13" t="s">
        <v>7275</v>
      </c>
      <c r="C4470" s="13" t="s">
        <v>7274</v>
      </c>
      <c r="D4470" s="13" t="s">
        <v>74</v>
      </c>
    </row>
    <row r="4471" spans="1:4">
      <c r="A4471" s="23">
        <v>45112</v>
      </c>
      <c r="B4471" s="13" t="s">
        <v>7277</v>
      </c>
      <c r="C4471" s="13" t="s">
        <v>7276</v>
      </c>
      <c r="D4471" s="13" t="s">
        <v>16</v>
      </c>
    </row>
    <row r="4472" spans="1:4">
      <c r="A4472" s="23">
        <v>45112</v>
      </c>
      <c r="B4472" s="13" t="s">
        <v>7278</v>
      </c>
      <c r="C4472" s="13" t="s">
        <v>7198</v>
      </c>
      <c r="D4472" s="13" t="s">
        <v>594</v>
      </c>
    </row>
    <row r="4473" spans="1:4">
      <c r="A4473" s="23">
        <v>45112</v>
      </c>
      <c r="B4473" s="13" t="s">
        <v>7280</v>
      </c>
      <c r="C4473" s="13" t="s">
        <v>7279</v>
      </c>
      <c r="D4473" s="13" t="s">
        <v>594</v>
      </c>
    </row>
    <row r="4474" spans="1:4">
      <c r="A4474" s="23">
        <v>45112</v>
      </c>
      <c r="B4474" s="13" t="s">
        <v>7282</v>
      </c>
      <c r="C4474" s="13" t="s">
        <v>7281</v>
      </c>
      <c r="D4474" s="13" t="s">
        <v>19</v>
      </c>
    </row>
    <row r="4475" spans="1:4">
      <c r="A4475" s="23">
        <v>45112</v>
      </c>
      <c r="B4475" s="13" t="s">
        <v>7284</v>
      </c>
      <c r="C4475" s="13" t="s">
        <v>7283</v>
      </c>
      <c r="D4475" s="13" t="s">
        <v>109</v>
      </c>
    </row>
    <row r="4476" spans="1:4">
      <c r="A4476" s="23">
        <v>45113</v>
      </c>
      <c r="B4476" s="13" t="s">
        <v>7286</v>
      </c>
      <c r="C4476" s="13" t="s">
        <v>7285</v>
      </c>
      <c r="D4476" s="13" t="s">
        <v>29</v>
      </c>
    </row>
    <row r="4477" spans="1:4">
      <c r="A4477" s="23">
        <v>45113</v>
      </c>
      <c r="B4477" s="13" t="s">
        <v>7287</v>
      </c>
      <c r="C4477" s="13" t="s">
        <v>7182</v>
      </c>
      <c r="D4477" s="13" t="s">
        <v>16</v>
      </c>
    </row>
    <row r="4478" spans="1:4">
      <c r="A4478" s="23">
        <v>45113</v>
      </c>
      <c r="B4478" s="13" t="s">
        <v>7289</v>
      </c>
      <c r="C4478" s="13" t="s">
        <v>7288</v>
      </c>
      <c r="D4478" s="13" t="s">
        <v>109</v>
      </c>
    </row>
    <row r="4479" spans="1:4" ht="36">
      <c r="A4479" s="23">
        <v>45114</v>
      </c>
      <c r="B4479" s="59" t="s">
        <v>7291</v>
      </c>
      <c r="C4479" s="13" t="s">
        <v>7198</v>
      </c>
      <c r="D4479" s="13" t="s">
        <v>7290</v>
      </c>
    </row>
    <row r="4480" spans="1:4" ht="36">
      <c r="A4480" s="23">
        <v>45114</v>
      </c>
      <c r="B4480" s="59" t="s">
        <v>7292</v>
      </c>
      <c r="C4480" s="13" t="s">
        <v>7198</v>
      </c>
      <c r="D4480" s="13" t="s">
        <v>74</v>
      </c>
    </row>
    <row r="4481" spans="1:4">
      <c r="A4481" s="23">
        <v>45114</v>
      </c>
      <c r="B4481" s="13" t="s">
        <v>7294</v>
      </c>
      <c r="C4481" s="13" t="s">
        <v>7293</v>
      </c>
      <c r="D4481" s="13" t="s">
        <v>5</v>
      </c>
    </row>
    <row r="4482" spans="1:4">
      <c r="A4482" s="23">
        <v>45114</v>
      </c>
      <c r="B4482" s="13" t="s">
        <v>7296</v>
      </c>
      <c r="C4482" s="13" t="s">
        <v>7295</v>
      </c>
      <c r="D4482" s="13" t="s">
        <v>37</v>
      </c>
    </row>
    <row r="4483" spans="1:4">
      <c r="A4483" s="23">
        <v>45117</v>
      </c>
      <c r="B4483" s="13" t="s">
        <v>7297</v>
      </c>
      <c r="C4483" s="13" t="s">
        <v>7198</v>
      </c>
      <c r="D4483" s="13" t="s">
        <v>74</v>
      </c>
    </row>
    <row r="4484" spans="1:4">
      <c r="A4484" s="23">
        <v>45117</v>
      </c>
      <c r="B4484" s="13" t="s">
        <v>7297</v>
      </c>
      <c r="C4484" s="13" t="s">
        <v>7198</v>
      </c>
      <c r="D4484" s="13" t="s">
        <v>74</v>
      </c>
    </row>
    <row r="4485" spans="1:4">
      <c r="A4485" s="23">
        <v>45120</v>
      </c>
      <c r="B4485" s="13" t="s">
        <v>7299</v>
      </c>
      <c r="C4485" s="13" t="s">
        <v>7298</v>
      </c>
      <c r="D4485" s="13" t="s">
        <v>594</v>
      </c>
    </row>
    <row r="4486" spans="1:4">
      <c r="A4486" s="23">
        <v>45120</v>
      </c>
      <c r="B4486" s="13" t="s">
        <v>7300</v>
      </c>
      <c r="C4486" s="13" t="s">
        <v>7198</v>
      </c>
      <c r="D4486" s="13" t="s">
        <v>74</v>
      </c>
    </row>
    <row r="4487" spans="1:4">
      <c r="A4487" s="23">
        <v>45121</v>
      </c>
      <c r="B4487" s="13" t="s">
        <v>7302</v>
      </c>
      <c r="C4487" s="13" t="s">
        <v>7301</v>
      </c>
      <c r="D4487" s="13" t="s">
        <v>345</v>
      </c>
    </row>
    <row r="4488" spans="1:4">
      <c r="A4488" s="23">
        <v>45121</v>
      </c>
      <c r="B4488" s="13" t="s">
        <v>7304</v>
      </c>
      <c r="C4488" s="13" t="s">
        <v>7303</v>
      </c>
      <c r="D4488" s="13" t="s">
        <v>29</v>
      </c>
    </row>
    <row r="4489" spans="1:4">
      <c r="A4489" s="23">
        <v>45121</v>
      </c>
      <c r="B4489" s="13" t="s">
        <v>7306</v>
      </c>
      <c r="C4489" s="13" t="s">
        <v>7305</v>
      </c>
      <c r="D4489" s="13" t="s">
        <v>345</v>
      </c>
    </row>
    <row r="4490" spans="1:4">
      <c r="A4490" s="23">
        <v>45124</v>
      </c>
      <c r="B4490" s="13" t="s">
        <v>7307</v>
      </c>
      <c r="C4490" s="13" t="s">
        <v>7198</v>
      </c>
      <c r="D4490" s="13" t="s">
        <v>74</v>
      </c>
    </row>
    <row r="4491" spans="1:4">
      <c r="A4491" s="23">
        <v>45124</v>
      </c>
      <c r="B4491" s="13" t="s">
        <v>7308</v>
      </c>
      <c r="C4491" s="13" t="s">
        <v>7198</v>
      </c>
      <c r="D4491" s="13" t="s">
        <v>74</v>
      </c>
    </row>
    <row r="4492" spans="1:4">
      <c r="A4492" s="23">
        <v>45124</v>
      </c>
      <c r="B4492" s="13" t="s">
        <v>7310</v>
      </c>
      <c r="C4492" s="13" t="s">
        <v>7309</v>
      </c>
      <c r="D4492" s="13" t="s">
        <v>345</v>
      </c>
    </row>
    <row r="4493" spans="1:4">
      <c r="A4493" s="23">
        <v>45124</v>
      </c>
      <c r="B4493" s="13" t="s">
        <v>7311</v>
      </c>
      <c r="C4493" s="13" t="s">
        <v>7272</v>
      </c>
      <c r="D4493" s="13" t="s">
        <v>19</v>
      </c>
    </row>
    <row r="4494" spans="1:4">
      <c r="A4494" s="23">
        <v>45125</v>
      </c>
      <c r="B4494" s="13" t="s">
        <v>7313</v>
      </c>
      <c r="C4494" s="13" t="s">
        <v>7312</v>
      </c>
      <c r="D4494" s="13" t="s">
        <v>74</v>
      </c>
    </row>
    <row r="4495" spans="1:4">
      <c r="A4495" s="23">
        <v>45125</v>
      </c>
      <c r="B4495" s="13" t="s">
        <v>7314</v>
      </c>
      <c r="C4495" s="13" t="s">
        <v>7255</v>
      </c>
      <c r="D4495" s="13" t="s">
        <v>74</v>
      </c>
    </row>
    <row r="4496" spans="1:4">
      <c r="A4496" s="23">
        <v>45125</v>
      </c>
      <c r="B4496" s="13" t="s">
        <v>7316</v>
      </c>
      <c r="C4496" s="13" t="s">
        <v>7315</v>
      </c>
      <c r="D4496" s="13" t="s">
        <v>74</v>
      </c>
    </row>
    <row r="4497" spans="1:4">
      <c r="A4497" s="23">
        <v>45125</v>
      </c>
      <c r="B4497" s="13" t="s">
        <v>7317</v>
      </c>
      <c r="C4497" s="13" t="s">
        <v>7255</v>
      </c>
      <c r="D4497" s="13" t="s">
        <v>74</v>
      </c>
    </row>
    <row r="4498" spans="1:4">
      <c r="A4498" s="23">
        <v>45126</v>
      </c>
      <c r="B4498" s="13" t="s">
        <v>7319</v>
      </c>
      <c r="C4498" s="13" t="s">
        <v>7318</v>
      </c>
      <c r="D4498" s="13" t="s">
        <v>74</v>
      </c>
    </row>
    <row r="4499" spans="1:4">
      <c r="A4499" s="23">
        <v>45126</v>
      </c>
      <c r="B4499" s="13" t="s">
        <v>7321</v>
      </c>
      <c r="C4499" s="13" t="s">
        <v>7320</v>
      </c>
      <c r="D4499" s="13" t="s">
        <v>109</v>
      </c>
    </row>
    <row r="4500" spans="1:4">
      <c r="A4500" s="23">
        <v>45127</v>
      </c>
      <c r="B4500" s="13" t="s">
        <v>7200</v>
      </c>
      <c r="C4500" s="13" t="s">
        <v>7255</v>
      </c>
      <c r="D4500" s="13" t="s">
        <v>74</v>
      </c>
    </row>
    <row r="4501" spans="1:4">
      <c r="A4501" s="23">
        <v>45127</v>
      </c>
      <c r="B4501" s="13" t="s">
        <v>7323</v>
      </c>
      <c r="C4501" s="13" t="s">
        <v>7322</v>
      </c>
      <c r="D4501" s="13" t="s">
        <v>74</v>
      </c>
    </row>
    <row r="4502" spans="1:4">
      <c r="A4502" s="23">
        <v>45142</v>
      </c>
      <c r="B4502" s="13" t="s">
        <v>7324</v>
      </c>
      <c r="C4502" s="13" t="s">
        <v>7255</v>
      </c>
      <c r="D4502" s="13" t="s">
        <v>74</v>
      </c>
    </row>
    <row r="4503" spans="1:4">
      <c r="A4503" s="23">
        <v>45127</v>
      </c>
      <c r="B4503" s="13" t="s">
        <v>7325</v>
      </c>
      <c r="C4503" s="13" t="s">
        <v>7255</v>
      </c>
      <c r="D4503" s="13" t="s">
        <v>74</v>
      </c>
    </row>
    <row r="4504" spans="1:4">
      <c r="A4504" s="23">
        <v>45128</v>
      </c>
      <c r="B4504" s="13" t="s">
        <v>7327</v>
      </c>
      <c r="C4504" s="13" t="s">
        <v>7326</v>
      </c>
      <c r="D4504" s="13" t="s">
        <v>19</v>
      </c>
    </row>
    <row r="4505" spans="1:4">
      <c r="A4505" s="23">
        <v>45128</v>
      </c>
      <c r="B4505" s="13" t="s">
        <v>7329</v>
      </c>
      <c r="C4505" s="13" t="s">
        <v>7328</v>
      </c>
      <c r="D4505" s="13" t="s">
        <v>74</v>
      </c>
    </row>
    <row r="4506" spans="1:4">
      <c r="A4506" s="23">
        <v>45128</v>
      </c>
      <c r="B4506" s="13" t="s">
        <v>7331</v>
      </c>
      <c r="C4506" s="13" t="s">
        <v>7330</v>
      </c>
      <c r="D4506" s="13" t="s">
        <v>74</v>
      </c>
    </row>
    <row r="4507" spans="1:4">
      <c r="A4507" s="23">
        <v>45128</v>
      </c>
      <c r="B4507" s="13" t="s">
        <v>7333</v>
      </c>
      <c r="C4507" s="13" t="s">
        <v>7332</v>
      </c>
      <c r="D4507" s="13" t="s">
        <v>16</v>
      </c>
    </row>
    <row r="4508" spans="1:4">
      <c r="A4508" s="23">
        <v>45131</v>
      </c>
      <c r="B4508" s="13" t="s">
        <v>7335</v>
      </c>
      <c r="C4508" s="13" t="s">
        <v>7334</v>
      </c>
      <c r="D4508" s="13" t="s">
        <v>74</v>
      </c>
    </row>
    <row r="4509" spans="1:4">
      <c r="A4509" s="23">
        <v>45131</v>
      </c>
      <c r="B4509" s="13" t="s">
        <v>7336</v>
      </c>
      <c r="C4509" s="13" t="s">
        <v>7255</v>
      </c>
      <c r="D4509" s="13" t="s">
        <v>74</v>
      </c>
    </row>
    <row r="4510" spans="1:4">
      <c r="A4510" s="23">
        <v>45131</v>
      </c>
      <c r="B4510" s="13" t="s">
        <v>7337</v>
      </c>
      <c r="C4510" s="13" t="s">
        <v>7198</v>
      </c>
      <c r="D4510" s="13" t="s">
        <v>74</v>
      </c>
    </row>
    <row r="4511" spans="1:4">
      <c r="A4511" s="23">
        <v>45131</v>
      </c>
      <c r="B4511" s="13" t="s">
        <v>7337</v>
      </c>
      <c r="C4511" s="13" t="s">
        <v>7198</v>
      </c>
      <c r="D4511" s="13" t="s">
        <v>74</v>
      </c>
    </row>
    <row r="4512" spans="1:4">
      <c r="A4512" s="23">
        <v>45132</v>
      </c>
      <c r="B4512" s="13" t="s">
        <v>7338</v>
      </c>
      <c r="C4512" s="13" t="s">
        <v>7198</v>
      </c>
      <c r="D4512" s="13" t="s">
        <v>74</v>
      </c>
    </row>
    <row r="4513" spans="1:4">
      <c r="A4513" s="23">
        <v>45132</v>
      </c>
      <c r="B4513" s="13" t="s">
        <v>7340</v>
      </c>
      <c r="C4513" s="13" t="s">
        <v>7339</v>
      </c>
      <c r="D4513" s="13" t="s">
        <v>74</v>
      </c>
    </row>
    <row r="4514" spans="1:4">
      <c r="A4514" s="23">
        <v>45132</v>
      </c>
      <c r="B4514" s="13" t="s">
        <v>7341</v>
      </c>
      <c r="C4514" s="13" t="s">
        <v>7198</v>
      </c>
      <c r="D4514" s="13" t="s">
        <v>74</v>
      </c>
    </row>
    <row r="4515" spans="1:4">
      <c r="A4515" s="23">
        <v>45132</v>
      </c>
      <c r="B4515" s="13" t="s">
        <v>7342</v>
      </c>
      <c r="C4515" s="13" t="s">
        <v>7198</v>
      </c>
      <c r="D4515" s="13" t="s">
        <v>74</v>
      </c>
    </row>
    <row r="4516" spans="1:4">
      <c r="A4516" s="23">
        <v>45133</v>
      </c>
      <c r="B4516" s="13" t="s">
        <v>7344</v>
      </c>
      <c r="C4516" s="13" t="s">
        <v>7343</v>
      </c>
      <c r="D4516" s="13" t="s">
        <v>74</v>
      </c>
    </row>
    <row r="4517" spans="1:4">
      <c r="A4517" s="23">
        <v>45133</v>
      </c>
      <c r="B4517" s="13" t="s">
        <v>7346</v>
      </c>
      <c r="C4517" s="13" t="s">
        <v>7345</v>
      </c>
      <c r="D4517" s="13" t="s">
        <v>16</v>
      </c>
    </row>
    <row r="4518" spans="1:4">
      <c r="A4518" s="23">
        <v>45133</v>
      </c>
      <c r="B4518" s="13" t="s">
        <v>7348</v>
      </c>
      <c r="C4518" s="13" t="s">
        <v>7347</v>
      </c>
      <c r="D4518" s="13" t="s">
        <v>16</v>
      </c>
    </row>
    <row r="4519" spans="1:4">
      <c r="A4519" s="23">
        <v>45133</v>
      </c>
      <c r="B4519" s="13" t="s">
        <v>7350</v>
      </c>
      <c r="C4519" s="13" t="s">
        <v>7349</v>
      </c>
      <c r="D4519" s="13" t="s">
        <v>74</v>
      </c>
    </row>
    <row r="4520" spans="1:4">
      <c r="A4520" s="23">
        <v>45134</v>
      </c>
      <c r="B4520" s="13" t="s">
        <v>7352</v>
      </c>
      <c r="C4520" s="13" t="s">
        <v>7351</v>
      </c>
      <c r="D4520" s="13" t="s">
        <v>74</v>
      </c>
    </row>
    <row r="4521" spans="1:4">
      <c r="A4521" s="23">
        <v>45134</v>
      </c>
      <c r="B4521" s="13" t="s">
        <v>7354</v>
      </c>
      <c r="C4521" s="13" t="s">
        <v>7353</v>
      </c>
      <c r="D4521" s="13" t="s">
        <v>11</v>
      </c>
    </row>
    <row r="4522" spans="1:4">
      <c r="A4522" s="23">
        <v>45138</v>
      </c>
      <c r="B4522" s="13" t="s">
        <v>7356</v>
      </c>
      <c r="C4522" s="13" t="s">
        <v>7355</v>
      </c>
      <c r="D4522" s="13" t="s">
        <v>510</v>
      </c>
    </row>
    <row r="4523" spans="1:4">
      <c r="A4523" s="23">
        <v>45135</v>
      </c>
      <c r="B4523" s="13" t="s">
        <v>7358</v>
      </c>
      <c r="C4523" s="13" t="s">
        <v>7357</v>
      </c>
      <c r="D4523" s="13" t="s">
        <v>74</v>
      </c>
    </row>
    <row r="4524" spans="1:4">
      <c r="A4524" s="23">
        <v>45135</v>
      </c>
      <c r="B4524" s="13" t="s">
        <v>7360</v>
      </c>
      <c r="C4524" s="13" t="s">
        <v>7359</v>
      </c>
      <c r="D4524" s="13" t="s">
        <v>29</v>
      </c>
    </row>
    <row r="4525" spans="1:4">
      <c r="A4525" s="23">
        <v>45135</v>
      </c>
      <c r="B4525" s="13" t="s">
        <v>7362</v>
      </c>
      <c r="C4525" s="13" t="s">
        <v>7361</v>
      </c>
      <c r="D4525" s="13" t="s">
        <v>74</v>
      </c>
    </row>
    <row r="4526" spans="1:4">
      <c r="A4526" s="23">
        <v>45135</v>
      </c>
      <c r="B4526" s="13" t="s">
        <v>7364</v>
      </c>
      <c r="C4526" s="13" t="s">
        <v>7363</v>
      </c>
      <c r="D4526" s="13" t="s">
        <v>11</v>
      </c>
    </row>
    <row r="4527" spans="1:4">
      <c r="A4527" s="23">
        <v>45138</v>
      </c>
      <c r="B4527" s="13" t="s">
        <v>7366</v>
      </c>
      <c r="C4527" s="13" t="s">
        <v>7365</v>
      </c>
      <c r="D4527" s="13" t="s">
        <v>24</v>
      </c>
    </row>
    <row r="4528" spans="1:4">
      <c r="A4528" s="23">
        <v>45138</v>
      </c>
      <c r="B4528" s="13" t="s">
        <v>7368</v>
      </c>
      <c r="C4528" s="13" t="s">
        <v>7367</v>
      </c>
      <c r="D4528" s="13" t="s">
        <v>16</v>
      </c>
    </row>
    <row r="4529" spans="1:4">
      <c r="A4529" s="23">
        <v>45140</v>
      </c>
      <c r="B4529" s="13" t="s">
        <v>7369</v>
      </c>
      <c r="C4529" s="13" t="s">
        <v>594</v>
      </c>
      <c r="D4529" s="13" t="s">
        <v>74</v>
      </c>
    </row>
    <row r="4530" spans="1:4">
      <c r="A4530" s="23">
        <v>45140</v>
      </c>
      <c r="B4530" s="13" t="s">
        <v>7371</v>
      </c>
      <c r="C4530" s="13" t="s">
        <v>7370</v>
      </c>
      <c r="D4530" s="13" t="s">
        <v>594</v>
      </c>
    </row>
    <row r="4531" spans="1:4">
      <c r="A4531" s="23">
        <v>45140</v>
      </c>
      <c r="B4531" s="13" t="s">
        <v>7373</v>
      </c>
      <c r="C4531" s="13" t="s">
        <v>7372</v>
      </c>
      <c r="D4531" s="13" t="s">
        <v>216</v>
      </c>
    </row>
    <row r="4532" spans="1:4">
      <c r="A4532" s="23">
        <v>45140</v>
      </c>
      <c r="B4532" s="13" t="s">
        <v>7375</v>
      </c>
      <c r="C4532" s="13" t="s">
        <v>7374</v>
      </c>
      <c r="D4532" s="13" t="s">
        <v>5</v>
      </c>
    </row>
    <row r="4533" spans="1:4">
      <c r="A4533" s="23">
        <v>45140</v>
      </c>
      <c r="B4533" s="13" t="s">
        <v>7369</v>
      </c>
      <c r="C4533" s="13" t="s">
        <v>594</v>
      </c>
      <c r="D4533" s="13" t="s">
        <v>74</v>
      </c>
    </row>
    <row r="4534" spans="1:4">
      <c r="A4534" s="23">
        <v>45140</v>
      </c>
      <c r="B4534" s="13" t="s">
        <v>7371</v>
      </c>
      <c r="C4534" s="13" t="s">
        <v>7370</v>
      </c>
      <c r="D4534" s="13" t="s">
        <v>594</v>
      </c>
    </row>
    <row r="4535" spans="1:4">
      <c r="A4535" s="23">
        <v>45141</v>
      </c>
      <c r="B4535" s="13" t="s">
        <v>7377</v>
      </c>
      <c r="C4535" s="13" t="s">
        <v>7376</v>
      </c>
      <c r="D4535" s="13" t="s">
        <v>353</v>
      </c>
    </row>
    <row r="4536" spans="1:4">
      <c r="A4536" s="23">
        <v>45142</v>
      </c>
      <c r="B4536" s="13" t="s">
        <v>7378</v>
      </c>
      <c r="C4536" s="13" t="s">
        <v>7255</v>
      </c>
      <c r="D4536" s="13" t="s">
        <v>74</v>
      </c>
    </row>
    <row r="4537" spans="1:4">
      <c r="A4537" s="23">
        <v>45142</v>
      </c>
      <c r="B4537" s="13" t="s">
        <v>7378</v>
      </c>
      <c r="C4537" s="13" t="s">
        <v>7255</v>
      </c>
      <c r="D4537" s="13" t="s">
        <v>74</v>
      </c>
    </row>
    <row r="4538" spans="1:4">
      <c r="A4538" s="23">
        <v>45166</v>
      </c>
      <c r="B4538" s="13" t="s">
        <v>7380</v>
      </c>
      <c r="C4538" s="13" t="s">
        <v>7379</v>
      </c>
      <c r="D4538" s="13" t="s">
        <v>345</v>
      </c>
    </row>
    <row r="4539" spans="1:4">
      <c r="A4539" s="23">
        <v>45142</v>
      </c>
      <c r="B4539" s="13" t="s">
        <v>7381</v>
      </c>
      <c r="C4539" s="13" t="s">
        <v>7255</v>
      </c>
      <c r="D4539" s="13" t="s">
        <v>74</v>
      </c>
    </row>
    <row r="4540" spans="1:4">
      <c r="A4540" s="23">
        <v>45142</v>
      </c>
      <c r="B4540" s="13" t="s">
        <v>7382</v>
      </c>
      <c r="C4540" s="13" t="s">
        <v>7255</v>
      </c>
      <c r="D4540" s="13" t="s">
        <v>74</v>
      </c>
    </row>
    <row r="4541" spans="1:4">
      <c r="A4541" s="23">
        <v>45145</v>
      </c>
      <c r="B4541" s="13" t="s">
        <v>7384</v>
      </c>
      <c r="C4541" s="13" t="s">
        <v>7383</v>
      </c>
      <c r="D4541" s="13" t="s">
        <v>164</v>
      </c>
    </row>
    <row r="4542" spans="1:4">
      <c r="A4542" s="23">
        <v>45145</v>
      </c>
      <c r="B4542" s="13" t="s">
        <v>7386</v>
      </c>
      <c r="C4542" s="13" t="s">
        <v>7385</v>
      </c>
      <c r="D4542" s="13" t="s">
        <v>594</v>
      </c>
    </row>
    <row r="4543" spans="1:4">
      <c r="A4543" s="23">
        <v>45145</v>
      </c>
      <c r="B4543" s="13" t="s">
        <v>7388</v>
      </c>
      <c r="C4543" s="13" t="s">
        <v>7387</v>
      </c>
      <c r="D4543" s="13" t="s">
        <v>29</v>
      </c>
    </row>
    <row r="4544" spans="1:4">
      <c r="A4544" s="23">
        <v>45145</v>
      </c>
      <c r="B4544" s="13" t="s">
        <v>7389</v>
      </c>
      <c r="C4544" s="13" t="s">
        <v>7239</v>
      </c>
      <c r="D4544" s="13" t="s">
        <v>74</v>
      </c>
    </row>
    <row r="4545" spans="1:4">
      <c r="A4545" s="23">
        <v>45145</v>
      </c>
      <c r="B4545" s="13" t="s">
        <v>7392</v>
      </c>
      <c r="C4545" s="13" t="s">
        <v>7390</v>
      </c>
      <c r="D4545" s="13" t="s">
        <v>7391</v>
      </c>
    </row>
    <row r="4546" spans="1:4">
      <c r="A4546" s="23">
        <v>45146</v>
      </c>
      <c r="B4546" s="13" t="s">
        <v>7393</v>
      </c>
      <c r="C4546" s="13" t="s">
        <v>7367</v>
      </c>
      <c r="D4546" s="13" t="s">
        <v>16</v>
      </c>
    </row>
    <row r="4547" spans="1:4">
      <c r="A4547" s="23">
        <v>45146</v>
      </c>
      <c r="B4547" s="13" t="s">
        <v>7395</v>
      </c>
      <c r="C4547" s="13" t="s">
        <v>7394</v>
      </c>
      <c r="D4547" s="13" t="s">
        <v>353</v>
      </c>
    </row>
    <row r="4548" spans="1:4">
      <c r="A4548" s="23">
        <v>45146</v>
      </c>
      <c r="B4548" s="13" t="s">
        <v>7395</v>
      </c>
      <c r="C4548" s="13" t="s">
        <v>7394</v>
      </c>
      <c r="D4548" s="13" t="s">
        <v>353</v>
      </c>
    </row>
    <row r="4549" spans="1:4">
      <c r="A4549" s="23">
        <v>45146</v>
      </c>
      <c r="B4549" s="13" t="s">
        <v>7393</v>
      </c>
      <c r="C4549" s="13" t="s">
        <v>7367</v>
      </c>
      <c r="D4549" s="13" t="s">
        <v>16</v>
      </c>
    </row>
    <row r="4550" spans="1:4">
      <c r="A4550" s="23">
        <v>45146</v>
      </c>
      <c r="B4550" s="13" t="s">
        <v>7396</v>
      </c>
      <c r="C4550" s="13" t="s">
        <v>7390</v>
      </c>
      <c r="D4550" s="13" t="s">
        <v>7391</v>
      </c>
    </row>
    <row r="4551" spans="1:4">
      <c r="A4551" s="23">
        <v>45146</v>
      </c>
      <c r="B4551" s="13" t="s">
        <v>7397</v>
      </c>
      <c r="C4551" s="13" t="s">
        <v>7390</v>
      </c>
      <c r="D4551" s="13" t="s">
        <v>7391</v>
      </c>
    </row>
    <row r="4552" spans="1:4">
      <c r="A4552" s="23">
        <v>45147</v>
      </c>
      <c r="B4552" s="13" t="s">
        <v>7399</v>
      </c>
      <c r="C4552" s="13" t="s">
        <v>7398</v>
      </c>
      <c r="D4552" s="13" t="s">
        <v>5</v>
      </c>
    </row>
    <row r="4553" spans="1:4">
      <c r="A4553" s="23">
        <v>45148</v>
      </c>
      <c r="B4553" s="13" t="s">
        <v>7401</v>
      </c>
      <c r="C4553" s="13" t="s">
        <v>7400</v>
      </c>
      <c r="D4553" s="13" t="s">
        <v>5</v>
      </c>
    </row>
    <row r="4554" spans="1:4">
      <c r="A4554" s="23">
        <v>45148</v>
      </c>
      <c r="B4554" s="13" t="s">
        <v>7403</v>
      </c>
      <c r="C4554" s="13" t="s">
        <v>7402</v>
      </c>
      <c r="D4554" s="13" t="s">
        <v>24</v>
      </c>
    </row>
    <row r="4555" spans="1:4">
      <c r="A4555" s="23">
        <v>45148</v>
      </c>
      <c r="B4555" s="13" t="s">
        <v>7399</v>
      </c>
      <c r="C4555" s="13" t="s">
        <v>7404</v>
      </c>
      <c r="D4555" s="13" t="s">
        <v>5</v>
      </c>
    </row>
    <row r="4556" spans="1:4">
      <c r="A4556" s="23">
        <v>45148</v>
      </c>
      <c r="B4556" s="13" t="s">
        <v>7406</v>
      </c>
      <c r="C4556" s="13" t="s">
        <v>7405</v>
      </c>
      <c r="D4556" s="13" t="s">
        <v>16</v>
      </c>
    </row>
    <row r="4557" spans="1:4">
      <c r="A4557" s="23">
        <v>45148</v>
      </c>
      <c r="B4557" s="13" t="s">
        <v>7408</v>
      </c>
      <c r="C4557" s="13" t="s">
        <v>7407</v>
      </c>
      <c r="D4557" s="13" t="s">
        <v>109</v>
      </c>
    </row>
    <row r="4558" spans="1:4">
      <c r="A4558" s="23">
        <v>45149</v>
      </c>
      <c r="B4558" s="13" t="s">
        <v>7410</v>
      </c>
      <c r="C4558" s="13" t="s">
        <v>7409</v>
      </c>
      <c r="D4558" s="13" t="s">
        <v>353</v>
      </c>
    </row>
    <row r="4559" spans="1:4">
      <c r="A4559" s="23">
        <v>45149</v>
      </c>
      <c r="B4559" s="13" t="s">
        <v>7412</v>
      </c>
      <c r="C4559" s="13" t="s">
        <v>7411</v>
      </c>
      <c r="D4559" s="13" t="s">
        <v>5</v>
      </c>
    </row>
    <row r="4560" spans="1:4">
      <c r="A4560" s="23">
        <v>45149</v>
      </c>
      <c r="B4560" s="13" t="s">
        <v>7413</v>
      </c>
      <c r="C4560" s="13" t="s">
        <v>7409</v>
      </c>
      <c r="D4560" s="13" t="s">
        <v>353</v>
      </c>
    </row>
    <row r="4561" spans="1:4">
      <c r="A4561" s="23">
        <v>45152</v>
      </c>
      <c r="B4561" s="13" t="s">
        <v>7415</v>
      </c>
      <c r="C4561" s="13" t="s">
        <v>7414</v>
      </c>
      <c r="D4561" s="13" t="s">
        <v>345</v>
      </c>
    </row>
    <row r="4562" spans="1:4">
      <c r="A4562" s="23">
        <v>45152</v>
      </c>
      <c r="B4562" s="13" t="s">
        <v>7415</v>
      </c>
      <c r="C4562" s="13" t="s">
        <v>7414</v>
      </c>
      <c r="D4562" s="13" t="s">
        <v>345</v>
      </c>
    </row>
    <row r="4563" spans="1:4">
      <c r="A4563" s="23">
        <v>45152</v>
      </c>
      <c r="B4563" s="13" t="s">
        <v>7417</v>
      </c>
      <c r="C4563" s="13" t="s">
        <v>7416</v>
      </c>
      <c r="D4563" s="13" t="s">
        <v>24</v>
      </c>
    </row>
    <row r="4564" spans="1:4">
      <c r="A4564" s="23">
        <v>45154</v>
      </c>
      <c r="B4564" s="13" t="s">
        <v>7419</v>
      </c>
      <c r="C4564" s="13" t="s">
        <v>7418</v>
      </c>
      <c r="D4564" s="13" t="s">
        <v>16</v>
      </c>
    </row>
    <row r="4565" spans="1:4">
      <c r="A4565" s="23">
        <v>45166</v>
      </c>
      <c r="B4565" s="13" t="s">
        <v>7380</v>
      </c>
      <c r="C4565" s="13" t="s">
        <v>7379</v>
      </c>
      <c r="D4565" s="13" t="s">
        <v>345</v>
      </c>
    </row>
    <row r="4566" spans="1:4">
      <c r="A4566" s="23">
        <v>45154</v>
      </c>
      <c r="B4566" s="13" t="s">
        <v>7421</v>
      </c>
      <c r="C4566" s="13" t="s">
        <v>7420</v>
      </c>
      <c r="D4566" s="13" t="s">
        <v>11</v>
      </c>
    </row>
    <row r="4567" spans="1:4">
      <c r="A4567" s="23">
        <v>45154</v>
      </c>
      <c r="B4567" s="13" t="s">
        <v>7423</v>
      </c>
      <c r="C4567" s="13" t="s">
        <v>7422</v>
      </c>
      <c r="D4567" s="13" t="s">
        <v>16</v>
      </c>
    </row>
    <row r="4568" spans="1:4">
      <c r="A4568" s="23">
        <v>45155</v>
      </c>
      <c r="B4568" s="13" t="s">
        <v>7425</v>
      </c>
      <c r="C4568" s="13" t="s">
        <v>7424</v>
      </c>
      <c r="D4568" s="13" t="s">
        <v>74</v>
      </c>
    </row>
    <row r="4569" spans="1:4">
      <c r="A4569" s="23">
        <v>45159</v>
      </c>
      <c r="B4569" s="13" t="s">
        <v>7427</v>
      </c>
      <c r="C4569" s="13" t="s">
        <v>7426</v>
      </c>
      <c r="D4569" s="13" t="s">
        <v>74</v>
      </c>
    </row>
    <row r="4570" spans="1:4">
      <c r="A4570" s="23">
        <v>45209</v>
      </c>
      <c r="B4570" s="13" t="s">
        <v>7429</v>
      </c>
      <c r="C4570" s="13" t="s">
        <v>7428</v>
      </c>
      <c r="D4570" s="13" t="s">
        <v>74</v>
      </c>
    </row>
    <row r="4571" spans="1:4">
      <c r="A4571" s="23">
        <v>45159</v>
      </c>
      <c r="B4571" s="13" t="s">
        <v>7431</v>
      </c>
      <c r="C4571" s="13" t="s">
        <v>7430</v>
      </c>
      <c r="D4571" s="13" t="s">
        <v>74</v>
      </c>
    </row>
    <row r="4572" spans="1:4">
      <c r="A4572" s="23">
        <v>45160</v>
      </c>
      <c r="B4572" s="13" t="s">
        <v>7433</v>
      </c>
      <c r="C4572" s="13" t="s">
        <v>7432</v>
      </c>
      <c r="D4572" s="13" t="s">
        <v>74</v>
      </c>
    </row>
    <row r="4573" spans="1:4">
      <c r="A4573" s="23">
        <v>45209</v>
      </c>
      <c r="B4573" s="13" t="s">
        <v>7435</v>
      </c>
      <c r="C4573" s="13" t="s">
        <v>7434</v>
      </c>
      <c r="D4573" s="13" t="s">
        <v>74</v>
      </c>
    </row>
    <row r="4574" spans="1:4">
      <c r="A4574" s="23">
        <v>45201</v>
      </c>
      <c r="B4574" s="13" t="s">
        <v>7437</v>
      </c>
      <c r="C4574" s="13" t="s">
        <v>7436</v>
      </c>
      <c r="D4574" s="13" t="s">
        <v>141</v>
      </c>
    </row>
    <row r="4575" spans="1:4">
      <c r="A4575" s="23">
        <v>45160</v>
      </c>
      <c r="B4575" s="13" t="s">
        <v>7433</v>
      </c>
      <c r="C4575" s="13" t="s">
        <v>7432</v>
      </c>
      <c r="D4575" s="13" t="s">
        <v>74</v>
      </c>
    </row>
    <row r="4576" spans="1:4">
      <c r="A4576" s="23">
        <v>45160</v>
      </c>
      <c r="B4576" s="13" t="s">
        <v>7439</v>
      </c>
      <c r="C4576" s="13" t="s">
        <v>7438</v>
      </c>
      <c r="D4576" s="13" t="s">
        <v>5</v>
      </c>
    </row>
    <row r="4577" spans="1:4">
      <c r="A4577" s="23">
        <v>45160</v>
      </c>
      <c r="B4577" s="13" t="s">
        <v>7441</v>
      </c>
      <c r="C4577" s="13" t="s">
        <v>7440</v>
      </c>
      <c r="D4577" s="13" t="s">
        <v>11</v>
      </c>
    </row>
    <row r="4578" spans="1:4">
      <c r="A4578" s="23">
        <v>45161</v>
      </c>
      <c r="B4578" s="13" t="s">
        <v>7443</v>
      </c>
      <c r="C4578" s="13" t="s">
        <v>7442</v>
      </c>
      <c r="D4578" s="13" t="s">
        <v>5</v>
      </c>
    </row>
    <row r="4579" spans="1:4">
      <c r="A4579" s="23">
        <v>45163</v>
      </c>
      <c r="B4579" s="13" t="s">
        <v>7445</v>
      </c>
      <c r="C4579" s="13" t="s">
        <v>7444</v>
      </c>
      <c r="D4579" s="13" t="s">
        <v>74</v>
      </c>
    </row>
    <row r="4580" spans="1:4">
      <c r="A4580" s="23">
        <v>45161</v>
      </c>
      <c r="B4580" s="13" t="s">
        <v>7447</v>
      </c>
      <c r="C4580" s="13" t="s">
        <v>7446</v>
      </c>
      <c r="D4580" s="13" t="s">
        <v>74</v>
      </c>
    </row>
    <row r="4581" spans="1:4">
      <c r="A4581" s="23">
        <v>45163</v>
      </c>
      <c r="B4581" s="13" t="s">
        <v>7449</v>
      </c>
      <c r="C4581" s="13" t="s">
        <v>7448</v>
      </c>
      <c r="D4581" s="13" t="s">
        <v>74</v>
      </c>
    </row>
    <row r="4582" spans="1:4">
      <c r="A4582" s="23">
        <v>45162</v>
      </c>
      <c r="B4582" s="13" t="s">
        <v>7451</v>
      </c>
      <c r="C4582" s="13" t="s">
        <v>7450</v>
      </c>
      <c r="D4582" s="13" t="s">
        <v>345</v>
      </c>
    </row>
    <row r="4583" spans="1:4">
      <c r="A4583" s="23">
        <v>45161</v>
      </c>
      <c r="B4583" s="13" t="s">
        <v>7453</v>
      </c>
      <c r="C4583" s="13" t="s">
        <v>7452</v>
      </c>
      <c r="D4583" s="13" t="s">
        <v>74</v>
      </c>
    </row>
    <row r="4584" spans="1:4">
      <c r="A4584" s="23">
        <v>45177</v>
      </c>
      <c r="B4584" s="13" t="s">
        <v>7410</v>
      </c>
      <c r="C4584" s="13" t="s">
        <v>7409</v>
      </c>
      <c r="D4584" s="13" t="s">
        <v>353</v>
      </c>
    </row>
    <row r="4585" spans="1:4">
      <c r="A4585" s="23">
        <v>45201</v>
      </c>
      <c r="B4585" s="13" t="s">
        <v>7455</v>
      </c>
      <c r="C4585" s="13" t="s">
        <v>7454</v>
      </c>
      <c r="D4585" s="13" t="s">
        <v>141</v>
      </c>
    </row>
    <row r="4586" spans="1:4">
      <c r="A4586" s="23">
        <v>45198</v>
      </c>
      <c r="B4586" s="13" t="s">
        <v>7457</v>
      </c>
      <c r="C4586" s="13" t="s">
        <v>7456</v>
      </c>
      <c r="D4586" s="13" t="s">
        <v>74</v>
      </c>
    </row>
    <row r="4587" spans="1:4">
      <c r="A4587" s="23">
        <v>45175</v>
      </c>
      <c r="B4587" s="13" t="s">
        <v>7459</v>
      </c>
      <c r="C4587" s="13" t="s">
        <v>7458</v>
      </c>
      <c r="D4587" s="13" t="s">
        <v>16</v>
      </c>
    </row>
    <row r="4588" spans="1:4">
      <c r="A4588" s="23">
        <v>45170</v>
      </c>
      <c r="B4588" s="13" t="s">
        <v>7461</v>
      </c>
      <c r="C4588" s="13" t="s">
        <v>7460</v>
      </c>
      <c r="D4588" s="13" t="s">
        <v>74</v>
      </c>
    </row>
    <row r="4589" spans="1:4">
      <c r="A4589" s="23">
        <v>45175</v>
      </c>
      <c r="B4589" s="13" t="s">
        <v>7463</v>
      </c>
      <c r="C4589" s="13" t="s">
        <v>7462</v>
      </c>
      <c r="D4589" s="13" t="s">
        <v>141</v>
      </c>
    </row>
    <row r="4590" spans="1:4">
      <c r="A4590" s="23">
        <v>45167</v>
      </c>
      <c r="B4590" s="13" t="s">
        <v>7465</v>
      </c>
      <c r="C4590" s="13" t="s">
        <v>7464</v>
      </c>
      <c r="D4590" s="13" t="s">
        <v>29</v>
      </c>
    </row>
    <row r="4591" spans="1:4">
      <c r="A4591" s="23">
        <v>45176</v>
      </c>
      <c r="B4591" s="13" t="s">
        <v>7467</v>
      </c>
      <c r="C4591" s="13" t="s">
        <v>7466</v>
      </c>
      <c r="D4591" s="13" t="s">
        <v>74</v>
      </c>
    </row>
    <row r="4592" spans="1:4">
      <c r="A4592" s="23">
        <v>45176</v>
      </c>
      <c r="B4592" s="13" t="s">
        <v>7469</v>
      </c>
      <c r="C4592" s="13" t="s">
        <v>7468</v>
      </c>
      <c r="D4592" s="13" t="s">
        <v>74</v>
      </c>
    </row>
    <row r="4593" spans="1:4">
      <c r="A4593" s="23">
        <v>45197</v>
      </c>
      <c r="B4593" s="13" t="s">
        <v>7471</v>
      </c>
      <c r="C4593" s="13" t="s">
        <v>7470</v>
      </c>
      <c r="D4593" s="13" t="s">
        <v>29</v>
      </c>
    </row>
    <row r="4594" spans="1:4">
      <c r="A4594" s="23">
        <v>45168</v>
      </c>
      <c r="B4594" s="13" t="s">
        <v>7473</v>
      </c>
      <c r="C4594" s="13" t="s">
        <v>7472</v>
      </c>
      <c r="D4594" s="13" t="s">
        <v>74</v>
      </c>
    </row>
    <row r="4595" spans="1:4">
      <c r="A4595" s="23">
        <v>45209</v>
      </c>
      <c r="B4595" s="13" t="s">
        <v>7475</v>
      </c>
      <c r="C4595" s="13" t="s">
        <v>7474</v>
      </c>
      <c r="D4595" s="13" t="s">
        <v>74</v>
      </c>
    </row>
    <row r="4596" spans="1:4">
      <c r="A4596" s="23">
        <v>45177</v>
      </c>
      <c r="B4596" s="13" t="s">
        <v>7477</v>
      </c>
      <c r="C4596" s="13" t="s">
        <v>7476</v>
      </c>
      <c r="D4596" s="13" t="s">
        <v>11</v>
      </c>
    </row>
    <row r="4597" spans="1:4">
      <c r="A4597" s="23">
        <v>45176</v>
      </c>
      <c r="B4597" s="13" t="s">
        <v>7479</v>
      </c>
      <c r="C4597" s="13" t="s">
        <v>7478</v>
      </c>
      <c r="D4597" s="13" t="s">
        <v>8</v>
      </c>
    </row>
    <row r="4598" spans="1:4">
      <c r="A4598" s="23">
        <v>45169</v>
      </c>
      <c r="B4598" s="13" t="s">
        <v>7480</v>
      </c>
      <c r="C4598" s="13" t="s">
        <v>7255</v>
      </c>
      <c r="D4598" s="13" t="s">
        <v>74</v>
      </c>
    </row>
    <row r="4599" spans="1:4">
      <c r="A4599" s="23">
        <v>45167</v>
      </c>
      <c r="B4599" s="13" t="s">
        <v>7482</v>
      </c>
      <c r="C4599" s="13" t="s">
        <v>7481</v>
      </c>
      <c r="D4599" s="13" t="s">
        <v>109</v>
      </c>
    </row>
    <row r="4600" spans="1:4">
      <c r="A4600" s="23">
        <v>45180</v>
      </c>
      <c r="B4600" s="13" t="s">
        <v>7484</v>
      </c>
      <c r="C4600" s="13" t="s">
        <v>7483</v>
      </c>
      <c r="D4600" s="13" t="s">
        <v>29</v>
      </c>
    </row>
    <row r="4601" spans="1:4">
      <c r="A4601" s="23">
        <v>45177</v>
      </c>
      <c r="B4601" s="13" t="s">
        <v>7486</v>
      </c>
      <c r="C4601" s="13" t="s">
        <v>7485</v>
      </c>
      <c r="D4601" s="13" t="s">
        <v>109</v>
      </c>
    </row>
    <row r="4602" spans="1:4">
      <c r="A4602" s="23">
        <v>45170</v>
      </c>
      <c r="B4602" s="13" t="s">
        <v>7488</v>
      </c>
      <c r="C4602" s="13" t="s">
        <v>7487</v>
      </c>
      <c r="D4602" s="13" t="s">
        <v>74</v>
      </c>
    </row>
    <row r="4603" spans="1:4">
      <c r="A4603" s="23">
        <v>45169</v>
      </c>
      <c r="B4603" s="13" t="s">
        <v>7489</v>
      </c>
      <c r="C4603" s="13" t="s">
        <v>7255</v>
      </c>
      <c r="D4603" s="13" t="s">
        <v>74</v>
      </c>
    </row>
    <row r="4604" spans="1:4">
      <c r="A4604" s="23">
        <v>45176</v>
      </c>
      <c r="B4604" s="13" t="s">
        <v>7491</v>
      </c>
      <c r="C4604" s="13" t="s">
        <v>7490</v>
      </c>
      <c r="D4604" s="13" t="s">
        <v>74</v>
      </c>
    </row>
    <row r="4605" spans="1:4">
      <c r="A4605" s="23">
        <v>45198</v>
      </c>
      <c r="B4605" s="13" t="s">
        <v>7493</v>
      </c>
      <c r="C4605" s="13" t="s">
        <v>7492</v>
      </c>
      <c r="D4605" s="13" t="s">
        <v>74</v>
      </c>
    </row>
    <row r="4606" spans="1:4">
      <c r="A4606" s="23">
        <v>45176</v>
      </c>
      <c r="B4606" s="13" t="s">
        <v>7495</v>
      </c>
      <c r="C4606" s="13" t="s">
        <v>7494</v>
      </c>
      <c r="D4606" s="13" t="s">
        <v>74</v>
      </c>
    </row>
    <row r="4607" spans="1:4">
      <c r="A4607" s="23">
        <v>45168</v>
      </c>
      <c r="B4607" s="13" t="s">
        <v>7497</v>
      </c>
      <c r="C4607" s="13" t="s">
        <v>7496</v>
      </c>
      <c r="D4607" s="13" t="s">
        <v>74</v>
      </c>
    </row>
    <row r="4608" spans="1:4">
      <c r="A4608" s="23">
        <v>45195</v>
      </c>
      <c r="B4608" s="13" t="s">
        <v>7499</v>
      </c>
      <c r="C4608" s="13" t="s">
        <v>7498</v>
      </c>
      <c r="D4608" s="13" t="s">
        <v>74</v>
      </c>
    </row>
    <row r="4609" spans="1:4">
      <c r="A4609" s="23">
        <v>45184</v>
      </c>
      <c r="B4609" s="13" t="s">
        <v>7500</v>
      </c>
      <c r="C4609" s="13" t="s">
        <v>7255</v>
      </c>
      <c r="D4609" s="13" t="s">
        <v>74</v>
      </c>
    </row>
    <row r="4610" spans="1:4">
      <c r="A4610" s="23">
        <v>45194</v>
      </c>
      <c r="B4610" s="13" t="s">
        <v>7502</v>
      </c>
      <c r="C4610" s="13" t="s">
        <v>7501</v>
      </c>
      <c r="D4610" s="13" t="s">
        <v>74</v>
      </c>
    </row>
    <row r="4611" spans="1:4">
      <c r="A4611" s="23">
        <v>45195</v>
      </c>
      <c r="B4611" s="13" t="s">
        <v>7504</v>
      </c>
      <c r="C4611" s="13" t="s">
        <v>7503</v>
      </c>
      <c r="D4611" s="13" t="s">
        <v>74</v>
      </c>
    </row>
    <row r="4612" spans="1:4">
      <c r="A4612" s="23">
        <v>45195</v>
      </c>
      <c r="B4612" s="13" t="s">
        <v>7506</v>
      </c>
      <c r="C4612" s="13" t="s">
        <v>7505</v>
      </c>
      <c r="D4612" s="13" t="s">
        <v>164</v>
      </c>
    </row>
    <row r="4613" spans="1:4">
      <c r="A4613" s="23">
        <v>45189</v>
      </c>
      <c r="B4613" s="13" t="s">
        <v>7508</v>
      </c>
      <c r="C4613" s="13" t="s">
        <v>7507</v>
      </c>
      <c r="D4613" s="13" t="s">
        <v>29</v>
      </c>
    </row>
    <row r="4614" spans="1:4">
      <c r="A4614" s="23">
        <v>45184</v>
      </c>
      <c r="B4614" s="13" t="s">
        <v>7509</v>
      </c>
      <c r="C4614" s="13" t="s">
        <v>7478</v>
      </c>
      <c r="D4614" s="13" t="s">
        <v>8</v>
      </c>
    </row>
    <row r="4615" spans="1:4">
      <c r="A4615" s="23">
        <v>45191</v>
      </c>
      <c r="B4615" s="13" t="s">
        <v>7511</v>
      </c>
      <c r="C4615" s="13" t="s">
        <v>7510</v>
      </c>
      <c r="D4615" s="13" t="s">
        <v>216</v>
      </c>
    </row>
    <row r="4616" spans="1:4">
      <c r="A4616" s="23">
        <v>45122</v>
      </c>
      <c r="B4616" s="13" t="s">
        <v>7513</v>
      </c>
      <c r="C4616" s="13" t="s">
        <v>7512</v>
      </c>
      <c r="D4616" s="13" t="s">
        <v>74</v>
      </c>
    </row>
    <row r="4617" spans="1:4">
      <c r="A4617" s="23">
        <v>45189</v>
      </c>
      <c r="B4617" s="13" t="s">
        <v>7515</v>
      </c>
      <c r="C4617" s="13" t="s">
        <v>7514</v>
      </c>
      <c r="D4617" s="13" t="s">
        <v>74</v>
      </c>
    </row>
    <row r="4618" spans="1:4">
      <c r="A4618" s="23">
        <v>45184</v>
      </c>
      <c r="B4618" s="13" t="s">
        <v>7518</v>
      </c>
      <c r="C4618" s="13" t="s">
        <v>7516</v>
      </c>
      <c r="D4618" s="13" t="s">
        <v>7517</v>
      </c>
    </row>
    <row r="4619" spans="1:4">
      <c r="A4619" s="23">
        <v>45191</v>
      </c>
      <c r="B4619" s="13" t="s">
        <v>7520</v>
      </c>
      <c r="C4619" s="13" t="s">
        <v>7519</v>
      </c>
      <c r="D4619" s="13" t="s">
        <v>216</v>
      </c>
    </row>
    <row r="4620" spans="1:4">
      <c r="A4620" s="23">
        <v>45184</v>
      </c>
      <c r="B4620" s="13" t="s">
        <v>7522</v>
      </c>
      <c r="C4620" s="13" t="s">
        <v>7521</v>
      </c>
      <c r="D4620" s="13" t="s">
        <v>74</v>
      </c>
    </row>
    <row r="4621" spans="1:4">
      <c r="A4621" s="23">
        <v>45191</v>
      </c>
      <c r="B4621" s="13" t="s">
        <v>7524</v>
      </c>
      <c r="C4621" s="13" t="s">
        <v>7523</v>
      </c>
      <c r="D4621" s="13" t="s">
        <v>216</v>
      </c>
    </row>
    <row r="4622" spans="1:4">
      <c r="A4622" s="23">
        <v>45196</v>
      </c>
      <c r="B4622" s="13" t="s">
        <v>7526</v>
      </c>
      <c r="C4622" s="13" t="s">
        <v>7525</v>
      </c>
      <c r="D4622" s="13" t="s">
        <v>8</v>
      </c>
    </row>
    <row r="4623" spans="1:4">
      <c r="A4623" s="23">
        <v>45194</v>
      </c>
      <c r="B4623" s="13" t="s">
        <v>7528</v>
      </c>
      <c r="C4623" s="13" t="s">
        <v>7527</v>
      </c>
      <c r="D4623" s="13" t="s">
        <v>353</v>
      </c>
    </row>
    <row r="4624" spans="1:4">
      <c r="A4624" s="23">
        <v>45189</v>
      </c>
      <c r="B4624" s="13" t="s">
        <v>7530</v>
      </c>
      <c r="C4624" s="13" t="s">
        <v>7529</v>
      </c>
      <c r="D4624" s="13" t="s">
        <v>29</v>
      </c>
    </row>
    <row r="4625" spans="1:4">
      <c r="A4625" s="23">
        <v>45191</v>
      </c>
      <c r="B4625" s="13" t="s">
        <v>7531</v>
      </c>
      <c r="C4625" s="13" t="s">
        <v>7367</v>
      </c>
      <c r="D4625" s="13" t="s">
        <v>16</v>
      </c>
    </row>
    <row r="4626" spans="1:4">
      <c r="A4626" s="23">
        <v>45183</v>
      </c>
      <c r="B4626" s="13" t="s">
        <v>7533</v>
      </c>
      <c r="C4626" s="13" t="s">
        <v>7532</v>
      </c>
      <c r="D4626" s="13" t="s">
        <v>5</v>
      </c>
    </row>
    <row r="4627" spans="1:4">
      <c r="A4627" s="23">
        <v>45191</v>
      </c>
      <c r="B4627" s="13" t="s">
        <v>7534</v>
      </c>
      <c r="C4627" s="13" t="s">
        <v>7367</v>
      </c>
      <c r="D4627" s="13" t="s">
        <v>16</v>
      </c>
    </row>
    <row r="4628" spans="1:4">
      <c r="A4628" s="23">
        <v>45183</v>
      </c>
      <c r="B4628" s="13" t="s">
        <v>7536</v>
      </c>
      <c r="C4628" s="13" t="s">
        <v>7535</v>
      </c>
      <c r="D4628" s="13" t="s">
        <v>5</v>
      </c>
    </row>
    <row r="4629" spans="1:4">
      <c r="A4629" s="23">
        <v>45195</v>
      </c>
      <c r="B4629" s="13" t="s">
        <v>7538</v>
      </c>
      <c r="C4629" s="13" t="s">
        <v>7537</v>
      </c>
      <c r="D4629" s="13" t="s">
        <v>8</v>
      </c>
    </row>
    <row r="4630" spans="1:4">
      <c r="A4630" s="23">
        <v>45190</v>
      </c>
      <c r="B4630" s="13" t="s">
        <v>7540</v>
      </c>
      <c r="C4630" s="13" t="s">
        <v>7539</v>
      </c>
      <c r="D4630" s="13" t="s">
        <v>24</v>
      </c>
    </row>
    <row r="4631" spans="1:4">
      <c r="A4631" s="23">
        <v>45194</v>
      </c>
      <c r="B4631" s="13" t="s">
        <v>7542</v>
      </c>
      <c r="C4631" s="13" t="s">
        <v>7541</v>
      </c>
      <c r="D4631" s="13" t="s">
        <v>8</v>
      </c>
    </row>
    <row r="4632" spans="1:4">
      <c r="A4632" s="23">
        <v>45194</v>
      </c>
      <c r="B4632" s="13" t="s">
        <v>7544</v>
      </c>
      <c r="C4632" s="13" t="s">
        <v>7543</v>
      </c>
      <c r="D4632" s="13" t="s">
        <v>74</v>
      </c>
    </row>
    <row r="4633" spans="1:4">
      <c r="A4633" s="23">
        <v>45190</v>
      </c>
      <c r="B4633" s="13" t="s">
        <v>7546</v>
      </c>
      <c r="C4633" s="13" t="s">
        <v>7545</v>
      </c>
      <c r="D4633" s="13" t="s">
        <v>29</v>
      </c>
    </row>
    <row r="4634" spans="1:4">
      <c r="A4634" s="23">
        <v>45183</v>
      </c>
      <c r="B4634" s="13" t="s">
        <v>7548</v>
      </c>
      <c r="C4634" s="13" t="s">
        <v>7547</v>
      </c>
      <c r="D4634" s="13" t="s">
        <v>5</v>
      </c>
    </row>
    <row r="4635" spans="1:4">
      <c r="A4635" s="23">
        <v>45189</v>
      </c>
      <c r="B4635" s="13" t="s">
        <v>7550</v>
      </c>
      <c r="C4635" s="13" t="s">
        <v>7549</v>
      </c>
      <c r="D4635" s="13" t="s">
        <v>74</v>
      </c>
    </row>
    <row r="4636" spans="1:4">
      <c r="A4636" s="23">
        <v>45184</v>
      </c>
      <c r="B4636" s="13" t="s">
        <v>7509</v>
      </c>
      <c r="C4636" s="13" t="s">
        <v>7478</v>
      </c>
      <c r="D4636" s="13" t="s">
        <v>8</v>
      </c>
    </row>
    <row r="4637" spans="1:4">
      <c r="A4637" s="23">
        <v>45194</v>
      </c>
      <c r="B4637" s="13" t="s">
        <v>7552</v>
      </c>
      <c r="C4637" s="13" t="s">
        <v>7551</v>
      </c>
      <c r="D4637" s="13" t="s">
        <v>109</v>
      </c>
    </row>
    <row r="4638" spans="1:4">
      <c r="A4638" s="23">
        <v>45205</v>
      </c>
      <c r="B4638" s="13" t="s">
        <v>7554</v>
      </c>
      <c r="C4638" s="13" t="s">
        <v>7553</v>
      </c>
      <c r="D4638" s="13" t="s">
        <v>74</v>
      </c>
    </row>
    <row r="4639" spans="1:4">
      <c r="A4639" s="23">
        <v>45203</v>
      </c>
      <c r="B4639" s="13" t="s">
        <v>7556</v>
      </c>
      <c r="C4639" s="13" t="s">
        <v>7555</v>
      </c>
      <c r="D4639" s="13" t="s">
        <v>74</v>
      </c>
    </row>
    <row r="4640" spans="1:4">
      <c r="A4640" s="23">
        <v>45206</v>
      </c>
      <c r="B4640" s="13" t="s">
        <v>7557</v>
      </c>
      <c r="C4640" s="13" t="s">
        <v>7367</v>
      </c>
      <c r="D4640" s="13" t="s">
        <v>16</v>
      </c>
    </row>
    <row r="4641" spans="1:4">
      <c r="A4641" s="23">
        <v>45204</v>
      </c>
      <c r="B4641" s="13" t="s">
        <v>7559</v>
      </c>
      <c r="C4641" s="13" t="s">
        <v>7558</v>
      </c>
      <c r="D4641" s="13" t="s">
        <v>74</v>
      </c>
    </row>
    <row r="4642" spans="1:4">
      <c r="A4642" s="23">
        <v>45203</v>
      </c>
      <c r="B4642" s="13" t="s">
        <v>7560</v>
      </c>
      <c r="C4642" s="13" t="s">
        <v>7555</v>
      </c>
      <c r="D4642" s="13" t="s">
        <v>74</v>
      </c>
    </row>
    <row r="4643" spans="1:4">
      <c r="A4643" s="23">
        <v>45206</v>
      </c>
      <c r="B4643" s="13" t="s">
        <v>7562</v>
      </c>
      <c r="C4643" s="13" t="s">
        <v>7561</v>
      </c>
      <c r="D4643" s="13" t="s">
        <v>109</v>
      </c>
    </row>
    <row r="4644" spans="1:4">
      <c r="A4644" s="23">
        <v>45209</v>
      </c>
      <c r="B4644" s="13" t="s">
        <v>7563</v>
      </c>
      <c r="C4644" s="13" t="s">
        <v>7434</v>
      </c>
      <c r="D4644" s="13" t="s">
        <v>74</v>
      </c>
    </row>
    <row r="4645" spans="1:4">
      <c r="A4645" s="23">
        <v>45204</v>
      </c>
      <c r="B4645" s="13" t="s">
        <v>7565</v>
      </c>
      <c r="C4645" s="13" t="s">
        <v>7564</v>
      </c>
      <c r="D4645" s="13" t="s">
        <v>11</v>
      </c>
    </row>
    <row r="4646" spans="1:4">
      <c r="A4646" s="23">
        <v>45206</v>
      </c>
      <c r="B4646" s="13" t="s">
        <v>7567</v>
      </c>
      <c r="C4646" s="13" t="s">
        <v>7566</v>
      </c>
      <c r="D4646" s="13" t="s">
        <v>29</v>
      </c>
    </row>
    <row r="4647" spans="1:4">
      <c r="A4647" s="23">
        <v>45206</v>
      </c>
      <c r="B4647" s="13" t="s">
        <v>7569</v>
      </c>
      <c r="C4647" s="13" t="s">
        <v>7568</v>
      </c>
      <c r="D4647" s="13" t="s">
        <v>74</v>
      </c>
    </row>
    <row r="4648" spans="1:4">
      <c r="A4648" s="23">
        <v>45206</v>
      </c>
      <c r="B4648" s="13" t="s">
        <v>7571</v>
      </c>
      <c r="C4648" s="13" t="s">
        <v>7570</v>
      </c>
      <c r="D4648" s="13" t="s">
        <v>74</v>
      </c>
    </row>
    <row r="4649" spans="1:4">
      <c r="A4649" s="23">
        <v>45204</v>
      </c>
      <c r="B4649" s="13" t="s">
        <v>7573</v>
      </c>
      <c r="C4649" s="13" t="s">
        <v>7572</v>
      </c>
      <c r="D4649" s="13" t="s">
        <v>74</v>
      </c>
    </row>
    <row r="4650" spans="1:4">
      <c r="A4650" s="23">
        <v>45206</v>
      </c>
      <c r="B4650" s="13" t="s">
        <v>7575</v>
      </c>
      <c r="C4650" s="13" t="s">
        <v>7574</v>
      </c>
      <c r="D4650" s="13" t="s">
        <v>16</v>
      </c>
    </row>
    <row r="4651" spans="1:4">
      <c r="A4651" s="23">
        <v>45206</v>
      </c>
      <c r="B4651" s="13" t="s">
        <v>7577</v>
      </c>
      <c r="C4651" s="13" t="s">
        <v>7576</v>
      </c>
      <c r="D4651" s="13" t="s">
        <v>74</v>
      </c>
    </row>
    <row r="4652" spans="1:4">
      <c r="A4652" s="23">
        <v>45202</v>
      </c>
      <c r="B4652" s="13" t="s">
        <v>7579</v>
      </c>
      <c r="C4652" s="13" t="s">
        <v>7578</v>
      </c>
      <c r="D4652" s="13" t="s">
        <v>29</v>
      </c>
    </row>
    <row r="4653" spans="1:4">
      <c r="A4653" s="23">
        <v>45204</v>
      </c>
      <c r="B4653" s="13" t="s">
        <v>7581</v>
      </c>
      <c r="C4653" s="13" t="s">
        <v>7580</v>
      </c>
      <c r="D4653" s="13" t="s">
        <v>19</v>
      </c>
    </row>
    <row r="4654" spans="1:4">
      <c r="A4654" s="23">
        <v>45205</v>
      </c>
      <c r="B4654" s="13" t="s">
        <v>7583</v>
      </c>
      <c r="C4654" s="13" t="s">
        <v>7582</v>
      </c>
      <c r="D4654" s="13" t="s">
        <v>74</v>
      </c>
    </row>
    <row r="4655" spans="1:4">
      <c r="A4655" s="23">
        <v>45204</v>
      </c>
      <c r="B4655" s="13" t="s">
        <v>7585</v>
      </c>
      <c r="C4655" s="13" t="s">
        <v>7584</v>
      </c>
      <c r="D4655" s="13" t="s">
        <v>8</v>
      </c>
    </row>
    <row r="4656" spans="1:4">
      <c r="A4656" s="23">
        <v>45206</v>
      </c>
      <c r="B4656" s="13" t="s">
        <v>7587</v>
      </c>
      <c r="C4656" s="13" t="s">
        <v>7586</v>
      </c>
      <c r="D4656" s="13" t="s">
        <v>24</v>
      </c>
    </row>
    <row r="4657" spans="1:4">
      <c r="A4657" s="23">
        <v>45204</v>
      </c>
      <c r="B4657" s="13" t="s">
        <v>7589</v>
      </c>
      <c r="C4657" s="13" t="s">
        <v>7588</v>
      </c>
      <c r="D4657" s="13" t="s">
        <v>216</v>
      </c>
    </row>
    <row r="4658" spans="1:4">
      <c r="A4658" s="23">
        <v>45203</v>
      </c>
      <c r="B4658" s="13" t="s">
        <v>7591</v>
      </c>
      <c r="C4658" s="13" t="s">
        <v>7590</v>
      </c>
      <c r="D4658" s="13" t="s">
        <v>8</v>
      </c>
    </row>
    <row r="4659" spans="1:4">
      <c r="A4659" s="23">
        <v>45203</v>
      </c>
      <c r="B4659" s="13" t="s">
        <v>7591</v>
      </c>
      <c r="C4659" s="13" t="s">
        <v>7590</v>
      </c>
      <c r="D4659" s="13" t="s">
        <v>8</v>
      </c>
    </row>
    <row r="4660" spans="1:4">
      <c r="A4660" s="23">
        <v>45206</v>
      </c>
      <c r="B4660" s="13" t="s">
        <v>7593</v>
      </c>
      <c r="C4660" s="13" t="s">
        <v>7592</v>
      </c>
      <c r="D4660" s="13" t="s">
        <v>74</v>
      </c>
    </row>
    <row r="4661" spans="1:4">
      <c r="A4661" s="23">
        <v>45206</v>
      </c>
      <c r="B4661" s="13" t="s">
        <v>7595</v>
      </c>
      <c r="C4661" s="13" t="s">
        <v>7594</v>
      </c>
      <c r="D4661" s="13" t="s">
        <v>164</v>
      </c>
    </row>
    <row r="4662" spans="1:4">
      <c r="A4662" s="23">
        <v>45211</v>
      </c>
      <c r="B4662" s="13" t="s">
        <v>7597</v>
      </c>
      <c r="C4662" s="13" t="s">
        <v>7596</v>
      </c>
      <c r="D4662" s="13" t="s">
        <v>353</v>
      </c>
    </row>
    <row r="4663" spans="1:4">
      <c r="A4663" s="23">
        <v>45206</v>
      </c>
      <c r="B4663" s="13" t="s">
        <v>7567</v>
      </c>
      <c r="C4663" s="13" t="s">
        <v>7566</v>
      </c>
      <c r="D4663" s="13" t="s">
        <v>29</v>
      </c>
    </row>
    <row r="4664" spans="1:4">
      <c r="A4664" s="23">
        <v>45206</v>
      </c>
      <c r="B4664" s="13" t="s">
        <v>7599</v>
      </c>
      <c r="C4664" s="13" t="s">
        <v>7598</v>
      </c>
      <c r="D4664" s="13" t="s">
        <v>74</v>
      </c>
    </row>
    <row r="4665" spans="1:4">
      <c r="A4665" s="23">
        <v>45206</v>
      </c>
      <c r="B4665" s="13" t="s">
        <v>7601</v>
      </c>
      <c r="C4665" s="13" t="s">
        <v>7600</v>
      </c>
      <c r="D4665" s="13" t="s">
        <v>5</v>
      </c>
    </row>
    <row r="4666" spans="1:4">
      <c r="A4666" s="23">
        <v>45206</v>
      </c>
      <c r="B4666" s="13" t="s">
        <v>7595</v>
      </c>
      <c r="C4666" s="13" t="s">
        <v>7594</v>
      </c>
      <c r="D4666" s="13" t="s">
        <v>164</v>
      </c>
    </row>
    <row r="4667" spans="1:4">
      <c r="A4667" s="23">
        <v>45206</v>
      </c>
      <c r="B4667" s="13" t="s">
        <v>7602</v>
      </c>
      <c r="C4667" s="13" t="s">
        <v>7525</v>
      </c>
      <c r="D4667" s="13" t="s">
        <v>8</v>
      </c>
    </row>
    <row r="4668" spans="1:4">
      <c r="A4668" s="23">
        <v>45212</v>
      </c>
      <c r="B4668" s="13" t="s">
        <v>7604</v>
      </c>
      <c r="C4668" s="13" t="s">
        <v>7603</v>
      </c>
      <c r="D4668" s="13" t="s">
        <v>5</v>
      </c>
    </row>
    <row r="4669" spans="1:4">
      <c r="A4669" s="23">
        <v>45216</v>
      </c>
      <c r="B4669" s="13" t="s">
        <v>7606</v>
      </c>
      <c r="C4669" s="13" t="s">
        <v>7605</v>
      </c>
      <c r="D4669" s="13" t="s">
        <v>74</v>
      </c>
    </row>
    <row r="4670" spans="1:4">
      <c r="A4670" s="23">
        <v>45220</v>
      </c>
      <c r="B4670" s="13" t="s">
        <v>7608</v>
      </c>
      <c r="C4670" s="13" t="s">
        <v>7607</v>
      </c>
      <c r="D4670" s="13" t="s">
        <v>353</v>
      </c>
    </row>
    <row r="4671" spans="1:4">
      <c r="A4671" s="23">
        <v>45223</v>
      </c>
      <c r="B4671" s="13" t="s">
        <v>7610</v>
      </c>
      <c r="C4671" s="13" t="s">
        <v>7609</v>
      </c>
      <c r="D4671" s="13" t="s">
        <v>74</v>
      </c>
    </row>
    <row r="4672" spans="1:4">
      <c r="A4672" s="23">
        <v>45213</v>
      </c>
      <c r="B4672" s="13" t="s">
        <v>7612</v>
      </c>
      <c r="C4672" s="13" t="s">
        <v>7611</v>
      </c>
      <c r="D4672" s="13" t="s">
        <v>16</v>
      </c>
    </row>
    <row r="4673" spans="1:4">
      <c r="A4673" s="23">
        <v>45222</v>
      </c>
      <c r="B4673" s="13" t="s">
        <v>7614</v>
      </c>
      <c r="C4673" s="13" t="s">
        <v>7613</v>
      </c>
      <c r="D4673" s="13" t="s">
        <v>74</v>
      </c>
    </row>
    <row r="4674" spans="1:4">
      <c r="A4674" s="23">
        <v>45220</v>
      </c>
      <c r="B4674" s="13" t="s">
        <v>7616</v>
      </c>
      <c r="C4674" s="13" t="s">
        <v>7615</v>
      </c>
      <c r="D4674" s="13" t="s">
        <v>353</v>
      </c>
    </row>
    <row r="4675" spans="1:4">
      <c r="A4675" s="23">
        <v>45216</v>
      </c>
      <c r="B4675" s="13" t="s">
        <v>7618</v>
      </c>
      <c r="C4675" s="13" t="s">
        <v>7617</v>
      </c>
      <c r="D4675" s="13" t="s">
        <v>74</v>
      </c>
    </row>
    <row r="4676" spans="1:4">
      <c r="A4676" s="23">
        <v>45213</v>
      </c>
      <c r="B4676" s="13" t="s">
        <v>7620</v>
      </c>
      <c r="C4676" s="13" t="s">
        <v>7619</v>
      </c>
      <c r="D4676" s="13" t="s">
        <v>16</v>
      </c>
    </row>
    <row r="4677" spans="1:4">
      <c r="A4677" s="23">
        <v>45222</v>
      </c>
      <c r="B4677" s="13" t="s">
        <v>7614</v>
      </c>
      <c r="C4677" s="13" t="s">
        <v>7613</v>
      </c>
      <c r="D4677" s="13" t="s">
        <v>74</v>
      </c>
    </row>
    <row r="4678" spans="1:4">
      <c r="A4678" s="23">
        <v>45220</v>
      </c>
      <c r="B4678" s="13" t="s">
        <v>7622</v>
      </c>
      <c r="C4678" s="13" t="s">
        <v>7621</v>
      </c>
      <c r="D4678" s="13" t="s">
        <v>24</v>
      </c>
    </row>
    <row r="4679" spans="1:4">
      <c r="A4679" s="23">
        <v>45219</v>
      </c>
      <c r="B4679" s="13" t="s">
        <v>7623</v>
      </c>
      <c r="C4679" s="13" t="s">
        <v>7519</v>
      </c>
      <c r="D4679" s="13" t="s">
        <v>37</v>
      </c>
    </row>
    <row r="4680" spans="1:4">
      <c r="A4680" s="23">
        <v>45220</v>
      </c>
      <c r="B4680" s="13" t="s">
        <v>7625</v>
      </c>
      <c r="C4680" s="13" t="s">
        <v>7624</v>
      </c>
      <c r="D4680" s="13" t="s">
        <v>8</v>
      </c>
    </row>
    <row r="4681" spans="1:4">
      <c r="A4681" s="23">
        <v>45216</v>
      </c>
      <c r="B4681" s="13" t="s">
        <v>7627</v>
      </c>
      <c r="C4681" s="13" t="s">
        <v>7626</v>
      </c>
      <c r="D4681" s="13" t="s">
        <v>74</v>
      </c>
    </row>
    <row r="4682" spans="1:4">
      <c r="A4682" s="23">
        <v>45219</v>
      </c>
      <c r="B4682" s="13" t="s">
        <v>7629</v>
      </c>
      <c r="C4682" s="13" t="s">
        <v>7628</v>
      </c>
      <c r="D4682" s="13" t="s">
        <v>8</v>
      </c>
    </row>
    <row r="4683" spans="1:4">
      <c r="A4683" s="23">
        <v>45219</v>
      </c>
      <c r="B4683" s="13" t="s">
        <v>7623</v>
      </c>
      <c r="C4683" s="13" t="s">
        <v>7519</v>
      </c>
      <c r="D4683" s="13" t="s">
        <v>37</v>
      </c>
    </row>
    <row r="4684" spans="1:4">
      <c r="A4684" s="23">
        <v>45219</v>
      </c>
      <c r="B4684" s="13" t="s">
        <v>7629</v>
      </c>
      <c r="C4684" s="13" t="s">
        <v>7630</v>
      </c>
      <c r="D4684" s="13" t="s">
        <v>8</v>
      </c>
    </row>
    <row r="4685" spans="1:4">
      <c r="A4685" s="23">
        <v>45213</v>
      </c>
      <c r="B4685" s="13" t="s">
        <v>7631</v>
      </c>
      <c r="C4685" s="13" t="s">
        <v>7347</v>
      </c>
      <c r="D4685" s="13" t="s">
        <v>16</v>
      </c>
    </row>
    <row r="4686" spans="1:4">
      <c r="A4686" s="23">
        <v>45220</v>
      </c>
      <c r="B4686" s="13" t="s">
        <v>7633</v>
      </c>
      <c r="C4686" s="13" t="s">
        <v>7632</v>
      </c>
      <c r="D4686" s="13" t="s">
        <v>109</v>
      </c>
    </row>
    <row r="4687" spans="1:4">
      <c r="A4687" s="23">
        <v>45215</v>
      </c>
      <c r="B4687" s="13" t="s">
        <v>7635</v>
      </c>
      <c r="C4687" s="13" t="s">
        <v>7634</v>
      </c>
      <c r="D4687" s="13" t="s">
        <v>74</v>
      </c>
    </row>
    <row r="4688" spans="1:4">
      <c r="A4688" s="23">
        <v>45212</v>
      </c>
      <c r="B4688" s="13" t="s">
        <v>7636</v>
      </c>
      <c r="C4688" s="13" t="s">
        <v>7574</v>
      </c>
      <c r="D4688" s="13" t="s">
        <v>16</v>
      </c>
    </row>
    <row r="4689" spans="1:4">
      <c r="A4689" s="23">
        <v>45215</v>
      </c>
      <c r="B4689" s="13" t="s">
        <v>7639</v>
      </c>
      <c r="C4689" s="13" t="s">
        <v>7637</v>
      </c>
      <c r="D4689" s="13" t="s">
        <v>7638</v>
      </c>
    </row>
    <row r="4690" spans="1:4">
      <c r="A4690" s="23">
        <v>45220</v>
      </c>
      <c r="B4690" s="13" t="s">
        <v>7641</v>
      </c>
      <c r="C4690" s="13" t="s">
        <v>7640</v>
      </c>
      <c r="D4690" s="13" t="s">
        <v>109</v>
      </c>
    </row>
    <row r="4691" spans="1:4">
      <c r="A4691" s="23">
        <v>45216</v>
      </c>
      <c r="B4691" s="13" t="s">
        <v>7643</v>
      </c>
      <c r="C4691" s="13" t="s">
        <v>7642</v>
      </c>
      <c r="D4691" s="13" t="s">
        <v>5</v>
      </c>
    </row>
    <row r="4692" spans="1:4">
      <c r="A4692" s="23">
        <v>45215</v>
      </c>
      <c r="B4692" s="13" t="s">
        <v>7645</v>
      </c>
      <c r="C4692" s="13" t="s">
        <v>7644</v>
      </c>
      <c r="D4692" s="13" t="s">
        <v>5</v>
      </c>
    </row>
    <row r="4693" spans="1:4">
      <c r="A4693" s="23">
        <v>45215</v>
      </c>
      <c r="B4693" s="13" t="s">
        <v>7647</v>
      </c>
      <c r="C4693" s="13" t="s">
        <v>7646</v>
      </c>
      <c r="D4693" s="13" t="s">
        <v>74</v>
      </c>
    </row>
    <row r="4694" spans="1:4">
      <c r="A4694" s="23">
        <v>45220</v>
      </c>
      <c r="B4694" s="13" t="s">
        <v>7641</v>
      </c>
      <c r="C4694" s="13" t="s">
        <v>7640</v>
      </c>
      <c r="D4694" s="13" t="s">
        <v>109</v>
      </c>
    </row>
    <row r="4695" spans="1:4">
      <c r="A4695" s="23">
        <v>45219</v>
      </c>
      <c r="B4695" s="13" t="s">
        <v>7648</v>
      </c>
      <c r="C4695" s="13" t="s">
        <v>7574</v>
      </c>
      <c r="D4695" s="13" t="s">
        <v>16</v>
      </c>
    </row>
    <row r="4696" spans="1:4">
      <c r="A4696" s="62">
        <v>45227</v>
      </c>
      <c r="B4696" s="27" t="s">
        <v>7650</v>
      </c>
      <c r="C4696" s="26" t="s">
        <v>7649</v>
      </c>
      <c r="D4696" s="26" t="s">
        <v>29</v>
      </c>
    </row>
    <row r="4697" spans="1:4">
      <c r="A4697" s="62">
        <v>45230</v>
      </c>
      <c r="B4697" s="27" t="s">
        <v>7652</v>
      </c>
      <c r="C4697" s="26" t="s">
        <v>7651</v>
      </c>
      <c r="D4697" s="26" t="s">
        <v>29</v>
      </c>
    </row>
    <row r="4698" spans="1:4">
      <c r="A4698" s="62">
        <v>45224</v>
      </c>
      <c r="B4698" s="27" t="s">
        <v>7654</v>
      </c>
      <c r="C4698" s="26" t="s">
        <v>7653</v>
      </c>
      <c r="D4698" s="26" t="s">
        <v>345</v>
      </c>
    </row>
    <row r="4699" spans="1:4">
      <c r="A4699" s="62">
        <v>45230</v>
      </c>
      <c r="B4699" s="27" t="s">
        <v>7656</v>
      </c>
      <c r="C4699" s="26" t="s">
        <v>7655</v>
      </c>
      <c r="D4699" s="26" t="s">
        <v>345</v>
      </c>
    </row>
    <row r="4700" spans="1:4">
      <c r="A4700" s="62">
        <v>45232</v>
      </c>
      <c r="B4700" s="27" t="s">
        <v>7657</v>
      </c>
      <c r="C4700" s="26" t="s">
        <v>1413</v>
      </c>
      <c r="D4700" s="26" t="s">
        <v>74</v>
      </c>
    </row>
    <row r="4701" spans="1:4">
      <c r="A4701" s="32">
        <v>45229</v>
      </c>
      <c r="B4701" s="31" t="s">
        <v>7658</v>
      </c>
      <c r="C4701" s="19" t="s">
        <v>3239</v>
      </c>
      <c r="D4701" s="19" t="s">
        <v>29</v>
      </c>
    </row>
    <row r="4702" spans="1:4">
      <c r="A4702" s="32">
        <v>45232</v>
      </c>
      <c r="B4702" s="31" t="s">
        <v>7660</v>
      </c>
      <c r="C4702" s="19" t="s">
        <v>7659</v>
      </c>
      <c r="D4702" s="19" t="s">
        <v>109</v>
      </c>
    </row>
    <row r="4703" spans="1:4">
      <c r="A4703" s="32">
        <v>45225</v>
      </c>
      <c r="B4703" s="31" t="s">
        <v>7661</v>
      </c>
      <c r="C4703" s="19" t="s">
        <v>3182</v>
      </c>
      <c r="D4703" s="19" t="s">
        <v>74</v>
      </c>
    </row>
    <row r="4704" spans="1:4">
      <c r="A4704" s="32">
        <v>45227</v>
      </c>
      <c r="B4704" s="31" t="s">
        <v>7662</v>
      </c>
      <c r="C4704" s="19" t="s">
        <v>7651</v>
      </c>
      <c r="D4704" s="19" t="s">
        <v>29</v>
      </c>
    </row>
    <row r="4705" spans="1:4">
      <c r="A4705" s="32">
        <v>45232</v>
      </c>
      <c r="B4705" s="31" t="s">
        <v>7663</v>
      </c>
      <c r="C4705" s="19" t="s">
        <v>1413</v>
      </c>
      <c r="D4705" s="19" t="s">
        <v>74</v>
      </c>
    </row>
    <row r="4706" spans="1:4">
      <c r="A4706" s="32">
        <v>45233</v>
      </c>
      <c r="B4706" s="31" t="s">
        <v>7665</v>
      </c>
      <c r="C4706" s="19" t="s">
        <v>7664</v>
      </c>
      <c r="D4706" s="19" t="s">
        <v>29</v>
      </c>
    </row>
    <row r="4707" spans="1:4">
      <c r="A4707" s="32">
        <v>45232</v>
      </c>
      <c r="B4707" s="31" t="s">
        <v>7666</v>
      </c>
      <c r="C4707" s="19" t="s">
        <v>1413</v>
      </c>
      <c r="D4707" s="19" t="s">
        <v>74</v>
      </c>
    </row>
    <row r="4708" spans="1:4">
      <c r="A4708" s="32">
        <v>45225</v>
      </c>
      <c r="B4708" s="31" t="s">
        <v>7668</v>
      </c>
      <c r="C4708" s="19" t="s">
        <v>7667</v>
      </c>
      <c r="D4708" s="19" t="s">
        <v>8</v>
      </c>
    </row>
    <row r="4709" spans="1:4">
      <c r="A4709" s="32">
        <v>45230</v>
      </c>
      <c r="B4709" s="31" t="s">
        <v>7670</v>
      </c>
      <c r="C4709" s="19" t="s">
        <v>7669</v>
      </c>
      <c r="D4709" s="19" t="s">
        <v>34</v>
      </c>
    </row>
    <row r="4710" spans="1:4">
      <c r="A4710" s="32">
        <v>45231</v>
      </c>
      <c r="B4710" s="31" t="s">
        <v>7672</v>
      </c>
      <c r="C4710" s="19" t="s">
        <v>7671</v>
      </c>
      <c r="D4710" s="19" t="s">
        <v>109</v>
      </c>
    </row>
    <row r="4711" spans="1:4">
      <c r="A4711" s="32">
        <v>45223</v>
      </c>
      <c r="B4711" s="31" t="s">
        <v>7674</v>
      </c>
      <c r="C4711" s="19" t="s">
        <v>7673</v>
      </c>
      <c r="D4711" s="19" t="s">
        <v>74</v>
      </c>
    </row>
    <row r="4712" spans="1:4">
      <c r="A4712" s="32">
        <v>45233</v>
      </c>
      <c r="B4712" s="31" t="s">
        <v>7676</v>
      </c>
      <c r="C4712" s="19" t="s">
        <v>7675</v>
      </c>
      <c r="D4712" s="19" t="s">
        <v>29</v>
      </c>
    </row>
    <row r="4713" spans="1:4">
      <c r="A4713" s="32">
        <v>45231</v>
      </c>
      <c r="B4713" s="31" t="s">
        <v>7678</v>
      </c>
      <c r="C4713" s="19" t="s">
        <v>7677</v>
      </c>
      <c r="D4713" s="19" t="s">
        <v>5</v>
      </c>
    </row>
    <row r="4714" spans="1:4">
      <c r="A4714" s="32">
        <v>45225</v>
      </c>
      <c r="B4714" s="31" t="s">
        <v>7679</v>
      </c>
      <c r="C4714" s="19" t="s">
        <v>2765</v>
      </c>
      <c r="D4714" s="19" t="s">
        <v>74</v>
      </c>
    </row>
    <row r="4715" spans="1:4">
      <c r="A4715" s="32">
        <v>45232</v>
      </c>
      <c r="B4715" s="31" t="s">
        <v>7681</v>
      </c>
      <c r="C4715" s="19" t="s">
        <v>7680</v>
      </c>
      <c r="D4715" s="19" t="s">
        <v>109</v>
      </c>
    </row>
    <row r="4716" spans="1:4">
      <c r="A4716" s="32">
        <v>45227</v>
      </c>
      <c r="B4716" s="31" t="s">
        <v>7683</v>
      </c>
      <c r="C4716" s="19" t="s">
        <v>7682</v>
      </c>
      <c r="D4716" s="19" t="s">
        <v>34</v>
      </c>
    </row>
    <row r="4717" spans="1:4">
      <c r="A4717" s="32">
        <v>45227</v>
      </c>
      <c r="B4717" s="31" t="s">
        <v>7684</v>
      </c>
      <c r="C4717" s="19" t="s">
        <v>7682</v>
      </c>
      <c r="D4717" s="19" t="s">
        <v>34</v>
      </c>
    </row>
    <row r="4718" spans="1:4">
      <c r="A4718" s="32">
        <v>45230</v>
      </c>
      <c r="B4718" s="31" t="s">
        <v>7685</v>
      </c>
      <c r="C4718" s="19" t="s">
        <v>3160</v>
      </c>
      <c r="D4718" s="19" t="s">
        <v>34</v>
      </c>
    </row>
    <row r="4719" spans="1:4">
      <c r="A4719" s="32">
        <v>45232</v>
      </c>
      <c r="B4719" s="31" t="s">
        <v>7687</v>
      </c>
      <c r="C4719" s="19" t="s">
        <v>7686</v>
      </c>
      <c r="D4719" s="19" t="s">
        <v>16</v>
      </c>
    </row>
    <row r="4720" spans="1:4">
      <c r="A4720" s="32">
        <v>45227</v>
      </c>
      <c r="B4720" s="31" t="s">
        <v>7689</v>
      </c>
      <c r="C4720" s="19" t="s">
        <v>7688</v>
      </c>
      <c r="D4720" s="19" t="s">
        <v>8</v>
      </c>
    </row>
    <row r="4721" spans="1:4">
      <c r="A4721" s="32">
        <v>45225</v>
      </c>
      <c r="B4721" s="31" t="s">
        <v>7691</v>
      </c>
      <c r="C4721" s="19" t="s">
        <v>7690</v>
      </c>
      <c r="D4721" s="19" t="s">
        <v>74</v>
      </c>
    </row>
    <row r="4722" spans="1:4">
      <c r="A4722" s="32">
        <v>45220</v>
      </c>
      <c r="B4722" s="19" t="s">
        <v>7693</v>
      </c>
      <c r="C4722" s="19" t="s">
        <v>7692</v>
      </c>
      <c r="D4722" s="19" t="s">
        <v>8</v>
      </c>
    </row>
    <row r="4723" spans="1:4">
      <c r="A4723" s="32">
        <v>45238</v>
      </c>
      <c r="B4723" s="19"/>
      <c r="C4723" s="19" t="s">
        <v>7694</v>
      </c>
      <c r="D4723" s="19" t="s">
        <v>5</v>
      </c>
    </row>
    <row r="4724" spans="1:4">
      <c r="A4724" s="32">
        <v>45230</v>
      </c>
      <c r="B4724" s="19" t="s">
        <v>7696</v>
      </c>
      <c r="C4724" s="19" t="s">
        <v>7695</v>
      </c>
      <c r="D4724" s="19" t="s">
        <v>8</v>
      </c>
    </row>
    <row r="4725" spans="1:4">
      <c r="A4725" s="32">
        <v>45226</v>
      </c>
      <c r="B4725" s="19" t="s">
        <v>7698</v>
      </c>
      <c r="C4725" s="19" t="s">
        <v>7697</v>
      </c>
      <c r="D4725" s="19" t="s">
        <v>74</v>
      </c>
    </row>
    <row r="4726" spans="1:4">
      <c r="A4726" s="32">
        <v>45222</v>
      </c>
      <c r="B4726" s="19" t="s">
        <v>7699</v>
      </c>
      <c r="C4726" s="19" t="s">
        <v>7283</v>
      </c>
      <c r="D4726" s="19" t="s">
        <v>109</v>
      </c>
    </row>
    <row r="4727" spans="1:4">
      <c r="A4727" s="32">
        <v>45229</v>
      </c>
      <c r="B4727" s="19" t="s">
        <v>7701</v>
      </c>
      <c r="C4727" s="19" t="s">
        <v>7700</v>
      </c>
      <c r="D4727" s="19" t="s">
        <v>74</v>
      </c>
    </row>
    <row r="4728" spans="1:4">
      <c r="A4728" s="32">
        <v>45229</v>
      </c>
      <c r="B4728" s="19" t="s">
        <v>7703</v>
      </c>
      <c r="C4728" s="19" t="s">
        <v>7702</v>
      </c>
      <c r="D4728" s="19" t="s">
        <v>5</v>
      </c>
    </row>
    <row r="4729" spans="1:4">
      <c r="A4729" s="32">
        <v>45229</v>
      </c>
      <c r="B4729" s="19" t="s">
        <v>7705</v>
      </c>
      <c r="C4729" s="19" t="s">
        <v>7704</v>
      </c>
      <c r="D4729" s="19" t="s">
        <v>5</v>
      </c>
    </row>
    <row r="4730" spans="1:4">
      <c r="A4730" s="32">
        <v>45229</v>
      </c>
      <c r="B4730" s="19" t="s">
        <v>7707</v>
      </c>
      <c r="C4730" s="19" t="s">
        <v>7706</v>
      </c>
      <c r="D4730" s="19" t="s">
        <v>164</v>
      </c>
    </row>
    <row r="4731" spans="1:4">
      <c r="A4731" s="32">
        <v>45233</v>
      </c>
      <c r="B4731" s="19" t="s">
        <v>7709</v>
      </c>
      <c r="C4731" s="19" t="s">
        <v>7708</v>
      </c>
      <c r="D4731" s="19" t="s">
        <v>345</v>
      </c>
    </row>
    <row r="4732" spans="1:4">
      <c r="A4732" s="32">
        <v>45233</v>
      </c>
      <c r="B4732" s="19" t="s">
        <v>7711</v>
      </c>
      <c r="C4732" s="19" t="s">
        <v>7710</v>
      </c>
      <c r="D4732" s="19" t="s">
        <v>345</v>
      </c>
    </row>
    <row r="4733" spans="1:4">
      <c r="A4733" s="32">
        <v>45233</v>
      </c>
      <c r="B4733" s="19" t="s">
        <v>7713</v>
      </c>
      <c r="C4733" s="19" t="s">
        <v>7712</v>
      </c>
      <c r="D4733" s="19" t="s">
        <v>164</v>
      </c>
    </row>
    <row r="4734" spans="1:4">
      <c r="A4734" s="63">
        <v>45084</v>
      </c>
      <c r="B4734" s="35" t="s">
        <v>7715</v>
      </c>
      <c r="C4734" s="35" t="s">
        <v>7714</v>
      </c>
      <c r="D4734" s="35" t="s">
        <v>353</v>
      </c>
    </row>
    <row r="4735" spans="1:4">
      <c r="A4735" s="63">
        <v>45084</v>
      </c>
      <c r="B4735" s="35" t="s">
        <v>7718</v>
      </c>
      <c r="C4735" s="35" t="s">
        <v>7716</v>
      </c>
      <c r="D4735" s="35" t="s">
        <v>7717</v>
      </c>
    </row>
    <row r="4736" spans="1:4">
      <c r="A4736" s="63">
        <v>45077</v>
      </c>
      <c r="B4736" s="35" t="s">
        <v>7720</v>
      </c>
      <c r="C4736" s="35" t="s">
        <v>7719</v>
      </c>
      <c r="D4736" s="35" t="s">
        <v>8</v>
      </c>
    </row>
    <row r="4737" spans="1:4">
      <c r="A4737" s="63">
        <v>45090</v>
      </c>
      <c r="B4737" s="35" t="s">
        <v>7722</v>
      </c>
      <c r="C4737" s="35" t="s">
        <v>7721</v>
      </c>
      <c r="D4737" s="35" t="s">
        <v>5</v>
      </c>
    </row>
    <row r="4738" spans="1:4">
      <c r="A4738" s="63">
        <v>45090</v>
      </c>
      <c r="B4738" s="35" t="s">
        <v>7722</v>
      </c>
      <c r="C4738" s="35" t="s">
        <v>7721</v>
      </c>
      <c r="D4738" s="35" t="s">
        <v>5</v>
      </c>
    </row>
    <row r="4739" spans="1:4">
      <c r="A4739" s="63">
        <v>45089</v>
      </c>
      <c r="B4739" s="35" t="s">
        <v>7724</v>
      </c>
      <c r="C4739" s="35" t="s">
        <v>7723</v>
      </c>
      <c r="D4739" s="35" t="s">
        <v>5</v>
      </c>
    </row>
    <row r="4740" spans="1:4">
      <c r="A4740" s="63">
        <v>45089</v>
      </c>
      <c r="B4740" s="35" t="s">
        <v>7726</v>
      </c>
      <c r="C4740" s="35" t="s">
        <v>7725</v>
      </c>
      <c r="D4740" s="35" t="s">
        <v>5</v>
      </c>
    </row>
    <row r="4741" spans="1:4">
      <c r="A4741" s="63">
        <v>45073</v>
      </c>
      <c r="B4741" s="35" t="s">
        <v>7728</v>
      </c>
      <c r="C4741" s="35" t="s">
        <v>7727</v>
      </c>
      <c r="D4741" s="35" t="s">
        <v>109</v>
      </c>
    </row>
    <row r="4742" spans="1:4">
      <c r="A4742" s="63">
        <v>45073</v>
      </c>
      <c r="B4742" s="35" t="s">
        <v>7730</v>
      </c>
      <c r="C4742" s="35" t="s">
        <v>7729</v>
      </c>
      <c r="D4742" s="35" t="s">
        <v>109</v>
      </c>
    </row>
    <row r="4743" spans="1:4">
      <c r="A4743" s="63">
        <v>45084</v>
      </c>
      <c r="B4743" s="35" t="s">
        <v>7732</v>
      </c>
      <c r="C4743" s="35" t="s">
        <v>7731</v>
      </c>
      <c r="D4743" s="35" t="s">
        <v>109</v>
      </c>
    </row>
    <row r="4744" spans="1:4">
      <c r="A4744" s="63">
        <v>45071</v>
      </c>
      <c r="B4744" s="35" t="s">
        <v>7734</v>
      </c>
      <c r="C4744" s="35" t="s">
        <v>7733</v>
      </c>
      <c r="D4744" s="35" t="s">
        <v>109</v>
      </c>
    </row>
    <row r="4745" spans="1:4">
      <c r="A4745" s="63">
        <v>45071</v>
      </c>
      <c r="B4745" s="35" t="s">
        <v>7736</v>
      </c>
      <c r="C4745" s="35" t="s">
        <v>7735</v>
      </c>
      <c r="D4745" s="35" t="s">
        <v>109</v>
      </c>
    </row>
    <row r="4746" spans="1:4">
      <c r="A4746" s="63">
        <v>45073</v>
      </c>
      <c r="B4746" s="35" t="s">
        <v>7738</v>
      </c>
      <c r="C4746" s="35" t="s">
        <v>7737</v>
      </c>
      <c r="D4746" s="35" t="s">
        <v>29</v>
      </c>
    </row>
    <row r="4747" spans="1:4">
      <c r="A4747" s="63">
        <v>45084</v>
      </c>
      <c r="B4747" s="35" t="s">
        <v>7740</v>
      </c>
      <c r="C4747" s="35" t="s">
        <v>7739</v>
      </c>
      <c r="D4747" s="35" t="s">
        <v>7717</v>
      </c>
    </row>
    <row r="4748" spans="1:4">
      <c r="A4748" s="63">
        <v>45077</v>
      </c>
      <c r="B4748" s="35" t="s">
        <v>7742</v>
      </c>
      <c r="C4748" s="35" t="s">
        <v>7741</v>
      </c>
      <c r="D4748" s="35" t="s">
        <v>141</v>
      </c>
    </row>
    <row r="4749" spans="1:4">
      <c r="A4749" s="63">
        <v>45077</v>
      </c>
      <c r="B4749" s="35" t="s">
        <v>7743</v>
      </c>
      <c r="C4749" s="35" t="s">
        <v>6245</v>
      </c>
      <c r="D4749" s="35" t="s">
        <v>141</v>
      </c>
    </row>
    <row r="4750" spans="1:4">
      <c r="A4750" s="63">
        <v>45077</v>
      </c>
      <c r="B4750" s="35" t="s">
        <v>7745</v>
      </c>
      <c r="C4750" s="35" t="s">
        <v>7744</v>
      </c>
      <c r="D4750" s="35" t="s">
        <v>141</v>
      </c>
    </row>
    <row r="4751" spans="1:4">
      <c r="A4751" s="63">
        <v>45076</v>
      </c>
      <c r="B4751" s="35" t="s">
        <v>7747</v>
      </c>
      <c r="C4751" s="35" t="s">
        <v>7746</v>
      </c>
      <c r="D4751" s="35" t="s">
        <v>141</v>
      </c>
    </row>
    <row r="4752" spans="1:4">
      <c r="A4752" s="63">
        <v>45077</v>
      </c>
      <c r="B4752" s="35" t="s">
        <v>7749</v>
      </c>
      <c r="C4752" s="35" t="s">
        <v>7748</v>
      </c>
      <c r="D4752" s="35" t="s">
        <v>141</v>
      </c>
    </row>
    <row r="4753" spans="1:4">
      <c r="A4753" s="63">
        <v>45070</v>
      </c>
      <c r="B4753" s="35" t="s">
        <v>7751</v>
      </c>
      <c r="C4753" s="35" t="s">
        <v>7750</v>
      </c>
      <c r="D4753" s="35" t="s">
        <v>24</v>
      </c>
    </row>
    <row r="4754" spans="1:4">
      <c r="A4754" s="63">
        <v>45078</v>
      </c>
      <c r="B4754" s="35" t="s">
        <v>7753</v>
      </c>
      <c r="C4754" s="35" t="s">
        <v>7752</v>
      </c>
      <c r="D4754" s="35" t="s">
        <v>24</v>
      </c>
    </row>
    <row r="4755" spans="1:4">
      <c r="A4755" s="63">
        <v>45078</v>
      </c>
      <c r="B4755" s="35" t="s">
        <v>7756</v>
      </c>
      <c r="C4755" s="35" t="s">
        <v>7754</v>
      </c>
      <c r="D4755" s="35" t="s">
        <v>7755</v>
      </c>
    </row>
    <row r="4756" spans="1:4">
      <c r="A4756" s="63">
        <v>45076</v>
      </c>
      <c r="B4756" s="35" t="s">
        <v>7758</v>
      </c>
      <c r="C4756" s="35" t="s">
        <v>7757</v>
      </c>
      <c r="D4756" s="35" t="s">
        <v>16</v>
      </c>
    </row>
    <row r="4757" spans="1:4">
      <c r="A4757" s="63">
        <v>45076</v>
      </c>
      <c r="B4757" s="35" t="s">
        <v>7760</v>
      </c>
      <c r="C4757" s="35" t="s">
        <v>7759</v>
      </c>
      <c r="D4757" s="35" t="s">
        <v>16</v>
      </c>
    </row>
    <row r="4758" spans="1:4">
      <c r="A4758" s="63">
        <v>45078</v>
      </c>
      <c r="B4758" s="35" t="s">
        <v>7762</v>
      </c>
      <c r="C4758" s="35" t="s">
        <v>7761</v>
      </c>
      <c r="D4758" s="35" t="s">
        <v>16</v>
      </c>
    </row>
    <row r="4759" spans="1:4">
      <c r="A4759" s="63">
        <v>45076</v>
      </c>
      <c r="B4759" s="35" t="s">
        <v>7764</v>
      </c>
      <c r="C4759" s="35" t="s">
        <v>7763</v>
      </c>
      <c r="D4759" s="35" t="s">
        <v>11</v>
      </c>
    </row>
    <row r="4760" spans="1:4">
      <c r="A4760" s="63">
        <v>45076</v>
      </c>
      <c r="B4760" s="35" t="s">
        <v>7766</v>
      </c>
      <c r="C4760" s="35" t="s">
        <v>7765</v>
      </c>
      <c r="D4760" s="35" t="s">
        <v>11</v>
      </c>
    </row>
    <row r="4761" spans="1:4">
      <c r="A4761" s="63">
        <v>45077</v>
      </c>
      <c r="B4761" s="35" t="s">
        <v>7768</v>
      </c>
      <c r="C4761" s="35" t="s">
        <v>7767</v>
      </c>
      <c r="D4761" s="35" t="s">
        <v>11</v>
      </c>
    </row>
    <row r="4762" spans="1:4">
      <c r="A4762" s="63">
        <v>45078</v>
      </c>
      <c r="B4762" s="35" t="s">
        <v>7770</v>
      </c>
      <c r="C4762" s="35" t="s">
        <v>7769</v>
      </c>
      <c r="D4762" s="35" t="s">
        <v>11</v>
      </c>
    </row>
    <row r="4763" spans="1:4">
      <c r="A4763" s="63">
        <v>45078</v>
      </c>
      <c r="B4763" s="35" t="s">
        <v>7772</v>
      </c>
      <c r="C4763" s="35" t="s">
        <v>7771</v>
      </c>
      <c r="D4763" s="35" t="s">
        <v>11</v>
      </c>
    </row>
    <row r="4764" spans="1:4">
      <c r="A4764" s="32">
        <v>45230</v>
      </c>
      <c r="B4764" s="19" t="s">
        <v>7774</v>
      </c>
      <c r="C4764" s="19" t="s">
        <v>7773</v>
      </c>
      <c r="D4764" s="19" t="s">
        <v>5</v>
      </c>
    </row>
    <row r="4765" spans="1:4">
      <c r="A4765" s="32">
        <v>45230</v>
      </c>
      <c r="B4765" s="19" t="s">
        <v>7774</v>
      </c>
      <c r="C4765" s="19" t="s">
        <v>7773</v>
      </c>
      <c r="D4765" s="19" t="s">
        <v>5</v>
      </c>
    </row>
    <row r="4766" spans="1:4">
      <c r="A4766" s="32">
        <v>45230</v>
      </c>
      <c r="B4766" s="19" t="s">
        <v>7774</v>
      </c>
      <c r="C4766" s="19" t="s">
        <v>7773</v>
      </c>
      <c r="D4766" s="19" t="s">
        <v>5</v>
      </c>
    </row>
    <row r="4767" spans="1:4">
      <c r="A4767" s="32">
        <v>45230</v>
      </c>
      <c r="B4767" s="19" t="s">
        <v>7774</v>
      </c>
      <c r="C4767" s="19" t="s">
        <v>7773</v>
      </c>
      <c r="D4767" s="19" t="s">
        <v>5</v>
      </c>
    </row>
    <row r="4768" spans="1:4">
      <c r="A4768" s="62">
        <v>45225</v>
      </c>
      <c r="B4768" s="26" t="s">
        <v>7775</v>
      </c>
      <c r="C4768" s="26" t="s">
        <v>1135</v>
      </c>
      <c r="D4768" s="26" t="s">
        <v>34</v>
      </c>
    </row>
    <row r="4769" spans="1:4">
      <c r="A4769" s="61">
        <v>45236</v>
      </c>
      <c r="B4769" s="36" t="s">
        <v>7777</v>
      </c>
      <c r="C4769" s="36" t="s">
        <v>7776</v>
      </c>
      <c r="D4769" s="36" t="s">
        <v>109</v>
      </c>
    </row>
    <row r="4770" spans="1:4">
      <c r="A4770" s="61">
        <v>45234</v>
      </c>
      <c r="B4770" s="19" t="s">
        <v>7779</v>
      </c>
      <c r="C4770" s="19" t="s">
        <v>7778</v>
      </c>
      <c r="D4770" s="19" t="s">
        <v>19</v>
      </c>
    </row>
    <row r="4771" spans="1:4">
      <c r="A4771" s="61">
        <v>45236</v>
      </c>
      <c r="B4771" s="19" t="s">
        <v>7781</v>
      </c>
      <c r="C4771" s="19" t="s">
        <v>7780</v>
      </c>
      <c r="D4771" s="19" t="s">
        <v>109</v>
      </c>
    </row>
    <row r="4772" spans="1:4">
      <c r="A4772" s="61">
        <v>45234</v>
      </c>
      <c r="B4772" s="19" t="s">
        <v>7783</v>
      </c>
      <c r="C4772" s="19" t="s">
        <v>7782</v>
      </c>
      <c r="D4772" s="19" t="s">
        <v>24</v>
      </c>
    </row>
    <row r="4773" spans="1:4">
      <c r="A4773" s="61">
        <v>45233</v>
      </c>
      <c r="B4773" s="19" t="s">
        <v>7785</v>
      </c>
      <c r="C4773" s="19" t="s">
        <v>7784</v>
      </c>
      <c r="D4773" s="19" t="s">
        <v>74</v>
      </c>
    </row>
    <row r="4774" spans="1:4">
      <c r="A4774" s="61">
        <v>45233</v>
      </c>
      <c r="B4774" s="19" t="s">
        <v>7787</v>
      </c>
      <c r="C4774" s="19" t="s">
        <v>7786</v>
      </c>
      <c r="D4774" s="19" t="s">
        <v>109</v>
      </c>
    </row>
    <row r="4775" spans="1:4">
      <c r="A4775" s="61">
        <v>45238</v>
      </c>
      <c r="B4775" s="19" t="s">
        <v>7789</v>
      </c>
      <c r="C4775" s="19" t="s">
        <v>7788</v>
      </c>
      <c r="D4775" s="19" t="s">
        <v>16</v>
      </c>
    </row>
    <row r="4776" spans="1:4">
      <c r="A4776" s="61">
        <v>45238</v>
      </c>
      <c r="B4776" s="19" t="s">
        <v>7791</v>
      </c>
      <c r="C4776" s="19" t="s">
        <v>7790</v>
      </c>
      <c r="D4776" s="19" t="s">
        <v>74</v>
      </c>
    </row>
    <row r="4777" spans="1:4">
      <c r="A4777" s="61">
        <v>45236</v>
      </c>
      <c r="B4777" s="19" t="s">
        <v>7793</v>
      </c>
      <c r="C4777" s="19" t="s">
        <v>7792</v>
      </c>
      <c r="D4777" s="19" t="s">
        <v>109</v>
      </c>
    </row>
    <row r="4778" spans="1:4">
      <c r="A4778" s="62">
        <v>45232</v>
      </c>
      <c r="B4778" s="27" t="s">
        <v>7795</v>
      </c>
      <c r="C4778" s="26" t="s">
        <v>7794</v>
      </c>
      <c r="D4778" s="26" t="s">
        <v>8</v>
      </c>
    </row>
    <row r="4779" spans="1:4">
      <c r="A4779" s="62">
        <v>45232</v>
      </c>
      <c r="B4779" s="27" t="s">
        <v>7796</v>
      </c>
      <c r="C4779" s="26" t="s">
        <v>7794</v>
      </c>
      <c r="D4779" s="26" t="s">
        <v>8</v>
      </c>
    </row>
    <row r="4780" spans="1:4">
      <c r="A4780" s="32">
        <v>45237</v>
      </c>
      <c r="B4780" s="31" t="s">
        <v>7798</v>
      </c>
      <c r="C4780" s="19" t="s">
        <v>7797</v>
      </c>
      <c r="D4780" s="19" t="s">
        <v>5</v>
      </c>
    </row>
    <row r="4781" spans="1:4">
      <c r="A4781" s="32">
        <v>45233</v>
      </c>
      <c r="B4781" s="31" t="s">
        <v>7800</v>
      </c>
      <c r="C4781" s="19" t="s">
        <v>7799</v>
      </c>
      <c r="D4781" s="19" t="s">
        <v>109</v>
      </c>
    </row>
    <row r="4782" spans="1:4">
      <c r="A4782" s="32">
        <v>45233</v>
      </c>
      <c r="B4782" s="31" t="s">
        <v>7801</v>
      </c>
      <c r="C4782" s="19" t="s">
        <v>7799</v>
      </c>
      <c r="D4782" s="19" t="s">
        <v>109</v>
      </c>
    </row>
    <row r="4783" spans="1:4">
      <c r="A4783" s="32">
        <v>45236</v>
      </c>
      <c r="B4783" s="31" t="s">
        <v>7803</v>
      </c>
      <c r="C4783" s="19" t="s">
        <v>7802</v>
      </c>
      <c r="D4783" s="19" t="s">
        <v>29</v>
      </c>
    </row>
    <row r="4784" spans="1:4">
      <c r="A4784" s="32">
        <v>45236</v>
      </c>
      <c r="B4784" s="31" t="s">
        <v>7805</v>
      </c>
      <c r="C4784" s="19" t="s">
        <v>7804</v>
      </c>
      <c r="D4784" s="19" t="s">
        <v>29</v>
      </c>
    </row>
    <row r="4785" spans="1:4">
      <c r="A4785" s="32">
        <v>45238</v>
      </c>
      <c r="B4785" s="31" t="s">
        <v>7807</v>
      </c>
      <c r="C4785" s="19" t="s">
        <v>7806</v>
      </c>
      <c r="D4785" s="19" t="s">
        <v>5</v>
      </c>
    </row>
    <row r="4786" spans="1:4">
      <c r="A4786" s="32">
        <v>45238</v>
      </c>
      <c r="B4786" s="31" t="s">
        <v>7809</v>
      </c>
      <c r="C4786" s="19" t="s">
        <v>7808</v>
      </c>
      <c r="D4786" s="19" t="s">
        <v>34</v>
      </c>
    </row>
    <row r="4787" spans="1:4">
      <c r="A4787" s="32">
        <v>45239</v>
      </c>
      <c r="B4787" s="31" t="s">
        <v>7811</v>
      </c>
      <c r="C4787" s="19" t="s">
        <v>7810</v>
      </c>
      <c r="D4787" s="19" t="s">
        <v>29</v>
      </c>
    </row>
    <row r="4788" spans="1:4">
      <c r="A4788" s="32">
        <v>45234</v>
      </c>
      <c r="B4788" s="31" t="s">
        <v>7813</v>
      </c>
      <c r="C4788" s="19" t="s">
        <v>7812</v>
      </c>
      <c r="D4788" s="19" t="s">
        <v>29</v>
      </c>
    </row>
    <row r="4789" spans="1:4">
      <c r="A4789" s="32">
        <v>45233</v>
      </c>
      <c r="B4789" s="31" t="s">
        <v>7814</v>
      </c>
      <c r="C4789" s="19" t="s">
        <v>2283</v>
      </c>
      <c r="D4789" s="19" t="s">
        <v>109</v>
      </c>
    </row>
    <row r="4790" spans="1:4">
      <c r="A4790" s="32">
        <v>45237</v>
      </c>
      <c r="B4790" s="31" t="s">
        <v>7816</v>
      </c>
      <c r="C4790" s="19" t="s">
        <v>7815</v>
      </c>
      <c r="D4790" s="19" t="s">
        <v>8</v>
      </c>
    </row>
    <row r="4791" spans="1:4">
      <c r="A4791" s="32">
        <v>45238</v>
      </c>
      <c r="B4791" s="31" t="s">
        <v>7818</v>
      </c>
      <c r="C4791" s="19" t="s">
        <v>7817</v>
      </c>
      <c r="D4791" s="19" t="s">
        <v>5</v>
      </c>
    </row>
    <row r="4792" spans="1:4">
      <c r="A4792" s="32">
        <v>45236</v>
      </c>
      <c r="B4792" s="31" t="s">
        <v>7820</v>
      </c>
      <c r="C4792" s="19" t="s">
        <v>7819</v>
      </c>
      <c r="D4792" s="19" t="s">
        <v>19</v>
      </c>
    </row>
    <row r="4793" spans="1:4">
      <c r="A4793" s="32">
        <v>45236</v>
      </c>
      <c r="B4793" s="31" t="s">
        <v>7822</v>
      </c>
      <c r="C4793" s="19" t="s">
        <v>7821</v>
      </c>
      <c r="D4793" s="19" t="s">
        <v>19</v>
      </c>
    </row>
    <row r="4794" spans="1:4">
      <c r="A4794" s="32">
        <v>45236</v>
      </c>
      <c r="B4794" s="31" t="s">
        <v>7805</v>
      </c>
      <c r="C4794" s="19" t="s">
        <v>7804</v>
      </c>
      <c r="D4794" s="19" t="s">
        <v>29</v>
      </c>
    </row>
    <row r="4795" spans="1:4">
      <c r="A4795" s="32">
        <v>45236</v>
      </c>
      <c r="B4795" s="31" t="s">
        <v>7822</v>
      </c>
      <c r="C4795" s="19" t="s">
        <v>7821</v>
      </c>
      <c r="D4795" s="19" t="s">
        <v>19</v>
      </c>
    </row>
    <row r="4796" spans="1:4">
      <c r="A4796" s="32">
        <v>45238</v>
      </c>
      <c r="B4796" s="31" t="s">
        <v>7823</v>
      </c>
      <c r="C4796" s="19" t="s">
        <v>7808</v>
      </c>
      <c r="D4796" s="19" t="s">
        <v>34</v>
      </c>
    </row>
    <row r="4797" spans="1:4">
      <c r="A4797" s="32">
        <v>45237</v>
      </c>
      <c r="B4797" s="31" t="s">
        <v>7798</v>
      </c>
      <c r="C4797" s="19" t="s">
        <v>7824</v>
      </c>
      <c r="D4797" s="19" t="s">
        <v>5</v>
      </c>
    </row>
    <row r="4798" spans="1:4">
      <c r="A4798" s="32">
        <v>45234</v>
      </c>
      <c r="B4798" s="31" t="s">
        <v>7826</v>
      </c>
      <c r="C4798" s="19" t="s">
        <v>7825</v>
      </c>
      <c r="D4798" s="19" t="s">
        <v>29</v>
      </c>
    </row>
    <row r="4799" spans="1:4">
      <c r="A4799" s="32">
        <v>45234</v>
      </c>
      <c r="B4799" s="31" t="s">
        <v>7828</v>
      </c>
      <c r="C4799" s="19" t="s">
        <v>7827</v>
      </c>
      <c r="D4799" s="19" t="s">
        <v>34</v>
      </c>
    </row>
    <row r="4800" spans="1:4">
      <c r="A4800" s="32">
        <v>45233</v>
      </c>
      <c r="B4800" s="31" t="s">
        <v>7829</v>
      </c>
      <c r="C4800" s="19" t="s">
        <v>7799</v>
      </c>
      <c r="D4800" s="19" t="s">
        <v>109</v>
      </c>
    </row>
    <row r="4801" spans="1:4">
      <c r="A4801" s="32">
        <v>45234</v>
      </c>
      <c r="B4801" s="31" t="s">
        <v>7830</v>
      </c>
      <c r="C4801" s="19" t="s">
        <v>7827</v>
      </c>
      <c r="D4801" s="19" t="s">
        <v>34</v>
      </c>
    </row>
    <row r="4802" spans="1:4">
      <c r="A4802" s="32">
        <v>45233</v>
      </c>
      <c r="B4802" s="31" t="s">
        <v>7832</v>
      </c>
      <c r="C4802" s="19" t="s">
        <v>7831</v>
      </c>
      <c r="D4802" s="19" t="s">
        <v>109</v>
      </c>
    </row>
    <row r="4803" spans="1:4">
      <c r="A4803" s="38">
        <v>45230</v>
      </c>
      <c r="B4803" s="37" t="s">
        <v>7834</v>
      </c>
      <c r="C4803" s="37" t="s">
        <v>7833</v>
      </c>
      <c r="D4803" s="37" t="s">
        <v>16</v>
      </c>
    </row>
    <row r="4804" spans="1:4">
      <c r="A4804" s="38">
        <v>45233</v>
      </c>
      <c r="B4804" s="37"/>
      <c r="C4804" s="37" t="s">
        <v>7835</v>
      </c>
      <c r="D4804" s="37" t="s">
        <v>8</v>
      </c>
    </row>
    <row r="4805" spans="1:4">
      <c r="A4805" s="38">
        <v>45233</v>
      </c>
      <c r="B4805" s="37" t="s">
        <v>7307</v>
      </c>
      <c r="C4805" s="37" t="s">
        <v>7836</v>
      </c>
      <c r="D4805" s="37" t="s">
        <v>74</v>
      </c>
    </row>
    <row r="4806" spans="1:4">
      <c r="A4806" s="38">
        <v>45230</v>
      </c>
      <c r="B4806" s="37" t="s">
        <v>7838</v>
      </c>
      <c r="C4806" s="37" t="s">
        <v>7837</v>
      </c>
      <c r="D4806" s="37" t="s">
        <v>8</v>
      </c>
    </row>
    <row r="4807" spans="1:4">
      <c r="A4807" s="38">
        <v>45226</v>
      </c>
      <c r="B4807" s="37" t="s">
        <v>7840</v>
      </c>
      <c r="C4807" s="37" t="s">
        <v>7839</v>
      </c>
      <c r="D4807" s="37" t="s">
        <v>74</v>
      </c>
    </row>
    <row r="4808" spans="1:4">
      <c r="A4808" s="32">
        <v>45232</v>
      </c>
      <c r="B4808" s="19" t="s">
        <v>7842</v>
      </c>
      <c r="C4808" s="19" t="s">
        <v>7841</v>
      </c>
      <c r="D4808" s="19" t="s">
        <v>345</v>
      </c>
    </row>
    <row r="4809" spans="1:4">
      <c r="A4809" s="32">
        <v>45233</v>
      </c>
      <c r="B4809" s="19" t="s">
        <v>7844</v>
      </c>
      <c r="C4809" s="19" t="s">
        <v>7843</v>
      </c>
      <c r="D4809" s="19" t="s">
        <v>345</v>
      </c>
    </row>
    <row r="4810" spans="1:4">
      <c r="A4810" s="32">
        <v>45233</v>
      </c>
      <c r="B4810" s="19" t="s">
        <v>7844</v>
      </c>
      <c r="C4810" s="19" t="s">
        <v>7843</v>
      </c>
      <c r="D4810" s="19" t="s">
        <v>345</v>
      </c>
    </row>
    <row r="4811" spans="1:4">
      <c r="A4811" s="32">
        <v>45232</v>
      </c>
      <c r="B4811" s="19" t="s">
        <v>7846</v>
      </c>
      <c r="C4811" s="19" t="s">
        <v>7845</v>
      </c>
      <c r="D4811" s="19" t="s">
        <v>29</v>
      </c>
    </row>
    <row r="4812" spans="1:4">
      <c r="A4812" s="32">
        <v>45233</v>
      </c>
      <c r="B4812" s="19" t="s">
        <v>7844</v>
      </c>
      <c r="C4812" s="19" t="s">
        <v>7843</v>
      </c>
      <c r="D4812" s="19" t="s">
        <v>345</v>
      </c>
    </row>
    <row r="4813" spans="1:4">
      <c r="A4813" s="32">
        <v>45241</v>
      </c>
      <c r="B4813" s="31" t="s">
        <v>7848</v>
      </c>
      <c r="C4813" s="19" t="s">
        <v>7847</v>
      </c>
      <c r="D4813" s="19" t="s">
        <v>34</v>
      </c>
    </row>
    <row r="4814" spans="1:4">
      <c r="A4814" s="32">
        <v>45241</v>
      </c>
      <c r="B4814" s="31" t="s">
        <v>7849</v>
      </c>
      <c r="C4814" s="19" t="s">
        <v>7847</v>
      </c>
      <c r="D4814" s="19" t="s">
        <v>34</v>
      </c>
    </row>
    <row r="4815" spans="1:4">
      <c r="A4815" s="32">
        <v>45241</v>
      </c>
      <c r="B4815" s="31" t="s">
        <v>7851</v>
      </c>
      <c r="C4815" s="19" t="s">
        <v>7850</v>
      </c>
      <c r="D4815" s="19" t="s">
        <v>34</v>
      </c>
    </row>
    <row r="4816" spans="1:4">
      <c r="A4816" s="32">
        <v>45241</v>
      </c>
      <c r="B4816" s="31" t="s">
        <v>7853</v>
      </c>
      <c r="C4816" s="19" t="s">
        <v>7852</v>
      </c>
      <c r="D4816" s="19" t="s">
        <v>34</v>
      </c>
    </row>
    <row r="4817" spans="1:4">
      <c r="A4817" s="32">
        <v>45241</v>
      </c>
      <c r="B4817" s="19" t="s">
        <v>7855</v>
      </c>
      <c r="C4817" s="19" t="s">
        <v>7854</v>
      </c>
      <c r="D4817" s="19" t="s">
        <v>34</v>
      </c>
    </row>
    <row r="4818" spans="1:4">
      <c r="A4818" s="32">
        <v>45240</v>
      </c>
      <c r="B4818" s="19" t="s">
        <v>7857</v>
      </c>
      <c r="C4818" s="19" t="s">
        <v>7856</v>
      </c>
      <c r="D4818" s="19" t="s">
        <v>11</v>
      </c>
    </row>
    <row r="4819" spans="1:4">
      <c r="A4819" s="32">
        <v>45241</v>
      </c>
      <c r="B4819" s="19" t="s">
        <v>7859</v>
      </c>
      <c r="C4819" s="19" t="s">
        <v>7858</v>
      </c>
      <c r="D4819" s="19" t="s">
        <v>34</v>
      </c>
    </row>
    <row r="4820" spans="1:4">
      <c r="A4820" s="32">
        <v>45240</v>
      </c>
      <c r="B4820" s="19" t="s">
        <v>7861</v>
      </c>
      <c r="C4820" s="39" t="s">
        <v>7860</v>
      </c>
      <c r="D4820" s="19" t="s">
        <v>11</v>
      </c>
    </row>
    <row r="4821" spans="1:4">
      <c r="A4821" s="32">
        <v>45237</v>
      </c>
      <c r="B4821" s="19" t="s">
        <v>7863</v>
      </c>
      <c r="C4821" s="19" t="s">
        <v>7862</v>
      </c>
      <c r="D4821" s="19" t="s">
        <v>24</v>
      </c>
    </row>
    <row r="4822" spans="1:4">
      <c r="A4822" s="32">
        <v>45241</v>
      </c>
      <c r="B4822" s="19" t="s">
        <v>7865</v>
      </c>
      <c r="C4822" s="19" t="s">
        <v>7864</v>
      </c>
      <c r="D4822" s="19" t="s">
        <v>34</v>
      </c>
    </row>
    <row r="4823" spans="1:4">
      <c r="A4823" s="32">
        <v>45238</v>
      </c>
      <c r="B4823" s="19" t="s">
        <v>7867</v>
      </c>
      <c r="C4823" s="19" t="s">
        <v>7866</v>
      </c>
      <c r="D4823" s="19" t="s">
        <v>5</v>
      </c>
    </row>
    <row r="4824" spans="1:4">
      <c r="A4824" s="32">
        <v>45238</v>
      </c>
      <c r="B4824" s="19" t="s">
        <v>7869</v>
      </c>
      <c r="C4824" s="19" t="s">
        <v>7868</v>
      </c>
      <c r="D4824" s="19" t="s">
        <v>5</v>
      </c>
    </row>
    <row r="4825" spans="1:4">
      <c r="A4825" s="62">
        <v>45222</v>
      </c>
      <c r="B4825" s="26" t="s">
        <v>7871</v>
      </c>
      <c r="C4825" s="26" t="s">
        <v>7870</v>
      </c>
      <c r="D4825" s="26" t="s">
        <v>109</v>
      </c>
    </row>
    <row r="4826" spans="1:4">
      <c r="A4826" s="62">
        <v>45222</v>
      </c>
      <c r="B4826" s="26" t="s">
        <v>7873</v>
      </c>
      <c r="C4826" s="26" t="s">
        <v>7872</v>
      </c>
      <c r="D4826" s="26" t="s">
        <v>345</v>
      </c>
    </row>
    <row r="4827" spans="1:4">
      <c r="A4827" s="62">
        <v>45222</v>
      </c>
      <c r="B4827" s="26" t="s">
        <v>7875</v>
      </c>
      <c r="C4827" s="26" t="s">
        <v>7874</v>
      </c>
      <c r="D4827" s="26" t="s">
        <v>109</v>
      </c>
    </row>
    <row r="4828" spans="1:4">
      <c r="A4828" s="62">
        <v>45223</v>
      </c>
      <c r="B4828" s="26" t="s">
        <v>7877</v>
      </c>
      <c r="C4828" s="26" t="s">
        <v>7876</v>
      </c>
      <c r="D4828" s="26" t="s">
        <v>29</v>
      </c>
    </row>
    <row r="4829" spans="1:4">
      <c r="A4829" s="62">
        <v>45223</v>
      </c>
      <c r="B4829" s="26" t="s">
        <v>7879</v>
      </c>
      <c r="C4829" s="26" t="s">
        <v>7878</v>
      </c>
      <c r="D4829" s="26" t="s">
        <v>109</v>
      </c>
    </row>
    <row r="4830" spans="1:4">
      <c r="A4830" s="62">
        <v>45223</v>
      </c>
      <c r="B4830" s="26" t="s">
        <v>7881</v>
      </c>
      <c r="C4830" s="26" t="s">
        <v>7880</v>
      </c>
      <c r="D4830" s="26" t="s">
        <v>5</v>
      </c>
    </row>
    <row r="4831" spans="1:4">
      <c r="A4831" s="62">
        <v>45223</v>
      </c>
      <c r="B4831" s="26" t="s">
        <v>7883</v>
      </c>
      <c r="C4831" s="26" t="s">
        <v>7882</v>
      </c>
      <c r="D4831" s="26" t="s">
        <v>5</v>
      </c>
    </row>
    <row r="4832" spans="1:4">
      <c r="A4832" s="62">
        <v>45224</v>
      </c>
      <c r="B4832" s="26" t="s">
        <v>7885</v>
      </c>
      <c r="C4832" s="26" t="s">
        <v>7884</v>
      </c>
      <c r="D4832" s="26" t="s">
        <v>74</v>
      </c>
    </row>
    <row r="4833" spans="1:4">
      <c r="A4833" s="62">
        <v>45224</v>
      </c>
      <c r="B4833" s="26" t="s">
        <v>7887</v>
      </c>
      <c r="C4833" s="26" t="s">
        <v>7886</v>
      </c>
      <c r="D4833" s="26" t="s">
        <v>74</v>
      </c>
    </row>
    <row r="4834" spans="1:4">
      <c r="A4834" s="62">
        <v>45224</v>
      </c>
      <c r="B4834" s="26" t="s">
        <v>7889</v>
      </c>
      <c r="C4834" s="26" t="s">
        <v>7888</v>
      </c>
      <c r="D4834" s="26" t="s">
        <v>74</v>
      </c>
    </row>
    <row r="4835" spans="1:4">
      <c r="A4835" s="62">
        <v>45227</v>
      </c>
      <c r="B4835" s="26" t="s">
        <v>7891</v>
      </c>
      <c r="C4835" s="26" t="s">
        <v>7890</v>
      </c>
      <c r="D4835" s="26" t="s">
        <v>19</v>
      </c>
    </row>
    <row r="4836" spans="1:4">
      <c r="A4836" s="62">
        <v>45227</v>
      </c>
      <c r="B4836" s="26" t="s">
        <v>7893</v>
      </c>
      <c r="C4836" s="26" t="s">
        <v>7892</v>
      </c>
      <c r="D4836" s="26" t="s">
        <v>29</v>
      </c>
    </row>
    <row r="4837" spans="1:4">
      <c r="A4837" s="62">
        <v>45229</v>
      </c>
      <c r="B4837" s="26" t="s">
        <v>7895</v>
      </c>
      <c r="C4837" s="26" t="s">
        <v>7894</v>
      </c>
      <c r="D4837" s="26" t="s">
        <v>510</v>
      </c>
    </row>
    <row r="4838" spans="1:4">
      <c r="A4838" s="62">
        <v>45230</v>
      </c>
      <c r="B4838" s="26" t="s">
        <v>7897</v>
      </c>
      <c r="C4838" s="26" t="s">
        <v>7896</v>
      </c>
      <c r="D4838" s="26" t="s">
        <v>164</v>
      </c>
    </row>
    <row r="4839" spans="1:4">
      <c r="A4839" s="62">
        <v>45234</v>
      </c>
      <c r="B4839" s="26" t="s">
        <v>7899</v>
      </c>
      <c r="C4839" s="26" t="s">
        <v>7898</v>
      </c>
      <c r="D4839" s="26" t="s">
        <v>109</v>
      </c>
    </row>
    <row r="4840" spans="1:4">
      <c r="A4840" s="62">
        <v>45234</v>
      </c>
      <c r="B4840" s="26" t="s">
        <v>7901</v>
      </c>
      <c r="C4840" s="26" t="s">
        <v>7900</v>
      </c>
      <c r="D4840" s="26" t="s">
        <v>11</v>
      </c>
    </row>
    <row r="4841" spans="1:4">
      <c r="A4841" s="62">
        <v>45234</v>
      </c>
      <c r="B4841" s="26" t="s">
        <v>7901</v>
      </c>
      <c r="C4841" s="26" t="s">
        <v>7900</v>
      </c>
      <c r="D4841" s="26" t="s">
        <v>11</v>
      </c>
    </row>
    <row r="4842" spans="1:4">
      <c r="A4842" s="62">
        <v>45237</v>
      </c>
      <c r="B4842" s="26" t="s">
        <v>7903</v>
      </c>
      <c r="C4842" s="26" t="s">
        <v>7902</v>
      </c>
      <c r="D4842" s="26" t="s">
        <v>5</v>
      </c>
    </row>
    <row r="4843" spans="1:4">
      <c r="A4843" s="62">
        <v>45237</v>
      </c>
      <c r="B4843" s="26" t="s">
        <v>7905</v>
      </c>
      <c r="C4843" s="26" t="s">
        <v>7904</v>
      </c>
      <c r="D4843" s="26" t="s">
        <v>109</v>
      </c>
    </row>
    <row r="4844" spans="1:4">
      <c r="A4844" s="62">
        <v>45237</v>
      </c>
      <c r="B4844" s="26" t="s">
        <v>7907</v>
      </c>
      <c r="C4844" s="26" t="s">
        <v>7906</v>
      </c>
      <c r="D4844" s="26" t="s">
        <v>109</v>
      </c>
    </row>
    <row r="4845" spans="1:4">
      <c r="A4845" s="62">
        <v>45237</v>
      </c>
      <c r="B4845" s="26" t="s">
        <v>7909</v>
      </c>
      <c r="C4845" s="26" t="s">
        <v>7908</v>
      </c>
      <c r="D4845" s="26" t="s">
        <v>109</v>
      </c>
    </row>
    <row r="4846" spans="1:4">
      <c r="A4846" s="62">
        <v>45237</v>
      </c>
      <c r="B4846" s="26" t="s">
        <v>7911</v>
      </c>
      <c r="C4846" s="26" t="s">
        <v>7910</v>
      </c>
      <c r="D4846" s="26" t="s">
        <v>5</v>
      </c>
    </row>
    <row r="4847" spans="1:4">
      <c r="A4847" s="62">
        <v>45238</v>
      </c>
      <c r="B4847" s="26" t="s">
        <v>7913</v>
      </c>
      <c r="C4847" s="26" t="s">
        <v>7912</v>
      </c>
      <c r="D4847" s="26" t="s">
        <v>5</v>
      </c>
    </row>
    <row r="4848" spans="1:4">
      <c r="A4848" s="62">
        <v>45238</v>
      </c>
      <c r="B4848" s="26" t="s">
        <v>7915</v>
      </c>
      <c r="C4848" s="26" t="s">
        <v>7914</v>
      </c>
      <c r="D4848" s="26" t="s">
        <v>5</v>
      </c>
    </row>
    <row r="4849" spans="1:4">
      <c r="A4849" s="62">
        <v>45239</v>
      </c>
      <c r="B4849" s="26" t="s">
        <v>7917</v>
      </c>
      <c r="C4849" s="26" t="s">
        <v>7916</v>
      </c>
      <c r="D4849" s="26" t="s">
        <v>5</v>
      </c>
    </row>
    <row r="4850" spans="1:4">
      <c r="A4850" s="62">
        <v>45239</v>
      </c>
      <c r="B4850" s="26" t="s">
        <v>7919</v>
      </c>
      <c r="C4850" s="26" t="s">
        <v>7918</v>
      </c>
      <c r="D4850" s="26" t="s">
        <v>109</v>
      </c>
    </row>
    <row r="4851" spans="1:4">
      <c r="A4851" s="62">
        <v>45239</v>
      </c>
      <c r="B4851" s="26" t="s">
        <v>7921</v>
      </c>
      <c r="C4851" s="26" t="s">
        <v>7920</v>
      </c>
      <c r="D4851" s="26" t="s">
        <v>109</v>
      </c>
    </row>
    <row r="4852" spans="1:4">
      <c r="A4852" s="62">
        <v>45239</v>
      </c>
      <c r="B4852" s="26" t="s">
        <v>7923</v>
      </c>
      <c r="C4852" s="26" t="s">
        <v>7922</v>
      </c>
      <c r="D4852" s="26" t="s">
        <v>109</v>
      </c>
    </row>
    <row r="4853" spans="1:4">
      <c r="A4853" s="62">
        <v>45240</v>
      </c>
      <c r="B4853" s="26" t="s">
        <v>7925</v>
      </c>
      <c r="C4853" s="26" t="s">
        <v>7924</v>
      </c>
      <c r="D4853" s="26" t="s">
        <v>5</v>
      </c>
    </row>
    <row r="4854" spans="1:4">
      <c r="A4854" s="62">
        <v>45240</v>
      </c>
      <c r="B4854" s="26" t="s">
        <v>7925</v>
      </c>
      <c r="C4854" s="26" t="s">
        <v>7924</v>
      </c>
      <c r="D4854" s="26" t="s">
        <v>5</v>
      </c>
    </row>
    <row r="4855" spans="1:4">
      <c r="A4855" s="62">
        <v>45240</v>
      </c>
      <c r="B4855" s="26" t="s">
        <v>7927</v>
      </c>
      <c r="C4855" s="26" t="s">
        <v>7926</v>
      </c>
      <c r="D4855" s="26" t="s">
        <v>5</v>
      </c>
    </row>
    <row r="4856" spans="1:4">
      <c r="A4856" s="62">
        <v>45241</v>
      </c>
      <c r="B4856" s="26" t="s">
        <v>7929</v>
      </c>
      <c r="C4856" s="26" t="s">
        <v>7928</v>
      </c>
      <c r="D4856" s="26" t="s">
        <v>29</v>
      </c>
    </row>
    <row r="4857" spans="1:4">
      <c r="A4857" s="62">
        <v>45241</v>
      </c>
      <c r="B4857" s="26" t="s">
        <v>7931</v>
      </c>
      <c r="C4857" s="26" t="s">
        <v>7930</v>
      </c>
      <c r="D4857" s="26" t="s">
        <v>11</v>
      </c>
    </row>
    <row r="4858" spans="1:4">
      <c r="A4858" s="62">
        <v>45241</v>
      </c>
      <c r="B4858" s="26" t="s">
        <v>7933</v>
      </c>
      <c r="C4858" s="26" t="s">
        <v>7932</v>
      </c>
      <c r="D4858" s="26" t="s">
        <v>11</v>
      </c>
    </row>
    <row r="4859" spans="1:4">
      <c r="A4859" s="62">
        <v>45241</v>
      </c>
      <c r="B4859" s="26" t="s">
        <v>7935</v>
      </c>
      <c r="C4859" s="26" t="s">
        <v>7934</v>
      </c>
      <c r="D4859" s="26" t="s">
        <v>5</v>
      </c>
    </row>
    <row r="4860" spans="1:4">
      <c r="A4860" s="62">
        <v>45241</v>
      </c>
      <c r="B4860" s="26" t="s">
        <v>7937</v>
      </c>
      <c r="C4860" s="26" t="s">
        <v>7936</v>
      </c>
      <c r="D4860" s="26" t="s">
        <v>5</v>
      </c>
    </row>
    <row r="4861" spans="1:4">
      <c r="A4861" s="62">
        <v>45243</v>
      </c>
      <c r="B4861" s="26" t="s">
        <v>7939</v>
      </c>
      <c r="C4861" s="26" t="s">
        <v>7938</v>
      </c>
      <c r="D4861" s="26" t="s">
        <v>29</v>
      </c>
    </row>
    <row r="4862" spans="1:4">
      <c r="A4862" s="62">
        <v>45243</v>
      </c>
      <c r="B4862" s="26" t="s">
        <v>7939</v>
      </c>
      <c r="C4862" s="26" t="s">
        <v>7938</v>
      </c>
      <c r="D4862" s="26" t="s">
        <v>29</v>
      </c>
    </row>
    <row r="4863" spans="1:4">
      <c r="A4863" s="62">
        <v>45244</v>
      </c>
      <c r="B4863" s="26" t="s">
        <v>7941</v>
      </c>
      <c r="C4863" s="26" t="s">
        <v>7940</v>
      </c>
      <c r="D4863" s="26" t="s">
        <v>109</v>
      </c>
    </row>
    <row r="4864" spans="1:4">
      <c r="A4864" s="62">
        <v>45244</v>
      </c>
      <c r="B4864" s="26" t="s">
        <v>7943</v>
      </c>
      <c r="C4864" s="26" t="s">
        <v>7942</v>
      </c>
      <c r="D4864" s="26" t="s">
        <v>109</v>
      </c>
    </row>
    <row r="4865" spans="1:4">
      <c r="A4865" s="62">
        <v>45244</v>
      </c>
      <c r="B4865" s="26" t="s">
        <v>7945</v>
      </c>
      <c r="C4865" s="26" t="s">
        <v>7944</v>
      </c>
      <c r="D4865" s="26" t="s">
        <v>109</v>
      </c>
    </row>
    <row r="4866" spans="1:4">
      <c r="A4866" s="62">
        <v>45244</v>
      </c>
      <c r="B4866" s="26" t="s">
        <v>7943</v>
      </c>
      <c r="C4866" s="26" t="s">
        <v>7942</v>
      </c>
      <c r="D4866" s="26" t="s">
        <v>109</v>
      </c>
    </row>
    <row r="4867" spans="1:4">
      <c r="A4867" s="32">
        <v>45243</v>
      </c>
      <c r="B4867" s="19" t="s">
        <v>7947</v>
      </c>
      <c r="C4867" s="19" t="s">
        <v>7946</v>
      </c>
      <c r="D4867" s="19" t="s">
        <v>109</v>
      </c>
    </row>
    <row r="4868" spans="1:4">
      <c r="A4868" s="32">
        <v>45244</v>
      </c>
      <c r="B4868" s="19" t="s">
        <v>7949</v>
      </c>
      <c r="C4868" s="19" t="s">
        <v>7948</v>
      </c>
      <c r="D4868" s="19" t="s">
        <v>24</v>
      </c>
    </row>
    <row r="4869" spans="1:4">
      <c r="A4869" s="32">
        <v>45244</v>
      </c>
      <c r="B4869" s="19" t="s">
        <v>7951</v>
      </c>
      <c r="C4869" s="19" t="s">
        <v>7950</v>
      </c>
      <c r="D4869" s="19" t="s">
        <v>345</v>
      </c>
    </row>
    <row r="4870" spans="1:4">
      <c r="A4870" s="32">
        <v>45244</v>
      </c>
      <c r="B4870" s="19" t="s">
        <v>7953</v>
      </c>
      <c r="C4870" s="19" t="s">
        <v>7952</v>
      </c>
      <c r="D4870" s="19" t="s">
        <v>5</v>
      </c>
    </row>
    <row r="4871" spans="1:4">
      <c r="A4871" s="32">
        <v>45245</v>
      </c>
      <c r="B4871" s="19" t="s">
        <v>7955</v>
      </c>
      <c r="C4871" s="19" t="s">
        <v>7954</v>
      </c>
      <c r="D4871" s="19" t="s">
        <v>29</v>
      </c>
    </row>
    <row r="4872" spans="1:4">
      <c r="A4872" s="32">
        <v>45245</v>
      </c>
      <c r="B4872" s="19" t="s">
        <v>7957</v>
      </c>
      <c r="C4872" s="19" t="s">
        <v>7956</v>
      </c>
      <c r="D4872" s="19" t="s">
        <v>29</v>
      </c>
    </row>
    <row r="4873" spans="1:4">
      <c r="A4873" s="32">
        <v>45240</v>
      </c>
      <c r="B4873" s="19" t="s">
        <v>7959</v>
      </c>
      <c r="C4873" s="19" t="s">
        <v>7958</v>
      </c>
      <c r="D4873" s="19" t="s">
        <v>29</v>
      </c>
    </row>
    <row r="4874" spans="1:4">
      <c r="A4874" s="32">
        <v>45240</v>
      </c>
      <c r="B4874" s="19" t="s">
        <v>7959</v>
      </c>
      <c r="C4874" s="19" t="s">
        <v>7958</v>
      </c>
      <c r="D4874" s="19" t="s">
        <v>29</v>
      </c>
    </row>
    <row r="4875" spans="1:4">
      <c r="A4875" s="32">
        <v>45237</v>
      </c>
      <c r="B4875" s="19" t="s">
        <v>7961</v>
      </c>
      <c r="C4875" s="19" t="s">
        <v>7960</v>
      </c>
      <c r="D4875" s="19" t="s">
        <v>29</v>
      </c>
    </row>
    <row r="4876" spans="1:4">
      <c r="A4876" s="32">
        <v>45236</v>
      </c>
      <c r="B4876" s="19" t="s">
        <v>7963</v>
      </c>
      <c r="C4876" s="19" t="s">
        <v>7962</v>
      </c>
      <c r="D4876" s="19" t="s">
        <v>510</v>
      </c>
    </row>
    <row r="4877" spans="1:4">
      <c r="A4877" s="32">
        <v>45237</v>
      </c>
      <c r="B4877" s="19" t="s">
        <v>7965</v>
      </c>
      <c r="C4877" s="19" t="s">
        <v>7964</v>
      </c>
      <c r="D4877" s="19" t="s">
        <v>109</v>
      </c>
    </row>
    <row r="4878" spans="1:4">
      <c r="A4878" s="32">
        <v>45236</v>
      </c>
      <c r="B4878" s="19" t="s">
        <v>7967</v>
      </c>
      <c r="C4878" s="19" t="s">
        <v>7966</v>
      </c>
      <c r="D4878" s="19" t="s">
        <v>510</v>
      </c>
    </row>
    <row r="4879" spans="1:4">
      <c r="A4879" s="62">
        <v>45239</v>
      </c>
      <c r="B4879" s="27" t="s">
        <v>7968</v>
      </c>
      <c r="C4879" s="26" t="s">
        <v>3372</v>
      </c>
      <c r="D4879" s="26" t="s">
        <v>74</v>
      </c>
    </row>
    <row r="4880" spans="1:4">
      <c r="A4880" s="32">
        <v>45243</v>
      </c>
      <c r="B4880" s="31" t="s">
        <v>7970</v>
      </c>
      <c r="C4880" s="19" t="s">
        <v>7969</v>
      </c>
      <c r="D4880" s="19" t="s">
        <v>109</v>
      </c>
    </row>
    <row r="4881" spans="1:4">
      <c r="A4881" s="32">
        <v>45245</v>
      </c>
      <c r="B4881" s="31" t="s">
        <v>7972</v>
      </c>
      <c r="C4881" s="19" t="s">
        <v>7971</v>
      </c>
      <c r="D4881" s="19" t="s">
        <v>34</v>
      </c>
    </row>
    <row r="4882" spans="1:4">
      <c r="A4882" s="32">
        <v>45239</v>
      </c>
      <c r="B4882" s="31" t="s">
        <v>7974</v>
      </c>
      <c r="C4882" s="19" t="s">
        <v>7973</v>
      </c>
      <c r="D4882" s="19" t="s">
        <v>109</v>
      </c>
    </row>
    <row r="4883" spans="1:4">
      <c r="A4883" s="32">
        <v>45243</v>
      </c>
      <c r="B4883" s="31" t="s">
        <v>7976</v>
      </c>
      <c r="C4883" s="19" t="s">
        <v>7975</v>
      </c>
      <c r="D4883" s="19" t="s">
        <v>74</v>
      </c>
    </row>
    <row r="4884" spans="1:4">
      <c r="A4884" s="32">
        <v>45239</v>
      </c>
      <c r="B4884" s="31" t="s">
        <v>7978</v>
      </c>
      <c r="C4884" s="19" t="s">
        <v>7977</v>
      </c>
      <c r="D4884" s="19" t="s">
        <v>74</v>
      </c>
    </row>
    <row r="4885" spans="1:4">
      <c r="A4885" s="32">
        <v>45244</v>
      </c>
      <c r="B4885" s="31" t="s">
        <v>7979</v>
      </c>
      <c r="C4885" s="19" t="s">
        <v>7969</v>
      </c>
      <c r="D4885" s="19" t="s">
        <v>109</v>
      </c>
    </row>
    <row r="4886" spans="1:4">
      <c r="A4886" s="32">
        <v>45243</v>
      </c>
      <c r="B4886" s="31" t="s">
        <v>7981</v>
      </c>
      <c r="C4886" s="19" t="s">
        <v>7980</v>
      </c>
      <c r="D4886" s="19" t="s">
        <v>74</v>
      </c>
    </row>
    <row r="4887" spans="1:4">
      <c r="A4887" s="32">
        <v>45243</v>
      </c>
      <c r="B4887" s="31" t="s">
        <v>7982</v>
      </c>
      <c r="C4887" s="19" t="s">
        <v>7969</v>
      </c>
      <c r="D4887" s="19" t="s">
        <v>109</v>
      </c>
    </row>
    <row r="4888" spans="1:4">
      <c r="A4888" s="32">
        <v>45245</v>
      </c>
      <c r="B4888" s="31" t="s">
        <v>7983</v>
      </c>
      <c r="C4888" s="19" t="s">
        <v>7852</v>
      </c>
      <c r="D4888" s="19" t="s">
        <v>34</v>
      </c>
    </row>
    <row r="4889" spans="1:4">
      <c r="A4889" s="32">
        <v>45239</v>
      </c>
      <c r="B4889" s="31" t="s">
        <v>7985</v>
      </c>
      <c r="C4889" s="19" t="s">
        <v>7984</v>
      </c>
      <c r="D4889" s="19" t="s">
        <v>109</v>
      </c>
    </row>
    <row r="4890" spans="1:4">
      <c r="A4890" s="32">
        <v>45244</v>
      </c>
      <c r="B4890" s="31" t="s">
        <v>7987</v>
      </c>
      <c r="C4890" s="19" t="s">
        <v>7986</v>
      </c>
      <c r="D4890" s="19" t="s">
        <v>109</v>
      </c>
    </row>
    <row r="4891" spans="1:4">
      <c r="A4891" s="32">
        <v>45243</v>
      </c>
      <c r="B4891" s="31" t="s">
        <v>7988</v>
      </c>
      <c r="C4891" s="19" t="s">
        <v>1413</v>
      </c>
      <c r="D4891" s="19" t="s">
        <v>74</v>
      </c>
    </row>
    <row r="4892" spans="1:4">
      <c r="A4892" s="32">
        <v>45232</v>
      </c>
      <c r="B4892" s="19" t="s">
        <v>7990</v>
      </c>
      <c r="C4892" s="19" t="s">
        <v>7989</v>
      </c>
      <c r="D4892" s="19" t="s">
        <v>5</v>
      </c>
    </row>
    <row r="4893" spans="1:4">
      <c r="A4893" s="32">
        <v>45233</v>
      </c>
      <c r="B4893" s="19" t="s">
        <v>7992</v>
      </c>
      <c r="C4893" s="19" t="s">
        <v>7991</v>
      </c>
      <c r="D4893" s="19" t="s">
        <v>5</v>
      </c>
    </row>
    <row r="4894" spans="1:4">
      <c r="A4894" s="32">
        <v>45237</v>
      </c>
      <c r="B4894" s="19" t="s">
        <v>7994</v>
      </c>
      <c r="C4894" s="19" t="s">
        <v>7993</v>
      </c>
      <c r="D4894" s="19" t="s">
        <v>5</v>
      </c>
    </row>
    <row r="4895" spans="1:4">
      <c r="A4895" s="23">
        <v>45237</v>
      </c>
      <c r="B4895" s="13" t="s">
        <v>7994</v>
      </c>
      <c r="C4895" s="13" t="s">
        <v>7993</v>
      </c>
      <c r="D4895" s="13" t="s">
        <v>5</v>
      </c>
    </row>
    <row r="4896" spans="1:4">
      <c r="A4896" s="23">
        <v>45237</v>
      </c>
      <c r="B4896" s="13" t="s">
        <v>7996</v>
      </c>
      <c r="C4896" s="13" t="s">
        <v>7995</v>
      </c>
      <c r="D4896" s="13" t="s">
        <v>5</v>
      </c>
    </row>
    <row r="4897" spans="1:4">
      <c r="A4897" s="23">
        <v>45232</v>
      </c>
      <c r="B4897" s="13" t="s">
        <v>7990</v>
      </c>
      <c r="C4897" s="13" t="s">
        <v>7989</v>
      </c>
      <c r="D4897" s="13" t="s">
        <v>5</v>
      </c>
    </row>
    <row r="4898" spans="1:4">
      <c r="A4898" s="23">
        <v>45232</v>
      </c>
      <c r="B4898" s="13" t="s">
        <v>7992</v>
      </c>
      <c r="C4898" s="13" t="s">
        <v>7991</v>
      </c>
      <c r="D4898" s="13" t="s">
        <v>5</v>
      </c>
    </row>
    <row r="4899" spans="1:4">
      <c r="A4899" s="23">
        <v>45233</v>
      </c>
      <c r="B4899" s="13" t="s">
        <v>7992</v>
      </c>
      <c r="C4899" s="13" t="s">
        <v>7991</v>
      </c>
      <c r="D4899" s="13" t="s">
        <v>5</v>
      </c>
    </row>
    <row r="4900" spans="1:4">
      <c r="A4900" s="23">
        <v>45237</v>
      </c>
      <c r="B4900" s="13" t="s">
        <v>7996</v>
      </c>
      <c r="C4900" s="13" t="s">
        <v>7995</v>
      </c>
      <c r="D4900" s="13" t="s">
        <v>5</v>
      </c>
    </row>
    <row r="4901" spans="1:4">
      <c r="A4901" s="62">
        <v>45245</v>
      </c>
      <c r="B4901" s="26" t="s">
        <v>7998</v>
      </c>
      <c r="C4901" s="26" t="s">
        <v>7997</v>
      </c>
      <c r="D4901" s="26" t="s">
        <v>29</v>
      </c>
    </row>
    <row r="4902" spans="1:4">
      <c r="A4902" s="62">
        <v>45245</v>
      </c>
      <c r="B4902" s="26" t="s">
        <v>8000</v>
      </c>
      <c r="C4902" s="26" t="s">
        <v>7999</v>
      </c>
      <c r="D4902" s="26" t="s">
        <v>29</v>
      </c>
    </row>
    <row r="4903" spans="1:4">
      <c r="A4903" s="62">
        <v>45245</v>
      </c>
      <c r="B4903" s="26" t="s">
        <v>8002</v>
      </c>
      <c r="C4903" s="26" t="s">
        <v>8001</v>
      </c>
      <c r="D4903" s="26" t="s">
        <v>109</v>
      </c>
    </row>
    <row r="4904" spans="1:4">
      <c r="A4904" s="62">
        <v>45246</v>
      </c>
      <c r="B4904" s="26" t="s">
        <v>8004</v>
      </c>
      <c r="C4904" s="26" t="s">
        <v>8003</v>
      </c>
      <c r="D4904" s="26" t="s">
        <v>5</v>
      </c>
    </row>
    <row r="4905" spans="1:4">
      <c r="A4905" s="62">
        <v>45246</v>
      </c>
      <c r="B4905" s="26" t="s">
        <v>8006</v>
      </c>
      <c r="C4905" s="26" t="s">
        <v>8005</v>
      </c>
      <c r="D4905" s="26" t="s">
        <v>5</v>
      </c>
    </row>
    <row r="4906" spans="1:4">
      <c r="A4906" s="62">
        <v>45246</v>
      </c>
      <c r="B4906" s="26" t="s">
        <v>8008</v>
      </c>
      <c r="C4906" s="26" t="s">
        <v>8007</v>
      </c>
      <c r="D4906" s="26" t="s">
        <v>5</v>
      </c>
    </row>
    <row r="4907" spans="1:4">
      <c r="A4907" s="62">
        <v>45246</v>
      </c>
      <c r="B4907" s="26" t="s">
        <v>8010</v>
      </c>
      <c r="C4907" s="26" t="s">
        <v>8009</v>
      </c>
      <c r="D4907" s="26" t="s">
        <v>5</v>
      </c>
    </row>
    <row r="4908" spans="1:4">
      <c r="A4908" s="62">
        <v>45246</v>
      </c>
      <c r="B4908" s="26" t="s">
        <v>8012</v>
      </c>
      <c r="C4908" s="26" t="s">
        <v>8011</v>
      </c>
      <c r="D4908" s="26" t="s">
        <v>5</v>
      </c>
    </row>
    <row r="4909" spans="1:4">
      <c r="A4909" s="62">
        <v>45247</v>
      </c>
      <c r="B4909" s="26" t="s">
        <v>8014</v>
      </c>
      <c r="C4909" s="26" t="s">
        <v>8013</v>
      </c>
      <c r="D4909" s="26" t="s">
        <v>29</v>
      </c>
    </row>
    <row r="4910" spans="1:4">
      <c r="A4910" s="62">
        <v>45247</v>
      </c>
      <c r="B4910" s="26" t="s">
        <v>8016</v>
      </c>
      <c r="C4910" s="26" t="s">
        <v>8015</v>
      </c>
      <c r="D4910" s="26" t="s">
        <v>29</v>
      </c>
    </row>
    <row r="4911" spans="1:4">
      <c r="A4911" s="62">
        <v>45247</v>
      </c>
      <c r="B4911" s="26" t="s">
        <v>8016</v>
      </c>
      <c r="C4911" s="26" t="s">
        <v>8015</v>
      </c>
      <c r="D4911" s="26" t="s">
        <v>29</v>
      </c>
    </row>
    <row r="4912" spans="1:4">
      <c r="A4912" s="62">
        <v>45247</v>
      </c>
      <c r="B4912" s="26" t="s">
        <v>8018</v>
      </c>
      <c r="C4912" s="26" t="s">
        <v>8017</v>
      </c>
      <c r="D4912" s="26" t="s">
        <v>5</v>
      </c>
    </row>
    <row r="4913" spans="1:4">
      <c r="A4913" s="62">
        <v>45247</v>
      </c>
      <c r="B4913" s="26" t="s">
        <v>8020</v>
      </c>
      <c r="C4913" s="26" t="s">
        <v>8019</v>
      </c>
      <c r="D4913" s="26" t="s">
        <v>109</v>
      </c>
    </row>
    <row r="4914" spans="1:4">
      <c r="A4914" s="62">
        <v>45247</v>
      </c>
      <c r="B4914" s="26" t="s">
        <v>8022</v>
      </c>
      <c r="C4914" s="26" t="s">
        <v>8021</v>
      </c>
      <c r="D4914" s="26" t="s">
        <v>5</v>
      </c>
    </row>
    <row r="4915" spans="1:4">
      <c r="A4915" s="62">
        <v>45247</v>
      </c>
      <c r="B4915" s="26" t="s">
        <v>8024</v>
      </c>
      <c r="C4915" s="26" t="s">
        <v>8023</v>
      </c>
      <c r="D4915" s="26" t="s">
        <v>109</v>
      </c>
    </row>
    <row r="4916" spans="1:4">
      <c r="A4916" s="62">
        <v>45247</v>
      </c>
      <c r="B4916" s="26" t="s">
        <v>8026</v>
      </c>
      <c r="C4916" s="26" t="s">
        <v>8025</v>
      </c>
      <c r="D4916" s="26" t="s">
        <v>109</v>
      </c>
    </row>
    <row r="4917" spans="1:4">
      <c r="A4917" s="62">
        <v>45247</v>
      </c>
      <c r="B4917" s="26" t="s">
        <v>8018</v>
      </c>
      <c r="C4917" s="26" t="s">
        <v>8017</v>
      </c>
      <c r="D4917" s="26" t="s">
        <v>5</v>
      </c>
    </row>
    <row r="4918" spans="1:4">
      <c r="A4918" s="62">
        <v>45239</v>
      </c>
      <c r="B4918" s="26" t="s">
        <v>8028</v>
      </c>
      <c r="C4918" s="26" t="s">
        <v>8027</v>
      </c>
      <c r="D4918" s="26" t="s">
        <v>5</v>
      </c>
    </row>
    <row r="4919" spans="1:4">
      <c r="A4919" s="62">
        <v>45239</v>
      </c>
      <c r="B4919" s="26" t="s">
        <v>8028</v>
      </c>
      <c r="C4919" s="26" t="s">
        <v>8027</v>
      </c>
      <c r="D4919" s="26" t="s">
        <v>5</v>
      </c>
    </row>
    <row r="4920" spans="1:4">
      <c r="A4920" s="62">
        <v>45245</v>
      </c>
      <c r="B4920" s="26" t="s">
        <v>8030</v>
      </c>
      <c r="C4920" s="26" t="s">
        <v>8029</v>
      </c>
      <c r="D4920" s="26" t="s">
        <v>5</v>
      </c>
    </row>
    <row r="4921" spans="1:4">
      <c r="A4921" s="62">
        <v>45245</v>
      </c>
      <c r="B4921" s="26" t="s">
        <v>8032</v>
      </c>
      <c r="C4921" s="26" t="s">
        <v>8031</v>
      </c>
      <c r="D4921" s="26" t="s">
        <v>5</v>
      </c>
    </row>
    <row r="4922" spans="1:4">
      <c r="A4922" s="62">
        <v>45246</v>
      </c>
      <c r="B4922" s="26" t="s">
        <v>8034</v>
      </c>
      <c r="C4922" s="26" t="s">
        <v>8033</v>
      </c>
      <c r="D4922" s="26" t="s">
        <v>5</v>
      </c>
    </row>
    <row r="4923" spans="1:4">
      <c r="A4923" s="62">
        <v>45245</v>
      </c>
      <c r="B4923" s="26" t="s">
        <v>8036</v>
      </c>
      <c r="C4923" s="26" t="s">
        <v>8035</v>
      </c>
      <c r="D4923" s="26" t="s">
        <v>5</v>
      </c>
    </row>
    <row r="4924" spans="1:4">
      <c r="A4924" s="62">
        <v>45246</v>
      </c>
      <c r="B4924" s="26" t="s">
        <v>8038</v>
      </c>
      <c r="C4924" s="26" t="s">
        <v>8037</v>
      </c>
      <c r="D4924" s="26" t="s">
        <v>5</v>
      </c>
    </row>
    <row r="4925" spans="1:4">
      <c r="A4925" s="62">
        <v>45244</v>
      </c>
      <c r="B4925" s="26" t="s">
        <v>8040</v>
      </c>
      <c r="C4925" s="26" t="s">
        <v>8039</v>
      </c>
      <c r="D4925" s="26" t="s">
        <v>5</v>
      </c>
    </row>
    <row r="4926" spans="1:4">
      <c r="A4926" s="62">
        <v>45244</v>
      </c>
      <c r="B4926" s="26" t="s">
        <v>8040</v>
      </c>
      <c r="C4926" s="26" t="s">
        <v>8039</v>
      </c>
      <c r="D4926" s="26" t="s">
        <v>5</v>
      </c>
    </row>
    <row r="4927" spans="1:4">
      <c r="A4927" s="62">
        <v>45246</v>
      </c>
      <c r="B4927" s="26" t="s">
        <v>8038</v>
      </c>
      <c r="C4927" s="26" t="s">
        <v>8037</v>
      </c>
      <c r="D4927" s="26" t="s">
        <v>5</v>
      </c>
    </row>
    <row r="4928" spans="1:4">
      <c r="A4928" s="62">
        <v>45239</v>
      </c>
      <c r="B4928" s="26" t="s">
        <v>8028</v>
      </c>
      <c r="C4928" s="26" t="s">
        <v>8027</v>
      </c>
      <c r="D4928" s="26" t="s">
        <v>5</v>
      </c>
    </row>
    <row r="4929" spans="1:4">
      <c r="A4929" s="62">
        <v>45244</v>
      </c>
      <c r="B4929" s="26" t="s">
        <v>8042</v>
      </c>
      <c r="C4929" s="26" t="s">
        <v>8041</v>
      </c>
      <c r="D4929" s="26" t="s">
        <v>5</v>
      </c>
    </row>
    <row r="4930" spans="1:4">
      <c r="A4930" s="62">
        <v>45244</v>
      </c>
      <c r="B4930" s="26" t="s">
        <v>8042</v>
      </c>
      <c r="C4930" s="26" t="s">
        <v>8041</v>
      </c>
      <c r="D4930" s="26" t="s">
        <v>5</v>
      </c>
    </row>
    <row r="4931" spans="1:4">
      <c r="A4931" s="62">
        <v>45246</v>
      </c>
      <c r="B4931" s="26" t="s">
        <v>8036</v>
      </c>
      <c r="C4931" s="26" t="s">
        <v>8035</v>
      </c>
      <c r="D4931" s="26" t="s">
        <v>5</v>
      </c>
    </row>
    <row r="4932" spans="1:4">
      <c r="A4932" s="32">
        <v>45246</v>
      </c>
      <c r="B4932" s="31" t="s">
        <v>8044</v>
      </c>
      <c r="C4932" s="19" t="s">
        <v>8043</v>
      </c>
      <c r="D4932" s="19" t="s">
        <v>109</v>
      </c>
    </row>
    <row r="4933" spans="1:4">
      <c r="A4933" s="32">
        <v>45246</v>
      </c>
      <c r="B4933" s="31" t="s">
        <v>8045</v>
      </c>
      <c r="C4933" s="19" t="s">
        <v>2903</v>
      </c>
      <c r="D4933" s="19" t="s">
        <v>29</v>
      </c>
    </row>
    <row r="4934" spans="1:4">
      <c r="A4934" s="32">
        <v>45246</v>
      </c>
      <c r="B4934" s="31" t="s">
        <v>8047</v>
      </c>
      <c r="C4934" s="19" t="s">
        <v>8046</v>
      </c>
      <c r="D4934" s="19" t="s">
        <v>109</v>
      </c>
    </row>
    <row r="4935" spans="1:4">
      <c r="A4935" s="32">
        <v>45250</v>
      </c>
      <c r="B4935" s="31" t="s">
        <v>8049</v>
      </c>
      <c r="C4935" s="19" t="s">
        <v>8048</v>
      </c>
      <c r="D4935" s="19" t="s">
        <v>74</v>
      </c>
    </row>
    <row r="4936" spans="1:4">
      <c r="A4936" s="32">
        <v>45247</v>
      </c>
      <c r="B4936" s="31" t="s">
        <v>8051</v>
      </c>
      <c r="C4936" s="19" t="s">
        <v>8050</v>
      </c>
      <c r="D4936" s="19" t="s">
        <v>8</v>
      </c>
    </row>
    <row r="4937" spans="1:4">
      <c r="A4937" s="32">
        <v>45248</v>
      </c>
      <c r="B4937" s="31" t="s">
        <v>8053</v>
      </c>
      <c r="C4937" s="19" t="s">
        <v>8052</v>
      </c>
      <c r="D4937" s="19" t="s">
        <v>34</v>
      </c>
    </row>
    <row r="4938" spans="1:4">
      <c r="A4938" s="32">
        <v>45253</v>
      </c>
      <c r="B4938" s="31" t="s">
        <v>8055</v>
      </c>
      <c r="C4938" s="19" t="s">
        <v>8054</v>
      </c>
      <c r="D4938" s="19" t="s">
        <v>74</v>
      </c>
    </row>
    <row r="4939" spans="1:4">
      <c r="A4939" s="32">
        <v>45253</v>
      </c>
      <c r="B4939" s="31" t="s">
        <v>8057</v>
      </c>
      <c r="C4939" s="19" t="s">
        <v>8056</v>
      </c>
      <c r="D4939" s="19" t="s">
        <v>74</v>
      </c>
    </row>
    <row r="4940" spans="1:4">
      <c r="A4940" s="32">
        <v>45247</v>
      </c>
      <c r="B4940" s="31" t="s">
        <v>8059</v>
      </c>
      <c r="C4940" s="19" t="s">
        <v>8058</v>
      </c>
      <c r="D4940" s="19" t="s">
        <v>19</v>
      </c>
    </row>
    <row r="4941" spans="1:4">
      <c r="A4941" s="32">
        <v>45253</v>
      </c>
      <c r="B4941" s="31" t="s">
        <v>8061</v>
      </c>
      <c r="C4941" s="19" t="s">
        <v>8060</v>
      </c>
      <c r="D4941" s="19" t="s">
        <v>74</v>
      </c>
    </row>
    <row r="4942" spans="1:4">
      <c r="A4942" s="32">
        <v>45252</v>
      </c>
      <c r="B4942" s="31" t="s">
        <v>8063</v>
      </c>
      <c r="C4942" s="19" t="s">
        <v>8062</v>
      </c>
      <c r="D4942" s="19" t="s">
        <v>11</v>
      </c>
    </row>
    <row r="4943" spans="1:4">
      <c r="A4943" s="32">
        <v>45246</v>
      </c>
      <c r="B4943" s="31" t="s">
        <v>8065</v>
      </c>
      <c r="C4943" s="19" t="s">
        <v>8064</v>
      </c>
      <c r="D4943" s="19" t="s">
        <v>109</v>
      </c>
    </row>
    <row r="4944" spans="1:4">
      <c r="A4944" s="32">
        <v>45247</v>
      </c>
      <c r="B4944" s="31" t="s">
        <v>8067</v>
      </c>
      <c r="C4944" s="19" t="s">
        <v>8066</v>
      </c>
      <c r="D4944" s="19" t="s">
        <v>109</v>
      </c>
    </row>
    <row r="4945" spans="1:4">
      <c r="A4945" s="32">
        <v>45247</v>
      </c>
      <c r="B4945" s="31" t="s">
        <v>8068</v>
      </c>
      <c r="C4945" s="19" t="s">
        <v>3533</v>
      </c>
      <c r="D4945" s="19" t="s">
        <v>109</v>
      </c>
    </row>
    <row r="4946" spans="1:4">
      <c r="A4946" s="32">
        <v>45247</v>
      </c>
      <c r="B4946" s="31" t="s">
        <v>8070</v>
      </c>
      <c r="C4946" s="19" t="s">
        <v>8069</v>
      </c>
      <c r="D4946" s="19" t="s">
        <v>16</v>
      </c>
    </row>
    <row r="4947" spans="1:4">
      <c r="A4947" s="32">
        <v>45250</v>
      </c>
      <c r="B4947" s="31" t="s">
        <v>8072</v>
      </c>
      <c r="C4947" s="19" t="s">
        <v>8071</v>
      </c>
      <c r="D4947" s="19" t="s">
        <v>34</v>
      </c>
    </row>
    <row r="4948" spans="1:4">
      <c r="A4948" s="32">
        <v>45250</v>
      </c>
      <c r="B4948" s="31" t="s">
        <v>8074</v>
      </c>
      <c r="C4948" s="19" t="s">
        <v>8073</v>
      </c>
      <c r="D4948" s="19" t="s">
        <v>34</v>
      </c>
    </row>
    <row r="4949" spans="1:4">
      <c r="A4949" s="32">
        <v>45252</v>
      </c>
      <c r="B4949" s="31" t="s">
        <v>8076</v>
      </c>
      <c r="C4949" s="19" t="s">
        <v>8075</v>
      </c>
      <c r="D4949" s="19" t="s">
        <v>29</v>
      </c>
    </row>
    <row r="4950" spans="1:4">
      <c r="A4950" s="32">
        <v>45252</v>
      </c>
      <c r="B4950" s="31" t="s">
        <v>8078</v>
      </c>
      <c r="C4950" s="19" t="s">
        <v>8077</v>
      </c>
      <c r="D4950" s="19" t="s">
        <v>29</v>
      </c>
    </row>
    <row r="4951" spans="1:4">
      <c r="A4951" s="32">
        <v>45246</v>
      </c>
      <c r="B4951" s="19" t="s">
        <v>8080</v>
      </c>
      <c r="C4951" s="19" t="s">
        <v>8079</v>
      </c>
      <c r="D4951" s="19" t="s">
        <v>510</v>
      </c>
    </row>
    <row r="4952" spans="1:4">
      <c r="A4952" s="32">
        <v>45251</v>
      </c>
      <c r="B4952" s="19" t="s">
        <v>8082</v>
      </c>
      <c r="C4952" s="19" t="s">
        <v>8081</v>
      </c>
      <c r="D4952" s="19" t="s">
        <v>29</v>
      </c>
    </row>
    <row r="4953" spans="1:4">
      <c r="A4953" s="32">
        <v>45248</v>
      </c>
      <c r="B4953" s="19" t="s">
        <v>8084</v>
      </c>
      <c r="C4953" s="19" t="s">
        <v>8083</v>
      </c>
      <c r="D4953" s="19" t="s">
        <v>109</v>
      </c>
    </row>
    <row r="4954" spans="1:4">
      <c r="A4954" s="32">
        <v>45246</v>
      </c>
      <c r="B4954" s="19" t="s">
        <v>8080</v>
      </c>
      <c r="C4954" s="19" t="s">
        <v>8085</v>
      </c>
      <c r="D4954" s="19" t="s">
        <v>510</v>
      </c>
    </row>
    <row r="4955" spans="1:4">
      <c r="A4955" s="32">
        <v>45250</v>
      </c>
      <c r="B4955" s="19" t="s">
        <v>8087</v>
      </c>
      <c r="C4955" s="19" t="s">
        <v>8086</v>
      </c>
      <c r="D4955" s="19" t="s">
        <v>109</v>
      </c>
    </row>
    <row r="4956" spans="1:4">
      <c r="A4956" s="32">
        <v>45247</v>
      </c>
      <c r="B4956" s="19" t="s">
        <v>8089</v>
      </c>
      <c r="C4956" s="19" t="s">
        <v>8088</v>
      </c>
      <c r="D4956" s="19" t="s">
        <v>5</v>
      </c>
    </row>
    <row r="4957" spans="1:4">
      <c r="A4957" s="32">
        <v>45252</v>
      </c>
      <c r="B4957" s="19" t="s">
        <v>8091</v>
      </c>
      <c r="C4957" s="19" t="s">
        <v>8090</v>
      </c>
      <c r="D4957" s="19" t="s">
        <v>29</v>
      </c>
    </row>
    <row r="4958" spans="1:4">
      <c r="A4958" s="32">
        <v>45250</v>
      </c>
      <c r="B4958" s="19" t="s">
        <v>8093</v>
      </c>
      <c r="C4958" s="19" t="s">
        <v>8092</v>
      </c>
      <c r="D4958" s="19" t="s">
        <v>34</v>
      </c>
    </row>
    <row r="4959" spans="1:4">
      <c r="A4959" s="32">
        <v>45246</v>
      </c>
      <c r="B4959" s="19" t="s">
        <v>8094</v>
      </c>
      <c r="C4959" s="19" t="s">
        <v>2856</v>
      </c>
      <c r="D4959" s="19" t="s">
        <v>5</v>
      </c>
    </row>
    <row r="4960" spans="1:4">
      <c r="A4960" s="32">
        <v>45246</v>
      </c>
      <c r="B4960" s="19" t="s">
        <v>8096</v>
      </c>
      <c r="C4960" s="19" t="s">
        <v>8095</v>
      </c>
      <c r="D4960" s="19" t="s">
        <v>5</v>
      </c>
    </row>
    <row r="4961" spans="1:4">
      <c r="A4961" s="32">
        <v>45240</v>
      </c>
      <c r="B4961" s="19" t="s">
        <v>8098</v>
      </c>
      <c r="C4961" s="19" t="s">
        <v>8097</v>
      </c>
      <c r="D4961" s="19" t="s">
        <v>11</v>
      </c>
    </row>
    <row r="4962" spans="1:4">
      <c r="A4962" s="32">
        <v>45243</v>
      </c>
      <c r="B4962" s="19" t="s">
        <v>8100</v>
      </c>
      <c r="C4962" s="19" t="s">
        <v>8099</v>
      </c>
      <c r="D4962" s="19" t="s">
        <v>74</v>
      </c>
    </row>
    <row r="4963" spans="1:4">
      <c r="A4963" s="32">
        <v>45239</v>
      </c>
      <c r="B4963" s="19" t="s">
        <v>8102</v>
      </c>
      <c r="C4963" s="19" t="s">
        <v>8101</v>
      </c>
      <c r="D4963" s="19" t="s">
        <v>74</v>
      </c>
    </row>
    <row r="4964" spans="1:4">
      <c r="A4964" s="32">
        <v>45248</v>
      </c>
      <c r="B4964" s="19" t="s">
        <v>8104</v>
      </c>
      <c r="C4964" s="19" t="s">
        <v>8103</v>
      </c>
      <c r="D4964" s="19" t="s">
        <v>34</v>
      </c>
    </row>
    <row r="4965" spans="1:4">
      <c r="A4965" s="32">
        <v>45243</v>
      </c>
      <c r="B4965" s="19" t="s">
        <v>8106</v>
      </c>
      <c r="C4965" s="19" t="s">
        <v>8105</v>
      </c>
      <c r="D4965" s="19" t="s">
        <v>109</v>
      </c>
    </row>
    <row r="4966" spans="1:4">
      <c r="A4966" s="32">
        <v>45247</v>
      </c>
      <c r="B4966" s="19" t="s">
        <v>8108</v>
      </c>
      <c r="C4966" s="19" t="s">
        <v>8107</v>
      </c>
      <c r="D4966" s="19" t="s">
        <v>8</v>
      </c>
    </row>
    <row r="4967" spans="1:4">
      <c r="A4967" s="32">
        <v>45246</v>
      </c>
      <c r="B4967" s="19" t="s">
        <v>8110</v>
      </c>
      <c r="C4967" s="19" t="s">
        <v>8109</v>
      </c>
      <c r="D4967" s="19" t="s">
        <v>16</v>
      </c>
    </row>
    <row r="4968" spans="1:4">
      <c r="A4968" s="32">
        <v>45250</v>
      </c>
      <c r="B4968" s="19" t="s">
        <v>8112</v>
      </c>
      <c r="C4968" s="19" t="s">
        <v>8111</v>
      </c>
      <c r="D4968" s="19" t="s">
        <v>19</v>
      </c>
    </row>
    <row r="4969" spans="1:4">
      <c r="A4969" s="32">
        <v>45247</v>
      </c>
      <c r="B4969" s="19" t="s">
        <v>8108</v>
      </c>
      <c r="C4969" s="19" t="s">
        <v>8107</v>
      </c>
      <c r="D4969" s="19" t="s">
        <v>8</v>
      </c>
    </row>
    <row r="4970" spans="1:4">
      <c r="A4970" s="62">
        <v>45229</v>
      </c>
      <c r="B4970" s="26" t="s">
        <v>8114</v>
      </c>
      <c r="C4970" s="26" t="s">
        <v>8113</v>
      </c>
      <c r="D4970" s="26" t="s">
        <v>109</v>
      </c>
    </row>
    <row r="4971" spans="1:4">
      <c r="A4971" s="62">
        <v>45240</v>
      </c>
      <c r="B4971" s="24"/>
      <c r="C4971" s="26" t="s">
        <v>8115</v>
      </c>
      <c r="D4971" s="26" t="s">
        <v>29</v>
      </c>
    </row>
    <row r="4972" spans="1:4">
      <c r="A4972" s="62">
        <v>45240</v>
      </c>
      <c r="B4972" s="26" t="s">
        <v>8117</v>
      </c>
      <c r="C4972" s="26" t="s">
        <v>8116</v>
      </c>
      <c r="D4972" s="26" t="s">
        <v>109</v>
      </c>
    </row>
    <row r="4973" spans="1:4">
      <c r="A4973" s="62">
        <v>45225</v>
      </c>
      <c r="B4973" s="26" t="s">
        <v>8119</v>
      </c>
      <c r="C4973" s="26" t="s">
        <v>8118</v>
      </c>
      <c r="D4973" s="26" t="s">
        <v>109</v>
      </c>
    </row>
    <row r="4974" spans="1:4">
      <c r="A4974" s="62">
        <v>45239</v>
      </c>
      <c r="B4974" s="26" t="s">
        <v>8121</v>
      </c>
      <c r="C4974" s="26" t="s">
        <v>8120</v>
      </c>
      <c r="D4974" s="26" t="s">
        <v>109</v>
      </c>
    </row>
    <row r="4975" spans="1:4">
      <c r="A4975" s="62">
        <v>45233</v>
      </c>
      <c r="B4975" s="26" t="s">
        <v>8122</v>
      </c>
      <c r="C4975" s="26" t="s">
        <v>7712</v>
      </c>
      <c r="D4975" s="26" t="s">
        <v>164</v>
      </c>
    </row>
    <row r="4976" spans="1:4">
      <c r="A4976" s="62">
        <v>45233</v>
      </c>
      <c r="B4976" s="26" t="s">
        <v>8122</v>
      </c>
      <c r="C4976" s="26" t="s">
        <v>7712</v>
      </c>
      <c r="D4976" s="26" t="s">
        <v>164</v>
      </c>
    </row>
    <row r="4977" spans="1:4">
      <c r="A4977" s="62">
        <v>45229</v>
      </c>
      <c r="B4977" s="26" t="s">
        <v>8124</v>
      </c>
      <c r="C4977" s="26" t="s">
        <v>8123</v>
      </c>
      <c r="D4977" s="26" t="s">
        <v>109</v>
      </c>
    </row>
    <row r="4978" spans="1:4">
      <c r="A4978" s="62">
        <v>45226</v>
      </c>
      <c r="B4978" s="26" t="s">
        <v>8126</v>
      </c>
      <c r="C4978" s="26" t="s">
        <v>8125</v>
      </c>
      <c r="D4978" s="26" t="s">
        <v>5</v>
      </c>
    </row>
    <row r="4979" spans="1:4">
      <c r="A4979" s="62">
        <v>45229</v>
      </c>
      <c r="B4979" s="26" t="s">
        <v>8128</v>
      </c>
      <c r="C4979" s="26" t="s">
        <v>8127</v>
      </c>
      <c r="D4979" s="26" t="s">
        <v>109</v>
      </c>
    </row>
    <row r="4980" spans="1:4">
      <c r="A4980" s="62">
        <v>45232</v>
      </c>
      <c r="B4980" s="26" t="s">
        <v>8130</v>
      </c>
      <c r="C4980" s="26" t="s">
        <v>8129</v>
      </c>
      <c r="D4980" s="26" t="s">
        <v>109</v>
      </c>
    </row>
    <row r="4981" spans="1:4">
      <c r="A4981" s="62">
        <v>45234</v>
      </c>
      <c r="B4981" s="26" t="s">
        <v>8132</v>
      </c>
      <c r="C4981" s="26" t="s">
        <v>8131</v>
      </c>
      <c r="D4981" s="26" t="s">
        <v>5</v>
      </c>
    </row>
    <row r="4982" spans="1:4">
      <c r="A4982" s="62">
        <v>45225</v>
      </c>
      <c r="B4982" s="26" t="s">
        <v>8134</v>
      </c>
      <c r="C4982" s="26" t="s">
        <v>8133</v>
      </c>
      <c r="D4982" s="26" t="s">
        <v>109</v>
      </c>
    </row>
    <row r="4983" spans="1:4">
      <c r="A4983" s="62">
        <v>45227</v>
      </c>
      <c r="B4983" s="26" t="s">
        <v>8136</v>
      </c>
      <c r="C4983" s="26" t="s">
        <v>8135</v>
      </c>
      <c r="D4983" s="26" t="s">
        <v>5</v>
      </c>
    </row>
    <row r="4984" spans="1:4">
      <c r="A4984" s="62">
        <v>45229</v>
      </c>
      <c r="B4984" s="26" t="s">
        <v>8137</v>
      </c>
      <c r="C4984" s="26" t="s">
        <v>8135</v>
      </c>
      <c r="D4984" s="26" t="s">
        <v>5</v>
      </c>
    </row>
    <row r="4985" spans="1:4">
      <c r="A4985" s="62">
        <v>45231</v>
      </c>
      <c r="B4985" s="26" t="s">
        <v>8139</v>
      </c>
      <c r="C4985" s="26" t="s">
        <v>8138</v>
      </c>
      <c r="D4985" s="26" t="s">
        <v>5</v>
      </c>
    </row>
    <row r="4986" spans="1:4">
      <c r="A4986" s="62">
        <v>45232</v>
      </c>
      <c r="B4986" s="26" t="s">
        <v>8141</v>
      </c>
      <c r="C4986" s="26" t="s">
        <v>8140</v>
      </c>
      <c r="D4986" s="26" t="s">
        <v>109</v>
      </c>
    </row>
    <row r="4987" spans="1:4">
      <c r="A4987" s="62">
        <v>45229</v>
      </c>
      <c r="B4987" s="26" t="s">
        <v>8143</v>
      </c>
      <c r="C4987" s="26" t="s">
        <v>8142</v>
      </c>
      <c r="D4987" s="26" t="s">
        <v>5</v>
      </c>
    </row>
    <row r="4988" spans="1:4">
      <c r="A4988" s="62">
        <v>45231</v>
      </c>
      <c r="B4988" s="26" t="s">
        <v>8139</v>
      </c>
      <c r="C4988" s="26" t="s">
        <v>8138</v>
      </c>
      <c r="D4988" s="26" t="s">
        <v>5</v>
      </c>
    </row>
    <row r="4989" spans="1:4">
      <c r="A4989" s="62">
        <v>45229</v>
      </c>
      <c r="B4989" s="26" t="s">
        <v>8124</v>
      </c>
      <c r="C4989" s="26" t="s">
        <v>8123</v>
      </c>
      <c r="D4989" s="26" t="s">
        <v>109</v>
      </c>
    </row>
    <row r="4990" spans="1:4">
      <c r="A4990" s="62">
        <v>45229</v>
      </c>
      <c r="B4990" s="26" t="s">
        <v>8145</v>
      </c>
      <c r="C4990" s="26" t="s">
        <v>8144</v>
      </c>
      <c r="D4990" s="26" t="s">
        <v>109</v>
      </c>
    </row>
    <row r="4991" spans="1:4">
      <c r="A4991" s="62">
        <v>45225</v>
      </c>
      <c r="B4991" s="26" t="s">
        <v>8147</v>
      </c>
      <c r="C4991" s="26" t="s">
        <v>8146</v>
      </c>
      <c r="D4991" s="26" t="s">
        <v>5</v>
      </c>
    </row>
    <row r="4992" spans="1:4">
      <c r="A4992" s="62">
        <v>45225</v>
      </c>
      <c r="B4992" s="26" t="s">
        <v>8148</v>
      </c>
      <c r="C4992" s="26" t="s">
        <v>8146</v>
      </c>
      <c r="D4992" s="26" t="s">
        <v>5</v>
      </c>
    </row>
    <row r="4993" spans="1:4">
      <c r="A4993" s="62">
        <v>45225</v>
      </c>
      <c r="B4993" s="26" t="s">
        <v>8150</v>
      </c>
      <c r="C4993" s="26" t="s">
        <v>8149</v>
      </c>
      <c r="D4993" s="26" t="s">
        <v>109</v>
      </c>
    </row>
    <row r="4994" spans="1:4">
      <c r="A4994" s="62">
        <v>45226</v>
      </c>
      <c r="B4994" s="26" t="s">
        <v>8152</v>
      </c>
      <c r="C4994" s="26" t="s">
        <v>8151</v>
      </c>
      <c r="D4994" s="26" t="s">
        <v>74</v>
      </c>
    </row>
    <row r="4995" spans="1:4">
      <c r="A4995" s="62">
        <v>45226</v>
      </c>
      <c r="B4995" s="26" t="s">
        <v>8154</v>
      </c>
      <c r="C4995" s="26" t="s">
        <v>8153</v>
      </c>
      <c r="D4995" s="26" t="s">
        <v>74</v>
      </c>
    </row>
    <row r="4996" spans="1:4">
      <c r="A4996" s="62">
        <v>45225</v>
      </c>
      <c r="B4996" s="26" t="s">
        <v>8156</v>
      </c>
      <c r="C4996" s="26" t="s">
        <v>8155</v>
      </c>
      <c r="D4996" s="26" t="s">
        <v>109</v>
      </c>
    </row>
    <row r="4997" spans="1:4">
      <c r="A4997" s="62">
        <v>45230</v>
      </c>
      <c r="B4997" s="26" t="s">
        <v>8158</v>
      </c>
      <c r="C4997" s="26" t="s">
        <v>8157</v>
      </c>
      <c r="D4997" s="26" t="s">
        <v>109</v>
      </c>
    </row>
    <row r="4998" spans="1:4">
      <c r="A4998" s="62">
        <v>45232</v>
      </c>
      <c r="B4998" s="26" t="s">
        <v>8160</v>
      </c>
      <c r="C4998" s="26" t="s">
        <v>8159</v>
      </c>
      <c r="D4998" s="26" t="s">
        <v>109</v>
      </c>
    </row>
    <row r="4999" spans="1:4">
      <c r="A4999" s="62">
        <v>45227</v>
      </c>
      <c r="B4999" s="26" t="s">
        <v>8136</v>
      </c>
      <c r="C4999" s="26" t="s">
        <v>8135</v>
      </c>
      <c r="D4999" s="26" t="s">
        <v>5</v>
      </c>
    </row>
    <row r="5000" spans="1:4">
      <c r="A5000" s="64">
        <v>45231</v>
      </c>
      <c r="B5000" s="29" t="s">
        <v>8139</v>
      </c>
      <c r="C5000" s="29" t="s">
        <v>8138</v>
      </c>
      <c r="D5000" s="29" t="s">
        <v>5</v>
      </c>
    </row>
    <row r="5001" spans="1:4">
      <c r="A5001" s="62">
        <v>45233</v>
      </c>
      <c r="B5001" s="26" t="s">
        <v>8162</v>
      </c>
      <c r="C5001" s="26" t="s">
        <v>8161</v>
      </c>
      <c r="D5001" s="26" t="s">
        <v>141</v>
      </c>
    </row>
    <row r="5002" spans="1:4">
      <c r="A5002" s="62">
        <v>45234</v>
      </c>
      <c r="B5002" s="26" t="s">
        <v>8164</v>
      </c>
      <c r="C5002" s="26" t="s">
        <v>8163</v>
      </c>
      <c r="D5002" s="26" t="s">
        <v>74</v>
      </c>
    </row>
    <row r="5003" spans="1:4">
      <c r="A5003" s="62">
        <v>45232</v>
      </c>
      <c r="B5003" s="26" t="s">
        <v>8166</v>
      </c>
      <c r="C5003" s="26" t="s">
        <v>8165</v>
      </c>
      <c r="D5003" s="26" t="s">
        <v>109</v>
      </c>
    </row>
    <row r="5004" spans="1:4">
      <c r="A5004" s="62">
        <v>45234</v>
      </c>
      <c r="B5004" s="26" t="s">
        <v>8132</v>
      </c>
      <c r="C5004" s="26" t="s">
        <v>8131</v>
      </c>
      <c r="D5004" s="26" t="s">
        <v>5</v>
      </c>
    </row>
    <row r="5005" spans="1:4">
      <c r="A5005" s="62">
        <v>45239</v>
      </c>
      <c r="B5005" s="26" t="s">
        <v>8168</v>
      </c>
      <c r="C5005" s="26" t="s">
        <v>8167</v>
      </c>
      <c r="D5005" s="26" t="s">
        <v>5</v>
      </c>
    </row>
    <row r="5006" spans="1:4">
      <c r="A5006" s="62">
        <v>45237</v>
      </c>
      <c r="B5006" s="26" t="s">
        <v>8170</v>
      </c>
      <c r="C5006" s="26" t="s">
        <v>8169</v>
      </c>
      <c r="D5006" s="26" t="s">
        <v>5</v>
      </c>
    </row>
    <row r="5007" spans="1:4">
      <c r="A5007" s="62">
        <v>45236</v>
      </c>
      <c r="B5007" s="26" t="s">
        <v>8172</v>
      </c>
      <c r="C5007" s="26" t="s">
        <v>8171</v>
      </c>
      <c r="D5007" s="26" t="s">
        <v>5</v>
      </c>
    </row>
    <row r="5008" spans="1:4">
      <c r="A5008" s="62">
        <v>45236</v>
      </c>
      <c r="B5008" s="26" t="s">
        <v>6552</v>
      </c>
      <c r="C5008" s="26" t="s">
        <v>7902</v>
      </c>
      <c r="D5008" s="26" t="s">
        <v>5</v>
      </c>
    </row>
    <row r="5009" spans="1:4">
      <c r="A5009" s="62">
        <v>45241</v>
      </c>
      <c r="B5009" s="26" t="s">
        <v>8174</v>
      </c>
      <c r="C5009" s="26" t="s">
        <v>8173</v>
      </c>
      <c r="D5009" s="26" t="s">
        <v>5</v>
      </c>
    </row>
    <row r="5010" spans="1:4">
      <c r="A5010" s="62">
        <v>45239</v>
      </c>
      <c r="B5010" s="26" t="s">
        <v>8176</v>
      </c>
      <c r="C5010" s="26" t="s">
        <v>8175</v>
      </c>
      <c r="D5010" s="26" t="s">
        <v>5</v>
      </c>
    </row>
    <row r="5011" spans="1:4">
      <c r="A5011" s="62">
        <v>45239</v>
      </c>
      <c r="B5011" s="26" t="s">
        <v>8177</v>
      </c>
      <c r="C5011" s="26" t="s">
        <v>7912</v>
      </c>
      <c r="D5011" s="26" t="s">
        <v>5</v>
      </c>
    </row>
    <row r="5012" spans="1:4">
      <c r="A5012" s="62">
        <v>45238</v>
      </c>
      <c r="B5012" s="26" t="s">
        <v>8179</v>
      </c>
      <c r="C5012" s="26" t="s">
        <v>8178</v>
      </c>
      <c r="D5012" s="26" t="s">
        <v>216</v>
      </c>
    </row>
    <row r="5013" spans="1:4">
      <c r="A5013" s="62">
        <v>45237</v>
      </c>
      <c r="B5013" s="26" t="s">
        <v>8170</v>
      </c>
      <c r="C5013" s="26" t="s">
        <v>8169</v>
      </c>
      <c r="D5013" s="26" t="s">
        <v>5</v>
      </c>
    </row>
    <row r="5014" spans="1:4">
      <c r="A5014" s="62">
        <v>45237</v>
      </c>
      <c r="B5014" s="26" t="s">
        <v>8181</v>
      </c>
      <c r="C5014" s="26" t="s">
        <v>8180</v>
      </c>
      <c r="D5014" s="26" t="s">
        <v>5</v>
      </c>
    </row>
    <row r="5015" spans="1:4">
      <c r="A5015" s="62">
        <v>45238</v>
      </c>
      <c r="B5015" s="26" t="s">
        <v>8183</v>
      </c>
      <c r="C5015" s="26" t="s">
        <v>8182</v>
      </c>
      <c r="D5015" s="26" t="s">
        <v>345</v>
      </c>
    </row>
    <row r="5016" spans="1:4">
      <c r="A5016" s="62">
        <v>45237</v>
      </c>
      <c r="B5016" s="26" t="s">
        <v>7903</v>
      </c>
      <c r="C5016" s="26" t="s">
        <v>7902</v>
      </c>
      <c r="D5016" s="26" t="s">
        <v>5</v>
      </c>
    </row>
    <row r="5017" spans="1:4">
      <c r="A5017" s="62">
        <v>45236</v>
      </c>
      <c r="B5017" s="26" t="s">
        <v>8185</v>
      </c>
      <c r="C5017" s="26" t="s">
        <v>8184</v>
      </c>
      <c r="D5017" s="26" t="s">
        <v>5</v>
      </c>
    </row>
    <row r="5018" spans="1:4">
      <c r="A5018" s="62">
        <v>45236</v>
      </c>
      <c r="B5018" s="26" t="s">
        <v>8172</v>
      </c>
      <c r="C5018" s="26" t="s">
        <v>8171</v>
      </c>
      <c r="D5018" s="26" t="s">
        <v>5</v>
      </c>
    </row>
    <row r="5019" spans="1:4">
      <c r="A5019" s="62">
        <v>45237</v>
      </c>
      <c r="B5019" s="26" t="s">
        <v>8187</v>
      </c>
      <c r="C5019" s="26" t="s">
        <v>8186</v>
      </c>
      <c r="D5019" s="26" t="s">
        <v>109</v>
      </c>
    </row>
    <row r="5020" spans="1:4">
      <c r="A5020" s="62">
        <v>45241</v>
      </c>
      <c r="B5020" s="26" t="s">
        <v>8174</v>
      </c>
      <c r="C5020" s="26" t="s">
        <v>8173</v>
      </c>
      <c r="D5020" s="26" t="s">
        <v>5</v>
      </c>
    </row>
    <row r="5021" spans="1:4">
      <c r="A5021" s="62">
        <v>45237</v>
      </c>
      <c r="B5021" s="26" t="s">
        <v>8181</v>
      </c>
      <c r="C5021" s="26" t="s">
        <v>8180</v>
      </c>
      <c r="D5021" s="26" t="s">
        <v>5</v>
      </c>
    </row>
    <row r="5022" spans="1:4">
      <c r="A5022" s="62">
        <v>45241</v>
      </c>
      <c r="B5022" s="26" t="s">
        <v>8132</v>
      </c>
      <c r="C5022" s="26" t="s">
        <v>8131</v>
      </c>
      <c r="D5022" s="26" t="s">
        <v>5</v>
      </c>
    </row>
    <row r="5023" spans="1:4">
      <c r="A5023" s="62">
        <v>45244</v>
      </c>
      <c r="B5023" s="26" t="s">
        <v>8188</v>
      </c>
      <c r="C5023" s="26" t="s">
        <v>8138</v>
      </c>
      <c r="D5023" s="26" t="s">
        <v>5</v>
      </c>
    </row>
    <row r="5024" spans="1:4">
      <c r="A5024" s="62">
        <v>45243</v>
      </c>
      <c r="B5024" s="26" t="s">
        <v>8190</v>
      </c>
      <c r="C5024" s="26" t="s">
        <v>8189</v>
      </c>
      <c r="D5024" s="26" t="s">
        <v>5</v>
      </c>
    </row>
    <row r="5025" spans="1:4">
      <c r="A5025" s="62">
        <v>45244</v>
      </c>
      <c r="B5025" s="26" t="s">
        <v>8192</v>
      </c>
      <c r="C5025" s="26" t="s">
        <v>8191</v>
      </c>
      <c r="D5025" s="26" t="s">
        <v>5</v>
      </c>
    </row>
    <row r="5026" spans="1:4">
      <c r="A5026" s="61">
        <v>45237</v>
      </c>
      <c r="B5026" s="36" t="s">
        <v>8194</v>
      </c>
      <c r="C5026" s="36" t="s">
        <v>8193</v>
      </c>
      <c r="D5026" s="36" t="s">
        <v>29</v>
      </c>
    </row>
    <row r="5027" spans="1:4">
      <c r="A5027" s="61">
        <v>45243</v>
      </c>
      <c r="B5027" s="36" t="s">
        <v>8196</v>
      </c>
      <c r="C5027" s="36" t="s">
        <v>8195</v>
      </c>
      <c r="D5027" s="36" t="s">
        <v>29</v>
      </c>
    </row>
    <row r="5028" spans="1:4">
      <c r="A5028" s="61">
        <v>45204</v>
      </c>
      <c r="B5028" s="36" t="s">
        <v>3373</v>
      </c>
      <c r="C5028" s="36" t="s">
        <v>3372</v>
      </c>
      <c r="D5028" s="36" t="s">
        <v>74</v>
      </c>
    </row>
    <row r="5029" spans="1:4">
      <c r="A5029" s="61">
        <v>45245</v>
      </c>
      <c r="B5029" s="36" t="s">
        <v>8197</v>
      </c>
      <c r="C5029" s="36" t="s">
        <v>91</v>
      </c>
      <c r="D5029" s="36" t="s">
        <v>81</v>
      </c>
    </row>
    <row r="5030" spans="1:4">
      <c r="A5030" s="61">
        <v>45245</v>
      </c>
      <c r="B5030" s="36" t="s">
        <v>8198</v>
      </c>
      <c r="C5030" s="36" t="s">
        <v>1831</v>
      </c>
      <c r="D5030" s="36" t="s">
        <v>81</v>
      </c>
    </row>
    <row r="5031" spans="1:4">
      <c r="A5031" s="61">
        <v>45245</v>
      </c>
      <c r="B5031" s="36" t="s">
        <v>8200</v>
      </c>
      <c r="C5031" s="36" t="s">
        <v>8199</v>
      </c>
      <c r="D5031" s="36" t="s">
        <v>81</v>
      </c>
    </row>
    <row r="5032" spans="1:4">
      <c r="A5032" s="61">
        <v>45245</v>
      </c>
      <c r="B5032" s="36" t="s">
        <v>8200</v>
      </c>
      <c r="C5032" s="36" t="s">
        <v>8199</v>
      </c>
      <c r="D5032" s="36" t="s">
        <v>81</v>
      </c>
    </row>
    <row r="5033" spans="1:4">
      <c r="A5033" s="61">
        <v>45244</v>
      </c>
      <c r="B5033" s="36" t="s">
        <v>8201</v>
      </c>
      <c r="C5033" s="36" t="s">
        <v>7686</v>
      </c>
      <c r="D5033" s="36" t="s">
        <v>16</v>
      </c>
    </row>
    <row r="5034" spans="1:4">
      <c r="A5034" s="61">
        <v>45245</v>
      </c>
      <c r="B5034" s="36" t="s">
        <v>7972</v>
      </c>
      <c r="C5034" s="36" t="s">
        <v>7971</v>
      </c>
      <c r="D5034" s="36" t="s">
        <v>34</v>
      </c>
    </row>
    <row r="5035" spans="1:4">
      <c r="A5035" s="61">
        <v>45244</v>
      </c>
      <c r="B5035" s="36" t="s">
        <v>8203</v>
      </c>
      <c r="C5035" s="36" t="s">
        <v>8202</v>
      </c>
      <c r="D5035" s="36" t="s">
        <v>16</v>
      </c>
    </row>
    <row r="5036" spans="1:4">
      <c r="A5036" s="61">
        <v>45238</v>
      </c>
      <c r="B5036" s="36" t="s">
        <v>8205</v>
      </c>
      <c r="C5036" s="36" t="s">
        <v>8204</v>
      </c>
      <c r="D5036" s="36" t="s">
        <v>24</v>
      </c>
    </row>
    <row r="5037" spans="1:4">
      <c r="A5037" s="61">
        <v>45238</v>
      </c>
      <c r="B5037" s="36" t="s">
        <v>8207</v>
      </c>
      <c r="C5037" s="36" t="s">
        <v>8206</v>
      </c>
      <c r="D5037" s="36" t="s">
        <v>345</v>
      </c>
    </row>
    <row r="5038" spans="1:4">
      <c r="A5038" s="61">
        <v>45237</v>
      </c>
      <c r="B5038" s="36" t="s">
        <v>8209</v>
      </c>
      <c r="C5038" s="36" t="s">
        <v>8208</v>
      </c>
      <c r="D5038" s="36" t="s">
        <v>29</v>
      </c>
    </row>
    <row r="5039" spans="1:4">
      <c r="A5039" s="61">
        <v>45245</v>
      </c>
      <c r="B5039" s="36" t="s">
        <v>8210</v>
      </c>
      <c r="C5039" s="36" t="s">
        <v>91</v>
      </c>
      <c r="D5039" s="36" t="s">
        <v>81</v>
      </c>
    </row>
    <row r="5040" spans="1:4">
      <c r="A5040" s="61">
        <v>45244</v>
      </c>
      <c r="B5040" s="36" t="s">
        <v>8212</v>
      </c>
      <c r="C5040" s="36" t="s">
        <v>8211</v>
      </c>
      <c r="D5040" s="36" t="s">
        <v>16</v>
      </c>
    </row>
    <row r="5041" spans="1:4">
      <c r="A5041" s="61">
        <v>45241</v>
      </c>
      <c r="B5041" s="36" t="s">
        <v>8214</v>
      </c>
      <c r="C5041" s="36" t="s">
        <v>8213</v>
      </c>
      <c r="D5041" s="36" t="s">
        <v>5</v>
      </c>
    </row>
    <row r="5042" spans="1:4">
      <c r="A5042" s="61">
        <v>45244</v>
      </c>
      <c r="B5042" s="36" t="s">
        <v>8216</v>
      </c>
      <c r="C5042" s="36" t="s">
        <v>8215</v>
      </c>
      <c r="D5042" s="36" t="s">
        <v>5</v>
      </c>
    </row>
    <row r="5043" spans="1:4">
      <c r="A5043" s="61">
        <v>45245</v>
      </c>
      <c r="B5043" s="36" t="s">
        <v>8200</v>
      </c>
      <c r="C5043" s="36" t="s">
        <v>8199</v>
      </c>
      <c r="D5043" s="36" t="s">
        <v>81</v>
      </c>
    </row>
    <row r="5044" spans="1:4">
      <c r="A5044" s="61">
        <v>45229</v>
      </c>
      <c r="B5044" s="36" t="s">
        <v>8218</v>
      </c>
      <c r="C5044" s="36" t="s">
        <v>8217</v>
      </c>
      <c r="D5044" s="36" t="s">
        <v>74</v>
      </c>
    </row>
    <row r="5045" spans="1:4">
      <c r="A5045" s="61">
        <v>45219</v>
      </c>
      <c r="B5045" s="36" t="s">
        <v>7861</v>
      </c>
      <c r="C5045" s="36" t="s">
        <v>8219</v>
      </c>
      <c r="D5045" s="36" t="s">
        <v>11</v>
      </c>
    </row>
    <row r="5046" spans="1:4">
      <c r="A5046" s="61">
        <v>45229</v>
      </c>
      <c r="B5046" s="36" t="s">
        <v>8221</v>
      </c>
      <c r="C5046" s="36" t="s">
        <v>8220</v>
      </c>
      <c r="D5046" s="36" t="s">
        <v>74</v>
      </c>
    </row>
    <row r="5047" spans="1:4">
      <c r="A5047" s="61">
        <v>45237</v>
      </c>
      <c r="B5047" s="36" t="s">
        <v>8222</v>
      </c>
      <c r="C5047" s="36" t="s">
        <v>5593</v>
      </c>
      <c r="D5047" s="36" t="s">
        <v>141</v>
      </c>
    </row>
    <row r="5048" spans="1:4">
      <c r="A5048" s="61">
        <v>45237</v>
      </c>
      <c r="B5048" s="36" t="s">
        <v>8224</v>
      </c>
      <c r="C5048" s="36" t="s">
        <v>8223</v>
      </c>
      <c r="D5048" s="36" t="s">
        <v>141</v>
      </c>
    </row>
    <row r="5049" spans="1:4">
      <c r="A5049" s="61">
        <v>45204</v>
      </c>
      <c r="B5049" s="36" t="s">
        <v>1629</v>
      </c>
      <c r="C5049" s="36" t="s">
        <v>1628</v>
      </c>
      <c r="D5049" s="36" t="s">
        <v>109</v>
      </c>
    </row>
    <row r="5050" spans="1:4">
      <c r="A5050" s="61">
        <v>45212</v>
      </c>
      <c r="B5050" s="36" t="s">
        <v>8226</v>
      </c>
      <c r="C5050" s="36" t="s">
        <v>8225</v>
      </c>
      <c r="D5050" s="36" t="s">
        <v>8</v>
      </c>
    </row>
    <row r="5051" spans="1:4">
      <c r="A5051" s="61">
        <v>45213</v>
      </c>
      <c r="B5051" s="36" t="s">
        <v>8228</v>
      </c>
      <c r="C5051" s="36" t="s">
        <v>8227</v>
      </c>
      <c r="D5051" s="36" t="s">
        <v>74</v>
      </c>
    </row>
    <row r="5052" spans="1:4">
      <c r="A5052" s="61">
        <v>45213</v>
      </c>
      <c r="B5052" s="36" t="s">
        <v>8228</v>
      </c>
      <c r="C5052" s="36" t="s">
        <v>8227</v>
      </c>
      <c r="D5052" s="36" t="s">
        <v>74</v>
      </c>
    </row>
    <row r="5053" spans="1:4">
      <c r="A5053" s="61">
        <v>45213</v>
      </c>
      <c r="B5053" s="36" t="s">
        <v>8229</v>
      </c>
      <c r="C5053" s="36" t="s">
        <v>8227</v>
      </c>
      <c r="D5053" s="36" t="s">
        <v>74</v>
      </c>
    </row>
    <row r="5054" spans="1:4">
      <c r="A5054" s="61">
        <v>45201</v>
      </c>
      <c r="B5054" s="36" t="s">
        <v>8231</v>
      </c>
      <c r="C5054" s="36" t="s">
        <v>8230</v>
      </c>
      <c r="D5054" s="36" t="s">
        <v>74</v>
      </c>
    </row>
    <row r="5055" spans="1:4">
      <c r="A5055" s="61">
        <v>45205</v>
      </c>
      <c r="B5055" s="36" t="s">
        <v>1651</v>
      </c>
      <c r="C5055" s="36" t="s">
        <v>1650</v>
      </c>
      <c r="D5055" s="36" t="s">
        <v>34</v>
      </c>
    </row>
    <row r="5056" spans="1:4">
      <c r="A5056" s="61">
        <v>45218</v>
      </c>
      <c r="B5056" s="36" t="s">
        <v>8233</v>
      </c>
      <c r="C5056" s="36" t="s">
        <v>8232</v>
      </c>
      <c r="D5056" s="36" t="s">
        <v>11</v>
      </c>
    </row>
    <row r="5057" spans="1:4">
      <c r="A5057" s="61">
        <v>45201</v>
      </c>
      <c r="B5057" s="36" t="s">
        <v>8231</v>
      </c>
      <c r="C5057" s="36" t="s">
        <v>8234</v>
      </c>
      <c r="D5057" s="36" t="s">
        <v>74</v>
      </c>
    </row>
    <row r="5058" spans="1:4">
      <c r="A5058" s="61">
        <v>45238</v>
      </c>
      <c r="B5058" s="36" t="s">
        <v>8236</v>
      </c>
      <c r="C5058" s="36" t="s">
        <v>8235</v>
      </c>
      <c r="D5058" s="36" t="s">
        <v>8</v>
      </c>
    </row>
    <row r="5059" spans="1:4">
      <c r="A5059" s="61">
        <v>45233</v>
      </c>
      <c r="B5059" s="36" t="s">
        <v>8237</v>
      </c>
      <c r="C5059" s="36" t="s">
        <v>3310</v>
      </c>
      <c r="D5059" s="36" t="s">
        <v>5</v>
      </c>
    </row>
    <row r="5060" spans="1:4">
      <c r="A5060" s="61">
        <v>45238</v>
      </c>
      <c r="B5060" s="36" t="s">
        <v>8239</v>
      </c>
      <c r="C5060" s="36" t="s">
        <v>8238</v>
      </c>
      <c r="D5060" s="36" t="s">
        <v>24</v>
      </c>
    </row>
    <row r="5061" spans="1:4">
      <c r="A5061" s="61">
        <v>45233</v>
      </c>
      <c r="B5061" s="36" t="s">
        <v>8241</v>
      </c>
      <c r="C5061" s="36" t="s">
        <v>8240</v>
      </c>
      <c r="D5061" s="36" t="s">
        <v>5</v>
      </c>
    </row>
    <row r="5062" spans="1:4">
      <c r="A5062" s="61">
        <v>45237</v>
      </c>
      <c r="B5062" s="36" t="s">
        <v>8243</v>
      </c>
      <c r="C5062" s="36" t="s">
        <v>8242</v>
      </c>
      <c r="D5062" s="36" t="s">
        <v>8</v>
      </c>
    </row>
    <row r="5063" spans="1:4">
      <c r="A5063" s="61">
        <v>45237</v>
      </c>
      <c r="B5063" s="36" t="s">
        <v>8245</v>
      </c>
      <c r="C5063" s="36" t="s">
        <v>8244</v>
      </c>
      <c r="D5063" s="36" t="s">
        <v>5</v>
      </c>
    </row>
    <row r="5064" spans="1:4">
      <c r="A5064" s="61">
        <v>45238</v>
      </c>
      <c r="B5064" s="36" t="s">
        <v>8247</v>
      </c>
      <c r="C5064" s="36" t="s">
        <v>8246</v>
      </c>
      <c r="D5064" s="36" t="s">
        <v>74</v>
      </c>
    </row>
    <row r="5065" spans="1:4">
      <c r="A5065" s="61">
        <v>45238</v>
      </c>
      <c r="B5065" s="36" t="s">
        <v>8249</v>
      </c>
      <c r="C5065" s="36" t="s">
        <v>8248</v>
      </c>
      <c r="D5065" s="36" t="s">
        <v>74</v>
      </c>
    </row>
    <row r="5066" spans="1:4">
      <c r="A5066" s="61">
        <v>45238</v>
      </c>
      <c r="B5066" s="36" t="s">
        <v>8250</v>
      </c>
      <c r="C5066" s="36" t="s">
        <v>734</v>
      </c>
      <c r="D5066" s="36" t="s">
        <v>74</v>
      </c>
    </row>
    <row r="5067" spans="1:4">
      <c r="A5067" s="61">
        <v>45232</v>
      </c>
      <c r="B5067" s="36" t="s">
        <v>8252</v>
      </c>
      <c r="C5067" s="36" t="s">
        <v>8251</v>
      </c>
      <c r="D5067" s="36" t="s">
        <v>74</v>
      </c>
    </row>
    <row r="5068" spans="1:4">
      <c r="A5068" s="61">
        <v>45232</v>
      </c>
      <c r="B5068" s="36" t="s">
        <v>8252</v>
      </c>
      <c r="C5068" s="36" t="s">
        <v>8251</v>
      </c>
      <c r="D5068" s="36" t="s">
        <v>74</v>
      </c>
    </row>
    <row r="5069" spans="1:4">
      <c r="A5069" s="61">
        <v>45237</v>
      </c>
      <c r="B5069" s="36" t="s">
        <v>8222</v>
      </c>
      <c r="C5069" s="36" t="s">
        <v>5593</v>
      </c>
      <c r="D5069" s="36" t="s">
        <v>141</v>
      </c>
    </row>
    <row r="5070" spans="1:4">
      <c r="A5070" s="61">
        <v>45236</v>
      </c>
      <c r="B5070" s="36" t="s">
        <v>8254</v>
      </c>
      <c r="C5070" s="36" t="s">
        <v>8253</v>
      </c>
      <c r="D5070" s="36" t="s">
        <v>74</v>
      </c>
    </row>
    <row r="5071" spans="1:4">
      <c r="A5071" s="61">
        <v>45236</v>
      </c>
      <c r="B5071" s="36" t="s">
        <v>8256</v>
      </c>
      <c r="C5071" s="36" t="s">
        <v>8255</v>
      </c>
      <c r="D5071" s="36" t="s">
        <v>74</v>
      </c>
    </row>
    <row r="5072" spans="1:4">
      <c r="A5072" s="32">
        <v>45251</v>
      </c>
      <c r="B5072" s="19" t="s">
        <v>8257</v>
      </c>
      <c r="C5072" s="19" t="s">
        <v>5050</v>
      </c>
      <c r="D5072" s="19" t="s">
        <v>345</v>
      </c>
    </row>
    <row r="5073" spans="1:4">
      <c r="A5073" s="32">
        <v>45251</v>
      </c>
      <c r="B5073" s="19" t="s">
        <v>8259</v>
      </c>
      <c r="C5073" s="19" t="s">
        <v>8258</v>
      </c>
      <c r="D5073" s="19" t="s">
        <v>29</v>
      </c>
    </row>
    <row r="5074" spans="1:4">
      <c r="A5074" s="32">
        <v>45246</v>
      </c>
      <c r="B5074" s="19" t="s">
        <v>8261</v>
      </c>
      <c r="C5074" s="19" t="s">
        <v>8260</v>
      </c>
      <c r="D5074" s="19" t="s">
        <v>74</v>
      </c>
    </row>
    <row r="5075" spans="1:4">
      <c r="A5075" s="32">
        <v>45252</v>
      </c>
      <c r="B5075" s="19" t="s">
        <v>8263</v>
      </c>
      <c r="C5075" s="19" t="s">
        <v>8262</v>
      </c>
      <c r="D5075" s="19" t="s">
        <v>345</v>
      </c>
    </row>
    <row r="5076" spans="1:4">
      <c r="A5076" s="32">
        <v>45251</v>
      </c>
      <c r="B5076" s="19" t="s">
        <v>8265</v>
      </c>
      <c r="C5076" s="19" t="s">
        <v>8264</v>
      </c>
      <c r="D5076" s="19" t="s">
        <v>74</v>
      </c>
    </row>
    <row r="5077" spans="1:4">
      <c r="A5077" s="32">
        <v>45252</v>
      </c>
      <c r="B5077" s="19" t="s">
        <v>8266</v>
      </c>
      <c r="C5077" s="19" t="s">
        <v>8264</v>
      </c>
      <c r="D5077" s="19" t="s">
        <v>74</v>
      </c>
    </row>
    <row r="5078" spans="1:4">
      <c r="A5078" s="32">
        <v>45250</v>
      </c>
      <c r="B5078" s="19" t="s">
        <v>8268</v>
      </c>
      <c r="C5078" s="19" t="s">
        <v>8267</v>
      </c>
      <c r="D5078" s="19" t="s">
        <v>11</v>
      </c>
    </row>
    <row r="5079" spans="1:4">
      <c r="A5079" s="32">
        <v>45254</v>
      </c>
      <c r="B5079" s="19" t="s">
        <v>8270</v>
      </c>
      <c r="C5079" s="19" t="s">
        <v>8269</v>
      </c>
      <c r="D5079" s="19" t="s">
        <v>29</v>
      </c>
    </row>
    <row r="5080" spans="1:4">
      <c r="A5080" s="32">
        <v>45244</v>
      </c>
      <c r="B5080" s="19" t="s">
        <v>8272</v>
      </c>
      <c r="C5080" s="19" t="s">
        <v>8271</v>
      </c>
      <c r="D5080" s="19" t="s">
        <v>11</v>
      </c>
    </row>
    <row r="5081" spans="1:4">
      <c r="A5081" s="32">
        <v>45253</v>
      </c>
      <c r="B5081" s="19" t="s">
        <v>8274</v>
      </c>
      <c r="C5081" s="19" t="s">
        <v>8273</v>
      </c>
      <c r="D5081" s="19" t="s">
        <v>29</v>
      </c>
    </row>
    <row r="5082" spans="1:4">
      <c r="A5082" s="32">
        <v>45245</v>
      </c>
      <c r="B5082" s="19" t="s">
        <v>8276</v>
      </c>
      <c r="C5082" s="19" t="s">
        <v>8275</v>
      </c>
      <c r="D5082" s="19" t="s">
        <v>29</v>
      </c>
    </row>
    <row r="5083" spans="1:4">
      <c r="A5083" s="32">
        <v>45244</v>
      </c>
      <c r="B5083" s="19" t="s">
        <v>8278</v>
      </c>
      <c r="C5083" s="19" t="s">
        <v>8277</v>
      </c>
      <c r="D5083" s="19" t="s">
        <v>74</v>
      </c>
    </row>
    <row r="5084" spans="1:4">
      <c r="A5084" s="32">
        <v>45253</v>
      </c>
      <c r="B5084" s="19" t="s">
        <v>8280</v>
      </c>
      <c r="C5084" s="19" t="s">
        <v>8279</v>
      </c>
      <c r="D5084" s="19" t="s">
        <v>29</v>
      </c>
    </row>
    <row r="5085" spans="1:4">
      <c r="A5085" s="32">
        <v>45251</v>
      </c>
      <c r="B5085" s="19" t="s">
        <v>8282</v>
      </c>
      <c r="C5085" s="19" t="s">
        <v>8281</v>
      </c>
      <c r="D5085" s="19" t="s">
        <v>29</v>
      </c>
    </row>
    <row r="5086" spans="1:4">
      <c r="A5086" s="32">
        <v>45251</v>
      </c>
      <c r="B5086" s="19" t="s">
        <v>8284</v>
      </c>
      <c r="C5086" s="19" t="s">
        <v>8283</v>
      </c>
      <c r="D5086" s="19" t="s">
        <v>345</v>
      </c>
    </row>
    <row r="5087" spans="1:4">
      <c r="A5087" s="32">
        <v>45254</v>
      </c>
      <c r="B5087" s="19" t="s">
        <v>8286</v>
      </c>
      <c r="C5087" s="19" t="s">
        <v>8285</v>
      </c>
      <c r="D5087" s="19" t="s">
        <v>29</v>
      </c>
    </row>
    <row r="5088" spans="1:4">
      <c r="A5088" s="32">
        <v>45247</v>
      </c>
      <c r="B5088" s="19" t="s">
        <v>8288</v>
      </c>
      <c r="C5088" s="19" t="s">
        <v>8287</v>
      </c>
      <c r="D5088" s="19" t="s">
        <v>74</v>
      </c>
    </row>
    <row r="5089" spans="1:4">
      <c r="A5089" s="32">
        <v>45253</v>
      </c>
      <c r="B5089" s="19" t="s">
        <v>8290</v>
      </c>
      <c r="C5089" s="19" t="s">
        <v>8289</v>
      </c>
      <c r="D5089" s="19" t="s">
        <v>19</v>
      </c>
    </row>
    <row r="5090" spans="1:4">
      <c r="A5090" s="32">
        <v>45252</v>
      </c>
      <c r="B5090" s="19" t="s">
        <v>8290</v>
      </c>
      <c r="C5090" s="19" t="s">
        <v>8291</v>
      </c>
      <c r="D5090" s="19" t="s">
        <v>345</v>
      </c>
    </row>
    <row r="5091" spans="1:4">
      <c r="A5091" s="32">
        <v>45254</v>
      </c>
      <c r="B5091" s="19" t="s">
        <v>8293</v>
      </c>
      <c r="C5091" s="19" t="s">
        <v>8292</v>
      </c>
      <c r="D5091" s="19" t="s">
        <v>29</v>
      </c>
    </row>
    <row r="5092" spans="1:4">
      <c r="A5092" s="32">
        <v>45243</v>
      </c>
      <c r="B5092" s="19" t="s">
        <v>8295</v>
      </c>
      <c r="C5092" s="19" t="s">
        <v>8294</v>
      </c>
      <c r="D5092" s="19" t="s">
        <v>353</v>
      </c>
    </row>
    <row r="5093" spans="1:4">
      <c r="A5093" s="32">
        <v>45244</v>
      </c>
      <c r="B5093" s="19" t="s">
        <v>8297</v>
      </c>
      <c r="C5093" s="19" t="s">
        <v>8296</v>
      </c>
      <c r="D5093" s="19" t="s">
        <v>11</v>
      </c>
    </row>
    <row r="5094" spans="1:4">
      <c r="A5094" s="32">
        <v>45245</v>
      </c>
      <c r="B5094" s="19" t="s">
        <v>8299</v>
      </c>
      <c r="C5094" s="19" t="s">
        <v>8298</v>
      </c>
      <c r="D5094" s="19" t="s">
        <v>29</v>
      </c>
    </row>
    <row r="5095" spans="1:4">
      <c r="A5095" s="32">
        <v>45247</v>
      </c>
      <c r="B5095" s="19" t="s">
        <v>8301</v>
      </c>
      <c r="C5095" s="19" t="s">
        <v>8300</v>
      </c>
      <c r="D5095" s="19" t="s">
        <v>74</v>
      </c>
    </row>
    <row r="5096" spans="1:4">
      <c r="A5096" s="32">
        <v>45246</v>
      </c>
      <c r="B5096" s="19" t="s">
        <v>8303</v>
      </c>
      <c r="C5096" s="19" t="s">
        <v>8302</v>
      </c>
      <c r="D5096" s="19" t="s">
        <v>74</v>
      </c>
    </row>
    <row r="5097" spans="1:4">
      <c r="A5097" s="32">
        <v>45244</v>
      </c>
      <c r="B5097" s="19" t="s">
        <v>8305</v>
      </c>
      <c r="C5097" s="19" t="s">
        <v>8304</v>
      </c>
      <c r="D5097" s="19" t="s">
        <v>353</v>
      </c>
    </row>
    <row r="5098" spans="1:4">
      <c r="A5098" s="32">
        <v>45245</v>
      </c>
      <c r="B5098" s="19" t="s">
        <v>8307</v>
      </c>
      <c r="C5098" s="19" t="s">
        <v>8306</v>
      </c>
      <c r="D5098" s="19" t="s">
        <v>5</v>
      </c>
    </row>
    <row r="5099" spans="1:4">
      <c r="A5099" s="32">
        <v>45244</v>
      </c>
      <c r="B5099" s="19" t="s">
        <v>8309</v>
      </c>
      <c r="C5099" s="19" t="s">
        <v>8308</v>
      </c>
      <c r="D5099" s="19" t="s">
        <v>74</v>
      </c>
    </row>
    <row r="5100" spans="1:4">
      <c r="A5100" s="32">
        <v>45254</v>
      </c>
      <c r="B5100" s="19" t="s">
        <v>8311</v>
      </c>
      <c r="C5100" s="19" t="s">
        <v>8310</v>
      </c>
      <c r="D5100" s="19" t="s">
        <v>74</v>
      </c>
    </row>
    <row r="5101" spans="1:4">
      <c r="A5101" s="32">
        <v>45250</v>
      </c>
      <c r="B5101" s="19" t="s">
        <v>8313</v>
      </c>
      <c r="C5101" s="19" t="s">
        <v>8312</v>
      </c>
      <c r="D5101" s="19" t="s">
        <v>16</v>
      </c>
    </row>
    <row r="5102" spans="1:4">
      <c r="A5102" s="32">
        <v>45250</v>
      </c>
      <c r="B5102" s="19" t="s">
        <v>8315</v>
      </c>
      <c r="C5102" s="19" t="s">
        <v>8314</v>
      </c>
      <c r="D5102" s="19" t="s">
        <v>24</v>
      </c>
    </row>
    <row r="5103" spans="1:4">
      <c r="A5103" s="32">
        <v>45250</v>
      </c>
      <c r="B5103" s="19" t="s">
        <v>8317</v>
      </c>
      <c r="C5103" s="19" t="s">
        <v>8316</v>
      </c>
      <c r="D5103" s="19" t="s">
        <v>510</v>
      </c>
    </row>
    <row r="5104" spans="1:4">
      <c r="A5104" s="32">
        <v>45253</v>
      </c>
      <c r="B5104" s="19" t="s">
        <v>8319</v>
      </c>
      <c r="C5104" s="19" t="s">
        <v>8318</v>
      </c>
      <c r="D5104" s="19" t="s">
        <v>74</v>
      </c>
    </row>
    <row r="5105" spans="1:4">
      <c r="A5105" s="32">
        <v>45254</v>
      </c>
      <c r="B5105" s="19" t="s">
        <v>8321</v>
      </c>
      <c r="C5105" s="19" t="s">
        <v>8320</v>
      </c>
      <c r="D5105" s="19" t="s">
        <v>74</v>
      </c>
    </row>
    <row r="5106" spans="1:4">
      <c r="A5106" s="32">
        <v>45250</v>
      </c>
      <c r="B5106" s="19" t="s">
        <v>8323</v>
      </c>
      <c r="C5106" s="19" t="s">
        <v>8322</v>
      </c>
      <c r="D5106" s="19" t="s">
        <v>11</v>
      </c>
    </row>
    <row r="5107" spans="1:4">
      <c r="A5107" s="32">
        <v>45253</v>
      </c>
      <c r="B5107" s="31" t="s">
        <v>8325</v>
      </c>
      <c r="C5107" s="19" t="s">
        <v>8324</v>
      </c>
      <c r="D5107" s="19" t="s">
        <v>29</v>
      </c>
    </row>
    <row r="5108" spans="1:4">
      <c r="A5108" s="32">
        <v>45253</v>
      </c>
      <c r="B5108" s="31" t="s">
        <v>8327</v>
      </c>
      <c r="C5108" s="19" t="s">
        <v>8326</v>
      </c>
      <c r="D5108" s="19" t="s">
        <v>34</v>
      </c>
    </row>
    <row r="5109" spans="1:4">
      <c r="A5109" s="32">
        <v>45253</v>
      </c>
      <c r="B5109" s="31" t="s">
        <v>8328</v>
      </c>
      <c r="C5109" s="19" t="s">
        <v>8326</v>
      </c>
      <c r="D5109" s="19" t="s">
        <v>34</v>
      </c>
    </row>
    <row r="5110" spans="1:4">
      <c r="A5110" s="32">
        <v>45248</v>
      </c>
      <c r="B5110" s="31" t="s">
        <v>8330</v>
      </c>
      <c r="C5110" s="19" t="s">
        <v>8329</v>
      </c>
      <c r="D5110" s="19" t="s">
        <v>74</v>
      </c>
    </row>
    <row r="5111" spans="1:4">
      <c r="A5111" s="32">
        <v>45254</v>
      </c>
      <c r="B5111" s="31" t="s">
        <v>8331</v>
      </c>
      <c r="C5111" s="19" t="s">
        <v>8060</v>
      </c>
      <c r="D5111" s="19" t="s">
        <v>74</v>
      </c>
    </row>
    <row r="5112" spans="1:4">
      <c r="A5112" s="32">
        <v>45248</v>
      </c>
      <c r="B5112" s="31" t="s">
        <v>8332</v>
      </c>
      <c r="C5112" s="19" t="s">
        <v>8329</v>
      </c>
      <c r="D5112" s="19" t="s">
        <v>74</v>
      </c>
    </row>
    <row r="5113" spans="1:4">
      <c r="A5113" s="32">
        <v>45253</v>
      </c>
      <c r="B5113" s="31" t="s">
        <v>8334</v>
      </c>
      <c r="C5113" s="19" t="s">
        <v>8333</v>
      </c>
      <c r="D5113" s="19" t="s">
        <v>29</v>
      </c>
    </row>
    <row r="5114" spans="1:4">
      <c r="A5114" s="32">
        <v>45255</v>
      </c>
      <c r="B5114" s="31" t="s">
        <v>8336</v>
      </c>
      <c r="C5114" s="19" t="s">
        <v>8335</v>
      </c>
      <c r="D5114" s="19" t="s">
        <v>34</v>
      </c>
    </row>
    <row r="5115" spans="1:4">
      <c r="A5115" s="32">
        <v>45254</v>
      </c>
      <c r="B5115" s="31" t="s">
        <v>8338</v>
      </c>
      <c r="C5115" s="19" t="s">
        <v>8337</v>
      </c>
      <c r="D5115" s="19" t="s">
        <v>109</v>
      </c>
    </row>
    <row r="5116" spans="1:4">
      <c r="A5116" s="32">
        <v>45255</v>
      </c>
      <c r="B5116" s="31" t="s">
        <v>8340</v>
      </c>
      <c r="C5116" s="19" t="s">
        <v>8339</v>
      </c>
      <c r="D5116" s="19" t="s">
        <v>34</v>
      </c>
    </row>
    <row r="5117" spans="1:4">
      <c r="A5117" s="32">
        <v>45258</v>
      </c>
      <c r="B5117" s="19" t="s">
        <v>8342</v>
      </c>
      <c r="C5117" s="19" t="s">
        <v>8341</v>
      </c>
      <c r="D5117" s="19" t="s">
        <v>11</v>
      </c>
    </row>
    <row r="5118" spans="1:4">
      <c r="A5118" s="62">
        <v>45230</v>
      </c>
      <c r="B5118" s="26" t="s">
        <v>8344</v>
      </c>
      <c r="C5118" s="26" t="s">
        <v>8343</v>
      </c>
      <c r="D5118" s="26" t="s">
        <v>5</v>
      </c>
    </row>
    <row r="5119" spans="1:4">
      <c r="A5119" s="62">
        <v>45226</v>
      </c>
      <c r="B5119" s="26" t="s">
        <v>8346</v>
      </c>
      <c r="C5119" s="26" t="s">
        <v>8345</v>
      </c>
      <c r="D5119" s="26" t="s">
        <v>345</v>
      </c>
    </row>
    <row r="5120" spans="1:4">
      <c r="A5120" s="62">
        <v>45226</v>
      </c>
      <c r="B5120" s="26" t="s">
        <v>8348</v>
      </c>
      <c r="C5120" s="26" t="s">
        <v>8347</v>
      </c>
      <c r="D5120" s="26" t="s">
        <v>74</v>
      </c>
    </row>
    <row r="5121" spans="1:4">
      <c r="A5121" s="62">
        <v>45226</v>
      </c>
      <c r="B5121" s="26" t="s">
        <v>8350</v>
      </c>
      <c r="C5121" s="26" t="s">
        <v>8349</v>
      </c>
      <c r="D5121" s="26" t="s">
        <v>74</v>
      </c>
    </row>
    <row r="5122" spans="1:4">
      <c r="A5122" s="62">
        <v>45226</v>
      </c>
      <c r="B5122" s="26" t="s">
        <v>8351</v>
      </c>
      <c r="C5122" s="26" t="s">
        <v>7697</v>
      </c>
      <c r="D5122" s="26" t="s">
        <v>74</v>
      </c>
    </row>
    <row r="5123" spans="1:4">
      <c r="A5123" s="62">
        <v>45224</v>
      </c>
      <c r="B5123" s="26"/>
      <c r="C5123" s="26" t="s">
        <v>8352</v>
      </c>
      <c r="D5123" s="26" t="s">
        <v>11</v>
      </c>
    </row>
    <row r="5124" spans="1:4">
      <c r="A5124" s="62">
        <v>45224</v>
      </c>
      <c r="B5124" s="26" t="s">
        <v>8354</v>
      </c>
      <c r="C5124" s="26" t="s">
        <v>8353</v>
      </c>
      <c r="D5124" s="26" t="s">
        <v>5</v>
      </c>
    </row>
    <row r="5125" spans="1:4">
      <c r="A5125" s="62">
        <v>45225</v>
      </c>
      <c r="B5125" s="26" t="s">
        <v>8356</v>
      </c>
      <c r="C5125" s="26" t="s">
        <v>8355</v>
      </c>
      <c r="D5125" s="13" t="s">
        <v>216</v>
      </c>
    </row>
    <row r="5126" spans="1:4">
      <c r="A5126" s="62">
        <v>45225</v>
      </c>
      <c r="B5126" s="26"/>
      <c r="C5126" s="26" t="s">
        <v>8357</v>
      </c>
      <c r="D5126" s="26" t="s">
        <v>5</v>
      </c>
    </row>
    <row r="5127" spans="1:4">
      <c r="A5127" s="62">
        <v>45230</v>
      </c>
      <c r="B5127" s="26" t="s">
        <v>8359</v>
      </c>
      <c r="C5127" s="26" t="s">
        <v>8358</v>
      </c>
      <c r="D5127" s="26" t="s">
        <v>345</v>
      </c>
    </row>
    <row r="5128" spans="1:4">
      <c r="A5128" s="62">
        <v>45226</v>
      </c>
      <c r="B5128" s="26" t="s">
        <v>8361</v>
      </c>
      <c r="C5128" s="26" t="s">
        <v>8360</v>
      </c>
      <c r="D5128" s="26" t="s">
        <v>74</v>
      </c>
    </row>
    <row r="5129" spans="1:4">
      <c r="A5129" s="62">
        <v>45226</v>
      </c>
      <c r="B5129" s="26" t="s">
        <v>8346</v>
      </c>
      <c r="C5129" s="26" t="s">
        <v>8345</v>
      </c>
      <c r="D5129" s="26" t="s">
        <v>345</v>
      </c>
    </row>
    <row r="5130" spans="1:4">
      <c r="A5130" s="62">
        <v>45230</v>
      </c>
      <c r="B5130" s="26" t="s">
        <v>8363</v>
      </c>
      <c r="C5130" s="26" t="s">
        <v>8362</v>
      </c>
      <c r="D5130" s="26" t="s">
        <v>16</v>
      </c>
    </row>
    <row r="5131" spans="1:4">
      <c r="A5131" s="62">
        <v>45230</v>
      </c>
      <c r="B5131" s="26" t="s">
        <v>8365</v>
      </c>
      <c r="C5131" s="26" t="s">
        <v>8364</v>
      </c>
      <c r="D5131" s="26" t="s">
        <v>74</v>
      </c>
    </row>
    <row r="5132" spans="1:4">
      <c r="A5132" s="62">
        <v>45236</v>
      </c>
      <c r="B5132" s="26" t="s">
        <v>8366</v>
      </c>
      <c r="C5132" s="26" t="s">
        <v>8358</v>
      </c>
      <c r="D5132" s="26" t="s">
        <v>345</v>
      </c>
    </row>
    <row r="5133" spans="1:4">
      <c r="A5133" s="62">
        <v>45233</v>
      </c>
      <c r="B5133" s="26"/>
      <c r="C5133" s="26" t="s">
        <v>8367</v>
      </c>
      <c r="D5133" s="26" t="s">
        <v>24</v>
      </c>
    </row>
    <row r="5134" spans="1:4">
      <c r="A5134" s="23">
        <v>45232</v>
      </c>
      <c r="B5134" s="13"/>
      <c r="C5134" s="13" t="s">
        <v>8368</v>
      </c>
      <c r="D5134" s="13" t="s">
        <v>11</v>
      </c>
    </row>
    <row r="5135" spans="1:4">
      <c r="A5135" s="23">
        <v>45230</v>
      </c>
      <c r="B5135" s="13" t="s">
        <v>8344</v>
      </c>
      <c r="C5135" s="13" t="s">
        <v>8343</v>
      </c>
      <c r="D5135" s="13" t="s">
        <v>5</v>
      </c>
    </row>
    <row r="5136" spans="1:4">
      <c r="A5136" s="23">
        <v>45230</v>
      </c>
      <c r="B5136" s="13" t="s">
        <v>8370</v>
      </c>
      <c r="C5136" s="13" t="s">
        <v>8369</v>
      </c>
      <c r="D5136" s="13" t="s">
        <v>29</v>
      </c>
    </row>
    <row r="5137" spans="1:4">
      <c r="A5137" s="23">
        <v>45247</v>
      </c>
      <c r="B5137" s="13" t="s">
        <v>8372</v>
      </c>
      <c r="C5137" s="13" t="s">
        <v>8371</v>
      </c>
      <c r="D5137" s="13" t="s">
        <v>16</v>
      </c>
    </row>
    <row r="5138" spans="1:4">
      <c r="A5138" s="23">
        <v>45224</v>
      </c>
      <c r="B5138" s="13" t="s">
        <v>8374</v>
      </c>
      <c r="C5138" s="13" t="s">
        <v>8373</v>
      </c>
      <c r="D5138" s="13" t="s">
        <v>5</v>
      </c>
    </row>
    <row r="5139" spans="1:4">
      <c r="A5139" s="23">
        <v>45233</v>
      </c>
      <c r="B5139" s="13" t="s">
        <v>8376</v>
      </c>
      <c r="C5139" s="13" t="s">
        <v>8375</v>
      </c>
      <c r="D5139" s="13" t="s">
        <v>24</v>
      </c>
    </row>
    <row r="5140" spans="1:4">
      <c r="A5140" s="23">
        <v>45232</v>
      </c>
      <c r="B5140" s="13"/>
      <c r="C5140" s="13" t="s">
        <v>8368</v>
      </c>
      <c r="D5140" s="13" t="s">
        <v>11</v>
      </c>
    </row>
    <row r="5141" spans="1:4">
      <c r="A5141" s="23">
        <v>45226</v>
      </c>
      <c r="B5141" s="13" t="s">
        <v>8361</v>
      </c>
      <c r="C5141" s="13" t="s">
        <v>8360</v>
      </c>
      <c r="D5141" s="13" t="s">
        <v>74</v>
      </c>
    </row>
    <row r="5142" spans="1:4">
      <c r="A5142" s="23">
        <v>45226</v>
      </c>
      <c r="B5142" s="13" t="s">
        <v>8351</v>
      </c>
      <c r="C5142" s="13" t="s">
        <v>7697</v>
      </c>
      <c r="D5142" s="13" t="s">
        <v>74</v>
      </c>
    </row>
    <row r="5143" spans="1:4">
      <c r="A5143" s="23">
        <v>45226</v>
      </c>
      <c r="B5143" s="13" t="s">
        <v>8378</v>
      </c>
      <c r="C5143" s="13" t="s">
        <v>8377</v>
      </c>
      <c r="D5143" s="13" t="s">
        <v>109</v>
      </c>
    </row>
    <row r="5144" spans="1:4">
      <c r="A5144" s="23">
        <v>45229</v>
      </c>
      <c r="B5144" s="13" t="s">
        <v>8361</v>
      </c>
      <c r="C5144" s="13" t="s">
        <v>8360</v>
      </c>
      <c r="D5144" s="13" t="s">
        <v>74</v>
      </c>
    </row>
    <row r="5145" spans="1:4">
      <c r="A5145" s="23">
        <v>45247</v>
      </c>
      <c r="B5145" s="13" t="s">
        <v>8380</v>
      </c>
      <c r="C5145" s="13" t="s">
        <v>8379</v>
      </c>
      <c r="D5145" s="13" t="s">
        <v>109</v>
      </c>
    </row>
    <row r="5146" spans="1:4">
      <c r="A5146" s="23">
        <v>45250</v>
      </c>
      <c r="B5146" s="13" t="s">
        <v>8382</v>
      </c>
      <c r="C5146" s="13" t="s">
        <v>8381</v>
      </c>
      <c r="D5146" s="13" t="s">
        <v>74</v>
      </c>
    </row>
    <row r="5147" spans="1:4">
      <c r="A5147" s="23">
        <v>45243</v>
      </c>
      <c r="B5147" s="13" t="s">
        <v>8346</v>
      </c>
      <c r="C5147" s="13" t="s">
        <v>8383</v>
      </c>
      <c r="D5147" s="13" t="s">
        <v>345</v>
      </c>
    </row>
    <row r="5148" spans="1:4">
      <c r="A5148" s="23">
        <v>45247</v>
      </c>
      <c r="B5148" s="13" t="s">
        <v>8385</v>
      </c>
      <c r="C5148" s="13" t="s">
        <v>8384</v>
      </c>
      <c r="D5148" s="13" t="s">
        <v>141</v>
      </c>
    </row>
    <row r="5149" spans="1:4">
      <c r="A5149" s="23">
        <v>45250</v>
      </c>
      <c r="B5149" s="13" t="s">
        <v>8387</v>
      </c>
      <c r="C5149" s="13" t="s">
        <v>8386</v>
      </c>
      <c r="D5149" s="13" t="s">
        <v>16</v>
      </c>
    </row>
    <row r="5150" spans="1:4">
      <c r="A5150" s="23">
        <v>45247</v>
      </c>
      <c r="B5150" s="13" t="s">
        <v>8372</v>
      </c>
      <c r="C5150" s="13" t="s">
        <v>8371</v>
      </c>
      <c r="D5150" s="13" t="s">
        <v>16</v>
      </c>
    </row>
    <row r="5151" spans="1:4">
      <c r="A5151" s="23">
        <v>45250</v>
      </c>
      <c r="B5151" s="13" t="s">
        <v>8372</v>
      </c>
      <c r="C5151" s="13" t="s">
        <v>8371</v>
      </c>
      <c r="D5151" s="13" t="s">
        <v>16</v>
      </c>
    </row>
    <row r="5152" spans="1:4">
      <c r="A5152" s="23">
        <v>45243</v>
      </c>
      <c r="B5152" s="13"/>
      <c r="C5152" s="13" t="s">
        <v>7430</v>
      </c>
      <c r="D5152" s="13" t="s">
        <v>74</v>
      </c>
    </row>
    <row r="5153" spans="1:4">
      <c r="A5153" s="23">
        <v>45241</v>
      </c>
      <c r="B5153" s="13" t="s">
        <v>8389</v>
      </c>
      <c r="C5153" s="13" t="s">
        <v>8388</v>
      </c>
      <c r="D5153" s="13" t="s">
        <v>16</v>
      </c>
    </row>
    <row r="5154" spans="1:4">
      <c r="A5154" s="23">
        <v>45250</v>
      </c>
      <c r="B5154" s="13" t="s">
        <v>8391</v>
      </c>
      <c r="C5154" s="13" t="s">
        <v>8390</v>
      </c>
      <c r="D5154" s="13" t="s">
        <v>74</v>
      </c>
    </row>
    <row r="5155" spans="1:4">
      <c r="A5155" s="23">
        <v>45238</v>
      </c>
      <c r="B5155" s="13"/>
      <c r="C5155" s="13" t="s">
        <v>7694</v>
      </c>
      <c r="D5155" s="13" t="s">
        <v>5</v>
      </c>
    </row>
    <row r="5156" spans="1:4">
      <c r="A5156" s="23">
        <v>45241</v>
      </c>
      <c r="B5156" s="13" t="s">
        <v>8392</v>
      </c>
      <c r="C5156" s="13" t="s">
        <v>8388</v>
      </c>
      <c r="D5156" s="13" t="s">
        <v>16</v>
      </c>
    </row>
    <row r="5157" spans="1:4">
      <c r="A5157" s="23">
        <v>45243</v>
      </c>
      <c r="B5157" s="13" t="s">
        <v>8394</v>
      </c>
      <c r="C5157" s="13" t="s">
        <v>8393</v>
      </c>
      <c r="D5157" s="13" t="s">
        <v>74</v>
      </c>
    </row>
    <row r="5158" spans="1:4">
      <c r="A5158" s="23">
        <v>45247</v>
      </c>
      <c r="B5158" s="13" t="s">
        <v>8396</v>
      </c>
      <c r="C5158" s="13" t="s">
        <v>8395</v>
      </c>
      <c r="D5158" s="13" t="s">
        <v>8</v>
      </c>
    </row>
    <row r="5159" spans="1:4">
      <c r="A5159" s="23">
        <v>45246</v>
      </c>
      <c r="B5159" s="13" t="s">
        <v>8398</v>
      </c>
      <c r="C5159" s="13" t="s">
        <v>8397</v>
      </c>
      <c r="D5159" s="13" t="s">
        <v>8</v>
      </c>
    </row>
    <row r="5160" spans="1:4">
      <c r="A5160" s="23">
        <v>45243</v>
      </c>
      <c r="B5160" s="13" t="s">
        <v>8400</v>
      </c>
      <c r="C5160" s="13" t="s">
        <v>8399</v>
      </c>
      <c r="D5160" s="13" t="s">
        <v>74</v>
      </c>
    </row>
    <row r="5161" spans="1:4">
      <c r="A5161" s="23">
        <v>45245</v>
      </c>
      <c r="B5161" s="13"/>
      <c r="C5161" s="13" t="s">
        <v>8401</v>
      </c>
      <c r="D5161" s="13" t="s">
        <v>5</v>
      </c>
    </row>
    <row r="5162" spans="1:4">
      <c r="A5162" s="23">
        <v>45239</v>
      </c>
      <c r="B5162" s="13" t="s">
        <v>8403</v>
      </c>
      <c r="C5162" s="13" t="s">
        <v>8402</v>
      </c>
      <c r="D5162" s="13" t="s">
        <v>164</v>
      </c>
    </row>
    <row r="5163" spans="1:4">
      <c r="A5163" s="23">
        <v>45245</v>
      </c>
      <c r="B5163" s="13" t="s">
        <v>8405</v>
      </c>
      <c r="C5163" s="13" t="s">
        <v>8404</v>
      </c>
      <c r="D5163" s="13" t="s">
        <v>74</v>
      </c>
    </row>
    <row r="5164" spans="1:4">
      <c r="A5164" s="23">
        <v>45245</v>
      </c>
      <c r="B5164" s="13" t="s">
        <v>8406</v>
      </c>
      <c r="C5164" s="13" t="s">
        <v>8390</v>
      </c>
      <c r="D5164" s="13" t="s">
        <v>74</v>
      </c>
    </row>
    <row r="5165" spans="1:4">
      <c r="A5165" s="23">
        <v>45246</v>
      </c>
      <c r="B5165" s="13" t="s">
        <v>8408</v>
      </c>
      <c r="C5165" s="13" t="s">
        <v>8407</v>
      </c>
      <c r="D5165" s="13" t="s">
        <v>19</v>
      </c>
    </row>
    <row r="5166" spans="1:4">
      <c r="A5166" s="23">
        <v>45239</v>
      </c>
      <c r="B5166" s="13"/>
      <c r="C5166" s="13" t="s">
        <v>7694</v>
      </c>
      <c r="D5166" s="13" t="s">
        <v>5</v>
      </c>
    </row>
    <row r="5167" spans="1:4">
      <c r="A5167" s="23">
        <v>45245</v>
      </c>
      <c r="B5167" s="13"/>
      <c r="C5167" s="13" t="s">
        <v>8401</v>
      </c>
      <c r="D5167" s="13" t="s">
        <v>5</v>
      </c>
    </row>
    <row r="5168" spans="1:4">
      <c r="A5168" s="23">
        <v>45239</v>
      </c>
      <c r="B5168" s="13" t="s">
        <v>8410</v>
      </c>
      <c r="C5168" s="13" t="s">
        <v>8409</v>
      </c>
      <c r="D5168" s="13" t="s">
        <v>74</v>
      </c>
    </row>
    <row r="5169" spans="1:4">
      <c r="A5169" s="23">
        <v>45241</v>
      </c>
      <c r="B5169" s="13" t="s">
        <v>8412</v>
      </c>
      <c r="C5169" s="13" t="s">
        <v>8411</v>
      </c>
      <c r="D5169" s="13" t="s">
        <v>8</v>
      </c>
    </row>
    <row r="5170" spans="1:4">
      <c r="A5170" s="23">
        <v>45241</v>
      </c>
      <c r="B5170" s="13" t="s">
        <v>8413</v>
      </c>
      <c r="C5170" s="13" t="s">
        <v>8411</v>
      </c>
      <c r="D5170" s="13" t="s">
        <v>8</v>
      </c>
    </row>
    <row r="5171" spans="1:4">
      <c r="A5171" s="23">
        <v>45247</v>
      </c>
      <c r="B5171" s="13" t="s">
        <v>8415</v>
      </c>
      <c r="C5171" s="13" t="s">
        <v>8414</v>
      </c>
      <c r="D5171" s="13" t="s">
        <v>8</v>
      </c>
    </row>
    <row r="5172" spans="1:4">
      <c r="A5172" s="23">
        <v>45244</v>
      </c>
      <c r="B5172" s="13" t="s">
        <v>8417</v>
      </c>
      <c r="C5172" s="13" t="s">
        <v>8416</v>
      </c>
      <c r="D5172" s="13" t="s">
        <v>16</v>
      </c>
    </row>
    <row r="5173" spans="1:4">
      <c r="A5173" s="23">
        <v>45261</v>
      </c>
      <c r="B5173" s="13">
        <v>95.000435999999993</v>
      </c>
      <c r="C5173" s="13" t="s">
        <v>8418</v>
      </c>
      <c r="D5173" s="13" t="s">
        <v>29</v>
      </c>
    </row>
    <row r="5174" spans="1:4">
      <c r="A5174" s="23">
        <v>45254</v>
      </c>
      <c r="B5174" s="13" t="s">
        <v>8420</v>
      </c>
      <c r="C5174" s="13" t="s">
        <v>8419</v>
      </c>
      <c r="D5174" s="13" t="s">
        <v>345</v>
      </c>
    </row>
    <row r="5175" spans="1:4">
      <c r="A5175" s="23">
        <v>45254</v>
      </c>
      <c r="B5175" s="13" t="s">
        <v>8422</v>
      </c>
      <c r="C5175" s="13" t="s">
        <v>8421</v>
      </c>
      <c r="D5175" s="13" t="s">
        <v>8</v>
      </c>
    </row>
    <row r="5176" spans="1:4">
      <c r="A5176" s="23">
        <v>45254</v>
      </c>
      <c r="B5176" s="13" t="s">
        <v>8424</v>
      </c>
      <c r="C5176" s="13" t="s">
        <v>8423</v>
      </c>
      <c r="D5176" s="13" t="s">
        <v>345</v>
      </c>
    </row>
    <row r="5177" spans="1:4">
      <c r="A5177" s="23">
        <v>45254</v>
      </c>
      <c r="B5177" s="13" t="s">
        <v>8426</v>
      </c>
      <c r="C5177" s="13" t="s">
        <v>8425</v>
      </c>
      <c r="D5177" s="13" t="s">
        <v>16</v>
      </c>
    </row>
    <row r="5178" spans="1:4">
      <c r="A5178" s="23">
        <v>45261</v>
      </c>
      <c r="B5178" s="13" t="s">
        <v>8428</v>
      </c>
      <c r="C5178" s="13" t="s">
        <v>8427</v>
      </c>
      <c r="D5178" s="13" t="s">
        <v>5</v>
      </c>
    </row>
    <row r="5179" spans="1:4">
      <c r="A5179" s="23">
        <v>45259</v>
      </c>
      <c r="B5179" s="13" t="s">
        <v>8430</v>
      </c>
      <c r="C5179" s="13" t="s">
        <v>8429</v>
      </c>
      <c r="D5179" s="13" t="s">
        <v>74</v>
      </c>
    </row>
    <row r="5180" spans="1:4">
      <c r="A5180" s="23">
        <v>45257</v>
      </c>
      <c r="B5180" s="13" t="s">
        <v>8432</v>
      </c>
      <c r="C5180" s="13" t="s">
        <v>8431</v>
      </c>
      <c r="D5180" s="13" t="s">
        <v>5</v>
      </c>
    </row>
    <row r="5181" spans="1:4">
      <c r="A5181" s="23">
        <v>45259</v>
      </c>
      <c r="B5181" s="13" t="s">
        <v>8434</v>
      </c>
      <c r="C5181" s="13" t="s">
        <v>8433</v>
      </c>
      <c r="D5181" s="13" t="s">
        <v>8</v>
      </c>
    </row>
    <row r="5182" spans="1:4">
      <c r="A5182" s="23">
        <v>45257</v>
      </c>
      <c r="B5182" s="13" t="s">
        <v>8436</v>
      </c>
      <c r="C5182" s="13" t="s">
        <v>8435</v>
      </c>
      <c r="D5182" s="13" t="s">
        <v>11</v>
      </c>
    </row>
    <row r="5183" spans="1:4">
      <c r="A5183" s="23">
        <v>45254</v>
      </c>
      <c r="B5183" s="13" t="s">
        <v>8439</v>
      </c>
      <c r="C5183" s="13" t="s">
        <v>8437</v>
      </c>
      <c r="D5183" s="13" t="s">
        <v>8438</v>
      </c>
    </row>
    <row r="5184" spans="1:4">
      <c r="A5184" s="23">
        <v>45259</v>
      </c>
      <c r="B5184" s="43" t="s">
        <v>8441</v>
      </c>
      <c r="C5184" s="13" t="s">
        <v>8440</v>
      </c>
      <c r="D5184" s="13" t="s">
        <v>74</v>
      </c>
    </row>
    <row r="5185" spans="1:4">
      <c r="A5185" s="23">
        <v>45254</v>
      </c>
      <c r="B5185" s="13" t="s">
        <v>8443</v>
      </c>
      <c r="C5185" s="13" t="s">
        <v>8442</v>
      </c>
      <c r="D5185" s="13" t="s">
        <v>29</v>
      </c>
    </row>
    <row r="5186" spans="1:4">
      <c r="A5186" s="23">
        <v>45253</v>
      </c>
      <c r="B5186" s="13" t="s">
        <v>8445</v>
      </c>
      <c r="C5186" s="13" t="s">
        <v>8444</v>
      </c>
      <c r="D5186" s="13" t="s">
        <v>16</v>
      </c>
    </row>
    <row r="5187" spans="1:4">
      <c r="A5187" s="23">
        <v>45253</v>
      </c>
      <c r="B5187" s="13" t="s">
        <v>8447</v>
      </c>
      <c r="C5187" s="13" t="s">
        <v>8446</v>
      </c>
      <c r="D5187" s="13" t="s">
        <v>8</v>
      </c>
    </row>
    <row r="5188" spans="1:4">
      <c r="A5188" s="23">
        <v>45254</v>
      </c>
      <c r="B5188" s="13" t="s">
        <v>8449</v>
      </c>
      <c r="C5188" s="13" t="s">
        <v>8448</v>
      </c>
      <c r="D5188" s="13" t="s">
        <v>8</v>
      </c>
    </row>
    <row r="5189" spans="1:4">
      <c r="A5189" s="23">
        <v>45253</v>
      </c>
      <c r="B5189" s="43" t="s">
        <v>8451</v>
      </c>
      <c r="C5189" s="13" t="s">
        <v>8450</v>
      </c>
      <c r="D5189" s="13" t="s">
        <v>8</v>
      </c>
    </row>
    <row r="5190" spans="1:4">
      <c r="A5190" s="23">
        <v>45253</v>
      </c>
      <c r="B5190" s="13" t="s">
        <v>8453</v>
      </c>
      <c r="C5190" s="13" t="s">
        <v>8452</v>
      </c>
      <c r="D5190" s="13" t="s">
        <v>16</v>
      </c>
    </row>
    <row r="5191" spans="1:4">
      <c r="A5191" s="23">
        <v>45259</v>
      </c>
      <c r="B5191" s="43" t="s">
        <v>8455</v>
      </c>
      <c r="C5191" s="13" t="s">
        <v>8454</v>
      </c>
      <c r="D5191" s="13" t="s">
        <v>5</v>
      </c>
    </row>
    <row r="5192" spans="1:4">
      <c r="A5192" s="23">
        <v>45252</v>
      </c>
      <c r="B5192" s="13" t="s">
        <v>8457</v>
      </c>
      <c r="C5192" s="13" t="s">
        <v>8456</v>
      </c>
      <c r="D5192" s="13" t="s">
        <v>11</v>
      </c>
    </row>
    <row r="5193" spans="1:4">
      <c r="A5193" s="32">
        <v>45260</v>
      </c>
      <c r="B5193" s="19" t="s">
        <v>8459</v>
      </c>
      <c r="C5193" s="19" t="s">
        <v>8458</v>
      </c>
      <c r="D5193" s="19" t="s">
        <v>29</v>
      </c>
    </row>
    <row r="5194" spans="1:4">
      <c r="A5194" s="32">
        <v>45259</v>
      </c>
      <c r="B5194" s="19" t="s">
        <v>8461</v>
      </c>
      <c r="C5194" s="19" t="s">
        <v>8460</v>
      </c>
      <c r="D5194" s="19" t="s">
        <v>29</v>
      </c>
    </row>
    <row r="5195" spans="1:4">
      <c r="A5195" s="32">
        <v>45261</v>
      </c>
      <c r="B5195" s="19" t="s">
        <v>8463</v>
      </c>
      <c r="C5195" s="19" t="s">
        <v>8462</v>
      </c>
      <c r="D5195" s="13" t="s">
        <v>216</v>
      </c>
    </row>
    <row r="5196" spans="1:4">
      <c r="A5196" s="32">
        <v>45259</v>
      </c>
      <c r="B5196" s="31" t="s">
        <v>8465</v>
      </c>
      <c r="C5196" s="19" t="s">
        <v>8464</v>
      </c>
      <c r="D5196" s="19" t="s">
        <v>5</v>
      </c>
    </row>
    <row r="5197" spans="1:4">
      <c r="A5197" s="32">
        <v>45253</v>
      </c>
      <c r="B5197" s="19" t="s">
        <v>8467</v>
      </c>
      <c r="C5197" s="19" t="s">
        <v>8466</v>
      </c>
      <c r="D5197" s="19" t="s">
        <v>34</v>
      </c>
    </row>
    <row r="5198" spans="1:4">
      <c r="A5198" s="32">
        <v>45255</v>
      </c>
      <c r="B5198" s="19" t="s">
        <v>8469</v>
      </c>
      <c r="C5198" s="19" t="s">
        <v>8468</v>
      </c>
      <c r="D5198" s="19" t="s">
        <v>74</v>
      </c>
    </row>
    <row r="5199" spans="1:4">
      <c r="A5199" s="32">
        <v>45262</v>
      </c>
      <c r="B5199" s="19" t="s">
        <v>8471</v>
      </c>
      <c r="C5199" s="19" t="s">
        <v>8470</v>
      </c>
      <c r="D5199" s="19" t="s">
        <v>34</v>
      </c>
    </row>
    <row r="5200" spans="1:4">
      <c r="A5200" s="32">
        <v>45259</v>
      </c>
      <c r="B5200" s="19" t="s">
        <v>8473</v>
      </c>
      <c r="C5200" s="19" t="s">
        <v>8472</v>
      </c>
      <c r="D5200" s="19" t="s">
        <v>74</v>
      </c>
    </row>
    <row r="5201" spans="1:4">
      <c r="A5201" s="32">
        <v>45259</v>
      </c>
      <c r="B5201" s="19" t="s">
        <v>8475</v>
      </c>
      <c r="C5201" s="19" t="s">
        <v>8474</v>
      </c>
      <c r="D5201" s="19" t="s">
        <v>16</v>
      </c>
    </row>
    <row r="5202" spans="1:4">
      <c r="A5202" s="32">
        <v>45238</v>
      </c>
      <c r="B5202" s="19" t="s">
        <v>8478</v>
      </c>
      <c r="C5202" s="19" t="s">
        <v>8476</v>
      </c>
      <c r="D5202" s="19" t="s">
        <v>8477</v>
      </c>
    </row>
    <row r="5203" spans="1:4">
      <c r="A5203" s="32">
        <v>45238</v>
      </c>
      <c r="B5203" s="19" t="s">
        <v>8480</v>
      </c>
      <c r="C5203" s="19" t="s">
        <v>8479</v>
      </c>
      <c r="D5203" s="19" t="s">
        <v>8477</v>
      </c>
    </row>
    <row r="5204" spans="1:4">
      <c r="A5204" s="32">
        <v>45237</v>
      </c>
      <c r="B5204" s="19" t="s">
        <v>8482</v>
      </c>
      <c r="C5204" s="19" t="s">
        <v>8481</v>
      </c>
      <c r="D5204" s="19" t="s">
        <v>8477</v>
      </c>
    </row>
    <row r="5205" spans="1:4">
      <c r="A5205" s="32">
        <v>45239</v>
      </c>
      <c r="B5205" s="19" t="s">
        <v>8484</v>
      </c>
      <c r="C5205" s="19" t="s">
        <v>8483</v>
      </c>
      <c r="D5205" s="19" t="s">
        <v>8477</v>
      </c>
    </row>
    <row r="5206" spans="1:4">
      <c r="A5206" s="32">
        <v>45240</v>
      </c>
      <c r="B5206" s="19" t="s">
        <v>8486</v>
      </c>
      <c r="C5206" s="19" t="s">
        <v>8485</v>
      </c>
      <c r="D5206" s="19" t="s">
        <v>8477</v>
      </c>
    </row>
    <row r="5207" spans="1:4">
      <c r="A5207" s="32">
        <v>45240</v>
      </c>
      <c r="B5207" s="19" t="s">
        <v>8488</v>
      </c>
      <c r="C5207" s="19" t="s">
        <v>8487</v>
      </c>
      <c r="D5207" s="19" t="s">
        <v>8477</v>
      </c>
    </row>
    <row r="5208" spans="1:4">
      <c r="A5208" s="32">
        <v>45240</v>
      </c>
      <c r="B5208" s="19" t="s">
        <v>8490</v>
      </c>
      <c r="C5208" s="19" t="s">
        <v>8489</v>
      </c>
      <c r="D5208" s="19" t="s">
        <v>8477</v>
      </c>
    </row>
    <row r="5209" spans="1:4">
      <c r="A5209" s="32">
        <v>45238</v>
      </c>
      <c r="B5209" s="19" t="s">
        <v>8492</v>
      </c>
      <c r="C5209" s="19" t="s">
        <v>8491</v>
      </c>
      <c r="D5209" s="19" t="s">
        <v>8477</v>
      </c>
    </row>
    <row r="5210" spans="1:4">
      <c r="A5210" s="32">
        <v>45239</v>
      </c>
      <c r="B5210" s="19" t="s">
        <v>8494</v>
      </c>
      <c r="C5210" s="19" t="s">
        <v>8493</v>
      </c>
      <c r="D5210" s="19" t="s">
        <v>8477</v>
      </c>
    </row>
    <row r="5211" spans="1:4">
      <c r="A5211" s="32">
        <v>45265</v>
      </c>
      <c r="B5211" s="19" t="s">
        <v>8496</v>
      </c>
      <c r="C5211" s="19" t="s">
        <v>8495</v>
      </c>
      <c r="D5211" s="19" t="s">
        <v>19</v>
      </c>
    </row>
    <row r="5212" spans="1:4" ht="39">
      <c r="A5212" s="32">
        <v>45258</v>
      </c>
      <c r="B5212" s="60" t="s">
        <v>8498</v>
      </c>
      <c r="C5212" s="19" t="s">
        <v>8497</v>
      </c>
      <c r="D5212" s="19" t="s">
        <v>510</v>
      </c>
    </row>
    <row r="5213" spans="1:4">
      <c r="A5213" s="32">
        <v>45265</v>
      </c>
      <c r="B5213" s="19" t="s">
        <v>8500</v>
      </c>
      <c r="C5213" s="19" t="s">
        <v>8499</v>
      </c>
      <c r="D5213" s="19" t="s">
        <v>19</v>
      </c>
    </row>
    <row r="5214" spans="1:4">
      <c r="A5214" s="32">
        <v>45258</v>
      </c>
      <c r="B5214" s="19" t="s">
        <v>8502</v>
      </c>
      <c r="C5214" s="19" t="s">
        <v>8501</v>
      </c>
      <c r="D5214" s="19" t="s">
        <v>510</v>
      </c>
    </row>
    <row r="5215" spans="1:4">
      <c r="A5215" s="32">
        <v>45258</v>
      </c>
      <c r="B5215" s="19" t="s">
        <v>8504</v>
      </c>
      <c r="C5215" s="19" t="s">
        <v>8503</v>
      </c>
      <c r="D5215" s="19" t="s">
        <v>510</v>
      </c>
    </row>
    <row r="5216" spans="1:4" ht="39">
      <c r="A5216" s="32">
        <v>45265</v>
      </c>
      <c r="B5216" s="60" t="s">
        <v>8506</v>
      </c>
      <c r="C5216" s="19" t="s">
        <v>8505</v>
      </c>
      <c r="D5216" s="19" t="s">
        <v>24</v>
      </c>
    </row>
    <row r="5217" spans="1:4">
      <c r="A5217" s="62">
        <v>45264</v>
      </c>
      <c r="B5217" s="27" t="s">
        <v>8508</v>
      </c>
      <c r="C5217" s="26" t="s">
        <v>8507</v>
      </c>
      <c r="D5217" s="26" t="s">
        <v>74</v>
      </c>
    </row>
    <row r="5218" spans="1:4">
      <c r="A5218" s="32">
        <v>45262</v>
      </c>
      <c r="B5218" s="31" t="s">
        <v>8510</v>
      </c>
      <c r="C5218" s="19" t="s">
        <v>8509</v>
      </c>
      <c r="D5218" s="19" t="s">
        <v>34</v>
      </c>
    </row>
    <row r="5219" spans="1:4">
      <c r="A5219" s="32">
        <v>45264</v>
      </c>
      <c r="B5219" s="31" t="s">
        <v>8508</v>
      </c>
      <c r="C5219" s="19" t="s">
        <v>8507</v>
      </c>
      <c r="D5219" s="19" t="s">
        <v>74</v>
      </c>
    </row>
    <row r="5220" spans="1:4">
      <c r="A5220" s="32">
        <v>45264</v>
      </c>
      <c r="B5220" s="31" t="s">
        <v>8512</v>
      </c>
      <c r="C5220" s="19" t="s">
        <v>8511</v>
      </c>
      <c r="D5220" s="19" t="s">
        <v>74</v>
      </c>
    </row>
    <row r="5221" spans="1:4">
      <c r="A5221" s="32">
        <v>45262</v>
      </c>
      <c r="B5221" s="31" t="s">
        <v>8513</v>
      </c>
      <c r="C5221" s="19" t="s">
        <v>8509</v>
      </c>
      <c r="D5221" s="19" t="s">
        <v>34</v>
      </c>
    </row>
    <row r="5222" spans="1:4">
      <c r="A5222" s="32">
        <v>45255</v>
      </c>
      <c r="B5222" s="31" t="s">
        <v>8514</v>
      </c>
      <c r="C5222" s="19" t="s">
        <v>3954</v>
      </c>
      <c r="D5222" s="19" t="s">
        <v>5</v>
      </c>
    </row>
    <row r="5223" spans="1:4">
      <c r="A5223" s="32">
        <v>45254</v>
      </c>
      <c r="B5223" s="31" t="s">
        <v>8515</v>
      </c>
      <c r="C5223" s="19" t="s">
        <v>3443</v>
      </c>
      <c r="D5223" s="19" t="s">
        <v>74</v>
      </c>
    </row>
    <row r="5224" spans="1:4">
      <c r="A5224" s="32">
        <v>45258</v>
      </c>
      <c r="B5224" s="31" t="s">
        <v>8517</v>
      </c>
      <c r="C5224" s="19" t="s">
        <v>8516</v>
      </c>
      <c r="D5224" s="19" t="s">
        <v>74</v>
      </c>
    </row>
    <row r="5225" spans="1:4">
      <c r="A5225" s="32">
        <v>45258</v>
      </c>
      <c r="B5225" s="31" t="s">
        <v>8519</v>
      </c>
      <c r="C5225" s="19" t="s">
        <v>8518</v>
      </c>
      <c r="D5225" s="19" t="s">
        <v>24</v>
      </c>
    </row>
    <row r="5226" spans="1:4">
      <c r="A5226" s="32">
        <v>45258</v>
      </c>
      <c r="B5226" s="31" t="s">
        <v>8517</v>
      </c>
      <c r="C5226" s="19" t="s">
        <v>8516</v>
      </c>
      <c r="D5226" s="19" t="s">
        <v>74</v>
      </c>
    </row>
    <row r="5227" spans="1:4">
      <c r="A5227" s="32">
        <v>45262</v>
      </c>
      <c r="B5227" s="31" t="s">
        <v>8521</v>
      </c>
      <c r="C5227" s="19" t="s">
        <v>8520</v>
      </c>
      <c r="D5227" s="19" t="s">
        <v>29</v>
      </c>
    </row>
    <row r="5228" spans="1:4">
      <c r="A5228" s="32">
        <v>45258</v>
      </c>
      <c r="B5228" s="31" t="s">
        <v>8522</v>
      </c>
      <c r="C5228" s="19" t="s">
        <v>8337</v>
      </c>
      <c r="D5228" s="19" t="s">
        <v>109</v>
      </c>
    </row>
    <row r="5229" spans="1:4">
      <c r="A5229" s="32">
        <v>45259</v>
      </c>
      <c r="B5229" s="31" t="s">
        <v>8524</v>
      </c>
      <c r="C5229" s="19" t="s">
        <v>8523</v>
      </c>
      <c r="D5229" s="19" t="s">
        <v>24</v>
      </c>
    </row>
    <row r="5230" spans="1:4">
      <c r="A5230" s="32">
        <v>45258</v>
      </c>
      <c r="B5230" s="31" t="s">
        <v>8517</v>
      </c>
      <c r="C5230" s="19" t="s">
        <v>8516</v>
      </c>
      <c r="D5230" s="19" t="s">
        <v>74</v>
      </c>
    </row>
    <row r="5231" spans="1:4">
      <c r="A5231" s="32">
        <v>45258</v>
      </c>
      <c r="B5231" s="31" t="s">
        <v>8526</v>
      </c>
      <c r="C5231" s="19" t="s">
        <v>8525</v>
      </c>
      <c r="D5231" s="19" t="s">
        <v>353</v>
      </c>
    </row>
    <row r="5232" spans="1:4">
      <c r="A5232" s="32">
        <v>45258</v>
      </c>
      <c r="B5232" s="31" t="s">
        <v>8528</v>
      </c>
      <c r="C5232" s="19" t="s">
        <v>8527</v>
      </c>
      <c r="D5232" s="19" t="s">
        <v>353</v>
      </c>
    </row>
    <row r="5233" spans="1:4">
      <c r="A5233" s="32">
        <v>45260</v>
      </c>
      <c r="B5233" s="31" t="s">
        <v>8529</v>
      </c>
      <c r="C5233" s="19" t="s">
        <v>8335</v>
      </c>
      <c r="D5233" s="19" t="s">
        <v>34</v>
      </c>
    </row>
    <row r="5234" spans="1:4">
      <c r="A5234" s="32">
        <v>45255</v>
      </c>
      <c r="B5234" s="31" t="s">
        <v>8340</v>
      </c>
      <c r="C5234" s="19" t="s">
        <v>8339</v>
      </c>
      <c r="D5234" s="19" t="s">
        <v>34</v>
      </c>
    </row>
    <row r="5235" spans="1:4">
      <c r="A5235" s="32">
        <v>45267</v>
      </c>
      <c r="B5235" s="19" t="s">
        <v>8531</v>
      </c>
      <c r="C5235" s="19" t="s">
        <v>8530</v>
      </c>
      <c r="D5235" s="19" t="s">
        <v>29</v>
      </c>
    </row>
    <row r="5236" spans="1:4">
      <c r="A5236" s="32">
        <v>45267</v>
      </c>
      <c r="B5236" s="19" t="s">
        <v>8533</v>
      </c>
      <c r="C5236" s="19" t="s">
        <v>8532</v>
      </c>
      <c r="D5236" s="19" t="s">
        <v>74</v>
      </c>
    </row>
    <row r="5237" spans="1:4">
      <c r="A5237" s="32">
        <v>45267</v>
      </c>
      <c r="B5237" s="19" t="s">
        <v>8535</v>
      </c>
      <c r="C5237" s="19" t="s">
        <v>8534</v>
      </c>
      <c r="D5237" s="19" t="s">
        <v>74</v>
      </c>
    </row>
    <row r="5238" spans="1:4">
      <c r="A5238" s="32">
        <v>45266</v>
      </c>
      <c r="B5238" s="19" t="s">
        <v>8536</v>
      </c>
      <c r="C5238" s="19" t="s">
        <v>5122</v>
      </c>
      <c r="D5238" s="19" t="s">
        <v>19</v>
      </c>
    </row>
    <row r="5239" spans="1:4">
      <c r="A5239" s="32">
        <v>45266</v>
      </c>
      <c r="B5239" s="19" t="s">
        <v>8536</v>
      </c>
      <c r="C5239" s="19" t="s">
        <v>5122</v>
      </c>
      <c r="D5239" s="19" t="s">
        <v>19</v>
      </c>
    </row>
    <row r="5240" spans="1:4">
      <c r="A5240" s="64">
        <v>45266</v>
      </c>
      <c r="B5240" s="29" t="s">
        <v>8536</v>
      </c>
      <c r="C5240" s="29" t="s">
        <v>5122</v>
      </c>
      <c r="D5240" s="29" t="s">
        <v>19</v>
      </c>
    </row>
    <row r="5241" spans="1:4">
      <c r="A5241" s="62">
        <v>45235</v>
      </c>
      <c r="B5241" s="26" t="s">
        <v>8538</v>
      </c>
      <c r="C5241" s="26" t="s">
        <v>8537</v>
      </c>
      <c r="D5241" s="26" t="s">
        <v>29</v>
      </c>
    </row>
    <row r="5242" spans="1:4">
      <c r="A5242" s="62">
        <v>45253</v>
      </c>
      <c r="B5242" s="26" t="s">
        <v>8540</v>
      </c>
      <c r="C5242" s="26" t="s">
        <v>8539</v>
      </c>
      <c r="D5242" s="26" t="s">
        <v>81</v>
      </c>
    </row>
    <row r="5243" spans="1:4">
      <c r="A5243" s="62">
        <v>45226</v>
      </c>
      <c r="B5243" s="26" t="s">
        <v>8542</v>
      </c>
      <c r="C5243" s="26" t="s">
        <v>8541</v>
      </c>
      <c r="D5243" s="26" t="s">
        <v>81</v>
      </c>
    </row>
    <row r="5244" spans="1:4">
      <c r="A5244" s="62">
        <v>45251</v>
      </c>
      <c r="B5244" s="26" t="s">
        <v>8544</v>
      </c>
      <c r="C5244" s="26" t="s">
        <v>8543</v>
      </c>
      <c r="D5244" s="26" t="s">
        <v>11</v>
      </c>
    </row>
    <row r="5245" spans="1:4">
      <c r="A5245" s="62">
        <v>45266</v>
      </c>
      <c r="B5245" s="26" t="s">
        <v>8546</v>
      </c>
      <c r="C5245" s="26" t="s">
        <v>8545</v>
      </c>
      <c r="D5245" s="26" t="s">
        <v>164</v>
      </c>
    </row>
    <row r="5246" spans="1:4">
      <c r="A5246" s="62">
        <v>45266</v>
      </c>
      <c r="B5246" s="26" t="s">
        <v>8548</v>
      </c>
      <c r="C5246" s="26" t="s">
        <v>8547</v>
      </c>
      <c r="D5246" s="26" t="s">
        <v>8</v>
      </c>
    </row>
    <row r="5247" spans="1:4">
      <c r="A5247" s="65">
        <v>45257</v>
      </c>
      <c r="B5247" s="26" t="s">
        <v>8550</v>
      </c>
      <c r="C5247" s="26" t="s">
        <v>8549</v>
      </c>
      <c r="D5247" s="26" t="s">
        <v>5</v>
      </c>
    </row>
    <row r="5248" spans="1:4">
      <c r="A5248" s="62">
        <v>45230</v>
      </c>
      <c r="B5248" s="26" t="s">
        <v>8552</v>
      </c>
      <c r="C5248" s="26" t="s">
        <v>8551</v>
      </c>
      <c r="D5248" s="26" t="s">
        <v>81</v>
      </c>
    </row>
    <row r="5249" spans="1:4">
      <c r="A5249" s="62">
        <v>45245</v>
      </c>
      <c r="B5249" s="26" t="s">
        <v>8554</v>
      </c>
      <c r="C5249" s="26" t="s">
        <v>8553</v>
      </c>
      <c r="D5249" s="26" t="s">
        <v>5</v>
      </c>
    </row>
    <row r="5250" spans="1:4">
      <c r="A5250" s="62">
        <v>45226</v>
      </c>
      <c r="B5250" s="26" t="s">
        <v>8556</v>
      </c>
      <c r="C5250" s="26" t="s">
        <v>8555</v>
      </c>
      <c r="D5250" s="26" t="s">
        <v>81</v>
      </c>
    </row>
    <row r="5251" spans="1:4">
      <c r="A5251" s="62">
        <v>45230</v>
      </c>
      <c r="B5251" s="26" t="s">
        <v>8558</v>
      </c>
      <c r="C5251" s="26" t="s">
        <v>8557</v>
      </c>
      <c r="D5251" s="26" t="s">
        <v>81</v>
      </c>
    </row>
    <row r="5252" spans="1:4">
      <c r="A5252" s="62">
        <v>45253</v>
      </c>
      <c r="B5252" s="26" t="s">
        <v>8560</v>
      </c>
      <c r="C5252" s="26" t="s">
        <v>8559</v>
      </c>
      <c r="D5252" s="26" t="s">
        <v>81</v>
      </c>
    </row>
    <row r="5253" spans="1:4">
      <c r="A5253" s="62">
        <v>45253</v>
      </c>
      <c r="B5253" s="26" t="s">
        <v>8561</v>
      </c>
      <c r="C5253" s="26" t="s">
        <v>3443</v>
      </c>
      <c r="D5253" s="26" t="s">
        <v>74</v>
      </c>
    </row>
    <row r="5254" spans="1:4">
      <c r="A5254" s="62">
        <v>45230</v>
      </c>
      <c r="B5254" s="26" t="s">
        <v>8562</v>
      </c>
      <c r="C5254" s="26" t="s">
        <v>8557</v>
      </c>
      <c r="D5254" s="26" t="s">
        <v>81</v>
      </c>
    </row>
    <row r="5255" spans="1:4">
      <c r="A5255" s="62">
        <v>45237</v>
      </c>
      <c r="B5255" s="26" t="s">
        <v>8563</v>
      </c>
      <c r="C5255" s="26" t="s">
        <v>176</v>
      </c>
      <c r="D5255" s="26" t="s">
        <v>81</v>
      </c>
    </row>
    <row r="5256" spans="1:4">
      <c r="A5256" s="62">
        <v>45237</v>
      </c>
      <c r="B5256" s="26" t="s">
        <v>8564</v>
      </c>
      <c r="C5256" s="26" t="s">
        <v>1763</v>
      </c>
      <c r="D5256" s="26" t="s">
        <v>81</v>
      </c>
    </row>
    <row r="5257" spans="1:4">
      <c r="A5257" s="62">
        <v>45237</v>
      </c>
      <c r="B5257" s="26" t="s">
        <v>8563</v>
      </c>
      <c r="C5257" s="26" t="s">
        <v>176</v>
      </c>
      <c r="D5257" s="26" t="s">
        <v>81</v>
      </c>
    </row>
    <row r="5258" spans="1:4">
      <c r="A5258" s="62">
        <v>45235</v>
      </c>
      <c r="B5258" s="26" t="s">
        <v>8566</v>
      </c>
      <c r="C5258" s="26" t="s">
        <v>8565</v>
      </c>
      <c r="D5258" s="26" t="s">
        <v>29</v>
      </c>
    </row>
    <row r="5259" spans="1:4">
      <c r="A5259" s="62">
        <v>45237</v>
      </c>
      <c r="B5259" s="26" t="s">
        <v>8568</v>
      </c>
      <c r="C5259" s="26" t="s">
        <v>8567</v>
      </c>
      <c r="D5259" s="26" t="s">
        <v>81</v>
      </c>
    </row>
    <row r="5260" spans="1:4">
      <c r="A5260" s="62">
        <v>45226</v>
      </c>
      <c r="B5260" s="26" t="s">
        <v>8570</v>
      </c>
      <c r="C5260" s="26" t="s">
        <v>8569</v>
      </c>
      <c r="D5260" s="26" t="s">
        <v>81</v>
      </c>
    </row>
    <row r="5261" spans="1:4">
      <c r="A5261" s="62">
        <v>45245</v>
      </c>
      <c r="B5261" s="26" t="s">
        <v>8572</v>
      </c>
      <c r="C5261" s="26" t="s">
        <v>8571</v>
      </c>
      <c r="D5261" s="13" t="s">
        <v>216</v>
      </c>
    </row>
    <row r="5262" spans="1:4">
      <c r="A5262" s="62">
        <v>45251</v>
      </c>
      <c r="B5262" s="26" t="s">
        <v>8574</v>
      </c>
      <c r="C5262" s="26" t="s">
        <v>8573</v>
      </c>
      <c r="D5262" s="26" t="s">
        <v>5</v>
      </c>
    </row>
    <row r="5263" spans="1:4">
      <c r="A5263" s="62">
        <v>45241</v>
      </c>
      <c r="B5263" s="26" t="s">
        <v>8576</v>
      </c>
      <c r="C5263" s="26" t="s">
        <v>8575</v>
      </c>
      <c r="D5263" s="26" t="s">
        <v>5</v>
      </c>
    </row>
    <row r="5264" spans="1:4">
      <c r="A5264" s="32">
        <v>45265</v>
      </c>
      <c r="B5264" s="31" t="s">
        <v>8578</v>
      </c>
      <c r="C5264" s="19" t="s">
        <v>8577</v>
      </c>
      <c r="D5264" s="19" t="s">
        <v>74</v>
      </c>
    </row>
    <row r="5265" spans="1:4">
      <c r="A5265" s="32">
        <v>45265</v>
      </c>
      <c r="B5265" s="31" t="s">
        <v>8580</v>
      </c>
      <c r="C5265" s="19" t="s">
        <v>8579</v>
      </c>
      <c r="D5265" s="19" t="s">
        <v>5</v>
      </c>
    </row>
    <row r="5266" spans="1:4">
      <c r="A5266" s="32">
        <v>45265</v>
      </c>
      <c r="B5266" s="31" t="s">
        <v>8582</v>
      </c>
      <c r="C5266" s="19" t="s">
        <v>8581</v>
      </c>
      <c r="D5266" s="19" t="s">
        <v>16</v>
      </c>
    </row>
    <row r="5267" spans="1:4">
      <c r="A5267" s="32">
        <v>45266</v>
      </c>
      <c r="B5267" s="19" t="s">
        <v>8584</v>
      </c>
      <c r="C5267" s="19" t="s">
        <v>8583</v>
      </c>
      <c r="D5267" s="19" t="s">
        <v>5</v>
      </c>
    </row>
    <row r="5268" spans="1:4">
      <c r="A5268" s="32">
        <v>45271</v>
      </c>
      <c r="B5268" s="19" t="s">
        <v>8586</v>
      </c>
      <c r="C5268" s="19" t="s">
        <v>8585</v>
      </c>
      <c r="D5268" s="19" t="s">
        <v>5</v>
      </c>
    </row>
    <row r="5269" spans="1:4">
      <c r="A5269" s="32">
        <v>45267</v>
      </c>
      <c r="B5269" s="19" t="s">
        <v>8588</v>
      </c>
      <c r="C5269" s="19" t="s">
        <v>8587</v>
      </c>
      <c r="D5269" s="19" t="s">
        <v>5</v>
      </c>
    </row>
    <row r="5270" spans="1:4">
      <c r="A5270" s="32">
        <v>45267</v>
      </c>
      <c r="B5270" s="19" t="s">
        <v>8590</v>
      </c>
      <c r="C5270" s="19" t="s">
        <v>8589</v>
      </c>
      <c r="D5270" s="19" t="s">
        <v>5</v>
      </c>
    </row>
    <row r="5271" spans="1:4">
      <c r="A5271" s="32">
        <v>45267</v>
      </c>
      <c r="B5271" s="19" t="s">
        <v>8592</v>
      </c>
      <c r="C5271" s="19" t="s">
        <v>8591</v>
      </c>
      <c r="D5271" s="19" t="s">
        <v>5</v>
      </c>
    </row>
    <row r="5272" spans="1:4">
      <c r="A5272" s="23">
        <v>45251</v>
      </c>
      <c r="B5272" s="13" t="s">
        <v>8594</v>
      </c>
      <c r="C5272" s="13" t="s">
        <v>8593</v>
      </c>
      <c r="D5272" s="13" t="s">
        <v>5</v>
      </c>
    </row>
    <row r="5273" spans="1:4">
      <c r="A5273" s="23">
        <v>45250</v>
      </c>
      <c r="B5273" s="13" t="s">
        <v>8596</v>
      </c>
      <c r="C5273" s="13" t="s">
        <v>8595</v>
      </c>
      <c r="D5273" s="13" t="s">
        <v>5</v>
      </c>
    </row>
    <row r="5274" spans="1:4">
      <c r="A5274" s="23">
        <v>45250</v>
      </c>
      <c r="B5274" s="13" t="s">
        <v>8596</v>
      </c>
      <c r="C5274" s="13" t="s">
        <v>8595</v>
      </c>
      <c r="D5274" s="13" t="s">
        <v>5</v>
      </c>
    </row>
    <row r="5275" spans="1:4">
      <c r="A5275" s="23">
        <v>45251</v>
      </c>
      <c r="B5275" s="13" t="s">
        <v>8594</v>
      </c>
      <c r="C5275" s="13" t="s">
        <v>8593</v>
      </c>
      <c r="D5275" s="13" t="s">
        <v>5</v>
      </c>
    </row>
    <row r="5276" spans="1:4">
      <c r="A5276" s="23">
        <v>45254</v>
      </c>
      <c r="B5276" s="13" t="s">
        <v>8598</v>
      </c>
      <c r="C5276" s="13" t="s">
        <v>8597</v>
      </c>
      <c r="D5276" s="13" t="s">
        <v>5</v>
      </c>
    </row>
    <row r="5277" spans="1:4">
      <c r="A5277" s="23">
        <v>45253</v>
      </c>
      <c r="B5277" s="13" t="s">
        <v>8600</v>
      </c>
      <c r="C5277" s="13" t="s">
        <v>8599</v>
      </c>
      <c r="D5277" s="13" t="s">
        <v>109</v>
      </c>
    </row>
    <row r="5278" spans="1:4">
      <c r="A5278" s="23">
        <v>45253</v>
      </c>
      <c r="B5278" s="13" t="s">
        <v>8602</v>
      </c>
      <c r="C5278" s="13" t="s">
        <v>8601</v>
      </c>
      <c r="D5278" s="13" t="s">
        <v>5</v>
      </c>
    </row>
    <row r="5279" spans="1:4">
      <c r="A5279" s="23">
        <v>45253</v>
      </c>
      <c r="B5279" s="13" t="s">
        <v>8602</v>
      </c>
      <c r="C5279" s="13" t="s">
        <v>8603</v>
      </c>
      <c r="D5279" s="13" t="s">
        <v>5</v>
      </c>
    </row>
    <row r="5280" spans="1:4">
      <c r="A5280" s="23">
        <v>45251</v>
      </c>
      <c r="B5280" s="13" t="s">
        <v>8594</v>
      </c>
      <c r="C5280" s="13" t="s">
        <v>8593</v>
      </c>
      <c r="D5280" s="13" t="s">
        <v>5</v>
      </c>
    </row>
    <row r="5281" spans="1:4">
      <c r="A5281" s="23">
        <v>45251</v>
      </c>
      <c r="B5281" s="13" t="s">
        <v>8594</v>
      </c>
      <c r="C5281" s="13" t="s">
        <v>8593</v>
      </c>
      <c r="D5281" s="13" t="s">
        <v>5</v>
      </c>
    </row>
    <row r="5282" spans="1:4">
      <c r="A5282" s="23">
        <v>45250</v>
      </c>
      <c r="B5282" s="13" t="s">
        <v>8596</v>
      </c>
      <c r="C5282" s="13" t="s">
        <v>8595</v>
      </c>
      <c r="D5282" s="13" t="s">
        <v>5</v>
      </c>
    </row>
    <row r="5283" spans="1:4">
      <c r="A5283" s="23">
        <v>45253</v>
      </c>
      <c r="B5283" s="13" t="s">
        <v>8605</v>
      </c>
      <c r="C5283" s="13" t="s">
        <v>8604</v>
      </c>
      <c r="D5283" s="13" t="s">
        <v>16</v>
      </c>
    </row>
    <row r="5284" spans="1:4">
      <c r="A5284" s="23">
        <v>45253</v>
      </c>
      <c r="B5284" s="13" t="s">
        <v>8602</v>
      </c>
      <c r="C5284" s="13" t="s">
        <v>8601</v>
      </c>
      <c r="D5284" s="13" t="s">
        <v>5</v>
      </c>
    </row>
    <row r="5285" spans="1:4">
      <c r="A5285" s="23">
        <v>45254</v>
      </c>
      <c r="B5285" s="13" t="s">
        <v>8598</v>
      </c>
      <c r="C5285" s="13" t="s">
        <v>8597</v>
      </c>
      <c r="D5285" s="13" t="s">
        <v>5</v>
      </c>
    </row>
    <row r="5286" spans="1:4">
      <c r="A5286" s="23">
        <v>45253</v>
      </c>
      <c r="B5286" s="13" t="s">
        <v>8602</v>
      </c>
      <c r="C5286" s="13" t="s">
        <v>8601</v>
      </c>
      <c r="D5286" s="13" t="s">
        <v>5</v>
      </c>
    </row>
    <row r="5287" spans="1:4">
      <c r="A5287" s="23">
        <v>45254</v>
      </c>
      <c r="B5287" s="13" t="s">
        <v>8598</v>
      </c>
      <c r="C5287" s="13" t="s">
        <v>8597</v>
      </c>
      <c r="D5287" s="13" t="s">
        <v>5</v>
      </c>
    </row>
    <row r="5288" spans="1:4">
      <c r="A5288" s="23">
        <v>45253</v>
      </c>
      <c r="B5288" s="13" t="s">
        <v>8602</v>
      </c>
      <c r="C5288" s="13" t="s">
        <v>8603</v>
      </c>
      <c r="D5288" s="13" t="s">
        <v>5</v>
      </c>
    </row>
    <row r="5289" spans="1:4">
      <c r="A5289" s="23">
        <v>45257</v>
      </c>
      <c r="B5289" s="13" t="s">
        <v>8602</v>
      </c>
      <c r="C5289" s="13" t="s">
        <v>8601</v>
      </c>
      <c r="D5289" s="13" t="s">
        <v>5</v>
      </c>
    </row>
    <row r="5290" spans="1:4">
      <c r="A5290" s="23">
        <v>45258</v>
      </c>
      <c r="B5290" s="13" t="s">
        <v>8600</v>
      </c>
      <c r="C5290" s="13" t="s">
        <v>8599</v>
      </c>
      <c r="D5290" s="13" t="s">
        <v>109</v>
      </c>
    </row>
    <row r="5291" spans="1:4">
      <c r="A5291" s="66">
        <v>44930</v>
      </c>
      <c r="B5291" s="13" t="s">
        <v>8607</v>
      </c>
      <c r="C5291" s="13" t="s">
        <v>8606</v>
      </c>
      <c r="D5291" s="13" t="s">
        <v>5</v>
      </c>
    </row>
    <row r="5292" spans="1:4">
      <c r="A5292" s="67">
        <v>44930</v>
      </c>
      <c r="B5292" s="13" t="s">
        <v>8609</v>
      </c>
      <c r="C5292" s="13" t="s">
        <v>8608</v>
      </c>
      <c r="D5292" s="13" t="s">
        <v>5</v>
      </c>
    </row>
    <row r="5293" spans="1:4">
      <c r="A5293" s="67">
        <v>44931</v>
      </c>
      <c r="B5293" s="13" t="s">
        <v>8611</v>
      </c>
      <c r="C5293" s="13" t="s">
        <v>8610</v>
      </c>
      <c r="D5293" s="13" t="s">
        <v>5</v>
      </c>
    </row>
    <row r="5294" spans="1:4">
      <c r="A5294" s="67">
        <v>44932</v>
      </c>
      <c r="B5294" s="13" t="s">
        <v>8613</v>
      </c>
      <c r="C5294" s="13" t="s">
        <v>8612</v>
      </c>
      <c r="D5294" s="13" t="s">
        <v>16</v>
      </c>
    </row>
    <row r="5295" spans="1:4">
      <c r="A5295" s="67">
        <v>44935</v>
      </c>
      <c r="B5295" s="13" t="s">
        <v>8614</v>
      </c>
      <c r="C5295" s="13" t="s">
        <v>649</v>
      </c>
      <c r="D5295" s="13" t="s">
        <v>109</v>
      </c>
    </row>
    <row r="5296" spans="1:4">
      <c r="A5296" s="67">
        <v>44936</v>
      </c>
      <c r="B5296" s="13" t="s">
        <v>8616</v>
      </c>
      <c r="C5296" s="13" t="s">
        <v>8615</v>
      </c>
      <c r="D5296" s="13" t="s">
        <v>29</v>
      </c>
    </row>
    <row r="5297" spans="1:4">
      <c r="A5297" s="67">
        <v>44936</v>
      </c>
      <c r="B5297" s="13" t="s">
        <v>8618</v>
      </c>
      <c r="C5297" s="13" t="s">
        <v>8617</v>
      </c>
      <c r="D5297" s="13" t="s">
        <v>29</v>
      </c>
    </row>
    <row r="5298" spans="1:4">
      <c r="A5298" s="67">
        <v>44936</v>
      </c>
      <c r="B5298" s="13" t="s">
        <v>8620</v>
      </c>
      <c r="C5298" s="13" t="s">
        <v>8619</v>
      </c>
      <c r="D5298" s="13" t="s">
        <v>29</v>
      </c>
    </row>
    <row r="5299" spans="1:4">
      <c r="A5299" s="67">
        <v>44937</v>
      </c>
      <c r="B5299" s="13" t="s">
        <v>8622</v>
      </c>
      <c r="C5299" s="13" t="s">
        <v>8621</v>
      </c>
      <c r="D5299" s="13" t="s">
        <v>109</v>
      </c>
    </row>
    <row r="5300" spans="1:4">
      <c r="A5300" s="67">
        <v>44937</v>
      </c>
      <c r="B5300" s="13" t="s">
        <v>8624</v>
      </c>
      <c r="C5300" s="13" t="s">
        <v>8623</v>
      </c>
      <c r="D5300" s="13" t="s">
        <v>109</v>
      </c>
    </row>
    <row r="5301" spans="1:4">
      <c r="A5301" s="67">
        <v>44938</v>
      </c>
      <c r="B5301" s="13" t="s">
        <v>8626</v>
      </c>
      <c r="C5301" s="13" t="s">
        <v>8625</v>
      </c>
      <c r="D5301" s="13" t="s">
        <v>109</v>
      </c>
    </row>
    <row r="5302" spans="1:4">
      <c r="A5302" s="67">
        <v>44938</v>
      </c>
      <c r="B5302" s="13" t="s">
        <v>8628</v>
      </c>
      <c r="C5302" s="13" t="s">
        <v>8627</v>
      </c>
      <c r="D5302" s="13" t="s">
        <v>345</v>
      </c>
    </row>
    <row r="5303" spans="1:4">
      <c r="A5303" s="67">
        <v>44939</v>
      </c>
      <c r="B5303" s="13" t="s">
        <v>8630</v>
      </c>
      <c r="C5303" s="13" t="s">
        <v>8629</v>
      </c>
      <c r="D5303" s="13" t="s">
        <v>29</v>
      </c>
    </row>
    <row r="5304" spans="1:4">
      <c r="A5304" s="67">
        <v>44932</v>
      </c>
      <c r="B5304" s="13" t="s">
        <v>8632</v>
      </c>
      <c r="C5304" s="13" t="s">
        <v>8631</v>
      </c>
      <c r="D5304" s="13" t="s">
        <v>109</v>
      </c>
    </row>
    <row r="5305" spans="1:4">
      <c r="A5305" s="67">
        <v>44943</v>
      </c>
      <c r="B5305" s="13" t="s">
        <v>8634</v>
      </c>
      <c r="C5305" s="13" t="s">
        <v>8633</v>
      </c>
      <c r="D5305" s="13" t="s">
        <v>74</v>
      </c>
    </row>
    <row r="5306" spans="1:4">
      <c r="A5306" s="67">
        <v>44944</v>
      </c>
      <c r="B5306" s="13" t="s">
        <v>8636</v>
      </c>
      <c r="C5306" s="13" t="s">
        <v>8635</v>
      </c>
      <c r="D5306" s="13" t="s">
        <v>29</v>
      </c>
    </row>
    <row r="5307" spans="1:4">
      <c r="A5307" s="67">
        <v>44944</v>
      </c>
      <c r="B5307" s="13" t="s">
        <v>8637</v>
      </c>
      <c r="C5307" s="13" t="s">
        <v>6917</v>
      </c>
      <c r="D5307" s="13" t="s">
        <v>74</v>
      </c>
    </row>
    <row r="5308" spans="1:4">
      <c r="A5308" s="67">
        <v>44945</v>
      </c>
      <c r="B5308" s="13" t="s">
        <v>8639</v>
      </c>
      <c r="C5308" s="13" t="s">
        <v>8638</v>
      </c>
      <c r="D5308" s="13" t="s">
        <v>345</v>
      </c>
    </row>
    <row r="5309" spans="1:4">
      <c r="A5309" s="67">
        <v>44945</v>
      </c>
      <c r="B5309" s="13" t="s">
        <v>8641</v>
      </c>
      <c r="C5309" s="13" t="s">
        <v>8640</v>
      </c>
      <c r="D5309" s="13" t="s">
        <v>74</v>
      </c>
    </row>
    <row r="5310" spans="1:4">
      <c r="A5310" s="67">
        <v>44945</v>
      </c>
      <c r="B5310" s="13" t="s">
        <v>8643</v>
      </c>
      <c r="C5310" s="13" t="s">
        <v>8642</v>
      </c>
      <c r="D5310" s="13" t="s">
        <v>345</v>
      </c>
    </row>
    <row r="5311" spans="1:4">
      <c r="A5311" s="67">
        <v>44945</v>
      </c>
      <c r="B5311" s="13" t="s">
        <v>8639</v>
      </c>
      <c r="C5311" s="13" t="s">
        <v>8644</v>
      </c>
      <c r="D5311" s="13" t="s">
        <v>345</v>
      </c>
    </row>
    <row r="5312" spans="1:4">
      <c r="A5312" s="67">
        <v>44946</v>
      </c>
      <c r="B5312" s="13" t="s">
        <v>8646</v>
      </c>
      <c r="C5312" s="13" t="s">
        <v>8645</v>
      </c>
      <c r="D5312" s="13" t="s">
        <v>345</v>
      </c>
    </row>
    <row r="5313" spans="1:4">
      <c r="A5313" s="67">
        <v>44946</v>
      </c>
      <c r="B5313" s="13" t="s">
        <v>8648</v>
      </c>
      <c r="C5313" s="13" t="s">
        <v>8647</v>
      </c>
      <c r="D5313" s="13" t="s">
        <v>24</v>
      </c>
    </row>
    <row r="5314" spans="1:4">
      <c r="A5314" s="67">
        <v>44950</v>
      </c>
      <c r="B5314" s="13" t="s">
        <v>8650</v>
      </c>
      <c r="C5314" s="13" t="s">
        <v>8649</v>
      </c>
      <c r="D5314" s="13" t="s">
        <v>29</v>
      </c>
    </row>
    <row r="5315" spans="1:4">
      <c r="A5315" s="67">
        <v>44950</v>
      </c>
      <c r="B5315" s="13" t="s">
        <v>8652</v>
      </c>
      <c r="C5315" s="13" t="s">
        <v>8651</v>
      </c>
      <c r="D5315" s="13" t="s">
        <v>109</v>
      </c>
    </row>
    <row r="5316" spans="1:4">
      <c r="A5316" s="67">
        <v>44951</v>
      </c>
      <c r="B5316" s="13" t="s">
        <v>8648</v>
      </c>
      <c r="C5316" s="13" t="s">
        <v>8653</v>
      </c>
      <c r="D5316" s="13" t="s">
        <v>24</v>
      </c>
    </row>
    <row r="5317" spans="1:4">
      <c r="A5317" s="67">
        <v>44951</v>
      </c>
      <c r="B5317" s="13" t="s">
        <v>8655</v>
      </c>
      <c r="C5317" s="13" t="s">
        <v>8654</v>
      </c>
      <c r="D5317" s="13" t="s">
        <v>24</v>
      </c>
    </row>
    <row r="5318" spans="1:4">
      <c r="A5318" s="67">
        <v>44952</v>
      </c>
      <c r="B5318" s="13" t="s">
        <v>8657</v>
      </c>
      <c r="C5318" s="13" t="s">
        <v>8656</v>
      </c>
      <c r="D5318" s="13" t="s">
        <v>29</v>
      </c>
    </row>
    <row r="5319" spans="1:4">
      <c r="A5319" s="67">
        <v>44952</v>
      </c>
      <c r="B5319" s="13" t="s">
        <v>8658</v>
      </c>
      <c r="C5319" s="13" t="s">
        <v>8656</v>
      </c>
      <c r="D5319" s="13" t="s">
        <v>29</v>
      </c>
    </row>
    <row r="5320" spans="1:4">
      <c r="A5320" s="67">
        <v>44953</v>
      </c>
      <c r="B5320" s="13" t="s">
        <v>8660</v>
      </c>
      <c r="C5320" s="13" t="s">
        <v>8659</v>
      </c>
      <c r="D5320" s="13" t="s">
        <v>109</v>
      </c>
    </row>
    <row r="5321" spans="1:4">
      <c r="A5321" s="67">
        <v>44953</v>
      </c>
      <c r="B5321" s="13" t="s">
        <v>8660</v>
      </c>
      <c r="C5321" s="13" t="s">
        <v>8659</v>
      </c>
      <c r="D5321" s="13" t="s">
        <v>109</v>
      </c>
    </row>
    <row r="5322" spans="1:4">
      <c r="A5322" s="67">
        <v>44956</v>
      </c>
      <c r="B5322" s="13" t="s">
        <v>8662</v>
      </c>
      <c r="C5322" s="13" t="s">
        <v>8661</v>
      </c>
      <c r="D5322" s="13" t="s">
        <v>29</v>
      </c>
    </row>
    <row r="5323" spans="1:4">
      <c r="A5323" s="67">
        <v>44956</v>
      </c>
      <c r="B5323" s="13" t="s">
        <v>8663</v>
      </c>
      <c r="C5323" s="13" t="s">
        <v>6471</v>
      </c>
      <c r="D5323" s="13" t="s">
        <v>74</v>
      </c>
    </row>
    <row r="5324" spans="1:4">
      <c r="A5324" s="67">
        <v>44956</v>
      </c>
      <c r="B5324" s="13" t="s">
        <v>8665</v>
      </c>
      <c r="C5324" s="13" t="s">
        <v>8664</v>
      </c>
      <c r="D5324" s="13" t="s">
        <v>345</v>
      </c>
    </row>
    <row r="5325" spans="1:4">
      <c r="A5325" s="67">
        <v>44956</v>
      </c>
      <c r="B5325" s="13" t="s">
        <v>8666</v>
      </c>
      <c r="C5325" s="13" t="s">
        <v>8664</v>
      </c>
      <c r="D5325" s="13" t="s">
        <v>345</v>
      </c>
    </row>
    <row r="5326" spans="1:4">
      <c r="A5326" s="67">
        <v>44957</v>
      </c>
      <c r="B5326" s="13" t="s">
        <v>8668</v>
      </c>
      <c r="C5326" s="13" t="s">
        <v>8667</v>
      </c>
      <c r="D5326" s="13" t="s">
        <v>74</v>
      </c>
    </row>
    <row r="5327" spans="1:4">
      <c r="A5327" s="67">
        <v>44929</v>
      </c>
      <c r="B5327" s="13" t="s">
        <v>8670</v>
      </c>
      <c r="C5327" s="13" t="s">
        <v>8669</v>
      </c>
      <c r="D5327" s="13" t="s">
        <v>24</v>
      </c>
    </row>
    <row r="5328" spans="1:4">
      <c r="A5328" s="67">
        <v>44929</v>
      </c>
      <c r="B5328" s="13" t="s">
        <v>8672</v>
      </c>
      <c r="C5328" s="13" t="s">
        <v>8671</v>
      </c>
      <c r="D5328" s="13" t="s">
        <v>8</v>
      </c>
    </row>
    <row r="5329" spans="1:4">
      <c r="A5329" s="67">
        <v>44930</v>
      </c>
      <c r="B5329" s="13" t="s">
        <v>8674</v>
      </c>
      <c r="C5329" s="13" t="s">
        <v>8673</v>
      </c>
      <c r="D5329" s="13" t="s">
        <v>8</v>
      </c>
    </row>
    <row r="5330" spans="1:4">
      <c r="A5330" s="67">
        <v>44931</v>
      </c>
      <c r="B5330" s="13" t="s">
        <v>8675</v>
      </c>
      <c r="C5330" s="13" t="s">
        <v>2799</v>
      </c>
      <c r="D5330" s="13" t="s">
        <v>8</v>
      </c>
    </row>
    <row r="5331" spans="1:4">
      <c r="A5331" s="67">
        <v>44931</v>
      </c>
      <c r="B5331" s="13" t="s">
        <v>8677</v>
      </c>
      <c r="C5331" s="13" t="s">
        <v>8676</v>
      </c>
      <c r="D5331" s="13" t="s">
        <v>8</v>
      </c>
    </row>
    <row r="5332" spans="1:4">
      <c r="A5332" s="67">
        <v>44932</v>
      </c>
      <c r="B5332" s="13" t="s">
        <v>8679</v>
      </c>
      <c r="C5332" s="13" t="s">
        <v>8678</v>
      </c>
      <c r="D5332" s="13" t="s">
        <v>24</v>
      </c>
    </row>
    <row r="5333" spans="1:4">
      <c r="A5333" s="67">
        <v>44933</v>
      </c>
      <c r="B5333" s="13" t="s">
        <v>8681</v>
      </c>
      <c r="C5333" s="13" t="s">
        <v>8680</v>
      </c>
      <c r="D5333" s="13" t="s">
        <v>8</v>
      </c>
    </row>
    <row r="5334" spans="1:4">
      <c r="A5334" s="67">
        <v>44933</v>
      </c>
      <c r="B5334" s="13" t="s">
        <v>8683</v>
      </c>
      <c r="C5334" s="13" t="s">
        <v>8682</v>
      </c>
      <c r="D5334" s="13" t="s">
        <v>8</v>
      </c>
    </row>
    <row r="5335" spans="1:4">
      <c r="A5335" s="67">
        <v>44934</v>
      </c>
      <c r="B5335" s="13" t="s">
        <v>8685</v>
      </c>
      <c r="C5335" s="13" t="s">
        <v>8684</v>
      </c>
      <c r="D5335" s="13" t="s">
        <v>109</v>
      </c>
    </row>
    <row r="5336" spans="1:4">
      <c r="A5336" s="67">
        <v>44934</v>
      </c>
      <c r="B5336" s="13" t="s">
        <v>8687</v>
      </c>
      <c r="C5336" s="13" t="s">
        <v>8686</v>
      </c>
      <c r="D5336" s="13" t="s">
        <v>109</v>
      </c>
    </row>
    <row r="5337" spans="1:4">
      <c r="A5337" s="67">
        <v>44935</v>
      </c>
      <c r="B5337" s="13" t="s">
        <v>8689</v>
      </c>
      <c r="C5337" s="13" t="s">
        <v>8688</v>
      </c>
      <c r="D5337" s="13" t="s">
        <v>16</v>
      </c>
    </row>
    <row r="5338" spans="1:4">
      <c r="A5338" s="67">
        <v>44935</v>
      </c>
      <c r="B5338" s="13" t="s">
        <v>8691</v>
      </c>
      <c r="C5338" s="13" t="s">
        <v>8690</v>
      </c>
      <c r="D5338" s="13" t="s">
        <v>216</v>
      </c>
    </row>
    <row r="5339" spans="1:4">
      <c r="A5339" s="67">
        <v>44936</v>
      </c>
      <c r="B5339" s="13" t="s">
        <v>8693</v>
      </c>
      <c r="C5339" s="13" t="s">
        <v>8692</v>
      </c>
      <c r="D5339" s="13" t="s">
        <v>510</v>
      </c>
    </row>
    <row r="5340" spans="1:4">
      <c r="A5340" s="67">
        <v>44936</v>
      </c>
      <c r="B5340" s="13" t="s">
        <v>8695</v>
      </c>
      <c r="C5340" s="13" t="s">
        <v>8694</v>
      </c>
      <c r="D5340" s="13" t="s">
        <v>81</v>
      </c>
    </row>
    <row r="5341" spans="1:4">
      <c r="A5341" s="67">
        <v>44936</v>
      </c>
      <c r="B5341" s="13" t="s">
        <v>8696</v>
      </c>
      <c r="C5341" s="13" t="s">
        <v>83</v>
      </c>
      <c r="D5341" s="13" t="s">
        <v>81</v>
      </c>
    </row>
    <row r="5342" spans="1:4">
      <c r="A5342" s="67">
        <v>44936</v>
      </c>
      <c r="B5342" s="13" t="s">
        <v>8697</v>
      </c>
      <c r="C5342" s="13" t="s">
        <v>83</v>
      </c>
      <c r="D5342" s="13" t="s">
        <v>81</v>
      </c>
    </row>
    <row r="5343" spans="1:4">
      <c r="A5343" s="67">
        <v>44936</v>
      </c>
      <c r="B5343" s="13" t="s">
        <v>8698</v>
      </c>
      <c r="C5343" s="13" t="s">
        <v>312</v>
      </c>
      <c r="D5343" s="13" t="s">
        <v>81</v>
      </c>
    </row>
    <row r="5344" spans="1:4">
      <c r="A5344" s="67">
        <v>44937</v>
      </c>
      <c r="B5344" s="13" t="s">
        <v>8700</v>
      </c>
      <c r="C5344" s="13" t="s">
        <v>8699</v>
      </c>
      <c r="D5344" s="13" t="s">
        <v>34</v>
      </c>
    </row>
    <row r="5345" spans="1:4">
      <c r="A5345" s="67">
        <v>44937</v>
      </c>
      <c r="B5345" s="13" t="s">
        <v>8702</v>
      </c>
      <c r="C5345" s="13" t="s">
        <v>8701</v>
      </c>
      <c r="D5345" s="13" t="s">
        <v>34</v>
      </c>
    </row>
    <row r="5346" spans="1:4">
      <c r="A5346" s="67">
        <v>44939</v>
      </c>
      <c r="B5346" s="13" t="s">
        <v>8703</v>
      </c>
      <c r="C5346" s="13" t="s">
        <v>1763</v>
      </c>
      <c r="D5346" s="13" t="s">
        <v>81</v>
      </c>
    </row>
    <row r="5347" spans="1:4">
      <c r="A5347" s="67">
        <v>44939</v>
      </c>
      <c r="B5347" s="13" t="s">
        <v>8704</v>
      </c>
      <c r="C5347" s="13" t="s">
        <v>1763</v>
      </c>
      <c r="D5347" s="13" t="s">
        <v>81</v>
      </c>
    </row>
    <row r="5348" spans="1:4">
      <c r="A5348" s="67">
        <v>44939</v>
      </c>
      <c r="B5348" s="13" t="s">
        <v>8705</v>
      </c>
      <c r="C5348" s="13" t="s">
        <v>1763</v>
      </c>
      <c r="D5348" s="13" t="s">
        <v>81</v>
      </c>
    </row>
    <row r="5349" spans="1:4">
      <c r="A5349" s="67">
        <v>44940</v>
      </c>
      <c r="B5349" s="13" t="s">
        <v>8707</v>
      </c>
      <c r="C5349" s="13" t="s">
        <v>8706</v>
      </c>
      <c r="D5349" s="13" t="s">
        <v>34</v>
      </c>
    </row>
    <row r="5350" spans="1:4">
      <c r="A5350" s="67">
        <v>44940</v>
      </c>
      <c r="B5350" s="13" t="s">
        <v>8708</v>
      </c>
      <c r="C5350" s="13" t="s">
        <v>8706</v>
      </c>
      <c r="D5350" s="13" t="s">
        <v>34</v>
      </c>
    </row>
    <row r="5351" spans="1:4">
      <c r="A5351" s="67">
        <v>44941</v>
      </c>
      <c r="B5351" s="13" t="s">
        <v>8710</v>
      </c>
      <c r="C5351" s="13" t="s">
        <v>8709</v>
      </c>
      <c r="D5351" s="13" t="s">
        <v>8</v>
      </c>
    </row>
    <row r="5352" spans="1:4">
      <c r="A5352" s="67">
        <v>44938</v>
      </c>
      <c r="B5352" s="13" t="s">
        <v>8712</v>
      </c>
      <c r="C5352" s="13" t="s">
        <v>8711</v>
      </c>
      <c r="D5352" s="13" t="s">
        <v>353</v>
      </c>
    </row>
    <row r="5353" spans="1:4">
      <c r="A5353" s="67">
        <v>44938</v>
      </c>
      <c r="B5353" s="13" t="s">
        <v>8712</v>
      </c>
      <c r="C5353" s="13" t="s">
        <v>8711</v>
      </c>
      <c r="D5353" s="13" t="s">
        <v>353</v>
      </c>
    </row>
    <row r="5354" spans="1:4">
      <c r="A5354" s="67">
        <v>44944</v>
      </c>
      <c r="B5354" s="13" t="s">
        <v>8713</v>
      </c>
      <c r="C5354" s="13" t="s">
        <v>1873</v>
      </c>
      <c r="D5354" s="13" t="s">
        <v>8</v>
      </c>
    </row>
    <row r="5355" spans="1:4">
      <c r="A5355" s="67">
        <v>44950</v>
      </c>
      <c r="B5355" s="13" t="s">
        <v>8715</v>
      </c>
      <c r="C5355" s="13" t="s">
        <v>8714</v>
      </c>
      <c r="D5355" s="13" t="s">
        <v>24</v>
      </c>
    </row>
    <row r="5356" spans="1:4">
      <c r="A5356" s="67">
        <v>44950</v>
      </c>
      <c r="B5356" s="13" t="s">
        <v>8717</v>
      </c>
      <c r="C5356" s="13" t="s">
        <v>8716</v>
      </c>
      <c r="D5356" s="13" t="s">
        <v>24</v>
      </c>
    </row>
    <row r="5357" spans="1:4">
      <c r="A5357" s="67">
        <v>44950</v>
      </c>
      <c r="B5357" s="13" t="s">
        <v>8719</v>
      </c>
      <c r="C5357" s="13" t="s">
        <v>8718</v>
      </c>
      <c r="D5357" s="13" t="s">
        <v>81</v>
      </c>
    </row>
    <row r="5358" spans="1:4">
      <c r="A5358" s="67">
        <v>44950</v>
      </c>
      <c r="B5358" s="13" t="s">
        <v>8719</v>
      </c>
      <c r="C5358" s="13" t="s">
        <v>8720</v>
      </c>
      <c r="D5358" s="13" t="s">
        <v>81</v>
      </c>
    </row>
    <row r="5359" spans="1:4">
      <c r="A5359" s="67">
        <v>44950</v>
      </c>
      <c r="B5359" s="13" t="s">
        <v>8719</v>
      </c>
      <c r="C5359" s="13" t="s">
        <v>8720</v>
      </c>
      <c r="D5359" s="13" t="s">
        <v>81</v>
      </c>
    </row>
    <row r="5360" spans="1:4">
      <c r="A5360" s="67">
        <v>44950</v>
      </c>
      <c r="B5360" s="13" t="s">
        <v>8719</v>
      </c>
      <c r="C5360" s="13" t="s">
        <v>83</v>
      </c>
      <c r="D5360" s="13" t="s">
        <v>81</v>
      </c>
    </row>
    <row r="5361" spans="1:4">
      <c r="A5361" s="67">
        <v>44950</v>
      </c>
      <c r="B5361" s="13" t="s">
        <v>8719</v>
      </c>
      <c r="C5361" s="13" t="s">
        <v>8721</v>
      </c>
      <c r="D5361" s="13" t="s">
        <v>81</v>
      </c>
    </row>
    <row r="5362" spans="1:4">
      <c r="A5362" s="67">
        <v>44951</v>
      </c>
      <c r="B5362" s="13" t="s">
        <v>8723</v>
      </c>
      <c r="C5362" s="13" t="s">
        <v>8722</v>
      </c>
      <c r="D5362" s="13" t="s">
        <v>24</v>
      </c>
    </row>
    <row r="5363" spans="1:4">
      <c r="A5363" s="67">
        <v>44951</v>
      </c>
      <c r="B5363" s="13" t="s">
        <v>8725</v>
      </c>
      <c r="C5363" s="13" t="s">
        <v>8724</v>
      </c>
      <c r="D5363" s="13" t="s">
        <v>24</v>
      </c>
    </row>
    <row r="5364" spans="1:4">
      <c r="A5364" s="67">
        <v>44947</v>
      </c>
      <c r="B5364" s="13" t="s">
        <v>8726</v>
      </c>
      <c r="C5364" s="13" t="s">
        <v>1873</v>
      </c>
      <c r="D5364" s="13" t="s">
        <v>8</v>
      </c>
    </row>
    <row r="5365" spans="1:4">
      <c r="A5365" s="67">
        <v>44947</v>
      </c>
      <c r="B5365" s="13" t="s">
        <v>8727</v>
      </c>
      <c r="C5365" s="13" t="s">
        <v>1873</v>
      </c>
      <c r="D5365" s="13" t="s">
        <v>8</v>
      </c>
    </row>
    <row r="5366" spans="1:4">
      <c r="A5366" s="67">
        <v>44952</v>
      </c>
      <c r="B5366" s="13" t="s">
        <v>8729</v>
      </c>
      <c r="C5366" s="13" t="s">
        <v>8728</v>
      </c>
      <c r="D5366" s="13" t="s">
        <v>24</v>
      </c>
    </row>
    <row r="5367" spans="1:4">
      <c r="A5367" s="67">
        <v>44952</v>
      </c>
      <c r="B5367" s="13" t="s">
        <v>8731</v>
      </c>
      <c r="C5367" s="13" t="s">
        <v>8730</v>
      </c>
      <c r="D5367" s="13" t="s">
        <v>24</v>
      </c>
    </row>
    <row r="5368" spans="1:4">
      <c r="A5368" s="67">
        <v>44957</v>
      </c>
      <c r="B5368" s="13" t="s">
        <v>8733</v>
      </c>
      <c r="C5368" s="13" t="s">
        <v>8732</v>
      </c>
      <c r="D5368" s="13" t="s">
        <v>510</v>
      </c>
    </row>
    <row r="5369" spans="1:4">
      <c r="A5369" s="67">
        <v>44957</v>
      </c>
      <c r="B5369" s="13" t="s">
        <v>8735</v>
      </c>
      <c r="C5369" s="13" t="s">
        <v>8734</v>
      </c>
      <c r="D5369" s="13" t="s">
        <v>510</v>
      </c>
    </row>
    <row r="5370" spans="1:4">
      <c r="A5370" s="67">
        <v>44949</v>
      </c>
      <c r="B5370" s="13" t="s">
        <v>8737</v>
      </c>
      <c r="C5370" s="13" t="s">
        <v>8736</v>
      </c>
      <c r="D5370" s="13" t="s">
        <v>5</v>
      </c>
    </row>
    <row r="5371" spans="1:4">
      <c r="A5371" s="67">
        <v>44952</v>
      </c>
      <c r="B5371" s="13" t="s">
        <v>8719</v>
      </c>
      <c r="C5371" s="13" t="s">
        <v>83</v>
      </c>
      <c r="D5371" s="13" t="s">
        <v>81</v>
      </c>
    </row>
    <row r="5372" spans="1:4">
      <c r="A5372" s="67">
        <v>44952</v>
      </c>
      <c r="B5372" s="13" t="s">
        <v>8719</v>
      </c>
      <c r="C5372" s="13" t="s">
        <v>83</v>
      </c>
      <c r="D5372" s="13" t="s">
        <v>81</v>
      </c>
    </row>
    <row r="5373" spans="1:4">
      <c r="A5373" s="67">
        <v>44952</v>
      </c>
      <c r="B5373" s="13" t="s">
        <v>8739</v>
      </c>
      <c r="C5373" s="13" t="s">
        <v>8738</v>
      </c>
      <c r="D5373" s="13" t="s">
        <v>81</v>
      </c>
    </row>
    <row r="5374" spans="1:4">
      <c r="A5374" s="67">
        <v>44952</v>
      </c>
      <c r="B5374" s="13" t="s">
        <v>8740</v>
      </c>
      <c r="C5374" s="13" t="s">
        <v>231</v>
      </c>
      <c r="D5374" s="13" t="s">
        <v>81</v>
      </c>
    </row>
    <row r="5375" spans="1:4">
      <c r="A5375" s="67">
        <v>44957</v>
      </c>
      <c r="B5375" s="13" t="s">
        <v>8742</v>
      </c>
      <c r="C5375" s="13" t="s">
        <v>8741</v>
      </c>
      <c r="D5375" s="13" t="s">
        <v>81</v>
      </c>
    </row>
    <row r="5376" spans="1:4">
      <c r="A5376" s="67">
        <v>44957</v>
      </c>
      <c r="B5376" s="13" t="s">
        <v>8743</v>
      </c>
      <c r="C5376" s="13" t="s">
        <v>83</v>
      </c>
      <c r="D5376" s="13" t="s">
        <v>81</v>
      </c>
    </row>
    <row r="5377" spans="1:4">
      <c r="A5377" s="67">
        <v>44957</v>
      </c>
      <c r="B5377" s="13" t="s">
        <v>8744</v>
      </c>
      <c r="C5377" s="13" t="s">
        <v>91</v>
      </c>
      <c r="D5377" s="13" t="s">
        <v>81</v>
      </c>
    </row>
    <row r="5378" spans="1:4">
      <c r="A5378" s="67">
        <v>44957</v>
      </c>
      <c r="B5378" s="13" t="s">
        <v>8745</v>
      </c>
      <c r="C5378" s="13" t="s">
        <v>83</v>
      </c>
      <c r="D5378" s="13" t="s">
        <v>81</v>
      </c>
    </row>
    <row r="5379" spans="1:4">
      <c r="A5379" s="67">
        <v>44957</v>
      </c>
      <c r="B5379" s="13" t="s">
        <v>8747</v>
      </c>
      <c r="C5379" s="13" t="s">
        <v>8746</v>
      </c>
      <c r="D5379" s="13" t="s">
        <v>164</v>
      </c>
    </row>
    <row r="5380" spans="1:4">
      <c r="A5380" s="67">
        <v>44957</v>
      </c>
      <c r="B5380" s="13" t="s">
        <v>8749</v>
      </c>
      <c r="C5380" s="13" t="s">
        <v>8748</v>
      </c>
      <c r="D5380" s="13" t="s">
        <v>164</v>
      </c>
    </row>
    <row r="5381" spans="1:4">
      <c r="A5381" s="67">
        <v>44957</v>
      </c>
      <c r="B5381" s="13" t="s">
        <v>8751</v>
      </c>
      <c r="C5381" s="13" t="s">
        <v>8750</v>
      </c>
      <c r="D5381" s="13" t="s">
        <v>353</v>
      </c>
    </row>
    <row r="5382" spans="1:4">
      <c r="A5382" s="67">
        <v>44957</v>
      </c>
      <c r="B5382" s="13" t="s">
        <v>8753</v>
      </c>
      <c r="C5382" s="13" t="s">
        <v>8752</v>
      </c>
      <c r="D5382" s="13" t="s">
        <v>353</v>
      </c>
    </row>
    <row r="5383" spans="1:4">
      <c r="A5383" s="67">
        <v>44929</v>
      </c>
      <c r="B5383" s="13" t="s">
        <v>8755</v>
      </c>
      <c r="C5383" s="13" t="s">
        <v>8754</v>
      </c>
      <c r="D5383" s="13" t="s">
        <v>345</v>
      </c>
    </row>
    <row r="5384" spans="1:4">
      <c r="A5384" s="67">
        <v>44930</v>
      </c>
      <c r="B5384" s="13" t="s">
        <v>8757</v>
      </c>
      <c r="C5384" s="13" t="s">
        <v>8756</v>
      </c>
      <c r="D5384" s="13" t="s">
        <v>16</v>
      </c>
    </row>
    <row r="5385" spans="1:4">
      <c r="A5385" s="67">
        <v>44931</v>
      </c>
      <c r="B5385" s="13" t="s">
        <v>8759</v>
      </c>
      <c r="C5385" s="13" t="s">
        <v>8758</v>
      </c>
      <c r="D5385" s="13" t="s">
        <v>345</v>
      </c>
    </row>
    <row r="5386" spans="1:4">
      <c r="A5386" s="67">
        <v>44931</v>
      </c>
      <c r="B5386" s="13" t="s">
        <v>8761</v>
      </c>
      <c r="C5386" s="13" t="s">
        <v>8760</v>
      </c>
      <c r="D5386" s="13" t="s">
        <v>345</v>
      </c>
    </row>
    <row r="5387" spans="1:4">
      <c r="A5387" s="67">
        <v>44932</v>
      </c>
      <c r="B5387" s="13" t="s">
        <v>8763</v>
      </c>
      <c r="C5387" s="13" t="s">
        <v>8762</v>
      </c>
      <c r="D5387" s="13" t="s">
        <v>345</v>
      </c>
    </row>
    <row r="5388" spans="1:4">
      <c r="A5388" s="67">
        <v>44932</v>
      </c>
      <c r="B5388" s="13" t="s">
        <v>8755</v>
      </c>
      <c r="C5388" s="13" t="s">
        <v>8754</v>
      </c>
      <c r="D5388" s="13" t="s">
        <v>345</v>
      </c>
    </row>
    <row r="5389" spans="1:4">
      <c r="A5389" s="67">
        <v>44938</v>
      </c>
      <c r="B5389" s="13" t="s">
        <v>8765</v>
      </c>
      <c r="C5389" s="13" t="s">
        <v>8764</v>
      </c>
      <c r="D5389" s="13" t="s">
        <v>16</v>
      </c>
    </row>
    <row r="5390" spans="1:4">
      <c r="A5390" s="67">
        <v>44938</v>
      </c>
      <c r="B5390" s="13" t="s">
        <v>8767</v>
      </c>
      <c r="C5390" s="13" t="s">
        <v>8766</v>
      </c>
      <c r="D5390" s="13" t="s">
        <v>345</v>
      </c>
    </row>
    <row r="5391" spans="1:4">
      <c r="A5391" s="67">
        <v>44940</v>
      </c>
      <c r="B5391" s="13" t="s">
        <v>8769</v>
      </c>
      <c r="C5391" s="13" t="s">
        <v>8768</v>
      </c>
      <c r="D5391" s="13" t="s">
        <v>109</v>
      </c>
    </row>
    <row r="5392" spans="1:4">
      <c r="A5392" s="67">
        <v>44939</v>
      </c>
      <c r="B5392" s="13" t="s">
        <v>8771</v>
      </c>
      <c r="C5392" s="13" t="s">
        <v>8770</v>
      </c>
      <c r="D5392" s="13" t="s">
        <v>29</v>
      </c>
    </row>
    <row r="5393" spans="1:4">
      <c r="A5393" s="67">
        <v>44942</v>
      </c>
      <c r="B5393" s="13" t="s">
        <v>8773</v>
      </c>
      <c r="C5393" s="13" t="s">
        <v>8772</v>
      </c>
      <c r="D5393" s="13" t="s">
        <v>345</v>
      </c>
    </row>
    <row r="5394" spans="1:4">
      <c r="A5394" s="67">
        <v>44943</v>
      </c>
      <c r="B5394" s="13" t="s">
        <v>8775</v>
      </c>
      <c r="C5394" s="13" t="s">
        <v>8774</v>
      </c>
      <c r="D5394" s="13" t="s">
        <v>345</v>
      </c>
    </row>
    <row r="5395" spans="1:4">
      <c r="A5395" s="67">
        <v>44943</v>
      </c>
      <c r="B5395" s="13" t="s">
        <v>8777</v>
      </c>
      <c r="C5395" s="13" t="s">
        <v>8776</v>
      </c>
      <c r="D5395" s="13" t="s">
        <v>345</v>
      </c>
    </row>
    <row r="5396" spans="1:4">
      <c r="A5396" s="67">
        <v>44944</v>
      </c>
      <c r="B5396" s="13" t="s">
        <v>3851</v>
      </c>
      <c r="C5396" s="13" t="s">
        <v>8778</v>
      </c>
      <c r="D5396" s="13" t="s">
        <v>29</v>
      </c>
    </row>
    <row r="5397" spans="1:4">
      <c r="A5397" s="67">
        <v>44944</v>
      </c>
      <c r="B5397" s="13" t="s">
        <v>8780</v>
      </c>
      <c r="C5397" s="13" t="s">
        <v>8779</v>
      </c>
      <c r="D5397" s="13" t="s">
        <v>16</v>
      </c>
    </row>
    <row r="5398" spans="1:4">
      <c r="A5398" s="67">
        <v>44944</v>
      </c>
      <c r="B5398" s="13" t="s">
        <v>8782</v>
      </c>
      <c r="C5398" s="13" t="s">
        <v>8781</v>
      </c>
      <c r="D5398" s="13" t="s">
        <v>345</v>
      </c>
    </row>
    <row r="5399" spans="1:4">
      <c r="A5399" s="67">
        <v>44945</v>
      </c>
      <c r="B5399" s="13" t="s">
        <v>8784</v>
      </c>
      <c r="C5399" s="13" t="s">
        <v>8783</v>
      </c>
      <c r="D5399" s="13" t="s">
        <v>345</v>
      </c>
    </row>
    <row r="5400" spans="1:4">
      <c r="A5400" s="67">
        <v>44945</v>
      </c>
      <c r="B5400" s="13" t="s">
        <v>8786</v>
      </c>
      <c r="C5400" s="13" t="s">
        <v>8785</v>
      </c>
      <c r="D5400" s="13" t="s">
        <v>345</v>
      </c>
    </row>
    <row r="5401" spans="1:4">
      <c r="A5401" s="67">
        <v>44945</v>
      </c>
      <c r="B5401" s="13" t="s">
        <v>8788</v>
      </c>
      <c r="C5401" s="13" t="s">
        <v>8787</v>
      </c>
      <c r="D5401" s="13" t="s">
        <v>29</v>
      </c>
    </row>
    <row r="5402" spans="1:4">
      <c r="A5402" s="67">
        <v>44946</v>
      </c>
      <c r="B5402" s="13" t="s">
        <v>8790</v>
      </c>
      <c r="C5402" s="13" t="s">
        <v>8789</v>
      </c>
      <c r="D5402" s="13" t="s">
        <v>109</v>
      </c>
    </row>
    <row r="5403" spans="1:4">
      <c r="A5403" s="67">
        <v>44952</v>
      </c>
      <c r="B5403" s="13" t="s">
        <v>8792</v>
      </c>
      <c r="C5403" s="13" t="s">
        <v>8791</v>
      </c>
      <c r="D5403" s="13" t="s">
        <v>29</v>
      </c>
    </row>
    <row r="5404" spans="1:4">
      <c r="A5404" s="67">
        <v>44953</v>
      </c>
      <c r="B5404" s="13" t="s">
        <v>8794</v>
      </c>
      <c r="C5404" s="13" t="s">
        <v>8793</v>
      </c>
      <c r="D5404" s="13" t="s">
        <v>29</v>
      </c>
    </row>
    <row r="5405" spans="1:4">
      <c r="A5405" s="67">
        <v>44953</v>
      </c>
      <c r="B5405" s="13" t="s">
        <v>8796</v>
      </c>
      <c r="C5405" s="13" t="s">
        <v>8795</v>
      </c>
      <c r="D5405" s="13" t="s">
        <v>29</v>
      </c>
    </row>
    <row r="5406" spans="1:4">
      <c r="A5406" s="67">
        <v>44953</v>
      </c>
      <c r="B5406" s="13" t="s">
        <v>8761</v>
      </c>
      <c r="C5406" s="13" t="s">
        <v>8797</v>
      </c>
      <c r="D5406" s="13" t="s">
        <v>345</v>
      </c>
    </row>
    <row r="5407" spans="1:4">
      <c r="A5407" s="67">
        <v>44953</v>
      </c>
      <c r="B5407" s="13" t="s">
        <v>8799</v>
      </c>
      <c r="C5407" s="13" t="s">
        <v>8798</v>
      </c>
      <c r="D5407" s="13" t="s">
        <v>16</v>
      </c>
    </row>
    <row r="5408" spans="1:4">
      <c r="A5408" s="67">
        <v>44956</v>
      </c>
      <c r="B5408" s="13" t="s">
        <v>8801</v>
      </c>
      <c r="C5408" s="13" t="s">
        <v>8800</v>
      </c>
      <c r="D5408" s="13" t="s">
        <v>16</v>
      </c>
    </row>
    <row r="5409" spans="1:4">
      <c r="A5409" s="67">
        <v>44956</v>
      </c>
      <c r="B5409" s="13" t="s">
        <v>8803</v>
      </c>
      <c r="C5409" s="13" t="s">
        <v>8802</v>
      </c>
      <c r="D5409" s="13" t="s">
        <v>345</v>
      </c>
    </row>
    <row r="5410" spans="1:4">
      <c r="A5410" s="67">
        <v>44957</v>
      </c>
      <c r="B5410" s="13" t="s">
        <v>8805</v>
      </c>
      <c r="C5410" s="13" t="s">
        <v>8804</v>
      </c>
      <c r="D5410" s="13" t="s">
        <v>345</v>
      </c>
    </row>
    <row r="5411" spans="1:4">
      <c r="A5411" s="67">
        <v>44957</v>
      </c>
      <c r="B5411" s="13" t="s">
        <v>8807</v>
      </c>
      <c r="C5411" s="13" t="s">
        <v>8806</v>
      </c>
      <c r="D5411" s="13" t="s">
        <v>345</v>
      </c>
    </row>
    <row r="5412" spans="1:4">
      <c r="A5412" s="67">
        <v>44935</v>
      </c>
      <c r="B5412" s="13" t="s">
        <v>8809</v>
      </c>
      <c r="C5412" s="13" t="s">
        <v>8808</v>
      </c>
      <c r="D5412" s="13" t="s">
        <v>345</v>
      </c>
    </row>
    <row r="5413" spans="1:4">
      <c r="A5413" s="67">
        <v>44935</v>
      </c>
      <c r="B5413" s="13" t="s">
        <v>8811</v>
      </c>
      <c r="C5413" s="13" t="s">
        <v>8810</v>
      </c>
      <c r="D5413" s="13" t="s">
        <v>345</v>
      </c>
    </row>
    <row r="5414" spans="1:4">
      <c r="A5414" s="67">
        <v>44935</v>
      </c>
      <c r="B5414" s="13" t="s">
        <v>8813</v>
      </c>
      <c r="C5414" s="13" t="s">
        <v>8812</v>
      </c>
      <c r="D5414" s="13" t="s">
        <v>345</v>
      </c>
    </row>
    <row r="5415" spans="1:4">
      <c r="A5415" s="67">
        <v>44937</v>
      </c>
      <c r="B5415" s="13" t="s">
        <v>8815</v>
      </c>
      <c r="C5415" s="13" t="s">
        <v>8814</v>
      </c>
      <c r="D5415" s="13" t="s">
        <v>81</v>
      </c>
    </row>
    <row r="5416" spans="1:4">
      <c r="A5416" s="67">
        <v>44937</v>
      </c>
      <c r="B5416" s="13" t="s">
        <v>8815</v>
      </c>
      <c r="C5416" s="13" t="s">
        <v>8814</v>
      </c>
      <c r="D5416" s="13" t="s">
        <v>81</v>
      </c>
    </row>
    <row r="5417" spans="1:4">
      <c r="A5417" s="67">
        <v>44937</v>
      </c>
      <c r="B5417" s="13" t="s">
        <v>8815</v>
      </c>
      <c r="C5417" s="13" t="s">
        <v>8814</v>
      </c>
      <c r="D5417" s="13" t="s">
        <v>81</v>
      </c>
    </row>
    <row r="5418" spans="1:4">
      <c r="A5418" s="67">
        <v>44938</v>
      </c>
      <c r="B5418" s="13" t="s">
        <v>8817</v>
      </c>
      <c r="C5418" s="13" t="s">
        <v>8816</v>
      </c>
      <c r="D5418" s="13" t="s">
        <v>81</v>
      </c>
    </row>
    <row r="5419" spans="1:4">
      <c r="A5419" s="67">
        <v>44938</v>
      </c>
      <c r="B5419" s="13" t="s">
        <v>8819</v>
      </c>
      <c r="C5419" s="13" t="s">
        <v>8818</v>
      </c>
      <c r="D5419" s="13" t="s">
        <v>81</v>
      </c>
    </row>
    <row r="5420" spans="1:4">
      <c r="A5420" s="67">
        <v>44938</v>
      </c>
      <c r="B5420" s="13" t="s">
        <v>8820</v>
      </c>
      <c r="C5420" s="13" t="s">
        <v>85</v>
      </c>
      <c r="D5420" s="13" t="s">
        <v>81</v>
      </c>
    </row>
    <row r="5421" spans="1:4">
      <c r="A5421" s="67">
        <v>44938</v>
      </c>
      <c r="B5421" s="13" t="s">
        <v>8821</v>
      </c>
      <c r="C5421" s="13" t="s">
        <v>4432</v>
      </c>
      <c r="D5421" s="13" t="s">
        <v>109</v>
      </c>
    </row>
    <row r="5422" spans="1:4">
      <c r="A5422" s="67">
        <v>44938</v>
      </c>
      <c r="B5422" s="13" t="s">
        <v>8822</v>
      </c>
      <c r="C5422" s="13" t="s">
        <v>4432</v>
      </c>
      <c r="D5422" s="13" t="s">
        <v>109</v>
      </c>
    </row>
    <row r="5423" spans="1:4">
      <c r="A5423" s="67">
        <v>44942</v>
      </c>
      <c r="B5423" s="13" t="s">
        <v>8823</v>
      </c>
      <c r="C5423" s="13" t="s">
        <v>8146</v>
      </c>
      <c r="D5423" s="13" t="s">
        <v>5</v>
      </c>
    </row>
    <row r="5424" spans="1:4">
      <c r="A5424" s="67">
        <v>44943</v>
      </c>
      <c r="B5424" s="13" t="s">
        <v>8825</v>
      </c>
      <c r="C5424" s="13" t="s">
        <v>8824</v>
      </c>
      <c r="D5424" s="13" t="s">
        <v>74</v>
      </c>
    </row>
    <row r="5425" spans="1:4">
      <c r="A5425" s="67">
        <v>44943</v>
      </c>
      <c r="B5425" s="13" t="s">
        <v>8826</v>
      </c>
      <c r="C5425" s="13" t="s">
        <v>6910</v>
      </c>
      <c r="D5425" s="13" t="s">
        <v>74</v>
      </c>
    </row>
    <row r="5426" spans="1:4">
      <c r="A5426" s="67">
        <v>44944</v>
      </c>
      <c r="B5426" s="13" t="s">
        <v>8828</v>
      </c>
      <c r="C5426" s="13" t="s">
        <v>8827</v>
      </c>
      <c r="D5426" s="13" t="s">
        <v>345</v>
      </c>
    </row>
    <row r="5427" spans="1:4">
      <c r="A5427" s="67">
        <v>44944</v>
      </c>
      <c r="B5427" s="13" t="s">
        <v>8830</v>
      </c>
      <c r="C5427" s="13" t="s">
        <v>8829</v>
      </c>
      <c r="D5427" s="13" t="s">
        <v>345</v>
      </c>
    </row>
    <row r="5428" spans="1:4">
      <c r="A5428" s="67">
        <v>44944</v>
      </c>
      <c r="B5428" s="13" t="s">
        <v>8830</v>
      </c>
      <c r="C5428" s="13" t="s">
        <v>8829</v>
      </c>
      <c r="D5428" s="13" t="s">
        <v>345</v>
      </c>
    </row>
    <row r="5429" spans="1:4">
      <c r="A5429" s="67">
        <v>44945</v>
      </c>
      <c r="B5429" s="13" t="s">
        <v>8832</v>
      </c>
      <c r="C5429" s="13" t="s">
        <v>8831</v>
      </c>
      <c r="D5429" s="13" t="s">
        <v>345</v>
      </c>
    </row>
    <row r="5430" spans="1:4">
      <c r="A5430" s="67">
        <v>44945</v>
      </c>
      <c r="B5430" s="13" t="s">
        <v>8813</v>
      </c>
      <c r="C5430" s="13" t="s">
        <v>8810</v>
      </c>
      <c r="D5430" s="13" t="s">
        <v>345</v>
      </c>
    </row>
    <row r="5431" spans="1:4">
      <c r="A5431" s="67">
        <v>44946</v>
      </c>
      <c r="B5431" s="13" t="s">
        <v>8834</v>
      </c>
      <c r="C5431" s="13" t="s">
        <v>8833</v>
      </c>
      <c r="D5431" s="13" t="s">
        <v>345</v>
      </c>
    </row>
    <row r="5432" spans="1:4">
      <c r="A5432" s="67">
        <v>44946</v>
      </c>
      <c r="B5432" s="13" t="s">
        <v>8835</v>
      </c>
      <c r="C5432" s="13" t="s">
        <v>1328</v>
      </c>
      <c r="D5432" s="13" t="s">
        <v>81</v>
      </c>
    </row>
    <row r="5433" spans="1:4">
      <c r="A5433" s="67">
        <v>44946</v>
      </c>
      <c r="B5433" s="13" t="s">
        <v>8837</v>
      </c>
      <c r="C5433" s="13" t="s">
        <v>8836</v>
      </c>
      <c r="D5433" s="13" t="s">
        <v>81</v>
      </c>
    </row>
    <row r="5434" spans="1:4">
      <c r="A5434" s="67">
        <v>44949</v>
      </c>
      <c r="B5434" s="13" t="s">
        <v>8839</v>
      </c>
      <c r="C5434" s="13" t="s">
        <v>8838</v>
      </c>
      <c r="D5434" s="13" t="s">
        <v>11</v>
      </c>
    </row>
    <row r="5435" spans="1:4">
      <c r="A5435" s="67">
        <v>44950</v>
      </c>
      <c r="B5435" s="13" t="s">
        <v>8841</v>
      </c>
      <c r="C5435" s="13" t="s">
        <v>8840</v>
      </c>
      <c r="D5435" s="13" t="s">
        <v>74</v>
      </c>
    </row>
    <row r="5436" spans="1:4">
      <c r="A5436" s="67">
        <v>44950</v>
      </c>
      <c r="B5436" s="13" t="s">
        <v>8843</v>
      </c>
      <c r="C5436" s="13" t="s">
        <v>8842</v>
      </c>
      <c r="D5436" s="13" t="s">
        <v>74</v>
      </c>
    </row>
    <row r="5437" spans="1:4">
      <c r="A5437" s="67">
        <v>44951</v>
      </c>
      <c r="B5437" s="13" t="s">
        <v>8844</v>
      </c>
      <c r="C5437" s="13" t="s">
        <v>461</v>
      </c>
      <c r="D5437" s="13" t="s">
        <v>81</v>
      </c>
    </row>
    <row r="5438" spans="1:4">
      <c r="A5438" s="67">
        <v>44951</v>
      </c>
      <c r="B5438" s="13" t="s">
        <v>8844</v>
      </c>
      <c r="C5438" s="13" t="s">
        <v>461</v>
      </c>
      <c r="D5438" s="13" t="s">
        <v>81</v>
      </c>
    </row>
    <row r="5439" spans="1:4">
      <c r="A5439" s="67">
        <v>44951</v>
      </c>
      <c r="B5439" s="13" t="s">
        <v>8846</v>
      </c>
      <c r="C5439" s="13" t="s">
        <v>8845</v>
      </c>
      <c r="D5439" s="13" t="s">
        <v>74</v>
      </c>
    </row>
    <row r="5440" spans="1:4">
      <c r="A5440" s="67">
        <v>44952</v>
      </c>
      <c r="B5440" s="13" t="s">
        <v>8848</v>
      </c>
      <c r="C5440" s="13" t="s">
        <v>8847</v>
      </c>
      <c r="D5440" s="13" t="s">
        <v>345</v>
      </c>
    </row>
    <row r="5441" spans="1:4">
      <c r="A5441" s="67">
        <v>44952</v>
      </c>
      <c r="B5441" s="13" t="s">
        <v>8850</v>
      </c>
      <c r="C5441" s="13" t="s">
        <v>8849</v>
      </c>
      <c r="D5441" s="13" t="s">
        <v>345</v>
      </c>
    </row>
    <row r="5442" spans="1:4">
      <c r="A5442" s="67">
        <v>44952</v>
      </c>
      <c r="B5442" s="13" t="s">
        <v>8852</v>
      </c>
      <c r="C5442" s="13" t="s">
        <v>8851</v>
      </c>
      <c r="D5442" s="13" t="s">
        <v>345</v>
      </c>
    </row>
    <row r="5443" spans="1:4">
      <c r="A5443" s="67">
        <v>44953</v>
      </c>
      <c r="B5443" s="13" t="s">
        <v>8854</v>
      </c>
      <c r="C5443" s="13" t="s">
        <v>8853</v>
      </c>
      <c r="D5443" s="13" t="s">
        <v>345</v>
      </c>
    </row>
    <row r="5444" spans="1:4">
      <c r="A5444" s="67">
        <v>44953</v>
      </c>
      <c r="B5444" s="13" t="s">
        <v>8855</v>
      </c>
      <c r="C5444" s="13" t="s">
        <v>4415</v>
      </c>
      <c r="D5444" s="13" t="s">
        <v>345</v>
      </c>
    </row>
    <row r="5445" spans="1:4">
      <c r="A5445" s="67">
        <v>44953</v>
      </c>
      <c r="B5445" s="13" t="s">
        <v>8855</v>
      </c>
      <c r="C5445" s="13" t="s">
        <v>4415</v>
      </c>
      <c r="D5445" s="13" t="s">
        <v>345</v>
      </c>
    </row>
    <row r="5446" spans="1:4">
      <c r="A5446" s="67">
        <v>44956</v>
      </c>
      <c r="B5446" s="13" t="s">
        <v>8857</v>
      </c>
      <c r="C5446" s="13" t="s">
        <v>8856</v>
      </c>
      <c r="D5446" s="13" t="s">
        <v>81</v>
      </c>
    </row>
    <row r="5447" spans="1:4">
      <c r="A5447" s="67">
        <v>44956</v>
      </c>
      <c r="B5447" s="13" t="s">
        <v>8859</v>
      </c>
      <c r="C5447" s="13" t="s">
        <v>8858</v>
      </c>
      <c r="D5447" s="13" t="s">
        <v>81</v>
      </c>
    </row>
    <row r="5448" spans="1:4">
      <c r="A5448" s="67">
        <v>44957</v>
      </c>
      <c r="B5448" s="13" t="s">
        <v>8861</v>
      </c>
      <c r="C5448" s="13" t="s">
        <v>8860</v>
      </c>
      <c r="D5448" s="13" t="s">
        <v>74</v>
      </c>
    </row>
    <row r="5449" spans="1:4">
      <c r="A5449" s="67">
        <v>44957</v>
      </c>
      <c r="B5449" s="13" t="s">
        <v>8861</v>
      </c>
      <c r="C5449" s="13" t="s">
        <v>8860</v>
      </c>
      <c r="D5449" s="13" t="s">
        <v>74</v>
      </c>
    </row>
    <row r="5450" spans="1:4">
      <c r="A5450" s="67">
        <v>44929</v>
      </c>
      <c r="B5450" s="13" t="s">
        <v>8862</v>
      </c>
      <c r="C5450" s="13" t="s">
        <v>305</v>
      </c>
      <c r="D5450" s="13" t="s">
        <v>81</v>
      </c>
    </row>
    <row r="5451" spans="1:4">
      <c r="A5451" s="67">
        <v>44929</v>
      </c>
      <c r="B5451" s="13" t="s">
        <v>8864</v>
      </c>
      <c r="C5451" s="13" t="s">
        <v>8863</v>
      </c>
      <c r="D5451" s="13" t="s">
        <v>74</v>
      </c>
    </row>
    <row r="5452" spans="1:4">
      <c r="A5452" s="67">
        <v>44929</v>
      </c>
      <c r="B5452" s="13" t="s">
        <v>8865</v>
      </c>
      <c r="C5452" s="13" t="s">
        <v>4409</v>
      </c>
      <c r="D5452" s="13" t="s">
        <v>74</v>
      </c>
    </row>
    <row r="5453" spans="1:4">
      <c r="A5453" s="67">
        <v>44937</v>
      </c>
      <c r="B5453" s="13" t="s">
        <v>8867</v>
      </c>
      <c r="C5453" s="13" t="s">
        <v>8866</v>
      </c>
      <c r="D5453" s="13" t="s">
        <v>81</v>
      </c>
    </row>
    <row r="5454" spans="1:4">
      <c r="A5454" s="67">
        <v>44937</v>
      </c>
      <c r="B5454" s="13" t="s">
        <v>8868</v>
      </c>
      <c r="C5454" s="13" t="s">
        <v>1867</v>
      </c>
      <c r="D5454" s="13" t="s">
        <v>81</v>
      </c>
    </row>
    <row r="5455" spans="1:4">
      <c r="A5455" s="67">
        <v>44937</v>
      </c>
      <c r="B5455" s="13" t="s">
        <v>8868</v>
      </c>
      <c r="C5455" s="13" t="s">
        <v>8869</v>
      </c>
      <c r="D5455" s="13" t="s">
        <v>81</v>
      </c>
    </row>
    <row r="5456" spans="1:4">
      <c r="A5456" s="67">
        <v>44937</v>
      </c>
      <c r="B5456" s="13" t="s">
        <v>8871</v>
      </c>
      <c r="C5456" s="13" t="s">
        <v>8870</v>
      </c>
      <c r="D5456" s="13" t="s">
        <v>81</v>
      </c>
    </row>
    <row r="5457" spans="1:4">
      <c r="A5457" s="67">
        <v>44937</v>
      </c>
      <c r="B5457" s="13" t="s">
        <v>8873</v>
      </c>
      <c r="C5457" s="13" t="s">
        <v>8872</v>
      </c>
      <c r="D5457" s="13" t="s">
        <v>34</v>
      </c>
    </row>
    <row r="5458" spans="1:4">
      <c r="A5458" s="67">
        <v>44938</v>
      </c>
      <c r="B5458" s="13" t="s">
        <v>8875</v>
      </c>
      <c r="C5458" s="13" t="s">
        <v>8874</v>
      </c>
      <c r="D5458" s="13" t="s">
        <v>109</v>
      </c>
    </row>
    <row r="5459" spans="1:4">
      <c r="A5459" s="67">
        <v>44938</v>
      </c>
      <c r="B5459" s="13" t="s">
        <v>8877</v>
      </c>
      <c r="C5459" s="13" t="s">
        <v>8876</v>
      </c>
      <c r="D5459" s="13" t="s">
        <v>109</v>
      </c>
    </row>
    <row r="5460" spans="1:4">
      <c r="A5460" s="67">
        <v>44938</v>
      </c>
      <c r="B5460" s="13" t="s">
        <v>8879</v>
      </c>
      <c r="C5460" s="13" t="s">
        <v>8878</v>
      </c>
      <c r="D5460" s="13" t="s">
        <v>29</v>
      </c>
    </row>
    <row r="5461" spans="1:4">
      <c r="A5461" s="67">
        <v>44942</v>
      </c>
      <c r="B5461" s="13" t="s">
        <v>8881</v>
      </c>
      <c r="C5461" s="13" t="s">
        <v>8880</v>
      </c>
      <c r="D5461" s="13" t="s">
        <v>29</v>
      </c>
    </row>
    <row r="5462" spans="1:4">
      <c r="A5462" s="67">
        <v>44930</v>
      </c>
      <c r="B5462" s="13" t="s">
        <v>8883</v>
      </c>
      <c r="C5462" s="13" t="s">
        <v>8882</v>
      </c>
      <c r="D5462" s="13" t="s">
        <v>8</v>
      </c>
    </row>
    <row r="5463" spans="1:4">
      <c r="A5463" s="67">
        <v>44936</v>
      </c>
      <c r="B5463" s="13" t="s">
        <v>8884</v>
      </c>
      <c r="C5463" s="13" t="s">
        <v>286</v>
      </c>
      <c r="D5463" s="13" t="s">
        <v>109</v>
      </c>
    </row>
    <row r="5464" spans="1:4">
      <c r="A5464" s="67">
        <v>44935</v>
      </c>
      <c r="B5464" s="13" t="s">
        <v>8886</v>
      </c>
      <c r="C5464" s="13" t="s">
        <v>8885</v>
      </c>
      <c r="D5464" s="13" t="s">
        <v>5</v>
      </c>
    </row>
    <row r="5465" spans="1:4">
      <c r="A5465" s="67">
        <v>44935</v>
      </c>
      <c r="B5465" s="13" t="s">
        <v>8888</v>
      </c>
      <c r="C5465" s="13" t="s">
        <v>8887</v>
      </c>
      <c r="D5465" s="13" t="s">
        <v>216</v>
      </c>
    </row>
    <row r="5466" spans="1:4">
      <c r="A5466" s="67">
        <v>44935</v>
      </c>
      <c r="B5466" s="13" t="s">
        <v>8888</v>
      </c>
      <c r="C5466" s="13" t="s">
        <v>8889</v>
      </c>
      <c r="D5466" s="13" t="s">
        <v>11</v>
      </c>
    </row>
    <row r="5467" spans="1:4">
      <c r="A5467" s="67">
        <v>44935</v>
      </c>
      <c r="B5467" s="13" t="s">
        <v>8891</v>
      </c>
      <c r="C5467" s="13" t="s">
        <v>8890</v>
      </c>
      <c r="D5467" s="13" t="s">
        <v>74</v>
      </c>
    </row>
    <row r="5468" spans="1:4">
      <c r="A5468" s="67">
        <v>44935</v>
      </c>
      <c r="B5468" s="13" t="s">
        <v>8893</v>
      </c>
      <c r="C5468" s="13" t="s">
        <v>8892</v>
      </c>
      <c r="D5468" s="13" t="s">
        <v>74</v>
      </c>
    </row>
    <row r="5469" spans="1:4">
      <c r="A5469" s="67">
        <v>44936</v>
      </c>
      <c r="B5469" s="13" t="s">
        <v>8895</v>
      </c>
      <c r="C5469" s="13" t="s">
        <v>8894</v>
      </c>
      <c r="D5469" s="13" t="s">
        <v>24</v>
      </c>
    </row>
    <row r="5470" spans="1:4">
      <c r="A5470" s="67">
        <v>44942</v>
      </c>
      <c r="B5470" s="13" t="s">
        <v>8897</v>
      </c>
      <c r="C5470" s="13" t="s">
        <v>8896</v>
      </c>
      <c r="D5470" s="13" t="s">
        <v>11</v>
      </c>
    </row>
    <row r="5471" spans="1:4">
      <c r="A5471" s="67">
        <v>44945</v>
      </c>
      <c r="B5471" s="13" t="s">
        <v>8873</v>
      </c>
      <c r="C5471" s="13" t="s">
        <v>8898</v>
      </c>
      <c r="D5471" s="13" t="s">
        <v>81</v>
      </c>
    </row>
    <row r="5472" spans="1:4">
      <c r="A5472" s="67">
        <v>44945</v>
      </c>
      <c r="B5472" s="13" t="s">
        <v>8873</v>
      </c>
      <c r="C5472" s="13" t="s">
        <v>8899</v>
      </c>
      <c r="D5472" s="13" t="s">
        <v>81</v>
      </c>
    </row>
    <row r="5473" spans="1:4">
      <c r="A5473" s="67">
        <v>44945</v>
      </c>
      <c r="B5473" s="13" t="s">
        <v>8873</v>
      </c>
      <c r="C5473" s="13" t="s">
        <v>273</v>
      </c>
      <c r="D5473" s="13" t="s">
        <v>81</v>
      </c>
    </row>
    <row r="5474" spans="1:4">
      <c r="A5474" s="67">
        <v>44944</v>
      </c>
      <c r="B5474" s="13" t="s">
        <v>8873</v>
      </c>
      <c r="C5474" s="13" t="s">
        <v>8900</v>
      </c>
      <c r="D5474" s="13" t="s">
        <v>81</v>
      </c>
    </row>
    <row r="5475" spans="1:4">
      <c r="A5475" s="67">
        <v>44944</v>
      </c>
      <c r="B5475" s="13" t="s">
        <v>8873</v>
      </c>
      <c r="C5475" s="13" t="s">
        <v>8901</v>
      </c>
      <c r="D5475" s="13" t="s">
        <v>81</v>
      </c>
    </row>
    <row r="5476" spans="1:4">
      <c r="A5476" s="67">
        <v>44945</v>
      </c>
      <c r="B5476" s="13" t="s">
        <v>8903</v>
      </c>
      <c r="C5476" s="13" t="s">
        <v>8902</v>
      </c>
      <c r="D5476" s="13" t="s">
        <v>8</v>
      </c>
    </row>
    <row r="5477" spans="1:4">
      <c r="A5477" s="67">
        <v>44945</v>
      </c>
      <c r="B5477" s="13" t="s">
        <v>8904</v>
      </c>
      <c r="C5477" s="13" t="s">
        <v>1579</v>
      </c>
      <c r="D5477" s="13" t="s">
        <v>109</v>
      </c>
    </row>
    <row r="5478" spans="1:4">
      <c r="A5478" s="67">
        <v>44949</v>
      </c>
      <c r="B5478" s="13" t="s">
        <v>8906</v>
      </c>
      <c r="C5478" s="13" t="s">
        <v>8905</v>
      </c>
      <c r="D5478" s="13" t="s">
        <v>11</v>
      </c>
    </row>
    <row r="5479" spans="1:4">
      <c r="A5479" s="67">
        <v>44949</v>
      </c>
      <c r="B5479" s="13" t="s">
        <v>8906</v>
      </c>
      <c r="C5479" s="13" t="s">
        <v>8905</v>
      </c>
      <c r="D5479" s="13" t="s">
        <v>11</v>
      </c>
    </row>
    <row r="5480" spans="1:4">
      <c r="A5480" s="67">
        <v>44946</v>
      </c>
      <c r="B5480" s="13" t="s">
        <v>8908</v>
      </c>
      <c r="C5480" s="13" t="s">
        <v>8907</v>
      </c>
      <c r="D5480" s="13" t="s">
        <v>11</v>
      </c>
    </row>
    <row r="5481" spans="1:4">
      <c r="A5481" s="67">
        <v>44949</v>
      </c>
      <c r="B5481" s="13" t="s">
        <v>8910</v>
      </c>
      <c r="C5481" s="13" t="s">
        <v>8909</v>
      </c>
      <c r="D5481" s="13" t="s">
        <v>109</v>
      </c>
    </row>
    <row r="5482" spans="1:4">
      <c r="A5482" s="67">
        <v>44949</v>
      </c>
      <c r="B5482" s="13" t="s">
        <v>8912</v>
      </c>
      <c r="C5482" s="13" t="s">
        <v>8911</v>
      </c>
      <c r="D5482" s="13" t="s">
        <v>109</v>
      </c>
    </row>
    <row r="5483" spans="1:4">
      <c r="A5483" s="67">
        <v>44950</v>
      </c>
      <c r="B5483" s="13" t="s">
        <v>8914</v>
      </c>
      <c r="C5483" s="13" t="s">
        <v>8913</v>
      </c>
      <c r="D5483" s="13" t="s">
        <v>8</v>
      </c>
    </row>
    <row r="5484" spans="1:4">
      <c r="A5484" s="67">
        <v>44951</v>
      </c>
      <c r="B5484" s="13" t="s">
        <v>8916</v>
      </c>
      <c r="C5484" s="13" t="s">
        <v>8915</v>
      </c>
      <c r="D5484" s="13" t="s">
        <v>8</v>
      </c>
    </row>
    <row r="5485" spans="1:4">
      <c r="A5485" s="67">
        <v>44952</v>
      </c>
      <c r="B5485" s="13" t="s">
        <v>8918</v>
      </c>
      <c r="C5485" s="13" t="s">
        <v>8917</v>
      </c>
      <c r="D5485" s="13" t="s">
        <v>109</v>
      </c>
    </row>
    <row r="5486" spans="1:4">
      <c r="A5486" s="67">
        <v>44957</v>
      </c>
      <c r="B5486" s="13" t="s">
        <v>8920</v>
      </c>
      <c r="C5486" s="13" t="s">
        <v>8919</v>
      </c>
      <c r="D5486" s="13" t="s">
        <v>109</v>
      </c>
    </row>
    <row r="5487" spans="1:4">
      <c r="A5487" s="67">
        <v>44946</v>
      </c>
      <c r="B5487" s="13" t="s">
        <v>8922</v>
      </c>
      <c r="C5487" s="13" t="s">
        <v>8921</v>
      </c>
      <c r="D5487" s="13" t="s">
        <v>5</v>
      </c>
    </row>
    <row r="5488" spans="1:4">
      <c r="A5488" s="67">
        <v>44929</v>
      </c>
      <c r="B5488" s="13" t="s">
        <v>8924</v>
      </c>
      <c r="C5488" s="13" t="s">
        <v>8923</v>
      </c>
      <c r="D5488" s="13" t="s">
        <v>8</v>
      </c>
    </row>
    <row r="5489" spans="1:4">
      <c r="A5489" s="67">
        <v>44929</v>
      </c>
      <c r="B5489" s="13" t="s">
        <v>8926</v>
      </c>
      <c r="C5489" s="13" t="s">
        <v>8925</v>
      </c>
      <c r="D5489" s="13" t="s">
        <v>8</v>
      </c>
    </row>
    <row r="5490" spans="1:4">
      <c r="A5490" s="67">
        <v>44929</v>
      </c>
      <c r="B5490" s="13" t="s">
        <v>8928</v>
      </c>
      <c r="C5490" s="13" t="s">
        <v>8927</v>
      </c>
      <c r="D5490" s="13" t="s">
        <v>109</v>
      </c>
    </row>
    <row r="5491" spans="1:4">
      <c r="A5491" s="67">
        <v>44929</v>
      </c>
      <c r="B5491" s="13" t="s">
        <v>8930</v>
      </c>
      <c r="C5491" s="13" t="s">
        <v>8929</v>
      </c>
      <c r="D5491" s="13" t="s">
        <v>74</v>
      </c>
    </row>
    <row r="5492" spans="1:4">
      <c r="A5492" s="67">
        <v>44930</v>
      </c>
      <c r="B5492" s="13" t="s">
        <v>8932</v>
      </c>
      <c r="C5492" s="13" t="s">
        <v>8931</v>
      </c>
      <c r="D5492" s="13" t="s">
        <v>34</v>
      </c>
    </row>
    <row r="5493" spans="1:4">
      <c r="A5493" s="67">
        <v>44931</v>
      </c>
      <c r="B5493" s="13" t="s">
        <v>8934</v>
      </c>
      <c r="C5493" s="13" t="s">
        <v>8933</v>
      </c>
      <c r="D5493" s="13" t="s">
        <v>11</v>
      </c>
    </row>
    <row r="5494" spans="1:4">
      <c r="A5494" s="67">
        <v>44931</v>
      </c>
      <c r="B5494" s="13" t="s">
        <v>8936</v>
      </c>
      <c r="C5494" s="13" t="s">
        <v>8935</v>
      </c>
      <c r="D5494" s="13" t="s">
        <v>34</v>
      </c>
    </row>
    <row r="5495" spans="1:4">
      <c r="A5495" s="67">
        <v>44931</v>
      </c>
      <c r="B5495" s="13" t="s">
        <v>8938</v>
      </c>
      <c r="C5495" s="13" t="s">
        <v>8937</v>
      </c>
      <c r="D5495" s="13" t="s">
        <v>34</v>
      </c>
    </row>
    <row r="5496" spans="1:4">
      <c r="A5496" s="67">
        <v>44942</v>
      </c>
      <c r="B5496" s="13" t="s">
        <v>8940</v>
      </c>
      <c r="C5496" s="13" t="s">
        <v>8939</v>
      </c>
      <c r="D5496" s="13" t="s">
        <v>5</v>
      </c>
    </row>
    <row r="5497" spans="1:4">
      <c r="A5497" s="67">
        <v>44942</v>
      </c>
      <c r="B5497" s="13" t="s">
        <v>8942</v>
      </c>
      <c r="C5497" s="13" t="s">
        <v>8941</v>
      </c>
      <c r="D5497" s="13" t="s">
        <v>5</v>
      </c>
    </row>
    <row r="5498" spans="1:4">
      <c r="A5498" s="67">
        <v>44942</v>
      </c>
      <c r="B5498" s="13" t="s">
        <v>8944</v>
      </c>
      <c r="C5498" s="13" t="s">
        <v>8943</v>
      </c>
      <c r="D5498" s="13" t="s">
        <v>5</v>
      </c>
    </row>
    <row r="5499" spans="1:4">
      <c r="A5499" s="67">
        <v>44943</v>
      </c>
      <c r="B5499" s="13" t="s">
        <v>8946</v>
      </c>
      <c r="C5499" s="13" t="s">
        <v>8945</v>
      </c>
      <c r="D5499" s="13" t="s">
        <v>5</v>
      </c>
    </row>
    <row r="5500" spans="1:4">
      <c r="A5500" s="67">
        <v>44943</v>
      </c>
      <c r="B5500" s="13" t="s">
        <v>8948</v>
      </c>
      <c r="C5500" s="13" t="s">
        <v>8947</v>
      </c>
      <c r="D5500" s="13" t="s">
        <v>5</v>
      </c>
    </row>
    <row r="5501" spans="1:4">
      <c r="A5501" s="67">
        <v>44943</v>
      </c>
      <c r="B5501" s="13" t="s">
        <v>8950</v>
      </c>
      <c r="C5501" s="13" t="s">
        <v>8949</v>
      </c>
      <c r="D5501" s="13" t="s">
        <v>5</v>
      </c>
    </row>
    <row r="5502" spans="1:4">
      <c r="A5502" s="67">
        <v>44943</v>
      </c>
      <c r="B5502" s="13" t="s">
        <v>8952</v>
      </c>
      <c r="C5502" s="13" t="s">
        <v>8951</v>
      </c>
      <c r="D5502" s="13" t="s">
        <v>109</v>
      </c>
    </row>
    <row r="5503" spans="1:4">
      <c r="A5503" s="67">
        <v>44943</v>
      </c>
      <c r="B5503" s="13" t="s">
        <v>8954</v>
      </c>
      <c r="C5503" s="13" t="s">
        <v>8953</v>
      </c>
      <c r="D5503" s="13" t="s">
        <v>109</v>
      </c>
    </row>
    <row r="5504" spans="1:4">
      <c r="A5504" s="67">
        <v>44944</v>
      </c>
      <c r="B5504" s="13" t="s">
        <v>8956</v>
      </c>
      <c r="C5504" s="13" t="s">
        <v>8955</v>
      </c>
      <c r="D5504" s="13" t="s">
        <v>109</v>
      </c>
    </row>
    <row r="5505" spans="1:4">
      <c r="A5505" s="67">
        <v>44944</v>
      </c>
      <c r="B5505" s="13" t="s">
        <v>8957</v>
      </c>
      <c r="C5505" s="13" t="s">
        <v>6773</v>
      </c>
      <c r="D5505" s="13" t="s">
        <v>109</v>
      </c>
    </row>
    <row r="5506" spans="1:4">
      <c r="A5506" s="67">
        <v>44944</v>
      </c>
      <c r="B5506" s="13" t="s">
        <v>8959</v>
      </c>
      <c r="C5506" s="13" t="s">
        <v>8958</v>
      </c>
      <c r="D5506" s="13" t="s">
        <v>29</v>
      </c>
    </row>
    <row r="5507" spans="1:4">
      <c r="A5507" s="67">
        <v>44945</v>
      </c>
      <c r="B5507" s="13" t="s">
        <v>8961</v>
      </c>
      <c r="C5507" s="13" t="s">
        <v>8960</v>
      </c>
      <c r="D5507" s="13" t="s">
        <v>216</v>
      </c>
    </row>
    <row r="5508" spans="1:4">
      <c r="A5508" s="67">
        <v>44945</v>
      </c>
      <c r="B5508" s="13" t="s">
        <v>8963</v>
      </c>
      <c r="C5508" s="13" t="s">
        <v>8962</v>
      </c>
      <c r="D5508" s="13" t="s">
        <v>216</v>
      </c>
    </row>
    <row r="5509" spans="1:4">
      <c r="A5509" s="67">
        <v>44945</v>
      </c>
      <c r="B5509" s="13" t="s">
        <v>8965</v>
      </c>
      <c r="C5509" s="13" t="s">
        <v>8964</v>
      </c>
      <c r="D5509" s="13" t="s">
        <v>216</v>
      </c>
    </row>
    <row r="5510" spans="1:4">
      <c r="A5510" s="67">
        <v>44946</v>
      </c>
      <c r="B5510" s="13" t="s">
        <v>8967</v>
      </c>
      <c r="C5510" s="13" t="s">
        <v>8966</v>
      </c>
      <c r="D5510" s="13" t="s">
        <v>109</v>
      </c>
    </row>
    <row r="5511" spans="1:4">
      <c r="A5511" s="67">
        <v>44946</v>
      </c>
      <c r="B5511" s="13" t="s">
        <v>8969</v>
      </c>
      <c r="C5511" s="13" t="s">
        <v>8968</v>
      </c>
      <c r="D5511" s="13" t="s">
        <v>109</v>
      </c>
    </row>
    <row r="5512" spans="1:4">
      <c r="A5512" s="67">
        <v>44946</v>
      </c>
      <c r="B5512" s="13" t="s">
        <v>8971</v>
      </c>
      <c r="C5512" s="13" t="s">
        <v>8970</v>
      </c>
      <c r="D5512" s="13" t="s">
        <v>109</v>
      </c>
    </row>
    <row r="5513" spans="1:4">
      <c r="A5513" s="67">
        <v>44945</v>
      </c>
      <c r="B5513" s="13" t="s">
        <v>8973</v>
      </c>
      <c r="C5513" s="13" t="s">
        <v>8972</v>
      </c>
      <c r="D5513" s="13" t="s">
        <v>109</v>
      </c>
    </row>
    <row r="5514" spans="1:4">
      <c r="A5514" s="67">
        <v>44945</v>
      </c>
      <c r="B5514" s="13" t="s">
        <v>8975</v>
      </c>
      <c r="C5514" s="13" t="s">
        <v>8974</v>
      </c>
      <c r="D5514" s="13" t="s">
        <v>109</v>
      </c>
    </row>
    <row r="5515" spans="1:4">
      <c r="A5515" s="67">
        <v>44945</v>
      </c>
      <c r="B5515" s="13" t="s">
        <v>8977</v>
      </c>
      <c r="C5515" s="13" t="s">
        <v>8976</v>
      </c>
      <c r="D5515" s="13" t="s">
        <v>109</v>
      </c>
    </row>
    <row r="5516" spans="1:4">
      <c r="A5516" s="67">
        <v>44946</v>
      </c>
      <c r="B5516" s="13" t="s">
        <v>8979</v>
      </c>
      <c r="C5516" s="13" t="s">
        <v>8978</v>
      </c>
      <c r="D5516" s="13" t="s">
        <v>74</v>
      </c>
    </row>
    <row r="5517" spans="1:4">
      <c r="A5517" s="67">
        <v>44946</v>
      </c>
      <c r="B5517" s="13" t="s">
        <v>8979</v>
      </c>
      <c r="C5517" s="13" t="s">
        <v>8978</v>
      </c>
      <c r="D5517" s="13" t="s">
        <v>74</v>
      </c>
    </row>
    <row r="5518" spans="1:4">
      <c r="A5518" s="67">
        <v>44946</v>
      </c>
      <c r="B5518" s="13" t="s">
        <v>8981</v>
      </c>
      <c r="C5518" s="13" t="s">
        <v>8980</v>
      </c>
      <c r="D5518" s="13" t="s">
        <v>109</v>
      </c>
    </row>
    <row r="5519" spans="1:4">
      <c r="A5519" s="67">
        <v>44946</v>
      </c>
      <c r="B5519" s="13" t="s">
        <v>8982</v>
      </c>
      <c r="C5519" s="13" t="s">
        <v>6938</v>
      </c>
      <c r="D5519" s="13" t="s">
        <v>109</v>
      </c>
    </row>
    <row r="5520" spans="1:4">
      <c r="A5520" s="67">
        <v>44953</v>
      </c>
      <c r="B5520" s="13" t="s">
        <v>8984</v>
      </c>
      <c r="C5520" s="13" t="s">
        <v>8983</v>
      </c>
      <c r="D5520" s="13" t="s">
        <v>109</v>
      </c>
    </row>
    <row r="5521" spans="1:4">
      <c r="A5521" s="67">
        <v>44953</v>
      </c>
      <c r="B5521" s="13" t="s">
        <v>8986</v>
      </c>
      <c r="C5521" s="13" t="s">
        <v>8985</v>
      </c>
      <c r="D5521" s="13" t="s">
        <v>109</v>
      </c>
    </row>
    <row r="5522" spans="1:4">
      <c r="A5522" s="67">
        <v>44953</v>
      </c>
      <c r="B5522" s="13" t="s">
        <v>8986</v>
      </c>
      <c r="C5522" s="13" t="s">
        <v>8985</v>
      </c>
      <c r="D5522" s="13" t="s">
        <v>109</v>
      </c>
    </row>
    <row r="5523" spans="1:4">
      <c r="A5523" s="67">
        <v>44956</v>
      </c>
      <c r="B5523" s="13" t="s">
        <v>8988</v>
      </c>
      <c r="C5523" s="13" t="s">
        <v>8987</v>
      </c>
      <c r="D5523" s="13" t="s">
        <v>109</v>
      </c>
    </row>
    <row r="5524" spans="1:4">
      <c r="A5524" s="67">
        <v>44957</v>
      </c>
      <c r="B5524" s="13" t="s">
        <v>8990</v>
      </c>
      <c r="C5524" s="13" t="s">
        <v>8989</v>
      </c>
      <c r="D5524" s="13" t="s">
        <v>353</v>
      </c>
    </row>
    <row r="5525" spans="1:4">
      <c r="A5525" s="67">
        <v>44957</v>
      </c>
      <c r="B5525" s="13" t="s">
        <v>8992</v>
      </c>
      <c r="C5525" s="13" t="s">
        <v>8991</v>
      </c>
      <c r="D5525" s="13" t="s">
        <v>353</v>
      </c>
    </row>
    <row r="5526" spans="1:4">
      <c r="A5526" s="67">
        <v>44957</v>
      </c>
      <c r="B5526" s="13" t="s">
        <v>8994</v>
      </c>
      <c r="C5526" s="13" t="s">
        <v>8993</v>
      </c>
      <c r="D5526" s="13" t="s">
        <v>353</v>
      </c>
    </row>
    <row r="5527" spans="1:4">
      <c r="A5527" s="67">
        <v>44951</v>
      </c>
      <c r="B5527" s="13" t="s">
        <v>8996</v>
      </c>
      <c r="C5527" s="13" t="s">
        <v>8995</v>
      </c>
      <c r="D5527" s="13" t="s">
        <v>109</v>
      </c>
    </row>
    <row r="5528" spans="1:4">
      <c r="A5528" s="67">
        <v>44951</v>
      </c>
      <c r="B5528" s="13" t="s">
        <v>8998</v>
      </c>
      <c r="C5528" s="13" t="s">
        <v>8997</v>
      </c>
      <c r="D5528" s="13" t="s">
        <v>109</v>
      </c>
    </row>
    <row r="5529" spans="1:4">
      <c r="A5529" s="67">
        <v>44954</v>
      </c>
      <c r="B5529" s="13" t="s">
        <v>9000</v>
      </c>
      <c r="C5529" s="13" t="s">
        <v>8999</v>
      </c>
      <c r="D5529" s="13" t="s">
        <v>109</v>
      </c>
    </row>
    <row r="5530" spans="1:4">
      <c r="A5530" s="67">
        <v>44954</v>
      </c>
      <c r="B5530" s="13" t="s">
        <v>9000</v>
      </c>
      <c r="C5530" s="13" t="s">
        <v>8999</v>
      </c>
      <c r="D5530" s="13" t="s">
        <v>109</v>
      </c>
    </row>
    <row r="5531" spans="1:4">
      <c r="A5531" s="67">
        <v>44954</v>
      </c>
      <c r="B5531" s="13" t="s">
        <v>9002</v>
      </c>
      <c r="C5531" s="13" t="s">
        <v>9001</v>
      </c>
      <c r="D5531" s="13" t="s">
        <v>109</v>
      </c>
    </row>
    <row r="5532" spans="1:4">
      <c r="A5532" s="67">
        <v>44932</v>
      </c>
      <c r="B5532" s="13" t="s">
        <v>9004</v>
      </c>
      <c r="C5532" s="13" t="s">
        <v>9003</v>
      </c>
      <c r="D5532" s="13" t="s">
        <v>109</v>
      </c>
    </row>
    <row r="5533" spans="1:4">
      <c r="A5533" s="67">
        <v>44932</v>
      </c>
      <c r="B5533" s="13" t="s">
        <v>9004</v>
      </c>
      <c r="C5533" s="13" t="s">
        <v>9003</v>
      </c>
      <c r="D5533" s="13" t="s">
        <v>109</v>
      </c>
    </row>
    <row r="5534" spans="1:4">
      <c r="A5534" s="67">
        <v>44932</v>
      </c>
      <c r="B5534" s="13" t="s">
        <v>9006</v>
      </c>
      <c r="C5534" s="13" t="s">
        <v>9005</v>
      </c>
      <c r="D5534" s="13" t="s">
        <v>109</v>
      </c>
    </row>
    <row r="5535" spans="1:4">
      <c r="A5535" s="32">
        <v>45266</v>
      </c>
      <c r="B5535" s="19" t="s">
        <v>9008</v>
      </c>
      <c r="C5535" s="19" t="s">
        <v>9007</v>
      </c>
      <c r="D5535" s="19" t="s">
        <v>164</v>
      </c>
    </row>
    <row r="5536" spans="1:4">
      <c r="A5536" s="32">
        <v>45265</v>
      </c>
      <c r="B5536" s="19" t="s">
        <v>9010</v>
      </c>
      <c r="C5536" s="19" t="s">
        <v>9009</v>
      </c>
      <c r="D5536" s="19" t="s">
        <v>11</v>
      </c>
    </row>
    <row r="5537" spans="1:4" ht="15.75">
      <c r="A5537" s="32">
        <v>45273</v>
      </c>
      <c r="B5537" s="19" t="s">
        <v>9012</v>
      </c>
      <c r="C5537" s="44" t="s">
        <v>9011</v>
      </c>
      <c r="D5537" s="19" t="s">
        <v>74</v>
      </c>
    </row>
    <row r="5538" spans="1:4" ht="15.75">
      <c r="A5538" s="32">
        <v>45271</v>
      </c>
      <c r="B5538" s="19" t="s">
        <v>9014</v>
      </c>
      <c r="C5538" s="44" t="s">
        <v>9013</v>
      </c>
      <c r="D5538" s="19" t="s">
        <v>8</v>
      </c>
    </row>
    <row r="5539" spans="1:4" ht="15.75">
      <c r="A5539" s="32">
        <v>45273</v>
      </c>
      <c r="B5539" s="19" t="s">
        <v>9016</v>
      </c>
      <c r="C5539" s="44" t="s">
        <v>9015</v>
      </c>
      <c r="D5539" s="19" t="s">
        <v>8</v>
      </c>
    </row>
    <row r="5540" spans="1:4">
      <c r="A5540" s="32">
        <v>45272</v>
      </c>
      <c r="B5540" s="19" t="s">
        <v>9017</v>
      </c>
      <c r="C5540" s="19" t="s">
        <v>11</v>
      </c>
      <c r="D5540" s="19" t="s">
        <v>11</v>
      </c>
    </row>
    <row r="5541" spans="1:4">
      <c r="A5541" s="32">
        <v>45269</v>
      </c>
      <c r="B5541" s="19" t="s">
        <v>9018</v>
      </c>
      <c r="C5541" s="19" t="s">
        <v>981</v>
      </c>
      <c r="D5541" s="19" t="s">
        <v>34</v>
      </c>
    </row>
    <row r="5542" spans="1:4">
      <c r="A5542" s="32">
        <v>45269</v>
      </c>
      <c r="B5542" s="19" t="s">
        <v>9020</v>
      </c>
      <c r="C5542" s="19" t="s">
        <v>9019</v>
      </c>
      <c r="D5542" s="19" t="s">
        <v>34</v>
      </c>
    </row>
    <row r="5543" spans="1:4">
      <c r="A5543" s="32">
        <v>45267</v>
      </c>
      <c r="B5543" s="19" t="s">
        <v>9022</v>
      </c>
      <c r="C5543" s="46" t="s">
        <v>9021</v>
      </c>
      <c r="D5543" s="19" t="s">
        <v>8</v>
      </c>
    </row>
    <row r="5544" spans="1:4">
      <c r="A5544" s="32">
        <v>45269</v>
      </c>
      <c r="B5544" s="19" t="s">
        <v>9024</v>
      </c>
      <c r="C5544" s="46" t="s">
        <v>9023</v>
      </c>
      <c r="D5544" s="19" t="s">
        <v>29</v>
      </c>
    </row>
    <row r="5545" spans="1:4">
      <c r="A5545" s="32">
        <v>45267</v>
      </c>
      <c r="B5545" s="19" t="s">
        <v>9026</v>
      </c>
      <c r="C5545" s="46" t="s">
        <v>9025</v>
      </c>
      <c r="D5545" s="19" t="s">
        <v>8</v>
      </c>
    </row>
    <row r="5546" spans="1:4">
      <c r="A5546" s="32">
        <v>45271</v>
      </c>
      <c r="B5546" s="19" t="s">
        <v>9028</v>
      </c>
      <c r="C5546" s="46" t="s">
        <v>9027</v>
      </c>
      <c r="D5546" s="19" t="s">
        <v>8</v>
      </c>
    </row>
    <row r="5547" spans="1:4">
      <c r="A5547" s="32">
        <v>45268</v>
      </c>
      <c r="B5547" s="19" t="s">
        <v>9030</v>
      </c>
      <c r="C5547" s="46" t="s">
        <v>9029</v>
      </c>
      <c r="D5547" s="19" t="s">
        <v>11</v>
      </c>
    </row>
    <row r="5548" spans="1:4">
      <c r="A5548" s="32">
        <v>45268</v>
      </c>
      <c r="B5548" s="19" t="s">
        <v>9032</v>
      </c>
      <c r="C5548" s="46" t="s">
        <v>9031</v>
      </c>
      <c r="D5548" s="19" t="s">
        <v>11</v>
      </c>
    </row>
    <row r="5549" spans="1:4">
      <c r="A5549" s="32">
        <v>45268</v>
      </c>
      <c r="B5549" s="19" t="s">
        <v>9034</v>
      </c>
      <c r="C5549" s="46" t="s">
        <v>9033</v>
      </c>
      <c r="D5549" s="19" t="s">
        <v>11</v>
      </c>
    </row>
    <row r="5550" spans="1:4">
      <c r="A5550" s="32">
        <v>45271</v>
      </c>
      <c r="B5550" s="19" t="s">
        <v>9036</v>
      </c>
      <c r="C5550" s="46" t="s">
        <v>9035</v>
      </c>
      <c r="D5550" s="19" t="s">
        <v>8</v>
      </c>
    </row>
    <row r="5551" spans="1:4">
      <c r="A5551" s="32">
        <v>45272</v>
      </c>
      <c r="B5551" s="19" t="s">
        <v>9030</v>
      </c>
      <c r="C5551" s="46" t="s">
        <v>9029</v>
      </c>
      <c r="D5551" s="19" t="s">
        <v>11</v>
      </c>
    </row>
    <row r="5552" spans="1:4">
      <c r="A5552" s="13" t="s">
        <v>9040</v>
      </c>
      <c r="B5552" s="13" t="s">
        <v>9039</v>
      </c>
      <c r="C5552" s="13" t="s">
        <v>9037</v>
      </c>
      <c r="D5552" s="13" t="s">
        <v>9038</v>
      </c>
    </row>
    <row r="5553" spans="1:4">
      <c r="A5553" s="13" t="s">
        <v>9040</v>
      </c>
      <c r="B5553" s="13" t="s">
        <v>9042</v>
      </c>
      <c r="C5553" s="13" t="s">
        <v>9041</v>
      </c>
      <c r="D5553" s="13" t="s">
        <v>5</v>
      </c>
    </row>
    <row r="5554" spans="1:4">
      <c r="A5554" s="13" t="s">
        <v>9040</v>
      </c>
      <c r="B5554" s="13" t="s">
        <v>9044</v>
      </c>
      <c r="C5554" s="13" t="s">
        <v>9043</v>
      </c>
      <c r="D5554" s="13" t="s">
        <v>5</v>
      </c>
    </row>
    <row r="5555" spans="1:4">
      <c r="A5555" s="23">
        <v>45269</v>
      </c>
      <c r="B5555" s="13" t="s">
        <v>9046</v>
      </c>
      <c r="C5555" s="13" t="s">
        <v>9045</v>
      </c>
      <c r="D5555" s="13" t="s">
        <v>5</v>
      </c>
    </row>
    <row r="5556" spans="1:4">
      <c r="A5556" s="23">
        <v>45269</v>
      </c>
      <c r="B5556" s="13" t="s">
        <v>9046</v>
      </c>
      <c r="C5556" s="13" t="s">
        <v>9045</v>
      </c>
      <c r="D5556" s="13" t="s">
        <v>5</v>
      </c>
    </row>
    <row r="5557" spans="1:4">
      <c r="A5557" s="23">
        <v>45269</v>
      </c>
      <c r="B5557" s="13" t="s">
        <v>9046</v>
      </c>
      <c r="C5557" s="13" t="s">
        <v>9045</v>
      </c>
      <c r="D5557" s="13" t="s">
        <v>5</v>
      </c>
    </row>
    <row r="5558" spans="1:4">
      <c r="A5558" s="23">
        <v>45270</v>
      </c>
      <c r="B5558" s="13" t="s">
        <v>9048</v>
      </c>
      <c r="C5558" s="13" t="s">
        <v>9047</v>
      </c>
      <c r="D5558" s="13" t="s">
        <v>5</v>
      </c>
    </row>
    <row r="5559" spans="1:4">
      <c r="A5559" s="23">
        <v>45270</v>
      </c>
      <c r="B5559" s="13" t="s">
        <v>9048</v>
      </c>
      <c r="C5559" s="13" t="s">
        <v>9047</v>
      </c>
      <c r="D5559" s="13" t="s">
        <v>5</v>
      </c>
    </row>
    <row r="5560" spans="1:4">
      <c r="A5560" s="23">
        <v>45270</v>
      </c>
      <c r="B5560" s="13" t="s">
        <v>9050</v>
      </c>
      <c r="C5560" s="13" t="s">
        <v>9049</v>
      </c>
      <c r="D5560" s="13" t="s">
        <v>5</v>
      </c>
    </row>
    <row r="5561" spans="1:4">
      <c r="A5561" s="67">
        <v>45268</v>
      </c>
      <c r="B5561" s="47" t="s">
        <v>9051</v>
      </c>
      <c r="C5561" s="13" t="s">
        <v>5050</v>
      </c>
      <c r="D5561" s="13" t="s">
        <v>345</v>
      </c>
    </row>
    <row r="5562" spans="1:4">
      <c r="A5562" s="67">
        <v>45274</v>
      </c>
      <c r="B5562" s="47" t="s">
        <v>9053</v>
      </c>
      <c r="C5562" s="13" t="s">
        <v>9052</v>
      </c>
      <c r="D5562" s="13" t="s">
        <v>24</v>
      </c>
    </row>
    <row r="5563" spans="1:4">
      <c r="A5563" s="67">
        <v>45274</v>
      </c>
      <c r="B5563" s="47" t="s">
        <v>9055</v>
      </c>
      <c r="C5563" s="13" t="s">
        <v>9054</v>
      </c>
      <c r="D5563" s="13" t="s">
        <v>74</v>
      </c>
    </row>
    <row r="5564" spans="1:4">
      <c r="A5564" s="67">
        <v>45274</v>
      </c>
      <c r="B5564" s="47" t="s">
        <v>9057</v>
      </c>
      <c r="C5564" s="13" t="s">
        <v>9056</v>
      </c>
      <c r="D5564" s="13" t="s">
        <v>24</v>
      </c>
    </row>
    <row r="5565" spans="1:4">
      <c r="A5565" s="67">
        <v>45273</v>
      </c>
      <c r="B5565" s="47" t="s">
        <v>9059</v>
      </c>
      <c r="C5565" s="13" t="s">
        <v>9058</v>
      </c>
      <c r="D5565" s="13" t="s">
        <v>109</v>
      </c>
    </row>
    <row r="5566" spans="1:4">
      <c r="A5566" s="67">
        <v>45266</v>
      </c>
      <c r="B5566" s="47" t="s">
        <v>9061</v>
      </c>
      <c r="C5566" s="13" t="s">
        <v>9060</v>
      </c>
      <c r="D5566" s="13" t="s">
        <v>34</v>
      </c>
    </row>
    <row r="5567" spans="1:4">
      <c r="A5567" s="67">
        <v>45273</v>
      </c>
      <c r="B5567" s="47" t="s">
        <v>9063</v>
      </c>
      <c r="C5567" s="13" t="s">
        <v>9062</v>
      </c>
      <c r="D5567" s="13" t="s">
        <v>19</v>
      </c>
    </row>
    <row r="5568" spans="1:4">
      <c r="A5568" s="67">
        <v>45269</v>
      </c>
      <c r="B5568" s="47" t="s">
        <v>9065</v>
      </c>
      <c r="C5568" s="13" t="s">
        <v>9064</v>
      </c>
      <c r="D5568" s="13" t="s">
        <v>109</v>
      </c>
    </row>
    <row r="5569" spans="1:4">
      <c r="A5569" s="67">
        <v>45274</v>
      </c>
      <c r="B5569" s="47" t="s">
        <v>9067</v>
      </c>
      <c r="C5569" s="13" t="s">
        <v>9066</v>
      </c>
      <c r="D5569" s="13" t="s">
        <v>109</v>
      </c>
    </row>
    <row r="5570" spans="1:4">
      <c r="A5570" s="67">
        <v>45273</v>
      </c>
      <c r="B5570" s="47" t="s">
        <v>9069</v>
      </c>
      <c r="C5570" s="13" t="s">
        <v>9068</v>
      </c>
      <c r="D5570" s="13" t="s">
        <v>353</v>
      </c>
    </row>
    <row r="5571" spans="1:4">
      <c r="A5571" s="67">
        <v>45272</v>
      </c>
      <c r="B5571" s="47" t="s">
        <v>9071</v>
      </c>
      <c r="C5571" s="13" t="s">
        <v>9070</v>
      </c>
      <c r="D5571" s="13" t="s">
        <v>29</v>
      </c>
    </row>
    <row r="5572" spans="1:4">
      <c r="A5572" s="67">
        <v>45273</v>
      </c>
      <c r="B5572" s="47" t="s">
        <v>9072</v>
      </c>
      <c r="C5572" s="13" t="s">
        <v>5050</v>
      </c>
      <c r="D5572" s="13" t="s">
        <v>345</v>
      </c>
    </row>
    <row r="5573" spans="1:4">
      <c r="A5573" s="67">
        <v>45268</v>
      </c>
      <c r="B5573" s="47" t="s">
        <v>9072</v>
      </c>
      <c r="C5573" s="13" t="s">
        <v>5050</v>
      </c>
      <c r="D5573" s="13" t="s">
        <v>345</v>
      </c>
    </row>
    <row r="5574" spans="1:4">
      <c r="A5574" s="67">
        <v>45274</v>
      </c>
      <c r="B5574" s="47" t="s">
        <v>9073</v>
      </c>
      <c r="C5574" s="13" t="s">
        <v>4255</v>
      </c>
      <c r="D5574" s="13" t="s">
        <v>74</v>
      </c>
    </row>
    <row r="5575" spans="1:4">
      <c r="A5575" s="67">
        <v>45273</v>
      </c>
      <c r="B5575" s="47" t="s">
        <v>9074</v>
      </c>
      <c r="C5575" s="13" t="s">
        <v>5050</v>
      </c>
      <c r="D5575" s="13" t="s">
        <v>345</v>
      </c>
    </row>
    <row r="5576" spans="1:4">
      <c r="A5576" s="67">
        <v>45273</v>
      </c>
      <c r="B5576" s="13" t="s">
        <v>9076</v>
      </c>
      <c r="C5576" s="13" t="s">
        <v>9075</v>
      </c>
      <c r="D5576" s="13" t="s">
        <v>5</v>
      </c>
    </row>
    <row r="5577" spans="1:4">
      <c r="A5577" s="67">
        <v>45274</v>
      </c>
      <c r="B5577" s="13" t="s">
        <v>9078</v>
      </c>
      <c r="C5577" s="13" t="s">
        <v>9077</v>
      </c>
      <c r="D5577" s="13" t="s">
        <v>5</v>
      </c>
    </row>
    <row r="5578" spans="1:4">
      <c r="A5578" s="67">
        <v>45274</v>
      </c>
      <c r="B5578" s="13" t="s">
        <v>9080</v>
      </c>
      <c r="C5578" s="13" t="s">
        <v>9079</v>
      </c>
      <c r="D5578" s="13" t="s">
        <v>11</v>
      </c>
    </row>
    <row r="5579" spans="1:4">
      <c r="A5579" s="32">
        <v>45273</v>
      </c>
      <c r="B5579" s="19" t="s">
        <v>9082</v>
      </c>
      <c r="C5579" s="19" t="s">
        <v>9081</v>
      </c>
      <c r="D5579" s="19" t="s">
        <v>345</v>
      </c>
    </row>
    <row r="5580" spans="1:4">
      <c r="A5580" s="32">
        <v>45275</v>
      </c>
      <c r="B5580" s="19" t="s">
        <v>9084</v>
      </c>
      <c r="C5580" s="19" t="s">
        <v>9083</v>
      </c>
      <c r="D5580" s="19" t="s">
        <v>510</v>
      </c>
    </row>
    <row r="5581" spans="1:4">
      <c r="A5581" s="32">
        <v>45273</v>
      </c>
      <c r="B5581" s="19" t="s">
        <v>9086</v>
      </c>
      <c r="C5581" s="19" t="s">
        <v>9085</v>
      </c>
      <c r="D5581" s="19" t="s">
        <v>345</v>
      </c>
    </row>
    <row r="5582" spans="1:4">
      <c r="A5582" s="32">
        <v>45273</v>
      </c>
      <c r="B5582" s="19" t="s">
        <v>9088</v>
      </c>
      <c r="C5582" s="19" t="s">
        <v>9087</v>
      </c>
      <c r="D5582" s="19" t="s">
        <v>345</v>
      </c>
    </row>
    <row r="5583" spans="1:4">
      <c r="A5583" s="32">
        <v>45273</v>
      </c>
      <c r="B5583" s="19" t="s">
        <v>9090</v>
      </c>
      <c r="C5583" s="19" t="s">
        <v>9089</v>
      </c>
      <c r="D5583" s="19" t="s">
        <v>29</v>
      </c>
    </row>
    <row r="5584" spans="1:4">
      <c r="A5584" s="32">
        <v>45273</v>
      </c>
      <c r="B5584" s="19" t="s">
        <v>9092</v>
      </c>
      <c r="C5584" s="19" t="s">
        <v>9091</v>
      </c>
      <c r="D5584" s="19" t="s">
        <v>109</v>
      </c>
    </row>
    <row r="5585" spans="1:4">
      <c r="A5585" s="32">
        <v>45271</v>
      </c>
      <c r="B5585" s="19" t="s">
        <v>9094</v>
      </c>
      <c r="C5585" s="19" t="s">
        <v>9093</v>
      </c>
      <c r="D5585" s="19" t="s">
        <v>74</v>
      </c>
    </row>
    <row r="5586" spans="1:4">
      <c r="A5586" s="32">
        <v>45271</v>
      </c>
      <c r="B5586" s="19" t="s">
        <v>9096</v>
      </c>
      <c r="C5586" s="19" t="s">
        <v>9095</v>
      </c>
      <c r="D5586" s="19" t="s">
        <v>74</v>
      </c>
    </row>
    <row r="5587" spans="1:4">
      <c r="A5587" s="32">
        <v>45275</v>
      </c>
      <c r="B5587" s="19" t="s">
        <v>9098</v>
      </c>
      <c r="C5587" s="19" t="s">
        <v>9097</v>
      </c>
      <c r="D5587" s="19" t="s">
        <v>510</v>
      </c>
    </row>
    <row r="5588" spans="1:4">
      <c r="A5588" s="62">
        <v>45266</v>
      </c>
      <c r="B5588" s="26" t="s">
        <v>9100</v>
      </c>
      <c r="C5588" s="26" t="s">
        <v>9099</v>
      </c>
      <c r="D5588" s="26" t="s">
        <v>24</v>
      </c>
    </row>
    <row r="5589" spans="1:4">
      <c r="A5589" s="62">
        <v>45264</v>
      </c>
      <c r="B5589" s="26"/>
      <c r="C5589" s="26" t="s">
        <v>9101</v>
      </c>
      <c r="D5589" s="26" t="s">
        <v>74</v>
      </c>
    </row>
    <row r="5590" spans="1:4">
      <c r="A5590" s="62">
        <v>45262</v>
      </c>
      <c r="B5590" s="26" t="s">
        <v>9103</v>
      </c>
      <c r="C5590" s="26" t="s">
        <v>9102</v>
      </c>
      <c r="D5590" s="26" t="s">
        <v>8</v>
      </c>
    </row>
    <row r="5591" spans="1:4">
      <c r="A5591" s="62">
        <v>45262</v>
      </c>
      <c r="B5591" s="26" t="s">
        <v>9105</v>
      </c>
      <c r="C5591" s="26" t="s">
        <v>9104</v>
      </c>
      <c r="D5591" s="26" t="s">
        <v>11</v>
      </c>
    </row>
    <row r="5592" spans="1:4">
      <c r="A5592" s="62">
        <v>45264</v>
      </c>
      <c r="B5592" s="26" t="s">
        <v>9107</v>
      </c>
      <c r="C5592" s="26" t="s">
        <v>9106</v>
      </c>
      <c r="D5592" s="26" t="s">
        <v>8</v>
      </c>
    </row>
    <row r="5593" spans="1:4">
      <c r="A5593" s="62">
        <v>45262</v>
      </c>
      <c r="B5593" s="26" t="s">
        <v>9109</v>
      </c>
      <c r="C5593" s="26" t="s">
        <v>9108</v>
      </c>
      <c r="D5593" s="26" t="s">
        <v>8</v>
      </c>
    </row>
    <row r="5594" spans="1:4">
      <c r="A5594" s="62">
        <v>45276</v>
      </c>
      <c r="B5594" s="26" t="s">
        <v>9111</v>
      </c>
      <c r="C5594" s="26" t="s">
        <v>9110</v>
      </c>
      <c r="D5594" s="26" t="s">
        <v>8</v>
      </c>
    </row>
    <row r="5595" spans="1:4">
      <c r="A5595" s="62">
        <v>45276</v>
      </c>
      <c r="B5595" s="26" t="s">
        <v>9113</v>
      </c>
      <c r="C5595" s="26" t="s">
        <v>9112</v>
      </c>
      <c r="D5595" s="26" t="s">
        <v>74</v>
      </c>
    </row>
    <row r="5596" spans="1:4">
      <c r="A5596" s="62">
        <v>45274</v>
      </c>
      <c r="B5596" s="26" t="s">
        <v>9115</v>
      </c>
      <c r="C5596" s="26" t="s">
        <v>9114</v>
      </c>
      <c r="D5596" s="26" t="s">
        <v>5</v>
      </c>
    </row>
    <row r="5597" spans="1:4">
      <c r="A5597" s="62">
        <v>45276</v>
      </c>
      <c r="B5597" s="26" t="s">
        <v>9117</v>
      </c>
      <c r="C5597" s="26" t="s">
        <v>9116</v>
      </c>
      <c r="D5597" s="26" t="s">
        <v>164</v>
      </c>
    </row>
    <row r="5598" spans="1:4">
      <c r="A5598" s="62">
        <v>45276</v>
      </c>
      <c r="B5598" s="26" t="s">
        <v>9119</v>
      </c>
      <c r="C5598" s="26" t="s">
        <v>9118</v>
      </c>
      <c r="D5598" s="26" t="s">
        <v>345</v>
      </c>
    </row>
    <row r="5599" spans="1:4">
      <c r="A5599" s="62">
        <v>45276</v>
      </c>
      <c r="B5599" s="26" t="s">
        <v>9122</v>
      </c>
      <c r="C5599" s="26" t="s">
        <v>9120</v>
      </c>
      <c r="D5599" s="26" t="s">
        <v>9121</v>
      </c>
    </row>
    <row r="5600" spans="1:4">
      <c r="A5600" s="62">
        <v>45276</v>
      </c>
      <c r="B5600" s="26" t="s">
        <v>9124</v>
      </c>
      <c r="C5600" s="26" t="s">
        <v>9123</v>
      </c>
      <c r="D5600" s="26" t="s">
        <v>74</v>
      </c>
    </row>
    <row r="5601" spans="1:4">
      <c r="A5601" s="62">
        <v>45276</v>
      </c>
      <c r="B5601" s="26" t="s">
        <v>9126</v>
      </c>
      <c r="C5601" s="26" t="s">
        <v>9125</v>
      </c>
      <c r="D5601" s="26" t="s">
        <v>109</v>
      </c>
    </row>
    <row r="5602" spans="1:4">
      <c r="A5602" s="62">
        <v>45276</v>
      </c>
      <c r="B5602" s="26" t="s">
        <v>9128</v>
      </c>
      <c r="C5602" s="26" t="s">
        <v>9127</v>
      </c>
      <c r="D5602" s="26" t="s">
        <v>141</v>
      </c>
    </row>
    <row r="5603" spans="1:4">
      <c r="A5603" s="62">
        <v>45276</v>
      </c>
      <c r="B5603" s="26" t="s">
        <v>9130</v>
      </c>
      <c r="C5603" s="26" t="s">
        <v>9129</v>
      </c>
      <c r="D5603" s="26" t="s">
        <v>8</v>
      </c>
    </row>
    <row r="5604" spans="1:4">
      <c r="A5604" s="62">
        <v>45276</v>
      </c>
      <c r="B5604" s="26" t="s">
        <v>9132</v>
      </c>
      <c r="C5604" s="26" t="s">
        <v>9131</v>
      </c>
      <c r="D5604" s="26" t="s">
        <v>16</v>
      </c>
    </row>
    <row r="5605" spans="1:4">
      <c r="A5605" s="62">
        <v>45276</v>
      </c>
      <c r="B5605" s="26" t="s">
        <v>9134</v>
      </c>
      <c r="C5605" s="26" t="s">
        <v>9133</v>
      </c>
      <c r="D5605" s="26" t="s">
        <v>8</v>
      </c>
    </row>
    <row r="5606" spans="1:4">
      <c r="A5606" s="62">
        <v>45276</v>
      </c>
      <c r="B5606" s="26" t="s">
        <v>9135</v>
      </c>
      <c r="C5606" s="26" t="s">
        <v>7692</v>
      </c>
      <c r="D5606" s="26" t="s">
        <v>8</v>
      </c>
    </row>
    <row r="5607" spans="1:4">
      <c r="A5607" s="62">
        <v>45280</v>
      </c>
      <c r="B5607" s="26" t="s">
        <v>9137</v>
      </c>
      <c r="C5607" s="26" t="s">
        <v>9136</v>
      </c>
      <c r="D5607" s="26" t="s">
        <v>29</v>
      </c>
    </row>
    <row r="5608" spans="1:4">
      <c r="A5608" s="62">
        <v>45280</v>
      </c>
      <c r="B5608" s="26" t="s">
        <v>9139</v>
      </c>
      <c r="C5608" s="26" t="s">
        <v>9138</v>
      </c>
      <c r="D5608" s="26" t="s">
        <v>353</v>
      </c>
    </row>
    <row r="5609" spans="1:4">
      <c r="A5609" s="62">
        <v>45282</v>
      </c>
      <c r="B5609" s="26" t="s">
        <v>9141</v>
      </c>
      <c r="C5609" s="26" t="s">
        <v>9140</v>
      </c>
      <c r="D5609" s="26" t="s">
        <v>109</v>
      </c>
    </row>
    <row r="5610" spans="1:4">
      <c r="A5610" s="62">
        <v>45281</v>
      </c>
      <c r="B5610" s="26" t="s">
        <v>9143</v>
      </c>
      <c r="C5610" s="26" t="s">
        <v>9142</v>
      </c>
      <c r="D5610" s="26" t="s">
        <v>29</v>
      </c>
    </row>
    <row r="5611" spans="1:4">
      <c r="A5611" s="62">
        <v>45282</v>
      </c>
      <c r="B5611" s="26" t="s">
        <v>9145</v>
      </c>
      <c r="C5611" s="26" t="s">
        <v>9144</v>
      </c>
      <c r="D5611" s="26" t="s">
        <v>5</v>
      </c>
    </row>
    <row r="5612" spans="1:4">
      <c r="A5612" s="62">
        <v>45282</v>
      </c>
      <c r="B5612" s="26" t="s">
        <v>9147</v>
      </c>
      <c r="C5612" s="26" t="s">
        <v>9146</v>
      </c>
      <c r="D5612" s="26" t="s">
        <v>109</v>
      </c>
    </row>
    <row r="5613" spans="1:4">
      <c r="A5613" s="62">
        <v>45280</v>
      </c>
      <c r="B5613" s="26" t="s">
        <v>9149</v>
      </c>
      <c r="C5613" s="26" t="s">
        <v>9148</v>
      </c>
      <c r="D5613" s="26" t="s">
        <v>109</v>
      </c>
    </row>
    <row r="5614" spans="1:4">
      <c r="A5614" s="62">
        <v>45273</v>
      </c>
      <c r="B5614" s="26" t="s">
        <v>9151</v>
      </c>
      <c r="C5614" s="26" t="s">
        <v>9150</v>
      </c>
      <c r="D5614" s="26" t="s">
        <v>5</v>
      </c>
    </row>
    <row r="5615" spans="1:4">
      <c r="A5615" s="62">
        <v>45273</v>
      </c>
      <c r="B5615" s="26" t="s">
        <v>9153</v>
      </c>
      <c r="C5615" s="26" t="s">
        <v>9152</v>
      </c>
      <c r="D5615" s="26" t="s">
        <v>5</v>
      </c>
    </row>
    <row r="5616" spans="1:4">
      <c r="A5616" s="62">
        <v>45268</v>
      </c>
      <c r="B5616" s="24" t="s">
        <v>9155</v>
      </c>
      <c r="C5616" s="26" t="s">
        <v>9154</v>
      </c>
      <c r="D5616" s="26" t="s">
        <v>109</v>
      </c>
    </row>
    <row r="5617" spans="1:4">
      <c r="A5617" s="62">
        <v>45275</v>
      </c>
      <c r="B5617" s="26" t="s">
        <v>9156</v>
      </c>
      <c r="C5617" s="26" t="s">
        <v>399</v>
      </c>
      <c r="D5617" s="26" t="s">
        <v>81</v>
      </c>
    </row>
    <row r="5618" spans="1:4">
      <c r="A5618" s="62">
        <v>45280</v>
      </c>
      <c r="B5618" s="26" t="s">
        <v>9158</v>
      </c>
      <c r="C5618" s="26" t="s">
        <v>9157</v>
      </c>
      <c r="D5618" s="26" t="s">
        <v>109</v>
      </c>
    </row>
    <row r="5619" spans="1:4">
      <c r="A5619" s="62">
        <v>45268</v>
      </c>
      <c r="B5619" s="26" t="s">
        <v>9160</v>
      </c>
      <c r="C5619" s="26" t="s">
        <v>9159</v>
      </c>
      <c r="D5619" s="26" t="s">
        <v>109</v>
      </c>
    </row>
    <row r="5620" spans="1:4">
      <c r="A5620" s="62">
        <v>45278</v>
      </c>
      <c r="B5620" s="26" t="s">
        <v>9162</v>
      </c>
      <c r="C5620" s="26" t="s">
        <v>9161</v>
      </c>
      <c r="D5620" s="26" t="s">
        <v>109</v>
      </c>
    </row>
    <row r="5621" spans="1:4">
      <c r="A5621" s="62">
        <v>45271</v>
      </c>
      <c r="B5621" s="26" t="s">
        <v>9164</v>
      </c>
      <c r="C5621" s="26" t="s">
        <v>9163</v>
      </c>
      <c r="D5621" s="26" t="s">
        <v>5</v>
      </c>
    </row>
    <row r="5622" spans="1:4">
      <c r="A5622" s="62">
        <v>45281</v>
      </c>
      <c r="B5622" s="26" t="s">
        <v>9166</v>
      </c>
      <c r="C5622" s="26" t="s">
        <v>9165</v>
      </c>
      <c r="D5622" s="26" t="s">
        <v>34</v>
      </c>
    </row>
    <row r="5623" spans="1:4">
      <c r="A5623" s="62">
        <v>45280</v>
      </c>
      <c r="B5623" s="26" t="s">
        <v>9168</v>
      </c>
      <c r="C5623" s="26" t="s">
        <v>9167</v>
      </c>
      <c r="D5623" s="26" t="s">
        <v>109</v>
      </c>
    </row>
    <row r="5624" spans="1:4">
      <c r="A5624" s="62">
        <v>45275</v>
      </c>
      <c r="B5624" s="26" t="s">
        <v>9170</v>
      </c>
      <c r="C5624" s="26" t="s">
        <v>9169</v>
      </c>
      <c r="D5624" s="26" t="s">
        <v>81</v>
      </c>
    </row>
    <row r="5625" spans="1:4">
      <c r="A5625" s="62">
        <v>45275</v>
      </c>
      <c r="B5625" s="26" t="s">
        <v>9171</v>
      </c>
      <c r="C5625" s="26" t="s">
        <v>83</v>
      </c>
      <c r="D5625" s="26" t="s">
        <v>81</v>
      </c>
    </row>
    <row r="5626" spans="1:4">
      <c r="A5626" s="62">
        <v>45278</v>
      </c>
      <c r="B5626" s="26" t="s">
        <v>9173</v>
      </c>
      <c r="C5626" s="26" t="s">
        <v>9172</v>
      </c>
      <c r="D5626" s="26" t="s">
        <v>109</v>
      </c>
    </row>
    <row r="5627" spans="1:4">
      <c r="A5627" s="62">
        <v>45275</v>
      </c>
      <c r="B5627" s="26" t="s">
        <v>9175</v>
      </c>
      <c r="C5627" s="26" t="s">
        <v>9174</v>
      </c>
      <c r="D5627" s="26" t="s">
        <v>81</v>
      </c>
    </row>
    <row r="5628" spans="1:4">
      <c r="A5628" s="62">
        <v>45280</v>
      </c>
      <c r="B5628" s="26" t="s">
        <v>9176</v>
      </c>
      <c r="C5628" s="26" t="s">
        <v>9157</v>
      </c>
      <c r="D5628" s="26" t="s">
        <v>109</v>
      </c>
    </row>
    <row r="5629" spans="1:4">
      <c r="A5629" s="62">
        <v>45281</v>
      </c>
      <c r="B5629" s="26" t="s">
        <v>9178</v>
      </c>
      <c r="C5629" s="26" t="s">
        <v>9177</v>
      </c>
      <c r="D5629" s="26" t="s">
        <v>34</v>
      </c>
    </row>
    <row r="5630" spans="1:4">
      <c r="A5630" s="62">
        <v>45280</v>
      </c>
      <c r="B5630" s="26" t="s">
        <v>9180</v>
      </c>
      <c r="C5630" s="26" t="s">
        <v>9179</v>
      </c>
      <c r="D5630" s="26" t="s">
        <v>109</v>
      </c>
    </row>
    <row r="5631" spans="1:4">
      <c r="A5631" s="32">
        <v>45279</v>
      </c>
      <c r="B5631" s="31" t="s">
        <v>9182</v>
      </c>
      <c r="C5631" s="19" t="s">
        <v>9181</v>
      </c>
      <c r="D5631" s="19" t="s">
        <v>74</v>
      </c>
    </row>
    <row r="5632" spans="1:4">
      <c r="A5632" s="32">
        <v>45276</v>
      </c>
      <c r="B5632" s="31" t="s">
        <v>9184</v>
      </c>
      <c r="C5632" s="19" t="s">
        <v>9183</v>
      </c>
      <c r="D5632" s="19" t="s">
        <v>8</v>
      </c>
    </row>
    <row r="5633" spans="1:4">
      <c r="A5633" s="32">
        <v>45280</v>
      </c>
      <c r="B5633" s="31" t="s">
        <v>9186</v>
      </c>
      <c r="C5633" s="19" t="s">
        <v>9185</v>
      </c>
      <c r="D5633" s="19" t="s">
        <v>109</v>
      </c>
    </row>
    <row r="5634" spans="1:4">
      <c r="A5634" s="32">
        <v>45280</v>
      </c>
      <c r="B5634" s="31" t="s">
        <v>9188</v>
      </c>
      <c r="C5634" s="19" t="s">
        <v>9187</v>
      </c>
      <c r="D5634" s="19" t="s">
        <v>74</v>
      </c>
    </row>
    <row r="5635" spans="1:4">
      <c r="A5635" s="32">
        <v>45276</v>
      </c>
      <c r="B5635" s="31" t="s">
        <v>9190</v>
      </c>
      <c r="C5635" s="19" t="s">
        <v>9189</v>
      </c>
      <c r="D5635" s="19" t="s">
        <v>24</v>
      </c>
    </row>
    <row r="5636" spans="1:4">
      <c r="A5636" s="32">
        <v>45276</v>
      </c>
      <c r="B5636" s="31" t="s">
        <v>9192</v>
      </c>
      <c r="C5636" s="19" t="s">
        <v>9191</v>
      </c>
      <c r="D5636" s="19" t="s">
        <v>34</v>
      </c>
    </row>
    <row r="5637" spans="1:4">
      <c r="A5637" s="32">
        <v>45282</v>
      </c>
      <c r="B5637" s="19" t="s">
        <v>9194</v>
      </c>
      <c r="C5637" s="19" t="s">
        <v>9193</v>
      </c>
      <c r="D5637" s="19" t="s">
        <v>5</v>
      </c>
    </row>
    <row r="5638" spans="1:4">
      <c r="A5638" s="32">
        <v>45282</v>
      </c>
      <c r="B5638" s="19" t="s">
        <v>9196</v>
      </c>
      <c r="C5638" s="19" t="s">
        <v>9195</v>
      </c>
      <c r="D5638" s="13" t="s">
        <v>216</v>
      </c>
    </row>
    <row r="5639" spans="1:4">
      <c r="A5639" s="32">
        <v>45282</v>
      </c>
      <c r="B5639" s="19" t="s">
        <v>9198</v>
      </c>
      <c r="C5639" s="19" t="s">
        <v>9197</v>
      </c>
      <c r="D5639" s="13" t="s">
        <v>216</v>
      </c>
    </row>
    <row r="5640" spans="1:4">
      <c r="A5640" s="32">
        <v>45286</v>
      </c>
      <c r="B5640" s="19" t="s">
        <v>9200</v>
      </c>
      <c r="C5640" s="19" t="s">
        <v>9199</v>
      </c>
      <c r="D5640" s="19" t="s">
        <v>11</v>
      </c>
    </row>
    <row r="5641" spans="1:4">
      <c r="A5641" s="32">
        <v>45286</v>
      </c>
      <c r="B5641" s="19" t="s">
        <v>9202</v>
      </c>
      <c r="C5641" s="19" t="s">
        <v>9201</v>
      </c>
      <c r="D5641" s="13" t="s">
        <v>216</v>
      </c>
    </row>
    <row r="5642" spans="1:4">
      <c r="A5642" s="32">
        <v>45283</v>
      </c>
      <c r="B5642" s="19" t="s">
        <v>9204</v>
      </c>
      <c r="C5642" s="19" t="s">
        <v>9203</v>
      </c>
      <c r="D5642" s="19" t="s">
        <v>74</v>
      </c>
    </row>
    <row r="5643" spans="1:4">
      <c r="A5643" s="32">
        <v>45279</v>
      </c>
      <c r="B5643" s="19" t="s">
        <v>9206</v>
      </c>
      <c r="C5643" s="19" t="s">
        <v>9205</v>
      </c>
      <c r="D5643" s="19" t="s">
        <v>510</v>
      </c>
    </row>
    <row r="5644" spans="1:4">
      <c r="A5644" s="32">
        <v>45279</v>
      </c>
      <c r="B5644" s="19" t="s">
        <v>9208</v>
      </c>
      <c r="C5644" s="19" t="s">
        <v>9207</v>
      </c>
      <c r="D5644" s="19" t="s">
        <v>29</v>
      </c>
    </row>
    <row r="5645" spans="1:4">
      <c r="A5645" s="32">
        <v>45279</v>
      </c>
      <c r="B5645" s="19" t="s">
        <v>9210</v>
      </c>
      <c r="C5645" s="19" t="s">
        <v>9209</v>
      </c>
      <c r="D5645" s="19" t="s">
        <v>19</v>
      </c>
    </row>
    <row r="5646" spans="1:4">
      <c r="A5646" s="32">
        <v>45281</v>
      </c>
      <c r="B5646" s="19" t="s">
        <v>9212</v>
      </c>
      <c r="C5646" s="19" t="s">
        <v>9211</v>
      </c>
      <c r="D5646" s="19" t="s">
        <v>510</v>
      </c>
    </row>
    <row r="5647" spans="1:4">
      <c r="A5647" s="32">
        <v>45280</v>
      </c>
      <c r="B5647" s="19" t="s">
        <v>9214</v>
      </c>
      <c r="C5647" s="19" t="s">
        <v>9213</v>
      </c>
      <c r="D5647" s="19" t="s">
        <v>74</v>
      </c>
    </row>
    <row r="5648" spans="1:4">
      <c r="A5648" s="32">
        <v>45283</v>
      </c>
      <c r="B5648" s="19" t="s">
        <v>9216</v>
      </c>
      <c r="C5648" s="19" t="s">
        <v>9215</v>
      </c>
      <c r="D5648" s="19" t="s">
        <v>345</v>
      </c>
    </row>
    <row r="5649" spans="1:4">
      <c r="A5649" s="32">
        <v>45283</v>
      </c>
      <c r="B5649" s="19" t="s">
        <v>9218</v>
      </c>
      <c r="C5649" s="19" t="s">
        <v>9217</v>
      </c>
      <c r="D5649" s="19" t="s">
        <v>19</v>
      </c>
    </row>
    <row r="5650" spans="1:4">
      <c r="A5650" s="32">
        <v>45283</v>
      </c>
      <c r="B5650" s="19" t="s">
        <v>9214</v>
      </c>
      <c r="C5650" s="19" t="s">
        <v>9203</v>
      </c>
      <c r="D5650" s="19" t="s">
        <v>74</v>
      </c>
    </row>
    <row r="5651" spans="1:4">
      <c r="A5651" s="32">
        <v>45283</v>
      </c>
      <c r="B5651" s="19" t="s">
        <v>9220</v>
      </c>
      <c r="C5651" s="19" t="s">
        <v>9219</v>
      </c>
      <c r="D5651" s="19" t="s">
        <v>29</v>
      </c>
    </row>
    <row r="5652" spans="1:4">
      <c r="A5652" s="32">
        <v>45280</v>
      </c>
      <c r="B5652" s="19" t="s">
        <v>9222</v>
      </c>
      <c r="C5652" s="19" t="s">
        <v>9221</v>
      </c>
      <c r="D5652" s="19" t="s">
        <v>74</v>
      </c>
    </row>
    <row r="5653" spans="1:4">
      <c r="A5653" s="32">
        <v>45281</v>
      </c>
      <c r="B5653" s="19" t="s">
        <v>9224</v>
      </c>
      <c r="C5653" s="19" t="s">
        <v>9223</v>
      </c>
      <c r="D5653" s="19" t="s">
        <v>5</v>
      </c>
    </row>
    <row r="5654" spans="1:4">
      <c r="A5654" s="32">
        <v>45283</v>
      </c>
      <c r="B5654" s="19" t="s">
        <v>9226</v>
      </c>
      <c r="C5654" s="19" t="s">
        <v>9225</v>
      </c>
      <c r="D5654" s="19" t="s">
        <v>345</v>
      </c>
    </row>
    <row r="5655" spans="1:4">
      <c r="A5655" s="62">
        <v>45261</v>
      </c>
      <c r="B5655" s="26" t="s">
        <v>9228</v>
      </c>
      <c r="C5655" s="26" t="s">
        <v>9227</v>
      </c>
      <c r="D5655" s="26" t="s">
        <v>29</v>
      </c>
    </row>
    <row r="5656" spans="1:4">
      <c r="A5656" s="62">
        <v>45259</v>
      </c>
      <c r="B5656" s="26" t="s">
        <v>9230</v>
      </c>
      <c r="C5656" s="26" t="s">
        <v>9229</v>
      </c>
      <c r="D5656" s="26" t="s">
        <v>5</v>
      </c>
    </row>
    <row r="5657" spans="1:4">
      <c r="A5657" s="62">
        <v>45258</v>
      </c>
      <c r="B5657" s="26" t="s">
        <v>9232</v>
      </c>
      <c r="C5657" s="26" t="s">
        <v>9231</v>
      </c>
      <c r="D5657" s="26" t="s">
        <v>5</v>
      </c>
    </row>
    <row r="5658" spans="1:4">
      <c r="A5658" s="62">
        <v>45259</v>
      </c>
      <c r="B5658" s="26" t="s">
        <v>9234</v>
      </c>
      <c r="C5658" s="26" t="s">
        <v>9233</v>
      </c>
      <c r="D5658" s="26" t="s">
        <v>109</v>
      </c>
    </row>
    <row r="5659" spans="1:4">
      <c r="A5659" s="62">
        <v>45250</v>
      </c>
      <c r="B5659" s="26" t="s">
        <v>9236</v>
      </c>
      <c r="C5659" s="26" t="s">
        <v>9235</v>
      </c>
      <c r="D5659" s="26" t="s">
        <v>74</v>
      </c>
    </row>
    <row r="5660" spans="1:4">
      <c r="A5660" s="62">
        <v>45251</v>
      </c>
      <c r="B5660" s="26" t="s">
        <v>9238</v>
      </c>
      <c r="C5660" s="26" t="s">
        <v>9237</v>
      </c>
      <c r="D5660" s="26" t="s">
        <v>29</v>
      </c>
    </row>
    <row r="5661" spans="1:4">
      <c r="A5661" s="62">
        <v>45250</v>
      </c>
      <c r="B5661" s="26" t="s">
        <v>9240</v>
      </c>
      <c r="C5661" s="26" t="s">
        <v>9239</v>
      </c>
      <c r="D5661" s="26" t="s">
        <v>109</v>
      </c>
    </row>
    <row r="5662" spans="1:4">
      <c r="A5662" s="62">
        <v>45252</v>
      </c>
      <c r="B5662" s="26" t="s">
        <v>9242</v>
      </c>
      <c r="C5662" s="26" t="s">
        <v>9241</v>
      </c>
      <c r="D5662" s="26" t="s">
        <v>5</v>
      </c>
    </row>
    <row r="5663" spans="1:4">
      <c r="A5663" s="62">
        <v>45250</v>
      </c>
      <c r="B5663" s="26" t="s">
        <v>9244</v>
      </c>
      <c r="C5663" s="26" t="s">
        <v>9243</v>
      </c>
      <c r="D5663" s="26" t="s">
        <v>109</v>
      </c>
    </row>
    <row r="5664" spans="1:4">
      <c r="A5664" s="62">
        <v>45250</v>
      </c>
      <c r="B5664" s="26" t="s">
        <v>9246</v>
      </c>
      <c r="C5664" s="26" t="s">
        <v>9245</v>
      </c>
      <c r="D5664" s="26" t="s">
        <v>109</v>
      </c>
    </row>
    <row r="5665" spans="1:4">
      <c r="A5665" s="62">
        <v>45260</v>
      </c>
      <c r="B5665" s="26" t="s">
        <v>9248</v>
      </c>
      <c r="C5665" s="26" t="s">
        <v>9247</v>
      </c>
      <c r="D5665" s="26" t="s">
        <v>5</v>
      </c>
    </row>
    <row r="5666" spans="1:4">
      <c r="A5666" s="62">
        <v>45255</v>
      </c>
      <c r="B5666" s="26" t="s">
        <v>9250</v>
      </c>
      <c r="C5666" s="26" t="s">
        <v>9249</v>
      </c>
      <c r="D5666" s="26" t="s">
        <v>29</v>
      </c>
    </row>
    <row r="5667" spans="1:4">
      <c r="A5667" s="62">
        <v>45251</v>
      </c>
      <c r="B5667" s="26" t="s">
        <v>9238</v>
      </c>
      <c r="C5667" s="26" t="s">
        <v>9237</v>
      </c>
      <c r="D5667" s="26" t="s">
        <v>29</v>
      </c>
    </row>
    <row r="5668" spans="1:4">
      <c r="A5668" s="62">
        <v>45272</v>
      </c>
      <c r="B5668" s="26" t="s">
        <v>9252</v>
      </c>
      <c r="C5668" s="26" t="s">
        <v>9251</v>
      </c>
      <c r="D5668" s="26" t="s">
        <v>109</v>
      </c>
    </row>
    <row r="5669" spans="1:4">
      <c r="A5669" s="62">
        <v>45251</v>
      </c>
      <c r="B5669" s="26" t="s">
        <v>9254</v>
      </c>
      <c r="C5669" s="26" t="s">
        <v>9253</v>
      </c>
      <c r="D5669" s="26" t="s">
        <v>74</v>
      </c>
    </row>
    <row r="5670" spans="1:4">
      <c r="A5670" s="62">
        <v>45257</v>
      </c>
      <c r="B5670" s="26" t="s">
        <v>9256</v>
      </c>
      <c r="C5670" s="26" t="s">
        <v>9255</v>
      </c>
      <c r="D5670" s="26" t="s">
        <v>5</v>
      </c>
    </row>
    <row r="5671" spans="1:4">
      <c r="A5671" s="62">
        <v>45253</v>
      </c>
      <c r="B5671" s="26" t="s">
        <v>9258</v>
      </c>
      <c r="C5671" s="26" t="s">
        <v>9257</v>
      </c>
      <c r="D5671" s="26" t="s">
        <v>29</v>
      </c>
    </row>
    <row r="5672" spans="1:4">
      <c r="A5672" s="62">
        <v>45257</v>
      </c>
      <c r="B5672" s="26" t="s">
        <v>9256</v>
      </c>
      <c r="C5672" s="26" t="s">
        <v>9255</v>
      </c>
      <c r="D5672" s="26" t="s">
        <v>5</v>
      </c>
    </row>
    <row r="5673" spans="1:4">
      <c r="A5673" s="62">
        <v>45261</v>
      </c>
      <c r="B5673" s="26" t="s">
        <v>9260</v>
      </c>
      <c r="C5673" s="26" t="s">
        <v>9259</v>
      </c>
      <c r="D5673" s="26" t="s">
        <v>29</v>
      </c>
    </row>
    <row r="5674" spans="1:4">
      <c r="A5674" s="62">
        <v>45259</v>
      </c>
      <c r="B5674" s="26" t="s">
        <v>9262</v>
      </c>
      <c r="C5674" s="26" t="s">
        <v>9261</v>
      </c>
      <c r="D5674" s="26" t="s">
        <v>29</v>
      </c>
    </row>
    <row r="5675" spans="1:4">
      <c r="A5675" s="62">
        <v>45251</v>
      </c>
      <c r="B5675" s="26" t="s">
        <v>9264</v>
      </c>
      <c r="C5675" s="26" t="s">
        <v>9263</v>
      </c>
      <c r="D5675" s="26" t="s">
        <v>5</v>
      </c>
    </row>
    <row r="5676" spans="1:4">
      <c r="A5676" s="62">
        <v>45258</v>
      </c>
      <c r="B5676" s="26" t="s">
        <v>9266</v>
      </c>
      <c r="C5676" s="26" t="s">
        <v>9265</v>
      </c>
      <c r="D5676" s="26" t="s">
        <v>5</v>
      </c>
    </row>
    <row r="5677" spans="1:4">
      <c r="A5677" s="62">
        <v>45253</v>
      </c>
      <c r="B5677" s="26" t="s">
        <v>9268</v>
      </c>
      <c r="C5677" s="26" t="s">
        <v>9267</v>
      </c>
      <c r="D5677" s="26" t="s">
        <v>109</v>
      </c>
    </row>
    <row r="5678" spans="1:4">
      <c r="A5678" s="62">
        <v>45274</v>
      </c>
      <c r="B5678" s="26" t="s">
        <v>9269</v>
      </c>
      <c r="C5678" s="26" t="s">
        <v>4255</v>
      </c>
      <c r="D5678" s="26" t="s">
        <v>74</v>
      </c>
    </row>
    <row r="5679" spans="1:4">
      <c r="A5679" s="62">
        <v>45252</v>
      </c>
      <c r="B5679" s="26" t="s">
        <v>9271</v>
      </c>
      <c r="C5679" s="26" t="s">
        <v>9270</v>
      </c>
      <c r="D5679" s="26" t="s">
        <v>109</v>
      </c>
    </row>
    <row r="5680" spans="1:4">
      <c r="A5680" s="62">
        <v>45253</v>
      </c>
      <c r="B5680" s="26" t="s">
        <v>9268</v>
      </c>
      <c r="C5680" s="26" t="s">
        <v>9267</v>
      </c>
      <c r="D5680" s="26" t="s">
        <v>109</v>
      </c>
    </row>
    <row r="5681" spans="1:4">
      <c r="A5681" s="62">
        <v>45250</v>
      </c>
      <c r="B5681" s="26" t="s">
        <v>9273</v>
      </c>
      <c r="C5681" s="26" t="s">
        <v>9272</v>
      </c>
      <c r="D5681" s="26" t="s">
        <v>5</v>
      </c>
    </row>
    <row r="5682" spans="1:4">
      <c r="A5682" s="62">
        <v>45253</v>
      </c>
      <c r="B5682" s="26" t="s">
        <v>9275</v>
      </c>
      <c r="C5682" s="26" t="s">
        <v>9274</v>
      </c>
      <c r="D5682" s="26" t="s">
        <v>29</v>
      </c>
    </row>
    <row r="5683" spans="1:4">
      <c r="A5683" s="64">
        <v>45251</v>
      </c>
      <c r="B5683" s="29" t="s">
        <v>9238</v>
      </c>
      <c r="C5683" s="29" t="s">
        <v>9237</v>
      </c>
      <c r="D5683" s="29" t="s">
        <v>29</v>
      </c>
    </row>
    <row r="5684" spans="1:4">
      <c r="A5684" s="62">
        <v>45252</v>
      </c>
      <c r="B5684" s="26" t="s">
        <v>9277</v>
      </c>
      <c r="C5684" s="26" t="s">
        <v>9276</v>
      </c>
      <c r="D5684" s="26" t="s">
        <v>5</v>
      </c>
    </row>
    <row r="5685" spans="1:4">
      <c r="A5685" s="62">
        <v>45252</v>
      </c>
      <c r="B5685" s="26" t="s">
        <v>9279</v>
      </c>
      <c r="C5685" s="26" t="s">
        <v>9278</v>
      </c>
      <c r="D5685" s="26" t="s">
        <v>5</v>
      </c>
    </row>
    <row r="5686" spans="1:4">
      <c r="A5686" s="62">
        <v>45255</v>
      </c>
      <c r="B5686" s="26" t="s">
        <v>9281</v>
      </c>
      <c r="C5686" s="26" t="s">
        <v>9280</v>
      </c>
      <c r="D5686" s="26" t="s">
        <v>5</v>
      </c>
    </row>
    <row r="5687" spans="1:4">
      <c r="A5687" s="62">
        <v>45254</v>
      </c>
      <c r="B5687" s="26" t="s">
        <v>9283</v>
      </c>
      <c r="C5687" s="26" t="s">
        <v>9282</v>
      </c>
      <c r="D5687" s="26" t="s">
        <v>29</v>
      </c>
    </row>
    <row r="5688" spans="1:4">
      <c r="A5688" s="62">
        <v>45251</v>
      </c>
      <c r="B5688" s="26" t="s">
        <v>9285</v>
      </c>
      <c r="C5688" s="26" t="s">
        <v>9284</v>
      </c>
      <c r="D5688" s="26" t="s">
        <v>74</v>
      </c>
    </row>
    <row r="5689" spans="1:4">
      <c r="A5689" s="62">
        <v>45251</v>
      </c>
      <c r="B5689" s="26" t="s">
        <v>9285</v>
      </c>
      <c r="C5689" s="26" t="s">
        <v>9284</v>
      </c>
      <c r="D5689" s="26" t="s">
        <v>74</v>
      </c>
    </row>
    <row r="5690" spans="1:4">
      <c r="A5690" s="62">
        <v>45252</v>
      </c>
      <c r="B5690" s="26" t="s">
        <v>9286</v>
      </c>
      <c r="C5690" s="26" t="s">
        <v>649</v>
      </c>
      <c r="D5690" s="26" t="s">
        <v>5</v>
      </c>
    </row>
    <row r="5691" spans="1:4">
      <c r="A5691" s="62">
        <v>45253</v>
      </c>
      <c r="B5691" s="26" t="s">
        <v>9287</v>
      </c>
      <c r="C5691" s="26" t="s">
        <v>9257</v>
      </c>
      <c r="D5691" s="26" t="s">
        <v>29</v>
      </c>
    </row>
    <row r="5692" spans="1:4">
      <c r="A5692" s="62">
        <v>45267</v>
      </c>
      <c r="B5692" s="26" t="s">
        <v>9289</v>
      </c>
      <c r="C5692" s="26" t="s">
        <v>9288</v>
      </c>
      <c r="D5692" s="26" t="s">
        <v>109</v>
      </c>
    </row>
    <row r="5693" spans="1:4">
      <c r="A5693" s="62">
        <v>45272</v>
      </c>
      <c r="B5693" s="26" t="s">
        <v>9291</v>
      </c>
      <c r="C5693" s="26" t="s">
        <v>9290</v>
      </c>
      <c r="D5693" s="26" t="s">
        <v>109</v>
      </c>
    </row>
    <row r="5694" spans="1:4">
      <c r="A5694" s="62">
        <v>45265</v>
      </c>
      <c r="B5694" s="26" t="s">
        <v>9293</v>
      </c>
      <c r="C5694" s="26" t="s">
        <v>9292</v>
      </c>
      <c r="D5694" s="26" t="s">
        <v>109</v>
      </c>
    </row>
    <row r="5695" spans="1:4">
      <c r="A5695" s="62">
        <v>45265</v>
      </c>
      <c r="B5695" s="26" t="s">
        <v>9295</v>
      </c>
      <c r="C5695" s="26" t="s">
        <v>9294</v>
      </c>
      <c r="D5695" s="26" t="s">
        <v>345</v>
      </c>
    </row>
    <row r="5696" spans="1:4">
      <c r="A5696" s="62">
        <v>45252</v>
      </c>
      <c r="B5696" s="26" t="s">
        <v>9297</v>
      </c>
      <c r="C5696" s="26" t="s">
        <v>9296</v>
      </c>
      <c r="D5696" s="26" t="s">
        <v>29</v>
      </c>
    </row>
    <row r="5697" spans="1:4">
      <c r="A5697" s="62">
        <v>45252</v>
      </c>
      <c r="B5697" s="26" t="s">
        <v>9286</v>
      </c>
      <c r="C5697" s="26" t="s">
        <v>649</v>
      </c>
      <c r="D5697" s="26" t="s">
        <v>5</v>
      </c>
    </row>
    <row r="5698" spans="1:4">
      <c r="A5698" s="62">
        <v>45252</v>
      </c>
      <c r="B5698" s="26" t="s">
        <v>9297</v>
      </c>
      <c r="C5698" s="26" t="s">
        <v>9296</v>
      </c>
      <c r="D5698" s="26" t="s">
        <v>29</v>
      </c>
    </row>
    <row r="5699" spans="1:4">
      <c r="A5699" s="62">
        <v>45252</v>
      </c>
      <c r="B5699" s="26" t="s">
        <v>9299</v>
      </c>
      <c r="C5699" s="26" t="s">
        <v>9298</v>
      </c>
      <c r="D5699" s="26" t="s">
        <v>5</v>
      </c>
    </row>
    <row r="5700" spans="1:4">
      <c r="A5700" s="62">
        <v>45274</v>
      </c>
      <c r="B5700" s="26" t="s">
        <v>9301</v>
      </c>
      <c r="C5700" s="26" t="s">
        <v>9300</v>
      </c>
      <c r="D5700" s="26" t="s">
        <v>29</v>
      </c>
    </row>
    <row r="5701" spans="1:4">
      <c r="A5701" s="62">
        <v>45253</v>
      </c>
      <c r="B5701" s="26" t="s">
        <v>9303</v>
      </c>
      <c r="C5701" s="26" t="s">
        <v>9302</v>
      </c>
      <c r="D5701" s="26" t="s">
        <v>29</v>
      </c>
    </row>
    <row r="5702" spans="1:4">
      <c r="A5702" s="62">
        <v>45274</v>
      </c>
      <c r="B5702" s="26" t="s">
        <v>9304</v>
      </c>
      <c r="C5702" s="26" t="s">
        <v>8146</v>
      </c>
      <c r="D5702" s="26" t="s">
        <v>5</v>
      </c>
    </row>
    <row r="5703" spans="1:4">
      <c r="A5703" s="62">
        <v>45272</v>
      </c>
      <c r="B5703" s="26" t="s">
        <v>9306</v>
      </c>
      <c r="C5703" s="26" t="s">
        <v>9305</v>
      </c>
      <c r="D5703" s="26" t="s">
        <v>5</v>
      </c>
    </row>
    <row r="5704" spans="1:4">
      <c r="A5704" s="62">
        <v>45259</v>
      </c>
      <c r="B5704" s="26" t="s">
        <v>9308</v>
      </c>
      <c r="C5704" s="26" t="s">
        <v>9307</v>
      </c>
      <c r="D5704" s="26" t="s">
        <v>109</v>
      </c>
    </row>
    <row r="5705" spans="1:4">
      <c r="A5705" s="62">
        <v>45264</v>
      </c>
      <c r="B5705" s="26" t="s">
        <v>9310</v>
      </c>
      <c r="C5705" s="26" t="s">
        <v>9309</v>
      </c>
      <c r="D5705" s="26" t="s">
        <v>109</v>
      </c>
    </row>
    <row r="5706" spans="1:4">
      <c r="A5706" s="62">
        <v>45262</v>
      </c>
      <c r="B5706" s="26" t="s">
        <v>9312</v>
      </c>
      <c r="C5706" s="26" t="s">
        <v>9311</v>
      </c>
      <c r="D5706" s="26" t="s">
        <v>5</v>
      </c>
    </row>
    <row r="5707" spans="1:4">
      <c r="A5707" s="62">
        <v>45279</v>
      </c>
      <c r="B5707" s="26" t="s">
        <v>9314</v>
      </c>
      <c r="C5707" s="26" t="s">
        <v>9313</v>
      </c>
      <c r="D5707" s="26" t="s">
        <v>5</v>
      </c>
    </row>
    <row r="5708" spans="1:4">
      <c r="A5708" s="62">
        <v>45259</v>
      </c>
      <c r="B5708" s="26" t="s">
        <v>9316</v>
      </c>
      <c r="C5708" s="26" t="s">
        <v>9315</v>
      </c>
      <c r="D5708" s="26" t="s">
        <v>109</v>
      </c>
    </row>
    <row r="5709" spans="1:4">
      <c r="A5709" s="62">
        <v>45267</v>
      </c>
      <c r="B5709" s="26" t="s">
        <v>9318</v>
      </c>
      <c r="C5709" s="26" t="s">
        <v>9317</v>
      </c>
      <c r="D5709" s="26" t="s">
        <v>109</v>
      </c>
    </row>
    <row r="5710" spans="1:4">
      <c r="A5710" s="62">
        <v>45272</v>
      </c>
      <c r="B5710" s="26" t="s">
        <v>9319</v>
      </c>
      <c r="C5710" s="26" t="s">
        <v>8146</v>
      </c>
      <c r="D5710" s="26" t="s">
        <v>5</v>
      </c>
    </row>
    <row r="5711" spans="1:4">
      <c r="A5711" s="62">
        <v>45273</v>
      </c>
      <c r="B5711" s="26" t="s">
        <v>9321</v>
      </c>
      <c r="C5711" s="26" t="s">
        <v>9320</v>
      </c>
      <c r="D5711" s="26" t="s">
        <v>5</v>
      </c>
    </row>
    <row r="5712" spans="1:4">
      <c r="A5712" s="62">
        <v>45279</v>
      </c>
      <c r="B5712" s="26" t="s">
        <v>9323</v>
      </c>
      <c r="C5712" s="26" t="s">
        <v>9322</v>
      </c>
      <c r="D5712" s="26" t="s">
        <v>5</v>
      </c>
    </row>
    <row r="5713" spans="1:4">
      <c r="A5713" s="62">
        <v>45279</v>
      </c>
      <c r="B5713" s="26" t="s">
        <v>9325</v>
      </c>
      <c r="C5713" s="26" t="s">
        <v>9324</v>
      </c>
      <c r="D5713" s="26" t="s">
        <v>5</v>
      </c>
    </row>
    <row r="5714" spans="1:4">
      <c r="A5714" s="62">
        <v>45267</v>
      </c>
      <c r="B5714" s="26" t="s">
        <v>9327</v>
      </c>
      <c r="C5714" s="26" t="s">
        <v>9326</v>
      </c>
      <c r="D5714" s="26" t="s">
        <v>109</v>
      </c>
    </row>
    <row r="5715" spans="1:4">
      <c r="A5715" s="62">
        <v>45278</v>
      </c>
      <c r="B5715" s="26" t="s">
        <v>9328</v>
      </c>
      <c r="C5715" s="26" t="s">
        <v>4342</v>
      </c>
      <c r="D5715" s="26" t="s">
        <v>29</v>
      </c>
    </row>
    <row r="5716" spans="1:4">
      <c r="A5716" s="62">
        <v>45274</v>
      </c>
      <c r="B5716" s="26" t="s">
        <v>9330</v>
      </c>
      <c r="C5716" s="26" t="s">
        <v>9329</v>
      </c>
      <c r="D5716" s="26" t="s">
        <v>29</v>
      </c>
    </row>
    <row r="5717" spans="1:4">
      <c r="A5717" s="62">
        <v>45269</v>
      </c>
      <c r="B5717" s="26" t="s">
        <v>9332</v>
      </c>
      <c r="C5717" s="26" t="s">
        <v>9331</v>
      </c>
      <c r="D5717" s="26" t="s">
        <v>29</v>
      </c>
    </row>
    <row r="5718" spans="1:4">
      <c r="A5718" s="62">
        <v>45274</v>
      </c>
      <c r="B5718" s="26" t="s">
        <v>9334</v>
      </c>
      <c r="C5718" s="26" t="s">
        <v>9333</v>
      </c>
      <c r="D5718" s="26" t="s">
        <v>353</v>
      </c>
    </row>
    <row r="5719" spans="1:4">
      <c r="A5719" s="32">
        <v>45278</v>
      </c>
      <c r="B5719" s="19" t="s">
        <v>9336</v>
      </c>
      <c r="C5719" s="46" t="s">
        <v>9335</v>
      </c>
      <c r="D5719" s="19" t="s">
        <v>16</v>
      </c>
    </row>
    <row r="5720" spans="1:4">
      <c r="A5720" s="32">
        <v>45281</v>
      </c>
      <c r="B5720" s="19" t="s">
        <v>9338</v>
      </c>
      <c r="C5720" s="46" t="s">
        <v>9337</v>
      </c>
      <c r="D5720" s="19" t="s">
        <v>8</v>
      </c>
    </row>
    <row r="5721" spans="1:4">
      <c r="A5721" s="32">
        <v>45286</v>
      </c>
      <c r="B5721" s="19" t="s">
        <v>9340</v>
      </c>
      <c r="C5721" s="46" t="s">
        <v>9339</v>
      </c>
      <c r="D5721" s="19" t="s">
        <v>24</v>
      </c>
    </row>
    <row r="5722" spans="1:4">
      <c r="A5722" s="62">
        <v>45283</v>
      </c>
      <c r="B5722" s="19" t="s">
        <v>9342</v>
      </c>
      <c r="C5722" s="46" t="s">
        <v>9341</v>
      </c>
      <c r="D5722" s="19" t="s">
        <v>11</v>
      </c>
    </row>
    <row r="5723" spans="1:4">
      <c r="A5723" s="32">
        <v>45274</v>
      </c>
      <c r="B5723" s="19" t="s">
        <v>9344</v>
      </c>
      <c r="C5723" s="46" t="s">
        <v>9343</v>
      </c>
      <c r="D5723" s="19" t="s">
        <v>8</v>
      </c>
    </row>
    <row r="5724" spans="1:4">
      <c r="A5724" s="32">
        <v>45278</v>
      </c>
      <c r="B5724" s="19" t="s">
        <v>9346</v>
      </c>
      <c r="C5724" s="46" t="s">
        <v>9345</v>
      </c>
      <c r="D5724" s="19" t="s">
        <v>5</v>
      </c>
    </row>
    <row r="5725" spans="1:4">
      <c r="A5725" s="32">
        <v>45274</v>
      </c>
      <c r="B5725" s="19" t="s">
        <v>9348</v>
      </c>
      <c r="C5725" s="46" t="s">
        <v>9347</v>
      </c>
      <c r="D5725" s="19" t="s">
        <v>5</v>
      </c>
    </row>
    <row r="5726" spans="1:4">
      <c r="A5726" s="32">
        <v>45274</v>
      </c>
      <c r="B5726" s="19" t="s">
        <v>9350</v>
      </c>
      <c r="C5726" s="46" t="s">
        <v>9349</v>
      </c>
      <c r="D5726" s="19" t="s">
        <v>5</v>
      </c>
    </row>
    <row r="5727" spans="1:4">
      <c r="A5727" s="62">
        <v>45286</v>
      </c>
      <c r="B5727" s="19" t="s">
        <v>9351</v>
      </c>
      <c r="C5727" s="46"/>
      <c r="D5727" s="19"/>
    </row>
    <row r="5728" spans="1:4">
      <c r="A5728" s="32">
        <v>45281</v>
      </c>
      <c r="B5728" s="19" t="s">
        <v>9338</v>
      </c>
      <c r="C5728" s="46" t="s">
        <v>9352</v>
      </c>
      <c r="D5728" s="19" t="s">
        <v>8</v>
      </c>
    </row>
    <row r="5729" spans="1:4">
      <c r="A5729" s="32">
        <v>45283</v>
      </c>
      <c r="B5729" s="19" t="s">
        <v>9354</v>
      </c>
      <c r="C5729" s="46" t="s">
        <v>9353</v>
      </c>
      <c r="D5729" s="19" t="s">
        <v>11</v>
      </c>
    </row>
    <row r="5730" spans="1:4">
      <c r="A5730" s="32">
        <v>45286</v>
      </c>
      <c r="B5730" s="19" t="s">
        <v>9356</v>
      </c>
      <c r="C5730" s="46" t="s">
        <v>9355</v>
      </c>
      <c r="D5730" s="19" t="s">
        <v>24</v>
      </c>
    </row>
    <row r="5731" spans="1:4">
      <c r="A5731" s="32">
        <v>45283</v>
      </c>
      <c r="B5731" s="19" t="s">
        <v>9358</v>
      </c>
      <c r="C5731" s="46" t="s">
        <v>9357</v>
      </c>
      <c r="D5731" s="19" t="s">
        <v>11</v>
      </c>
    </row>
    <row r="5732" spans="1:4">
      <c r="A5732" s="32">
        <v>45286</v>
      </c>
      <c r="B5732" s="19" t="s">
        <v>9360</v>
      </c>
      <c r="C5732" s="46" t="s">
        <v>9359</v>
      </c>
      <c r="D5732" s="19" t="s">
        <v>5</v>
      </c>
    </row>
    <row r="5733" spans="1:4">
      <c r="A5733" s="32">
        <v>45281</v>
      </c>
      <c r="B5733" s="19" t="s">
        <v>9362</v>
      </c>
      <c r="C5733" s="46" t="s">
        <v>9361</v>
      </c>
      <c r="D5733" s="19" t="s">
        <v>24</v>
      </c>
    </row>
    <row r="5734" spans="1:4">
      <c r="A5734" s="32">
        <v>45280</v>
      </c>
      <c r="B5734" s="19" t="s">
        <v>9364</v>
      </c>
      <c r="C5734" s="46" t="s">
        <v>9363</v>
      </c>
      <c r="D5734" s="19" t="s">
        <v>24</v>
      </c>
    </row>
    <row r="5735" spans="1:4">
      <c r="A5735" s="32">
        <v>45281</v>
      </c>
      <c r="B5735" s="19" t="s">
        <v>9366</v>
      </c>
      <c r="C5735" s="46" t="s">
        <v>9365</v>
      </c>
      <c r="D5735" s="19" t="s">
        <v>8</v>
      </c>
    </row>
    <row r="5736" spans="1:4">
      <c r="A5736" s="32">
        <v>45284</v>
      </c>
      <c r="B5736" s="19" t="s">
        <v>9368</v>
      </c>
      <c r="C5736" s="46" t="s">
        <v>9367</v>
      </c>
      <c r="D5736" s="19" t="s">
        <v>8</v>
      </c>
    </row>
    <row r="5737" spans="1:4">
      <c r="A5737" s="32">
        <v>45286</v>
      </c>
      <c r="B5737" s="19" t="s">
        <v>9370</v>
      </c>
      <c r="C5737" s="46" t="s">
        <v>9369</v>
      </c>
      <c r="D5737" s="19" t="s">
        <v>24</v>
      </c>
    </row>
    <row r="5738" spans="1:4">
      <c r="A5738" s="62">
        <v>45281</v>
      </c>
      <c r="B5738" s="26" t="s">
        <v>9371</v>
      </c>
      <c r="C5738" s="26" t="s">
        <v>8358</v>
      </c>
      <c r="D5738" s="26" t="s">
        <v>345</v>
      </c>
    </row>
    <row r="5739" spans="1:4">
      <c r="A5739" s="62">
        <v>45283</v>
      </c>
      <c r="B5739" s="26" t="s">
        <v>9109</v>
      </c>
      <c r="C5739" s="26" t="s">
        <v>9108</v>
      </c>
      <c r="D5739" s="26" t="s">
        <v>8</v>
      </c>
    </row>
    <row r="5740" spans="1:4">
      <c r="A5740" s="62">
        <v>45282</v>
      </c>
      <c r="B5740" s="26" t="s">
        <v>9372</v>
      </c>
      <c r="C5740" s="26" t="s">
        <v>8358</v>
      </c>
      <c r="D5740" s="26" t="s">
        <v>345</v>
      </c>
    </row>
    <row r="5741" spans="1:4">
      <c r="A5741" s="62">
        <v>45281</v>
      </c>
      <c r="B5741" s="26" t="s">
        <v>9374</v>
      </c>
      <c r="C5741" s="26" t="s">
        <v>9373</v>
      </c>
      <c r="D5741" s="26" t="s">
        <v>109</v>
      </c>
    </row>
    <row r="5742" spans="1:4">
      <c r="A5742" s="62">
        <v>45286</v>
      </c>
      <c r="B5742" s="26" t="s">
        <v>9376</v>
      </c>
      <c r="C5742" s="26" t="s">
        <v>9375</v>
      </c>
      <c r="D5742" s="26" t="s">
        <v>74</v>
      </c>
    </row>
    <row r="5743" spans="1:4">
      <c r="A5743" s="28" t="s">
        <v>9379</v>
      </c>
      <c r="B5743" s="26" t="s">
        <v>9378</v>
      </c>
      <c r="C5743" s="26" t="s">
        <v>9377</v>
      </c>
      <c r="D5743" s="26" t="s">
        <v>16</v>
      </c>
    </row>
    <row r="5744" spans="1:4">
      <c r="A5744" s="28" t="s">
        <v>9379</v>
      </c>
      <c r="B5744" s="26" t="s">
        <v>9381</v>
      </c>
      <c r="C5744" s="26" t="s">
        <v>9380</v>
      </c>
      <c r="D5744" s="26" t="s">
        <v>141</v>
      </c>
    </row>
    <row r="5745" spans="1:4">
      <c r="A5745" s="28" t="s">
        <v>9384</v>
      </c>
      <c r="B5745" s="26" t="s">
        <v>9383</v>
      </c>
      <c r="C5745" s="26" t="s">
        <v>9382</v>
      </c>
      <c r="D5745" s="26" t="s">
        <v>74</v>
      </c>
    </row>
    <row r="5746" spans="1:4">
      <c r="A5746" s="28" t="s">
        <v>9379</v>
      </c>
      <c r="B5746" s="26" t="s">
        <v>9386</v>
      </c>
      <c r="C5746" s="26" t="s">
        <v>9385</v>
      </c>
      <c r="D5746" s="26" t="s">
        <v>8</v>
      </c>
    </row>
    <row r="5747" spans="1:4">
      <c r="A5747" s="28" t="s">
        <v>9379</v>
      </c>
      <c r="B5747" s="26" t="s">
        <v>7602</v>
      </c>
      <c r="C5747" s="26" t="s">
        <v>7525</v>
      </c>
      <c r="D5747" s="26" t="s">
        <v>8</v>
      </c>
    </row>
    <row r="5748" spans="1:4">
      <c r="A5748" s="28" t="s">
        <v>9389</v>
      </c>
      <c r="B5748" s="26" t="s">
        <v>9388</v>
      </c>
      <c r="C5748" s="26" t="s">
        <v>9387</v>
      </c>
      <c r="D5748" s="26" t="s">
        <v>109</v>
      </c>
    </row>
    <row r="5749" spans="1:4">
      <c r="A5749" s="28" t="s">
        <v>9384</v>
      </c>
      <c r="B5749" s="26" t="s">
        <v>9391</v>
      </c>
      <c r="C5749" s="26" t="s">
        <v>9390</v>
      </c>
      <c r="D5749" s="26" t="s">
        <v>74</v>
      </c>
    </row>
    <row r="5750" spans="1:4">
      <c r="A5750" s="28" t="s">
        <v>9394</v>
      </c>
      <c r="B5750" s="26" t="s">
        <v>9393</v>
      </c>
      <c r="C5750" s="26" t="s">
        <v>9392</v>
      </c>
      <c r="D5750" s="26" t="s">
        <v>74</v>
      </c>
    </row>
    <row r="5751" spans="1:4">
      <c r="A5751" s="62">
        <v>45266</v>
      </c>
      <c r="B5751" s="26" t="s">
        <v>9396</v>
      </c>
      <c r="C5751" s="26" t="s">
        <v>9395</v>
      </c>
      <c r="D5751" s="26" t="s">
        <v>5</v>
      </c>
    </row>
    <row r="5752" spans="1:4">
      <c r="A5752" s="62">
        <v>45258</v>
      </c>
      <c r="B5752" s="26" t="s">
        <v>9398</v>
      </c>
      <c r="C5752" s="26" t="s">
        <v>9397</v>
      </c>
      <c r="D5752" s="26" t="s">
        <v>5</v>
      </c>
    </row>
    <row r="5753" spans="1:4">
      <c r="A5753" s="62">
        <v>45272</v>
      </c>
      <c r="B5753" s="26" t="s">
        <v>9399</v>
      </c>
      <c r="C5753" s="26" t="s">
        <v>9251</v>
      </c>
      <c r="D5753" s="26" t="s">
        <v>109</v>
      </c>
    </row>
    <row r="5754" spans="1:4">
      <c r="A5754" s="62">
        <v>45274</v>
      </c>
      <c r="B5754" s="26" t="s">
        <v>9400</v>
      </c>
      <c r="C5754" s="26" t="s">
        <v>8146</v>
      </c>
      <c r="D5754" s="26" t="s">
        <v>5</v>
      </c>
    </row>
    <row r="5755" spans="1:4">
      <c r="A5755" s="62">
        <v>45278</v>
      </c>
      <c r="B5755" s="26" t="s">
        <v>9402</v>
      </c>
      <c r="C5755" s="26" t="s">
        <v>9401</v>
      </c>
      <c r="D5755" s="26" t="s">
        <v>11</v>
      </c>
    </row>
    <row r="5756" spans="1:4">
      <c r="A5756" s="62">
        <v>45272</v>
      </c>
      <c r="B5756" s="26" t="s">
        <v>9404</v>
      </c>
      <c r="C5756" s="26" t="s">
        <v>9403</v>
      </c>
      <c r="D5756" s="26" t="s">
        <v>109</v>
      </c>
    </row>
    <row r="5757" spans="1:4">
      <c r="A5757" s="62">
        <v>45257</v>
      </c>
      <c r="B5757" s="26" t="s">
        <v>9406</v>
      </c>
      <c r="C5757" s="26" t="s">
        <v>9405</v>
      </c>
      <c r="D5757" s="26" t="s">
        <v>5</v>
      </c>
    </row>
    <row r="5758" spans="1:4">
      <c r="A5758" s="62">
        <v>45259</v>
      </c>
      <c r="B5758" s="26" t="s">
        <v>9408</v>
      </c>
      <c r="C5758" s="26" t="s">
        <v>9407</v>
      </c>
      <c r="D5758" s="26" t="s">
        <v>109</v>
      </c>
    </row>
    <row r="5759" spans="1:4">
      <c r="A5759" s="62">
        <v>45259</v>
      </c>
      <c r="B5759" s="26" t="s">
        <v>9410</v>
      </c>
      <c r="C5759" s="26" t="s">
        <v>9409</v>
      </c>
      <c r="D5759" s="26" t="s">
        <v>5</v>
      </c>
    </row>
    <row r="5760" spans="1:4">
      <c r="A5760" s="62">
        <v>45266</v>
      </c>
      <c r="B5760" s="26" t="s">
        <v>9412</v>
      </c>
      <c r="C5760" s="26" t="s">
        <v>9411</v>
      </c>
      <c r="D5760" s="26" t="s">
        <v>5</v>
      </c>
    </row>
    <row r="5761" spans="1:4">
      <c r="A5761" s="62">
        <v>45264</v>
      </c>
      <c r="B5761" s="26" t="s">
        <v>9414</v>
      </c>
      <c r="C5761" s="26" t="s">
        <v>9413</v>
      </c>
      <c r="D5761" s="26" t="s">
        <v>109</v>
      </c>
    </row>
    <row r="5762" spans="1:4">
      <c r="A5762" s="62">
        <v>45268</v>
      </c>
      <c r="B5762" s="26" t="s">
        <v>9416</v>
      </c>
      <c r="C5762" s="26" t="s">
        <v>9415</v>
      </c>
      <c r="D5762" s="26" t="s">
        <v>5</v>
      </c>
    </row>
    <row r="5763" spans="1:4">
      <c r="A5763" s="62">
        <v>45257</v>
      </c>
      <c r="B5763" s="26" t="s">
        <v>9418</v>
      </c>
      <c r="C5763" s="26" t="s">
        <v>9417</v>
      </c>
      <c r="D5763" s="26" t="s">
        <v>5</v>
      </c>
    </row>
    <row r="5764" spans="1:4">
      <c r="A5764" s="62">
        <v>45257</v>
      </c>
      <c r="B5764" s="26" t="s">
        <v>9406</v>
      </c>
      <c r="C5764" s="26" t="s">
        <v>9405</v>
      </c>
      <c r="D5764" s="26" t="s">
        <v>5</v>
      </c>
    </row>
    <row r="5765" spans="1:4">
      <c r="A5765" s="62">
        <v>45258</v>
      </c>
      <c r="B5765" s="26" t="s">
        <v>9398</v>
      </c>
      <c r="C5765" s="26" t="s">
        <v>9397</v>
      </c>
      <c r="D5765" s="26" t="s">
        <v>5</v>
      </c>
    </row>
    <row r="5766" spans="1:4">
      <c r="A5766" s="62">
        <v>45258</v>
      </c>
      <c r="B5766" s="26" t="s">
        <v>9419</v>
      </c>
      <c r="C5766" s="26" t="s">
        <v>8142</v>
      </c>
      <c r="D5766" s="26" t="s">
        <v>5</v>
      </c>
    </row>
    <row r="5767" spans="1:4">
      <c r="A5767" s="62">
        <v>45275</v>
      </c>
      <c r="B5767" s="26" t="s">
        <v>9421</v>
      </c>
      <c r="C5767" s="26" t="s">
        <v>9420</v>
      </c>
      <c r="D5767" s="26" t="s">
        <v>5</v>
      </c>
    </row>
    <row r="5768" spans="1:4">
      <c r="A5768" s="62">
        <v>45278</v>
      </c>
      <c r="B5768" s="26" t="s">
        <v>9423</v>
      </c>
      <c r="C5768" s="26" t="s">
        <v>9422</v>
      </c>
      <c r="D5768" s="26" t="s">
        <v>109</v>
      </c>
    </row>
    <row r="5769" spans="1:4">
      <c r="A5769" s="62">
        <v>45279</v>
      </c>
      <c r="B5769" s="26" t="s">
        <v>9425</v>
      </c>
      <c r="C5769" s="26" t="s">
        <v>9424</v>
      </c>
      <c r="D5769" s="26" t="s">
        <v>5</v>
      </c>
    </row>
    <row r="5770" spans="1:4">
      <c r="A5770" s="62">
        <v>45275</v>
      </c>
      <c r="B5770" s="26" t="s">
        <v>9427</v>
      </c>
      <c r="C5770" s="26" t="s">
        <v>9426</v>
      </c>
      <c r="D5770" s="26" t="s">
        <v>5</v>
      </c>
    </row>
    <row r="5771" spans="1:4">
      <c r="A5771" s="62">
        <v>45279</v>
      </c>
      <c r="B5771" s="26" t="s">
        <v>9323</v>
      </c>
      <c r="C5771" s="26" t="s">
        <v>9322</v>
      </c>
      <c r="D5771" s="26" t="s">
        <v>5</v>
      </c>
    </row>
    <row r="5772" spans="1:4">
      <c r="A5772" s="62">
        <v>45278</v>
      </c>
      <c r="B5772" s="26" t="s">
        <v>9429</v>
      </c>
      <c r="C5772" s="26" t="s">
        <v>9428</v>
      </c>
      <c r="D5772" s="26" t="s">
        <v>353</v>
      </c>
    </row>
    <row r="5773" spans="1:4">
      <c r="A5773" s="62">
        <v>45278</v>
      </c>
      <c r="B5773" s="26" t="s">
        <v>9431</v>
      </c>
      <c r="C5773" s="26" t="s">
        <v>9430</v>
      </c>
      <c r="D5773" s="26" t="s">
        <v>353</v>
      </c>
    </row>
    <row r="5774" spans="1:4">
      <c r="A5774" s="62">
        <v>45279</v>
      </c>
      <c r="B5774" s="26" t="s">
        <v>9433</v>
      </c>
      <c r="C5774" s="26" t="s">
        <v>9432</v>
      </c>
      <c r="D5774" s="26" t="s">
        <v>5</v>
      </c>
    </row>
    <row r="5775" spans="1:4">
      <c r="A5775" s="62">
        <v>45278</v>
      </c>
      <c r="B5775" s="26" t="s">
        <v>9435</v>
      </c>
      <c r="C5775" s="26" t="s">
        <v>9434</v>
      </c>
      <c r="D5775" s="26" t="s">
        <v>34</v>
      </c>
    </row>
    <row r="5776" spans="1:4">
      <c r="A5776" s="62">
        <v>45278</v>
      </c>
      <c r="B5776" s="26" t="s">
        <v>9437</v>
      </c>
      <c r="C5776" s="26" t="s">
        <v>9436</v>
      </c>
      <c r="D5776" s="26" t="s">
        <v>109</v>
      </c>
    </row>
    <row r="5777" spans="1:4">
      <c r="A5777" s="62">
        <v>45278</v>
      </c>
      <c r="B5777" s="26" t="s">
        <v>9423</v>
      </c>
      <c r="C5777" s="26" t="s">
        <v>9422</v>
      </c>
      <c r="D5777" s="26" t="s">
        <v>109</v>
      </c>
    </row>
    <row r="5778" spans="1:4">
      <c r="A5778" s="62">
        <v>45275</v>
      </c>
      <c r="B5778" s="26" t="s">
        <v>9439</v>
      </c>
      <c r="C5778" s="26" t="s">
        <v>9438</v>
      </c>
      <c r="D5778" s="13" t="s">
        <v>216</v>
      </c>
    </row>
    <row r="5779" spans="1:4">
      <c r="A5779" s="62">
        <v>45275</v>
      </c>
      <c r="B5779" s="26" t="s">
        <v>9441</v>
      </c>
      <c r="C5779" s="26" t="s">
        <v>9440</v>
      </c>
      <c r="D5779" s="26" t="s">
        <v>5</v>
      </c>
    </row>
    <row r="5780" spans="1:4">
      <c r="A5780" s="62">
        <v>45279</v>
      </c>
      <c r="B5780" s="26" t="s">
        <v>9443</v>
      </c>
      <c r="C5780" s="26" t="s">
        <v>9442</v>
      </c>
      <c r="D5780" s="26" t="s">
        <v>5</v>
      </c>
    </row>
    <row r="5781" spans="1:4">
      <c r="A5781" s="62">
        <v>45275</v>
      </c>
      <c r="B5781" s="26" t="s">
        <v>9445</v>
      </c>
      <c r="C5781" s="26" t="s">
        <v>9444</v>
      </c>
      <c r="D5781" s="13" t="s">
        <v>216</v>
      </c>
    </row>
    <row r="5782" spans="1:4">
      <c r="A5782" s="62">
        <v>45279</v>
      </c>
      <c r="B5782" s="26" t="s">
        <v>9447</v>
      </c>
      <c r="C5782" s="26" t="s">
        <v>9446</v>
      </c>
      <c r="D5782" s="26" t="s">
        <v>353</v>
      </c>
    </row>
    <row r="5783" spans="1:4">
      <c r="A5783" s="62">
        <v>45279</v>
      </c>
      <c r="B5783" s="26" t="s">
        <v>9449</v>
      </c>
      <c r="C5783" s="26" t="s">
        <v>9448</v>
      </c>
      <c r="D5783" s="26" t="s">
        <v>353</v>
      </c>
    </row>
    <row r="5784" spans="1:4">
      <c r="A5784" s="62">
        <v>45263</v>
      </c>
      <c r="B5784" s="26" t="s">
        <v>9451</v>
      </c>
      <c r="C5784" s="26" t="s">
        <v>9450</v>
      </c>
      <c r="D5784" s="26" t="s">
        <v>5</v>
      </c>
    </row>
    <row r="5785" spans="1:4">
      <c r="A5785" s="62">
        <v>45261</v>
      </c>
      <c r="B5785" s="26" t="s">
        <v>9453</v>
      </c>
      <c r="C5785" s="26" t="s">
        <v>9452</v>
      </c>
      <c r="D5785" s="26" t="s">
        <v>5</v>
      </c>
    </row>
    <row r="5786" spans="1:4">
      <c r="A5786" s="62">
        <v>45264</v>
      </c>
      <c r="B5786" s="26" t="s">
        <v>9455</v>
      </c>
      <c r="C5786" s="26" t="s">
        <v>9454</v>
      </c>
      <c r="D5786" s="26" t="s">
        <v>5</v>
      </c>
    </row>
    <row r="5787" spans="1:4">
      <c r="A5787" s="62">
        <v>45279</v>
      </c>
      <c r="B5787" s="26" t="s">
        <v>9456</v>
      </c>
      <c r="C5787" s="26" t="s">
        <v>2930</v>
      </c>
      <c r="D5787" s="26" t="s">
        <v>353</v>
      </c>
    </row>
    <row r="5788" spans="1:4">
      <c r="A5788" s="62">
        <v>45262</v>
      </c>
      <c r="B5788" s="26" t="s">
        <v>8004</v>
      </c>
      <c r="C5788" s="26" t="s">
        <v>8003</v>
      </c>
      <c r="D5788" s="26" t="s">
        <v>5</v>
      </c>
    </row>
    <row r="5789" spans="1:4">
      <c r="A5789" s="62">
        <v>45266</v>
      </c>
      <c r="B5789" s="26" t="s">
        <v>9458</v>
      </c>
      <c r="C5789" s="26" t="s">
        <v>9457</v>
      </c>
      <c r="D5789" s="26" t="s">
        <v>5</v>
      </c>
    </row>
    <row r="5790" spans="1:4">
      <c r="A5790" s="62">
        <v>45260</v>
      </c>
      <c r="B5790" s="26" t="s">
        <v>9453</v>
      </c>
      <c r="C5790" s="26" t="s">
        <v>9459</v>
      </c>
      <c r="D5790" s="26" t="s">
        <v>5</v>
      </c>
    </row>
    <row r="5791" spans="1:4">
      <c r="A5791" s="62">
        <v>45260</v>
      </c>
      <c r="B5791" s="26" t="s">
        <v>9460</v>
      </c>
      <c r="C5791" s="26" t="s">
        <v>9459</v>
      </c>
      <c r="D5791" s="26" t="s">
        <v>5</v>
      </c>
    </row>
    <row r="5792" spans="1:4">
      <c r="A5792" s="62">
        <v>45261</v>
      </c>
      <c r="B5792" s="26" t="s">
        <v>9462</v>
      </c>
      <c r="C5792" s="26" t="s">
        <v>9461</v>
      </c>
      <c r="D5792" s="26" t="s">
        <v>109</v>
      </c>
    </row>
    <row r="5793" spans="1:4">
      <c r="A5793" s="62">
        <v>45254</v>
      </c>
      <c r="B5793" s="19" t="s">
        <v>9464</v>
      </c>
      <c r="C5793" s="19" t="s">
        <v>9463</v>
      </c>
      <c r="D5793" s="19" t="s">
        <v>24</v>
      </c>
    </row>
    <row r="5794" spans="1:4">
      <c r="A5794" s="62">
        <v>45253</v>
      </c>
      <c r="B5794" s="19" t="s">
        <v>9466</v>
      </c>
      <c r="C5794" s="19" t="s">
        <v>9465</v>
      </c>
      <c r="D5794" s="19" t="s">
        <v>11</v>
      </c>
    </row>
    <row r="5795" spans="1:4">
      <c r="A5795" s="62">
        <v>45251</v>
      </c>
      <c r="B5795" s="19" t="s">
        <v>9468</v>
      </c>
      <c r="C5795" s="19" t="s">
        <v>9467</v>
      </c>
      <c r="D5795" s="19" t="s">
        <v>11</v>
      </c>
    </row>
    <row r="5796" spans="1:4">
      <c r="A5796" s="62">
        <v>45254</v>
      </c>
      <c r="B5796" s="19" t="s">
        <v>9470</v>
      </c>
      <c r="C5796" s="19" t="s">
        <v>9469</v>
      </c>
      <c r="D5796" s="19" t="s">
        <v>24</v>
      </c>
    </row>
    <row r="5797" spans="1:4">
      <c r="A5797" s="62">
        <v>45257</v>
      </c>
      <c r="B5797" s="19"/>
      <c r="C5797" s="19" t="s">
        <v>9471</v>
      </c>
      <c r="D5797" s="19" t="s">
        <v>8</v>
      </c>
    </row>
    <row r="5798" spans="1:4">
      <c r="A5798" s="62">
        <v>45251</v>
      </c>
      <c r="B5798" s="19" t="s">
        <v>9473</v>
      </c>
      <c r="C5798" s="19" t="s">
        <v>9472</v>
      </c>
      <c r="D5798" s="19" t="s">
        <v>11</v>
      </c>
    </row>
    <row r="5799" spans="1:4">
      <c r="A5799" s="62">
        <v>45257</v>
      </c>
      <c r="B5799" s="19"/>
      <c r="C5799" s="19" t="s">
        <v>9474</v>
      </c>
      <c r="D5799" s="19" t="s">
        <v>29</v>
      </c>
    </row>
    <row r="5800" spans="1:4">
      <c r="A5800" s="62">
        <v>45253</v>
      </c>
      <c r="B5800" s="19" t="s">
        <v>9476</v>
      </c>
      <c r="C5800" s="19" t="s">
        <v>9475</v>
      </c>
      <c r="D5800" s="19" t="s">
        <v>11</v>
      </c>
    </row>
    <row r="5801" spans="1:4">
      <c r="A5801" s="62">
        <v>45260</v>
      </c>
      <c r="B5801" s="19" t="s">
        <v>9478</v>
      </c>
      <c r="C5801" s="19" t="s">
        <v>9477</v>
      </c>
      <c r="D5801" s="19" t="s">
        <v>8</v>
      </c>
    </row>
    <row r="5802" spans="1:4">
      <c r="A5802" s="62">
        <v>45259</v>
      </c>
      <c r="B5802" s="19" t="s">
        <v>9480</v>
      </c>
      <c r="C5802" s="19" t="s">
        <v>9479</v>
      </c>
      <c r="D5802" s="19" t="s">
        <v>11</v>
      </c>
    </row>
    <row r="5803" spans="1:4">
      <c r="A5803" s="62">
        <v>45273</v>
      </c>
      <c r="B5803" s="19" t="s">
        <v>9482</v>
      </c>
      <c r="C5803" s="46" t="s">
        <v>9481</v>
      </c>
      <c r="D5803" s="19" t="s">
        <v>8</v>
      </c>
    </row>
    <row r="5804" spans="1:4">
      <c r="A5804" s="62">
        <v>45251</v>
      </c>
      <c r="B5804" s="19" t="s">
        <v>9484</v>
      </c>
      <c r="C5804" s="19" t="s">
        <v>9483</v>
      </c>
      <c r="D5804" s="19" t="s">
        <v>74</v>
      </c>
    </row>
    <row r="5805" spans="1:4">
      <c r="A5805" s="62">
        <v>45259</v>
      </c>
      <c r="B5805" s="19" t="s">
        <v>9486</v>
      </c>
      <c r="C5805" s="19" t="s">
        <v>9485</v>
      </c>
      <c r="D5805" s="19" t="s">
        <v>11</v>
      </c>
    </row>
    <row r="5806" spans="1:4">
      <c r="A5806" s="62">
        <v>45261</v>
      </c>
      <c r="B5806" s="19"/>
      <c r="C5806" s="19" t="s">
        <v>9487</v>
      </c>
      <c r="D5806" s="19" t="s">
        <v>8</v>
      </c>
    </row>
    <row r="5807" spans="1:4">
      <c r="A5807" s="62">
        <v>45259</v>
      </c>
      <c r="B5807" s="19" t="s">
        <v>9489</v>
      </c>
      <c r="C5807" s="19" t="s">
        <v>9488</v>
      </c>
      <c r="D5807" s="19" t="s">
        <v>11</v>
      </c>
    </row>
    <row r="5808" spans="1:4">
      <c r="A5808" s="62">
        <v>45257</v>
      </c>
      <c r="B5808" s="19"/>
      <c r="C5808" s="19" t="s">
        <v>9490</v>
      </c>
      <c r="D5808" s="19" t="s">
        <v>8</v>
      </c>
    </row>
    <row r="5809" spans="1:4">
      <c r="A5809" s="62">
        <v>45273</v>
      </c>
      <c r="B5809" s="19" t="s">
        <v>9491</v>
      </c>
      <c r="C5809" s="46" t="s">
        <v>9035</v>
      </c>
      <c r="D5809" s="19" t="s">
        <v>8</v>
      </c>
    </row>
    <row r="5810" spans="1:4">
      <c r="A5810" s="62">
        <v>45273</v>
      </c>
      <c r="B5810" s="19" t="s">
        <v>9493</v>
      </c>
      <c r="C5810" s="19" t="s">
        <v>9492</v>
      </c>
      <c r="D5810" s="19" t="s">
        <v>74</v>
      </c>
    </row>
    <row r="5811" spans="1:4">
      <c r="A5811" s="62">
        <v>45273</v>
      </c>
      <c r="B5811" s="19" t="s">
        <v>9495</v>
      </c>
      <c r="C5811" s="46" t="s">
        <v>9494</v>
      </c>
      <c r="D5811" s="19" t="s">
        <v>74</v>
      </c>
    </row>
    <row r="5812" spans="1:4">
      <c r="A5812" s="62">
        <v>45286</v>
      </c>
      <c r="B5812" s="26" t="s">
        <v>9496</v>
      </c>
      <c r="C5812" s="26" t="s">
        <v>2591</v>
      </c>
      <c r="D5812" s="26" t="s">
        <v>24</v>
      </c>
    </row>
    <row r="5813" spans="1:4">
      <c r="A5813" s="62">
        <v>45282</v>
      </c>
      <c r="B5813" s="31" t="s">
        <v>9498</v>
      </c>
      <c r="C5813" s="19" t="s">
        <v>9497</v>
      </c>
      <c r="D5813" s="19" t="s">
        <v>24</v>
      </c>
    </row>
    <row r="5814" spans="1:4">
      <c r="A5814" s="62">
        <v>45289</v>
      </c>
      <c r="B5814" s="31" t="s">
        <v>9499</v>
      </c>
      <c r="C5814" s="19" t="s">
        <v>2283</v>
      </c>
      <c r="D5814" s="19" t="s">
        <v>109</v>
      </c>
    </row>
    <row r="5815" spans="1:4">
      <c r="A5815" s="62">
        <v>45287</v>
      </c>
      <c r="B5815" s="31" t="s">
        <v>9500</v>
      </c>
      <c r="C5815" s="19" t="s">
        <v>6868</v>
      </c>
      <c r="D5815" s="19" t="s">
        <v>34</v>
      </c>
    </row>
    <row r="5816" spans="1:4">
      <c r="A5816" s="62">
        <v>45288</v>
      </c>
      <c r="B5816" s="31" t="s">
        <v>9502</v>
      </c>
      <c r="C5816" s="19" t="s">
        <v>9501</v>
      </c>
      <c r="D5816" s="19" t="s">
        <v>5</v>
      </c>
    </row>
    <row r="5817" spans="1:4">
      <c r="A5817" s="62">
        <v>45289</v>
      </c>
      <c r="B5817" s="31" t="s">
        <v>9504</v>
      </c>
      <c r="C5817" s="19" t="s">
        <v>9503</v>
      </c>
      <c r="D5817" s="19" t="s">
        <v>109</v>
      </c>
    </row>
    <row r="5818" spans="1:4">
      <c r="A5818" s="62">
        <v>45282</v>
      </c>
      <c r="B5818" s="31" t="s">
        <v>9505</v>
      </c>
      <c r="C5818" s="19" t="s">
        <v>167</v>
      </c>
      <c r="D5818" s="19" t="s">
        <v>81</v>
      </c>
    </row>
    <row r="5819" spans="1:4">
      <c r="A5819" s="62">
        <v>45282</v>
      </c>
      <c r="B5819" s="31" t="s">
        <v>9506</v>
      </c>
      <c r="C5819" s="19" t="s">
        <v>170</v>
      </c>
      <c r="D5819" s="19" t="s">
        <v>81</v>
      </c>
    </row>
    <row r="5820" spans="1:4">
      <c r="A5820" s="62">
        <v>45282</v>
      </c>
      <c r="B5820" s="31" t="s">
        <v>9507</v>
      </c>
      <c r="C5820" s="19" t="s">
        <v>1875</v>
      </c>
      <c r="D5820" s="19" t="s">
        <v>81</v>
      </c>
    </row>
    <row r="5821" spans="1:4">
      <c r="A5821" s="62">
        <v>45283</v>
      </c>
      <c r="B5821" s="31" t="s">
        <v>9508</v>
      </c>
      <c r="C5821" s="19" t="s">
        <v>695</v>
      </c>
      <c r="D5821" s="19" t="s">
        <v>34</v>
      </c>
    </row>
    <row r="5822" spans="1:4">
      <c r="A5822" s="62">
        <v>45281</v>
      </c>
      <c r="B5822" s="31" t="s">
        <v>9510</v>
      </c>
      <c r="C5822" s="19" t="s">
        <v>9509</v>
      </c>
      <c r="D5822" s="19" t="s">
        <v>16</v>
      </c>
    </row>
    <row r="5823" spans="1:4">
      <c r="A5823" s="62">
        <v>45288</v>
      </c>
      <c r="B5823" s="31" t="s">
        <v>9512</v>
      </c>
      <c r="C5823" s="19" t="s">
        <v>9511</v>
      </c>
      <c r="D5823" s="19" t="s">
        <v>5</v>
      </c>
    </row>
    <row r="5824" spans="1:4">
      <c r="A5824" s="62">
        <v>45282</v>
      </c>
      <c r="B5824" s="31" t="s">
        <v>9513</v>
      </c>
      <c r="C5824" s="19" t="s">
        <v>83</v>
      </c>
      <c r="D5824" s="19" t="s">
        <v>81</v>
      </c>
    </row>
    <row r="5825" spans="1:4">
      <c r="A5825" s="32">
        <v>45289</v>
      </c>
      <c r="B5825" s="19" t="s">
        <v>9515</v>
      </c>
      <c r="C5825" s="19" t="s">
        <v>9514</v>
      </c>
      <c r="D5825" s="13" t="s">
        <v>216</v>
      </c>
    </row>
    <row r="5826" spans="1:4">
      <c r="A5826" s="32">
        <v>45287</v>
      </c>
      <c r="B5826" s="19" t="s">
        <v>9517</v>
      </c>
      <c r="C5826" s="19" t="s">
        <v>9516</v>
      </c>
      <c r="D5826" s="13" t="s">
        <v>216</v>
      </c>
    </row>
    <row r="5827" spans="1:4">
      <c r="A5827" s="62">
        <v>45289</v>
      </c>
      <c r="B5827" s="19" t="s">
        <v>9519</v>
      </c>
      <c r="C5827" s="19" t="s">
        <v>9518</v>
      </c>
      <c r="D5827" s="19" t="s">
        <v>5</v>
      </c>
    </row>
    <row r="5828" spans="1:4">
      <c r="A5828" s="62">
        <v>45289</v>
      </c>
      <c r="B5828" s="19" t="s">
        <v>9521</v>
      </c>
      <c r="C5828" s="19" t="s">
        <v>9520</v>
      </c>
      <c r="D5828" s="19" t="s">
        <v>345</v>
      </c>
    </row>
    <row r="5829" spans="1:4">
      <c r="A5829" s="32">
        <v>45287</v>
      </c>
      <c r="B5829" s="19" t="s">
        <v>9523</v>
      </c>
      <c r="C5829" s="19" t="s">
        <v>9522</v>
      </c>
      <c r="D5829" s="13" t="s">
        <v>216</v>
      </c>
    </row>
    <row r="5830" spans="1:4">
      <c r="A5830" s="62">
        <v>45288</v>
      </c>
      <c r="B5830" s="19" t="s">
        <v>9525</v>
      </c>
      <c r="C5830" s="19" t="s">
        <v>9524</v>
      </c>
      <c r="D5830" s="19" t="s">
        <v>345</v>
      </c>
    </row>
    <row r="5831" spans="1:4">
      <c r="A5831" s="62">
        <v>45287</v>
      </c>
      <c r="B5831" s="29" t="s">
        <v>9527</v>
      </c>
      <c r="C5831" s="29" t="s">
        <v>9526</v>
      </c>
      <c r="D5831" s="29" t="s">
        <v>345</v>
      </c>
    </row>
    <row r="5832" spans="1:4">
      <c r="A5832" s="62">
        <v>45287</v>
      </c>
      <c r="B5832" s="29" t="s">
        <v>9528</v>
      </c>
      <c r="C5832" s="29" t="s">
        <v>4897</v>
      </c>
      <c r="D5832" s="29" t="s">
        <v>345</v>
      </c>
    </row>
    <row r="5833" spans="1:4">
      <c r="A5833" s="62">
        <v>45287</v>
      </c>
      <c r="B5833" s="29" t="s">
        <v>9530</v>
      </c>
      <c r="C5833" s="29" t="s">
        <v>9529</v>
      </c>
      <c r="D5833" s="29" t="s">
        <v>74</v>
      </c>
    </row>
    <row r="5834" spans="1:4">
      <c r="A5834" s="62">
        <v>45289</v>
      </c>
      <c r="B5834" s="29" t="s">
        <v>9532</v>
      </c>
      <c r="C5834" s="29" t="s">
        <v>9531</v>
      </c>
      <c r="D5834" s="29" t="s">
        <v>510</v>
      </c>
    </row>
    <row r="5835" spans="1:4">
      <c r="A5835" s="62">
        <v>45289</v>
      </c>
      <c r="B5835" s="29" t="s">
        <v>9534</v>
      </c>
      <c r="C5835" s="29" t="s">
        <v>9533</v>
      </c>
      <c r="D5835" s="29" t="s">
        <v>74</v>
      </c>
    </row>
    <row r="5836" spans="1:4">
      <c r="A5836" s="62">
        <v>45289</v>
      </c>
      <c r="B5836" s="29" t="s">
        <v>9536</v>
      </c>
      <c r="C5836" s="29" t="s">
        <v>9535</v>
      </c>
      <c r="D5836" s="29" t="s">
        <v>510</v>
      </c>
    </row>
    <row r="5837" spans="1:4">
      <c r="A5837" s="62">
        <v>45289</v>
      </c>
      <c r="B5837" s="29" t="s">
        <v>9538</v>
      </c>
      <c r="C5837" s="29" t="s">
        <v>9537</v>
      </c>
      <c r="D5837" s="29" t="s">
        <v>74</v>
      </c>
    </row>
    <row r="5838" spans="1:4">
      <c r="A5838" s="62">
        <v>45289</v>
      </c>
      <c r="B5838" s="29" t="s">
        <v>9540</v>
      </c>
      <c r="C5838" s="29" t="s">
        <v>9539</v>
      </c>
      <c r="D5838" s="29" t="s">
        <v>74</v>
      </c>
    </row>
    <row r="5839" spans="1:4">
      <c r="A5839" s="62">
        <v>45287</v>
      </c>
      <c r="B5839" s="26" t="s">
        <v>9542</v>
      </c>
      <c r="C5839" s="26" t="s">
        <v>9541</v>
      </c>
      <c r="D5839" s="26" t="s">
        <v>74</v>
      </c>
    </row>
    <row r="5840" spans="1:4">
      <c r="A5840" s="62">
        <v>45287</v>
      </c>
      <c r="B5840" s="26" t="s">
        <v>9544</v>
      </c>
      <c r="C5840" s="26" t="s">
        <v>9543</v>
      </c>
      <c r="D5840" s="26" t="s">
        <v>74</v>
      </c>
    </row>
    <row r="5841" spans="1:4">
      <c r="A5841" s="62">
        <v>45289</v>
      </c>
      <c r="B5841" s="26" t="s">
        <v>9546</v>
      </c>
      <c r="C5841" s="26" t="s">
        <v>9545</v>
      </c>
      <c r="D5841" s="13" t="s">
        <v>216</v>
      </c>
    </row>
    <row r="5842" spans="1:4">
      <c r="A5842" s="62">
        <v>45287</v>
      </c>
      <c r="B5842" s="26" t="s">
        <v>9548</v>
      </c>
      <c r="C5842" s="26" t="s">
        <v>9547</v>
      </c>
      <c r="D5842" s="26" t="s">
        <v>5</v>
      </c>
    </row>
    <row r="5843" spans="1:4">
      <c r="A5843" s="62">
        <v>45287</v>
      </c>
      <c r="B5843" s="26" t="s">
        <v>9548</v>
      </c>
      <c r="C5843" s="26" t="s">
        <v>9547</v>
      </c>
      <c r="D5843" s="26" t="s">
        <v>5</v>
      </c>
    </row>
    <row r="5844" spans="1:4">
      <c r="A5844" s="62">
        <v>45288</v>
      </c>
      <c r="B5844" s="26" t="s">
        <v>9427</v>
      </c>
      <c r="C5844" s="26" t="s">
        <v>9549</v>
      </c>
      <c r="D5844" s="26" t="s">
        <v>5</v>
      </c>
    </row>
    <row r="5845" spans="1:4">
      <c r="A5845" s="62">
        <v>45289</v>
      </c>
      <c r="B5845" s="26" t="s">
        <v>9551</v>
      </c>
      <c r="C5845" s="26" t="s">
        <v>9550</v>
      </c>
      <c r="D5845" s="13" t="s">
        <v>216</v>
      </c>
    </row>
    <row r="5846" spans="1:4">
      <c r="A5846" s="62">
        <v>45289</v>
      </c>
      <c r="B5846" s="26" t="s">
        <v>9553</v>
      </c>
      <c r="C5846" s="26" t="s">
        <v>9552</v>
      </c>
      <c r="D5846" s="26" t="s">
        <v>5</v>
      </c>
    </row>
    <row r="5847" spans="1:4">
      <c r="A5847" s="62">
        <v>45288</v>
      </c>
      <c r="B5847" s="26" t="s">
        <v>9555</v>
      </c>
      <c r="C5847" s="26" t="s">
        <v>9554</v>
      </c>
      <c r="D5847" s="26" t="s">
        <v>353</v>
      </c>
    </row>
    <row r="5848" spans="1:4">
      <c r="A5848" s="62">
        <v>45288</v>
      </c>
      <c r="B5848" s="26" t="s">
        <v>9557</v>
      </c>
      <c r="C5848" s="26" t="s">
        <v>9556</v>
      </c>
      <c r="D5848" s="26" t="s">
        <v>29</v>
      </c>
    </row>
    <row r="5849" spans="1:4">
      <c r="A5849" s="62">
        <v>45288</v>
      </c>
      <c r="B5849" s="26" t="s">
        <v>9559</v>
      </c>
      <c r="C5849" s="26" t="s">
        <v>9558</v>
      </c>
      <c r="D5849" s="26" t="s">
        <v>29</v>
      </c>
    </row>
    <row r="5850" spans="1:4">
      <c r="A5850" s="62">
        <v>45289</v>
      </c>
      <c r="B5850" s="26" t="s">
        <v>9561</v>
      </c>
      <c r="C5850" s="26" t="s">
        <v>9560</v>
      </c>
      <c r="D5850" s="13" t="s">
        <v>216</v>
      </c>
    </row>
    <row r="5851" spans="1:4">
      <c r="A5851" s="62">
        <v>45289</v>
      </c>
      <c r="B5851" s="26" t="s">
        <v>9563</v>
      </c>
      <c r="C5851" s="26" t="s">
        <v>9562</v>
      </c>
      <c r="D5851" s="26" t="s">
        <v>216</v>
      </c>
    </row>
    <row r="5852" spans="1:4">
      <c r="A5852" s="62">
        <v>45289</v>
      </c>
      <c r="B5852" s="26" t="s">
        <v>9563</v>
      </c>
      <c r="C5852" s="26" t="s">
        <v>9564</v>
      </c>
      <c r="D5852" s="26" t="s">
        <v>216</v>
      </c>
    </row>
    <row r="5853" spans="1:4">
      <c r="A5853" s="62">
        <v>45289</v>
      </c>
      <c r="B5853" s="26" t="s">
        <v>9566</v>
      </c>
      <c r="C5853" s="26" t="s">
        <v>9565</v>
      </c>
      <c r="D5853" s="26" t="s">
        <v>216</v>
      </c>
    </row>
    <row r="5854" spans="1:4">
      <c r="A5854" s="62">
        <v>45289</v>
      </c>
      <c r="B5854" s="26" t="s">
        <v>9566</v>
      </c>
      <c r="C5854" s="26" t="s">
        <v>9567</v>
      </c>
      <c r="D5854" s="26" t="s">
        <v>216</v>
      </c>
    </row>
    <row r="5855" spans="1:4">
      <c r="A5855" s="62">
        <v>45288</v>
      </c>
      <c r="B5855" s="26" t="s">
        <v>9569</v>
      </c>
      <c r="C5855" s="26" t="s">
        <v>9568</v>
      </c>
      <c r="D5855" s="26" t="s">
        <v>29</v>
      </c>
    </row>
    <row r="5856" spans="1:4">
      <c r="A5856" s="62">
        <v>45287</v>
      </c>
      <c r="B5856" s="26" t="s">
        <v>9571</v>
      </c>
      <c r="C5856" s="26" t="s">
        <v>9570</v>
      </c>
      <c r="D5856" s="26" t="s">
        <v>5</v>
      </c>
    </row>
    <row r="5857" spans="1:4">
      <c r="A5857" s="62">
        <v>45286</v>
      </c>
      <c r="B5857" s="26" t="s">
        <v>9573</v>
      </c>
      <c r="C5857" s="26" t="s">
        <v>9572</v>
      </c>
      <c r="D5857" s="26" t="s">
        <v>109</v>
      </c>
    </row>
    <row r="5858" spans="1:4">
      <c r="A5858" s="62">
        <v>45287</v>
      </c>
      <c r="B5858" s="26" t="s">
        <v>9571</v>
      </c>
      <c r="C5858" s="26" t="s">
        <v>9570</v>
      </c>
      <c r="D5858" s="26" t="s">
        <v>5</v>
      </c>
    </row>
    <row r="5859" spans="1:4">
      <c r="A5859" s="62">
        <v>45289</v>
      </c>
      <c r="B5859" s="48" t="s">
        <v>9575</v>
      </c>
      <c r="C5859" s="48" t="s">
        <v>9574</v>
      </c>
      <c r="D5859" s="48" t="s">
        <v>216</v>
      </c>
    </row>
    <row r="5860" spans="1:4">
      <c r="A5860" s="62">
        <v>45288</v>
      </c>
      <c r="B5860" s="26" t="s">
        <v>9416</v>
      </c>
      <c r="C5860" s="26" t="s">
        <v>9576</v>
      </c>
      <c r="D5860" s="26" t="s">
        <v>5</v>
      </c>
    </row>
    <row r="5861" spans="1:4">
      <c r="A5861" s="62">
        <v>45288</v>
      </c>
      <c r="B5861" s="26" t="s">
        <v>9427</v>
      </c>
      <c r="C5861" s="26" t="s">
        <v>9577</v>
      </c>
      <c r="D5861" s="26" t="s">
        <v>5</v>
      </c>
    </row>
    <row r="5862" spans="1:4">
      <c r="A5862" s="62">
        <v>45287</v>
      </c>
      <c r="B5862" s="26" t="s">
        <v>9579</v>
      </c>
      <c r="C5862" s="26" t="s">
        <v>9578</v>
      </c>
      <c r="D5862" s="26" t="s">
        <v>5</v>
      </c>
    </row>
    <row r="5863" spans="1:4">
      <c r="A5863" s="62">
        <v>45287</v>
      </c>
      <c r="B5863" s="26" t="s">
        <v>9579</v>
      </c>
      <c r="C5863" s="26" t="s">
        <v>9578</v>
      </c>
      <c r="D5863" s="26" t="s">
        <v>5</v>
      </c>
    </row>
    <row r="5864" spans="1:4">
      <c r="A5864" s="62">
        <v>45288</v>
      </c>
      <c r="B5864" s="26" t="s">
        <v>9581</v>
      </c>
      <c r="C5864" s="26" t="s">
        <v>9580</v>
      </c>
      <c r="D5864" s="26" t="s">
        <v>5</v>
      </c>
    </row>
    <row r="5865" spans="1:4">
      <c r="A5865" s="62">
        <v>45288</v>
      </c>
      <c r="B5865" s="26" t="s">
        <v>9583</v>
      </c>
      <c r="C5865" s="26" t="s">
        <v>9582</v>
      </c>
      <c r="D5865" s="26" t="s">
        <v>5</v>
      </c>
    </row>
    <row r="5866" spans="1:4">
      <c r="A5866" s="62">
        <v>45287</v>
      </c>
      <c r="B5866" s="13" t="s">
        <v>9585</v>
      </c>
      <c r="C5866" s="13" t="s">
        <v>9584</v>
      </c>
      <c r="D5866" s="13" t="s">
        <v>109</v>
      </c>
    </row>
    <row r="5867" spans="1:4">
      <c r="A5867" s="62">
        <v>45287</v>
      </c>
      <c r="B5867" s="13" t="s">
        <v>9587</v>
      </c>
      <c r="C5867" s="13" t="s">
        <v>9586</v>
      </c>
      <c r="D5867" s="13" t="s">
        <v>34</v>
      </c>
    </row>
    <row r="5868" spans="1:4">
      <c r="A5868" s="62">
        <v>45288</v>
      </c>
      <c r="B5868" s="13" t="s">
        <v>9589</v>
      </c>
      <c r="C5868" s="13" t="s">
        <v>9588</v>
      </c>
      <c r="D5868" s="13" t="s">
        <v>11</v>
      </c>
    </row>
    <row r="5869" spans="1:4">
      <c r="A5869" s="62">
        <v>45289</v>
      </c>
      <c r="B5869" s="13" t="s">
        <v>9591</v>
      </c>
      <c r="C5869" s="13" t="s">
        <v>9590</v>
      </c>
      <c r="D5869" s="13" t="s">
        <v>29</v>
      </c>
    </row>
    <row r="5870" spans="1:4">
      <c r="A5870" s="62">
        <v>45289</v>
      </c>
      <c r="B5870" s="13" t="s">
        <v>9593</v>
      </c>
      <c r="C5870" s="13" t="s">
        <v>9592</v>
      </c>
      <c r="D5870" s="13" t="s">
        <v>5</v>
      </c>
    </row>
    <row r="5871" spans="1:4">
      <c r="A5871" s="62">
        <v>45290</v>
      </c>
      <c r="B5871" s="13" t="s">
        <v>9595</v>
      </c>
      <c r="C5871" s="13" t="s">
        <v>9594</v>
      </c>
      <c r="D5871" s="13" t="s">
        <v>8</v>
      </c>
    </row>
    <row r="5872" spans="1:4">
      <c r="A5872" s="62">
        <v>45288</v>
      </c>
      <c r="B5872" s="13" t="s">
        <v>9596</v>
      </c>
      <c r="C5872" s="13" t="s">
        <v>9472</v>
      </c>
      <c r="D5872" s="13" t="s">
        <v>11</v>
      </c>
    </row>
    <row r="5873" spans="1:4">
      <c r="A5873" s="62">
        <v>45290</v>
      </c>
      <c r="B5873" s="13" t="s">
        <v>9598</v>
      </c>
      <c r="C5873" s="13" t="s">
        <v>9597</v>
      </c>
      <c r="D5873" s="13" t="s">
        <v>8</v>
      </c>
    </row>
    <row r="5874" spans="1:4">
      <c r="A5874" s="62">
        <v>45290</v>
      </c>
      <c r="B5874" s="13" t="s">
        <v>9600</v>
      </c>
      <c r="C5874" s="13" t="s">
        <v>9599</v>
      </c>
      <c r="D5874" s="13" t="s">
        <v>8</v>
      </c>
    </row>
    <row r="5875" spans="1:4">
      <c r="A5875" s="62">
        <v>45287</v>
      </c>
      <c r="B5875" s="13" t="s">
        <v>9602</v>
      </c>
      <c r="C5875" s="13" t="s">
        <v>9601</v>
      </c>
      <c r="D5875" s="13" t="s">
        <v>8</v>
      </c>
    </row>
    <row r="5876" spans="1:4">
      <c r="A5876" s="62">
        <v>45290</v>
      </c>
      <c r="B5876" s="13" t="s">
        <v>9604</v>
      </c>
      <c r="C5876" s="13" t="s">
        <v>9603</v>
      </c>
      <c r="D5876" s="13" t="s">
        <v>8</v>
      </c>
    </row>
    <row r="5877" spans="1:4">
      <c r="A5877" s="62">
        <v>45287</v>
      </c>
      <c r="B5877" s="13" t="s">
        <v>9585</v>
      </c>
      <c r="C5877" s="13" t="s">
        <v>9584</v>
      </c>
      <c r="D5877" s="13" t="s">
        <v>109</v>
      </c>
    </row>
    <row r="5878" spans="1:4">
      <c r="A5878" s="62">
        <v>45287</v>
      </c>
      <c r="B5878" s="13" t="s">
        <v>9606</v>
      </c>
      <c r="C5878" s="13" t="s">
        <v>9605</v>
      </c>
      <c r="D5878" s="13" t="s">
        <v>345</v>
      </c>
    </row>
    <row r="5879" spans="1:4">
      <c r="A5879" s="62">
        <v>45287</v>
      </c>
      <c r="B5879" s="13"/>
      <c r="C5879" s="13" t="s">
        <v>9607</v>
      </c>
      <c r="D5879" s="13" t="s">
        <v>345</v>
      </c>
    </row>
    <row r="5880" spans="1:4">
      <c r="A5880" s="62">
        <v>45287</v>
      </c>
      <c r="B5880" s="13" t="s">
        <v>9608</v>
      </c>
      <c r="C5880" s="13" t="s">
        <v>9586</v>
      </c>
      <c r="D5880" s="13" t="s">
        <v>34</v>
      </c>
    </row>
    <row r="5881" spans="1:4">
      <c r="A5881" s="62">
        <v>45287</v>
      </c>
      <c r="B5881" s="13" t="s">
        <v>9610</v>
      </c>
      <c r="C5881" s="13" t="s">
        <v>9609</v>
      </c>
      <c r="D5881" s="13" t="s">
        <v>5</v>
      </c>
    </row>
    <row r="5882" spans="1:4">
      <c r="A5882" s="62">
        <v>45287</v>
      </c>
      <c r="B5882" s="13" t="s">
        <v>9612</v>
      </c>
      <c r="C5882" s="13" t="s">
        <v>9611</v>
      </c>
      <c r="D5882" s="13" t="s">
        <v>5</v>
      </c>
    </row>
    <row r="5883" spans="1:4">
      <c r="A5883" s="62">
        <v>45287</v>
      </c>
      <c r="B5883" s="13" t="s">
        <v>9585</v>
      </c>
      <c r="C5883" s="13" t="s">
        <v>9584</v>
      </c>
      <c r="D5883" s="13" t="s">
        <v>109</v>
      </c>
    </row>
    <row r="5884" spans="1:4">
      <c r="A5884" s="62">
        <v>45289</v>
      </c>
      <c r="B5884" s="13" t="s">
        <v>9593</v>
      </c>
      <c r="C5884" s="13" t="s">
        <v>9592</v>
      </c>
      <c r="D5884" s="13" t="s">
        <v>5</v>
      </c>
    </row>
    <row r="5885" spans="1:4">
      <c r="A5885" s="62">
        <v>45289</v>
      </c>
      <c r="B5885" s="13" t="s">
        <v>9614</v>
      </c>
      <c r="C5885" s="13" t="s">
        <v>9613</v>
      </c>
      <c r="D5885" s="13" t="s">
        <v>37</v>
      </c>
    </row>
    <row r="5886" spans="1:4">
      <c r="A5886" s="62">
        <v>45289</v>
      </c>
      <c r="B5886" s="13" t="s">
        <v>9616</v>
      </c>
      <c r="C5886" s="13" t="s">
        <v>9615</v>
      </c>
      <c r="D5886" s="13" t="s">
        <v>74</v>
      </c>
    </row>
    <row r="5887" spans="1:4">
      <c r="A5887" s="68">
        <v>45289</v>
      </c>
      <c r="B5887" s="13" t="s">
        <v>9618</v>
      </c>
      <c r="C5887" s="13" t="s">
        <v>9617</v>
      </c>
      <c r="D5887" s="13" t="s">
        <v>74</v>
      </c>
    </row>
    <row r="5888" spans="1:4">
      <c r="A5888" s="68">
        <v>45288</v>
      </c>
      <c r="B5888" s="13" t="s">
        <v>9620</v>
      </c>
      <c r="C5888" s="13" t="s">
        <v>9619</v>
      </c>
      <c r="D5888" s="13" t="s">
        <v>74</v>
      </c>
    </row>
    <row r="5889" spans="1:4">
      <c r="A5889" s="68">
        <v>45289</v>
      </c>
      <c r="B5889" s="13" t="s">
        <v>9621</v>
      </c>
      <c r="C5889" s="13" t="s">
        <v>4060</v>
      </c>
      <c r="D5889" s="13" t="s">
        <v>29</v>
      </c>
    </row>
    <row r="5890" spans="1:4">
      <c r="A5890" s="68">
        <v>45289</v>
      </c>
      <c r="B5890" s="13" t="s">
        <v>9623</v>
      </c>
      <c r="C5890" s="13" t="s">
        <v>9622</v>
      </c>
      <c r="D5890" s="13" t="s">
        <v>29</v>
      </c>
    </row>
  </sheetData>
  <autoFilter ref="A1:D1" xr:uid="{58E81A9A-C8DE-4E9E-9881-76D9311FC60C}"/>
  <conditionalFormatting sqref="A5887:B5887 A5889:B5890">
    <cfRule type="notContainsBlanks" dxfId="0" priority="1">
      <formula>LEN(TRIM(A5887))&gt;0</formula>
    </cfRule>
  </conditionalFormatting>
  <dataValidations count="1">
    <dataValidation type="list" allowBlank="1" showErrorMessage="1" sqref="D4735" xr:uid="{4D2B558E-4155-441C-B8CF-9E62602408D4}">
      <formula1>#REF!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0B720-338C-49AB-80B6-14CB0D86AB0F}">
  <dimension ref="A1:D13616"/>
  <sheetViews>
    <sheetView workbookViewId="0">
      <selection sqref="A1:D1"/>
    </sheetView>
  </sheetViews>
  <sheetFormatPr baseColWidth="10" defaultColWidth="11.42578125" defaultRowHeight="15"/>
  <cols>
    <col min="1" max="4" width="37.28515625" customWidth="1"/>
  </cols>
  <sheetData>
    <row r="1" spans="1:4" ht="60">
      <c r="A1" s="1" t="s">
        <v>16837</v>
      </c>
      <c r="B1" s="2" t="s">
        <v>3</v>
      </c>
      <c r="C1" s="2" t="s">
        <v>0</v>
      </c>
      <c r="D1" s="2" t="s">
        <v>1</v>
      </c>
    </row>
    <row r="2" spans="1:4">
      <c r="A2" s="62">
        <v>45293</v>
      </c>
      <c r="B2" s="13" t="s">
        <v>1641</v>
      </c>
      <c r="C2" s="13" t="s">
        <v>1640</v>
      </c>
      <c r="D2" s="13" t="s">
        <v>74</v>
      </c>
    </row>
    <row r="3" spans="1:4">
      <c r="A3" s="62">
        <v>45293</v>
      </c>
      <c r="B3" s="13" t="s">
        <v>9625</v>
      </c>
      <c r="C3" s="13" t="s">
        <v>9624</v>
      </c>
      <c r="D3" s="13" t="s">
        <v>24</v>
      </c>
    </row>
    <row r="4" spans="1:4">
      <c r="A4" s="62">
        <v>45293</v>
      </c>
      <c r="B4" s="13" t="s">
        <v>9627</v>
      </c>
      <c r="C4" s="13" t="s">
        <v>9626</v>
      </c>
      <c r="D4" s="13" t="s">
        <v>345</v>
      </c>
    </row>
    <row r="5" spans="1:4">
      <c r="A5" s="62">
        <v>45293</v>
      </c>
      <c r="B5" s="13" t="s">
        <v>1582</v>
      </c>
      <c r="C5" s="13" t="s">
        <v>1581</v>
      </c>
      <c r="D5" s="13" t="s">
        <v>353</v>
      </c>
    </row>
    <row r="6" spans="1:4">
      <c r="A6" s="62">
        <v>45293</v>
      </c>
      <c r="B6" s="13" t="s">
        <v>9629</v>
      </c>
      <c r="C6" s="13" t="s">
        <v>9628</v>
      </c>
      <c r="D6" s="13" t="s">
        <v>19</v>
      </c>
    </row>
    <row r="7" spans="1:4">
      <c r="A7" s="62">
        <v>45293</v>
      </c>
      <c r="B7" s="13" t="s">
        <v>9631</v>
      </c>
      <c r="C7" s="13" t="s">
        <v>9630</v>
      </c>
      <c r="D7" s="13" t="s">
        <v>5</v>
      </c>
    </row>
    <row r="8" spans="1:4">
      <c r="A8" s="62">
        <v>45293</v>
      </c>
      <c r="B8" s="13" t="s">
        <v>6539</v>
      </c>
      <c r="C8" s="13" t="s">
        <v>6538</v>
      </c>
      <c r="D8" s="13" t="s">
        <v>345</v>
      </c>
    </row>
    <row r="9" spans="1:4">
      <c r="A9" s="62">
        <v>45293</v>
      </c>
      <c r="B9" s="31" t="s">
        <v>9633</v>
      </c>
      <c r="C9" s="19" t="s">
        <v>9632</v>
      </c>
      <c r="D9" s="19" t="s">
        <v>5</v>
      </c>
    </row>
    <row r="10" spans="1:4">
      <c r="A10" s="62">
        <v>45293</v>
      </c>
      <c r="B10" s="31" t="s">
        <v>9635</v>
      </c>
      <c r="C10" s="19" t="s">
        <v>9634</v>
      </c>
      <c r="D10" s="19" t="s">
        <v>5</v>
      </c>
    </row>
    <row r="11" spans="1:4">
      <c r="A11" s="62">
        <v>45293</v>
      </c>
      <c r="B11" s="19" t="s">
        <v>9637</v>
      </c>
      <c r="C11" s="19" t="s">
        <v>9636</v>
      </c>
      <c r="D11" s="19" t="s">
        <v>5</v>
      </c>
    </row>
    <row r="12" spans="1:4">
      <c r="A12" s="62">
        <v>45293</v>
      </c>
      <c r="B12" s="19" t="s">
        <v>9639</v>
      </c>
      <c r="C12" s="19" t="s">
        <v>9638</v>
      </c>
      <c r="D12" s="19" t="s">
        <v>5</v>
      </c>
    </row>
    <row r="13" spans="1:4">
      <c r="A13" s="62">
        <v>45293</v>
      </c>
      <c r="B13" s="19" t="s">
        <v>9641</v>
      </c>
      <c r="C13" s="19" t="s">
        <v>9640</v>
      </c>
      <c r="D13" s="19" t="s">
        <v>5</v>
      </c>
    </row>
    <row r="14" spans="1:4">
      <c r="A14" s="32">
        <v>45294</v>
      </c>
      <c r="B14" s="19" t="s">
        <v>9643</v>
      </c>
      <c r="C14" s="19" t="s">
        <v>9642</v>
      </c>
      <c r="D14" s="13" t="s">
        <v>216</v>
      </c>
    </row>
    <row r="15" spans="1:4">
      <c r="A15" s="32">
        <v>45294</v>
      </c>
      <c r="B15" s="19" t="s">
        <v>9645</v>
      </c>
      <c r="C15" s="19" t="s">
        <v>9644</v>
      </c>
      <c r="D15" s="13" t="s">
        <v>216</v>
      </c>
    </row>
    <row r="16" spans="1:4">
      <c r="A16" s="32">
        <v>45294</v>
      </c>
      <c r="B16" s="19" t="s">
        <v>9647</v>
      </c>
      <c r="C16" s="19" t="s">
        <v>9646</v>
      </c>
      <c r="D16" s="13" t="s">
        <v>216</v>
      </c>
    </row>
    <row r="17" spans="1:4">
      <c r="A17" s="62">
        <v>45293</v>
      </c>
      <c r="B17" s="26" t="s">
        <v>9649</v>
      </c>
      <c r="C17" s="26" t="s">
        <v>9648</v>
      </c>
      <c r="D17" s="26" t="s">
        <v>353</v>
      </c>
    </row>
    <row r="18" spans="1:4">
      <c r="A18" s="62">
        <v>45293</v>
      </c>
      <c r="B18" s="26" t="s">
        <v>9651</v>
      </c>
      <c r="C18" s="26" t="s">
        <v>9650</v>
      </c>
      <c r="D18" s="26" t="s">
        <v>353</v>
      </c>
    </row>
    <row r="19" spans="1:4">
      <c r="A19" s="62">
        <v>45293</v>
      </c>
      <c r="B19" s="26" t="s">
        <v>9653</v>
      </c>
      <c r="C19" s="26" t="s">
        <v>9652</v>
      </c>
      <c r="D19" s="26" t="s">
        <v>353</v>
      </c>
    </row>
    <row r="20" spans="1:4">
      <c r="A20" s="62">
        <v>45293</v>
      </c>
      <c r="B20" s="26" t="s">
        <v>9655</v>
      </c>
      <c r="C20" s="26" t="s">
        <v>9654</v>
      </c>
      <c r="D20" s="26" t="s">
        <v>353</v>
      </c>
    </row>
    <row r="21" spans="1:4">
      <c r="A21" s="23">
        <v>45295</v>
      </c>
      <c r="B21" s="13" t="s">
        <v>9657</v>
      </c>
      <c r="C21" s="13" t="s">
        <v>9656</v>
      </c>
      <c r="D21" s="13" t="s">
        <v>8</v>
      </c>
    </row>
    <row r="22" spans="1:4">
      <c r="A22" s="23">
        <v>45295</v>
      </c>
      <c r="B22" s="13" t="s">
        <v>9658</v>
      </c>
      <c r="C22" s="13" t="s">
        <v>1873</v>
      </c>
      <c r="D22" s="13" t="s">
        <v>8</v>
      </c>
    </row>
    <row r="23" spans="1:4">
      <c r="A23" s="23">
        <v>45294</v>
      </c>
      <c r="B23" s="13" t="s">
        <v>9660</v>
      </c>
      <c r="C23" s="13" t="s">
        <v>9659</v>
      </c>
      <c r="D23" s="13" t="s">
        <v>74</v>
      </c>
    </row>
    <row r="24" spans="1:4">
      <c r="A24" s="23">
        <v>45294</v>
      </c>
      <c r="B24" s="13" t="s">
        <v>9662</v>
      </c>
      <c r="C24" s="13" t="s">
        <v>9661</v>
      </c>
      <c r="D24" s="13" t="s">
        <v>8</v>
      </c>
    </row>
    <row r="25" spans="1:4">
      <c r="A25" s="23">
        <v>45294</v>
      </c>
      <c r="B25" s="13" t="s">
        <v>9664</v>
      </c>
      <c r="C25" s="13" t="s">
        <v>9663</v>
      </c>
      <c r="D25" s="13" t="s">
        <v>19</v>
      </c>
    </row>
    <row r="26" spans="1:4">
      <c r="A26" s="62">
        <v>45293</v>
      </c>
      <c r="B26" s="13" t="s">
        <v>9666</v>
      </c>
      <c r="C26" s="13" t="s">
        <v>9665</v>
      </c>
      <c r="D26" s="13" t="s">
        <v>74</v>
      </c>
    </row>
    <row r="27" spans="1:4">
      <c r="A27" s="23">
        <v>45294</v>
      </c>
      <c r="B27" s="13" t="s">
        <v>9668</v>
      </c>
      <c r="C27" s="13" t="s">
        <v>9667</v>
      </c>
      <c r="D27" s="13" t="s">
        <v>16</v>
      </c>
    </row>
    <row r="28" spans="1:4">
      <c r="A28" s="62">
        <v>45293</v>
      </c>
      <c r="B28" s="13" t="s">
        <v>9670</v>
      </c>
      <c r="C28" s="13" t="s">
        <v>9669</v>
      </c>
      <c r="D28" s="13" t="s">
        <v>37</v>
      </c>
    </row>
    <row r="29" spans="1:4">
      <c r="A29" s="62">
        <v>45293</v>
      </c>
      <c r="B29" s="13" t="s">
        <v>9672</v>
      </c>
      <c r="C29" s="13" t="s">
        <v>9671</v>
      </c>
      <c r="D29" s="13" t="s">
        <v>109</v>
      </c>
    </row>
    <row r="30" spans="1:4">
      <c r="A30" s="23">
        <v>45352</v>
      </c>
      <c r="B30" s="13" t="s">
        <v>9674</v>
      </c>
      <c r="C30" s="13" t="s">
        <v>9673</v>
      </c>
      <c r="D30" s="13" t="s">
        <v>37</v>
      </c>
    </row>
    <row r="31" spans="1:4">
      <c r="A31" s="23">
        <v>45323</v>
      </c>
      <c r="B31" s="13" t="s">
        <v>9676</v>
      </c>
      <c r="C31" s="13" t="s">
        <v>9675</v>
      </c>
      <c r="D31" s="13" t="s">
        <v>5</v>
      </c>
    </row>
    <row r="32" spans="1:4">
      <c r="A32" s="23">
        <v>45323</v>
      </c>
      <c r="B32" s="13" t="s">
        <v>9678</v>
      </c>
      <c r="C32" s="13" t="s">
        <v>9677</v>
      </c>
      <c r="D32" s="13" t="s">
        <v>37</v>
      </c>
    </row>
    <row r="33" spans="1:4">
      <c r="A33" s="23">
        <v>45323</v>
      </c>
      <c r="B33" s="13" t="s">
        <v>9680</v>
      </c>
      <c r="C33" s="13" t="s">
        <v>9679</v>
      </c>
      <c r="D33" s="13" t="s">
        <v>37</v>
      </c>
    </row>
    <row r="34" spans="1:4">
      <c r="A34" s="23">
        <v>45323</v>
      </c>
      <c r="B34" s="13" t="s">
        <v>9682</v>
      </c>
      <c r="C34" s="13" t="s">
        <v>9681</v>
      </c>
      <c r="D34" s="13" t="s">
        <v>109</v>
      </c>
    </row>
    <row r="35" spans="1:4">
      <c r="A35" s="23">
        <v>45352</v>
      </c>
      <c r="B35" s="13" t="s">
        <v>9684</v>
      </c>
      <c r="C35" s="13" t="s">
        <v>9683</v>
      </c>
      <c r="D35" s="13" t="s">
        <v>37</v>
      </c>
    </row>
    <row r="36" spans="1:4">
      <c r="A36" s="32">
        <v>45302</v>
      </c>
      <c r="B36" s="31" t="s">
        <v>9686</v>
      </c>
      <c r="C36" s="19" t="s">
        <v>9685</v>
      </c>
      <c r="D36" s="19" t="s">
        <v>5</v>
      </c>
    </row>
    <row r="37" spans="1:4">
      <c r="A37" s="32">
        <v>45295</v>
      </c>
      <c r="B37" s="31" t="s">
        <v>9688</v>
      </c>
      <c r="C37" s="19" t="s">
        <v>9687</v>
      </c>
      <c r="D37" s="19" t="s">
        <v>510</v>
      </c>
    </row>
    <row r="38" spans="1:4">
      <c r="A38" s="32">
        <v>45304</v>
      </c>
      <c r="B38" s="31" t="s">
        <v>9690</v>
      </c>
      <c r="C38" s="19" t="s">
        <v>9689</v>
      </c>
      <c r="D38" s="19" t="s">
        <v>109</v>
      </c>
    </row>
    <row r="39" spans="1:4">
      <c r="A39" s="32">
        <v>45304</v>
      </c>
      <c r="B39" s="31" t="s">
        <v>9690</v>
      </c>
      <c r="C39" s="19" t="s">
        <v>9691</v>
      </c>
      <c r="D39" s="19" t="s">
        <v>109</v>
      </c>
    </row>
    <row r="40" spans="1:4">
      <c r="A40" s="32">
        <v>45296</v>
      </c>
      <c r="B40" s="31" t="s">
        <v>9693</v>
      </c>
      <c r="C40" s="19" t="s">
        <v>9692</v>
      </c>
      <c r="D40" s="19" t="s">
        <v>24</v>
      </c>
    </row>
    <row r="41" spans="1:4">
      <c r="A41" s="32">
        <v>45295</v>
      </c>
      <c r="B41" s="31" t="s">
        <v>9695</v>
      </c>
      <c r="C41" s="19" t="s">
        <v>9694</v>
      </c>
      <c r="D41" s="19" t="s">
        <v>510</v>
      </c>
    </row>
    <row r="42" spans="1:4">
      <c r="A42" s="32">
        <v>45295</v>
      </c>
      <c r="B42" s="31" t="s">
        <v>9697</v>
      </c>
      <c r="C42" s="19" t="s">
        <v>9696</v>
      </c>
      <c r="D42" s="19" t="s">
        <v>29</v>
      </c>
    </row>
    <row r="43" spans="1:4">
      <c r="A43" s="32">
        <v>45295</v>
      </c>
      <c r="B43" s="31" t="s">
        <v>9698</v>
      </c>
      <c r="C43" s="19" t="s">
        <v>9696</v>
      </c>
      <c r="D43" s="19" t="s">
        <v>29</v>
      </c>
    </row>
    <row r="44" spans="1:4">
      <c r="A44" s="32">
        <v>45299</v>
      </c>
      <c r="B44" s="31" t="s">
        <v>9700</v>
      </c>
      <c r="C44" s="19" t="s">
        <v>9699</v>
      </c>
      <c r="D44" s="19" t="s">
        <v>164</v>
      </c>
    </row>
    <row r="45" spans="1:4">
      <c r="A45" s="32">
        <v>45295</v>
      </c>
      <c r="B45" s="31" t="s">
        <v>9702</v>
      </c>
      <c r="C45" s="19" t="s">
        <v>9701</v>
      </c>
      <c r="D45" s="19" t="s">
        <v>29</v>
      </c>
    </row>
    <row r="46" spans="1:4">
      <c r="A46" s="32">
        <v>45295</v>
      </c>
      <c r="B46" s="31" t="s">
        <v>9704</v>
      </c>
      <c r="C46" s="19" t="s">
        <v>9703</v>
      </c>
      <c r="D46" s="19" t="s">
        <v>16</v>
      </c>
    </row>
    <row r="47" spans="1:4">
      <c r="A47" s="32">
        <v>45296</v>
      </c>
      <c r="B47" s="31" t="s">
        <v>9706</v>
      </c>
      <c r="C47" s="19" t="s">
        <v>9705</v>
      </c>
      <c r="D47" s="19" t="s">
        <v>216</v>
      </c>
    </row>
    <row r="48" spans="1:4">
      <c r="A48" s="32">
        <v>45301</v>
      </c>
      <c r="B48" s="31" t="s">
        <v>9708</v>
      </c>
      <c r="C48" s="19" t="s">
        <v>9707</v>
      </c>
      <c r="D48" s="19" t="s">
        <v>24</v>
      </c>
    </row>
    <row r="49" spans="1:4">
      <c r="A49" s="32">
        <v>45301</v>
      </c>
      <c r="B49" s="31" t="s">
        <v>9710</v>
      </c>
      <c r="C49" s="19" t="s">
        <v>9709</v>
      </c>
      <c r="D49" s="19" t="s">
        <v>8</v>
      </c>
    </row>
    <row r="50" spans="1:4">
      <c r="A50" s="32">
        <v>45304</v>
      </c>
      <c r="B50" s="31" t="s">
        <v>9712</v>
      </c>
      <c r="C50" s="19" t="s">
        <v>9711</v>
      </c>
      <c r="D50" s="19" t="s">
        <v>8</v>
      </c>
    </row>
    <row r="51" spans="1:4">
      <c r="A51" s="32">
        <v>45304</v>
      </c>
      <c r="B51" s="31" t="s">
        <v>9714</v>
      </c>
      <c r="C51" s="19" t="s">
        <v>9713</v>
      </c>
      <c r="D51" s="19" t="s">
        <v>34</v>
      </c>
    </row>
    <row r="52" spans="1:4">
      <c r="A52" s="32">
        <v>45300</v>
      </c>
      <c r="B52" s="31" t="s">
        <v>9716</v>
      </c>
      <c r="C52" s="19" t="s">
        <v>9715</v>
      </c>
      <c r="D52" s="19" t="s">
        <v>510</v>
      </c>
    </row>
    <row r="53" spans="1:4">
      <c r="A53" s="32">
        <v>45296</v>
      </c>
      <c r="B53" s="31" t="s">
        <v>9718</v>
      </c>
      <c r="C53" s="19" t="s">
        <v>9717</v>
      </c>
      <c r="D53" s="19" t="s">
        <v>74</v>
      </c>
    </row>
    <row r="54" spans="1:4">
      <c r="A54" s="32">
        <v>45299</v>
      </c>
      <c r="B54" s="31" t="s">
        <v>9720</v>
      </c>
      <c r="C54" s="19" t="s">
        <v>9719</v>
      </c>
      <c r="D54" s="19" t="s">
        <v>8</v>
      </c>
    </row>
    <row r="55" spans="1:4">
      <c r="A55" s="32">
        <v>45296</v>
      </c>
      <c r="B55" s="31" t="s">
        <v>9722</v>
      </c>
      <c r="C55" s="19" t="s">
        <v>9721</v>
      </c>
      <c r="D55" s="19" t="s">
        <v>74</v>
      </c>
    </row>
    <row r="56" spans="1:4">
      <c r="A56" s="32">
        <v>45297</v>
      </c>
      <c r="B56" s="31" t="s">
        <v>9724</v>
      </c>
      <c r="C56" s="19" t="s">
        <v>9723</v>
      </c>
      <c r="D56" s="19" t="s">
        <v>24</v>
      </c>
    </row>
    <row r="57" spans="1:4">
      <c r="A57" s="32">
        <v>45297</v>
      </c>
      <c r="B57" s="31" t="s">
        <v>9726</v>
      </c>
      <c r="C57" s="19" t="s">
        <v>9725</v>
      </c>
      <c r="D57" s="19" t="s">
        <v>11</v>
      </c>
    </row>
    <row r="58" spans="1:4">
      <c r="A58" s="32">
        <v>45302</v>
      </c>
      <c r="B58" s="31" t="s">
        <v>9728</v>
      </c>
      <c r="C58" s="19" t="s">
        <v>9727</v>
      </c>
      <c r="D58" s="19" t="s">
        <v>11</v>
      </c>
    </row>
    <row r="59" spans="1:4">
      <c r="A59" s="32">
        <v>45301</v>
      </c>
      <c r="B59" s="31" t="s">
        <v>9730</v>
      </c>
      <c r="C59" s="19" t="s">
        <v>9729</v>
      </c>
      <c r="D59" s="19" t="s">
        <v>19</v>
      </c>
    </row>
    <row r="60" spans="1:4">
      <c r="A60" s="32">
        <v>45300</v>
      </c>
      <c r="B60" s="31" t="s">
        <v>9732</v>
      </c>
      <c r="C60" s="19" t="s">
        <v>9731</v>
      </c>
      <c r="D60" s="19" t="s">
        <v>510</v>
      </c>
    </row>
    <row r="61" spans="1:4">
      <c r="A61" s="32">
        <v>45299</v>
      </c>
      <c r="B61" s="31" t="s">
        <v>9734</v>
      </c>
      <c r="C61" s="19" t="s">
        <v>9733</v>
      </c>
      <c r="D61" s="19" t="s">
        <v>345</v>
      </c>
    </row>
    <row r="62" spans="1:4">
      <c r="A62" s="32">
        <v>45301</v>
      </c>
      <c r="B62" s="31" t="s">
        <v>9736</v>
      </c>
      <c r="C62" s="19" t="s">
        <v>9735</v>
      </c>
      <c r="D62" s="19" t="s">
        <v>24</v>
      </c>
    </row>
    <row r="63" spans="1:4">
      <c r="A63" s="32">
        <v>45301</v>
      </c>
      <c r="B63" s="31" t="s">
        <v>9737</v>
      </c>
      <c r="C63" s="19" t="s">
        <v>9729</v>
      </c>
      <c r="D63" s="19" t="s">
        <v>19</v>
      </c>
    </row>
    <row r="64" spans="1:4">
      <c r="A64" s="62">
        <v>45295</v>
      </c>
      <c r="B64" s="26" t="s">
        <v>9738</v>
      </c>
      <c r="C64" s="26" t="s">
        <v>2790</v>
      </c>
      <c r="D64" s="26" t="s">
        <v>345</v>
      </c>
    </row>
    <row r="65" spans="1:4">
      <c r="A65" s="62">
        <v>45296</v>
      </c>
      <c r="B65" s="26" t="s">
        <v>9740</v>
      </c>
      <c r="C65" s="26" t="s">
        <v>9739</v>
      </c>
      <c r="D65" s="26" t="s">
        <v>216</v>
      </c>
    </row>
    <row r="66" spans="1:4">
      <c r="A66" s="62">
        <v>45296</v>
      </c>
      <c r="B66" s="26" t="s">
        <v>9742</v>
      </c>
      <c r="C66" s="26" t="s">
        <v>9741</v>
      </c>
      <c r="D66" s="26" t="s">
        <v>5</v>
      </c>
    </row>
    <row r="67" spans="1:4">
      <c r="A67" s="62">
        <v>45296</v>
      </c>
      <c r="B67" s="26" t="s">
        <v>9744</v>
      </c>
      <c r="C67" s="26" t="s">
        <v>9743</v>
      </c>
      <c r="D67" s="26" t="s">
        <v>5</v>
      </c>
    </row>
    <row r="68" spans="1:4">
      <c r="A68" s="62">
        <v>45296</v>
      </c>
      <c r="B68" s="26" t="s">
        <v>9746</v>
      </c>
      <c r="C68" s="26" t="s">
        <v>9745</v>
      </c>
      <c r="D68" s="26" t="s">
        <v>11</v>
      </c>
    </row>
    <row r="69" spans="1:4">
      <c r="A69" s="62">
        <v>45300</v>
      </c>
      <c r="B69" s="26" t="s">
        <v>9748</v>
      </c>
      <c r="C69" s="26" t="s">
        <v>9747</v>
      </c>
      <c r="D69" s="26" t="s">
        <v>81</v>
      </c>
    </row>
    <row r="70" spans="1:4">
      <c r="A70" s="62">
        <v>45300</v>
      </c>
      <c r="B70" s="26" t="s">
        <v>9750</v>
      </c>
      <c r="C70" s="26" t="s">
        <v>9749</v>
      </c>
      <c r="D70" s="26" t="s">
        <v>74</v>
      </c>
    </row>
    <row r="71" spans="1:4">
      <c r="A71" s="62">
        <v>45301</v>
      </c>
      <c r="B71" s="26" t="s">
        <v>9752</v>
      </c>
      <c r="C71" s="26" t="s">
        <v>9751</v>
      </c>
      <c r="D71" s="26" t="s">
        <v>74</v>
      </c>
    </row>
    <row r="72" spans="1:4">
      <c r="A72" s="62">
        <v>45301</v>
      </c>
      <c r="B72" s="26" t="s">
        <v>9754</v>
      </c>
      <c r="C72" s="26" t="s">
        <v>9753</v>
      </c>
      <c r="D72" s="26" t="s">
        <v>74</v>
      </c>
    </row>
    <row r="73" spans="1:4">
      <c r="A73" s="32">
        <v>45303</v>
      </c>
      <c r="B73" s="19" t="s">
        <v>9756</v>
      </c>
      <c r="C73" s="19" t="s">
        <v>9755</v>
      </c>
      <c r="D73" s="19" t="s">
        <v>109</v>
      </c>
    </row>
    <row r="74" spans="1:4">
      <c r="A74" s="32">
        <v>45306</v>
      </c>
      <c r="B74" s="19" t="s">
        <v>9758</v>
      </c>
      <c r="C74" s="19" t="s">
        <v>9757</v>
      </c>
      <c r="D74" s="19" t="s">
        <v>216</v>
      </c>
    </row>
    <row r="75" spans="1:4">
      <c r="A75" s="32">
        <v>45295</v>
      </c>
      <c r="B75" s="19" t="s">
        <v>9760</v>
      </c>
      <c r="C75" s="19" t="s">
        <v>9759</v>
      </c>
      <c r="D75" s="19" t="s">
        <v>5</v>
      </c>
    </row>
    <row r="76" spans="1:4">
      <c r="A76" s="32">
        <v>45296</v>
      </c>
      <c r="B76" s="19" t="s">
        <v>9762</v>
      </c>
      <c r="C76" s="19" t="s">
        <v>9761</v>
      </c>
      <c r="D76" s="19" t="s">
        <v>5</v>
      </c>
    </row>
    <row r="77" spans="1:4">
      <c r="A77" s="32">
        <v>45296</v>
      </c>
      <c r="B77" s="19" t="s">
        <v>9764</v>
      </c>
      <c r="C77" s="19" t="s">
        <v>9763</v>
      </c>
      <c r="D77" s="19" t="s">
        <v>216</v>
      </c>
    </row>
    <row r="78" spans="1:4">
      <c r="A78" s="32">
        <v>45295</v>
      </c>
      <c r="B78" s="19" t="s">
        <v>9766</v>
      </c>
      <c r="C78" s="19" t="s">
        <v>9765</v>
      </c>
      <c r="D78" s="19" t="s">
        <v>216</v>
      </c>
    </row>
    <row r="79" spans="1:4">
      <c r="A79" s="32">
        <v>45301</v>
      </c>
      <c r="B79" s="19" t="s">
        <v>9768</v>
      </c>
      <c r="C79" s="19" t="s">
        <v>9767</v>
      </c>
      <c r="D79" s="19" t="s">
        <v>345</v>
      </c>
    </row>
    <row r="80" spans="1:4">
      <c r="A80" s="32">
        <v>45299</v>
      </c>
      <c r="B80" s="19" t="s">
        <v>9770</v>
      </c>
      <c r="C80" s="19" t="s">
        <v>9769</v>
      </c>
      <c r="D80" s="19" t="s">
        <v>216</v>
      </c>
    </row>
    <row r="81" spans="1:4">
      <c r="A81" s="32">
        <v>45304</v>
      </c>
      <c r="B81" s="19" t="s">
        <v>9772</v>
      </c>
      <c r="C81" s="19" t="s">
        <v>9771</v>
      </c>
      <c r="D81" s="19" t="s">
        <v>216</v>
      </c>
    </row>
    <row r="82" spans="1:4">
      <c r="A82" s="32">
        <v>45308</v>
      </c>
      <c r="B82" s="19" t="s">
        <v>9774</v>
      </c>
      <c r="C82" s="49" t="s">
        <v>9773</v>
      </c>
      <c r="D82" s="19" t="s">
        <v>216</v>
      </c>
    </row>
    <row r="83" spans="1:4">
      <c r="A83" s="32">
        <v>45308</v>
      </c>
      <c r="B83" s="19" t="s">
        <v>9776</v>
      </c>
      <c r="C83" s="19" t="s">
        <v>9775</v>
      </c>
      <c r="D83" s="19" t="s">
        <v>216</v>
      </c>
    </row>
    <row r="84" spans="1:4">
      <c r="A84" s="32">
        <v>45308</v>
      </c>
      <c r="B84" s="19" t="s">
        <v>9778</v>
      </c>
      <c r="C84" s="19" t="s">
        <v>9777</v>
      </c>
      <c r="D84" s="19" t="s">
        <v>216</v>
      </c>
    </row>
    <row r="85" spans="1:4">
      <c r="A85" s="32">
        <v>45307</v>
      </c>
      <c r="B85" s="19" t="s">
        <v>9780</v>
      </c>
      <c r="C85" s="19" t="s">
        <v>9779</v>
      </c>
      <c r="D85" s="19" t="s">
        <v>216</v>
      </c>
    </row>
    <row r="86" spans="1:4">
      <c r="A86" s="32">
        <v>45307</v>
      </c>
      <c r="B86" s="19" t="s">
        <v>9782</v>
      </c>
      <c r="C86" s="19" t="s">
        <v>9781</v>
      </c>
      <c r="D86" s="19" t="s">
        <v>216</v>
      </c>
    </row>
    <row r="87" spans="1:4">
      <c r="A87" s="32">
        <v>45309</v>
      </c>
      <c r="B87" s="19" t="s">
        <v>9784</v>
      </c>
      <c r="C87" s="19" t="s">
        <v>9783</v>
      </c>
      <c r="D87" s="19" t="s">
        <v>216</v>
      </c>
    </row>
    <row r="88" spans="1:4">
      <c r="A88" s="32">
        <v>45306</v>
      </c>
      <c r="B88" s="19" t="s">
        <v>9786</v>
      </c>
      <c r="C88" s="19" t="s">
        <v>9785</v>
      </c>
      <c r="D88" s="19" t="s">
        <v>216</v>
      </c>
    </row>
    <row r="89" spans="1:4">
      <c r="A89" s="32">
        <v>45302</v>
      </c>
      <c r="B89" s="19" t="s">
        <v>9788</v>
      </c>
      <c r="C89" s="19" t="s">
        <v>9787</v>
      </c>
      <c r="D89" s="19" t="s">
        <v>5</v>
      </c>
    </row>
    <row r="90" spans="1:4">
      <c r="A90" s="62">
        <v>45296</v>
      </c>
      <c r="B90" s="26" t="s">
        <v>9790</v>
      </c>
      <c r="C90" s="26" t="s">
        <v>9789</v>
      </c>
      <c r="D90" s="26" t="s">
        <v>109</v>
      </c>
    </row>
    <row r="91" spans="1:4">
      <c r="A91" s="62">
        <v>45301</v>
      </c>
      <c r="B91" s="26" t="s">
        <v>9791</v>
      </c>
      <c r="C91" s="26" t="s">
        <v>1252</v>
      </c>
      <c r="D91" s="26" t="s">
        <v>141</v>
      </c>
    </row>
    <row r="92" spans="1:4">
      <c r="A92" s="62">
        <v>45295</v>
      </c>
      <c r="B92" s="26" t="s">
        <v>9793</v>
      </c>
      <c r="C92" s="26" t="s">
        <v>9792</v>
      </c>
      <c r="D92" s="26" t="s">
        <v>5</v>
      </c>
    </row>
    <row r="93" spans="1:4">
      <c r="A93" s="62">
        <v>45296</v>
      </c>
      <c r="B93" s="26" t="s">
        <v>9795</v>
      </c>
      <c r="C93" s="26" t="s">
        <v>9794</v>
      </c>
      <c r="D93" s="26" t="s">
        <v>5</v>
      </c>
    </row>
    <row r="94" spans="1:4">
      <c r="A94" s="62">
        <v>45296</v>
      </c>
      <c r="B94" s="26" t="s">
        <v>9797</v>
      </c>
      <c r="C94" s="26" t="s">
        <v>9796</v>
      </c>
      <c r="D94" s="26" t="s">
        <v>29</v>
      </c>
    </row>
    <row r="95" spans="1:4">
      <c r="A95" s="62">
        <v>45306</v>
      </c>
      <c r="B95" s="26" t="s">
        <v>9799</v>
      </c>
      <c r="C95" s="26" t="s">
        <v>9798</v>
      </c>
      <c r="D95" s="26" t="s">
        <v>109</v>
      </c>
    </row>
    <row r="96" spans="1:4">
      <c r="A96" s="62">
        <v>45299</v>
      </c>
      <c r="B96" s="26" t="s">
        <v>9801</v>
      </c>
      <c r="C96" s="26" t="s">
        <v>9800</v>
      </c>
      <c r="D96" s="26" t="s">
        <v>109</v>
      </c>
    </row>
    <row r="97" spans="1:4">
      <c r="A97" s="62">
        <v>45309</v>
      </c>
      <c r="B97" s="26" t="s">
        <v>9803</v>
      </c>
      <c r="C97" s="26" t="s">
        <v>9802</v>
      </c>
      <c r="D97" s="26" t="s">
        <v>74</v>
      </c>
    </row>
    <row r="98" spans="1:4">
      <c r="A98" s="62">
        <v>45306</v>
      </c>
      <c r="B98" s="26" t="s">
        <v>9799</v>
      </c>
      <c r="C98" s="26" t="s">
        <v>9798</v>
      </c>
      <c r="D98" s="26" t="s">
        <v>109</v>
      </c>
    </row>
    <row r="99" spans="1:4">
      <c r="A99" s="62">
        <v>45294</v>
      </c>
      <c r="B99" s="26" t="s">
        <v>9805</v>
      </c>
      <c r="C99" s="26" t="s">
        <v>9804</v>
      </c>
      <c r="D99" s="26" t="s">
        <v>29</v>
      </c>
    </row>
    <row r="100" spans="1:4">
      <c r="A100" s="62">
        <v>45294</v>
      </c>
      <c r="B100" s="26" t="s">
        <v>9807</v>
      </c>
      <c r="C100" s="26" t="s">
        <v>9806</v>
      </c>
      <c r="D100" s="26" t="s">
        <v>29</v>
      </c>
    </row>
    <row r="101" spans="1:4">
      <c r="A101" s="62">
        <v>45295</v>
      </c>
      <c r="B101" s="26" t="s">
        <v>9809</v>
      </c>
      <c r="C101" s="26" t="s">
        <v>9808</v>
      </c>
      <c r="D101" s="26" t="s">
        <v>29</v>
      </c>
    </row>
    <row r="102" spans="1:4">
      <c r="A102" s="62">
        <v>45296</v>
      </c>
      <c r="B102" s="26" t="s">
        <v>9810</v>
      </c>
      <c r="C102" s="26" t="s">
        <v>9556</v>
      </c>
      <c r="D102" s="26" t="s">
        <v>29</v>
      </c>
    </row>
    <row r="103" spans="1:4">
      <c r="A103" s="62">
        <v>45302</v>
      </c>
      <c r="B103" s="26" t="s">
        <v>9812</v>
      </c>
      <c r="C103" s="26" t="s">
        <v>9811</v>
      </c>
      <c r="D103" s="26" t="s">
        <v>29</v>
      </c>
    </row>
    <row r="104" spans="1:4">
      <c r="A104" s="62">
        <v>45302</v>
      </c>
      <c r="B104" s="26" t="s">
        <v>9812</v>
      </c>
      <c r="C104" s="26" t="s">
        <v>9811</v>
      </c>
      <c r="D104" s="26" t="s">
        <v>29</v>
      </c>
    </row>
    <row r="105" spans="1:4">
      <c r="A105" s="62">
        <v>45309</v>
      </c>
      <c r="B105" s="26" t="s">
        <v>9814</v>
      </c>
      <c r="C105" s="26" t="s">
        <v>9813</v>
      </c>
      <c r="D105" s="26" t="s">
        <v>74</v>
      </c>
    </row>
    <row r="106" spans="1:4">
      <c r="A106" s="62">
        <v>45295</v>
      </c>
      <c r="B106" s="26" t="s">
        <v>9816</v>
      </c>
      <c r="C106" s="26" t="s">
        <v>9815</v>
      </c>
      <c r="D106" s="26" t="s">
        <v>353</v>
      </c>
    </row>
    <row r="107" spans="1:4">
      <c r="A107" s="62">
        <v>45295</v>
      </c>
      <c r="B107" s="26" t="s">
        <v>9818</v>
      </c>
      <c r="C107" s="26" t="s">
        <v>9817</v>
      </c>
      <c r="D107" s="26" t="s">
        <v>353</v>
      </c>
    </row>
    <row r="108" spans="1:4">
      <c r="A108" s="62">
        <v>45295</v>
      </c>
      <c r="B108" s="26" t="s">
        <v>9819</v>
      </c>
      <c r="C108" s="26" t="s">
        <v>9817</v>
      </c>
      <c r="D108" s="26" t="s">
        <v>353</v>
      </c>
    </row>
    <row r="109" spans="1:4">
      <c r="A109" s="62">
        <v>45294</v>
      </c>
      <c r="B109" s="26" t="s">
        <v>9820</v>
      </c>
      <c r="C109" s="26" t="s">
        <v>9806</v>
      </c>
      <c r="D109" s="26" t="s">
        <v>29</v>
      </c>
    </row>
    <row r="110" spans="1:4">
      <c r="A110" s="62">
        <v>45295</v>
      </c>
      <c r="B110" s="26" t="s">
        <v>9822</v>
      </c>
      <c r="C110" s="26" t="s">
        <v>9821</v>
      </c>
      <c r="D110" s="26" t="s">
        <v>29</v>
      </c>
    </row>
    <row r="111" spans="1:4">
      <c r="A111" s="62">
        <v>45295</v>
      </c>
      <c r="B111" s="26" t="s">
        <v>9822</v>
      </c>
      <c r="C111" s="26" t="s">
        <v>9821</v>
      </c>
      <c r="D111" s="26" t="s">
        <v>29</v>
      </c>
    </row>
    <row r="112" spans="1:4">
      <c r="A112" s="62">
        <v>45295</v>
      </c>
      <c r="B112" s="26" t="s">
        <v>9824</v>
      </c>
      <c r="C112" s="26" t="s">
        <v>9823</v>
      </c>
      <c r="D112" s="26" t="s">
        <v>29</v>
      </c>
    </row>
    <row r="113" spans="1:4">
      <c r="A113" s="62">
        <v>45297</v>
      </c>
      <c r="B113" s="26" t="s">
        <v>9826</v>
      </c>
      <c r="C113" s="26" t="s">
        <v>9825</v>
      </c>
      <c r="D113" s="26" t="s">
        <v>29</v>
      </c>
    </row>
    <row r="114" spans="1:4">
      <c r="A114" s="62">
        <v>45302</v>
      </c>
      <c r="B114" s="26" t="s">
        <v>9828</v>
      </c>
      <c r="C114" s="26" t="s">
        <v>9827</v>
      </c>
      <c r="D114" s="26" t="s">
        <v>11</v>
      </c>
    </row>
    <row r="115" spans="1:4">
      <c r="A115" s="62">
        <v>45302</v>
      </c>
      <c r="B115" s="26" t="s">
        <v>9828</v>
      </c>
      <c r="C115" s="26" t="s">
        <v>9829</v>
      </c>
      <c r="D115" s="26" t="s">
        <v>11</v>
      </c>
    </row>
    <row r="116" spans="1:4">
      <c r="A116" s="62">
        <v>45309</v>
      </c>
      <c r="B116" s="26" t="s">
        <v>9831</v>
      </c>
      <c r="C116" s="26" t="s">
        <v>9830</v>
      </c>
      <c r="D116" s="26" t="s">
        <v>109</v>
      </c>
    </row>
    <row r="117" spans="1:4">
      <c r="A117" s="62">
        <v>45303</v>
      </c>
      <c r="B117" s="26" t="s">
        <v>9833</v>
      </c>
      <c r="C117" s="26" t="s">
        <v>9832</v>
      </c>
      <c r="D117" s="26" t="s">
        <v>29</v>
      </c>
    </row>
    <row r="118" spans="1:4">
      <c r="A118" s="62">
        <v>45307</v>
      </c>
      <c r="B118" s="26" t="s">
        <v>9835</v>
      </c>
      <c r="C118" s="26" t="s">
        <v>9834</v>
      </c>
      <c r="D118" s="26" t="s">
        <v>29</v>
      </c>
    </row>
    <row r="119" spans="1:4">
      <c r="A119" s="62">
        <v>45303</v>
      </c>
      <c r="B119" s="26" t="s">
        <v>9837</v>
      </c>
      <c r="C119" s="26" t="s">
        <v>9836</v>
      </c>
      <c r="D119" s="26" t="s">
        <v>109</v>
      </c>
    </row>
    <row r="120" spans="1:4">
      <c r="A120" s="62">
        <v>45301</v>
      </c>
      <c r="B120" s="26" t="s">
        <v>9839</v>
      </c>
      <c r="C120" s="26" t="s">
        <v>9838</v>
      </c>
      <c r="D120" s="26" t="s">
        <v>109</v>
      </c>
    </row>
    <row r="121" spans="1:4">
      <c r="A121" s="62">
        <v>45302</v>
      </c>
      <c r="B121" s="26" t="s">
        <v>9841</v>
      </c>
      <c r="C121" s="26" t="s">
        <v>9840</v>
      </c>
      <c r="D121" s="26" t="s">
        <v>109</v>
      </c>
    </row>
    <row r="122" spans="1:4">
      <c r="A122" s="62">
        <v>45301</v>
      </c>
      <c r="B122" s="26" t="s">
        <v>9843</v>
      </c>
      <c r="C122" s="26" t="s">
        <v>9842</v>
      </c>
      <c r="D122" s="26" t="s">
        <v>109</v>
      </c>
    </row>
    <row r="123" spans="1:4">
      <c r="A123" s="62">
        <v>45301</v>
      </c>
      <c r="B123" s="26" t="s">
        <v>9845</v>
      </c>
      <c r="C123" s="26" t="s">
        <v>9844</v>
      </c>
      <c r="D123" s="26" t="s">
        <v>109</v>
      </c>
    </row>
    <row r="124" spans="1:4">
      <c r="A124" s="62">
        <v>45309</v>
      </c>
      <c r="B124" s="26" t="s">
        <v>9847</v>
      </c>
      <c r="C124" s="26" t="s">
        <v>9846</v>
      </c>
      <c r="D124" s="26" t="s">
        <v>353</v>
      </c>
    </row>
    <row r="125" spans="1:4">
      <c r="A125" s="62">
        <v>45302</v>
      </c>
      <c r="B125" s="26" t="s">
        <v>9849</v>
      </c>
      <c r="C125" s="26" t="s">
        <v>9848</v>
      </c>
      <c r="D125" s="26" t="s">
        <v>5</v>
      </c>
    </row>
    <row r="126" spans="1:4">
      <c r="A126" s="62">
        <v>45302</v>
      </c>
      <c r="B126" s="26" t="s">
        <v>9851</v>
      </c>
      <c r="C126" s="26" t="s">
        <v>9850</v>
      </c>
      <c r="D126" s="26" t="s">
        <v>109</v>
      </c>
    </row>
    <row r="127" spans="1:4">
      <c r="A127" s="62">
        <v>45302</v>
      </c>
      <c r="B127" s="26" t="s">
        <v>9853</v>
      </c>
      <c r="C127" s="26" t="s">
        <v>9852</v>
      </c>
      <c r="D127" s="26" t="s">
        <v>109</v>
      </c>
    </row>
    <row r="128" spans="1:4">
      <c r="A128" s="62">
        <v>45308</v>
      </c>
      <c r="B128" s="26" t="s">
        <v>9855</v>
      </c>
      <c r="C128" s="26" t="s">
        <v>9854</v>
      </c>
      <c r="D128" s="26" t="s">
        <v>109</v>
      </c>
    </row>
    <row r="129" spans="1:4">
      <c r="A129" s="62">
        <v>45303</v>
      </c>
      <c r="B129" s="26" t="s">
        <v>9857</v>
      </c>
      <c r="C129" s="26" t="s">
        <v>9856</v>
      </c>
      <c r="D129" s="26" t="s">
        <v>109</v>
      </c>
    </row>
    <row r="130" spans="1:4">
      <c r="A130" s="62">
        <v>45302</v>
      </c>
      <c r="B130" s="26" t="s">
        <v>9859</v>
      </c>
      <c r="C130" s="26" t="s">
        <v>9858</v>
      </c>
      <c r="D130" s="26" t="s">
        <v>11</v>
      </c>
    </row>
    <row r="131" spans="1:4">
      <c r="A131" s="62">
        <v>45302</v>
      </c>
      <c r="B131" s="26" t="s">
        <v>9861</v>
      </c>
      <c r="C131" s="26" t="s">
        <v>9860</v>
      </c>
      <c r="D131" s="26" t="s">
        <v>11</v>
      </c>
    </row>
    <row r="132" spans="1:4">
      <c r="A132" s="62">
        <v>45309</v>
      </c>
      <c r="B132" s="26" t="s">
        <v>9863</v>
      </c>
      <c r="C132" s="26" t="s">
        <v>9862</v>
      </c>
      <c r="D132" s="26" t="s">
        <v>353</v>
      </c>
    </row>
    <row r="133" spans="1:4">
      <c r="A133" s="62">
        <v>45303</v>
      </c>
      <c r="B133" s="26" t="s">
        <v>9865</v>
      </c>
      <c r="C133" s="26" t="s">
        <v>9864</v>
      </c>
      <c r="D133" s="26" t="s">
        <v>5</v>
      </c>
    </row>
    <row r="134" spans="1:4">
      <c r="A134" s="62">
        <v>45303</v>
      </c>
      <c r="B134" s="26" t="s">
        <v>9867</v>
      </c>
      <c r="C134" s="26" t="s">
        <v>9866</v>
      </c>
      <c r="D134" s="26" t="s">
        <v>5</v>
      </c>
    </row>
    <row r="135" spans="1:4">
      <c r="A135" s="62">
        <v>45309</v>
      </c>
      <c r="B135" s="26" t="s">
        <v>9869</v>
      </c>
      <c r="C135" s="26" t="s">
        <v>9868</v>
      </c>
      <c r="D135" s="26" t="s">
        <v>353</v>
      </c>
    </row>
    <row r="136" spans="1:4">
      <c r="A136" s="62">
        <v>45304</v>
      </c>
      <c r="B136" s="26" t="s">
        <v>9871</v>
      </c>
      <c r="C136" s="26" t="s">
        <v>9870</v>
      </c>
      <c r="D136" s="26" t="s">
        <v>5</v>
      </c>
    </row>
    <row r="137" spans="1:4">
      <c r="A137" s="62">
        <v>45307</v>
      </c>
      <c r="B137" s="26" t="s">
        <v>9873</v>
      </c>
      <c r="C137" s="26" t="s">
        <v>9872</v>
      </c>
      <c r="D137" s="26" t="s">
        <v>109</v>
      </c>
    </row>
    <row r="138" spans="1:4">
      <c r="A138" s="62">
        <v>45308</v>
      </c>
      <c r="B138" s="26" t="s">
        <v>9875</v>
      </c>
      <c r="C138" s="26" t="s">
        <v>9874</v>
      </c>
      <c r="D138" s="26" t="s">
        <v>109</v>
      </c>
    </row>
    <row r="139" spans="1:4">
      <c r="A139" s="62">
        <v>45306</v>
      </c>
      <c r="B139" s="26" t="s">
        <v>9877</v>
      </c>
      <c r="C139" s="26" t="s">
        <v>9876</v>
      </c>
      <c r="D139" s="26" t="s">
        <v>5</v>
      </c>
    </row>
    <row r="140" spans="1:4">
      <c r="A140" s="62">
        <v>45306</v>
      </c>
      <c r="B140" s="26" t="s">
        <v>9879</v>
      </c>
      <c r="C140" s="26" t="s">
        <v>9878</v>
      </c>
      <c r="D140" s="26" t="s">
        <v>5</v>
      </c>
    </row>
    <row r="141" spans="1:4">
      <c r="A141" s="62">
        <v>45304</v>
      </c>
      <c r="B141" s="26" t="s">
        <v>9881</v>
      </c>
      <c r="C141" s="26" t="s">
        <v>9880</v>
      </c>
      <c r="D141" s="26" t="s">
        <v>5</v>
      </c>
    </row>
    <row r="142" spans="1:4">
      <c r="A142" s="62">
        <v>45304</v>
      </c>
      <c r="B142" s="26" t="s">
        <v>9881</v>
      </c>
      <c r="C142" s="26" t="s">
        <v>9882</v>
      </c>
      <c r="D142" s="26" t="s">
        <v>5</v>
      </c>
    </row>
    <row r="143" spans="1:4">
      <c r="A143" s="62">
        <v>45306</v>
      </c>
      <c r="B143" s="26" t="s">
        <v>9427</v>
      </c>
      <c r="C143" s="26" t="s">
        <v>9883</v>
      </c>
      <c r="D143" s="26" t="s">
        <v>5</v>
      </c>
    </row>
    <row r="144" spans="1:4">
      <c r="A144" s="62">
        <v>45304</v>
      </c>
      <c r="B144" s="26" t="s">
        <v>9885</v>
      </c>
      <c r="C144" s="26" t="s">
        <v>9884</v>
      </c>
      <c r="D144" s="26" t="s">
        <v>5</v>
      </c>
    </row>
    <row r="145" spans="1:4">
      <c r="A145" s="62">
        <v>45306</v>
      </c>
      <c r="B145" s="26" t="s">
        <v>9887</v>
      </c>
      <c r="C145" s="26" t="s">
        <v>9886</v>
      </c>
      <c r="D145" s="26" t="s">
        <v>29</v>
      </c>
    </row>
    <row r="146" spans="1:4">
      <c r="A146" s="62">
        <v>45306</v>
      </c>
      <c r="B146" s="26" t="s">
        <v>9888</v>
      </c>
      <c r="C146" s="26" t="s">
        <v>9806</v>
      </c>
      <c r="D146" s="26" t="s">
        <v>29</v>
      </c>
    </row>
    <row r="147" spans="1:4">
      <c r="A147" s="62">
        <v>45306</v>
      </c>
      <c r="B147" s="26" t="s">
        <v>9890</v>
      </c>
      <c r="C147" s="26" t="s">
        <v>9889</v>
      </c>
      <c r="D147" s="26" t="s">
        <v>29</v>
      </c>
    </row>
    <row r="148" spans="1:4">
      <c r="A148" s="62">
        <v>45309</v>
      </c>
      <c r="B148" s="26" t="s">
        <v>9892</v>
      </c>
      <c r="C148" s="26" t="s">
        <v>9891</v>
      </c>
      <c r="D148" s="26" t="s">
        <v>109</v>
      </c>
    </row>
    <row r="149" spans="1:4">
      <c r="A149" s="62">
        <v>45309</v>
      </c>
      <c r="B149" s="26" t="s">
        <v>9894</v>
      </c>
      <c r="C149" s="26" t="s">
        <v>9893</v>
      </c>
      <c r="D149" s="26" t="s">
        <v>109</v>
      </c>
    </row>
    <row r="150" spans="1:4">
      <c r="A150" s="62">
        <v>45309</v>
      </c>
      <c r="B150" s="26" t="s">
        <v>9895</v>
      </c>
      <c r="C150" s="26" t="s">
        <v>7096</v>
      </c>
      <c r="D150" s="26" t="s">
        <v>5</v>
      </c>
    </row>
    <row r="151" spans="1:4">
      <c r="A151" s="62">
        <v>45309</v>
      </c>
      <c r="B151" s="26" t="s">
        <v>9897</v>
      </c>
      <c r="C151" s="26" t="s">
        <v>9896</v>
      </c>
      <c r="D151" s="26" t="s">
        <v>5</v>
      </c>
    </row>
    <row r="152" spans="1:4">
      <c r="A152" s="62">
        <v>45309</v>
      </c>
      <c r="B152" s="26" t="s">
        <v>9899</v>
      </c>
      <c r="C152" s="26" t="s">
        <v>9898</v>
      </c>
      <c r="D152" s="26" t="s">
        <v>5</v>
      </c>
    </row>
    <row r="153" spans="1:4">
      <c r="A153" s="62">
        <v>45309</v>
      </c>
      <c r="B153" s="26" t="s">
        <v>9901</v>
      </c>
      <c r="C153" s="26" t="s">
        <v>9900</v>
      </c>
      <c r="D153" s="26" t="s">
        <v>5</v>
      </c>
    </row>
    <row r="154" spans="1:4">
      <c r="A154" s="62">
        <v>45309</v>
      </c>
      <c r="B154" s="26" t="s">
        <v>9903</v>
      </c>
      <c r="C154" s="26" t="s">
        <v>9902</v>
      </c>
      <c r="D154" s="26" t="s">
        <v>5</v>
      </c>
    </row>
    <row r="155" spans="1:4">
      <c r="A155" s="62">
        <v>45309</v>
      </c>
      <c r="B155" s="26" t="s">
        <v>9897</v>
      </c>
      <c r="C155" s="26" t="s">
        <v>9896</v>
      </c>
      <c r="D155" s="26" t="s">
        <v>5</v>
      </c>
    </row>
    <row r="156" spans="1:4">
      <c r="A156" s="69">
        <v>45323</v>
      </c>
      <c r="B156" s="52" t="s">
        <v>9905</v>
      </c>
      <c r="C156" s="48" t="s">
        <v>9904</v>
      </c>
      <c r="D156" s="48" t="s">
        <v>74</v>
      </c>
    </row>
    <row r="157" spans="1:4">
      <c r="A157" s="53">
        <v>45536</v>
      </c>
      <c r="B157" s="41" t="s">
        <v>9907</v>
      </c>
      <c r="C157" s="41" t="s">
        <v>9906</v>
      </c>
      <c r="D157" s="41" t="s">
        <v>29</v>
      </c>
    </row>
    <row r="158" spans="1:4">
      <c r="A158" s="53">
        <v>45293</v>
      </c>
      <c r="B158" s="41" t="s">
        <v>9666</v>
      </c>
      <c r="C158" s="41" t="s">
        <v>9665</v>
      </c>
      <c r="D158" s="41" t="s">
        <v>74</v>
      </c>
    </row>
    <row r="159" spans="1:4">
      <c r="A159" s="53">
        <v>45298</v>
      </c>
      <c r="B159" s="41" t="s">
        <v>9909</v>
      </c>
      <c r="C159" s="41" t="s">
        <v>9908</v>
      </c>
      <c r="D159" s="41" t="s">
        <v>5</v>
      </c>
    </row>
    <row r="160" spans="1:4">
      <c r="A160" s="53">
        <v>45294</v>
      </c>
      <c r="B160" s="41" t="s">
        <v>9668</v>
      </c>
      <c r="C160" s="41" t="s">
        <v>9667</v>
      </c>
      <c r="D160" s="41" t="s">
        <v>16</v>
      </c>
    </row>
    <row r="161" spans="1:4">
      <c r="A161" s="53">
        <v>45296</v>
      </c>
      <c r="B161" s="41" t="s">
        <v>9911</v>
      </c>
      <c r="C161" s="41" t="s">
        <v>9910</v>
      </c>
      <c r="D161" s="41" t="s">
        <v>74</v>
      </c>
    </row>
    <row r="162" spans="1:4">
      <c r="A162" s="53">
        <v>45296</v>
      </c>
      <c r="B162" s="41" t="s">
        <v>9913</v>
      </c>
      <c r="C162" s="41" t="s">
        <v>9912</v>
      </c>
      <c r="D162" s="41" t="s">
        <v>74</v>
      </c>
    </row>
    <row r="163" spans="1:4">
      <c r="A163" s="53">
        <v>45299</v>
      </c>
      <c r="B163" s="41" t="s">
        <v>9915</v>
      </c>
      <c r="C163" s="41" t="s">
        <v>9914</v>
      </c>
      <c r="D163" s="41" t="s">
        <v>74</v>
      </c>
    </row>
    <row r="164" spans="1:4">
      <c r="A164" s="53">
        <v>45297</v>
      </c>
      <c r="B164" s="41" t="s">
        <v>9917</v>
      </c>
      <c r="C164" s="41" t="s">
        <v>9916</v>
      </c>
      <c r="D164" s="41" t="s">
        <v>37</v>
      </c>
    </row>
    <row r="165" spans="1:4">
      <c r="A165" s="53">
        <v>45293</v>
      </c>
      <c r="B165" s="41" t="s">
        <v>9670</v>
      </c>
      <c r="C165" s="41" t="s">
        <v>9669</v>
      </c>
      <c r="D165" s="41" t="s">
        <v>37</v>
      </c>
    </row>
    <row r="166" spans="1:4">
      <c r="A166" s="53">
        <v>45299</v>
      </c>
      <c r="B166" s="41" t="s">
        <v>9919</v>
      </c>
      <c r="C166" s="41" t="s">
        <v>9918</v>
      </c>
      <c r="D166" s="41" t="s">
        <v>74</v>
      </c>
    </row>
    <row r="167" spans="1:4">
      <c r="A167" s="53">
        <v>45301</v>
      </c>
      <c r="B167" s="41" t="s">
        <v>9921</v>
      </c>
      <c r="C167" s="41" t="s">
        <v>9920</v>
      </c>
      <c r="D167" s="41" t="s">
        <v>74</v>
      </c>
    </row>
    <row r="168" spans="1:4">
      <c r="A168" s="53">
        <v>45293</v>
      </c>
      <c r="B168" s="41" t="s">
        <v>9672</v>
      </c>
      <c r="C168" s="41" t="s">
        <v>9671</v>
      </c>
      <c r="D168" s="41" t="s">
        <v>109</v>
      </c>
    </row>
    <row r="169" spans="1:4">
      <c r="A169" s="53">
        <v>45301</v>
      </c>
      <c r="B169" s="41" t="s">
        <v>9923</v>
      </c>
      <c r="C169" s="41" t="s">
        <v>9922</v>
      </c>
      <c r="D169" s="41" t="s">
        <v>37</v>
      </c>
    </row>
    <row r="170" spans="1:4">
      <c r="A170" s="53">
        <v>45308</v>
      </c>
      <c r="B170" s="41" t="s">
        <v>9925</v>
      </c>
      <c r="C170" s="41" t="s">
        <v>9924</v>
      </c>
      <c r="D170" s="41" t="s">
        <v>11</v>
      </c>
    </row>
    <row r="171" spans="1:4">
      <c r="A171" s="53">
        <v>45301</v>
      </c>
      <c r="B171" s="41" t="s">
        <v>9927</v>
      </c>
      <c r="C171" s="41" t="s">
        <v>9926</v>
      </c>
      <c r="D171" s="41" t="s">
        <v>37</v>
      </c>
    </row>
    <row r="172" spans="1:4">
      <c r="A172" s="53">
        <v>45309</v>
      </c>
      <c r="B172" s="41" t="s">
        <v>9929</v>
      </c>
      <c r="C172" s="41" t="s">
        <v>9928</v>
      </c>
      <c r="D172" s="41" t="s">
        <v>164</v>
      </c>
    </row>
    <row r="173" spans="1:4">
      <c r="A173" s="53">
        <v>45296</v>
      </c>
      <c r="B173" s="41" t="s">
        <v>9931</v>
      </c>
      <c r="C173" s="41" t="s">
        <v>9930</v>
      </c>
      <c r="D173" s="41" t="s">
        <v>74</v>
      </c>
    </row>
    <row r="174" spans="1:4">
      <c r="A174" s="53">
        <v>45296</v>
      </c>
      <c r="B174" s="41" t="s">
        <v>9933</v>
      </c>
      <c r="C174" s="41" t="s">
        <v>9932</v>
      </c>
      <c r="D174" s="41" t="s">
        <v>74</v>
      </c>
    </row>
    <row r="175" spans="1:4">
      <c r="A175" s="53">
        <v>45299</v>
      </c>
      <c r="B175" s="41" t="s">
        <v>9935</v>
      </c>
      <c r="C175" s="41" t="s">
        <v>9934</v>
      </c>
      <c r="D175" s="41" t="s">
        <v>37</v>
      </c>
    </row>
    <row r="176" spans="1:4">
      <c r="A176" s="53">
        <v>45294</v>
      </c>
      <c r="B176" s="48" t="s">
        <v>9674</v>
      </c>
      <c r="C176" s="41" t="s">
        <v>9673</v>
      </c>
      <c r="D176" s="41" t="s">
        <v>37</v>
      </c>
    </row>
    <row r="177" spans="1:4">
      <c r="A177" s="53">
        <v>45293</v>
      </c>
      <c r="B177" s="48" t="s">
        <v>9676</v>
      </c>
      <c r="C177" s="41" t="s">
        <v>9675</v>
      </c>
      <c r="D177" s="41" t="s">
        <v>5</v>
      </c>
    </row>
    <row r="178" spans="1:4">
      <c r="A178" s="53">
        <v>45293</v>
      </c>
      <c r="B178" s="41" t="s">
        <v>9678</v>
      </c>
      <c r="C178" s="41" t="s">
        <v>9677</v>
      </c>
      <c r="D178" s="41" t="s">
        <v>37</v>
      </c>
    </row>
    <row r="179" spans="1:4">
      <c r="A179" s="53">
        <v>45293</v>
      </c>
      <c r="B179" s="41" t="s">
        <v>9680</v>
      </c>
      <c r="C179" s="41" t="s">
        <v>9679</v>
      </c>
      <c r="D179" s="41" t="s">
        <v>37</v>
      </c>
    </row>
    <row r="180" spans="1:4">
      <c r="A180" s="53">
        <v>45293</v>
      </c>
      <c r="B180" s="41" t="s">
        <v>9682</v>
      </c>
      <c r="C180" s="41" t="s">
        <v>9681</v>
      </c>
      <c r="D180" s="41" t="s">
        <v>109</v>
      </c>
    </row>
    <row r="181" spans="1:4">
      <c r="A181" s="53">
        <v>45294</v>
      </c>
      <c r="B181" s="41" t="s">
        <v>9684</v>
      </c>
      <c r="C181" s="41" t="s">
        <v>9683</v>
      </c>
      <c r="D181" s="41" t="s">
        <v>37</v>
      </c>
    </row>
    <row r="182" spans="1:4">
      <c r="A182" s="53">
        <v>45294</v>
      </c>
      <c r="B182" s="41" t="s">
        <v>9937</v>
      </c>
      <c r="C182" s="41" t="s">
        <v>9936</v>
      </c>
      <c r="D182" s="41" t="s">
        <v>29</v>
      </c>
    </row>
    <row r="183" spans="1:4">
      <c r="A183" s="53">
        <v>45294</v>
      </c>
      <c r="B183" s="41" t="s">
        <v>9937</v>
      </c>
      <c r="C183" s="41" t="s">
        <v>9938</v>
      </c>
      <c r="D183" s="41" t="s">
        <v>29</v>
      </c>
    </row>
    <row r="184" spans="1:4">
      <c r="A184" s="53">
        <v>45294</v>
      </c>
      <c r="B184" s="41" t="s">
        <v>9940</v>
      </c>
      <c r="C184" s="41" t="s">
        <v>9939</v>
      </c>
      <c r="D184" s="41" t="s">
        <v>345</v>
      </c>
    </row>
    <row r="185" spans="1:4">
      <c r="A185" s="53">
        <v>45299</v>
      </c>
      <c r="B185" s="41" t="s">
        <v>9919</v>
      </c>
      <c r="C185" s="41" t="s">
        <v>9918</v>
      </c>
      <c r="D185" s="41" t="s">
        <v>74</v>
      </c>
    </row>
    <row r="186" spans="1:4">
      <c r="A186" s="53">
        <v>45296</v>
      </c>
      <c r="B186" s="41" t="s">
        <v>9933</v>
      </c>
      <c r="C186" s="41" t="s">
        <v>9932</v>
      </c>
      <c r="D186" s="41" t="s">
        <v>74</v>
      </c>
    </row>
    <row r="187" spans="1:4">
      <c r="A187" s="53">
        <v>45297</v>
      </c>
      <c r="B187" s="41" t="s">
        <v>9942</v>
      </c>
      <c r="C187" s="41" t="s">
        <v>9941</v>
      </c>
      <c r="D187" s="41" t="s">
        <v>11</v>
      </c>
    </row>
    <row r="188" spans="1:4">
      <c r="A188" s="53">
        <v>45296</v>
      </c>
      <c r="B188" s="41" t="s">
        <v>9911</v>
      </c>
      <c r="C188" s="41" t="s">
        <v>9910</v>
      </c>
      <c r="D188" s="41" t="s">
        <v>74</v>
      </c>
    </row>
    <row r="189" spans="1:4">
      <c r="A189" s="53">
        <v>45306</v>
      </c>
      <c r="B189" s="41" t="s">
        <v>9943</v>
      </c>
      <c r="C189" s="41" t="s">
        <v>9759</v>
      </c>
      <c r="D189" s="41" t="s">
        <v>5</v>
      </c>
    </row>
    <row r="190" spans="1:4">
      <c r="A190" s="53">
        <v>45311</v>
      </c>
      <c r="B190" s="41" t="s">
        <v>9945</v>
      </c>
      <c r="C190" s="41" t="s">
        <v>9944</v>
      </c>
      <c r="D190" s="41" t="s">
        <v>8</v>
      </c>
    </row>
    <row r="191" spans="1:4">
      <c r="A191" s="53">
        <v>45307</v>
      </c>
      <c r="B191" s="41" t="s">
        <v>9947</v>
      </c>
      <c r="C191" s="41" t="s">
        <v>9946</v>
      </c>
      <c r="D191" s="41" t="s">
        <v>37</v>
      </c>
    </row>
    <row r="192" spans="1:4">
      <c r="A192" s="53">
        <v>45306</v>
      </c>
      <c r="B192" s="41" t="s">
        <v>9949</v>
      </c>
      <c r="C192" s="41" t="s">
        <v>9948</v>
      </c>
      <c r="D192" s="41" t="s">
        <v>11</v>
      </c>
    </row>
    <row r="193" spans="1:4">
      <c r="A193" s="53">
        <v>45301</v>
      </c>
      <c r="B193" s="41" t="s">
        <v>9951</v>
      </c>
      <c r="C193" s="41" t="s">
        <v>9950</v>
      </c>
      <c r="D193" s="41" t="s">
        <v>16</v>
      </c>
    </row>
    <row r="194" spans="1:4">
      <c r="A194" s="53">
        <v>45301</v>
      </c>
      <c r="B194" s="41" t="s">
        <v>9951</v>
      </c>
      <c r="C194" s="41" t="s">
        <v>9950</v>
      </c>
      <c r="D194" s="41" t="s">
        <v>16</v>
      </c>
    </row>
    <row r="195" spans="1:4">
      <c r="A195" s="53">
        <v>45303</v>
      </c>
      <c r="B195" s="41" t="s">
        <v>9953</v>
      </c>
      <c r="C195" s="41" t="s">
        <v>9952</v>
      </c>
      <c r="D195" s="41" t="s">
        <v>74</v>
      </c>
    </row>
    <row r="196" spans="1:4">
      <c r="A196" s="53">
        <v>45301</v>
      </c>
      <c r="B196" s="41" t="s">
        <v>9955</v>
      </c>
      <c r="C196" s="41" t="s">
        <v>9954</v>
      </c>
      <c r="D196" s="41" t="s">
        <v>37</v>
      </c>
    </row>
    <row r="197" spans="1:4">
      <c r="A197" s="53">
        <v>45302</v>
      </c>
      <c r="B197" s="41" t="s">
        <v>9957</v>
      </c>
      <c r="C197" s="41" t="s">
        <v>9956</v>
      </c>
      <c r="D197" s="41" t="s">
        <v>11</v>
      </c>
    </row>
    <row r="198" spans="1:4">
      <c r="A198" s="53">
        <v>45303</v>
      </c>
      <c r="B198" s="41" t="s">
        <v>9959</v>
      </c>
      <c r="C198" s="41" t="s">
        <v>9958</v>
      </c>
      <c r="D198" s="41" t="s">
        <v>74</v>
      </c>
    </row>
    <row r="199" spans="1:4">
      <c r="A199" s="53">
        <v>45303</v>
      </c>
      <c r="B199" s="41" t="s">
        <v>9953</v>
      </c>
      <c r="C199" s="41" t="s">
        <v>9952</v>
      </c>
      <c r="D199" s="41" t="s">
        <v>74</v>
      </c>
    </row>
    <row r="200" spans="1:4">
      <c r="A200" s="53">
        <v>45311</v>
      </c>
      <c r="B200" s="41" t="s">
        <v>9961</v>
      </c>
      <c r="C200" s="41" t="s">
        <v>9960</v>
      </c>
      <c r="D200" s="41" t="s">
        <v>5</v>
      </c>
    </row>
    <row r="201" spans="1:4">
      <c r="A201" s="53">
        <v>45310</v>
      </c>
      <c r="B201" s="41" t="s">
        <v>9963</v>
      </c>
      <c r="C201" s="41" t="s">
        <v>9962</v>
      </c>
      <c r="D201" s="41" t="s">
        <v>74</v>
      </c>
    </row>
    <row r="202" spans="1:4">
      <c r="A202" s="53">
        <v>45309</v>
      </c>
      <c r="B202" s="41" t="s">
        <v>9965</v>
      </c>
      <c r="C202" s="41" t="s">
        <v>9964</v>
      </c>
      <c r="D202" s="41" t="s">
        <v>5</v>
      </c>
    </row>
    <row r="203" spans="1:4">
      <c r="A203" s="53">
        <v>45307</v>
      </c>
      <c r="B203" s="41" t="s">
        <v>9967</v>
      </c>
      <c r="C203" s="41" t="s">
        <v>9966</v>
      </c>
      <c r="D203" s="41" t="s">
        <v>74</v>
      </c>
    </row>
    <row r="204" spans="1:4">
      <c r="A204" s="53">
        <v>45302</v>
      </c>
      <c r="B204" s="41" t="s">
        <v>9969</v>
      </c>
      <c r="C204" s="41" t="s">
        <v>9968</v>
      </c>
      <c r="D204" s="41" t="s">
        <v>11</v>
      </c>
    </row>
    <row r="205" spans="1:4">
      <c r="A205" s="53">
        <v>45303</v>
      </c>
      <c r="B205" s="41" t="s">
        <v>9971</v>
      </c>
      <c r="C205" s="41" t="s">
        <v>9970</v>
      </c>
      <c r="D205" s="41" t="s">
        <v>74</v>
      </c>
    </row>
    <row r="206" spans="1:4">
      <c r="A206" s="53">
        <v>45301</v>
      </c>
      <c r="B206" s="41" t="s">
        <v>9921</v>
      </c>
      <c r="C206" s="41" t="s">
        <v>9920</v>
      </c>
      <c r="D206" s="41" t="s">
        <v>74</v>
      </c>
    </row>
    <row r="207" spans="1:4">
      <c r="A207" s="53">
        <v>45308</v>
      </c>
      <c r="B207" s="41" t="s">
        <v>9973</v>
      </c>
      <c r="C207" s="41" t="s">
        <v>9972</v>
      </c>
      <c r="D207" s="41" t="s">
        <v>74</v>
      </c>
    </row>
    <row r="208" spans="1:4">
      <c r="A208" s="53">
        <v>45308</v>
      </c>
      <c r="B208" s="41" t="s">
        <v>9975</v>
      </c>
      <c r="C208" s="41" t="s">
        <v>9974</v>
      </c>
      <c r="D208" s="41" t="s">
        <v>11</v>
      </c>
    </row>
    <row r="209" spans="1:4">
      <c r="A209" s="53">
        <v>45308</v>
      </c>
      <c r="B209" s="41" t="s">
        <v>9977</v>
      </c>
      <c r="C209" s="41" t="s">
        <v>9976</v>
      </c>
      <c r="D209" s="41" t="s">
        <v>5</v>
      </c>
    </row>
    <row r="210" spans="1:4">
      <c r="A210" s="53">
        <v>45308</v>
      </c>
      <c r="B210" s="41" t="s">
        <v>9978</v>
      </c>
      <c r="C210" s="41" t="s">
        <v>8419</v>
      </c>
      <c r="D210" s="41" t="s">
        <v>345</v>
      </c>
    </row>
    <row r="211" spans="1:4">
      <c r="A211" s="53">
        <v>45310</v>
      </c>
      <c r="B211" s="41" t="s">
        <v>9980</v>
      </c>
      <c r="C211" s="41" t="s">
        <v>9979</v>
      </c>
      <c r="D211" s="41" t="s">
        <v>74</v>
      </c>
    </row>
    <row r="212" spans="1:4">
      <c r="A212" s="53">
        <v>45310</v>
      </c>
      <c r="B212" s="41" t="s">
        <v>9982</v>
      </c>
      <c r="C212" s="41" t="s">
        <v>9981</v>
      </c>
      <c r="D212" s="41" t="s">
        <v>109</v>
      </c>
    </row>
    <row r="213" spans="1:4">
      <c r="A213" s="53">
        <v>45311</v>
      </c>
      <c r="B213" s="41" t="s">
        <v>9984</v>
      </c>
      <c r="C213" s="41" t="s">
        <v>9983</v>
      </c>
      <c r="D213" s="41" t="s">
        <v>5</v>
      </c>
    </row>
    <row r="214" spans="1:4">
      <c r="A214" s="53">
        <v>45311</v>
      </c>
      <c r="B214" s="41" t="s">
        <v>9986</v>
      </c>
      <c r="C214" s="41" t="s">
        <v>9985</v>
      </c>
      <c r="D214" s="41" t="s">
        <v>8</v>
      </c>
    </row>
    <row r="215" spans="1:4">
      <c r="A215" s="53">
        <v>45311</v>
      </c>
      <c r="B215" s="41" t="s">
        <v>9988</v>
      </c>
      <c r="C215" s="41" t="s">
        <v>9987</v>
      </c>
      <c r="D215" s="41" t="s">
        <v>5</v>
      </c>
    </row>
    <row r="216" spans="1:4">
      <c r="A216" s="53">
        <v>45311</v>
      </c>
      <c r="B216" s="41" t="s">
        <v>9984</v>
      </c>
      <c r="C216" s="41" t="s">
        <v>9983</v>
      </c>
      <c r="D216" s="41" t="s">
        <v>5</v>
      </c>
    </row>
    <row r="217" spans="1:4">
      <c r="A217" s="53">
        <v>45310</v>
      </c>
      <c r="B217" s="41" t="s">
        <v>9990</v>
      </c>
      <c r="C217" s="41" t="s">
        <v>9989</v>
      </c>
      <c r="D217" s="41" t="s">
        <v>11</v>
      </c>
    </row>
    <row r="218" spans="1:4">
      <c r="A218" s="53">
        <v>45310</v>
      </c>
      <c r="B218" s="41" t="s">
        <v>9992</v>
      </c>
      <c r="C218" s="41" t="s">
        <v>9991</v>
      </c>
      <c r="D218" s="41" t="s">
        <v>37</v>
      </c>
    </row>
    <row r="219" spans="1:4">
      <c r="A219" s="53">
        <v>45310</v>
      </c>
      <c r="B219" s="41" t="s">
        <v>9994</v>
      </c>
      <c r="C219" s="41" t="s">
        <v>9993</v>
      </c>
      <c r="D219" s="41" t="s">
        <v>5</v>
      </c>
    </row>
    <row r="220" spans="1:4">
      <c r="A220" s="53">
        <v>45310</v>
      </c>
      <c r="B220" s="41" t="s">
        <v>9996</v>
      </c>
      <c r="C220" s="41" t="s">
        <v>9995</v>
      </c>
      <c r="D220" s="41" t="s">
        <v>37</v>
      </c>
    </row>
    <row r="221" spans="1:4">
      <c r="A221" s="53">
        <v>45311</v>
      </c>
      <c r="B221" s="41" t="s">
        <v>9984</v>
      </c>
      <c r="C221" s="41" t="s">
        <v>9983</v>
      </c>
      <c r="D221" s="41" t="s">
        <v>5</v>
      </c>
    </row>
    <row r="222" spans="1:4">
      <c r="A222" s="53">
        <v>45309</v>
      </c>
      <c r="B222" s="41" t="s">
        <v>9929</v>
      </c>
      <c r="C222" s="41" t="s">
        <v>9928</v>
      </c>
      <c r="D222" s="41" t="s">
        <v>164</v>
      </c>
    </row>
    <row r="223" spans="1:4">
      <c r="A223" s="53">
        <v>45309</v>
      </c>
      <c r="B223" s="41" t="s">
        <v>9998</v>
      </c>
      <c r="C223" s="41" t="s">
        <v>9997</v>
      </c>
      <c r="D223" s="41" t="s">
        <v>74</v>
      </c>
    </row>
    <row r="224" spans="1:4">
      <c r="A224" s="53">
        <v>45310</v>
      </c>
      <c r="B224" s="41" t="s">
        <v>10000</v>
      </c>
      <c r="C224" s="41" t="s">
        <v>9999</v>
      </c>
      <c r="D224" s="41" t="s">
        <v>11</v>
      </c>
    </row>
    <row r="225" spans="1:4">
      <c r="A225" s="53">
        <v>45310</v>
      </c>
      <c r="B225" s="41" t="s">
        <v>10002</v>
      </c>
      <c r="C225" s="41" t="s">
        <v>10001</v>
      </c>
      <c r="D225" s="41" t="s">
        <v>74</v>
      </c>
    </row>
    <row r="226" spans="1:4">
      <c r="A226" s="53">
        <v>45310</v>
      </c>
      <c r="B226" s="41" t="s">
        <v>10004</v>
      </c>
      <c r="C226" s="41" t="s">
        <v>10003</v>
      </c>
      <c r="D226" s="41" t="s">
        <v>74</v>
      </c>
    </row>
    <row r="227" spans="1:4">
      <c r="A227" s="62">
        <v>45310</v>
      </c>
      <c r="B227" s="26" t="s">
        <v>10006</v>
      </c>
      <c r="C227" s="26" t="s">
        <v>10005</v>
      </c>
      <c r="D227" s="26" t="s">
        <v>353</v>
      </c>
    </row>
    <row r="228" spans="1:4">
      <c r="A228" s="62">
        <v>45310</v>
      </c>
      <c r="B228" s="26" t="s">
        <v>10008</v>
      </c>
      <c r="C228" s="26" t="s">
        <v>10007</v>
      </c>
      <c r="D228" s="26" t="s">
        <v>353</v>
      </c>
    </row>
    <row r="229" spans="1:4">
      <c r="A229" s="62">
        <v>45310</v>
      </c>
      <c r="B229" s="26" t="s">
        <v>10009</v>
      </c>
      <c r="C229" s="26" t="s">
        <v>10007</v>
      </c>
      <c r="D229" s="26" t="s">
        <v>353</v>
      </c>
    </row>
    <row r="230" spans="1:4">
      <c r="A230" s="62">
        <v>45310</v>
      </c>
      <c r="B230" s="26" t="s">
        <v>10011</v>
      </c>
      <c r="C230" s="26" t="s">
        <v>10010</v>
      </c>
      <c r="D230" s="26" t="s">
        <v>353</v>
      </c>
    </row>
    <row r="231" spans="1:4">
      <c r="A231" s="62">
        <v>45311</v>
      </c>
      <c r="B231" s="26" t="s">
        <v>10013</v>
      </c>
      <c r="C231" s="26" t="s">
        <v>10012</v>
      </c>
      <c r="D231" s="26" t="s">
        <v>353</v>
      </c>
    </row>
    <row r="232" spans="1:4">
      <c r="A232" s="62">
        <v>45310</v>
      </c>
      <c r="B232" s="26" t="s">
        <v>10015</v>
      </c>
      <c r="C232" s="26" t="s">
        <v>10014</v>
      </c>
      <c r="D232" s="26" t="s">
        <v>19</v>
      </c>
    </row>
    <row r="233" spans="1:4">
      <c r="A233" s="62">
        <v>45310</v>
      </c>
      <c r="B233" s="26" t="s">
        <v>10016</v>
      </c>
      <c r="C233" s="26" t="s">
        <v>10014</v>
      </c>
      <c r="D233" s="26" t="s">
        <v>19</v>
      </c>
    </row>
    <row r="234" spans="1:4">
      <c r="A234" s="62">
        <v>45310</v>
      </c>
      <c r="B234" s="26" t="s">
        <v>10018</v>
      </c>
      <c r="C234" s="26" t="s">
        <v>10017</v>
      </c>
      <c r="D234" s="26" t="s">
        <v>109</v>
      </c>
    </row>
    <row r="235" spans="1:4">
      <c r="A235" s="62">
        <v>45310</v>
      </c>
      <c r="B235" s="26" t="s">
        <v>9903</v>
      </c>
      <c r="C235" s="26" t="s">
        <v>10019</v>
      </c>
      <c r="D235" s="26" t="s">
        <v>5</v>
      </c>
    </row>
    <row r="236" spans="1:4">
      <c r="A236" s="62">
        <v>45310</v>
      </c>
      <c r="B236" s="26" t="s">
        <v>10021</v>
      </c>
      <c r="C236" s="26" t="s">
        <v>10020</v>
      </c>
      <c r="D236" s="26" t="s">
        <v>5</v>
      </c>
    </row>
    <row r="237" spans="1:4">
      <c r="A237" s="62">
        <v>45310</v>
      </c>
      <c r="B237" s="26" t="s">
        <v>10021</v>
      </c>
      <c r="C237" s="26" t="s">
        <v>10020</v>
      </c>
      <c r="D237" s="26" t="s">
        <v>5</v>
      </c>
    </row>
    <row r="238" spans="1:4">
      <c r="A238" s="62">
        <v>45310</v>
      </c>
      <c r="B238" s="26" t="s">
        <v>10023</v>
      </c>
      <c r="C238" s="26" t="s">
        <v>10022</v>
      </c>
      <c r="D238" s="26" t="s">
        <v>5</v>
      </c>
    </row>
    <row r="239" spans="1:4">
      <c r="A239" s="62">
        <v>45304</v>
      </c>
      <c r="B239" s="26" t="s">
        <v>10025</v>
      </c>
      <c r="C239" s="26" t="s">
        <v>10024</v>
      </c>
      <c r="D239" s="26" t="s">
        <v>5</v>
      </c>
    </row>
    <row r="240" spans="1:4">
      <c r="A240" s="32">
        <v>45317</v>
      </c>
      <c r="B240" s="31" t="s">
        <v>10027</v>
      </c>
      <c r="C240" s="19" t="s">
        <v>10026</v>
      </c>
      <c r="D240" s="19" t="s">
        <v>345</v>
      </c>
    </row>
    <row r="241" spans="1:4">
      <c r="A241" s="32">
        <v>45317</v>
      </c>
      <c r="B241" s="31" t="s">
        <v>10029</v>
      </c>
      <c r="C241" s="19" t="s">
        <v>10028</v>
      </c>
      <c r="D241" s="19" t="s">
        <v>5</v>
      </c>
    </row>
    <row r="242" spans="1:4">
      <c r="A242" s="32">
        <v>45320</v>
      </c>
      <c r="B242" s="31" t="s">
        <v>10031</v>
      </c>
      <c r="C242" s="19" t="s">
        <v>10030</v>
      </c>
      <c r="D242" s="19" t="s">
        <v>11</v>
      </c>
    </row>
    <row r="243" spans="1:4">
      <c r="A243" s="32">
        <v>45322</v>
      </c>
      <c r="B243" s="31" t="s">
        <v>10033</v>
      </c>
      <c r="C243" s="19" t="s">
        <v>10032</v>
      </c>
      <c r="D243" s="19" t="s">
        <v>5</v>
      </c>
    </row>
    <row r="244" spans="1:4">
      <c r="A244" s="32">
        <v>45322</v>
      </c>
      <c r="B244" s="31" t="s">
        <v>10033</v>
      </c>
      <c r="C244" s="19" t="s">
        <v>10032</v>
      </c>
      <c r="D244" s="19" t="s">
        <v>5</v>
      </c>
    </row>
    <row r="245" spans="1:4">
      <c r="A245" s="61">
        <v>45296</v>
      </c>
      <c r="B245" s="36" t="s">
        <v>10035</v>
      </c>
      <c r="C245" s="45" t="s">
        <v>10034</v>
      </c>
      <c r="D245" s="36" t="s">
        <v>11</v>
      </c>
    </row>
    <row r="246" spans="1:4">
      <c r="A246" s="61">
        <v>45297</v>
      </c>
      <c r="B246" s="36" t="s">
        <v>10037</v>
      </c>
      <c r="C246" s="36" t="s">
        <v>10036</v>
      </c>
      <c r="D246" s="36" t="s">
        <v>141</v>
      </c>
    </row>
    <row r="247" spans="1:4">
      <c r="A247" s="61">
        <v>45300</v>
      </c>
      <c r="B247" s="36" t="s">
        <v>10039</v>
      </c>
      <c r="C247" s="36" t="s">
        <v>10038</v>
      </c>
      <c r="D247" s="36" t="s">
        <v>141</v>
      </c>
    </row>
    <row r="248" spans="1:4">
      <c r="A248" s="61">
        <v>45300</v>
      </c>
      <c r="B248" s="36" t="s">
        <v>10041</v>
      </c>
      <c r="C248" s="36" t="s">
        <v>10040</v>
      </c>
      <c r="D248" s="36" t="s">
        <v>34</v>
      </c>
    </row>
    <row r="249" spans="1:4">
      <c r="A249" s="61">
        <v>45300</v>
      </c>
      <c r="B249" s="36" t="s">
        <v>10043</v>
      </c>
      <c r="C249" s="36" t="s">
        <v>10042</v>
      </c>
      <c r="D249" s="36" t="s">
        <v>19</v>
      </c>
    </row>
    <row r="250" spans="1:4">
      <c r="A250" s="61">
        <v>45301</v>
      </c>
      <c r="B250" s="36" t="s">
        <v>10045</v>
      </c>
      <c r="C250" s="36" t="s">
        <v>10044</v>
      </c>
      <c r="D250" s="36" t="s">
        <v>164</v>
      </c>
    </row>
    <row r="251" spans="1:4">
      <c r="A251" s="61">
        <v>45301</v>
      </c>
      <c r="B251" s="36" t="s">
        <v>10047</v>
      </c>
      <c r="C251" s="36" t="s">
        <v>10046</v>
      </c>
      <c r="D251" s="36" t="s">
        <v>74</v>
      </c>
    </row>
    <row r="252" spans="1:4">
      <c r="A252" s="61">
        <v>45301</v>
      </c>
      <c r="B252" s="36" t="s">
        <v>10049</v>
      </c>
      <c r="C252" s="36" t="s">
        <v>10048</v>
      </c>
      <c r="D252" s="36" t="s">
        <v>24</v>
      </c>
    </row>
    <row r="253" spans="1:4">
      <c r="A253" s="61">
        <v>45301</v>
      </c>
      <c r="B253" s="36" t="s">
        <v>10051</v>
      </c>
      <c r="C253" s="36" t="s">
        <v>10050</v>
      </c>
      <c r="D253" s="36" t="s">
        <v>24</v>
      </c>
    </row>
    <row r="254" spans="1:4">
      <c r="A254" s="61">
        <v>45302</v>
      </c>
      <c r="B254" s="36" t="s">
        <v>10053</v>
      </c>
      <c r="C254" s="36" t="s">
        <v>10052</v>
      </c>
      <c r="D254" s="36" t="s">
        <v>5</v>
      </c>
    </row>
    <row r="255" spans="1:4">
      <c r="A255" s="61">
        <v>45302</v>
      </c>
      <c r="B255" s="36" t="s">
        <v>10055</v>
      </c>
      <c r="C255" s="36" t="s">
        <v>10054</v>
      </c>
      <c r="D255" s="36" t="s">
        <v>5</v>
      </c>
    </row>
    <row r="256" spans="1:4">
      <c r="A256" s="61">
        <v>45307</v>
      </c>
      <c r="B256" s="36" t="s">
        <v>10057</v>
      </c>
      <c r="C256" s="36" t="s">
        <v>10056</v>
      </c>
      <c r="D256" s="36" t="s">
        <v>5</v>
      </c>
    </row>
    <row r="257" spans="1:4">
      <c r="A257" s="61">
        <v>45307</v>
      </c>
      <c r="B257" s="36" t="s">
        <v>10059</v>
      </c>
      <c r="C257" s="36" t="s">
        <v>10058</v>
      </c>
      <c r="D257" s="36" t="s">
        <v>5</v>
      </c>
    </row>
    <row r="258" spans="1:4">
      <c r="A258" s="61">
        <v>45308</v>
      </c>
      <c r="B258" s="36" t="s">
        <v>10061</v>
      </c>
      <c r="C258" s="36" t="s">
        <v>10060</v>
      </c>
      <c r="D258" s="36" t="s">
        <v>11</v>
      </c>
    </row>
    <row r="259" spans="1:4">
      <c r="A259" s="61">
        <v>45308</v>
      </c>
      <c r="B259" s="36" t="s">
        <v>10062</v>
      </c>
      <c r="C259" s="36" t="s">
        <v>10060</v>
      </c>
      <c r="D259" s="36" t="s">
        <v>11</v>
      </c>
    </row>
    <row r="260" spans="1:4">
      <c r="A260" s="61">
        <v>45308</v>
      </c>
      <c r="B260" s="36" t="s">
        <v>10064</v>
      </c>
      <c r="C260" s="36" t="s">
        <v>10063</v>
      </c>
      <c r="D260" s="36" t="s">
        <v>5</v>
      </c>
    </row>
    <row r="261" spans="1:4">
      <c r="A261" s="61">
        <v>45308</v>
      </c>
      <c r="B261" s="36" t="s">
        <v>10064</v>
      </c>
      <c r="C261" s="36" t="s">
        <v>10063</v>
      </c>
      <c r="D261" s="36" t="s">
        <v>5</v>
      </c>
    </row>
    <row r="262" spans="1:4">
      <c r="A262" s="61">
        <v>45308</v>
      </c>
      <c r="B262" s="36" t="s">
        <v>10064</v>
      </c>
      <c r="C262" s="36" t="s">
        <v>10065</v>
      </c>
      <c r="D262" s="36" t="s">
        <v>5</v>
      </c>
    </row>
    <row r="263" spans="1:4">
      <c r="A263" s="61">
        <v>45308</v>
      </c>
      <c r="B263" s="36" t="s">
        <v>10067</v>
      </c>
      <c r="C263" s="36" t="s">
        <v>10066</v>
      </c>
      <c r="D263" s="36" t="s">
        <v>5</v>
      </c>
    </row>
    <row r="264" spans="1:4">
      <c r="A264" s="61">
        <v>45308</v>
      </c>
      <c r="B264" s="36" t="s">
        <v>10069</v>
      </c>
      <c r="C264" s="36" t="s">
        <v>10068</v>
      </c>
      <c r="D264" s="36" t="s">
        <v>5</v>
      </c>
    </row>
    <row r="265" spans="1:4">
      <c r="A265" s="61">
        <v>45309</v>
      </c>
      <c r="B265" s="36" t="s">
        <v>10071</v>
      </c>
      <c r="C265" s="36" t="s">
        <v>10070</v>
      </c>
      <c r="D265" s="36" t="s">
        <v>5</v>
      </c>
    </row>
    <row r="266" spans="1:4">
      <c r="A266" s="61">
        <v>45310</v>
      </c>
      <c r="B266" s="36" t="s">
        <v>10073</v>
      </c>
      <c r="C266" s="45" t="s">
        <v>10072</v>
      </c>
      <c r="D266" s="36" t="s">
        <v>5</v>
      </c>
    </row>
    <row r="267" spans="1:4">
      <c r="A267" s="61">
        <v>45310</v>
      </c>
      <c r="B267" s="36" t="s">
        <v>10073</v>
      </c>
      <c r="C267" s="45" t="s">
        <v>10072</v>
      </c>
      <c r="D267" s="36" t="s">
        <v>5</v>
      </c>
    </row>
    <row r="268" spans="1:4">
      <c r="A268" s="61">
        <v>45310</v>
      </c>
      <c r="B268" s="36" t="s">
        <v>10073</v>
      </c>
      <c r="C268" s="45" t="s">
        <v>10072</v>
      </c>
      <c r="D268" s="36" t="s">
        <v>5</v>
      </c>
    </row>
    <row r="269" spans="1:4">
      <c r="A269" s="61">
        <v>45310</v>
      </c>
      <c r="B269" s="36" t="s">
        <v>10075</v>
      </c>
      <c r="C269" s="36" t="s">
        <v>10074</v>
      </c>
      <c r="D269" s="36" t="s">
        <v>5</v>
      </c>
    </row>
    <row r="270" spans="1:4">
      <c r="A270" s="61">
        <v>45310</v>
      </c>
      <c r="B270" s="36" t="s">
        <v>10077</v>
      </c>
      <c r="C270" s="45" t="s">
        <v>10076</v>
      </c>
      <c r="D270" s="36" t="s">
        <v>5</v>
      </c>
    </row>
    <row r="271" spans="1:4">
      <c r="A271" s="61">
        <v>45310</v>
      </c>
      <c r="B271" s="36" t="s">
        <v>10079</v>
      </c>
      <c r="C271" s="45" t="s">
        <v>10078</v>
      </c>
      <c r="D271" s="36" t="s">
        <v>5</v>
      </c>
    </row>
    <row r="272" spans="1:4">
      <c r="A272" s="61">
        <v>45310</v>
      </c>
      <c r="B272" s="36" t="s">
        <v>10081</v>
      </c>
      <c r="C272" s="36" t="s">
        <v>10080</v>
      </c>
      <c r="D272" s="36" t="s">
        <v>5</v>
      </c>
    </row>
    <row r="273" spans="1:4">
      <c r="A273" s="61">
        <v>45310</v>
      </c>
      <c r="B273" s="36" t="s">
        <v>10075</v>
      </c>
      <c r="C273" s="36" t="s">
        <v>10074</v>
      </c>
      <c r="D273" s="36" t="s">
        <v>5</v>
      </c>
    </row>
    <row r="274" spans="1:4">
      <c r="A274" s="61">
        <v>45310</v>
      </c>
      <c r="B274" s="36" t="s">
        <v>10083</v>
      </c>
      <c r="C274" s="36" t="s">
        <v>10082</v>
      </c>
      <c r="D274" s="36" t="s">
        <v>24</v>
      </c>
    </row>
    <row r="275" spans="1:4">
      <c r="A275" s="61">
        <v>45310</v>
      </c>
      <c r="B275" s="36" t="s">
        <v>10085</v>
      </c>
      <c r="C275" s="36" t="s">
        <v>10084</v>
      </c>
      <c r="D275" s="36" t="s">
        <v>345</v>
      </c>
    </row>
    <row r="276" spans="1:4">
      <c r="A276" s="61">
        <v>45311</v>
      </c>
      <c r="B276" s="36" t="s">
        <v>10087</v>
      </c>
      <c r="C276" s="36" t="s">
        <v>10086</v>
      </c>
      <c r="D276" s="36" t="s">
        <v>5</v>
      </c>
    </row>
    <row r="277" spans="1:4">
      <c r="A277" s="61">
        <v>45311</v>
      </c>
      <c r="B277" s="36" t="s">
        <v>10087</v>
      </c>
      <c r="C277" s="36" t="s">
        <v>10086</v>
      </c>
      <c r="D277" s="36" t="s">
        <v>5</v>
      </c>
    </row>
    <row r="278" spans="1:4">
      <c r="A278" s="61">
        <v>45311</v>
      </c>
      <c r="B278" s="36" t="s">
        <v>10089</v>
      </c>
      <c r="C278" s="36" t="s">
        <v>10088</v>
      </c>
      <c r="D278" s="36" t="s">
        <v>34</v>
      </c>
    </row>
    <row r="279" spans="1:4">
      <c r="A279" s="61">
        <v>45312</v>
      </c>
      <c r="B279" s="36" t="s">
        <v>10091</v>
      </c>
      <c r="C279" s="36" t="s">
        <v>10090</v>
      </c>
      <c r="D279" s="36" t="s">
        <v>74</v>
      </c>
    </row>
    <row r="280" spans="1:4">
      <c r="A280" s="61">
        <v>45312</v>
      </c>
      <c r="B280" s="36" t="s">
        <v>10093</v>
      </c>
      <c r="C280" s="36" t="s">
        <v>10092</v>
      </c>
      <c r="D280" s="36" t="s">
        <v>16</v>
      </c>
    </row>
    <row r="281" spans="1:4">
      <c r="A281" s="61">
        <v>45314</v>
      </c>
      <c r="B281" s="36" t="s">
        <v>10095</v>
      </c>
      <c r="C281" s="36" t="s">
        <v>10094</v>
      </c>
      <c r="D281" s="36" t="s">
        <v>34</v>
      </c>
    </row>
    <row r="282" spans="1:4">
      <c r="A282" s="70">
        <v>45295</v>
      </c>
      <c r="B282" s="25" t="s">
        <v>10097</v>
      </c>
      <c r="C282" s="25" t="s">
        <v>10096</v>
      </c>
      <c r="D282" s="25" t="s">
        <v>8</v>
      </c>
    </row>
    <row r="283" spans="1:4">
      <c r="A283" s="70">
        <v>45296</v>
      </c>
      <c r="B283" s="25" t="s">
        <v>10099</v>
      </c>
      <c r="C283" s="25" t="s">
        <v>10098</v>
      </c>
      <c r="D283" s="25" t="s">
        <v>11</v>
      </c>
    </row>
    <row r="284" spans="1:4">
      <c r="A284" s="58">
        <v>45412</v>
      </c>
      <c r="B284" s="25" t="s">
        <v>10101</v>
      </c>
      <c r="C284" s="25" t="s">
        <v>10100</v>
      </c>
      <c r="D284" s="25" t="s">
        <v>5</v>
      </c>
    </row>
    <row r="285" spans="1:4">
      <c r="A285" s="70">
        <v>45316</v>
      </c>
      <c r="B285" s="25" t="s">
        <v>10103</v>
      </c>
      <c r="C285" s="25" t="s">
        <v>10102</v>
      </c>
      <c r="D285" s="25" t="s">
        <v>34</v>
      </c>
    </row>
    <row r="286" spans="1:4">
      <c r="A286" s="70">
        <v>45313</v>
      </c>
      <c r="B286" s="25" t="s">
        <v>10105</v>
      </c>
      <c r="C286" s="25" t="s">
        <v>10104</v>
      </c>
      <c r="D286" s="25" t="s">
        <v>164</v>
      </c>
    </row>
    <row r="287" spans="1:4">
      <c r="A287" s="58">
        <v>45426</v>
      </c>
      <c r="B287" s="34" t="s">
        <v>10107</v>
      </c>
      <c r="C287" s="25" t="s">
        <v>10106</v>
      </c>
      <c r="D287" s="25" t="s">
        <v>11</v>
      </c>
    </row>
    <row r="288" spans="1:4">
      <c r="A288" s="58">
        <v>45435</v>
      </c>
      <c r="B288" s="34" t="s">
        <v>10109</v>
      </c>
      <c r="C288" s="25" t="s">
        <v>10108</v>
      </c>
      <c r="D288" s="25" t="s">
        <v>29</v>
      </c>
    </row>
    <row r="289" spans="1:4">
      <c r="A289" s="58">
        <v>45436</v>
      </c>
      <c r="B289" s="34" t="s">
        <v>10111</v>
      </c>
      <c r="C289" s="25" t="s">
        <v>10110</v>
      </c>
      <c r="D289" s="25" t="s">
        <v>24</v>
      </c>
    </row>
    <row r="290" spans="1:4" ht="15.75">
      <c r="A290" s="71">
        <v>45310</v>
      </c>
      <c r="B290" s="36" t="s">
        <v>10113</v>
      </c>
      <c r="C290" s="54" t="s">
        <v>10112</v>
      </c>
      <c r="D290" s="36" t="s">
        <v>109</v>
      </c>
    </row>
    <row r="291" spans="1:4">
      <c r="A291" s="61">
        <v>45303</v>
      </c>
      <c r="B291" s="36" t="s">
        <v>10115</v>
      </c>
      <c r="C291" s="36" t="s">
        <v>10114</v>
      </c>
      <c r="D291" s="36" t="s">
        <v>109</v>
      </c>
    </row>
    <row r="292" spans="1:4">
      <c r="A292" s="61">
        <v>45303</v>
      </c>
      <c r="B292" s="36" t="s">
        <v>10117</v>
      </c>
      <c r="C292" s="36" t="s">
        <v>10116</v>
      </c>
      <c r="D292" s="36" t="s">
        <v>109</v>
      </c>
    </row>
    <row r="293" spans="1:4">
      <c r="A293" s="61">
        <v>45303</v>
      </c>
      <c r="B293" s="36" t="s">
        <v>10119</v>
      </c>
      <c r="C293" s="36" t="s">
        <v>10118</v>
      </c>
      <c r="D293" s="36" t="s">
        <v>29</v>
      </c>
    </row>
    <row r="294" spans="1:4">
      <c r="A294" s="61">
        <v>45304</v>
      </c>
      <c r="B294" s="36" t="s">
        <v>10121</v>
      </c>
      <c r="C294" s="36" t="s">
        <v>10120</v>
      </c>
      <c r="D294" s="36" t="s">
        <v>109</v>
      </c>
    </row>
    <row r="295" spans="1:4">
      <c r="A295" s="61">
        <v>45304</v>
      </c>
      <c r="B295" s="36" t="s">
        <v>10121</v>
      </c>
      <c r="C295" s="36" t="s">
        <v>10120</v>
      </c>
      <c r="D295" s="36" t="s">
        <v>109</v>
      </c>
    </row>
    <row r="296" spans="1:4">
      <c r="A296" s="61">
        <v>45306</v>
      </c>
      <c r="B296" s="36" t="s">
        <v>10123</v>
      </c>
      <c r="C296" s="36" t="s">
        <v>10122</v>
      </c>
      <c r="D296" s="36" t="s">
        <v>216</v>
      </c>
    </row>
    <row r="297" spans="1:4">
      <c r="A297" s="61">
        <v>45306</v>
      </c>
      <c r="B297" s="36" t="s">
        <v>10125</v>
      </c>
      <c r="C297" s="36" t="s">
        <v>10124</v>
      </c>
      <c r="D297" s="36" t="s">
        <v>216</v>
      </c>
    </row>
    <row r="298" spans="1:4">
      <c r="A298" s="61">
        <v>45306</v>
      </c>
      <c r="B298" s="36" t="s">
        <v>10127</v>
      </c>
      <c r="C298" s="36" t="s">
        <v>10126</v>
      </c>
      <c r="D298" s="36" t="s">
        <v>216</v>
      </c>
    </row>
    <row r="299" spans="1:4">
      <c r="A299" s="61">
        <v>45306</v>
      </c>
      <c r="B299" s="36" t="s">
        <v>10129</v>
      </c>
      <c r="C299" s="36" t="s">
        <v>10128</v>
      </c>
      <c r="D299" s="36" t="s">
        <v>216</v>
      </c>
    </row>
    <row r="300" spans="1:4">
      <c r="A300" s="61">
        <v>45307</v>
      </c>
      <c r="B300" s="36" t="s">
        <v>10131</v>
      </c>
      <c r="C300" s="36" t="s">
        <v>10130</v>
      </c>
      <c r="D300" s="36" t="s">
        <v>216</v>
      </c>
    </row>
    <row r="301" spans="1:4">
      <c r="A301" s="61">
        <v>45307</v>
      </c>
      <c r="B301" s="36" t="s">
        <v>10133</v>
      </c>
      <c r="C301" s="36" t="s">
        <v>10132</v>
      </c>
      <c r="D301" s="36" t="s">
        <v>216</v>
      </c>
    </row>
    <row r="302" spans="1:4">
      <c r="A302" s="61">
        <v>45307</v>
      </c>
      <c r="B302" s="36" t="s">
        <v>10135</v>
      </c>
      <c r="C302" s="36" t="s">
        <v>10134</v>
      </c>
      <c r="D302" s="36" t="s">
        <v>216</v>
      </c>
    </row>
    <row r="303" spans="1:4">
      <c r="A303" s="61">
        <v>45307</v>
      </c>
      <c r="B303" s="36" t="s">
        <v>10137</v>
      </c>
      <c r="C303" s="36" t="s">
        <v>10136</v>
      </c>
      <c r="D303" s="36" t="s">
        <v>216</v>
      </c>
    </row>
    <row r="304" spans="1:4">
      <c r="A304" s="61">
        <v>45307</v>
      </c>
      <c r="B304" s="36" t="s">
        <v>10139</v>
      </c>
      <c r="C304" s="36" t="s">
        <v>10138</v>
      </c>
      <c r="D304" s="36" t="s">
        <v>216</v>
      </c>
    </row>
    <row r="305" spans="1:4">
      <c r="A305" s="61">
        <v>45308</v>
      </c>
      <c r="B305" s="36" t="s">
        <v>10141</v>
      </c>
      <c r="C305" s="36" t="s">
        <v>10140</v>
      </c>
      <c r="D305" s="36" t="s">
        <v>216</v>
      </c>
    </row>
    <row r="306" spans="1:4">
      <c r="A306" s="61">
        <v>45308</v>
      </c>
      <c r="B306" s="36" t="s">
        <v>10143</v>
      </c>
      <c r="C306" s="36" t="s">
        <v>10142</v>
      </c>
      <c r="D306" s="36" t="s">
        <v>216</v>
      </c>
    </row>
    <row r="307" spans="1:4">
      <c r="A307" s="61">
        <v>45308</v>
      </c>
      <c r="B307" s="36" t="s">
        <v>10145</v>
      </c>
      <c r="C307" s="36" t="s">
        <v>10144</v>
      </c>
      <c r="D307" s="36" t="s">
        <v>216</v>
      </c>
    </row>
    <row r="308" spans="1:4">
      <c r="A308" s="61">
        <v>45308</v>
      </c>
      <c r="B308" s="36" t="s">
        <v>10147</v>
      </c>
      <c r="C308" s="36" t="s">
        <v>10146</v>
      </c>
      <c r="D308" s="36" t="s">
        <v>216</v>
      </c>
    </row>
    <row r="309" spans="1:4">
      <c r="A309" s="61">
        <v>45309</v>
      </c>
      <c r="B309" s="36" t="s">
        <v>10149</v>
      </c>
      <c r="C309" s="36" t="s">
        <v>10148</v>
      </c>
      <c r="D309" s="36" t="s">
        <v>216</v>
      </c>
    </row>
    <row r="310" spans="1:4">
      <c r="A310" s="61">
        <v>45309</v>
      </c>
      <c r="B310" s="36" t="s">
        <v>10151</v>
      </c>
      <c r="C310" s="36" t="s">
        <v>10150</v>
      </c>
      <c r="D310" s="36" t="s">
        <v>216</v>
      </c>
    </row>
    <row r="311" spans="1:4">
      <c r="A311" s="61">
        <v>45309</v>
      </c>
      <c r="B311" s="36" t="s">
        <v>10153</v>
      </c>
      <c r="C311" s="36" t="s">
        <v>10152</v>
      </c>
      <c r="D311" s="36" t="s">
        <v>216</v>
      </c>
    </row>
    <row r="312" spans="1:4">
      <c r="A312" s="61">
        <v>45309</v>
      </c>
      <c r="B312" s="36" t="s">
        <v>10155</v>
      </c>
      <c r="C312" s="36" t="s">
        <v>10154</v>
      </c>
      <c r="D312" s="36" t="s">
        <v>216</v>
      </c>
    </row>
    <row r="313" spans="1:4">
      <c r="A313" s="61">
        <v>45310</v>
      </c>
      <c r="B313" s="36" t="s">
        <v>10157</v>
      </c>
      <c r="C313" s="36" t="s">
        <v>10156</v>
      </c>
      <c r="D313" s="36" t="s">
        <v>5</v>
      </c>
    </row>
    <row r="314" spans="1:4">
      <c r="A314" s="61">
        <v>45310</v>
      </c>
      <c r="B314" s="36" t="s">
        <v>10159</v>
      </c>
      <c r="C314" s="36" t="s">
        <v>10158</v>
      </c>
      <c r="D314" s="36" t="s">
        <v>5</v>
      </c>
    </row>
    <row r="315" spans="1:4">
      <c r="A315" s="61">
        <v>45313</v>
      </c>
      <c r="B315" s="36" t="s">
        <v>10161</v>
      </c>
      <c r="C315" s="36" t="s">
        <v>10160</v>
      </c>
      <c r="D315" s="36" t="s">
        <v>5</v>
      </c>
    </row>
    <row r="316" spans="1:4">
      <c r="A316" s="61">
        <v>45313</v>
      </c>
      <c r="B316" s="36" t="s">
        <v>10163</v>
      </c>
      <c r="C316" s="36" t="s">
        <v>10162</v>
      </c>
      <c r="D316" s="36" t="s">
        <v>216</v>
      </c>
    </row>
    <row r="317" spans="1:4">
      <c r="A317" s="61">
        <v>45313</v>
      </c>
      <c r="B317" s="36" t="s">
        <v>10165</v>
      </c>
      <c r="C317" s="36" t="s">
        <v>10164</v>
      </c>
      <c r="D317" s="36" t="s">
        <v>216</v>
      </c>
    </row>
    <row r="318" spans="1:4">
      <c r="A318" s="61">
        <v>45313</v>
      </c>
      <c r="B318" s="36" t="s">
        <v>10167</v>
      </c>
      <c r="C318" s="36" t="s">
        <v>10166</v>
      </c>
      <c r="D318" s="36" t="s">
        <v>216</v>
      </c>
    </row>
    <row r="319" spans="1:4">
      <c r="A319" s="61">
        <v>45292</v>
      </c>
      <c r="B319" s="36" t="s">
        <v>10169</v>
      </c>
      <c r="C319" s="36" t="s">
        <v>10168</v>
      </c>
      <c r="D319" s="36" t="s">
        <v>5</v>
      </c>
    </row>
    <row r="320" spans="1:4">
      <c r="A320" s="61">
        <v>45293</v>
      </c>
      <c r="B320" s="36" t="s">
        <v>10171</v>
      </c>
      <c r="C320" s="36" t="s">
        <v>10170</v>
      </c>
      <c r="D320" s="36" t="s">
        <v>24</v>
      </c>
    </row>
    <row r="321" spans="1:4">
      <c r="A321" s="61">
        <v>45293</v>
      </c>
      <c r="B321" s="36" t="s">
        <v>10173</v>
      </c>
      <c r="C321" s="36" t="s">
        <v>10172</v>
      </c>
      <c r="D321" s="36" t="s">
        <v>345</v>
      </c>
    </row>
    <row r="322" spans="1:4">
      <c r="A322" s="61">
        <v>45293</v>
      </c>
      <c r="B322" s="36" t="s">
        <v>10175</v>
      </c>
      <c r="C322" s="36" t="s">
        <v>10174</v>
      </c>
      <c r="D322" s="36" t="s">
        <v>345</v>
      </c>
    </row>
    <row r="323" spans="1:4">
      <c r="A323" s="61">
        <v>45294</v>
      </c>
      <c r="B323" s="36" t="s">
        <v>10177</v>
      </c>
      <c r="C323" s="36" t="s">
        <v>10176</v>
      </c>
      <c r="D323" s="36" t="s">
        <v>109</v>
      </c>
    </row>
    <row r="324" spans="1:4">
      <c r="A324" s="61">
        <v>45294</v>
      </c>
      <c r="B324" s="36" t="s">
        <v>10179</v>
      </c>
      <c r="C324" s="36" t="s">
        <v>10178</v>
      </c>
      <c r="D324" s="36" t="s">
        <v>109</v>
      </c>
    </row>
    <row r="325" spans="1:4">
      <c r="A325" s="61">
        <v>45295</v>
      </c>
      <c r="B325" s="36" t="s">
        <v>10181</v>
      </c>
      <c r="C325" s="36" t="s">
        <v>10180</v>
      </c>
      <c r="D325" s="36" t="s">
        <v>345</v>
      </c>
    </row>
    <row r="326" spans="1:4">
      <c r="A326" s="61">
        <v>45295</v>
      </c>
      <c r="B326" s="36" t="s">
        <v>10183</v>
      </c>
      <c r="C326" s="36" t="s">
        <v>10182</v>
      </c>
      <c r="D326" s="36" t="s">
        <v>5</v>
      </c>
    </row>
    <row r="327" spans="1:4">
      <c r="A327" s="61">
        <v>45295</v>
      </c>
      <c r="B327" s="36" t="s">
        <v>10185</v>
      </c>
      <c r="C327" s="36" t="s">
        <v>10184</v>
      </c>
      <c r="D327" s="36" t="s">
        <v>109</v>
      </c>
    </row>
    <row r="328" spans="1:4">
      <c r="A328" s="61">
        <v>45295</v>
      </c>
      <c r="B328" s="36" t="s">
        <v>10183</v>
      </c>
      <c r="C328" s="36" t="s">
        <v>10182</v>
      </c>
      <c r="D328" s="36" t="s">
        <v>5</v>
      </c>
    </row>
    <row r="329" spans="1:4">
      <c r="A329" s="61">
        <v>45296</v>
      </c>
      <c r="B329" s="36" t="s">
        <v>10187</v>
      </c>
      <c r="C329" s="36" t="s">
        <v>10186</v>
      </c>
      <c r="D329" s="36" t="s">
        <v>510</v>
      </c>
    </row>
    <row r="330" spans="1:4">
      <c r="A330" s="61">
        <v>45296</v>
      </c>
      <c r="B330" s="36" t="s">
        <v>10189</v>
      </c>
      <c r="C330" s="36" t="s">
        <v>10188</v>
      </c>
      <c r="D330" s="36" t="s">
        <v>11</v>
      </c>
    </row>
    <row r="331" spans="1:4">
      <c r="A331" s="61">
        <v>45296</v>
      </c>
      <c r="B331" s="36" t="s">
        <v>10191</v>
      </c>
      <c r="C331" s="36" t="s">
        <v>10190</v>
      </c>
      <c r="D331" s="36" t="s">
        <v>11</v>
      </c>
    </row>
    <row r="332" spans="1:4">
      <c r="A332" s="61">
        <v>45296</v>
      </c>
      <c r="B332" s="36" t="s">
        <v>10193</v>
      </c>
      <c r="C332" s="36" t="s">
        <v>10192</v>
      </c>
      <c r="D332" s="36" t="s">
        <v>510</v>
      </c>
    </row>
    <row r="333" spans="1:4">
      <c r="A333" s="61">
        <v>45296</v>
      </c>
      <c r="B333" s="36" t="s">
        <v>10195</v>
      </c>
      <c r="C333" s="36" t="s">
        <v>10194</v>
      </c>
      <c r="D333" s="36" t="s">
        <v>74</v>
      </c>
    </row>
    <row r="334" spans="1:4">
      <c r="A334" s="61">
        <v>45296</v>
      </c>
      <c r="B334" s="36" t="s">
        <v>10197</v>
      </c>
      <c r="C334" s="36" t="s">
        <v>10196</v>
      </c>
      <c r="D334" s="36" t="s">
        <v>29</v>
      </c>
    </row>
    <row r="335" spans="1:4">
      <c r="A335" s="61">
        <v>45300</v>
      </c>
      <c r="B335" s="36" t="s">
        <v>10199</v>
      </c>
      <c r="C335" s="36" t="s">
        <v>10198</v>
      </c>
      <c r="D335" s="36" t="s">
        <v>345</v>
      </c>
    </row>
    <row r="336" spans="1:4">
      <c r="A336" s="61">
        <v>45301</v>
      </c>
      <c r="B336" s="36" t="s">
        <v>10200</v>
      </c>
      <c r="C336" s="36" t="s">
        <v>7192</v>
      </c>
      <c r="D336" s="36" t="s">
        <v>109</v>
      </c>
    </row>
    <row r="337" spans="1:4">
      <c r="A337" s="61">
        <v>45302</v>
      </c>
      <c r="B337" s="36" t="s">
        <v>10202</v>
      </c>
      <c r="C337" s="36" t="s">
        <v>10201</v>
      </c>
      <c r="D337" s="36" t="s">
        <v>11</v>
      </c>
    </row>
    <row r="338" spans="1:4">
      <c r="A338" s="61">
        <v>45302</v>
      </c>
      <c r="B338" s="36" t="s">
        <v>10202</v>
      </c>
      <c r="C338" s="36" t="s">
        <v>10201</v>
      </c>
      <c r="D338" s="36" t="s">
        <v>11</v>
      </c>
    </row>
    <row r="339" spans="1:4">
      <c r="A339" s="61">
        <v>45302</v>
      </c>
      <c r="B339" s="36" t="s">
        <v>10204</v>
      </c>
      <c r="C339" s="36" t="s">
        <v>10203</v>
      </c>
      <c r="D339" s="36" t="s">
        <v>5</v>
      </c>
    </row>
    <row r="340" spans="1:4">
      <c r="A340" s="61">
        <v>45302</v>
      </c>
      <c r="B340" s="36" t="s">
        <v>10206</v>
      </c>
      <c r="C340" s="36" t="s">
        <v>10205</v>
      </c>
      <c r="D340" s="36" t="s">
        <v>109</v>
      </c>
    </row>
    <row r="341" spans="1:4">
      <c r="A341" s="61">
        <v>45302</v>
      </c>
      <c r="B341" s="36" t="s">
        <v>10208</v>
      </c>
      <c r="C341" s="36" t="s">
        <v>10207</v>
      </c>
      <c r="D341" s="36" t="s">
        <v>5</v>
      </c>
    </row>
    <row r="342" spans="1:4">
      <c r="A342" s="61">
        <v>45302</v>
      </c>
      <c r="B342" s="36" t="s">
        <v>10210</v>
      </c>
      <c r="C342" s="36" t="s">
        <v>10209</v>
      </c>
      <c r="D342" s="36" t="s">
        <v>5</v>
      </c>
    </row>
    <row r="343" spans="1:4">
      <c r="A343" s="61">
        <v>45302</v>
      </c>
      <c r="B343" s="36" t="s">
        <v>10212</v>
      </c>
      <c r="C343" s="36" t="s">
        <v>10211</v>
      </c>
      <c r="D343" s="36" t="s">
        <v>16</v>
      </c>
    </row>
    <row r="344" spans="1:4">
      <c r="A344" s="61">
        <v>45302</v>
      </c>
      <c r="B344" s="36" t="s">
        <v>10214</v>
      </c>
      <c r="C344" s="36" t="s">
        <v>10213</v>
      </c>
      <c r="D344" s="36" t="s">
        <v>5</v>
      </c>
    </row>
    <row r="345" spans="1:4">
      <c r="A345" s="61">
        <v>45302</v>
      </c>
      <c r="B345" s="36" t="s">
        <v>10212</v>
      </c>
      <c r="C345" s="36" t="s">
        <v>10211</v>
      </c>
      <c r="D345" s="36" t="s">
        <v>16</v>
      </c>
    </row>
    <row r="346" spans="1:4">
      <c r="A346" s="61">
        <v>45302</v>
      </c>
      <c r="B346" s="36" t="s">
        <v>10216</v>
      </c>
      <c r="C346" s="36" t="s">
        <v>10215</v>
      </c>
      <c r="D346" s="36" t="s">
        <v>510</v>
      </c>
    </row>
    <row r="347" spans="1:4">
      <c r="A347" s="61">
        <v>45303</v>
      </c>
      <c r="B347" s="36" t="s">
        <v>10218</v>
      </c>
      <c r="C347" s="36" t="s">
        <v>10217</v>
      </c>
      <c r="D347" s="36" t="s">
        <v>16</v>
      </c>
    </row>
    <row r="348" spans="1:4">
      <c r="A348" s="61">
        <v>45303</v>
      </c>
      <c r="B348" s="36" t="s">
        <v>10219</v>
      </c>
      <c r="C348" s="36" t="s">
        <v>1249</v>
      </c>
      <c r="D348" s="36" t="s">
        <v>74</v>
      </c>
    </row>
    <row r="349" spans="1:4">
      <c r="A349" s="61">
        <v>45303</v>
      </c>
      <c r="B349" s="36" t="s">
        <v>10221</v>
      </c>
      <c r="C349" s="36" t="s">
        <v>10220</v>
      </c>
      <c r="D349" s="36" t="s">
        <v>5</v>
      </c>
    </row>
    <row r="350" spans="1:4">
      <c r="A350" s="61">
        <v>45303</v>
      </c>
      <c r="B350" s="36" t="s">
        <v>10223</v>
      </c>
      <c r="C350" s="36" t="s">
        <v>10222</v>
      </c>
      <c r="D350" s="36" t="s">
        <v>5</v>
      </c>
    </row>
    <row r="351" spans="1:4">
      <c r="A351" s="61">
        <v>45306</v>
      </c>
      <c r="B351" s="36" t="s">
        <v>10225</v>
      </c>
      <c r="C351" s="36" t="s">
        <v>10224</v>
      </c>
      <c r="D351" s="36" t="s">
        <v>74</v>
      </c>
    </row>
    <row r="352" spans="1:4">
      <c r="A352" s="61">
        <v>45308</v>
      </c>
      <c r="B352" s="36" t="s">
        <v>10227</v>
      </c>
      <c r="C352" s="36" t="s">
        <v>10226</v>
      </c>
      <c r="D352" s="36" t="s">
        <v>74</v>
      </c>
    </row>
    <row r="353" spans="1:4">
      <c r="A353" s="61">
        <v>45308</v>
      </c>
      <c r="B353" s="36" t="s">
        <v>10229</v>
      </c>
      <c r="C353" s="36" t="s">
        <v>10228</v>
      </c>
      <c r="D353" s="36" t="s">
        <v>29</v>
      </c>
    </row>
    <row r="354" spans="1:4">
      <c r="A354" s="61">
        <v>45308</v>
      </c>
      <c r="B354" s="36" t="s">
        <v>10231</v>
      </c>
      <c r="C354" s="36" t="s">
        <v>10230</v>
      </c>
      <c r="D354" s="36" t="s">
        <v>74</v>
      </c>
    </row>
    <row r="355" spans="1:4">
      <c r="A355" s="61">
        <v>45308</v>
      </c>
      <c r="B355" s="36" t="s">
        <v>10233</v>
      </c>
      <c r="C355" s="36" t="s">
        <v>10232</v>
      </c>
      <c r="D355" s="36" t="s">
        <v>29</v>
      </c>
    </row>
    <row r="356" spans="1:4">
      <c r="A356" s="61">
        <v>45309</v>
      </c>
      <c r="B356" s="36" t="s">
        <v>10235</v>
      </c>
      <c r="C356" s="36" t="s">
        <v>10234</v>
      </c>
      <c r="D356" s="36" t="s">
        <v>5</v>
      </c>
    </row>
    <row r="357" spans="1:4">
      <c r="A357" s="61">
        <v>45309</v>
      </c>
      <c r="B357" s="36" t="s">
        <v>10237</v>
      </c>
      <c r="C357" s="36" t="s">
        <v>10236</v>
      </c>
      <c r="D357" s="36" t="s">
        <v>109</v>
      </c>
    </row>
    <row r="358" spans="1:4">
      <c r="A358" s="61">
        <v>45309</v>
      </c>
      <c r="B358" s="36" t="s">
        <v>10239</v>
      </c>
      <c r="C358" s="36" t="s">
        <v>10238</v>
      </c>
      <c r="D358" s="36" t="s">
        <v>109</v>
      </c>
    </row>
    <row r="359" spans="1:4">
      <c r="A359" s="61">
        <v>45310</v>
      </c>
      <c r="B359" s="36" t="s">
        <v>10241</v>
      </c>
      <c r="C359" s="36" t="s">
        <v>10240</v>
      </c>
      <c r="D359" s="36" t="s">
        <v>74</v>
      </c>
    </row>
    <row r="360" spans="1:4">
      <c r="A360" s="61">
        <v>45310</v>
      </c>
      <c r="B360" s="36" t="s">
        <v>10243</v>
      </c>
      <c r="C360" s="36" t="s">
        <v>10242</v>
      </c>
      <c r="D360" s="36" t="s">
        <v>74</v>
      </c>
    </row>
    <row r="361" spans="1:4">
      <c r="A361" s="61">
        <v>45310</v>
      </c>
      <c r="B361" s="36" t="s">
        <v>10245</v>
      </c>
      <c r="C361" s="36" t="s">
        <v>10244</v>
      </c>
      <c r="D361" s="36" t="s">
        <v>5</v>
      </c>
    </row>
    <row r="362" spans="1:4">
      <c r="A362" s="61">
        <v>45310</v>
      </c>
      <c r="B362" s="36" t="s">
        <v>10247</v>
      </c>
      <c r="C362" s="36" t="s">
        <v>10246</v>
      </c>
      <c r="D362" s="36" t="s">
        <v>74</v>
      </c>
    </row>
    <row r="363" spans="1:4">
      <c r="A363" s="61">
        <v>45313</v>
      </c>
      <c r="B363" s="36" t="s">
        <v>10249</v>
      </c>
      <c r="C363" s="36" t="s">
        <v>10248</v>
      </c>
      <c r="D363" s="36" t="s">
        <v>109</v>
      </c>
    </row>
    <row r="364" spans="1:4">
      <c r="A364" s="61">
        <v>45313</v>
      </c>
      <c r="B364" s="36" t="s">
        <v>10251</v>
      </c>
      <c r="C364" s="36" t="s">
        <v>10250</v>
      </c>
      <c r="D364" s="36" t="s">
        <v>345</v>
      </c>
    </row>
    <row r="365" spans="1:4">
      <c r="A365" s="61">
        <v>45313</v>
      </c>
      <c r="B365" s="36" t="s">
        <v>10253</v>
      </c>
      <c r="C365" s="36" t="s">
        <v>10252</v>
      </c>
      <c r="D365" s="36" t="s">
        <v>19</v>
      </c>
    </row>
    <row r="366" spans="1:4">
      <c r="A366" s="61">
        <v>45313</v>
      </c>
      <c r="B366" s="36" t="s">
        <v>10253</v>
      </c>
      <c r="C366" s="36" t="s">
        <v>10252</v>
      </c>
      <c r="D366" s="36" t="s">
        <v>19</v>
      </c>
    </row>
    <row r="367" spans="1:4">
      <c r="A367" s="61">
        <v>45314</v>
      </c>
      <c r="B367" s="36" t="s">
        <v>10255</v>
      </c>
      <c r="C367" s="36" t="s">
        <v>10254</v>
      </c>
      <c r="D367" s="36" t="s">
        <v>29</v>
      </c>
    </row>
    <row r="368" spans="1:4">
      <c r="A368" s="61">
        <v>45314</v>
      </c>
      <c r="B368" s="36" t="s">
        <v>10257</v>
      </c>
      <c r="C368" s="36" t="s">
        <v>10256</v>
      </c>
      <c r="D368" s="36" t="s">
        <v>29</v>
      </c>
    </row>
    <row r="369" spans="1:4">
      <c r="A369" s="61">
        <v>45315</v>
      </c>
      <c r="B369" s="36" t="s">
        <v>10259</v>
      </c>
      <c r="C369" s="36" t="s">
        <v>10258</v>
      </c>
      <c r="D369" s="36" t="s">
        <v>29</v>
      </c>
    </row>
    <row r="370" spans="1:4">
      <c r="A370" s="61">
        <v>45315</v>
      </c>
      <c r="B370" s="36" t="s">
        <v>10261</v>
      </c>
      <c r="C370" s="36" t="s">
        <v>10260</v>
      </c>
      <c r="D370" s="36" t="s">
        <v>109</v>
      </c>
    </row>
    <row r="371" spans="1:4">
      <c r="A371" s="61">
        <v>45315</v>
      </c>
      <c r="B371" s="36" t="s">
        <v>10263</v>
      </c>
      <c r="C371" s="36" t="s">
        <v>10262</v>
      </c>
      <c r="D371" s="36" t="s">
        <v>345</v>
      </c>
    </row>
    <row r="372" spans="1:4">
      <c r="A372" s="61">
        <v>45315</v>
      </c>
      <c r="B372" s="36" t="s">
        <v>10265</v>
      </c>
      <c r="C372" s="36" t="s">
        <v>10264</v>
      </c>
      <c r="D372" s="36" t="s">
        <v>345</v>
      </c>
    </row>
    <row r="373" spans="1:4">
      <c r="A373" s="61">
        <v>45316</v>
      </c>
      <c r="B373" s="36" t="s">
        <v>10267</v>
      </c>
      <c r="C373" s="36" t="s">
        <v>10266</v>
      </c>
      <c r="D373" s="36" t="s">
        <v>74</v>
      </c>
    </row>
    <row r="374" spans="1:4">
      <c r="A374" s="61">
        <v>45316</v>
      </c>
      <c r="B374" s="36" t="s">
        <v>9224</v>
      </c>
      <c r="C374" s="36" t="s">
        <v>10268</v>
      </c>
      <c r="D374" s="36" t="s">
        <v>5</v>
      </c>
    </row>
    <row r="375" spans="1:4">
      <c r="A375" s="61">
        <v>45316</v>
      </c>
      <c r="B375" s="36" t="s">
        <v>10270</v>
      </c>
      <c r="C375" s="36" t="s">
        <v>10269</v>
      </c>
      <c r="D375" s="36" t="s">
        <v>345</v>
      </c>
    </row>
    <row r="376" spans="1:4">
      <c r="A376" s="61">
        <v>45316</v>
      </c>
      <c r="B376" s="36" t="s">
        <v>10272</v>
      </c>
      <c r="C376" s="36" t="s">
        <v>10271</v>
      </c>
      <c r="D376" s="36" t="s">
        <v>5</v>
      </c>
    </row>
    <row r="377" spans="1:4">
      <c r="A377" s="61">
        <v>45317</v>
      </c>
      <c r="B377" s="36" t="s">
        <v>10273</v>
      </c>
      <c r="C377" s="36" t="s">
        <v>10186</v>
      </c>
      <c r="D377" s="36" t="s">
        <v>510</v>
      </c>
    </row>
    <row r="378" spans="1:4">
      <c r="A378" s="61">
        <v>45317</v>
      </c>
      <c r="B378" s="36" t="s">
        <v>10275</v>
      </c>
      <c r="C378" s="36" t="s">
        <v>10274</v>
      </c>
      <c r="D378" s="36" t="s">
        <v>74</v>
      </c>
    </row>
    <row r="379" spans="1:4">
      <c r="A379" s="61">
        <v>45317</v>
      </c>
      <c r="B379" s="36" t="s">
        <v>10277</v>
      </c>
      <c r="C379" s="36" t="s">
        <v>10276</v>
      </c>
      <c r="D379" s="36" t="s">
        <v>345</v>
      </c>
    </row>
    <row r="380" spans="1:4">
      <c r="A380" s="61">
        <v>45317</v>
      </c>
      <c r="B380" s="36" t="s">
        <v>10279</v>
      </c>
      <c r="C380" s="36" t="s">
        <v>10278</v>
      </c>
      <c r="D380" s="36" t="s">
        <v>345</v>
      </c>
    </row>
    <row r="381" spans="1:4">
      <c r="A381" s="61">
        <v>45313</v>
      </c>
      <c r="B381" s="36" t="s">
        <v>10281</v>
      </c>
      <c r="C381" s="36" t="s">
        <v>10280</v>
      </c>
      <c r="D381" s="36" t="s">
        <v>216</v>
      </c>
    </row>
    <row r="382" spans="1:4">
      <c r="A382" s="61">
        <v>45314</v>
      </c>
      <c r="B382" s="36" t="s">
        <v>10283</v>
      </c>
      <c r="C382" s="36" t="s">
        <v>10282</v>
      </c>
      <c r="D382" s="36" t="s">
        <v>216</v>
      </c>
    </row>
    <row r="383" spans="1:4">
      <c r="A383" s="61">
        <v>45315</v>
      </c>
      <c r="B383" s="36" t="s">
        <v>10285</v>
      </c>
      <c r="C383" s="36" t="s">
        <v>10284</v>
      </c>
      <c r="D383" s="36" t="s">
        <v>5</v>
      </c>
    </row>
    <row r="384" spans="1:4">
      <c r="A384" s="61">
        <v>45317</v>
      </c>
      <c r="B384" s="36" t="s">
        <v>10287</v>
      </c>
      <c r="C384" s="36" t="s">
        <v>10286</v>
      </c>
      <c r="D384" s="36" t="s">
        <v>5</v>
      </c>
    </row>
    <row r="385" spans="1:4">
      <c r="A385" s="61">
        <v>45317</v>
      </c>
      <c r="B385" s="36" t="s">
        <v>10289</v>
      </c>
      <c r="C385" s="36" t="s">
        <v>10288</v>
      </c>
      <c r="D385" s="36" t="s">
        <v>345</v>
      </c>
    </row>
    <row r="386" spans="1:4">
      <c r="A386" s="61">
        <v>45318</v>
      </c>
      <c r="B386" s="36" t="s">
        <v>10291</v>
      </c>
      <c r="C386" s="36" t="s">
        <v>10290</v>
      </c>
      <c r="D386" s="36" t="s">
        <v>5</v>
      </c>
    </row>
    <row r="387" spans="1:4">
      <c r="A387" s="61">
        <v>45322</v>
      </c>
      <c r="B387" s="36" t="s">
        <v>10293</v>
      </c>
      <c r="C387" s="36" t="s">
        <v>10292</v>
      </c>
      <c r="D387" s="36" t="s">
        <v>5</v>
      </c>
    </row>
    <row r="388" spans="1:4">
      <c r="A388" s="61">
        <v>45322</v>
      </c>
      <c r="B388" s="36" t="s">
        <v>10295</v>
      </c>
      <c r="C388" s="36" t="s">
        <v>10294</v>
      </c>
      <c r="D388" s="36" t="s">
        <v>5</v>
      </c>
    </row>
    <row r="389" spans="1:4">
      <c r="A389" s="61">
        <v>45323</v>
      </c>
      <c r="B389" s="36" t="s">
        <v>10297</v>
      </c>
      <c r="C389" s="36" t="s">
        <v>10296</v>
      </c>
      <c r="D389" s="36" t="s">
        <v>109</v>
      </c>
    </row>
    <row r="390" spans="1:4">
      <c r="A390" s="61">
        <v>45324</v>
      </c>
      <c r="B390" s="36" t="s">
        <v>10299</v>
      </c>
      <c r="C390" s="36" t="s">
        <v>10298</v>
      </c>
      <c r="D390" s="36" t="s">
        <v>29</v>
      </c>
    </row>
    <row r="391" spans="1:4">
      <c r="A391" s="61">
        <v>45324</v>
      </c>
      <c r="B391" s="36" t="s">
        <v>10301</v>
      </c>
      <c r="C391" s="36" t="s">
        <v>10300</v>
      </c>
      <c r="D391" s="36" t="s">
        <v>5</v>
      </c>
    </row>
    <row r="392" spans="1:4">
      <c r="A392" s="61">
        <v>45323</v>
      </c>
      <c r="B392" s="36" t="s">
        <v>10303</v>
      </c>
      <c r="C392" s="36" t="s">
        <v>10302</v>
      </c>
      <c r="D392" s="36" t="s">
        <v>29</v>
      </c>
    </row>
    <row r="393" spans="1:4">
      <c r="A393" s="61">
        <v>45323</v>
      </c>
      <c r="B393" s="36" t="s">
        <v>10305</v>
      </c>
      <c r="C393" s="36" t="s">
        <v>10304</v>
      </c>
      <c r="D393" s="36" t="s">
        <v>29</v>
      </c>
    </row>
    <row r="394" spans="1:4">
      <c r="A394" s="61">
        <v>45328</v>
      </c>
      <c r="B394" s="36" t="s">
        <v>10307</v>
      </c>
      <c r="C394" s="36" t="s">
        <v>10306</v>
      </c>
      <c r="D394" s="36" t="s">
        <v>29</v>
      </c>
    </row>
    <row r="395" spans="1:4">
      <c r="A395" s="61">
        <v>45328</v>
      </c>
      <c r="B395" s="36" t="s">
        <v>10309</v>
      </c>
      <c r="C395" s="36" t="s">
        <v>10308</v>
      </c>
      <c r="D395" s="36" t="s">
        <v>29</v>
      </c>
    </row>
    <row r="396" spans="1:4">
      <c r="A396" s="70">
        <v>45325</v>
      </c>
      <c r="B396" s="25" t="s">
        <v>10312</v>
      </c>
      <c r="C396" s="25" t="s">
        <v>10311</v>
      </c>
      <c r="D396" s="25" t="s">
        <v>164</v>
      </c>
    </row>
    <row r="397" spans="1:4">
      <c r="A397" s="53">
        <v>45311</v>
      </c>
      <c r="B397" s="41" t="s">
        <v>9961</v>
      </c>
      <c r="C397" s="41" t="s">
        <v>9960</v>
      </c>
      <c r="D397" s="41" t="s">
        <v>5</v>
      </c>
    </row>
    <row r="398" spans="1:4">
      <c r="A398" s="53">
        <v>45311</v>
      </c>
      <c r="B398" s="41" t="s">
        <v>9984</v>
      </c>
      <c r="C398" s="41" t="s">
        <v>9983</v>
      </c>
      <c r="D398" s="41" t="s">
        <v>5</v>
      </c>
    </row>
    <row r="399" spans="1:4">
      <c r="A399" s="53">
        <v>45311</v>
      </c>
      <c r="B399" s="41" t="s">
        <v>9986</v>
      </c>
      <c r="C399" s="41" t="s">
        <v>9985</v>
      </c>
      <c r="D399" s="41" t="s">
        <v>8</v>
      </c>
    </row>
    <row r="400" spans="1:4">
      <c r="A400" s="53">
        <v>45311</v>
      </c>
      <c r="B400" s="41" t="s">
        <v>9988</v>
      </c>
      <c r="C400" s="41" t="s">
        <v>9987</v>
      </c>
      <c r="D400" s="41" t="s">
        <v>5</v>
      </c>
    </row>
    <row r="401" spans="1:4">
      <c r="A401" s="53">
        <v>45311</v>
      </c>
      <c r="B401" s="41" t="s">
        <v>9984</v>
      </c>
      <c r="C401" s="41" t="s">
        <v>9983</v>
      </c>
      <c r="D401" s="41" t="s">
        <v>5</v>
      </c>
    </row>
    <row r="402" spans="1:4">
      <c r="A402" s="53">
        <v>45311</v>
      </c>
      <c r="B402" s="41" t="s">
        <v>9984</v>
      </c>
      <c r="C402" s="41" t="s">
        <v>9983</v>
      </c>
      <c r="D402" s="41" t="s">
        <v>5</v>
      </c>
    </row>
    <row r="403" spans="1:4">
      <c r="A403" s="53">
        <v>45317</v>
      </c>
      <c r="B403" s="41" t="s">
        <v>10314</v>
      </c>
      <c r="C403" s="41" t="s">
        <v>10313</v>
      </c>
      <c r="D403" s="41" t="s">
        <v>11</v>
      </c>
    </row>
    <row r="404" spans="1:4">
      <c r="A404" s="53">
        <v>45317</v>
      </c>
      <c r="B404" s="41" t="s">
        <v>10315</v>
      </c>
      <c r="C404" s="41" t="s">
        <v>9898</v>
      </c>
      <c r="D404" s="41" t="s">
        <v>5</v>
      </c>
    </row>
    <row r="405" spans="1:4">
      <c r="A405" s="53">
        <v>45317</v>
      </c>
      <c r="B405" s="36" t="s">
        <v>10317</v>
      </c>
      <c r="C405" s="36" t="s">
        <v>10316</v>
      </c>
      <c r="D405" s="36" t="s">
        <v>19</v>
      </c>
    </row>
    <row r="406" spans="1:4">
      <c r="A406" s="53">
        <v>45318</v>
      </c>
      <c r="B406" s="41" t="s">
        <v>10319</v>
      </c>
      <c r="C406" s="41" t="s">
        <v>10318</v>
      </c>
      <c r="D406" s="41" t="s">
        <v>109</v>
      </c>
    </row>
    <row r="407" spans="1:4">
      <c r="A407" s="53">
        <v>45318</v>
      </c>
      <c r="B407" s="41" t="s">
        <v>10321</v>
      </c>
      <c r="C407" s="41" t="s">
        <v>10320</v>
      </c>
      <c r="D407" s="41" t="s">
        <v>37</v>
      </c>
    </row>
    <row r="408" spans="1:4">
      <c r="A408" s="53">
        <v>45318</v>
      </c>
      <c r="B408" s="41" t="s">
        <v>10321</v>
      </c>
      <c r="C408" s="41" t="s">
        <v>10320</v>
      </c>
      <c r="D408" s="41" t="s">
        <v>37</v>
      </c>
    </row>
    <row r="409" spans="1:4">
      <c r="A409" s="53">
        <v>45318</v>
      </c>
      <c r="B409" s="41" t="s">
        <v>10319</v>
      </c>
      <c r="C409" s="41" t="s">
        <v>10318</v>
      </c>
      <c r="D409" s="41" t="s">
        <v>109</v>
      </c>
    </row>
    <row r="410" spans="1:4">
      <c r="A410" s="53">
        <v>45318</v>
      </c>
      <c r="B410" s="36" t="s">
        <v>10323</v>
      </c>
      <c r="C410" s="36" t="s">
        <v>10322</v>
      </c>
      <c r="D410" s="36" t="s">
        <v>37</v>
      </c>
    </row>
    <row r="411" spans="1:4">
      <c r="A411" s="53">
        <v>45320</v>
      </c>
      <c r="B411" s="36" t="s">
        <v>10325</v>
      </c>
      <c r="C411" s="36" t="s">
        <v>10324</v>
      </c>
      <c r="D411" s="36" t="s">
        <v>74</v>
      </c>
    </row>
    <row r="412" spans="1:4">
      <c r="A412" s="53">
        <v>45320</v>
      </c>
      <c r="B412" s="36" t="s">
        <v>10326</v>
      </c>
      <c r="C412" s="36" t="s">
        <v>8411</v>
      </c>
      <c r="D412" s="36" t="s">
        <v>8</v>
      </c>
    </row>
    <row r="413" spans="1:4">
      <c r="A413" s="53">
        <v>45320</v>
      </c>
      <c r="B413" s="36" t="s">
        <v>10325</v>
      </c>
      <c r="C413" s="36" t="s">
        <v>10324</v>
      </c>
      <c r="D413" s="36" t="s">
        <v>74</v>
      </c>
    </row>
    <row r="414" spans="1:4">
      <c r="A414" s="69">
        <v>45323</v>
      </c>
      <c r="B414" s="52" t="s">
        <v>9905</v>
      </c>
      <c r="C414" s="48" t="s">
        <v>9904</v>
      </c>
      <c r="D414" s="48" t="s">
        <v>74</v>
      </c>
    </row>
    <row r="415" spans="1:4">
      <c r="A415" s="53">
        <v>45323</v>
      </c>
      <c r="B415" s="41" t="s">
        <v>10328</v>
      </c>
      <c r="C415" s="41" t="s">
        <v>10327</v>
      </c>
      <c r="D415" s="41" t="s">
        <v>353</v>
      </c>
    </row>
    <row r="416" spans="1:4">
      <c r="A416" s="53">
        <v>45323</v>
      </c>
      <c r="B416" s="41" t="s">
        <v>10330</v>
      </c>
      <c r="C416" s="41" t="s">
        <v>10329</v>
      </c>
      <c r="D416" s="41" t="s">
        <v>19</v>
      </c>
    </row>
    <row r="417" spans="1:4">
      <c r="A417" s="53">
        <v>45324</v>
      </c>
      <c r="B417" s="36" t="s">
        <v>10332</v>
      </c>
      <c r="C417" s="36" t="s">
        <v>10331</v>
      </c>
      <c r="D417" s="36" t="s">
        <v>5</v>
      </c>
    </row>
    <row r="418" spans="1:4">
      <c r="A418" s="53">
        <v>45324</v>
      </c>
      <c r="B418" s="36" t="s">
        <v>10332</v>
      </c>
      <c r="C418" s="36" t="s">
        <v>10331</v>
      </c>
      <c r="D418" s="36" t="s">
        <v>5</v>
      </c>
    </row>
    <row r="419" spans="1:4">
      <c r="A419" s="53">
        <v>45328</v>
      </c>
      <c r="B419" s="41" t="s">
        <v>10334</v>
      </c>
      <c r="C419" s="41" t="s">
        <v>10333</v>
      </c>
      <c r="D419" s="41" t="s">
        <v>11</v>
      </c>
    </row>
    <row r="420" spans="1:4">
      <c r="A420" s="53">
        <v>45330</v>
      </c>
      <c r="B420" s="41" t="s">
        <v>10336</v>
      </c>
      <c r="C420" s="41" t="s">
        <v>10335</v>
      </c>
      <c r="D420" s="41" t="s">
        <v>11</v>
      </c>
    </row>
    <row r="421" spans="1:4">
      <c r="A421" s="53">
        <v>45330</v>
      </c>
      <c r="B421" s="41" t="s">
        <v>10338</v>
      </c>
      <c r="C421" s="41" t="s">
        <v>10337</v>
      </c>
      <c r="D421" s="41" t="s">
        <v>11</v>
      </c>
    </row>
    <row r="422" spans="1:4">
      <c r="A422" s="53">
        <v>45331</v>
      </c>
      <c r="B422" s="41" t="s">
        <v>10340</v>
      </c>
      <c r="C422" s="41" t="s">
        <v>10339</v>
      </c>
      <c r="D422" s="41" t="s">
        <v>29</v>
      </c>
    </row>
    <row r="423" spans="1:4">
      <c r="A423" s="53">
        <v>45331</v>
      </c>
      <c r="B423" s="41" t="s">
        <v>10342</v>
      </c>
      <c r="C423" s="41" t="s">
        <v>10341</v>
      </c>
      <c r="D423" s="41" t="s">
        <v>24</v>
      </c>
    </row>
    <row r="424" spans="1:4">
      <c r="A424" s="53">
        <v>45332</v>
      </c>
      <c r="B424" s="41" t="s">
        <v>10344</v>
      </c>
      <c r="C424" s="41" t="s">
        <v>10343</v>
      </c>
      <c r="D424" s="41" t="s">
        <v>5</v>
      </c>
    </row>
    <row r="425" spans="1:4">
      <c r="A425" s="53">
        <v>45332</v>
      </c>
      <c r="B425" s="41" t="s">
        <v>10346</v>
      </c>
      <c r="C425" s="41" t="s">
        <v>10345</v>
      </c>
      <c r="D425" s="41" t="s">
        <v>11</v>
      </c>
    </row>
    <row r="426" spans="1:4">
      <c r="A426" s="53">
        <v>45332</v>
      </c>
      <c r="B426" s="36" t="s">
        <v>10348</v>
      </c>
      <c r="C426" s="36" t="s">
        <v>10347</v>
      </c>
      <c r="D426" s="36" t="s">
        <v>5</v>
      </c>
    </row>
    <row r="427" spans="1:4">
      <c r="A427" s="53">
        <v>45332</v>
      </c>
      <c r="B427" s="36" t="s">
        <v>10350</v>
      </c>
      <c r="C427" s="36" t="s">
        <v>10349</v>
      </c>
      <c r="D427" s="36" t="s">
        <v>5</v>
      </c>
    </row>
    <row r="428" spans="1:4">
      <c r="A428" s="53">
        <v>45332</v>
      </c>
      <c r="B428" s="36" t="s">
        <v>10352</v>
      </c>
      <c r="C428" s="36" t="s">
        <v>10351</v>
      </c>
      <c r="D428" s="36" t="s">
        <v>5</v>
      </c>
    </row>
    <row r="429" spans="1:4">
      <c r="A429" s="53">
        <v>45333</v>
      </c>
      <c r="B429" s="41" t="s">
        <v>10354</v>
      </c>
      <c r="C429" s="41" t="s">
        <v>10353</v>
      </c>
      <c r="D429" s="41" t="s">
        <v>37</v>
      </c>
    </row>
    <row r="430" spans="1:4">
      <c r="A430" s="53">
        <v>45333</v>
      </c>
      <c r="B430" s="41" t="s">
        <v>10356</v>
      </c>
      <c r="C430" s="41" t="s">
        <v>10355</v>
      </c>
      <c r="D430" s="41" t="s">
        <v>37</v>
      </c>
    </row>
    <row r="431" spans="1:4">
      <c r="A431" s="53">
        <v>45333</v>
      </c>
      <c r="B431" s="36" t="s">
        <v>10358</v>
      </c>
      <c r="C431" s="36" t="s">
        <v>10357</v>
      </c>
      <c r="D431" s="36" t="s">
        <v>37</v>
      </c>
    </row>
    <row r="432" spans="1:4">
      <c r="A432" s="53">
        <v>45333</v>
      </c>
      <c r="B432" s="36" t="s">
        <v>10360</v>
      </c>
      <c r="C432" s="36" t="s">
        <v>10359</v>
      </c>
      <c r="D432" s="36" t="s">
        <v>37</v>
      </c>
    </row>
    <row r="433" spans="1:4">
      <c r="A433" s="53">
        <v>45334</v>
      </c>
      <c r="B433" s="36" t="s">
        <v>10362</v>
      </c>
      <c r="C433" s="36" t="s">
        <v>10361</v>
      </c>
      <c r="D433" s="36" t="s">
        <v>16</v>
      </c>
    </row>
    <row r="434" spans="1:4">
      <c r="A434" s="53">
        <v>45334</v>
      </c>
      <c r="B434" s="36" t="s">
        <v>10364</v>
      </c>
      <c r="C434" s="36" t="s">
        <v>10363</v>
      </c>
      <c r="D434" s="36" t="s">
        <v>74</v>
      </c>
    </row>
    <row r="435" spans="1:4">
      <c r="A435" s="53">
        <v>45323</v>
      </c>
      <c r="B435" s="36" t="s">
        <v>10366</v>
      </c>
      <c r="C435" s="41" t="s">
        <v>10365</v>
      </c>
      <c r="D435" s="36" t="s">
        <v>5</v>
      </c>
    </row>
    <row r="436" spans="1:4">
      <c r="A436" s="53">
        <v>45324</v>
      </c>
      <c r="B436" s="36" t="s">
        <v>10368</v>
      </c>
      <c r="C436" s="36" t="s">
        <v>10367</v>
      </c>
      <c r="D436" s="36" t="s">
        <v>19</v>
      </c>
    </row>
    <row r="437" spans="1:4">
      <c r="A437" s="53">
        <v>45324</v>
      </c>
      <c r="B437" s="36" t="s">
        <v>10370</v>
      </c>
      <c r="C437" s="41" t="s">
        <v>10369</v>
      </c>
      <c r="D437" s="36" t="s">
        <v>19</v>
      </c>
    </row>
    <row r="438" spans="1:4">
      <c r="A438" s="53">
        <v>45324</v>
      </c>
      <c r="B438" s="36" t="s">
        <v>10370</v>
      </c>
      <c r="C438" s="36" t="s">
        <v>10369</v>
      </c>
      <c r="D438" s="36" t="s">
        <v>19</v>
      </c>
    </row>
    <row r="439" spans="1:4">
      <c r="A439" s="53">
        <v>45324</v>
      </c>
      <c r="B439" s="36" t="s">
        <v>10370</v>
      </c>
      <c r="C439" s="36" t="s">
        <v>10369</v>
      </c>
      <c r="D439" s="36" t="s">
        <v>19</v>
      </c>
    </row>
    <row r="440" spans="1:4">
      <c r="A440" s="53">
        <v>45325</v>
      </c>
      <c r="B440" s="36" t="s">
        <v>10372</v>
      </c>
      <c r="C440" s="41" t="s">
        <v>10371</v>
      </c>
      <c r="D440" s="36" t="s">
        <v>19</v>
      </c>
    </row>
    <row r="441" spans="1:4">
      <c r="A441" s="53">
        <v>45325</v>
      </c>
      <c r="B441" s="36" t="s">
        <v>10374</v>
      </c>
      <c r="C441" s="41" t="s">
        <v>10373</v>
      </c>
      <c r="D441" s="36" t="s">
        <v>29</v>
      </c>
    </row>
    <row r="442" spans="1:4">
      <c r="A442" s="53">
        <v>45325</v>
      </c>
      <c r="B442" s="36" t="s">
        <v>10376</v>
      </c>
      <c r="C442" s="41" t="s">
        <v>10375</v>
      </c>
      <c r="D442" s="36" t="s">
        <v>8</v>
      </c>
    </row>
    <row r="443" spans="1:4">
      <c r="A443" s="53">
        <v>45326</v>
      </c>
      <c r="B443" s="36" t="s">
        <v>10378</v>
      </c>
      <c r="C443" s="36" t="s">
        <v>10377</v>
      </c>
      <c r="D443" s="36" t="s">
        <v>74</v>
      </c>
    </row>
    <row r="444" spans="1:4">
      <c r="A444" s="53">
        <v>45326</v>
      </c>
      <c r="B444" s="41" t="s">
        <v>10380</v>
      </c>
      <c r="C444" s="41" t="s">
        <v>10379</v>
      </c>
      <c r="D444" s="41" t="s">
        <v>11</v>
      </c>
    </row>
    <row r="445" spans="1:4">
      <c r="A445" s="53">
        <v>45326</v>
      </c>
      <c r="B445" s="41" t="s">
        <v>10382</v>
      </c>
      <c r="C445" s="41" t="s">
        <v>10381</v>
      </c>
      <c r="D445" s="41" t="s">
        <v>29</v>
      </c>
    </row>
    <row r="446" spans="1:4">
      <c r="A446" s="53">
        <v>45326</v>
      </c>
      <c r="B446" s="36" t="s">
        <v>10384</v>
      </c>
      <c r="C446" s="41" t="s">
        <v>10383</v>
      </c>
      <c r="D446" s="36" t="s">
        <v>74</v>
      </c>
    </row>
    <row r="447" spans="1:4">
      <c r="A447" s="53">
        <v>45326</v>
      </c>
      <c r="B447" s="36" t="s">
        <v>10386</v>
      </c>
      <c r="C447" s="41" t="s">
        <v>10385</v>
      </c>
      <c r="D447" s="36" t="s">
        <v>510</v>
      </c>
    </row>
    <row r="448" spans="1:4">
      <c r="A448" s="53">
        <v>45327</v>
      </c>
      <c r="B448" s="36" t="s">
        <v>10388</v>
      </c>
      <c r="C448" s="41" t="s">
        <v>10387</v>
      </c>
      <c r="D448" s="36" t="s">
        <v>11</v>
      </c>
    </row>
    <row r="449" spans="1:4">
      <c r="A449" s="53">
        <v>45329</v>
      </c>
      <c r="B449" s="36" t="s">
        <v>10390</v>
      </c>
      <c r="C449" s="41" t="s">
        <v>10389</v>
      </c>
      <c r="D449" s="36" t="s">
        <v>74</v>
      </c>
    </row>
    <row r="450" spans="1:4">
      <c r="A450" s="53">
        <v>45330</v>
      </c>
      <c r="B450" s="36" t="s">
        <v>10392</v>
      </c>
      <c r="C450" s="36" t="s">
        <v>10391</v>
      </c>
      <c r="D450" s="36" t="s">
        <v>510</v>
      </c>
    </row>
    <row r="451" spans="1:4">
      <c r="A451" s="53">
        <v>45333</v>
      </c>
      <c r="B451" s="36" t="s">
        <v>10394</v>
      </c>
      <c r="C451" s="36" t="s">
        <v>10393</v>
      </c>
      <c r="D451" s="36" t="s">
        <v>109</v>
      </c>
    </row>
    <row r="452" spans="1:4">
      <c r="A452" s="53">
        <v>45333</v>
      </c>
      <c r="B452" s="36" t="s">
        <v>10396</v>
      </c>
      <c r="C452" s="41" t="s">
        <v>10395</v>
      </c>
      <c r="D452" s="36" t="s">
        <v>29</v>
      </c>
    </row>
    <row r="453" spans="1:4">
      <c r="A453" s="53">
        <v>45333</v>
      </c>
      <c r="B453" s="36" t="s">
        <v>10398</v>
      </c>
      <c r="C453" s="41" t="s">
        <v>10397</v>
      </c>
      <c r="D453" s="36" t="s">
        <v>19</v>
      </c>
    </row>
    <row r="454" spans="1:4">
      <c r="A454" s="53">
        <v>45333</v>
      </c>
      <c r="B454" s="36" t="s">
        <v>10400</v>
      </c>
      <c r="C454" s="36" t="s">
        <v>10399</v>
      </c>
      <c r="D454" s="36" t="s">
        <v>510</v>
      </c>
    </row>
    <row r="455" spans="1:4">
      <c r="A455" s="53">
        <v>45333</v>
      </c>
      <c r="B455" s="36" t="s">
        <v>10402</v>
      </c>
      <c r="C455" s="41" t="s">
        <v>10401</v>
      </c>
      <c r="D455" s="36" t="s">
        <v>510</v>
      </c>
    </row>
    <row r="456" spans="1:4">
      <c r="A456" s="53">
        <v>45333</v>
      </c>
      <c r="B456" s="36" t="s">
        <v>10404</v>
      </c>
      <c r="C456" s="41" t="s">
        <v>10403</v>
      </c>
      <c r="D456" s="36" t="s">
        <v>510</v>
      </c>
    </row>
    <row r="457" spans="1:4">
      <c r="A457" s="53">
        <v>45333</v>
      </c>
      <c r="B457" s="36" t="s">
        <v>10406</v>
      </c>
      <c r="C457" s="41" t="s">
        <v>10405</v>
      </c>
      <c r="D457" s="36" t="s">
        <v>510</v>
      </c>
    </row>
    <row r="458" spans="1:4">
      <c r="A458" s="53">
        <v>45333</v>
      </c>
      <c r="B458" s="36" t="s">
        <v>10392</v>
      </c>
      <c r="C458" s="36" t="s">
        <v>10391</v>
      </c>
      <c r="D458" s="36" t="s">
        <v>510</v>
      </c>
    </row>
    <row r="459" spans="1:4">
      <c r="A459" s="53">
        <v>45333</v>
      </c>
      <c r="B459" s="36" t="s">
        <v>10408</v>
      </c>
      <c r="C459" s="36" t="s">
        <v>10407</v>
      </c>
      <c r="D459" s="36" t="s">
        <v>510</v>
      </c>
    </row>
    <row r="460" spans="1:4">
      <c r="A460" s="53">
        <v>45333</v>
      </c>
      <c r="B460" s="36" t="s">
        <v>10410</v>
      </c>
      <c r="C460" s="41" t="s">
        <v>10409</v>
      </c>
      <c r="D460" s="36" t="s">
        <v>353</v>
      </c>
    </row>
    <row r="461" spans="1:4">
      <c r="A461" s="53">
        <v>45333</v>
      </c>
      <c r="B461" s="36" t="s">
        <v>10412</v>
      </c>
      <c r="C461" s="41" t="s">
        <v>10411</v>
      </c>
      <c r="D461" s="36" t="s">
        <v>29</v>
      </c>
    </row>
    <row r="462" spans="1:4">
      <c r="A462" s="61">
        <v>45327</v>
      </c>
      <c r="B462" s="36" t="s">
        <v>10414</v>
      </c>
      <c r="C462" s="36" t="s">
        <v>10413</v>
      </c>
      <c r="D462" s="36" t="s">
        <v>345</v>
      </c>
    </row>
    <row r="463" spans="1:4">
      <c r="A463" s="61">
        <v>45327</v>
      </c>
      <c r="B463" s="36" t="s">
        <v>10416</v>
      </c>
      <c r="C463" s="36" t="s">
        <v>10415</v>
      </c>
      <c r="D463" s="36" t="s">
        <v>216</v>
      </c>
    </row>
    <row r="464" spans="1:4">
      <c r="A464" s="61">
        <v>45328</v>
      </c>
      <c r="B464" s="36" t="s">
        <v>10418</v>
      </c>
      <c r="C464" s="36" t="s">
        <v>10417</v>
      </c>
      <c r="D464" s="36" t="s">
        <v>5</v>
      </c>
    </row>
    <row r="465" spans="1:4">
      <c r="A465" s="61">
        <v>45328</v>
      </c>
      <c r="B465" s="36" t="s">
        <v>10420</v>
      </c>
      <c r="C465" s="36" t="s">
        <v>10419</v>
      </c>
      <c r="D465" s="36" t="s">
        <v>5</v>
      </c>
    </row>
    <row r="466" spans="1:4">
      <c r="A466" s="61">
        <v>45329</v>
      </c>
      <c r="B466" s="36" t="s">
        <v>10422</v>
      </c>
      <c r="C466" s="36" t="s">
        <v>10421</v>
      </c>
      <c r="D466" s="36" t="s">
        <v>5</v>
      </c>
    </row>
    <row r="467" spans="1:4">
      <c r="A467" s="61">
        <v>45330</v>
      </c>
      <c r="B467" s="36" t="s">
        <v>10424</v>
      </c>
      <c r="C467" s="36" t="s">
        <v>10423</v>
      </c>
      <c r="D467" s="36" t="s">
        <v>5</v>
      </c>
    </row>
    <row r="468" spans="1:4">
      <c r="A468" s="61">
        <v>45330</v>
      </c>
      <c r="B468" s="36" t="s">
        <v>10426</v>
      </c>
      <c r="C468" s="36" t="s">
        <v>10425</v>
      </c>
      <c r="D468" s="36" t="s">
        <v>5</v>
      </c>
    </row>
    <row r="469" spans="1:4">
      <c r="A469" s="61">
        <v>45331</v>
      </c>
      <c r="B469" s="36" t="s">
        <v>10428</v>
      </c>
      <c r="C469" s="36" t="s">
        <v>10427</v>
      </c>
      <c r="D469" s="36" t="s">
        <v>109</v>
      </c>
    </row>
    <row r="470" spans="1:4">
      <c r="A470" s="61">
        <v>45331</v>
      </c>
      <c r="B470" s="36" t="s">
        <v>10430</v>
      </c>
      <c r="C470" s="36" t="s">
        <v>10429</v>
      </c>
      <c r="D470" s="36" t="s">
        <v>11</v>
      </c>
    </row>
    <row r="471" spans="1:4">
      <c r="A471" s="61">
        <v>45311</v>
      </c>
      <c r="B471" s="36" t="s">
        <v>10432</v>
      </c>
      <c r="C471" s="36" t="s">
        <v>10431</v>
      </c>
      <c r="D471" s="36" t="s">
        <v>353</v>
      </c>
    </row>
    <row r="472" spans="1:4">
      <c r="A472" s="61">
        <v>45313</v>
      </c>
      <c r="B472" s="36" t="s">
        <v>10434</v>
      </c>
      <c r="C472" s="36" t="s">
        <v>10433</v>
      </c>
      <c r="D472" s="36" t="s">
        <v>5</v>
      </c>
    </row>
    <row r="473" spans="1:4">
      <c r="A473" s="61">
        <v>45313</v>
      </c>
      <c r="B473" s="36" t="s">
        <v>10436</v>
      </c>
      <c r="C473" s="36" t="s">
        <v>10435</v>
      </c>
      <c r="D473" s="36" t="s">
        <v>109</v>
      </c>
    </row>
    <row r="474" spans="1:4">
      <c r="A474" s="61">
        <v>45313</v>
      </c>
      <c r="B474" s="36" t="s">
        <v>10438</v>
      </c>
      <c r="C474" s="36" t="s">
        <v>10437</v>
      </c>
      <c r="D474" s="36" t="s">
        <v>109</v>
      </c>
    </row>
    <row r="475" spans="1:4">
      <c r="A475" s="61">
        <v>45313</v>
      </c>
      <c r="B475" s="36" t="s">
        <v>10439</v>
      </c>
      <c r="C475" s="36" t="s">
        <v>9825</v>
      </c>
      <c r="D475" s="36" t="s">
        <v>29</v>
      </c>
    </row>
    <row r="476" spans="1:4">
      <c r="A476" s="61">
        <v>45313</v>
      </c>
      <c r="B476" s="36" t="s">
        <v>10441</v>
      </c>
      <c r="C476" s="36" t="s">
        <v>10440</v>
      </c>
      <c r="D476" s="36" t="s">
        <v>109</v>
      </c>
    </row>
    <row r="477" spans="1:4">
      <c r="A477" s="61">
        <v>45314</v>
      </c>
      <c r="B477" s="36" t="s">
        <v>10443</v>
      </c>
      <c r="C477" s="36" t="s">
        <v>10442</v>
      </c>
      <c r="D477" s="36" t="s">
        <v>5</v>
      </c>
    </row>
    <row r="478" spans="1:4">
      <c r="A478" s="61">
        <v>45314</v>
      </c>
      <c r="B478" s="36" t="s">
        <v>10445</v>
      </c>
      <c r="C478" s="36" t="s">
        <v>10444</v>
      </c>
      <c r="D478" s="36" t="s">
        <v>5</v>
      </c>
    </row>
    <row r="479" spans="1:4">
      <c r="A479" s="61">
        <v>45314</v>
      </c>
      <c r="B479" s="36" t="s">
        <v>10447</v>
      </c>
      <c r="C479" s="36" t="s">
        <v>10446</v>
      </c>
      <c r="D479" s="36" t="s">
        <v>109</v>
      </c>
    </row>
    <row r="480" spans="1:4">
      <c r="A480" s="61">
        <v>45314</v>
      </c>
      <c r="B480" s="36" t="s">
        <v>10449</v>
      </c>
      <c r="C480" s="36" t="s">
        <v>10448</v>
      </c>
      <c r="D480" s="36" t="s">
        <v>29</v>
      </c>
    </row>
    <row r="481" spans="1:4">
      <c r="A481" s="61">
        <v>45314</v>
      </c>
      <c r="B481" s="36" t="s">
        <v>10451</v>
      </c>
      <c r="C481" s="36" t="s">
        <v>10450</v>
      </c>
      <c r="D481" s="36" t="s">
        <v>109</v>
      </c>
    </row>
    <row r="482" spans="1:4">
      <c r="A482" s="61">
        <v>45314</v>
      </c>
      <c r="B482" s="36" t="s">
        <v>10453</v>
      </c>
      <c r="C482" s="36" t="s">
        <v>10452</v>
      </c>
      <c r="D482" s="36" t="s">
        <v>109</v>
      </c>
    </row>
    <row r="483" spans="1:4">
      <c r="A483" s="61">
        <v>45314</v>
      </c>
      <c r="B483" s="36" t="s">
        <v>10455</v>
      </c>
      <c r="C483" s="36" t="s">
        <v>10454</v>
      </c>
      <c r="D483" s="36" t="s">
        <v>34</v>
      </c>
    </row>
    <row r="484" spans="1:4">
      <c r="A484" s="61">
        <v>45315</v>
      </c>
      <c r="B484" s="36" t="s">
        <v>10457</v>
      </c>
      <c r="C484" s="36" t="s">
        <v>10456</v>
      </c>
      <c r="D484" s="36" t="s">
        <v>109</v>
      </c>
    </row>
    <row r="485" spans="1:4">
      <c r="A485" s="61">
        <v>45315</v>
      </c>
      <c r="B485" s="36" t="s">
        <v>10459</v>
      </c>
      <c r="C485" s="36" t="s">
        <v>10458</v>
      </c>
      <c r="D485" s="36" t="s">
        <v>353</v>
      </c>
    </row>
    <row r="486" spans="1:4">
      <c r="A486" s="61">
        <v>45315</v>
      </c>
      <c r="B486" s="36" t="s">
        <v>10461</v>
      </c>
      <c r="C486" s="36" t="s">
        <v>10460</v>
      </c>
      <c r="D486" s="36" t="s">
        <v>353</v>
      </c>
    </row>
    <row r="487" spans="1:4">
      <c r="A487" s="61">
        <v>45315</v>
      </c>
      <c r="B487" s="36" t="s">
        <v>10463</v>
      </c>
      <c r="C487" s="36" t="s">
        <v>10462</v>
      </c>
      <c r="D487" s="36" t="s">
        <v>34</v>
      </c>
    </row>
    <row r="488" spans="1:4">
      <c r="A488" s="61">
        <v>45315</v>
      </c>
      <c r="B488" s="36" t="s">
        <v>10465</v>
      </c>
      <c r="C488" s="36" t="s">
        <v>10464</v>
      </c>
      <c r="D488" s="36" t="s">
        <v>5</v>
      </c>
    </row>
    <row r="489" spans="1:4">
      <c r="A489" s="61">
        <v>45315</v>
      </c>
      <c r="B489" s="36" t="s">
        <v>10467</v>
      </c>
      <c r="C489" s="36" t="s">
        <v>10466</v>
      </c>
      <c r="D489" s="36" t="s">
        <v>353</v>
      </c>
    </row>
    <row r="490" spans="1:4">
      <c r="A490" s="61">
        <v>45315</v>
      </c>
      <c r="B490" s="36" t="s">
        <v>10469</v>
      </c>
      <c r="C490" s="36" t="s">
        <v>10468</v>
      </c>
      <c r="D490" s="36" t="s">
        <v>5</v>
      </c>
    </row>
    <row r="491" spans="1:4">
      <c r="A491" s="61">
        <v>45315</v>
      </c>
      <c r="B491" s="36" t="s">
        <v>10469</v>
      </c>
      <c r="C491" s="36" t="s">
        <v>10468</v>
      </c>
      <c r="D491" s="36" t="s">
        <v>5</v>
      </c>
    </row>
    <row r="492" spans="1:4">
      <c r="A492" s="61">
        <v>45315</v>
      </c>
      <c r="B492" s="36" t="s">
        <v>10467</v>
      </c>
      <c r="C492" s="36" t="s">
        <v>10466</v>
      </c>
      <c r="D492" s="36" t="s">
        <v>353</v>
      </c>
    </row>
    <row r="493" spans="1:4">
      <c r="A493" s="61">
        <v>45315</v>
      </c>
      <c r="B493" s="36" t="s">
        <v>10471</v>
      </c>
      <c r="C493" s="36" t="s">
        <v>10470</v>
      </c>
      <c r="D493" s="36" t="s">
        <v>353</v>
      </c>
    </row>
    <row r="494" spans="1:4">
      <c r="A494" s="61">
        <v>45316</v>
      </c>
      <c r="B494" s="36" t="s">
        <v>10473</v>
      </c>
      <c r="C494" s="36" t="s">
        <v>10472</v>
      </c>
      <c r="D494" s="36" t="s">
        <v>109</v>
      </c>
    </row>
    <row r="495" spans="1:4">
      <c r="A495" s="61">
        <v>45316</v>
      </c>
      <c r="B495" s="36" t="s">
        <v>10475</v>
      </c>
      <c r="C495" s="36" t="s">
        <v>10474</v>
      </c>
      <c r="D495" s="36" t="s">
        <v>109</v>
      </c>
    </row>
    <row r="496" spans="1:4">
      <c r="A496" s="61">
        <v>45316</v>
      </c>
      <c r="B496" s="36" t="s">
        <v>10476</v>
      </c>
      <c r="C496" s="36" t="s">
        <v>10472</v>
      </c>
      <c r="D496" s="36" t="s">
        <v>109</v>
      </c>
    </row>
    <row r="497" spans="1:4">
      <c r="A497" s="61">
        <v>45316</v>
      </c>
      <c r="B497" s="36" t="s">
        <v>10478</v>
      </c>
      <c r="C497" s="36" t="s">
        <v>10477</v>
      </c>
      <c r="D497" s="36" t="s">
        <v>5</v>
      </c>
    </row>
    <row r="498" spans="1:4">
      <c r="A498" s="61">
        <v>45316</v>
      </c>
      <c r="B498" s="36" t="s">
        <v>10480</v>
      </c>
      <c r="C498" s="36" t="s">
        <v>10479</v>
      </c>
      <c r="D498" s="36" t="s">
        <v>353</v>
      </c>
    </row>
    <row r="499" spans="1:4">
      <c r="A499" s="61">
        <v>45316</v>
      </c>
      <c r="B499" s="36" t="s">
        <v>10482</v>
      </c>
      <c r="C499" s="36" t="s">
        <v>10481</v>
      </c>
      <c r="D499" s="36" t="s">
        <v>5</v>
      </c>
    </row>
    <row r="500" spans="1:4">
      <c r="A500" s="61">
        <v>45316</v>
      </c>
      <c r="B500" s="36" t="s">
        <v>10484</v>
      </c>
      <c r="C500" s="36" t="s">
        <v>10483</v>
      </c>
      <c r="D500" s="36" t="s">
        <v>5</v>
      </c>
    </row>
    <row r="501" spans="1:4">
      <c r="A501" s="61">
        <v>45316</v>
      </c>
      <c r="B501" s="36" t="s">
        <v>10482</v>
      </c>
      <c r="C501" s="36" t="s">
        <v>10481</v>
      </c>
      <c r="D501" s="36" t="s">
        <v>5</v>
      </c>
    </row>
    <row r="502" spans="1:4">
      <c r="A502" s="61">
        <v>45316</v>
      </c>
      <c r="B502" s="36" t="s">
        <v>9793</v>
      </c>
      <c r="C502" s="36" t="s">
        <v>10485</v>
      </c>
      <c r="D502" s="36" t="s">
        <v>5</v>
      </c>
    </row>
    <row r="503" spans="1:4">
      <c r="A503" s="61">
        <v>45316</v>
      </c>
      <c r="B503" s="36" t="s">
        <v>9427</v>
      </c>
      <c r="C503" s="36" t="s">
        <v>9582</v>
      </c>
      <c r="D503" s="36" t="s">
        <v>5</v>
      </c>
    </row>
    <row r="504" spans="1:4">
      <c r="A504" s="61">
        <v>45316</v>
      </c>
      <c r="B504" s="36" t="s">
        <v>9897</v>
      </c>
      <c r="C504" s="36" t="s">
        <v>9450</v>
      </c>
      <c r="D504" s="36" t="s">
        <v>5</v>
      </c>
    </row>
    <row r="505" spans="1:4">
      <c r="A505" s="61">
        <v>45316</v>
      </c>
      <c r="B505" s="36" t="s">
        <v>9427</v>
      </c>
      <c r="C505" s="36" t="s">
        <v>10486</v>
      </c>
      <c r="D505" s="36" t="s">
        <v>5</v>
      </c>
    </row>
    <row r="506" spans="1:4">
      <c r="A506" s="61">
        <v>45316</v>
      </c>
      <c r="B506" s="36" t="s">
        <v>10488</v>
      </c>
      <c r="C506" s="36" t="s">
        <v>10487</v>
      </c>
      <c r="D506" s="36" t="s">
        <v>353</v>
      </c>
    </row>
    <row r="507" spans="1:4">
      <c r="A507" s="61">
        <v>45316</v>
      </c>
      <c r="B507" s="36" t="s">
        <v>10488</v>
      </c>
      <c r="C507" s="36" t="s">
        <v>10487</v>
      </c>
      <c r="D507" s="36" t="s">
        <v>353</v>
      </c>
    </row>
    <row r="508" spans="1:4">
      <c r="A508" s="61">
        <v>45317</v>
      </c>
      <c r="B508" s="36" t="s">
        <v>10489</v>
      </c>
      <c r="C508" s="36" t="s">
        <v>9862</v>
      </c>
      <c r="D508" s="36" t="s">
        <v>353</v>
      </c>
    </row>
    <row r="509" spans="1:4">
      <c r="A509" s="61">
        <v>45317</v>
      </c>
      <c r="B509" s="36" t="s">
        <v>10489</v>
      </c>
      <c r="C509" s="36" t="s">
        <v>9862</v>
      </c>
      <c r="D509" s="36" t="s">
        <v>353</v>
      </c>
    </row>
    <row r="510" spans="1:4">
      <c r="A510" s="61">
        <v>45317</v>
      </c>
      <c r="B510" s="36" t="s">
        <v>10491</v>
      </c>
      <c r="C510" s="36" t="s">
        <v>10490</v>
      </c>
      <c r="D510" s="36" t="s">
        <v>5</v>
      </c>
    </row>
    <row r="511" spans="1:4">
      <c r="A511" s="61">
        <v>45317</v>
      </c>
      <c r="B511" s="36" t="s">
        <v>10493</v>
      </c>
      <c r="C511" s="36" t="s">
        <v>10492</v>
      </c>
      <c r="D511" s="36" t="s">
        <v>5</v>
      </c>
    </row>
    <row r="512" spans="1:4">
      <c r="A512" s="61">
        <v>45318</v>
      </c>
      <c r="B512" s="36" t="s">
        <v>10494</v>
      </c>
      <c r="C512" s="36" t="s">
        <v>9263</v>
      </c>
      <c r="D512" s="36" t="s">
        <v>5</v>
      </c>
    </row>
    <row r="513" spans="1:4">
      <c r="A513" s="61">
        <v>45318</v>
      </c>
      <c r="B513" s="36" t="s">
        <v>10496</v>
      </c>
      <c r="C513" s="36" t="s">
        <v>10495</v>
      </c>
      <c r="D513" s="36" t="s">
        <v>5</v>
      </c>
    </row>
    <row r="514" spans="1:4">
      <c r="A514" s="61">
        <v>45318</v>
      </c>
      <c r="B514" s="36" t="s">
        <v>10498</v>
      </c>
      <c r="C514" s="36" t="s">
        <v>10497</v>
      </c>
      <c r="D514" s="36" t="s">
        <v>5</v>
      </c>
    </row>
    <row r="515" spans="1:4">
      <c r="A515" s="61">
        <v>45318</v>
      </c>
      <c r="B515" s="36" t="s">
        <v>10500</v>
      </c>
      <c r="C515" s="36" t="s">
        <v>10499</v>
      </c>
      <c r="D515" s="36" t="s">
        <v>5</v>
      </c>
    </row>
    <row r="516" spans="1:4">
      <c r="A516" s="61">
        <v>45319</v>
      </c>
      <c r="B516" s="36" t="s">
        <v>10502</v>
      </c>
      <c r="C516" s="36" t="s">
        <v>10501</v>
      </c>
      <c r="D516" s="36" t="s">
        <v>74</v>
      </c>
    </row>
    <row r="517" spans="1:4">
      <c r="A517" s="61">
        <v>45320</v>
      </c>
      <c r="B517" s="36" t="s">
        <v>10503</v>
      </c>
      <c r="C517" s="36" t="s">
        <v>695</v>
      </c>
      <c r="D517" s="36" t="s">
        <v>34</v>
      </c>
    </row>
    <row r="518" spans="1:4">
      <c r="A518" s="61">
        <v>45320</v>
      </c>
      <c r="B518" s="36" t="s">
        <v>10505</v>
      </c>
      <c r="C518" s="36" t="s">
        <v>10504</v>
      </c>
      <c r="D518" s="36" t="s">
        <v>5</v>
      </c>
    </row>
    <row r="519" spans="1:4">
      <c r="A519" s="61">
        <v>45320</v>
      </c>
      <c r="B519" s="36" t="s">
        <v>10507</v>
      </c>
      <c r="C519" s="36" t="s">
        <v>10506</v>
      </c>
      <c r="D519" s="36" t="s">
        <v>5</v>
      </c>
    </row>
    <row r="520" spans="1:4">
      <c r="A520" s="61">
        <v>45320</v>
      </c>
      <c r="B520" s="36" t="s">
        <v>10505</v>
      </c>
      <c r="C520" s="36" t="s">
        <v>10504</v>
      </c>
      <c r="D520" s="36" t="s">
        <v>5</v>
      </c>
    </row>
    <row r="521" spans="1:4">
      <c r="A521" s="61">
        <v>45322</v>
      </c>
      <c r="B521" s="36" t="s">
        <v>10509</v>
      </c>
      <c r="C521" s="36" t="s">
        <v>10508</v>
      </c>
      <c r="D521" s="36" t="s">
        <v>5</v>
      </c>
    </row>
    <row r="522" spans="1:4">
      <c r="A522" s="61">
        <v>45322</v>
      </c>
      <c r="B522" s="36" t="s">
        <v>10502</v>
      </c>
      <c r="C522" s="36" t="s">
        <v>10501</v>
      </c>
      <c r="D522" s="36" t="s">
        <v>74</v>
      </c>
    </row>
    <row r="523" spans="1:4">
      <c r="A523" s="61">
        <v>45322</v>
      </c>
      <c r="B523" s="36" t="s">
        <v>10502</v>
      </c>
      <c r="C523" s="36" t="s">
        <v>10501</v>
      </c>
      <c r="D523" s="36" t="s">
        <v>74</v>
      </c>
    </row>
    <row r="524" spans="1:4">
      <c r="A524" s="61">
        <v>45322</v>
      </c>
      <c r="B524" s="36" t="s">
        <v>10511</v>
      </c>
      <c r="C524" s="36" t="s">
        <v>10510</v>
      </c>
      <c r="D524" s="36" t="s">
        <v>109</v>
      </c>
    </row>
    <row r="525" spans="1:4">
      <c r="A525" s="61">
        <v>45322</v>
      </c>
      <c r="B525" s="36" t="s">
        <v>10513</v>
      </c>
      <c r="C525" s="36" t="s">
        <v>10512</v>
      </c>
      <c r="D525" s="36" t="s">
        <v>109</v>
      </c>
    </row>
    <row r="526" spans="1:4">
      <c r="A526" s="61">
        <v>45322</v>
      </c>
      <c r="B526" s="36" t="s">
        <v>10515</v>
      </c>
      <c r="C526" s="36" t="s">
        <v>10514</v>
      </c>
      <c r="D526" s="36" t="s">
        <v>109</v>
      </c>
    </row>
    <row r="527" spans="1:4">
      <c r="A527" s="61">
        <v>45322</v>
      </c>
      <c r="B527" s="36" t="s">
        <v>10517</v>
      </c>
      <c r="C527" s="36" t="s">
        <v>10516</v>
      </c>
      <c r="D527" s="36" t="s">
        <v>109</v>
      </c>
    </row>
    <row r="528" spans="1:4">
      <c r="A528" s="61">
        <v>45322</v>
      </c>
      <c r="B528" s="36" t="s">
        <v>10519</v>
      </c>
      <c r="C528" s="36" t="s">
        <v>10518</v>
      </c>
      <c r="D528" s="36" t="s">
        <v>353</v>
      </c>
    </row>
    <row r="529" spans="1:4">
      <c r="A529" s="61">
        <v>45322</v>
      </c>
      <c r="B529" s="36" t="s">
        <v>10521</v>
      </c>
      <c r="C529" s="36" t="s">
        <v>10520</v>
      </c>
      <c r="D529" s="36" t="s">
        <v>353</v>
      </c>
    </row>
    <row r="530" spans="1:4">
      <c r="A530" s="61">
        <v>45322</v>
      </c>
      <c r="B530" s="36" t="s">
        <v>10523</v>
      </c>
      <c r="C530" s="36" t="s">
        <v>10522</v>
      </c>
      <c r="D530" s="36" t="s">
        <v>353</v>
      </c>
    </row>
    <row r="531" spans="1:4">
      <c r="A531" s="61">
        <v>45322</v>
      </c>
      <c r="B531" s="36" t="s">
        <v>10525</v>
      </c>
      <c r="C531" s="36" t="s">
        <v>10524</v>
      </c>
      <c r="D531" s="36" t="s">
        <v>5</v>
      </c>
    </row>
    <row r="532" spans="1:4">
      <c r="A532" s="61">
        <v>45322</v>
      </c>
      <c r="B532" s="36" t="s">
        <v>10527</v>
      </c>
      <c r="C532" s="36" t="s">
        <v>10526</v>
      </c>
      <c r="D532" s="36" t="s">
        <v>5</v>
      </c>
    </row>
    <row r="533" spans="1:4">
      <c r="A533" s="61">
        <v>45322</v>
      </c>
      <c r="B533" s="36" t="s">
        <v>9416</v>
      </c>
      <c r="C533" s="36" t="s">
        <v>10528</v>
      </c>
      <c r="D533" s="36" t="s">
        <v>5</v>
      </c>
    </row>
    <row r="534" spans="1:4">
      <c r="A534" s="61">
        <v>45322</v>
      </c>
      <c r="B534" s="36" t="s">
        <v>10530</v>
      </c>
      <c r="C534" s="36" t="s">
        <v>10529</v>
      </c>
      <c r="D534" s="36" t="s">
        <v>5</v>
      </c>
    </row>
    <row r="535" spans="1:4">
      <c r="A535" s="61">
        <v>45322</v>
      </c>
      <c r="B535" s="36" t="s">
        <v>10532</v>
      </c>
      <c r="C535" s="36" t="s">
        <v>10531</v>
      </c>
      <c r="D535" s="36" t="s">
        <v>216</v>
      </c>
    </row>
    <row r="536" spans="1:4">
      <c r="A536" s="61">
        <v>45322</v>
      </c>
      <c r="B536" s="36" t="s">
        <v>10534</v>
      </c>
      <c r="C536" s="36" t="s">
        <v>10533</v>
      </c>
      <c r="D536" s="36" t="s">
        <v>353</v>
      </c>
    </row>
    <row r="537" spans="1:4">
      <c r="A537" s="61">
        <v>45322</v>
      </c>
      <c r="B537" s="36" t="s">
        <v>10536</v>
      </c>
      <c r="C537" s="36" t="s">
        <v>10535</v>
      </c>
      <c r="D537" s="36" t="s">
        <v>29</v>
      </c>
    </row>
    <row r="538" spans="1:4">
      <c r="A538" s="61">
        <v>45323</v>
      </c>
      <c r="B538" s="36" t="s">
        <v>10538</v>
      </c>
      <c r="C538" s="36" t="s">
        <v>10537</v>
      </c>
      <c r="D538" s="36" t="s">
        <v>109</v>
      </c>
    </row>
    <row r="539" spans="1:4">
      <c r="A539" s="61">
        <v>45323</v>
      </c>
      <c r="B539" s="36" t="s">
        <v>10540</v>
      </c>
      <c r="C539" s="36" t="s">
        <v>10539</v>
      </c>
      <c r="D539" s="36" t="s">
        <v>5</v>
      </c>
    </row>
    <row r="540" spans="1:4">
      <c r="A540" s="61">
        <v>45323</v>
      </c>
      <c r="B540" s="36" t="s">
        <v>10540</v>
      </c>
      <c r="C540" s="36" t="s">
        <v>10539</v>
      </c>
      <c r="D540" s="36" t="s">
        <v>5</v>
      </c>
    </row>
    <row r="541" spans="1:4">
      <c r="A541" s="61">
        <v>45323</v>
      </c>
      <c r="B541" s="36" t="s">
        <v>10541</v>
      </c>
      <c r="C541" s="36" t="s">
        <v>9359</v>
      </c>
      <c r="D541" s="36" t="s">
        <v>5</v>
      </c>
    </row>
    <row r="542" spans="1:4">
      <c r="A542" s="61">
        <v>45323</v>
      </c>
      <c r="B542" s="36" t="s">
        <v>10541</v>
      </c>
      <c r="C542" s="36" t="s">
        <v>9359</v>
      </c>
      <c r="D542" s="36" t="s">
        <v>5</v>
      </c>
    </row>
    <row r="543" spans="1:4">
      <c r="A543" s="61">
        <v>45323</v>
      </c>
      <c r="B543" s="36" t="s">
        <v>10543</v>
      </c>
      <c r="C543" s="36" t="s">
        <v>10542</v>
      </c>
      <c r="D543" s="36" t="s">
        <v>34</v>
      </c>
    </row>
    <row r="544" spans="1:4">
      <c r="A544" s="61">
        <v>45323</v>
      </c>
      <c r="B544" s="36" t="s">
        <v>10544</v>
      </c>
      <c r="C544" s="36" t="s">
        <v>10472</v>
      </c>
      <c r="D544" s="36" t="s">
        <v>109</v>
      </c>
    </row>
    <row r="545" spans="1:4">
      <c r="A545" s="61">
        <v>45323</v>
      </c>
      <c r="B545" s="36" t="s">
        <v>10546</v>
      </c>
      <c r="C545" s="36" t="s">
        <v>10545</v>
      </c>
      <c r="D545" s="36" t="s">
        <v>109</v>
      </c>
    </row>
    <row r="546" spans="1:4">
      <c r="A546" s="61">
        <v>45323</v>
      </c>
      <c r="B546" s="36" t="s">
        <v>10547</v>
      </c>
      <c r="C546" s="36" t="s">
        <v>10542</v>
      </c>
      <c r="D546" s="36" t="s">
        <v>34</v>
      </c>
    </row>
    <row r="547" spans="1:4">
      <c r="A547" s="61">
        <v>45323</v>
      </c>
      <c r="B547" s="36" t="s">
        <v>10549</v>
      </c>
      <c r="C547" s="36" t="s">
        <v>10548</v>
      </c>
      <c r="D547" s="36" t="s">
        <v>5</v>
      </c>
    </row>
    <row r="548" spans="1:4">
      <c r="A548" s="61">
        <v>45323</v>
      </c>
      <c r="B548" s="36" t="s">
        <v>10549</v>
      </c>
      <c r="C548" s="36" t="s">
        <v>10548</v>
      </c>
      <c r="D548" s="36" t="s">
        <v>5</v>
      </c>
    </row>
    <row r="549" spans="1:4">
      <c r="A549" s="61">
        <v>45324</v>
      </c>
      <c r="B549" s="36" t="s">
        <v>10551</v>
      </c>
      <c r="C549" s="36" t="s">
        <v>10550</v>
      </c>
      <c r="D549" s="36" t="s">
        <v>109</v>
      </c>
    </row>
    <row r="550" spans="1:4">
      <c r="A550" s="61">
        <v>45324</v>
      </c>
      <c r="B550" s="36" t="s">
        <v>10553</v>
      </c>
      <c r="C550" s="36" t="s">
        <v>10552</v>
      </c>
      <c r="D550" s="36" t="s">
        <v>216</v>
      </c>
    </row>
    <row r="551" spans="1:4">
      <c r="A551" s="61">
        <v>45324</v>
      </c>
      <c r="B551" s="36" t="s">
        <v>10555</v>
      </c>
      <c r="C551" s="36" t="s">
        <v>10554</v>
      </c>
      <c r="D551" s="36" t="s">
        <v>216</v>
      </c>
    </row>
    <row r="552" spans="1:4">
      <c r="A552" s="61">
        <v>45324</v>
      </c>
      <c r="B552" s="36" t="s">
        <v>10557</v>
      </c>
      <c r="C552" s="36" t="s">
        <v>10556</v>
      </c>
      <c r="D552" s="36" t="s">
        <v>216</v>
      </c>
    </row>
    <row r="553" spans="1:4">
      <c r="A553" s="61">
        <v>45324</v>
      </c>
      <c r="B553" s="36" t="s">
        <v>10559</v>
      </c>
      <c r="C553" s="36" t="s">
        <v>10558</v>
      </c>
      <c r="D553" s="36" t="s">
        <v>216</v>
      </c>
    </row>
    <row r="554" spans="1:4">
      <c r="A554" s="61">
        <v>45324</v>
      </c>
      <c r="B554" s="36" t="s">
        <v>10561</v>
      </c>
      <c r="C554" s="36" t="s">
        <v>10560</v>
      </c>
      <c r="D554" s="36" t="s">
        <v>29</v>
      </c>
    </row>
    <row r="555" spans="1:4">
      <c r="A555" s="61">
        <v>45324</v>
      </c>
      <c r="B555" s="36" t="s">
        <v>10563</v>
      </c>
      <c r="C555" s="36" t="s">
        <v>10562</v>
      </c>
      <c r="D555" s="36" t="s">
        <v>109</v>
      </c>
    </row>
    <row r="556" spans="1:4">
      <c r="A556" s="61">
        <v>45325</v>
      </c>
      <c r="B556" s="36" t="s">
        <v>10565</v>
      </c>
      <c r="C556" s="36" t="s">
        <v>10564</v>
      </c>
      <c r="D556" s="36" t="s">
        <v>34</v>
      </c>
    </row>
    <row r="557" spans="1:4">
      <c r="A557" s="61">
        <v>45325</v>
      </c>
      <c r="B557" s="36" t="s">
        <v>10567</v>
      </c>
      <c r="C557" s="36" t="s">
        <v>10566</v>
      </c>
      <c r="D557" s="36" t="s">
        <v>29</v>
      </c>
    </row>
    <row r="558" spans="1:4">
      <c r="A558" s="61">
        <v>45325</v>
      </c>
      <c r="B558" s="36" t="s">
        <v>10569</v>
      </c>
      <c r="C558" s="36" t="s">
        <v>10568</v>
      </c>
      <c r="D558" s="36" t="s">
        <v>216</v>
      </c>
    </row>
    <row r="559" spans="1:4">
      <c r="A559" s="61">
        <v>45325</v>
      </c>
      <c r="B559" s="36" t="s">
        <v>10021</v>
      </c>
      <c r="C559" s="36" t="s">
        <v>10570</v>
      </c>
      <c r="D559" s="36" t="s">
        <v>5</v>
      </c>
    </row>
    <row r="560" spans="1:4">
      <c r="A560" s="61">
        <v>45325</v>
      </c>
      <c r="B560" s="36" t="s">
        <v>10519</v>
      </c>
      <c r="C560" s="36" t="s">
        <v>10518</v>
      </c>
      <c r="D560" s="36" t="s">
        <v>353</v>
      </c>
    </row>
    <row r="561" spans="1:4">
      <c r="A561" s="61">
        <v>45325</v>
      </c>
      <c r="B561" s="36" t="s">
        <v>10571</v>
      </c>
      <c r="C561" s="36" t="s">
        <v>1116</v>
      </c>
      <c r="D561" s="36" t="s">
        <v>34</v>
      </c>
    </row>
    <row r="562" spans="1:4">
      <c r="A562" s="61">
        <v>45326</v>
      </c>
      <c r="B562" s="36" t="s">
        <v>10573</v>
      </c>
      <c r="C562" s="36" t="s">
        <v>10572</v>
      </c>
      <c r="D562" s="36" t="s">
        <v>34</v>
      </c>
    </row>
    <row r="563" spans="1:4">
      <c r="A563" s="61">
        <v>45326</v>
      </c>
      <c r="B563" s="36" t="s">
        <v>10573</v>
      </c>
      <c r="C563" s="36" t="s">
        <v>10572</v>
      </c>
      <c r="D563" s="36" t="s">
        <v>34</v>
      </c>
    </row>
    <row r="564" spans="1:4">
      <c r="A564" s="61">
        <v>45326</v>
      </c>
      <c r="B564" s="36" t="s">
        <v>10575</v>
      </c>
      <c r="C564" s="36" t="s">
        <v>10574</v>
      </c>
      <c r="D564" s="36" t="s">
        <v>353</v>
      </c>
    </row>
    <row r="565" spans="1:4">
      <c r="A565" s="61">
        <v>45326</v>
      </c>
      <c r="B565" s="36" t="s">
        <v>10575</v>
      </c>
      <c r="C565" s="36" t="s">
        <v>10574</v>
      </c>
      <c r="D565" s="36" t="s">
        <v>353</v>
      </c>
    </row>
    <row r="566" spans="1:4">
      <c r="A566" s="61">
        <v>45326</v>
      </c>
      <c r="B566" s="36" t="s">
        <v>10576</v>
      </c>
      <c r="C566" s="36" t="s">
        <v>6473</v>
      </c>
      <c r="D566" s="36" t="s">
        <v>109</v>
      </c>
    </row>
    <row r="567" spans="1:4">
      <c r="A567" s="61">
        <v>45327</v>
      </c>
      <c r="B567" s="36" t="s">
        <v>9427</v>
      </c>
      <c r="C567" s="36" t="s">
        <v>9144</v>
      </c>
      <c r="D567" s="36" t="s">
        <v>5</v>
      </c>
    </row>
    <row r="568" spans="1:4">
      <c r="A568" s="61">
        <v>45335</v>
      </c>
      <c r="B568" s="36" t="s">
        <v>10578</v>
      </c>
      <c r="C568" s="36" t="s">
        <v>10577</v>
      </c>
      <c r="D568" s="36" t="s">
        <v>109</v>
      </c>
    </row>
    <row r="569" spans="1:4">
      <c r="A569" s="61">
        <v>45336</v>
      </c>
      <c r="B569" s="36" t="s">
        <v>10580</v>
      </c>
      <c r="C569" s="36" t="s">
        <v>10579</v>
      </c>
      <c r="D569" s="36" t="s">
        <v>5</v>
      </c>
    </row>
    <row r="570" spans="1:4">
      <c r="A570" s="61">
        <v>45336</v>
      </c>
      <c r="B570" s="36" t="s">
        <v>8584</v>
      </c>
      <c r="C570" s="36" t="s">
        <v>10581</v>
      </c>
      <c r="D570" s="36" t="s">
        <v>5</v>
      </c>
    </row>
    <row r="571" spans="1:4">
      <c r="A571" s="61">
        <v>45329</v>
      </c>
      <c r="B571" s="36" t="s">
        <v>10583</v>
      </c>
      <c r="C571" s="36" t="s">
        <v>10582</v>
      </c>
      <c r="D571" s="36" t="s">
        <v>216</v>
      </c>
    </row>
    <row r="572" spans="1:4">
      <c r="A572" s="61">
        <v>45329</v>
      </c>
      <c r="B572" s="36" t="s">
        <v>10585</v>
      </c>
      <c r="C572" s="36" t="s">
        <v>10584</v>
      </c>
      <c r="D572" s="36" t="s">
        <v>5</v>
      </c>
    </row>
    <row r="573" spans="1:4">
      <c r="A573" s="61">
        <v>45329</v>
      </c>
      <c r="B573" s="36" t="s">
        <v>10587</v>
      </c>
      <c r="C573" s="36" t="s">
        <v>10586</v>
      </c>
      <c r="D573" s="36" t="s">
        <v>5</v>
      </c>
    </row>
    <row r="574" spans="1:4">
      <c r="A574" s="61">
        <v>45329</v>
      </c>
      <c r="B574" s="36" t="s">
        <v>10589</v>
      </c>
      <c r="C574" s="36" t="s">
        <v>10588</v>
      </c>
      <c r="D574" s="36" t="s">
        <v>5</v>
      </c>
    </row>
    <row r="575" spans="1:4">
      <c r="A575" s="61">
        <v>45329</v>
      </c>
      <c r="B575" s="36" t="s">
        <v>9427</v>
      </c>
      <c r="C575" s="36" t="s">
        <v>10590</v>
      </c>
      <c r="D575" s="36" t="s">
        <v>5</v>
      </c>
    </row>
    <row r="576" spans="1:4">
      <c r="A576" s="61">
        <v>45329</v>
      </c>
      <c r="B576" s="36" t="s">
        <v>10592</v>
      </c>
      <c r="C576" s="36" t="s">
        <v>10591</v>
      </c>
      <c r="D576" s="36" t="s">
        <v>5</v>
      </c>
    </row>
    <row r="577" spans="1:4">
      <c r="A577" s="61">
        <v>45329</v>
      </c>
      <c r="B577" s="36" t="s">
        <v>10589</v>
      </c>
      <c r="C577" s="36" t="s">
        <v>10588</v>
      </c>
      <c r="D577" s="36" t="s">
        <v>5</v>
      </c>
    </row>
    <row r="578" spans="1:4">
      <c r="A578" s="61">
        <v>45329</v>
      </c>
      <c r="B578" s="36" t="s">
        <v>10594</v>
      </c>
      <c r="C578" s="36" t="s">
        <v>10593</v>
      </c>
      <c r="D578" s="36" t="s">
        <v>5</v>
      </c>
    </row>
    <row r="579" spans="1:4">
      <c r="A579" s="61">
        <v>45329</v>
      </c>
      <c r="B579" s="36" t="s">
        <v>9563</v>
      </c>
      <c r="C579" s="36" t="s">
        <v>10595</v>
      </c>
      <c r="D579" s="36" t="s">
        <v>5</v>
      </c>
    </row>
    <row r="580" spans="1:4">
      <c r="A580" s="61">
        <v>45330</v>
      </c>
      <c r="B580" s="36" t="s">
        <v>10597</v>
      </c>
      <c r="C580" s="36" t="s">
        <v>10596</v>
      </c>
      <c r="D580" s="36" t="s">
        <v>5</v>
      </c>
    </row>
    <row r="581" spans="1:4">
      <c r="A581" s="61">
        <v>45330</v>
      </c>
      <c r="B581" s="36" t="s">
        <v>10598</v>
      </c>
      <c r="C581" s="36" t="s">
        <v>9359</v>
      </c>
      <c r="D581" s="36" t="s">
        <v>5</v>
      </c>
    </row>
    <row r="582" spans="1:4">
      <c r="A582" s="61">
        <v>45330</v>
      </c>
      <c r="B582" s="36" t="s">
        <v>9427</v>
      </c>
      <c r="C582" s="36" t="s">
        <v>10599</v>
      </c>
      <c r="D582" s="36" t="s">
        <v>5</v>
      </c>
    </row>
    <row r="583" spans="1:4">
      <c r="A583" s="61">
        <v>45332</v>
      </c>
      <c r="B583" s="36" t="s">
        <v>10601</v>
      </c>
      <c r="C583" s="36" t="s">
        <v>10600</v>
      </c>
      <c r="D583" s="36" t="s">
        <v>74</v>
      </c>
    </row>
    <row r="584" spans="1:4">
      <c r="A584" s="61">
        <v>45332</v>
      </c>
      <c r="B584" s="36" t="s">
        <v>10603</v>
      </c>
      <c r="C584" s="36" t="s">
        <v>10602</v>
      </c>
      <c r="D584" s="36" t="s">
        <v>353</v>
      </c>
    </row>
    <row r="585" spans="1:4">
      <c r="A585" s="61">
        <v>45332</v>
      </c>
      <c r="B585" s="36" t="s">
        <v>10605</v>
      </c>
      <c r="C585" s="36" t="s">
        <v>10604</v>
      </c>
      <c r="D585" s="36" t="s">
        <v>353</v>
      </c>
    </row>
    <row r="586" spans="1:4">
      <c r="A586" s="61">
        <v>45332</v>
      </c>
      <c r="B586" s="36" t="s">
        <v>10607</v>
      </c>
      <c r="C586" s="36" t="s">
        <v>10606</v>
      </c>
      <c r="D586" s="36" t="s">
        <v>353</v>
      </c>
    </row>
    <row r="587" spans="1:4">
      <c r="A587" s="61">
        <v>45332</v>
      </c>
      <c r="B587" s="36" t="s">
        <v>10609</v>
      </c>
      <c r="C587" s="36" t="s">
        <v>10608</v>
      </c>
      <c r="D587" s="36" t="s">
        <v>353</v>
      </c>
    </row>
    <row r="588" spans="1:4">
      <c r="A588" s="61">
        <v>45334</v>
      </c>
      <c r="B588" s="36" t="s">
        <v>10611</v>
      </c>
      <c r="C588" s="36" t="s">
        <v>10610</v>
      </c>
      <c r="D588" s="36" t="s">
        <v>109</v>
      </c>
    </row>
    <row r="589" spans="1:4">
      <c r="A589" s="61">
        <v>45334</v>
      </c>
      <c r="B589" s="36" t="s">
        <v>10613</v>
      </c>
      <c r="C589" s="36" t="s">
        <v>10612</v>
      </c>
      <c r="D589" s="36" t="s">
        <v>109</v>
      </c>
    </row>
    <row r="590" spans="1:4">
      <c r="A590" s="61">
        <v>45334</v>
      </c>
      <c r="B590" s="36" t="s">
        <v>9561</v>
      </c>
      <c r="C590" s="36" t="s">
        <v>10614</v>
      </c>
      <c r="D590" s="36" t="s">
        <v>5</v>
      </c>
    </row>
    <row r="591" spans="1:4">
      <c r="A591" s="61">
        <v>45334</v>
      </c>
      <c r="B591" s="36" t="s">
        <v>10616</v>
      </c>
      <c r="C591" s="36" t="s">
        <v>10615</v>
      </c>
      <c r="D591" s="36" t="s">
        <v>5</v>
      </c>
    </row>
    <row r="592" spans="1:4">
      <c r="A592" s="61">
        <v>45334</v>
      </c>
      <c r="B592" s="36" t="s">
        <v>10617</v>
      </c>
      <c r="C592" s="36" t="s">
        <v>2842</v>
      </c>
      <c r="D592" s="36" t="s">
        <v>216</v>
      </c>
    </row>
    <row r="593" spans="1:4">
      <c r="A593" s="61">
        <v>45335</v>
      </c>
      <c r="B593" s="36" t="s">
        <v>10619</v>
      </c>
      <c r="C593" s="36" t="s">
        <v>10618</v>
      </c>
      <c r="D593" s="36" t="s">
        <v>216</v>
      </c>
    </row>
    <row r="594" spans="1:4">
      <c r="A594" s="61">
        <v>45335</v>
      </c>
      <c r="B594" s="36" t="s">
        <v>10621</v>
      </c>
      <c r="C594" s="36" t="s">
        <v>10620</v>
      </c>
      <c r="D594" s="36" t="s">
        <v>216</v>
      </c>
    </row>
    <row r="595" spans="1:4">
      <c r="A595" s="61">
        <v>45335</v>
      </c>
      <c r="B595" s="36" t="s">
        <v>9427</v>
      </c>
      <c r="C595" s="36" t="s">
        <v>10622</v>
      </c>
      <c r="D595" s="36" t="s">
        <v>5</v>
      </c>
    </row>
    <row r="596" spans="1:4">
      <c r="A596" s="61">
        <v>45335</v>
      </c>
      <c r="B596" s="36" t="s">
        <v>10624</v>
      </c>
      <c r="C596" s="36" t="s">
        <v>10623</v>
      </c>
      <c r="D596" s="36" t="s">
        <v>5</v>
      </c>
    </row>
    <row r="597" spans="1:4">
      <c r="A597" s="61">
        <v>45335</v>
      </c>
      <c r="B597" s="36" t="s">
        <v>10625</v>
      </c>
      <c r="C597" s="36" t="s">
        <v>734</v>
      </c>
      <c r="D597" s="36" t="s">
        <v>5</v>
      </c>
    </row>
    <row r="598" spans="1:4">
      <c r="A598" s="61">
        <v>45335</v>
      </c>
      <c r="B598" s="36" t="s">
        <v>10627</v>
      </c>
      <c r="C598" s="36" t="s">
        <v>10626</v>
      </c>
      <c r="D598" s="36" t="s">
        <v>216</v>
      </c>
    </row>
    <row r="599" spans="1:4">
      <c r="A599" s="61">
        <v>45337</v>
      </c>
      <c r="B599" s="36" t="s">
        <v>10629</v>
      </c>
      <c r="C599" s="36" t="s">
        <v>10628</v>
      </c>
      <c r="D599" s="36" t="s">
        <v>353</v>
      </c>
    </row>
    <row r="600" spans="1:4">
      <c r="A600" s="61">
        <v>45337</v>
      </c>
      <c r="B600" s="36" t="s">
        <v>10631</v>
      </c>
      <c r="C600" s="36" t="s">
        <v>10630</v>
      </c>
      <c r="D600" s="36" t="s">
        <v>5</v>
      </c>
    </row>
    <row r="601" spans="1:4">
      <c r="A601" s="61">
        <v>45337</v>
      </c>
      <c r="B601" s="36" t="s">
        <v>10633</v>
      </c>
      <c r="C601" s="36" t="s">
        <v>10632</v>
      </c>
      <c r="D601" s="36" t="s">
        <v>109</v>
      </c>
    </row>
    <row r="602" spans="1:4">
      <c r="A602" s="61">
        <v>45337</v>
      </c>
      <c r="B602" s="36" t="s">
        <v>10635</v>
      </c>
      <c r="C602" s="36" t="s">
        <v>10634</v>
      </c>
      <c r="D602" s="36" t="s">
        <v>216</v>
      </c>
    </row>
    <row r="603" spans="1:4">
      <c r="A603" s="61">
        <v>45337</v>
      </c>
      <c r="B603" s="36" t="s">
        <v>10637</v>
      </c>
      <c r="C603" s="36" t="s">
        <v>10636</v>
      </c>
      <c r="D603" s="36" t="s">
        <v>216</v>
      </c>
    </row>
    <row r="604" spans="1:4">
      <c r="A604" s="61">
        <v>45337</v>
      </c>
      <c r="B604" s="36" t="s">
        <v>10639</v>
      </c>
      <c r="C604" s="36" t="s">
        <v>10638</v>
      </c>
      <c r="D604" s="36" t="s">
        <v>216</v>
      </c>
    </row>
    <row r="605" spans="1:4">
      <c r="A605" s="61">
        <v>45337</v>
      </c>
      <c r="B605" s="36" t="s">
        <v>10641</v>
      </c>
      <c r="C605" s="36" t="s">
        <v>10640</v>
      </c>
      <c r="D605" s="36" t="s">
        <v>216</v>
      </c>
    </row>
    <row r="606" spans="1:4">
      <c r="A606" s="61">
        <v>45337</v>
      </c>
      <c r="B606" s="36" t="s">
        <v>10643</v>
      </c>
      <c r="C606" s="36" t="s">
        <v>10642</v>
      </c>
      <c r="D606" s="36" t="s">
        <v>109</v>
      </c>
    </row>
    <row r="607" spans="1:4">
      <c r="A607" s="61">
        <v>45337</v>
      </c>
      <c r="B607" s="36" t="s">
        <v>10645</v>
      </c>
      <c r="C607" s="36" t="s">
        <v>10644</v>
      </c>
      <c r="D607" s="36" t="s">
        <v>109</v>
      </c>
    </row>
    <row r="608" spans="1:4">
      <c r="A608" s="61">
        <v>45337</v>
      </c>
      <c r="B608" s="36" t="s">
        <v>10629</v>
      </c>
      <c r="C608" s="36" t="s">
        <v>10628</v>
      </c>
      <c r="D608" s="36" t="s">
        <v>353</v>
      </c>
    </row>
    <row r="609" spans="1:4">
      <c r="A609" s="61">
        <v>45338</v>
      </c>
      <c r="B609" s="36" t="s">
        <v>10647</v>
      </c>
      <c r="C609" s="36" t="s">
        <v>10646</v>
      </c>
      <c r="D609" s="36" t="s">
        <v>109</v>
      </c>
    </row>
    <row r="610" spans="1:4">
      <c r="A610" s="61">
        <v>45338</v>
      </c>
      <c r="B610" s="36" t="s">
        <v>10649</v>
      </c>
      <c r="C610" s="36" t="s">
        <v>10648</v>
      </c>
      <c r="D610" s="36" t="s">
        <v>16</v>
      </c>
    </row>
    <row r="611" spans="1:4">
      <c r="A611" s="61">
        <v>45338</v>
      </c>
      <c r="B611" s="36" t="s">
        <v>10647</v>
      </c>
      <c r="C611" s="36" t="s">
        <v>10646</v>
      </c>
      <c r="D611" s="36" t="s">
        <v>109</v>
      </c>
    </row>
    <row r="612" spans="1:4">
      <c r="A612" s="61">
        <v>45338</v>
      </c>
      <c r="B612" s="36" t="s">
        <v>10651</v>
      </c>
      <c r="C612" s="36" t="s">
        <v>10650</v>
      </c>
      <c r="D612" s="36" t="s">
        <v>109</v>
      </c>
    </row>
    <row r="613" spans="1:4">
      <c r="A613" s="61">
        <v>45339</v>
      </c>
      <c r="B613" s="36" t="s">
        <v>10653</v>
      </c>
      <c r="C613" s="36" t="s">
        <v>10652</v>
      </c>
      <c r="D613" s="36" t="s">
        <v>5</v>
      </c>
    </row>
    <row r="614" spans="1:4">
      <c r="A614" s="61">
        <v>45339</v>
      </c>
      <c r="B614" s="36" t="s">
        <v>10655</v>
      </c>
      <c r="C614" s="36" t="s">
        <v>10654</v>
      </c>
      <c r="D614" s="36" t="s">
        <v>5</v>
      </c>
    </row>
    <row r="615" spans="1:4">
      <c r="A615" s="61">
        <v>45341</v>
      </c>
      <c r="B615" s="36" t="s">
        <v>10657</v>
      </c>
      <c r="C615" s="36" t="s">
        <v>10656</v>
      </c>
      <c r="D615" s="36" t="s">
        <v>74</v>
      </c>
    </row>
    <row r="616" spans="1:4">
      <c r="A616" s="61">
        <v>45341</v>
      </c>
      <c r="B616" s="36" t="s">
        <v>10658</v>
      </c>
      <c r="C616" s="36" t="s">
        <v>10539</v>
      </c>
      <c r="D616" s="36" t="s">
        <v>5</v>
      </c>
    </row>
    <row r="617" spans="1:4">
      <c r="A617" s="61">
        <v>45341</v>
      </c>
      <c r="B617" s="36" t="s">
        <v>10660</v>
      </c>
      <c r="C617" s="36" t="s">
        <v>10659</v>
      </c>
      <c r="D617" s="36" t="s">
        <v>74</v>
      </c>
    </row>
    <row r="618" spans="1:4">
      <c r="A618" s="61">
        <v>45330</v>
      </c>
      <c r="B618" s="36" t="s">
        <v>10662</v>
      </c>
      <c r="C618" s="36" t="s">
        <v>10661</v>
      </c>
      <c r="D618" s="36" t="s">
        <v>5</v>
      </c>
    </row>
    <row r="619" spans="1:4">
      <c r="A619" s="61">
        <v>45330</v>
      </c>
      <c r="B619" s="36" t="s">
        <v>10662</v>
      </c>
      <c r="C619" s="36" t="s">
        <v>10661</v>
      </c>
      <c r="D619" s="36" t="s">
        <v>5</v>
      </c>
    </row>
    <row r="620" spans="1:4">
      <c r="A620" s="61">
        <v>45335</v>
      </c>
      <c r="B620" s="36" t="s">
        <v>10664</v>
      </c>
      <c r="C620" s="36" t="s">
        <v>10663</v>
      </c>
      <c r="D620" s="36" t="s">
        <v>5</v>
      </c>
    </row>
    <row r="621" spans="1:4">
      <c r="A621" s="61">
        <v>45336</v>
      </c>
      <c r="B621" s="36" t="s">
        <v>10666</v>
      </c>
      <c r="C621" s="36" t="s">
        <v>10665</v>
      </c>
      <c r="D621" s="36" t="s">
        <v>74</v>
      </c>
    </row>
    <row r="622" spans="1:4">
      <c r="A622" s="61">
        <v>45337</v>
      </c>
      <c r="B622" s="36" t="s">
        <v>10668</v>
      </c>
      <c r="C622" s="36" t="s">
        <v>10667</v>
      </c>
      <c r="D622" s="36" t="s">
        <v>5</v>
      </c>
    </row>
    <row r="623" spans="1:4">
      <c r="A623" s="61">
        <v>45337</v>
      </c>
      <c r="B623" s="36" t="s">
        <v>10670</v>
      </c>
      <c r="C623" s="36" t="s">
        <v>10669</v>
      </c>
      <c r="D623" s="36" t="s">
        <v>5</v>
      </c>
    </row>
    <row r="624" spans="1:4">
      <c r="A624" s="61">
        <v>45338</v>
      </c>
      <c r="B624" s="36" t="s">
        <v>10672</v>
      </c>
      <c r="C624" s="36" t="s">
        <v>10671</v>
      </c>
      <c r="D624" s="36" t="s">
        <v>109</v>
      </c>
    </row>
    <row r="625" spans="1:4">
      <c r="A625" s="61">
        <v>45338</v>
      </c>
      <c r="B625" s="36" t="s">
        <v>10674</v>
      </c>
      <c r="C625" s="36" t="s">
        <v>10673</v>
      </c>
      <c r="D625" s="36" t="s">
        <v>109</v>
      </c>
    </row>
    <row r="626" spans="1:4">
      <c r="A626" s="61">
        <v>45339</v>
      </c>
      <c r="B626" s="36" t="s">
        <v>10676</v>
      </c>
      <c r="C626" s="36" t="s">
        <v>10675</v>
      </c>
      <c r="D626" s="36" t="s">
        <v>19</v>
      </c>
    </row>
    <row r="627" spans="1:4">
      <c r="A627" s="61">
        <v>45341</v>
      </c>
      <c r="B627" s="36" t="s">
        <v>10678</v>
      </c>
      <c r="C627" s="36" t="s">
        <v>10677</v>
      </c>
      <c r="D627" s="36" t="s">
        <v>5</v>
      </c>
    </row>
    <row r="628" spans="1:4">
      <c r="A628" s="61">
        <v>45341</v>
      </c>
      <c r="B628" s="36" t="s">
        <v>10680</v>
      </c>
      <c r="C628" s="36" t="s">
        <v>10679</v>
      </c>
      <c r="D628" s="36" t="s">
        <v>5</v>
      </c>
    </row>
    <row r="629" spans="1:4">
      <c r="A629" s="61">
        <v>45343</v>
      </c>
      <c r="B629" s="36" t="s">
        <v>10682</v>
      </c>
      <c r="C629" s="36" t="s">
        <v>10681</v>
      </c>
      <c r="D629" s="36" t="s">
        <v>81</v>
      </c>
    </row>
    <row r="630" spans="1:4">
      <c r="A630" s="61">
        <v>45343</v>
      </c>
      <c r="B630" s="36" t="s">
        <v>10684</v>
      </c>
      <c r="C630" s="36" t="s">
        <v>10683</v>
      </c>
      <c r="D630" s="36" t="s">
        <v>81</v>
      </c>
    </row>
    <row r="631" spans="1:4">
      <c r="A631" s="61">
        <v>45343</v>
      </c>
      <c r="B631" s="36" t="s">
        <v>10686</v>
      </c>
      <c r="C631" s="36" t="s">
        <v>10685</v>
      </c>
      <c r="D631" s="36" t="s">
        <v>81</v>
      </c>
    </row>
    <row r="632" spans="1:4">
      <c r="A632" s="61">
        <v>45343</v>
      </c>
      <c r="B632" s="36" t="s">
        <v>10687</v>
      </c>
      <c r="C632" s="36" t="s">
        <v>167</v>
      </c>
      <c r="D632" s="36" t="s">
        <v>81</v>
      </c>
    </row>
    <row r="633" spans="1:4">
      <c r="A633" s="53">
        <v>45334</v>
      </c>
      <c r="B633" s="36" t="s">
        <v>10689</v>
      </c>
      <c r="C633" s="36" t="s">
        <v>10688</v>
      </c>
      <c r="D633" s="36" t="s">
        <v>37</v>
      </c>
    </row>
    <row r="634" spans="1:4">
      <c r="A634" s="53">
        <v>45334</v>
      </c>
      <c r="B634" s="36" t="s">
        <v>10691</v>
      </c>
      <c r="C634" s="36" t="s">
        <v>10690</v>
      </c>
      <c r="D634" s="36" t="s">
        <v>5</v>
      </c>
    </row>
    <row r="635" spans="1:4">
      <c r="A635" s="53">
        <v>45338</v>
      </c>
      <c r="B635" s="36" t="s">
        <v>10693</v>
      </c>
      <c r="C635" s="36" t="s">
        <v>10692</v>
      </c>
      <c r="D635" s="36" t="s">
        <v>11</v>
      </c>
    </row>
    <row r="636" spans="1:4">
      <c r="A636" s="53">
        <v>45338</v>
      </c>
      <c r="B636" s="36" t="s">
        <v>10695</v>
      </c>
      <c r="C636" s="36" t="s">
        <v>10694</v>
      </c>
      <c r="D636" s="36" t="s">
        <v>109</v>
      </c>
    </row>
    <row r="637" spans="1:4">
      <c r="A637" s="53">
        <v>45338</v>
      </c>
      <c r="B637" s="36" t="s">
        <v>10697</v>
      </c>
      <c r="C637" s="36" t="s">
        <v>10696</v>
      </c>
      <c r="D637" s="36" t="s">
        <v>7391</v>
      </c>
    </row>
    <row r="638" spans="1:4">
      <c r="A638" s="53">
        <v>45338</v>
      </c>
      <c r="B638" s="36" t="s">
        <v>10693</v>
      </c>
      <c r="C638" s="36" t="s">
        <v>10692</v>
      </c>
      <c r="D638" s="36" t="s">
        <v>11</v>
      </c>
    </row>
    <row r="639" spans="1:4">
      <c r="A639" s="53">
        <v>45339</v>
      </c>
      <c r="B639" s="36" t="s">
        <v>10699</v>
      </c>
      <c r="C639" s="36" t="s">
        <v>10698</v>
      </c>
      <c r="D639" s="36" t="s">
        <v>11</v>
      </c>
    </row>
    <row r="640" spans="1:4">
      <c r="A640" s="53">
        <v>45339</v>
      </c>
      <c r="B640" s="36" t="s">
        <v>10701</v>
      </c>
      <c r="C640" s="36" t="s">
        <v>10700</v>
      </c>
      <c r="D640" s="36" t="s">
        <v>11</v>
      </c>
    </row>
    <row r="641" spans="1:4">
      <c r="A641" s="53">
        <v>45339</v>
      </c>
      <c r="B641" s="36" t="s">
        <v>10703</v>
      </c>
      <c r="C641" s="36" t="s">
        <v>10702</v>
      </c>
      <c r="D641" s="36" t="s">
        <v>5</v>
      </c>
    </row>
    <row r="642" spans="1:4">
      <c r="A642" s="53">
        <v>45339</v>
      </c>
      <c r="B642" s="36" t="s">
        <v>10705</v>
      </c>
      <c r="C642" s="36" t="s">
        <v>10704</v>
      </c>
      <c r="D642" s="36" t="s">
        <v>109</v>
      </c>
    </row>
    <row r="643" spans="1:4">
      <c r="A643" s="53">
        <v>45339</v>
      </c>
      <c r="B643" s="36" t="s">
        <v>10693</v>
      </c>
      <c r="C643" s="36" t="s">
        <v>10706</v>
      </c>
      <c r="D643" s="36" t="s">
        <v>353</v>
      </c>
    </row>
    <row r="644" spans="1:4">
      <c r="A644" s="53">
        <v>45341</v>
      </c>
      <c r="B644" s="36" t="s">
        <v>10708</v>
      </c>
      <c r="C644" s="36" t="s">
        <v>10707</v>
      </c>
      <c r="D644" s="36" t="s">
        <v>11</v>
      </c>
    </row>
    <row r="645" spans="1:4">
      <c r="A645" s="53">
        <v>45341</v>
      </c>
      <c r="B645" s="36" t="s">
        <v>10710</v>
      </c>
      <c r="C645" s="36" t="s">
        <v>10709</v>
      </c>
      <c r="D645" s="36" t="s">
        <v>74</v>
      </c>
    </row>
    <row r="646" spans="1:4">
      <c r="A646" s="53">
        <v>45341</v>
      </c>
      <c r="B646" s="36" t="s">
        <v>10712</v>
      </c>
      <c r="C646" s="36" t="s">
        <v>10711</v>
      </c>
      <c r="D646" s="36" t="s">
        <v>510</v>
      </c>
    </row>
    <row r="647" spans="1:4">
      <c r="A647" s="53">
        <v>45341</v>
      </c>
      <c r="B647" s="36" t="s">
        <v>10714</v>
      </c>
      <c r="C647" s="36" t="s">
        <v>10713</v>
      </c>
      <c r="D647" s="36" t="s">
        <v>5</v>
      </c>
    </row>
    <row r="648" spans="1:4">
      <c r="A648" s="53">
        <v>45342</v>
      </c>
      <c r="B648" s="36" t="s">
        <v>10715</v>
      </c>
      <c r="C648" s="36" t="s">
        <v>10709</v>
      </c>
      <c r="D648" s="36" t="s">
        <v>74</v>
      </c>
    </row>
    <row r="649" spans="1:4">
      <c r="A649" s="53">
        <v>45342</v>
      </c>
      <c r="B649" s="36" t="s">
        <v>10717</v>
      </c>
      <c r="C649" s="36" t="s">
        <v>10716</v>
      </c>
      <c r="D649" s="36" t="s">
        <v>11</v>
      </c>
    </row>
    <row r="650" spans="1:4">
      <c r="A650" s="53">
        <v>45342</v>
      </c>
      <c r="B650" s="36" t="s">
        <v>10719</v>
      </c>
      <c r="C650" s="36" t="s">
        <v>10718</v>
      </c>
      <c r="D650" s="36" t="s">
        <v>74</v>
      </c>
    </row>
    <row r="651" spans="1:4">
      <c r="A651" s="53">
        <v>45342</v>
      </c>
      <c r="B651" s="36" t="s">
        <v>10722</v>
      </c>
      <c r="C651" s="36" t="s">
        <v>10720</v>
      </c>
      <c r="D651" s="36" t="s">
        <v>10721</v>
      </c>
    </row>
    <row r="652" spans="1:4">
      <c r="A652" s="53">
        <v>45342</v>
      </c>
      <c r="B652" s="36" t="s">
        <v>10724</v>
      </c>
      <c r="C652" s="36" t="s">
        <v>10723</v>
      </c>
      <c r="D652" s="36" t="s">
        <v>5</v>
      </c>
    </row>
    <row r="653" spans="1:4">
      <c r="A653" s="53">
        <v>45343</v>
      </c>
      <c r="B653" s="36" t="s">
        <v>10726</v>
      </c>
      <c r="C653" s="36" t="s">
        <v>10725</v>
      </c>
      <c r="D653" s="36" t="s">
        <v>5</v>
      </c>
    </row>
    <row r="654" spans="1:4">
      <c r="A654" s="53">
        <v>45343</v>
      </c>
      <c r="B654" s="36" t="s">
        <v>10728</v>
      </c>
      <c r="C654" s="36" t="s">
        <v>10727</v>
      </c>
      <c r="D654" s="36" t="s">
        <v>11</v>
      </c>
    </row>
    <row r="655" spans="1:4">
      <c r="A655" s="53">
        <v>45343</v>
      </c>
      <c r="B655" s="36" t="s">
        <v>10730</v>
      </c>
      <c r="C655" s="36" t="s">
        <v>10729</v>
      </c>
      <c r="D655" s="36" t="s">
        <v>24</v>
      </c>
    </row>
    <row r="656" spans="1:4">
      <c r="A656" s="53">
        <v>45333</v>
      </c>
      <c r="B656" s="36" t="s">
        <v>10732</v>
      </c>
      <c r="C656" s="36" t="s">
        <v>10731</v>
      </c>
      <c r="D656" s="36" t="s">
        <v>109</v>
      </c>
    </row>
    <row r="657" spans="1:4">
      <c r="A657" s="53">
        <v>45334</v>
      </c>
      <c r="B657" s="36" t="s">
        <v>10734</v>
      </c>
      <c r="C657" s="41" t="s">
        <v>10733</v>
      </c>
      <c r="D657" s="36" t="s">
        <v>19</v>
      </c>
    </row>
    <row r="658" spans="1:4">
      <c r="A658" s="53">
        <v>45334</v>
      </c>
      <c r="B658" s="36" t="s">
        <v>10736</v>
      </c>
      <c r="C658" s="41" t="s">
        <v>10735</v>
      </c>
      <c r="D658" s="36" t="s">
        <v>74</v>
      </c>
    </row>
    <row r="659" spans="1:4">
      <c r="A659" s="53">
        <v>45334</v>
      </c>
      <c r="B659" s="36" t="s">
        <v>10737</v>
      </c>
      <c r="C659" s="41" t="s">
        <v>5242</v>
      </c>
      <c r="D659" s="36" t="s">
        <v>19</v>
      </c>
    </row>
    <row r="660" spans="1:4">
      <c r="A660" s="53">
        <v>45335</v>
      </c>
      <c r="B660" s="36" t="s">
        <v>10739</v>
      </c>
      <c r="C660" s="41" t="s">
        <v>10738</v>
      </c>
      <c r="D660" s="36" t="s">
        <v>345</v>
      </c>
    </row>
    <row r="661" spans="1:4">
      <c r="A661" s="53">
        <v>45335</v>
      </c>
      <c r="B661" s="36" t="s">
        <v>10741</v>
      </c>
      <c r="C661" s="36" t="s">
        <v>10740</v>
      </c>
      <c r="D661" s="36" t="s">
        <v>74</v>
      </c>
    </row>
    <row r="662" spans="1:4">
      <c r="A662" s="53">
        <v>45335</v>
      </c>
      <c r="B662" s="36" t="s">
        <v>10743</v>
      </c>
      <c r="C662" s="36" t="s">
        <v>10742</v>
      </c>
      <c r="D662" s="36" t="s">
        <v>345</v>
      </c>
    </row>
    <row r="663" spans="1:4">
      <c r="A663" s="53">
        <v>45335</v>
      </c>
      <c r="B663" s="42" t="s">
        <v>10745</v>
      </c>
      <c r="C663" s="36" t="s">
        <v>10744</v>
      </c>
      <c r="D663" s="36" t="s">
        <v>8</v>
      </c>
    </row>
    <row r="664" spans="1:4">
      <c r="A664" s="53">
        <v>45336</v>
      </c>
      <c r="B664" s="36" t="s">
        <v>10747</v>
      </c>
      <c r="C664" s="36" t="s">
        <v>10746</v>
      </c>
      <c r="D664" s="36" t="s">
        <v>81</v>
      </c>
    </row>
    <row r="665" spans="1:4">
      <c r="A665" s="53">
        <v>45336</v>
      </c>
      <c r="B665" s="36" t="s">
        <v>10747</v>
      </c>
      <c r="C665" s="36" t="s">
        <v>10746</v>
      </c>
      <c r="D665" s="36" t="s">
        <v>81</v>
      </c>
    </row>
    <row r="666" spans="1:4">
      <c r="A666" s="53">
        <v>45336</v>
      </c>
      <c r="B666" s="36" t="s">
        <v>10748</v>
      </c>
      <c r="C666" s="42" t="s">
        <v>10746</v>
      </c>
      <c r="D666" s="36" t="s">
        <v>81</v>
      </c>
    </row>
    <row r="667" spans="1:4">
      <c r="A667" s="53">
        <v>45336</v>
      </c>
      <c r="B667" s="41" t="s">
        <v>10750</v>
      </c>
      <c r="C667" s="41" t="s">
        <v>10749</v>
      </c>
      <c r="D667" s="36" t="s">
        <v>29</v>
      </c>
    </row>
    <row r="668" spans="1:4">
      <c r="A668" s="53">
        <v>45336</v>
      </c>
      <c r="B668" s="41" t="s">
        <v>10751</v>
      </c>
      <c r="C668" s="36" t="s">
        <v>10749</v>
      </c>
      <c r="D668" s="36" t="s">
        <v>29</v>
      </c>
    </row>
    <row r="669" spans="1:4">
      <c r="A669" s="53">
        <v>45337</v>
      </c>
      <c r="B669" s="36" t="s">
        <v>10753</v>
      </c>
      <c r="C669" s="41" t="s">
        <v>10752</v>
      </c>
      <c r="D669" s="36" t="s">
        <v>345</v>
      </c>
    </row>
    <row r="670" spans="1:4">
      <c r="A670" s="53">
        <v>45337</v>
      </c>
      <c r="B670" s="36" t="s">
        <v>10755</v>
      </c>
      <c r="C670" s="36" t="s">
        <v>10754</v>
      </c>
      <c r="D670" s="36" t="s">
        <v>345</v>
      </c>
    </row>
    <row r="671" spans="1:4">
      <c r="A671" s="53">
        <v>45338</v>
      </c>
      <c r="B671" s="36" t="s">
        <v>10757</v>
      </c>
      <c r="C671" s="41" t="s">
        <v>10756</v>
      </c>
      <c r="D671" s="36" t="s">
        <v>510</v>
      </c>
    </row>
    <row r="672" spans="1:4">
      <c r="A672" s="53">
        <v>45338</v>
      </c>
      <c r="B672" s="36" t="s">
        <v>10759</v>
      </c>
      <c r="C672" s="41" t="s">
        <v>10758</v>
      </c>
      <c r="D672" s="36" t="s">
        <v>19</v>
      </c>
    </row>
    <row r="673" spans="1:4">
      <c r="A673" s="53">
        <v>45338</v>
      </c>
      <c r="B673" s="36" t="s">
        <v>10734</v>
      </c>
      <c r="C673" s="41" t="s">
        <v>10760</v>
      </c>
      <c r="D673" s="36" t="s">
        <v>19</v>
      </c>
    </row>
    <row r="674" spans="1:4">
      <c r="A674" s="53">
        <v>45339</v>
      </c>
      <c r="B674" s="36" t="s">
        <v>10762</v>
      </c>
      <c r="C674" s="41" t="s">
        <v>10761</v>
      </c>
      <c r="D674" s="36" t="s">
        <v>594</v>
      </c>
    </row>
    <row r="675" spans="1:4">
      <c r="A675" s="53">
        <v>45339</v>
      </c>
      <c r="B675" s="36" t="s">
        <v>10764</v>
      </c>
      <c r="C675" s="41" t="s">
        <v>10763</v>
      </c>
      <c r="D675" s="36" t="s">
        <v>74</v>
      </c>
    </row>
    <row r="676" spans="1:4">
      <c r="A676" s="53">
        <v>45340</v>
      </c>
      <c r="B676" s="36" t="s">
        <v>10766</v>
      </c>
      <c r="C676" s="41" t="s">
        <v>10765</v>
      </c>
      <c r="D676" s="36" t="s">
        <v>74</v>
      </c>
    </row>
    <row r="677" spans="1:4">
      <c r="A677" s="53">
        <v>45342</v>
      </c>
      <c r="B677" s="36" t="s">
        <v>10768</v>
      </c>
      <c r="C677" s="41" t="s">
        <v>10767</v>
      </c>
      <c r="D677" s="36" t="s">
        <v>19</v>
      </c>
    </row>
    <row r="678" spans="1:4">
      <c r="A678" s="53">
        <v>45342</v>
      </c>
      <c r="B678" s="36" t="s">
        <v>10770</v>
      </c>
      <c r="C678" s="41" t="s">
        <v>10769</v>
      </c>
      <c r="D678" s="36" t="s">
        <v>19</v>
      </c>
    </row>
    <row r="679" spans="1:4">
      <c r="A679" s="53">
        <v>45342</v>
      </c>
      <c r="B679" s="36" t="s">
        <v>10772</v>
      </c>
      <c r="C679" s="41" t="s">
        <v>10771</v>
      </c>
      <c r="D679" s="36" t="s">
        <v>29</v>
      </c>
    </row>
    <row r="680" spans="1:4">
      <c r="A680" s="53">
        <v>45344</v>
      </c>
      <c r="B680" s="36" t="s">
        <v>10774</v>
      </c>
      <c r="C680" s="41" t="s">
        <v>10773</v>
      </c>
      <c r="D680" s="36" t="s">
        <v>74</v>
      </c>
    </row>
    <row r="681" spans="1:4">
      <c r="A681" s="53">
        <v>45344</v>
      </c>
      <c r="B681" s="36" t="s">
        <v>10776</v>
      </c>
      <c r="C681" s="41" t="s">
        <v>10775</v>
      </c>
      <c r="D681" s="36" t="s">
        <v>74</v>
      </c>
    </row>
    <row r="682" spans="1:4">
      <c r="A682" s="53">
        <v>45346</v>
      </c>
      <c r="B682" s="36" t="s">
        <v>10778</v>
      </c>
      <c r="C682" s="41" t="s">
        <v>10777</v>
      </c>
      <c r="D682" s="36" t="s">
        <v>74</v>
      </c>
    </row>
    <row r="683" spans="1:4">
      <c r="A683" s="53">
        <v>45346</v>
      </c>
      <c r="B683" s="36" t="s">
        <v>10780</v>
      </c>
      <c r="C683" s="41" t="s">
        <v>10779</v>
      </c>
      <c r="D683" s="36" t="s">
        <v>74</v>
      </c>
    </row>
    <row r="684" spans="1:4">
      <c r="A684" s="53">
        <v>45346</v>
      </c>
      <c r="B684" s="36" t="s">
        <v>10782</v>
      </c>
      <c r="C684" s="41" t="s">
        <v>10781</v>
      </c>
      <c r="D684" s="36" t="s">
        <v>5</v>
      </c>
    </row>
    <row r="685" spans="1:4">
      <c r="A685" s="53">
        <v>45346</v>
      </c>
      <c r="B685" s="36" t="s">
        <v>10784</v>
      </c>
      <c r="C685" s="41" t="s">
        <v>10783</v>
      </c>
      <c r="D685" s="36" t="s">
        <v>5</v>
      </c>
    </row>
    <row r="686" spans="1:4">
      <c r="A686" s="53">
        <v>45346</v>
      </c>
      <c r="B686" s="36" t="s">
        <v>10782</v>
      </c>
      <c r="C686" s="36" t="s">
        <v>10785</v>
      </c>
      <c r="D686" s="36" t="s">
        <v>5</v>
      </c>
    </row>
    <row r="687" spans="1:4">
      <c r="A687" s="53">
        <v>45346</v>
      </c>
      <c r="B687" s="36" t="s">
        <v>10782</v>
      </c>
      <c r="C687" s="41" t="s">
        <v>10786</v>
      </c>
      <c r="D687" s="36" t="s">
        <v>5</v>
      </c>
    </row>
    <row r="688" spans="1:4">
      <c r="A688" s="53">
        <v>45346</v>
      </c>
      <c r="B688" s="36" t="s">
        <v>10788</v>
      </c>
      <c r="C688" s="41" t="s">
        <v>10787</v>
      </c>
      <c r="D688" s="36" t="s">
        <v>5</v>
      </c>
    </row>
    <row r="689" spans="1:4">
      <c r="A689" s="53">
        <v>45346</v>
      </c>
      <c r="B689" s="36" t="s">
        <v>10790</v>
      </c>
      <c r="C689" s="41" t="s">
        <v>10789</v>
      </c>
      <c r="D689" s="36" t="s">
        <v>345</v>
      </c>
    </row>
    <row r="690" spans="1:4">
      <c r="A690" s="53">
        <v>45347</v>
      </c>
      <c r="B690" s="36" t="s">
        <v>10792</v>
      </c>
      <c r="C690" s="41" t="s">
        <v>10791</v>
      </c>
      <c r="D690" s="36" t="s">
        <v>16</v>
      </c>
    </row>
    <row r="691" spans="1:4">
      <c r="A691" s="53">
        <v>45347</v>
      </c>
      <c r="B691" s="36" t="s">
        <v>10794</v>
      </c>
      <c r="C691" s="36" t="s">
        <v>10793</v>
      </c>
      <c r="D691" s="36" t="s">
        <v>345</v>
      </c>
    </row>
    <row r="692" spans="1:4">
      <c r="A692" s="53">
        <v>45347</v>
      </c>
      <c r="B692" s="36" t="s">
        <v>10796</v>
      </c>
      <c r="C692" s="41" t="s">
        <v>10795</v>
      </c>
      <c r="D692" s="36" t="s">
        <v>345</v>
      </c>
    </row>
    <row r="693" spans="1:4">
      <c r="A693" s="53">
        <v>45348</v>
      </c>
      <c r="B693" s="36" t="s">
        <v>10798</v>
      </c>
      <c r="C693" s="36" t="s">
        <v>10797</v>
      </c>
      <c r="D693" s="36" t="s">
        <v>109</v>
      </c>
    </row>
    <row r="694" spans="1:4">
      <c r="A694" s="53">
        <v>45348</v>
      </c>
      <c r="B694" s="36" t="s">
        <v>10800</v>
      </c>
      <c r="C694" s="41" t="s">
        <v>10799</v>
      </c>
      <c r="D694" s="36" t="s">
        <v>109</v>
      </c>
    </row>
    <row r="695" spans="1:4">
      <c r="A695" s="53">
        <v>45348</v>
      </c>
      <c r="B695" s="36" t="s">
        <v>10802</v>
      </c>
      <c r="C695" s="36" t="s">
        <v>10801</v>
      </c>
      <c r="D695" s="36" t="s">
        <v>353</v>
      </c>
    </row>
    <row r="696" spans="1:4">
      <c r="A696" s="53">
        <v>45342</v>
      </c>
      <c r="B696" s="36" t="s">
        <v>10804</v>
      </c>
      <c r="C696" s="36" t="s">
        <v>10803</v>
      </c>
      <c r="D696" s="36" t="s">
        <v>216</v>
      </c>
    </row>
    <row r="697" spans="1:4">
      <c r="A697" s="58">
        <v>45435</v>
      </c>
      <c r="B697" s="34" t="s">
        <v>10806</v>
      </c>
      <c r="C697" s="25" t="s">
        <v>10805</v>
      </c>
      <c r="D697" s="25" t="s">
        <v>164</v>
      </c>
    </row>
    <row r="698" spans="1:4">
      <c r="A698" s="58">
        <v>45451</v>
      </c>
      <c r="B698" s="34" t="s">
        <v>10808</v>
      </c>
      <c r="C698" s="25" t="s">
        <v>10807</v>
      </c>
      <c r="D698" s="25" t="s">
        <v>11</v>
      </c>
    </row>
    <row r="699" spans="1:4">
      <c r="A699" s="53">
        <v>45342</v>
      </c>
      <c r="B699" s="36" t="s">
        <v>10810</v>
      </c>
      <c r="C699" s="36" t="s">
        <v>10809</v>
      </c>
      <c r="D699" s="36" t="s">
        <v>216</v>
      </c>
    </row>
    <row r="700" spans="1:4">
      <c r="A700" s="53">
        <v>45342</v>
      </c>
      <c r="B700" s="36" t="s">
        <v>10812</v>
      </c>
      <c r="C700" s="36" t="s">
        <v>10811</v>
      </c>
      <c r="D700" s="36" t="s">
        <v>216</v>
      </c>
    </row>
    <row r="701" spans="1:4">
      <c r="A701" s="53">
        <v>45342</v>
      </c>
      <c r="B701" s="36" t="s">
        <v>10814</v>
      </c>
      <c r="C701" s="36" t="s">
        <v>10813</v>
      </c>
      <c r="D701" s="36" t="s">
        <v>109</v>
      </c>
    </row>
    <row r="702" spans="1:4">
      <c r="A702" s="53">
        <v>45342</v>
      </c>
      <c r="B702" s="36" t="s">
        <v>10816</v>
      </c>
      <c r="C702" s="36" t="s">
        <v>10815</v>
      </c>
      <c r="D702" s="36" t="s">
        <v>109</v>
      </c>
    </row>
    <row r="703" spans="1:4">
      <c r="A703" s="53">
        <v>45342</v>
      </c>
      <c r="B703" s="36" t="s">
        <v>10816</v>
      </c>
      <c r="C703" s="36" t="s">
        <v>10815</v>
      </c>
      <c r="D703" s="36" t="s">
        <v>109</v>
      </c>
    </row>
    <row r="704" spans="1:4">
      <c r="A704" s="53">
        <v>45342</v>
      </c>
      <c r="B704" s="36" t="s">
        <v>10817</v>
      </c>
      <c r="C704" s="55">
        <v>45406</v>
      </c>
      <c r="D704" s="36" t="s">
        <v>109</v>
      </c>
    </row>
    <row r="705" spans="1:4">
      <c r="A705" s="61">
        <v>45345</v>
      </c>
      <c r="B705" s="36" t="s">
        <v>10819</v>
      </c>
      <c r="C705" s="36" t="s">
        <v>10818</v>
      </c>
      <c r="D705" s="36" t="s">
        <v>5</v>
      </c>
    </row>
    <row r="706" spans="1:4">
      <c r="A706" s="61">
        <v>45345</v>
      </c>
      <c r="B706" s="36" t="s">
        <v>10821</v>
      </c>
      <c r="C706" s="36" t="s">
        <v>10820</v>
      </c>
      <c r="D706" s="36" t="s">
        <v>5</v>
      </c>
    </row>
    <row r="707" spans="1:4">
      <c r="A707" s="61">
        <v>45350</v>
      </c>
      <c r="B707" s="36" t="s">
        <v>10823</v>
      </c>
      <c r="C707" s="36" t="s">
        <v>10822</v>
      </c>
      <c r="D707" s="36" t="s">
        <v>594</v>
      </c>
    </row>
    <row r="708" spans="1:4">
      <c r="A708" s="61">
        <v>45351</v>
      </c>
      <c r="B708" s="36" t="s">
        <v>10825</v>
      </c>
      <c r="C708" s="36" t="s">
        <v>10824</v>
      </c>
      <c r="D708" s="36" t="s">
        <v>345</v>
      </c>
    </row>
    <row r="709" spans="1:4">
      <c r="A709" s="61">
        <v>45351</v>
      </c>
      <c r="B709" s="36" t="s">
        <v>10827</v>
      </c>
      <c r="C709" s="36" t="s">
        <v>10826</v>
      </c>
      <c r="D709" s="36" t="s">
        <v>29</v>
      </c>
    </row>
    <row r="710" spans="1:4">
      <c r="A710" s="61">
        <v>45351</v>
      </c>
      <c r="B710" s="36" t="s">
        <v>10829</v>
      </c>
      <c r="C710" s="36" t="s">
        <v>10828</v>
      </c>
      <c r="D710" s="36" t="s">
        <v>109</v>
      </c>
    </row>
    <row r="711" spans="1:4">
      <c r="A711" s="61">
        <v>45351</v>
      </c>
      <c r="B711" s="36" t="s">
        <v>10825</v>
      </c>
      <c r="C711" s="36" t="s">
        <v>10824</v>
      </c>
      <c r="D711" s="36" t="s">
        <v>345</v>
      </c>
    </row>
    <row r="712" spans="1:4">
      <c r="A712" s="61">
        <v>45356</v>
      </c>
      <c r="B712" s="36" t="s">
        <v>10831</v>
      </c>
      <c r="C712" s="36" t="s">
        <v>10830</v>
      </c>
      <c r="D712" s="36" t="s">
        <v>5</v>
      </c>
    </row>
    <row r="713" spans="1:4">
      <c r="A713" s="61">
        <v>45356</v>
      </c>
      <c r="B713" s="36" t="s">
        <v>10833</v>
      </c>
      <c r="C713" s="36" t="s">
        <v>10832</v>
      </c>
      <c r="D713" s="36" t="s">
        <v>5</v>
      </c>
    </row>
    <row r="714" spans="1:4">
      <c r="A714" s="61">
        <v>45357</v>
      </c>
      <c r="B714" s="36" t="s">
        <v>10835</v>
      </c>
      <c r="C714" s="36" t="s">
        <v>10834</v>
      </c>
      <c r="D714" s="36" t="s">
        <v>81</v>
      </c>
    </row>
    <row r="715" spans="1:4">
      <c r="A715" s="61">
        <v>45357</v>
      </c>
      <c r="B715" s="36" t="s">
        <v>10836</v>
      </c>
      <c r="C715" s="36" t="s">
        <v>312</v>
      </c>
      <c r="D715" s="36" t="s">
        <v>81</v>
      </c>
    </row>
    <row r="716" spans="1:4">
      <c r="A716" s="61">
        <v>45348</v>
      </c>
      <c r="B716" s="36" t="s">
        <v>10838</v>
      </c>
      <c r="C716" s="41" t="s">
        <v>10837</v>
      </c>
      <c r="D716" s="36" t="s">
        <v>29</v>
      </c>
    </row>
    <row r="717" spans="1:4">
      <c r="A717" s="61">
        <v>45348</v>
      </c>
      <c r="B717" s="36" t="s">
        <v>10840</v>
      </c>
      <c r="C717" s="36" t="s">
        <v>10839</v>
      </c>
      <c r="D717" s="36" t="s">
        <v>29</v>
      </c>
    </row>
    <row r="718" spans="1:4">
      <c r="A718" s="61">
        <v>45348</v>
      </c>
      <c r="B718" s="36" t="s">
        <v>10842</v>
      </c>
      <c r="C718" s="41" t="s">
        <v>10841</v>
      </c>
      <c r="D718" s="36" t="s">
        <v>109</v>
      </c>
    </row>
    <row r="719" spans="1:4">
      <c r="A719" s="61">
        <v>45349</v>
      </c>
      <c r="B719" s="36" t="s">
        <v>10844</v>
      </c>
      <c r="C719" s="41" t="s">
        <v>10843</v>
      </c>
      <c r="D719" s="36" t="s">
        <v>74</v>
      </c>
    </row>
    <row r="720" spans="1:4">
      <c r="A720" s="61">
        <v>45349</v>
      </c>
      <c r="B720" s="36" t="s">
        <v>10846</v>
      </c>
      <c r="C720" s="41" t="s">
        <v>10845</v>
      </c>
      <c r="D720" s="36" t="s">
        <v>74</v>
      </c>
    </row>
    <row r="721" spans="1:4">
      <c r="A721" s="58">
        <v>45441</v>
      </c>
      <c r="B721" s="34" t="s">
        <v>10848</v>
      </c>
      <c r="C721" s="25" t="s">
        <v>10847</v>
      </c>
      <c r="D721" s="25" t="s">
        <v>24</v>
      </c>
    </row>
    <row r="722" spans="1:4">
      <c r="A722" s="61">
        <v>45350</v>
      </c>
      <c r="B722" s="36" t="s">
        <v>10850</v>
      </c>
      <c r="C722" s="41" t="s">
        <v>10849</v>
      </c>
      <c r="D722" s="36" t="s">
        <v>74</v>
      </c>
    </row>
    <row r="723" spans="1:4">
      <c r="A723" s="61">
        <v>45350</v>
      </c>
      <c r="B723" s="36" t="s">
        <v>10851</v>
      </c>
      <c r="C723" s="41" t="s">
        <v>10845</v>
      </c>
      <c r="D723" s="36" t="s">
        <v>74</v>
      </c>
    </row>
    <row r="724" spans="1:4">
      <c r="A724" s="58">
        <v>45435</v>
      </c>
      <c r="B724" s="34" t="s">
        <v>10852</v>
      </c>
      <c r="C724" s="25" t="s">
        <v>10108</v>
      </c>
      <c r="D724" s="25" t="s">
        <v>29</v>
      </c>
    </row>
    <row r="725" spans="1:4">
      <c r="A725" s="61">
        <v>45350</v>
      </c>
      <c r="B725" s="36" t="s">
        <v>10398</v>
      </c>
      <c r="C725" s="41" t="s">
        <v>10853</v>
      </c>
      <c r="D725" s="36" t="s">
        <v>19</v>
      </c>
    </row>
    <row r="726" spans="1:4">
      <c r="A726" s="61">
        <v>45350</v>
      </c>
      <c r="B726" s="36" t="s">
        <v>10855</v>
      </c>
      <c r="C726" s="36" t="s">
        <v>10854</v>
      </c>
      <c r="D726" s="36" t="s">
        <v>19</v>
      </c>
    </row>
    <row r="727" spans="1:4">
      <c r="A727" s="61">
        <v>45351</v>
      </c>
      <c r="B727" s="36" t="s">
        <v>10857</v>
      </c>
      <c r="C727" s="36" t="s">
        <v>10856</v>
      </c>
      <c r="D727" s="36" t="s">
        <v>24</v>
      </c>
    </row>
    <row r="728" spans="1:4">
      <c r="A728" s="61">
        <v>45351</v>
      </c>
      <c r="B728" s="36" t="s">
        <v>10859</v>
      </c>
      <c r="C728" s="36" t="s">
        <v>10858</v>
      </c>
      <c r="D728" s="36" t="s">
        <v>81</v>
      </c>
    </row>
    <row r="729" spans="1:4">
      <c r="A729" s="61">
        <v>45351</v>
      </c>
      <c r="B729" s="36" t="s">
        <v>10861</v>
      </c>
      <c r="C729" s="36" t="s">
        <v>10860</v>
      </c>
      <c r="D729" s="36" t="s">
        <v>345</v>
      </c>
    </row>
    <row r="730" spans="1:4">
      <c r="A730" s="61">
        <v>45351</v>
      </c>
      <c r="B730" s="36" t="s">
        <v>10863</v>
      </c>
      <c r="C730" s="36" t="s">
        <v>10862</v>
      </c>
      <c r="D730" s="36" t="s">
        <v>29</v>
      </c>
    </row>
    <row r="731" spans="1:4">
      <c r="A731" s="61">
        <v>45352</v>
      </c>
      <c r="B731" s="36" t="s">
        <v>10865</v>
      </c>
      <c r="C731" s="36" t="s">
        <v>10864</v>
      </c>
      <c r="D731" s="36" t="s">
        <v>510</v>
      </c>
    </row>
    <row r="732" spans="1:4">
      <c r="A732" s="61">
        <v>45352</v>
      </c>
      <c r="B732" s="36" t="s">
        <v>10867</v>
      </c>
      <c r="C732" s="36" t="s">
        <v>10866</v>
      </c>
      <c r="D732" s="36" t="s">
        <v>510</v>
      </c>
    </row>
    <row r="733" spans="1:4">
      <c r="A733" s="61">
        <v>45353</v>
      </c>
      <c r="B733" s="36" t="s">
        <v>10869</v>
      </c>
      <c r="C733" s="36" t="s">
        <v>10868</v>
      </c>
      <c r="D733" s="36" t="s">
        <v>510</v>
      </c>
    </row>
    <row r="734" spans="1:4">
      <c r="A734" s="61">
        <v>45353</v>
      </c>
      <c r="B734" s="36" t="s">
        <v>10871</v>
      </c>
      <c r="C734" s="56" t="s">
        <v>10870</v>
      </c>
      <c r="D734" s="36" t="s">
        <v>345</v>
      </c>
    </row>
    <row r="735" spans="1:4">
      <c r="A735" s="61">
        <v>45353</v>
      </c>
      <c r="B735" s="36" t="s">
        <v>10873</v>
      </c>
      <c r="C735" s="36" t="s">
        <v>10872</v>
      </c>
      <c r="D735" s="36" t="s">
        <v>510</v>
      </c>
    </row>
    <row r="736" spans="1:4">
      <c r="A736" s="61">
        <v>45353</v>
      </c>
      <c r="B736" s="36" t="s">
        <v>10871</v>
      </c>
      <c r="C736" s="36" t="s">
        <v>10874</v>
      </c>
      <c r="D736" s="36" t="s">
        <v>345</v>
      </c>
    </row>
    <row r="737" spans="1:4">
      <c r="A737" s="61">
        <v>45356</v>
      </c>
      <c r="B737" s="36" t="s">
        <v>10876</v>
      </c>
      <c r="C737" s="36" t="s">
        <v>10875</v>
      </c>
      <c r="D737" s="36" t="s">
        <v>74</v>
      </c>
    </row>
    <row r="738" spans="1:4">
      <c r="A738" s="61">
        <v>45356</v>
      </c>
      <c r="B738" s="36" t="s">
        <v>10878</v>
      </c>
      <c r="C738" s="36" t="s">
        <v>10877</v>
      </c>
      <c r="D738" s="36" t="s">
        <v>19</v>
      </c>
    </row>
    <row r="739" spans="1:4">
      <c r="A739" s="61">
        <v>45356</v>
      </c>
      <c r="B739" s="40" t="s">
        <v>10880</v>
      </c>
      <c r="C739" s="40" t="s">
        <v>10879</v>
      </c>
      <c r="D739" s="36" t="s">
        <v>29</v>
      </c>
    </row>
    <row r="740" spans="1:4">
      <c r="A740" s="61">
        <v>45356</v>
      </c>
      <c r="B740" s="36" t="s">
        <v>10882</v>
      </c>
      <c r="C740" s="36" t="s">
        <v>10881</v>
      </c>
      <c r="D740" s="36" t="s">
        <v>29</v>
      </c>
    </row>
    <row r="741" spans="1:4">
      <c r="A741" s="61">
        <v>45356</v>
      </c>
      <c r="B741" s="36" t="s">
        <v>10884</v>
      </c>
      <c r="C741" s="36" t="s">
        <v>10883</v>
      </c>
      <c r="D741" s="36" t="s">
        <v>345</v>
      </c>
    </row>
    <row r="742" spans="1:4">
      <c r="A742" s="61">
        <v>45356</v>
      </c>
      <c r="B742" s="36" t="s">
        <v>10886</v>
      </c>
      <c r="C742" s="36" t="s">
        <v>10885</v>
      </c>
      <c r="D742" s="36" t="s">
        <v>74</v>
      </c>
    </row>
    <row r="743" spans="1:4">
      <c r="A743" s="61">
        <v>45357</v>
      </c>
      <c r="B743" s="36" t="s">
        <v>10888</v>
      </c>
      <c r="C743" s="36" t="s">
        <v>10887</v>
      </c>
      <c r="D743" s="36" t="s">
        <v>29</v>
      </c>
    </row>
    <row r="744" spans="1:4">
      <c r="A744" s="61">
        <v>45357</v>
      </c>
      <c r="B744" s="36" t="s">
        <v>10890</v>
      </c>
      <c r="C744" s="36" t="s">
        <v>10889</v>
      </c>
      <c r="D744" s="36" t="s">
        <v>345</v>
      </c>
    </row>
    <row r="745" spans="1:4">
      <c r="A745" s="61">
        <v>45357</v>
      </c>
      <c r="B745" s="36" t="s">
        <v>10892</v>
      </c>
      <c r="C745" s="36" t="s">
        <v>10891</v>
      </c>
      <c r="D745" s="36" t="s">
        <v>29</v>
      </c>
    </row>
    <row r="746" spans="1:4">
      <c r="A746" s="61" t="s">
        <v>10895</v>
      </c>
      <c r="B746" s="36" t="s">
        <v>10894</v>
      </c>
      <c r="C746" s="36" t="s">
        <v>10893</v>
      </c>
      <c r="D746" s="36" t="s">
        <v>81</v>
      </c>
    </row>
    <row r="747" spans="1:4">
      <c r="A747" s="61">
        <v>45349</v>
      </c>
      <c r="B747" s="36" t="s">
        <v>10897</v>
      </c>
      <c r="C747" s="36" t="s">
        <v>10896</v>
      </c>
      <c r="D747" s="36" t="s">
        <v>5</v>
      </c>
    </row>
    <row r="748" spans="1:4">
      <c r="A748" s="61">
        <v>45355</v>
      </c>
      <c r="B748" s="36" t="s">
        <v>10899</v>
      </c>
      <c r="C748" s="36" t="s">
        <v>10898</v>
      </c>
      <c r="D748" s="36" t="s">
        <v>216</v>
      </c>
    </row>
    <row r="749" spans="1:4">
      <c r="A749" s="61">
        <v>45356</v>
      </c>
      <c r="B749" s="36" t="s">
        <v>10901</v>
      </c>
      <c r="C749" s="36" t="s">
        <v>10900</v>
      </c>
      <c r="D749" s="36" t="s">
        <v>74</v>
      </c>
    </row>
    <row r="750" spans="1:4">
      <c r="A750" s="61">
        <v>45356</v>
      </c>
      <c r="B750" s="36" t="s">
        <v>10903</v>
      </c>
      <c r="C750" s="36" t="s">
        <v>10902</v>
      </c>
      <c r="D750" s="36" t="s">
        <v>345</v>
      </c>
    </row>
    <row r="751" spans="1:4">
      <c r="A751" s="61">
        <v>45357</v>
      </c>
      <c r="B751" s="36" t="s">
        <v>10905</v>
      </c>
      <c r="C751" s="36" t="s">
        <v>10904</v>
      </c>
      <c r="D751" s="36" t="s">
        <v>345</v>
      </c>
    </row>
    <row r="752" spans="1:4">
      <c r="A752" s="61">
        <v>45357</v>
      </c>
      <c r="B752" s="36" t="s">
        <v>10907</v>
      </c>
      <c r="C752" s="36" t="s">
        <v>10906</v>
      </c>
      <c r="D752" s="36" t="s">
        <v>16</v>
      </c>
    </row>
    <row r="753" spans="1:4">
      <c r="A753" s="61">
        <v>45358</v>
      </c>
      <c r="B753" s="36" t="s">
        <v>10908</v>
      </c>
      <c r="C753" s="36" t="s">
        <v>3320</v>
      </c>
      <c r="D753" s="36" t="s">
        <v>74</v>
      </c>
    </row>
    <row r="754" spans="1:4">
      <c r="A754" s="61">
        <v>45358</v>
      </c>
      <c r="B754" s="36" t="s">
        <v>10910</v>
      </c>
      <c r="C754" s="36" t="s">
        <v>10909</v>
      </c>
      <c r="D754" s="36" t="s">
        <v>5</v>
      </c>
    </row>
    <row r="755" spans="1:4">
      <c r="A755" s="53">
        <v>45344</v>
      </c>
      <c r="B755" s="36" t="s">
        <v>10912</v>
      </c>
      <c r="C755" s="36" t="s">
        <v>10911</v>
      </c>
      <c r="D755" s="36" t="s">
        <v>74</v>
      </c>
    </row>
    <row r="756" spans="1:4">
      <c r="A756" s="53">
        <v>45344</v>
      </c>
      <c r="B756" s="36" t="s">
        <v>10914</v>
      </c>
      <c r="C756" s="36" t="s">
        <v>10913</v>
      </c>
      <c r="D756" s="36" t="s">
        <v>74</v>
      </c>
    </row>
    <row r="757" spans="1:4">
      <c r="A757" s="53">
        <v>45344</v>
      </c>
      <c r="B757" s="36" t="s">
        <v>10916</v>
      </c>
      <c r="C757" s="36" t="s">
        <v>10915</v>
      </c>
      <c r="D757" s="36" t="s">
        <v>5</v>
      </c>
    </row>
    <row r="758" spans="1:4">
      <c r="A758" s="58">
        <v>45435</v>
      </c>
      <c r="B758" s="34" t="s">
        <v>10917</v>
      </c>
      <c r="C758" s="25" t="s">
        <v>10108</v>
      </c>
      <c r="D758" s="25" t="s">
        <v>29</v>
      </c>
    </row>
    <row r="759" spans="1:4">
      <c r="A759" s="53">
        <v>45345</v>
      </c>
      <c r="B759" s="36" t="s">
        <v>10919</v>
      </c>
      <c r="C759" s="36" t="s">
        <v>10918</v>
      </c>
      <c r="D759" s="36" t="s">
        <v>5</v>
      </c>
    </row>
    <row r="760" spans="1:4">
      <c r="A760" s="61">
        <v>45355</v>
      </c>
      <c r="B760" s="36" t="s">
        <v>10921</v>
      </c>
      <c r="C760" s="36" t="s">
        <v>10920</v>
      </c>
      <c r="D760" s="36" t="s">
        <v>11</v>
      </c>
    </row>
    <row r="761" spans="1:4">
      <c r="A761" s="61">
        <v>45356</v>
      </c>
      <c r="B761" s="36" t="s">
        <v>10923</v>
      </c>
      <c r="C761" s="36" t="s">
        <v>10922</v>
      </c>
      <c r="D761" s="36" t="s">
        <v>11</v>
      </c>
    </row>
    <row r="762" spans="1:4">
      <c r="A762" s="61">
        <v>45356</v>
      </c>
      <c r="B762" s="36" t="s">
        <v>10925</v>
      </c>
      <c r="C762" s="36" t="s">
        <v>10924</v>
      </c>
      <c r="D762" s="36" t="s">
        <v>74</v>
      </c>
    </row>
    <row r="763" spans="1:4">
      <c r="A763" s="61">
        <v>45356</v>
      </c>
      <c r="B763" s="36" t="s">
        <v>10927</v>
      </c>
      <c r="C763" s="36" t="s">
        <v>10926</v>
      </c>
      <c r="D763" s="36" t="s">
        <v>74</v>
      </c>
    </row>
    <row r="764" spans="1:4">
      <c r="A764" s="61">
        <v>45356</v>
      </c>
      <c r="B764" s="36" t="s">
        <v>10929</v>
      </c>
      <c r="C764" s="36" t="s">
        <v>10928</v>
      </c>
      <c r="D764" s="36" t="s">
        <v>5</v>
      </c>
    </row>
    <row r="765" spans="1:4">
      <c r="A765" s="61">
        <v>45357</v>
      </c>
      <c r="B765" s="36" t="s">
        <v>10931</v>
      </c>
      <c r="C765" s="36" t="s">
        <v>10930</v>
      </c>
      <c r="D765" s="36" t="s">
        <v>5</v>
      </c>
    </row>
    <row r="766" spans="1:4">
      <c r="A766" s="61">
        <v>45357</v>
      </c>
      <c r="B766" s="36" t="s">
        <v>10933</v>
      </c>
      <c r="C766" s="36" t="s">
        <v>10932</v>
      </c>
      <c r="D766" s="36" t="s">
        <v>37</v>
      </c>
    </row>
    <row r="767" spans="1:4">
      <c r="A767" s="61">
        <v>45357</v>
      </c>
      <c r="B767" s="36" t="s">
        <v>10933</v>
      </c>
      <c r="C767" s="36" t="s">
        <v>10932</v>
      </c>
      <c r="D767" s="36" t="s">
        <v>37</v>
      </c>
    </row>
    <row r="768" spans="1:4">
      <c r="A768" s="61">
        <v>45357</v>
      </c>
      <c r="B768" s="36" t="s">
        <v>10935</v>
      </c>
      <c r="C768" s="36" t="s">
        <v>10934</v>
      </c>
      <c r="D768" s="36" t="s">
        <v>11</v>
      </c>
    </row>
    <row r="769" spans="1:4">
      <c r="A769" s="61">
        <v>45357</v>
      </c>
      <c r="B769" s="36" t="s">
        <v>10937</v>
      </c>
      <c r="C769" s="36" t="s">
        <v>10936</v>
      </c>
      <c r="D769" s="36" t="s">
        <v>24</v>
      </c>
    </row>
    <row r="770" spans="1:4">
      <c r="A770" s="61">
        <v>45358</v>
      </c>
      <c r="B770" s="36" t="s">
        <v>10939</v>
      </c>
      <c r="C770" s="36" t="s">
        <v>10938</v>
      </c>
      <c r="D770" s="36" t="s">
        <v>11</v>
      </c>
    </row>
    <row r="771" spans="1:4">
      <c r="A771" s="61">
        <v>45358</v>
      </c>
      <c r="B771" s="36" t="s">
        <v>10941</v>
      </c>
      <c r="C771" s="36" t="s">
        <v>10940</v>
      </c>
      <c r="D771" s="36" t="s">
        <v>5</v>
      </c>
    </row>
    <row r="772" spans="1:4">
      <c r="A772" s="61">
        <v>45358</v>
      </c>
      <c r="B772" s="36" t="s">
        <v>10943</v>
      </c>
      <c r="C772" s="36" t="s">
        <v>10942</v>
      </c>
      <c r="D772" s="36" t="s">
        <v>74</v>
      </c>
    </row>
    <row r="773" spans="1:4">
      <c r="A773" s="61">
        <v>45358</v>
      </c>
      <c r="B773" s="36" t="s">
        <v>10945</v>
      </c>
      <c r="C773" s="36" t="s">
        <v>10944</v>
      </c>
      <c r="D773" s="36" t="s">
        <v>74</v>
      </c>
    </row>
    <row r="774" spans="1:4">
      <c r="A774" s="61">
        <v>45358</v>
      </c>
      <c r="B774" s="36" t="s">
        <v>10939</v>
      </c>
      <c r="C774" s="36" t="s">
        <v>10938</v>
      </c>
      <c r="D774" s="36" t="s">
        <v>11</v>
      </c>
    </row>
    <row r="775" spans="1:4">
      <c r="A775" s="61">
        <v>45359</v>
      </c>
      <c r="B775" s="36" t="s">
        <v>10947</v>
      </c>
      <c r="C775" s="36" t="s">
        <v>10946</v>
      </c>
      <c r="D775" s="36" t="s">
        <v>5</v>
      </c>
    </row>
    <row r="776" spans="1:4">
      <c r="A776" s="61">
        <v>45359</v>
      </c>
      <c r="B776" s="36" t="s">
        <v>10949</v>
      </c>
      <c r="C776" s="36" t="s">
        <v>10948</v>
      </c>
      <c r="D776" s="36" t="s">
        <v>5</v>
      </c>
    </row>
    <row r="777" spans="1:4">
      <c r="A777" s="61">
        <v>45359</v>
      </c>
      <c r="B777" s="36" t="s">
        <v>10951</v>
      </c>
      <c r="C777" s="36" t="s">
        <v>10950</v>
      </c>
      <c r="D777" s="36" t="s">
        <v>11</v>
      </c>
    </row>
    <row r="778" spans="1:4">
      <c r="A778" s="61">
        <v>45359</v>
      </c>
      <c r="B778" s="36" t="s">
        <v>10953</v>
      </c>
      <c r="C778" s="36" t="s">
        <v>10952</v>
      </c>
      <c r="D778" s="36" t="s">
        <v>37</v>
      </c>
    </row>
    <row r="779" spans="1:4">
      <c r="A779" s="61">
        <v>45359</v>
      </c>
      <c r="B779" s="36" t="s">
        <v>10955</v>
      </c>
      <c r="C779" s="36" t="s">
        <v>10954</v>
      </c>
      <c r="D779" s="36" t="s">
        <v>141</v>
      </c>
    </row>
    <row r="780" spans="1:4">
      <c r="A780" s="32">
        <v>45362</v>
      </c>
      <c r="B780" s="19" t="s">
        <v>10957</v>
      </c>
      <c r="C780" s="19" t="s">
        <v>10956</v>
      </c>
      <c r="D780" s="19" t="s">
        <v>5</v>
      </c>
    </row>
    <row r="781" spans="1:4">
      <c r="A781" s="32">
        <v>45362</v>
      </c>
      <c r="B781" s="19" t="s">
        <v>10959</v>
      </c>
      <c r="C781" s="19" t="s">
        <v>10958</v>
      </c>
      <c r="D781" s="19" t="s">
        <v>216</v>
      </c>
    </row>
    <row r="782" spans="1:4">
      <c r="A782" s="32">
        <v>45362</v>
      </c>
      <c r="B782" s="19" t="s">
        <v>10961</v>
      </c>
      <c r="C782" s="19" t="s">
        <v>10960</v>
      </c>
      <c r="D782" s="19" t="s">
        <v>29</v>
      </c>
    </row>
    <row r="783" spans="1:4">
      <c r="A783" s="32">
        <v>45362</v>
      </c>
      <c r="B783" s="19" t="s">
        <v>10963</v>
      </c>
      <c r="C783" s="19" t="s">
        <v>10962</v>
      </c>
      <c r="D783" s="19" t="s">
        <v>11</v>
      </c>
    </row>
    <row r="784" spans="1:4">
      <c r="A784" s="32">
        <v>45362</v>
      </c>
      <c r="B784" s="19" t="s">
        <v>10965</v>
      </c>
      <c r="C784" s="19" t="s">
        <v>10964</v>
      </c>
      <c r="D784" s="19" t="s">
        <v>34</v>
      </c>
    </row>
    <row r="785" spans="1:4">
      <c r="A785" s="32">
        <v>45362</v>
      </c>
      <c r="B785" s="19" t="s">
        <v>10967</v>
      </c>
      <c r="C785" s="19" t="s">
        <v>10966</v>
      </c>
      <c r="D785" s="19" t="s">
        <v>34</v>
      </c>
    </row>
    <row r="786" spans="1:4">
      <c r="A786" s="32">
        <v>45363</v>
      </c>
      <c r="B786" s="19" t="s">
        <v>10969</v>
      </c>
      <c r="C786" s="19" t="s">
        <v>10968</v>
      </c>
      <c r="D786" s="19" t="s">
        <v>11</v>
      </c>
    </row>
    <row r="787" spans="1:4">
      <c r="A787" s="32">
        <v>45363</v>
      </c>
      <c r="B787" s="19" t="s">
        <v>10971</v>
      </c>
      <c r="C787" s="19" t="s">
        <v>10970</v>
      </c>
      <c r="D787" s="19" t="s">
        <v>353</v>
      </c>
    </row>
    <row r="788" spans="1:4">
      <c r="A788" s="32">
        <v>45363</v>
      </c>
      <c r="B788" s="19" t="s">
        <v>10973</v>
      </c>
      <c r="C788" s="19" t="s">
        <v>10972</v>
      </c>
      <c r="D788" s="19" t="s">
        <v>5</v>
      </c>
    </row>
    <row r="789" spans="1:4">
      <c r="A789" s="32">
        <v>45363</v>
      </c>
      <c r="B789" s="19" t="s">
        <v>10975</v>
      </c>
      <c r="C789" s="19" t="s">
        <v>10974</v>
      </c>
      <c r="D789" s="19" t="s">
        <v>5</v>
      </c>
    </row>
    <row r="790" spans="1:4">
      <c r="A790" s="32">
        <v>45363</v>
      </c>
      <c r="B790" s="19" t="s">
        <v>10977</v>
      </c>
      <c r="C790" s="19" t="s">
        <v>10976</v>
      </c>
      <c r="D790" s="19" t="s">
        <v>216</v>
      </c>
    </row>
    <row r="791" spans="1:4">
      <c r="A791" s="32">
        <v>45363</v>
      </c>
      <c r="B791" s="19" t="s">
        <v>10979</v>
      </c>
      <c r="C791" s="19" t="s">
        <v>10978</v>
      </c>
      <c r="D791" s="19" t="s">
        <v>16</v>
      </c>
    </row>
    <row r="792" spans="1:4">
      <c r="A792" s="32">
        <v>45363</v>
      </c>
      <c r="B792" s="19" t="s">
        <v>10981</v>
      </c>
      <c r="C792" s="19" t="s">
        <v>10980</v>
      </c>
      <c r="D792" s="19" t="s">
        <v>5</v>
      </c>
    </row>
    <row r="793" spans="1:4">
      <c r="A793" s="32">
        <v>45364</v>
      </c>
      <c r="B793" s="19" t="s">
        <v>10969</v>
      </c>
      <c r="C793" s="19" t="s">
        <v>10982</v>
      </c>
      <c r="D793" s="19" t="s">
        <v>109</v>
      </c>
    </row>
    <row r="794" spans="1:4">
      <c r="A794" s="32">
        <v>45364</v>
      </c>
      <c r="B794" s="19" t="s">
        <v>10984</v>
      </c>
      <c r="C794" s="19" t="s">
        <v>10983</v>
      </c>
      <c r="D794" s="19" t="s">
        <v>74</v>
      </c>
    </row>
    <row r="795" spans="1:4">
      <c r="A795" s="32">
        <v>45364</v>
      </c>
      <c r="B795" s="19" t="s">
        <v>10986</v>
      </c>
      <c r="C795" s="19" t="s">
        <v>10985</v>
      </c>
      <c r="D795" s="19" t="s">
        <v>216</v>
      </c>
    </row>
    <row r="796" spans="1:4">
      <c r="A796" s="32">
        <v>45364</v>
      </c>
      <c r="B796" s="19" t="s">
        <v>10988</v>
      </c>
      <c r="C796" s="19" t="s">
        <v>10987</v>
      </c>
      <c r="D796" s="19" t="s">
        <v>74</v>
      </c>
    </row>
    <row r="797" spans="1:4">
      <c r="A797" s="32">
        <v>45365</v>
      </c>
      <c r="B797" s="19" t="s">
        <v>10990</v>
      </c>
      <c r="C797" s="19" t="s">
        <v>10989</v>
      </c>
      <c r="D797" s="19" t="s">
        <v>16</v>
      </c>
    </row>
    <row r="798" spans="1:4">
      <c r="A798" s="32">
        <v>45365</v>
      </c>
      <c r="B798" s="19" t="s">
        <v>10992</v>
      </c>
      <c r="C798" s="19" t="s">
        <v>10991</v>
      </c>
      <c r="D798" s="19" t="s">
        <v>5</v>
      </c>
    </row>
    <row r="799" spans="1:4">
      <c r="A799" s="58">
        <v>45357</v>
      </c>
      <c r="B799" s="34" t="s">
        <v>10994</v>
      </c>
      <c r="C799" s="25" t="s">
        <v>10993</v>
      </c>
      <c r="D799" s="25" t="s">
        <v>29</v>
      </c>
    </row>
    <row r="800" spans="1:4">
      <c r="A800" s="58">
        <v>45357</v>
      </c>
      <c r="B800" s="34" t="s">
        <v>10996</v>
      </c>
      <c r="C800" s="25" t="s">
        <v>10995</v>
      </c>
      <c r="D800" s="25" t="s">
        <v>16</v>
      </c>
    </row>
    <row r="801" spans="1:4">
      <c r="A801" s="58">
        <v>45358</v>
      </c>
      <c r="B801" s="34" t="s">
        <v>10998</v>
      </c>
      <c r="C801" s="25" t="s">
        <v>10997</v>
      </c>
      <c r="D801" s="25" t="s">
        <v>74</v>
      </c>
    </row>
    <row r="802" spans="1:4">
      <c r="A802" s="58">
        <v>45358</v>
      </c>
      <c r="B802" s="34" t="s">
        <v>11000</v>
      </c>
      <c r="C802" s="25" t="s">
        <v>10999</v>
      </c>
      <c r="D802" s="25" t="s">
        <v>141</v>
      </c>
    </row>
    <row r="803" spans="1:4">
      <c r="A803" s="58">
        <v>45359</v>
      </c>
      <c r="B803" s="34" t="s">
        <v>11002</v>
      </c>
      <c r="C803" s="25" t="s">
        <v>11001</v>
      </c>
      <c r="D803" s="25" t="s">
        <v>164</v>
      </c>
    </row>
    <row r="804" spans="1:4">
      <c r="A804" s="58">
        <v>45359</v>
      </c>
      <c r="B804" s="34" t="s">
        <v>11004</v>
      </c>
      <c r="C804" s="25" t="s">
        <v>11003</v>
      </c>
      <c r="D804" s="25" t="s">
        <v>164</v>
      </c>
    </row>
    <row r="805" spans="1:4">
      <c r="A805" s="58">
        <v>45360</v>
      </c>
      <c r="B805" s="34" t="s">
        <v>11006</v>
      </c>
      <c r="C805" s="25" t="s">
        <v>11005</v>
      </c>
      <c r="D805" s="25" t="s">
        <v>141</v>
      </c>
    </row>
    <row r="806" spans="1:4">
      <c r="A806" s="58">
        <v>45360</v>
      </c>
      <c r="B806" s="34" t="s">
        <v>11008</v>
      </c>
      <c r="C806" s="25" t="s">
        <v>11007</v>
      </c>
      <c r="D806" s="25" t="s">
        <v>141</v>
      </c>
    </row>
    <row r="807" spans="1:4">
      <c r="A807" s="58">
        <v>45360</v>
      </c>
      <c r="B807" s="34" t="s">
        <v>11010</v>
      </c>
      <c r="C807" s="25" t="s">
        <v>11009</v>
      </c>
      <c r="D807" s="25" t="s">
        <v>24</v>
      </c>
    </row>
    <row r="808" spans="1:4">
      <c r="A808" s="58">
        <v>45360</v>
      </c>
      <c r="B808" s="34" t="s">
        <v>11012</v>
      </c>
      <c r="C808" s="25" t="s">
        <v>11011</v>
      </c>
      <c r="D808" s="25" t="s">
        <v>24</v>
      </c>
    </row>
    <row r="809" spans="1:4">
      <c r="A809" s="58">
        <v>45362</v>
      </c>
      <c r="B809" s="34" t="s">
        <v>11014</v>
      </c>
      <c r="C809" s="25" t="s">
        <v>11013</v>
      </c>
      <c r="D809" s="25" t="s">
        <v>141</v>
      </c>
    </row>
    <row r="810" spans="1:4">
      <c r="A810" s="58">
        <v>45362</v>
      </c>
      <c r="B810" s="34" t="s">
        <v>11016</v>
      </c>
      <c r="C810" s="25" t="s">
        <v>11015</v>
      </c>
      <c r="D810" s="25" t="s">
        <v>141</v>
      </c>
    </row>
    <row r="811" spans="1:4">
      <c r="A811" s="58">
        <v>45358</v>
      </c>
      <c r="B811" s="34" t="s">
        <v>11018</v>
      </c>
      <c r="C811" s="25" t="s">
        <v>11017</v>
      </c>
      <c r="D811" s="25" t="s">
        <v>74</v>
      </c>
    </row>
    <row r="812" spans="1:4">
      <c r="A812" s="58">
        <v>45358</v>
      </c>
      <c r="B812" s="34" t="s">
        <v>11019</v>
      </c>
      <c r="C812" s="25" t="s">
        <v>11017</v>
      </c>
      <c r="D812" s="25" t="s">
        <v>74</v>
      </c>
    </row>
    <row r="813" spans="1:4">
      <c r="A813" s="58">
        <v>45362</v>
      </c>
      <c r="B813" s="34" t="s">
        <v>11020</v>
      </c>
      <c r="C813" s="25" t="s">
        <v>11017</v>
      </c>
      <c r="D813" s="25" t="s">
        <v>74</v>
      </c>
    </row>
    <row r="814" spans="1:4">
      <c r="A814" s="58">
        <v>45364</v>
      </c>
      <c r="B814" s="34" t="s">
        <v>11022</v>
      </c>
      <c r="C814" s="25" t="s">
        <v>11021</v>
      </c>
      <c r="D814" s="25" t="s">
        <v>141</v>
      </c>
    </row>
    <row r="815" spans="1:4">
      <c r="A815" s="58">
        <v>45364</v>
      </c>
      <c r="B815" s="34" t="s">
        <v>11024</v>
      </c>
      <c r="C815" s="25" t="s">
        <v>11023</v>
      </c>
      <c r="D815" s="25" t="s">
        <v>353</v>
      </c>
    </row>
    <row r="816" spans="1:4">
      <c r="A816" s="58">
        <v>45364</v>
      </c>
      <c r="B816" s="34" t="s">
        <v>11026</v>
      </c>
      <c r="C816" s="25" t="s">
        <v>11025</v>
      </c>
      <c r="D816" s="25" t="s">
        <v>141</v>
      </c>
    </row>
    <row r="817" spans="1:4">
      <c r="A817" s="58">
        <v>45365</v>
      </c>
      <c r="B817" s="34" t="s">
        <v>11028</v>
      </c>
      <c r="C817" s="25" t="s">
        <v>11027</v>
      </c>
      <c r="D817" s="25" t="s">
        <v>8</v>
      </c>
    </row>
    <row r="818" spans="1:4">
      <c r="A818" s="58">
        <v>45366</v>
      </c>
      <c r="B818" s="34" t="s">
        <v>11030</v>
      </c>
      <c r="C818" s="25" t="s">
        <v>11029</v>
      </c>
      <c r="D818" s="25" t="s">
        <v>141</v>
      </c>
    </row>
    <row r="819" spans="1:4">
      <c r="A819" s="58">
        <v>45366</v>
      </c>
      <c r="B819" s="34" t="s">
        <v>11032</v>
      </c>
      <c r="C819" s="25" t="s">
        <v>11031</v>
      </c>
      <c r="D819" s="25" t="s">
        <v>74</v>
      </c>
    </row>
    <row r="820" spans="1:4">
      <c r="A820" s="58">
        <v>45366</v>
      </c>
      <c r="B820" s="34" t="s">
        <v>11034</v>
      </c>
      <c r="C820" s="25" t="s">
        <v>11033</v>
      </c>
      <c r="D820" s="25" t="s">
        <v>141</v>
      </c>
    </row>
    <row r="821" spans="1:4">
      <c r="A821" s="58">
        <v>45366</v>
      </c>
      <c r="B821" s="34" t="s">
        <v>11036</v>
      </c>
      <c r="C821" s="25" t="s">
        <v>11035</v>
      </c>
      <c r="D821" s="25" t="s">
        <v>141</v>
      </c>
    </row>
    <row r="822" spans="1:4">
      <c r="A822" s="61">
        <v>45314</v>
      </c>
      <c r="B822" s="36" t="s">
        <v>11038</v>
      </c>
      <c r="C822" s="36" t="s">
        <v>11037</v>
      </c>
      <c r="D822" s="36" t="s">
        <v>81</v>
      </c>
    </row>
    <row r="823" spans="1:4">
      <c r="A823" s="58">
        <v>45367</v>
      </c>
      <c r="B823" s="34" t="s">
        <v>11040</v>
      </c>
      <c r="C823" s="25" t="s">
        <v>11039</v>
      </c>
      <c r="D823" s="25" t="s">
        <v>8</v>
      </c>
    </row>
    <row r="824" spans="1:4">
      <c r="A824" s="58">
        <v>45367</v>
      </c>
      <c r="B824" s="34" t="s">
        <v>11042</v>
      </c>
      <c r="C824" s="25" t="s">
        <v>11041</v>
      </c>
      <c r="D824" s="25" t="s">
        <v>24</v>
      </c>
    </row>
    <row r="825" spans="1:4">
      <c r="A825" s="58">
        <v>45369</v>
      </c>
      <c r="B825" s="34" t="s">
        <v>11044</v>
      </c>
      <c r="C825" s="25" t="s">
        <v>11043</v>
      </c>
      <c r="D825" s="25" t="s">
        <v>29</v>
      </c>
    </row>
    <row r="826" spans="1:4">
      <c r="A826" s="58">
        <v>45369</v>
      </c>
      <c r="B826" s="34" t="s">
        <v>11045</v>
      </c>
      <c r="C826" s="25" t="s">
        <v>10978</v>
      </c>
      <c r="D826" s="25" t="s">
        <v>16</v>
      </c>
    </row>
    <row r="827" spans="1:4">
      <c r="A827" s="58">
        <v>45370</v>
      </c>
      <c r="B827" s="34" t="s">
        <v>10969</v>
      </c>
      <c r="C827" s="25" t="s">
        <v>11046</v>
      </c>
      <c r="D827" s="25" t="s">
        <v>216</v>
      </c>
    </row>
    <row r="828" spans="1:4">
      <c r="A828" s="61">
        <v>45314</v>
      </c>
      <c r="B828" s="36" t="s">
        <v>11048</v>
      </c>
      <c r="C828" s="36" t="s">
        <v>11047</v>
      </c>
      <c r="D828" s="36" t="s">
        <v>81</v>
      </c>
    </row>
    <row r="829" spans="1:4">
      <c r="A829" s="58">
        <v>45371</v>
      </c>
      <c r="B829" s="34" t="s">
        <v>11050</v>
      </c>
      <c r="C829" s="25" t="s">
        <v>11049</v>
      </c>
      <c r="D829" s="25" t="s">
        <v>8</v>
      </c>
    </row>
    <row r="830" spans="1:4">
      <c r="A830" s="58">
        <v>45371</v>
      </c>
      <c r="B830" s="34" t="s">
        <v>11052</v>
      </c>
      <c r="C830" s="25" t="s">
        <v>11051</v>
      </c>
      <c r="D830" s="25" t="s">
        <v>8</v>
      </c>
    </row>
    <row r="831" spans="1:4">
      <c r="A831" s="58">
        <v>45371</v>
      </c>
      <c r="B831" s="34" t="s">
        <v>11054</v>
      </c>
      <c r="C831" s="25" t="s">
        <v>11053</v>
      </c>
      <c r="D831" s="25" t="s">
        <v>8</v>
      </c>
    </row>
    <row r="832" spans="1:4">
      <c r="A832" s="58">
        <v>45371</v>
      </c>
      <c r="B832" s="34" t="s">
        <v>11056</v>
      </c>
      <c r="C832" s="25" t="s">
        <v>11055</v>
      </c>
      <c r="D832" s="25" t="s">
        <v>11</v>
      </c>
    </row>
    <row r="833" spans="1:4">
      <c r="A833" s="58">
        <v>45371</v>
      </c>
      <c r="B833" s="34" t="s">
        <v>11058</v>
      </c>
      <c r="C833" s="25" t="s">
        <v>11057</v>
      </c>
      <c r="D833" s="25" t="s">
        <v>8</v>
      </c>
    </row>
    <row r="834" spans="1:4">
      <c r="A834" s="58">
        <v>45371</v>
      </c>
      <c r="B834" s="34" t="s">
        <v>11060</v>
      </c>
      <c r="C834" s="25" t="s">
        <v>11059</v>
      </c>
      <c r="D834" s="25" t="s">
        <v>11</v>
      </c>
    </row>
    <row r="835" spans="1:4">
      <c r="A835" s="58">
        <v>45372</v>
      </c>
      <c r="B835" s="34" t="s">
        <v>11062</v>
      </c>
      <c r="C835" s="25" t="s">
        <v>11061</v>
      </c>
      <c r="D835" s="25" t="s">
        <v>29</v>
      </c>
    </row>
    <row r="836" spans="1:4">
      <c r="A836" s="58">
        <v>45372</v>
      </c>
      <c r="B836" s="34" t="s">
        <v>11064</v>
      </c>
      <c r="C836" s="25" t="s">
        <v>11063</v>
      </c>
      <c r="D836" s="25" t="s">
        <v>11</v>
      </c>
    </row>
    <row r="837" spans="1:4">
      <c r="A837" s="58">
        <v>45373</v>
      </c>
      <c r="B837" s="34" t="s">
        <v>11066</v>
      </c>
      <c r="C837" s="25" t="s">
        <v>11065</v>
      </c>
      <c r="D837" s="25" t="s">
        <v>74</v>
      </c>
    </row>
    <row r="838" spans="1:4">
      <c r="A838" s="58">
        <v>45373</v>
      </c>
      <c r="B838" s="34" t="s">
        <v>11067</v>
      </c>
      <c r="C838" s="25" t="s">
        <v>11055</v>
      </c>
      <c r="D838" s="25" t="s">
        <v>11</v>
      </c>
    </row>
    <row r="839" spans="1:4">
      <c r="A839" s="58">
        <v>45374</v>
      </c>
      <c r="B839" s="34" t="s">
        <v>11068</v>
      </c>
      <c r="C839" s="25" t="s">
        <v>11055</v>
      </c>
      <c r="D839" s="25" t="s">
        <v>11</v>
      </c>
    </row>
    <row r="840" spans="1:4">
      <c r="A840" s="58">
        <v>45374</v>
      </c>
      <c r="B840" s="34" t="s">
        <v>11070</v>
      </c>
      <c r="C840" s="25" t="s">
        <v>11069</v>
      </c>
      <c r="D840" s="25" t="s">
        <v>24</v>
      </c>
    </row>
    <row r="841" spans="1:4">
      <c r="A841" s="58">
        <v>45375</v>
      </c>
      <c r="B841" s="34" t="s">
        <v>11071</v>
      </c>
      <c r="C841" s="25" t="s">
        <v>11069</v>
      </c>
      <c r="D841" s="25" t="s">
        <v>24</v>
      </c>
    </row>
    <row r="842" spans="1:4">
      <c r="A842" s="58">
        <v>45376</v>
      </c>
      <c r="B842" s="34" t="s">
        <v>11073</v>
      </c>
      <c r="C842" s="25" t="s">
        <v>11072</v>
      </c>
      <c r="D842" s="25" t="s">
        <v>24</v>
      </c>
    </row>
    <row r="843" spans="1:4">
      <c r="A843" s="58">
        <v>45376</v>
      </c>
      <c r="B843" s="34" t="s">
        <v>11075</v>
      </c>
      <c r="C843" s="25" t="s">
        <v>11074</v>
      </c>
      <c r="D843" s="25" t="s">
        <v>24</v>
      </c>
    </row>
    <row r="844" spans="1:4">
      <c r="A844" s="58">
        <v>45376</v>
      </c>
      <c r="B844" s="34" t="s">
        <v>11077</v>
      </c>
      <c r="C844" s="25" t="s">
        <v>11076</v>
      </c>
      <c r="D844" s="25" t="s">
        <v>24</v>
      </c>
    </row>
    <row r="845" spans="1:4">
      <c r="A845" s="58">
        <v>45376</v>
      </c>
      <c r="B845" s="34" t="s">
        <v>11079</v>
      </c>
      <c r="C845" s="25" t="s">
        <v>11078</v>
      </c>
      <c r="D845" s="25" t="s">
        <v>8</v>
      </c>
    </row>
    <row r="846" spans="1:4">
      <c r="A846" s="58">
        <v>45376</v>
      </c>
      <c r="B846" s="34" t="s">
        <v>11079</v>
      </c>
      <c r="C846" s="25" t="s">
        <v>11078</v>
      </c>
      <c r="D846" s="25" t="s">
        <v>8</v>
      </c>
    </row>
    <row r="847" spans="1:4">
      <c r="A847" s="58">
        <v>45376</v>
      </c>
      <c r="B847" s="34" t="s">
        <v>11079</v>
      </c>
      <c r="C847" s="25" t="s">
        <v>11080</v>
      </c>
      <c r="D847" s="25" t="s">
        <v>11</v>
      </c>
    </row>
    <row r="848" spans="1:4">
      <c r="A848" s="58">
        <v>45378</v>
      </c>
      <c r="B848" s="34" t="s">
        <v>11082</v>
      </c>
      <c r="C848" s="25" t="s">
        <v>11081</v>
      </c>
      <c r="D848" s="25" t="s">
        <v>353</v>
      </c>
    </row>
    <row r="849" spans="1:4">
      <c r="A849" s="58">
        <v>45378</v>
      </c>
      <c r="B849" s="34" t="s">
        <v>11083</v>
      </c>
      <c r="C849" s="25" t="s">
        <v>799</v>
      </c>
      <c r="D849" s="25" t="s">
        <v>11</v>
      </c>
    </row>
    <row r="850" spans="1:4">
      <c r="A850" s="58">
        <v>45378</v>
      </c>
      <c r="B850" s="34" t="s">
        <v>11085</v>
      </c>
      <c r="C850" s="25" t="s">
        <v>11084</v>
      </c>
      <c r="D850" s="25" t="s">
        <v>11</v>
      </c>
    </row>
    <row r="851" spans="1:4">
      <c r="A851" s="58">
        <v>45378</v>
      </c>
      <c r="B851" s="34" t="s">
        <v>11085</v>
      </c>
      <c r="C851" s="25" t="s">
        <v>799</v>
      </c>
      <c r="D851" s="25" t="s">
        <v>11</v>
      </c>
    </row>
    <row r="852" spans="1:4">
      <c r="A852" s="58">
        <v>45378</v>
      </c>
      <c r="B852" s="34" t="s">
        <v>11087</v>
      </c>
      <c r="C852" s="25" t="s">
        <v>11086</v>
      </c>
      <c r="D852" s="25" t="s">
        <v>353</v>
      </c>
    </row>
    <row r="853" spans="1:4">
      <c r="A853" s="58">
        <v>45378</v>
      </c>
      <c r="B853" s="34" t="s">
        <v>11085</v>
      </c>
      <c r="C853" s="25" t="s">
        <v>11088</v>
      </c>
      <c r="D853" s="25" t="s">
        <v>11</v>
      </c>
    </row>
    <row r="854" spans="1:4">
      <c r="A854" s="61">
        <v>45314</v>
      </c>
      <c r="B854" s="36" t="s">
        <v>11089</v>
      </c>
      <c r="C854" s="36" t="s">
        <v>11037</v>
      </c>
      <c r="D854" s="36" t="s">
        <v>81</v>
      </c>
    </row>
    <row r="855" spans="1:4">
      <c r="A855" s="58">
        <v>45379</v>
      </c>
      <c r="B855" s="34" t="s">
        <v>11091</v>
      </c>
      <c r="C855" s="25" t="s">
        <v>11090</v>
      </c>
      <c r="D855" s="25" t="s">
        <v>29</v>
      </c>
    </row>
    <row r="856" spans="1:4">
      <c r="A856" s="61">
        <v>45314</v>
      </c>
      <c r="B856" s="36" t="s">
        <v>11092</v>
      </c>
      <c r="C856" s="36" t="s">
        <v>11037</v>
      </c>
      <c r="D856" s="36" t="s">
        <v>81</v>
      </c>
    </row>
    <row r="857" spans="1:4">
      <c r="A857" s="61">
        <v>45314</v>
      </c>
      <c r="B857" s="36" t="s">
        <v>11093</v>
      </c>
      <c r="C857" s="36" t="s">
        <v>83</v>
      </c>
      <c r="D857" s="36" t="s">
        <v>81</v>
      </c>
    </row>
    <row r="858" spans="1:4">
      <c r="A858" s="61">
        <v>45357</v>
      </c>
      <c r="B858" s="36" t="s">
        <v>11094</v>
      </c>
      <c r="C858" s="36" t="s">
        <v>83</v>
      </c>
      <c r="D858" s="36" t="s">
        <v>81</v>
      </c>
    </row>
    <row r="859" spans="1:4">
      <c r="A859" s="58">
        <v>45436</v>
      </c>
      <c r="B859" s="34" t="s">
        <v>11096</v>
      </c>
      <c r="C859" s="25" t="s">
        <v>11095</v>
      </c>
      <c r="D859" s="25" t="s">
        <v>109</v>
      </c>
    </row>
    <row r="860" spans="1:4">
      <c r="A860" s="58">
        <v>45421</v>
      </c>
      <c r="B860" s="34" t="s">
        <v>11098</v>
      </c>
      <c r="C860" s="25" t="s">
        <v>11097</v>
      </c>
      <c r="D860" s="25" t="s">
        <v>29</v>
      </c>
    </row>
    <row r="861" spans="1:4">
      <c r="A861" s="58">
        <v>45422</v>
      </c>
      <c r="B861" s="34" t="s">
        <v>11100</v>
      </c>
      <c r="C861" s="25" t="s">
        <v>11099</v>
      </c>
      <c r="D861" s="25" t="s">
        <v>29</v>
      </c>
    </row>
    <row r="862" spans="1:4">
      <c r="A862" s="61">
        <v>45316</v>
      </c>
      <c r="B862" s="36" t="s">
        <v>11102</v>
      </c>
      <c r="C862" s="36" t="s">
        <v>11101</v>
      </c>
      <c r="D862" s="36" t="s">
        <v>216</v>
      </c>
    </row>
    <row r="863" spans="1:4">
      <c r="A863" s="61">
        <v>45316</v>
      </c>
      <c r="B863" s="36" t="s">
        <v>11104</v>
      </c>
      <c r="C863" s="36" t="s">
        <v>11103</v>
      </c>
      <c r="D863" s="36" t="s">
        <v>216</v>
      </c>
    </row>
    <row r="864" spans="1:4">
      <c r="A864" s="61">
        <v>45316</v>
      </c>
      <c r="B864" s="36" t="s">
        <v>11106</v>
      </c>
      <c r="C864" s="36" t="s">
        <v>11105</v>
      </c>
      <c r="D864" s="36" t="s">
        <v>216</v>
      </c>
    </row>
    <row r="865" spans="1:4">
      <c r="A865" s="58">
        <v>45449</v>
      </c>
      <c r="B865" s="34" t="s">
        <v>11108</v>
      </c>
      <c r="C865" s="25" t="s">
        <v>11107</v>
      </c>
      <c r="D865" s="25" t="s">
        <v>29</v>
      </c>
    </row>
    <row r="866" spans="1:4">
      <c r="A866" s="61">
        <v>45317</v>
      </c>
      <c r="B866" s="36" t="s">
        <v>11110</v>
      </c>
      <c r="C866" s="36" t="s">
        <v>11109</v>
      </c>
      <c r="D866" s="36" t="s">
        <v>109</v>
      </c>
    </row>
    <row r="867" spans="1:4">
      <c r="A867" s="61">
        <v>45317</v>
      </c>
      <c r="B867" s="36" t="s">
        <v>11112</v>
      </c>
      <c r="C867" s="36" t="s">
        <v>11111</v>
      </c>
      <c r="D867" s="36" t="s">
        <v>109</v>
      </c>
    </row>
    <row r="868" spans="1:4">
      <c r="A868" s="61">
        <v>45317</v>
      </c>
      <c r="B868" s="36" t="s">
        <v>11114</v>
      </c>
      <c r="C868" s="36" t="s">
        <v>11113</v>
      </c>
      <c r="D868" s="36" t="s">
        <v>5</v>
      </c>
    </row>
    <row r="869" spans="1:4">
      <c r="A869" s="61">
        <v>45317</v>
      </c>
      <c r="B869" s="36" t="s">
        <v>11116</v>
      </c>
      <c r="C869" s="36" t="s">
        <v>11115</v>
      </c>
      <c r="D869" s="36" t="s">
        <v>11</v>
      </c>
    </row>
    <row r="870" spans="1:4">
      <c r="A870" s="32">
        <v>45377</v>
      </c>
      <c r="B870" s="19" t="s">
        <v>11118</v>
      </c>
      <c r="C870" s="19" t="s">
        <v>11117</v>
      </c>
      <c r="D870" s="19" t="s">
        <v>29</v>
      </c>
    </row>
    <row r="871" spans="1:4">
      <c r="A871" s="61">
        <v>45318</v>
      </c>
      <c r="B871" s="36" t="s">
        <v>11120</v>
      </c>
      <c r="C871" s="36" t="s">
        <v>11119</v>
      </c>
      <c r="D871" s="36" t="s">
        <v>11</v>
      </c>
    </row>
    <row r="872" spans="1:4">
      <c r="A872" s="58">
        <v>45411</v>
      </c>
      <c r="B872" s="25" t="s">
        <v>11122</v>
      </c>
      <c r="C872" s="25" t="s">
        <v>11121</v>
      </c>
      <c r="D872" s="25" t="s">
        <v>29</v>
      </c>
    </row>
    <row r="873" spans="1:4">
      <c r="A873" s="61">
        <v>45323</v>
      </c>
      <c r="B873" s="36" t="s">
        <v>11124</v>
      </c>
      <c r="C873" s="36" t="s">
        <v>11123</v>
      </c>
      <c r="D873" s="36" t="s">
        <v>109</v>
      </c>
    </row>
    <row r="874" spans="1:4">
      <c r="A874" s="61">
        <v>45324</v>
      </c>
      <c r="B874" s="36" t="s">
        <v>11126</v>
      </c>
      <c r="C874" s="36" t="s">
        <v>11125</v>
      </c>
      <c r="D874" s="36" t="s">
        <v>29</v>
      </c>
    </row>
    <row r="875" spans="1:4">
      <c r="A875" s="58">
        <v>45440</v>
      </c>
      <c r="B875" s="34" t="s">
        <v>11128</v>
      </c>
      <c r="C875" s="25" t="s">
        <v>11127</v>
      </c>
      <c r="D875" s="25" t="s">
        <v>29</v>
      </c>
    </row>
    <row r="876" spans="1:4">
      <c r="A876" s="61">
        <v>45346</v>
      </c>
      <c r="B876" s="36" t="s">
        <v>11130</v>
      </c>
      <c r="C876" s="36" t="s">
        <v>11129</v>
      </c>
      <c r="D876" s="36" t="s">
        <v>109</v>
      </c>
    </row>
    <row r="877" spans="1:4">
      <c r="A877" s="32">
        <v>45370</v>
      </c>
      <c r="B877" s="42" t="s">
        <v>11132</v>
      </c>
      <c r="C877" s="42" t="s">
        <v>11131</v>
      </c>
      <c r="D877" s="42" t="s">
        <v>29</v>
      </c>
    </row>
    <row r="878" spans="1:4">
      <c r="A878" s="61">
        <v>45352</v>
      </c>
      <c r="B878" s="36" t="s">
        <v>11133</v>
      </c>
      <c r="C878" s="36" t="s">
        <v>83</v>
      </c>
      <c r="D878" s="36" t="s">
        <v>81</v>
      </c>
    </row>
    <row r="879" spans="1:4">
      <c r="A879" s="61">
        <v>45352</v>
      </c>
      <c r="B879" s="36" t="s">
        <v>11135</v>
      </c>
      <c r="C879" s="36" t="s">
        <v>11134</v>
      </c>
      <c r="D879" s="36" t="s">
        <v>81</v>
      </c>
    </row>
    <row r="880" spans="1:4">
      <c r="A880" s="61">
        <v>45352</v>
      </c>
      <c r="B880" s="36" t="s">
        <v>11137</v>
      </c>
      <c r="C880" s="36" t="s">
        <v>11136</v>
      </c>
      <c r="D880" s="36" t="s">
        <v>81</v>
      </c>
    </row>
    <row r="881" spans="1:4">
      <c r="A881" s="61">
        <v>45354</v>
      </c>
      <c r="B881" s="36" t="s">
        <v>11139</v>
      </c>
      <c r="C881" s="36" t="s">
        <v>11138</v>
      </c>
      <c r="D881" s="36" t="s">
        <v>109</v>
      </c>
    </row>
    <row r="882" spans="1:4">
      <c r="A882" s="61">
        <v>45354</v>
      </c>
      <c r="B882" s="36" t="s">
        <v>11141</v>
      </c>
      <c r="C882" s="36" t="s">
        <v>11140</v>
      </c>
      <c r="D882" s="36" t="s">
        <v>109</v>
      </c>
    </row>
    <row r="883" spans="1:4">
      <c r="A883" s="61">
        <v>45356</v>
      </c>
      <c r="B883" s="36" t="s">
        <v>11143</v>
      </c>
      <c r="C883" s="36" t="s">
        <v>11142</v>
      </c>
      <c r="D883" s="36" t="s">
        <v>5</v>
      </c>
    </row>
    <row r="884" spans="1:4">
      <c r="A884" s="58">
        <v>45455</v>
      </c>
      <c r="B884" s="34" t="s">
        <v>11145</v>
      </c>
      <c r="C884" s="25" t="s">
        <v>11144</v>
      </c>
      <c r="D884" s="25" t="s">
        <v>29</v>
      </c>
    </row>
    <row r="885" spans="1:4">
      <c r="A885" s="58">
        <v>45404</v>
      </c>
      <c r="B885" s="34" t="s">
        <v>11147</v>
      </c>
      <c r="C885" s="25" t="s">
        <v>11146</v>
      </c>
      <c r="D885" s="25" t="s">
        <v>29</v>
      </c>
    </row>
    <row r="886" spans="1:4">
      <c r="A886" s="58">
        <v>45419</v>
      </c>
      <c r="B886" s="34" t="s">
        <v>11149</v>
      </c>
      <c r="C886" s="25" t="s">
        <v>11148</v>
      </c>
      <c r="D886" s="25" t="s">
        <v>29</v>
      </c>
    </row>
    <row r="887" spans="1:4">
      <c r="A887" s="61">
        <v>45357</v>
      </c>
      <c r="B887" s="36" t="s">
        <v>11150</v>
      </c>
      <c r="C887" s="36" t="s">
        <v>83</v>
      </c>
      <c r="D887" s="36" t="s">
        <v>81</v>
      </c>
    </row>
    <row r="888" spans="1:4">
      <c r="A888" s="61">
        <v>45357</v>
      </c>
      <c r="B888" s="36" t="s">
        <v>11152</v>
      </c>
      <c r="C888" s="36" t="s">
        <v>11151</v>
      </c>
      <c r="D888" s="36" t="s">
        <v>81</v>
      </c>
    </row>
    <row r="889" spans="1:4">
      <c r="A889" s="61">
        <v>45358</v>
      </c>
      <c r="B889" s="36" t="s">
        <v>11154</v>
      </c>
      <c r="C889" s="36" t="s">
        <v>11153</v>
      </c>
      <c r="D889" s="36" t="s">
        <v>29</v>
      </c>
    </row>
    <row r="890" spans="1:4">
      <c r="A890" s="61">
        <v>45358</v>
      </c>
      <c r="B890" s="36" t="s">
        <v>11155</v>
      </c>
      <c r="C890" s="36" t="s">
        <v>11153</v>
      </c>
      <c r="D890" s="36" t="s">
        <v>29</v>
      </c>
    </row>
    <row r="891" spans="1:4">
      <c r="A891" s="61">
        <v>45358</v>
      </c>
      <c r="B891" s="36" t="s">
        <v>11156</v>
      </c>
      <c r="C891" s="36" t="s">
        <v>11153</v>
      </c>
      <c r="D891" s="36" t="s">
        <v>29</v>
      </c>
    </row>
    <row r="892" spans="1:4">
      <c r="A892" s="61">
        <v>45359</v>
      </c>
      <c r="B892" s="36" t="s">
        <v>11158</v>
      </c>
      <c r="C892" s="36" t="s">
        <v>11157</v>
      </c>
      <c r="D892" s="36" t="s">
        <v>5</v>
      </c>
    </row>
    <row r="893" spans="1:4">
      <c r="A893" s="58">
        <v>45434</v>
      </c>
      <c r="B893" s="34" t="s">
        <v>11160</v>
      </c>
      <c r="C893" s="25" t="s">
        <v>11159</v>
      </c>
      <c r="D893" s="25" t="s">
        <v>29</v>
      </c>
    </row>
    <row r="894" spans="1:4">
      <c r="A894" s="32">
        <v>45364</v>
      </c>
      <c r="B894" s="19" t="s">
        <v>11162</v>
      </c>
      <c r="C894" s="19" t="s">
        <v>11161</v>
      </c>
      <c r="D894" s="19" t="s">
        <v>29</v>
      </c>
    </row>
    <row r="895" spans="1:4">
      <c r="A895" s="32">
        <v>45364</v>
      </c>
      <c r="B895" s="19" t="s">
        <v>11164</v>
      </c>
      <c r="C895" s="19" t="s">
        <v>11163</v>
      </c>
      <c r="D895" s="19" t="s">
        <v>109</v>
      </c>
    </row>
    <row r="896" spans="1:4">
      <c r="A896" s="32">
        <v>45364</v>
      </c>
      <c r="B896" s="19" t="s">
        <v>11166</v>
      </c>
      <c r="C896" s="19" t="s">
        <v>11165</v>
      </c>
      <c r="D896" s="19" t="s">
        <v>109</v>
      </c>
    </row>
    <row r="897" spans="1:4">
      <c r="A897" s="32">
        <v>45364</v>
      </c>
      <c r="B897" s="19" t="s">
        <v>11168</v>
      </c>
      <c r="C897" s="19" t="s">
        <v>11167</v>
      </c>
      <c r="D897" s="19" t="s">
        <v>109</v>
      </c>
    </row>
    <row r="898" spans="1:4">
      <c r="A898" s="32">
        <v>45364</v>
      </c>
      <c r="B898" s="19" t="s">
        <v>11170</v>
      </c>
      <c r="C898" s="19" t="s">
        <v>11169</v>
      </c>
      <c r="D898" s="19" t="s">
        <v>29</v>
      </c>
    </row>
    <row r="899" spans="1:4">
      <c r="A899" s="32">
        <v>45358</v>
      </c>
      <c r="B899" s="19" t="s">
        <v>10969</v>
      </c>
      <c r="C899" s="19" t="s">
        <v>11171</v>
      </c>
      <c r="D899" s="19" t="s">
        <v>74</v>
      </c>
    </row>
    <row r="900" spans="1:4">
      <c r="A900" s="32">
        <v>45358</v>
      </c>
      <c r="B900" s="19" t="s">
        <v>10969</v>
      </c>
      <c r="C900" s="19" t="s">
        <v>11172</v>
      </c>
      <c r="D900" s="19" t="s">
        <v>74</v>
      </c>
    </row>
    <row r="901" spans="1:4">
      <c r="A901" s="32">
        <v>45358</v>
      </c>
      <c r="B901" s="19" t="s">
        <v>11174</v>
      </c>
      <c r="C901" s="19" t="s">
        <v>11173</v>
      </c>
      <c r="D901" s="19" t="s">
        <v>109</v>
      </c>
    </row>
    <row r="902" spans="1:4">
      <c r="A902" s="32">
        <v>45358</v>
      </c>
      <c r="B902" s="19" t="s">
        <v>11176</v>
      </c>
      <c r="C902" s="19" t="s">
        <v>11175</v>
      </c>
      <c r="D902" s="19" t="s">
        <v>510</v>
      </c>
    </row>
    <row r="903" spans="1:4">
      <c r="A903" s="32">
        <v>45358</v>
      </c>
      <c r="B903" s="19" t="s">
        <v>11178</v>
      </c>
      <c r="C903" s="19" t="s">
        <v>11177</v>
      </c>
      <c r="D903" s="19" t="s">
        <v>510</v>
      </c>
    </row>
    <row r="904" spans="1:4">
      <c r="A904" s="32">
        <v>45358</v>
      </c>
      <c r="B904" s="19" t="s">
        <v>11180</v>
      </c>
      <c r="C904" s="19" t="s">
        <v>11179</v>
      </c>
      <c r="D904" s="19" t="s">
        <v>29</v>
      </c>
    </row>
    <row r="905" spans="1:4">
      <c r="A905" s="32">
        <v>45358</v>
      </c>
      <c r="B905" s="19" t="s">
        <v>11182</v>
      </c>
      <c r="C905" s="19" t="s">
        <v>11181</v>
      </c>
      <c r="D905" s="19" t="s">
        <v>109</v>
      </c>
    </row>
    <row r="906" spans="1:4">
      <c r="A906" s="32">
        <v>45358</v>
      </c>
      <c r="B906" s="19" t="s">
        <v>11184</v>
      </c>
      <c r="C906" s="19" t="s">
        <v>11183</v>
      </c>
      <c r="D906" s="19" t="s">
        <v>29</v>
      </c>
    </row>
    <row r="907" spans="1:4">
      <c r="A907" s="32">
        <v>45359</v>
      </c>
      <c r="B907" s="19" t="s">
        <v>10969</v>
      </c>
      <c r="C907" s="19" t="s">
        <v>5246</v>
      </c>
      <c r="D907" s="19" t="s">
        <v>74</v>
      </c>
    </row>
    <row r="908" spans="1:4">
      <c r="A908" s="32">
        <v>45359</v>
      </c>
      <c r="B908" s="19" t="s">
        <v>11186</v>
      </c>
      <c r="C908" s="19" t="s">
        <v>11185</v>
      </c>
      <c r="D908" s="19" t="s">
        <v>5</v>
      </c>
    </row>
    <row r="909" spans="1:4">
      <c r="A909" s="32">
        <v>45359</v>
      </c>
      <c r="B909" s="19" t="s">
        <v>11188</v>
      </c>
      <c r="C909" s="19" t="s">
        <v>11187</v>
      </c>
      <c r="D909" s="19" t="s">
        <v>5</v>
      </c>
    </row>
    <row r="910" spans="1:4">
      <c r="A910" s="32">
        <v>45359</v>
      </c>
      <c r="B910" s="19" t="s">
        <v>10969</v>
      </c>
      <c r="C910" s="19" t="s">
        <v>11189</v>
      </c>
      <c r="D910" s="19" t="s">
        <v>74</v>
      </c>
    </row>
    <row r="911" spans="1:4">
      <c r="A911" s="32">
        <v>45359</v>
      </c>
      <c r="B911" s="19" t="s">
        <v>11191</v>
      </c>
      <c r="C911" s="19" t="s">
        <v>11190</v>
      </c>
      <c r="D911" s="19" t="s">
        <v>216</v>
      </c>
    </row>
    <row r="912" spans="1:4">
      <c r="A912" s="32">
        <v>45360</v>
      </c>
      <c r="B912" s="19" t="s">
        <v>11193</v>
      </c>
      <c r="C912" s="19" t="s">
        <v>11192</v>
      </c>
      <c r="D912" s="19" t="s">
        <v>510</v>
      </c>
    </row>
    <row r="913" spans="1:4">
      <c r="A913" s="32">
        <v>45360</v>
      </c>
      <c r="B913" s="19" t="s">
        <v>10969</v>
      </c>
      <c r="C913" s="19" t="s">
        <v>11194</v>
      </c>
      <c r="D913" s="19" t="s">
        <v>19</v>
      </c>
    </row>
    <row r="914" spans="1:4">
      <c r="A914" s="32">
        <v>45360</v>
      </c>
      <c r="B914" s="19" t="s">
        <v>11195</v>
      </c>
      <c r="C914" s="19" t="s">
        <v>11192</v>
      </c>
      <c r="D914" s="19" t="s">
        <v>510</v>
      </c>
    </row>
    <row r="915" spans="1:4">
      <c r="A915" s="32">
        <v>45360</v>
      </c>
      <c r="B915" s="19" t="s">
        <v>10969</v>
      </c>
      <c r="C915" s="19" t="s">
        <v>11196</v>
      </c>
      <c r="D915" s="19" t="s">
        <v>19</v>
      </c>
    </row>
    <row r="916" spans="1:4">
      <c r="A916" s="32">
        <v>45361</v>
      </c>
      <c r="B916" s="19" t="s">
        <v>11198</v>
      </c>
      <c r="C916" s="19" t="s">
        <v>11197</v>
      </c>
      <c r="D916" s="19" t="s">
        <v>345</v>
      </c>
    </row>
    <row r="917" spans="1:4">
      <c r="A917" s="32">
        <v>45361</v>
      </c>
      <c r="B917" s="19" t="s">
        <v>11200</v>
      </c>
      <c r="C917" s="19" t="s">
        <v>11199</v>
      </c>
      <c r="D917" s="19" t="s">
        <v>5</v>
      </c>
    </row>
    <row r="918" spans="1:4">
      <c r="A918" s="32">
        <v>45361</v>
      </c>
      <c r="B918" s="19" t="s">
        <v>11202</v>
      </c>
      <c r="C918" s="19" t="s">
        <v>11201</v>
      </c>
      <c r="D918" s="19" t="s">
        <v>11</v>
      </c>
    </row>
    <row r="919" spans="1:4">
      <c r="A919" s="32">
        <v>45361</v>
      </c>
      <c r="B919" s="19" t="s">
        <v>11204</v>
      </c>
      <c r="C919" s="19" t="s">
        <v>11203</v>
      </c>
      <c r="D919" s="19" t="s">
        <v>11</v>
      </c>
    </row>
    <row r="920" spans="1:4">
      <c r="A920" s="32">
        <v>45361</v>
      </c>
      <c r="B920" s="19" t="s">
        <v>11206</v>
      </c>
      <c r="C920" s="19" t="s">
        <v>11205</v>
      </c>
      <c r="D920" s="19" t="s">
        <v>19</v>
      </c>
    </row>
    <row r="921" spans="1:4">
      <c r="A921" s="32">
        <v>45362</v>
      </c>
      <c r="B921" s="19" t="s">
        <v>11208</v>
      </c>
      <c r="C921" s="19" t="s">
        <v>11207</v>
      </c>
      <c r="D921" s="19" t="s">
        <v>5</v>
      </c>
    </row>
    <row r="922" spans="1:4">
      <c r="A922" s="32">
        <v>45362</v>
      </c>
      <c r="B922" s="19" t="s">
        <v>11210</v>
      </c>
      <c r="C922" s="19" t="s">
        <v>11209</v>
      </c>
      <c r="D922" s="19" t="s">
        <v>5</v>
      </c>
    </row>
    <row r="923" spans="1:4">
      <c r="A923" s="32">
        <v>45362</v>
      </c>
      <c r="B923" s="19" t="s">
        <v>11212</v>
      </c>
      <c r="C923" s="19" t="s">
        <v>11211</v>
      </c>
      <c r="D923" s="19" t="s">
        <v>29</v>
      </c>
    </row>
    <row r="924" spans="1:4">
      <c r="A924" s="32">
        <v>45362</v>
      </c>
      <c r="B924" s="19" t="s">
        <v>11214</v>
      </c>
      <c r="C924" s="19" t="s">
        <v>11213</v>
      </c>
      <c r="D924" s="19" t="s">
        <v>29</v>
      </c>
    </row>
    <row r="925" spans="1:4">
      <c r="A925" s="32">
        <v>45362</v>
      </c>
      <c r="B925" s="19" t="s">
        <v>10969</v>
      </c>
      <c r="C925" s="19" t="s">
        <v>11215</v>
      </c>
      <c r="D925" s="19" t="s">
        <v>74</v>
      </c>
    </row>
    <row r="926" spans="1:4">
      <c r="A926" s="32">
        <v>45362</v>
      </c>
      <c r="B926" s="19" t="s">
        <v>11216</v>
      </c>
      <c r="C926" s="19" t="s">
        <v>11185</v>
      </c>
      <c r="D926" s="19" t="s">
        <v>5</v>
      </c>
    </row>
    <row r="927" spans="1:4">
      <c r="A927" s="32">
        <v>45363</v>
      </c>
      <c r="B927" s="19" t="s">
        <v>10969</v>
      </c>
      <c r="C927" s="19" t="s">
        <v>4788</v>
      </c>
      <c r="D927" s="19" t="s">
        <v>345</v>
      </c>
    </row>
    <row r="928" spans="1:4">
      <c r="A928" s="32">
        <v>45363</v>
      </c>
      <c r="B928" s="19" t="s">
        <v>10969</v>
      </c>
      <c r="C928" s="19" t="s">
        <v>11217</v>
      </c>
      <c r="D928" s="19" t="s">
        <v>345</v>
      </c>
    </row>
    <row r="929" spans="1:4">
      <c r="A929" s="32">
        <v>45363</v>
      </c>
      <c r="B929" s="19" t="s">
        <v>11219</v>
      </c>
      <c r="C929" s="19" t="s">
        <v>11218</v>
      </c>
      <c r="D929" s="19" t="s">
        <v>109</v>
      </c>
    </row>
    <row r="930" spans="1:4">
      <c r="A930" s="32">
        <v>45363</v>
      </c>
      <c r="B930" s="19" t="s">
        <v>11221</v>
      </c>
      <c r="C930" s="19" t="s">
        <v>11220</v>
      </c>
      <c r="D930" s="19" t="s">
        <v>109</v>
      </c>
    </row>
    <row r="931" spans="1:4">
      <c r="A931" s="32">
        <v>45363</v>
      </c>
      <c r="B931" s="19" t="s">
        <v>10969</v>
      </c>
      <c r="C931" s="19" t="s">
        <v>11222</v>
      </c>
      <c r="D931" s="19" t="s">
        <v>74</v>
      </c>
    </row>
    <row r="932" spans="1:4">
      <c r="A932" s="32">
        <v>45364</v>
      </c>
      <c r="B932" s="19" t="s">
        <v>10969</v>
      </c>
      <c r="C932" s="19" t="s">
        <v>11223</v>
      </c>
      <c r="D932" s="19" t="s">
        <v>29</v>
      </c>
    </row>
    <row r="933" spans="1:4">
      <c r="A933" s="32">
        <v>45364</v>
      </c>
      <c r="B933" s="19" t="s">
        <v>10969</v>
      </c>
      <c r="C933" s="19" t="s">
        <v>11224</v>
      </c>
      <c r="D933" s="19" t="s">
        <v>74</v>
      </c>
    </row>
    <row r="934" spans="1:4">
      <c r="A934" s="32">
        <v>45364</v>
      </c>
      <c r="B934" s="19" t="s">
        <v>11226</v>
      </c>
      <c r="C934" s="19" t="s">
        <v>11225</v>
      </c>
      <c r="D934" s="19" t="s">
        <v>5</v>
      </c>
    </row>
    <row r="935" spans="1:4">
      <c r="A935" s="32">
        <v>45364</v>
      </c>
      <c r="B935" s="19" t="s">
        <v>11227</v>
      </c>
      <c r="C935" s="19" t="s">
        <v>11225</v>
      </c>
      <c r="D935" s="19" t="s">
        <v>5</v>
      </c>
    </row>
    <row r="936" spans="1:4">
      <c r="A936" s="32">
        <v>45364</v>
      </c>
      <c r="B936" s="19" t="s">
        <v>11229</v>
      </c>
      <c r="C936" s="19" t="s">
        <v>11228</v>
      </c>
      <c r="D936" s="19" t="s">
        <v>216</v>
      </c>
    </row>
    <row r="937" spans="1:4">
      <c r="A937" s="32">
        <v>45364</v>
      </c>
      <c r="B937" s="19" t="s">
        <v>11230</v>
      </c>
      <c r="C937" s="19" t="s">
        <v>11228</v>
      </c>
      <c r="D937" s="19" t="s">
        <v>216</v>
      </c>
    </row>
    <row r="938" spans="1:4">
      <c r="A938" s="32">
        <v>45364</v>
      </c>
      <c r="B938" s="19" t="s">
        <v>11232</v>
      </c>
      <c r="C938" s="19" t="s">
        <v>11231</v>
      </c>
      <c r="D938" s="19" t="s">
        <v>5</v>
      </c>
    </row>
    <row r="939" spans="1:4">
      <c r="A939" s="61">
        <v>45343</v>
      </c>
      <c r="B939" s="36" t="s">
        <v>11234</v>
      </c>
      <c r="C939" s="36" t="s">
        <v>11233</v>
      </c>
      <c r="D939" s="36" t="s">
        <v>216</v>
      </c>
    </row>
    <row r="940" spans="1:4">
      <c r="A940" s="61">
        <v>45343</v>
      </c>
      <c r="B940" s="36" t="s">
        <v>11236</v>
      </c>
      <c r="C940" s="36" t="s">
        <v>11235</v>
      </c>
      <c r="D940" s="36" t="s">
        <v>216</v>
      </c>
    </row>
    <row r="941" spans="1:4">
      <c r="A941" s="61">
        <v>45343</v>
      </c>
      <c r="B941" s="36" t="s">
        <v>11238</v>
      </c>
      <c r="C941" s="36" t="s">
        <v>11237</v>
      </c>
      <c r="D941" s="36" t="s">
        <v>109</v>
      </c>
    </row>
    <row r="942" spans="1:4">
      <c r="A942" s="61">
        <v>45343</v>
      </c>
      <c r="B942" s="36" t="s">
        <v>11240</v>
      </c>
      <c r="C942" s="36" t="s">
        <v>11239</v>
      </c>
      <c r="D942" s="36" t="s">
        <v>109</v>
      </c>
    </row>
    <row r="943" spans="1:4">
      <c r="A943" s="61">
        <v>45343</v>
      </c>
      <c r="B943" s="36" t="s">
        <v>11242</v>
      </c>
      <c r="C943" s="36" t="s">
        <v>11241</v>
      </c>
      <c r="D943" s="36" t="s">
        <v>216</v>
      </c>
    </row>
    <row r="944" spans="1:4">
      <c r="A944" s="61">
        <v>45343</v>
      </c>
      <c r="B944" s="36" t="s">
        <v>9563</v>
      </c>
      <c r="C944" s="36" t="s">
        <v>11243</v>
      </c>
      <c r="D944" s="36" t="s">
        <v>216</v>
      </c>
    </row>
    <row r="945" spans="1:4">
      <c r="A945" s="61">
        <v>45343</v>
      </c>
      <c r="B945" s="36" t="s">
        <v>11245</v>
      </c>
      <c r="C945" s="36" t="s">
        <v>11244</v>
      </c>
      <c r="D945" s="36" t="s">
        <v>216</v>
      </c>
    </row>
    <row r="946" spans="1:4">
      <c r="A946" s="61">
        <v>45343</v>
      </c>
      <c r="B946" s="36" t="s">
        <v>11247</v>
      </c>
      <c r="C946" s="36" t="s">
        <v>11246</v>
      </c>
      <c r="D946" s="36" t="s">
        <v>216</v>
      </c>
    </row>
    <row r="947" spans="1:4">
      <c r="A947" s="61">
        <v>45343</v>
      </c>
      <c r="B947" s="36" t="s">
        <v>11249</v>
      </c>
      <c r="C947" s="36" t="s">
        <v>11248</v>
      </c>
      <c r="D947" s="36" t="s">
        <v>216</v>
      </c>
    </row>
    <row r="948" spans="1:4">
      <c r="A948" s="61">
        <v>45343</v>
      </c>
      <c r="B948" s="36" t="s">
        <v>11251</v>
      </c>
      <c r="C948" s="36" t="s">
        <v>11250</v>
      </c>
      <c r="D948" s="36" t="s">
        <v>216</v>
      </c>
    </row>
    <row r="949" spans="1:4">
      <c r="A949" s="61">
        <v>45343</v>
      </c>
      <c r="B949" s="36" t="s">
        <v>9563</v>
      </c>
      <c r="C949" s="36" t="s">
        <v>11252</v>
      </c>
      <c r="D949" s="36" t="s">
        <v>216</v>
      </c>
    </row>
    <row r="950" spans="1:4">
      <c r="A950" s="58">
        <v>45435</v>
      </c>
      <c r="B950" s="34" t="s">
        <v>11254</v>
      </c>
      <c r="C950" s="25" t="s">
        <v>11253</v>
      </c>
      <c r="D950" s="25" t="s">
        <v>29</v>
      </c>
    </row>
    <row r="951" spans="1:4">
      <c r="A951" s="58">
        <v>45436</v>
      </c>
      <c r="B951" s="34" t="s">
        <v>11256</v>
      </c>
      <c r="C951" s="25" t="s">
        <v>11255</v>
      </c>
      <c r="D951" s="25" t="s">
        <v>29</v>
      </c>
    </row>
    <row r="952" spans="1:4">
      <c r="A952" s="61">
        <v>45343</v>
      </c>
      <c r="B952" s="36" t="s">
        <v>11258</v>
      </c>
      <c r="C952" s="36" t="s">
        <v>11257</v>
      </c>
      <c r="D952" s="36" t="s">
        <v>109</v>
      </c>
    </row>
    <row r="953" spans="1:4">
      <c r="A953" s="58">
        <v>45379</v>
      </c>
      <c r="B953" s="34" t="s">
        <v>11091</v>
      </c>
      <c r="C953" s="25" t="s">
        <v>11259</v>
      </c>
      <c r="D953" s="25" t="s">
        <v>19</v>
      </c>
    </row>
    <row r="954" spans="1:4">
      <c r="A954" s="70">
        <v>45412</v>
      </c>
      <c r="B954" s="25" t="s">
        <v>11261</v>
      </c>
      <c r="C954" s="25" t="s">
        <v>11260</v>
      </c>
      <c r="D954" s="25" t="s">
        <v>19</v>
      </c>
    </row>
    <row r="955" spans="1:4">
      <c r="A955" s="61">
        <v>45344</v>
      </c>
      <c r="B955" s="36" t="s">
        <v>11263</v>
      </c>
      <c r="C955" s="36" t="s">
        <v>11262</v>
      </c>
      <c r="D955" s="36" t="s">
        <v>5</v>
      </c>
    </row>
    <row r="956" spans="1:4">
      <c r="A956" s="61">
        <v>45344</v>
      </c>
      <c r="B956" s="36" t="s">
        <v>11265</v>
      </c>
      <c r="C956" s="36" t="s">
        <v>11264</v>
      </c>
      <c r="D956" s="36" t="s">
        <v>109</v>
      </c>
    </row>
    <row r="957" spans="1:4">
      <c r="A957" s="70">
        <v>45412</v>
      </c>
      <c r="B957" s="25" t="s">
        <v>11267</v>
      </c>
      <c r="C957" s="25" t="s">
        <v>11266</v>
      </c>
      <c r="D957" s="25" t="s">
        <v>19</v>
      </c>
    </row>
    <row r="958" spans="1:4">
      <c r="A958" s="61">
        <v>45344</v>
      </c>
      <c r="B958" s="36" t="s">
        <v>11265</v>
      </c>
      <c r="C958" s="36" t="s">
        <v>11264</v>
      </c>
      <c r="D958" s="36" t="s">
        <v>109</v>
      </c>
    </row>
    <row r="959" spans="1:4">
      <c r="A959" s="61">
        <v>45344</v>
      </c>
      <c r="B959" s="36" t="s">
        <v>11269</v>
      </c>
      <c r="C959" s="36" t="s">
        <v>11268</v>
      </c>
      <c r="D959" s="36" t="s">
        <v>109</v>
      </c>
    </row>
    <row r="960" spans="1:4">
      <c r="A960" s="61">
        <v>45345</v>
      </c>
      <c r="B960" s="36" t="s">
        <v>11271</v>
      </c>
      <c r="C960" s="36" t="s">
        <v>11270</v>
      </c>
      <c r="D960" s="36" t="s">
        <v>5</v>
      </c>
    </row>
    <row r="961" spans="1:4">
      <c r="A961" s="61">
        <v>45345</v>
      </c>
      <c r="B961" s="36" t="s">
        <v>11273</v>
      </c>
      <c r="C961" s="36" t="s">
        <v>11272</v>
      </c>
      <c r="D961" s="36" t="s">
        <v>109</v>
      </c>
    </row>
    <row r="962" spans="1:4">
      <c r="A962" s="61">
        <v>45345</v>
      </c>
      <c r="B962" s="36" t="s">
        <v>11275</v>
      </c>
      <c r="C962" s="36" t="s">
        <v>11274</v>
      </c>
      <c r="D962" s="36" t="s">
        <v>109</v>
      </c>
    </row>
    <row r="963" spans="1:4">
      <c r="A963" s="61">
        <v>45345</v>
      </c>
      <c r="B963" s="36" t="s">
        <v>11277</v>
      </c>
      <c r="C963" s="36" t="s">
        <v>11276</v>
      </c>
      <c r="D963" s="36" t="s">
        <v>109</v>
      </c>
    </row>
    <row r="964" spans="1:4">
      <c r="A964" s="70">
        <v>45414</v>
      </c>
      <c r="B964" s="25" t="s">
        <v>11279</v>
      </c>
      <c r="C964" s="25" t="s">
        <v>11278</v>
      </c>
      <c r="D964" s="25" t="s">
        <v>19</v>
      </c>
    </row>
    <row r="965" spans="1:4">
      <c r="A965" s="61">
        <v>45346</v>
      </c>
      <c r="B965" s="36" t="s">
        <v>11281</v>
      </c>
      <c r="C965" s="36" t="s">
        <v>11280</v>
      </c>
      <c r="D965" s="36" t="s">
        <v>164</v>
      </c>
    </row>
    <row r="966" spans="1:4">
      <c r="A966" s="61">
        <v>45346</v>
      </c>
      <c r="B966" s="36" t="s">
        <v>11283</v>
      </c>
      <c r="C966" s="36" t="s">
        <v>11282</v>
      </c>
      <c r="D966" s="36" t="s">
        <v>164</v>
      </c>
    </row>
    <row r="967" spans="1:4">
      <c r="A967" s="70">
        <v>45418</v>
      </c>
      <c r="B967" s="25" t="s">
        <v>11285</v>
      </c>
      <c r="C967" s="25" t="s">
        <v>11284</v>
      </c>
      <c r="D967" s="25" t="s">
        <v>19</v>
      </c>
    </row>
    <row r="968" spans="1:4">
      <c r="A968" s="61">
        <v>45348</v>
      </c>
      <c r="B968" s="36" t="s">
        <v>11287</v>
      </c>
      <c r="C968" s="36" t="s">
        <v>11286</v>
      </c>
      <c r="D968" s="36" t="s">
        <v>109</v>
      </c>
    </row>
    <row r="969" spans="1:4">
      <c r="A969" s="61">
        <v>45348</v>
      </c>
      <c r="B969" s="36" t="s">
        <v>11289</v>
      </c>
      <c r="C969" s="36" t="s">
        <v>11288</v>
      </c>
      <c r="D969" s="36" t="s">
        <v>109</v>
      </c>
    </row>
    <row r="970" spans="1:4">
      <c r="A970" s="58">
        <v>45421</v>
      </c>
      <c r="B970" s="34" t="s">
        <v>11291</v>
      </c>
      <c r="C970" s="25" t="s">
        <v>11290</v>
      </c>
      <c r="D970" s="25" t="s">
        <v>19</v>
      </c>
    </row>
    <row r="971" spans="1:4">
      <c r="A971" s="61">
        <v>45349</v>
      </c>
      <c r="B971" s="36" t="s">
        <v>11292</v>
      </c>
      <c r="C971" s="36" t="s">
        <v>10533</v>
      </c>
      <c r="D971" s="36" t="s">
        <v>353</v>
      </c>
    </row>
    <row r="972" spans="1:4">
      <c r="A972" s="61">
        <v>45349</v>
      </c>
      <c r="B972" s="36" t="s">
        <v>11294</v>
      </c>
      <c r="C972" s="36" t="s">
        <v>11293</v>
      </c>
      <c r="D972" s="36" t="s">
        <v>109</v>
      </c>
    </row>
    <row r="973" spans="1:4">
      <c r="A973" s="61">
        <v>45349</v>
      </c>
      <c r="B973" s="36" t="s">
        <v>11296</v>
      </c>
      <c r="C973" s="36" t="s">
        <v>11295</v>
      </c>
      <c r="D973" s="36" t="s">
        <v>8</v>
      </c>
    </row>
    <row r="974" spans="1:4">
      <c r="A974" s="61">
        <v>45349</v>
      </c>
      <c r="B974" s="36" t="s">
        <v>11292</v>
      </c>
      <c r="C974" s="36" t="s">
        <v>10533</v>
      </c>
      <c r="D974" s="36" t="s">
        <v>353</v>
      </c>
    </row>
    <row r="975" spans="1:4">
      <c r="A975" s="61">
        <v>45349</v>
      </c>
      <c r="B975" s="36" t="s">
        <v>11298</v>
      </c>
      <c r="C975" s="36" t="s">
        <v>11297</v>
      </c>
      <c r="D975" s="36" t="s">
        <v>109</v>
      </c>
    </row>
    <row r="976" spans="1:4">
      <c r="A976" s="61">
        <v>45349</v>
      </c>
      <c r="B976" s="36" t="s">
        <v>11299</v>
      </c>
      <c r="C976" s="36" t="s">
        <v>8138</v>
      </c>
      <c r="D976" s="36" t="s">
        <v>5</v>
      </c>
    </row>
    <row r="977" spans="1:4">
      <c r="A977" s="61">
        <v>45350</v>
      </c>
      <c r="B977" s="36" t="s">
        <v>11301</v>
      </c>
      <c r="C977" s="36" t="s">
        <v>11300</v>
      </c>
      <c r="D977" s="36" t="s">
        <v>16</v>
      </c>
    </row>
    <row r="978" spans="1:4">
      <c r="A978" s="61">
        <v>45350</v>
      </c>
      <c r="B978" s="36" t="s">
        <v>11303</v>
      </c>
      <c r="C978" s="36" t="s">
        <v>11302</v>
      </c>
      <c r="D978" s="36" t="s">
        <v>5</v>
      </c>
    </row>
    <row r="979" spans="1:4">
      <c r="A979" s="61">
        <v>45350</v>
      </c>
      <c r="B979" s="36" t="s">
        <v>11303</v>
      </c>
      <c r="C979" s="36" t="s">
        <v>11302</v>
      </c>
      <c r="D979" s="36" t="s">
        <v>5</v>
      </c>
    </row>
    <row r="980" spans="1:4">
      <c r="A980" s="58">
        <v>45421</v>
      </c>
      <c r="B980" s="34" t="s">
        <v>11305</v>
      </c>
      <c r="C980" s="25" t="s">
        <v>11304</v>
      </c>
      <c r="D980" s="25" t="s">
        <v>19</v>
      </c>
    </row>
    <row r="981" spans="1:4">
      <c r="A981" s="61">
        <v>45350</v>
      </c>
      <c r="B981" s="36" t="s">
        <v>11306</v>
      </c>
      <c r="C981" s="36" t="s">
        <v>9150</v>
      </c>
      <c r="D981" s="36" t="s">
        <v>5</v>
      </c>
    </row>
    <row r="982" spans="1:4">
      <c r="A982" s="61">
        <v>45350</v>
      </c>
      <c r="B982" s="36" t="s">
        <v>11308</v>
      </c>
      <c r="C982" s="36" t="s">
        <v>11307</v>
      </c>
      <c r="D982" s="36" t="s">
        <v>5</v>
      </c>
    </row>
    <row r="983" spans="1:4">
      <c r="A983" s="61">
        <v>45350</v>
      </c>
      <c r="B983" s="36" t="s">
        <v>11310</v>
      </c>
      <c r="C983" s="36" t="s">
        <v>11309</v>
      </c>
      <c r="D983" s="36" t="s">
        <v>109</v>
      </c>
    </row>
    <row r="984" spans="1:4">
      <c r="A984" s="61">
        <v>45350</v>
      </c>
      <c r="B984" s="36" t="s">
        <v>11312</v>
      </c>
      <c r="C984" s="36" t="s">
        <v>11311</v>
      </c>
      <c r="D984" s="36" t="s">
        <v>109</v>
      </c>
    </row>
    <row r="985" spans="1:4">
      <c r="A985" s="61">
        <v>45350</v>
      </c>
      <c r="B985" s="36" t="s">
        <v>11313</v>
      </c>
      <c r="C985" s="36" t="s">
        <v>7148</v>
      </c>
      <c r="D985" s="36" t="s">
        <v>5</v>
      </c>
    </row>
    <row r="986" spans="1:4">
      <c r="A986" s="58">
        <v>45422</v>
      </c>
      <c r="B986" s="34" t="s">
        <v>11315</v>
      </c>
      <c r="C986" s="25" t="s">
        <v>11314</v>
      </c>
      <c r="D986" s="25" t="s">
        <v>19</v>
      </c>
    </row>
    <row r="987" spans="1:4">
      <c r="A987" s="58">
        <v>45422</v>
      </c>
      <c r="B987" s="34" t="s">
        <v>11317</v>
      </c>
      <c r="C987" s="25" t="s">
        <v>11316</v>
      </c>
      <c r="D987" s="25" t="s">
        <v>19</v>
      </c>
    </row>
    <row r="988" spans="1:4">
      <c r="A988" s="58">
        <v>45426</v>
      </c>
      <c r="B988" s="34" t="s">
        <v>11319</v>
      </c>
      <c r="C988" s="25" t="s">
        <v>11318</v>
      </c>
      <c r="D988" s="25" t="s">
        <v>19</v>
      </c>
    </row>
    <row r="989" spans="1:4">
      <c r="A989" s="58">
        <v>45446</v>
      </c>
      <c r="B989" s="34" t="s">
        <v>11321</v>
      </c>
      <c r="C989" s="25" t="s">
        <v>11320</v>
      </c>
      <c r="D989" s="25" t="s">
        <v>19</v>
      </c>
    </row>
    <row r="990" spans="1:4">
      <c r="A990" s="58">
        <v>45446</v>
      </c>
      <c r="B990" s="34" t="s">
        <v>11323</v>
      </c>
      <c r="C990" s="25" t="s">
        <v>11322</v>
      </c>
      <c r="D990" s="25" t="s">
        <v>19</v>
      </c>
    </row>
    <row r="991" spans="1:4">
      <c r="A991" s="61">
        <v>45351</v>
      </c>
      <c r="B991" s="36" t="s">
        <v>11325</v>
      </c>
      <c r="C991" s="36" t="s">
        <v>11324</v>
      </c>
      <c r="D991" s="36" t="s">
        <v>353</v>
      </c>
    </row>
    <row r="992" spans="1:4">
      <c r="A992" s="61">
        <v>45351</v>
      </c>
      <c r="B992" s="36" t="s">
        <v>11326</v>
      </c>
      <c r="C992" s="36" t="s">
        <v>9650</v>
      </c>
      <c r="D992" s="36" t="s">
        <v>353</v>
      </c>
    </row>
    <row r="993" spans="1:4">
      <c r="A993" s="61">
        <v>45351</v>
      </c>
      <c r="B993" s="36" t="s">
        <v>11328</v>
      </c>
      <c r="C993" s="36" t="s">
        <v>11327</v>
      </c>
      <c r="D993" s="36" t="s">
        <v>109</v>
      </c>
    </row>
    <row r="994" spans="1:4">
      <c r="A994" s="61">
        <v>45351</v>
      </c>
      <c r="B994" s="36" t="s">
        <v>11330</v>
      </c>
      <c r="C994" s="36" t="s">
        <v>11329</v>
      </c>
      <c r="D994" s="36" t="s">
        <v>11</v>
      </c>
    </row>
    <row r="995" spans="1:4">
      <c r="A995" s="61">
        <v>45351</v>
      </c>
      <c r="B995" s="36" t="s">
        <v>11332</v>
      </c>
      <c r="C995" s="36" t="s">
        <v>11331</v>
      </c>
      <c r="D995" s="36" t="s">
        <v>24</v>
      </c>
    </row>
    <row r="996" spans="1:4">
      <c r="A996" s="61">
        <v>45351</v>
      </c>
      <c r="B996" s="36" t="s">
        <v>11334</v>
      </c>
      <c r="C996" s="36" t="s">
        <v>11333</v>
      </c>
      <c r="D996" s="36" t="s">
        <v>74</v>
      </c>
    </row>
    <row r="997" spans="1:4">
      <c r="A997" s="61">
        <v>45351</v>
      </c>
      <c r="B997" s="36" t="s">
        <v>11336</v>
      </c>
      <c r="C997" s="36" t="s">
        <v>11335</v>
      </c>
      <c r="D997" s="36" t="s">
        <v>11</v>
      </c>
    </row>
    <row r="998" spans="1:4">
      <c r="A998" s="70">
        <v>45317</v>
      </c>
      <c r="B998" s="25" t="s">
        <v>11338</v>
      </c>
      <c r="C998" s="25" t="s">
        <v>11337</v>
      </c>
      <c r="D998" s="25" t="s">
        <v>34</v>
      </c>
    </row>
    <row r="999" spans="1:4">
      <c r="A999" s="70">
        <v>45319</v>
      </c>
      <c r="B999" s="25" t="s">
        <v>11340</v>
      </c>
      <c r="C999" s="25" t="s">
        <v>11339</v>
      </c>
      <c r="D999" s="25" t="s">
        <v>34</v>
      </c>
    </row>
    <row r="1000" spans="1:4">
      <c r="A1000" s="32">
        <v>45359</v>
      </c>
      <c r="B1000" s="19" t="s">
        <v>11342</v>
      </c>
      <c r="C1000" s="19" t="s">
        <v>11341</v>
      </c>
      <c r="D1000" s="19" t="s">
        <v>34</v>
      </c>
    </row>
    <row r="1001" spans="1:4">
      <c r="A1001" s="32">
        <v>45365</v>
      </c>
      <c r="B1001" s="42" t="s">
        <v>11344</v>
      </c>
      <c r="C1001" s="42" t="s">
        <v>11343</v>
      </c>
      <c r="D1001" s="42" t="s">
        <v>164</v>
      </c>
    </row>
    <row r="1002" spans="1:4">
      <c r="A1002" s="61">
        <v>45352</v>
      </c>
      <c r="B1002" s="36" t="s">
        <v>11346</v>
      </c>
      <c r="C1002" s="36" t="s">
        <v>11345</v>
      </c>
      <c r="D1002" s="36" t="s">
        <v>8</v>
      </c>
    </row>
    <row r="1003" spans="1:4">
      <c r="A1003" s="61">
        <v>45352</v>
      </c>
      <c r="B1003" s="36" t="s">
        <v>11348</v>
      </c>
      <c r="C1003" s="36" t="s">
        <v>11347</v>
      </c>
      <c r="D1003" s="36" t="s">
        <v>353</v>
      </c>
    </row>
    <row r="1004" spans="1:4">
      <c r="A1004" s="61">
        <v>45352</v>
      </c>
      <c r="B1004" s="36" t="s">
        <v>11350</v>
      </c>
      <c r="C1004" s="36" t="s">
        <v>11349</v>
      </c>
      <c r="D1004" s="36" t="s">
        <v>353</v>
      </c>
    </row>
    <row r="1005" spans="1:4">
      <c r="A1005" s="61">
        <v>45352</v>
      </c>
      <c r="B1005" s="36" t="s">
        <v>11352</v>
      </c>
      <c r="C1005" s="36" t="s">
        <v>11351</v>
      </c>
      <c r="D1005" s="36" t="s">
        <v>109</v>
      </c>
    </row>
    <row r="1006" spans="1:4">
      <c r="A1006" s="61">
        <v>45352</v>
      </c>
      <c r="B1006" s="36" t="s">
        <v>11354</v>
      </c>
      <c r="C1006" s="36" t="s">
        <v>11353</v>
      </c>
      <c r="D1006" s="36" t="s">
        <v>109</v>
      </c>
    </row>
    <row r="1007" spans="1:4">
      <c r="A1007" s="61">
        <v>45352</v>
      </c>
      <c r="B1007" s="36" t="s">
        <v>11356</v>
      </c>
      <c r="C1007" s="36" t="s">
        <v>11355</v>
      </c>
      <c r="D1007" s="36" t="s">
        <v>11</v>
      </c>
    </row>
    <row r="1008" spans="1:4">
      <c r="A1008" s="61">
        <v>45352</v>
      </c>
      <c r="B1008" s="36" t="s">
        <v>11358</v>
      </c>
      <c r="C1008" s="36" t="s">
        <v>11357</v>
      </c>
      <c r="D1008" s="36" t="s">
        <v>109</v>
      </c>
    </row>
    <row r="1009" spans="1:4">
      <c r="A1009" s="61">
        <v>45352</v>
      </c>
      <c r="B1009" s="36" t="s">
        <v>11360</v>
      </c>
      <c r="C1009" s="36" t="s">
        <v>11359</v>
      </c>
      <c r="D1009" s="36" t="s">
        <v>5</v>
      </c>
    </row>
    <row r="1010" spans="1:4">
      <c r="A1010" s="61">
        <v>45352</v>
      </c>
      <c r="B1010" s="36" t="s">
        <v>11360</v>
      </c>
      <c r="C1010" s="36" t="s">
        <v>11359</v>
      </c>
      <c r="D1010" s="36" t="s">
        <v>5</v>
      </c>
    </row>
    <row r="1011" spans="1:4">
      <c r="A1011" s="61">
        <v>45346</v>
      </c>
      <c r="B1011" s="36" t="s">
        <v>11361</v>
      </c>
      <c r="C1011" s="36" t="s">
        <v>11282</v>
      </c>
      <c r="D1011" s="36" t="s">
        <v>164</v>
      </c>
    </row>
    <row r="1012" spans="1:4">
      <c r="A1012" s="61">
        <v>45350</v>
      </c>
      <c r="B1012" s="36" t="s">
        <v>11363</v>
      </c>
      <c r="C1012" s="36" t="s">
        <v>11362</v>
      </c>
      <c r="D1012" s="36" t="s">
        <v>164</v>
      </c>
    </row>
    <row r="1013" spans="1:4">
      <c r="A1013" s="32">
        <v>45369</v>
      </c>
      <c r="B1013" s="42" t="s">
        <v>11365</v>
      </c>
      <c r="C1013" s="42" t="s">
        <v>11364</v>
      </c>
      <c r="D1013" s="42" t="s">
        <v>345</v>
      </c>
    </row>
    <row r="1014" spans="1:4">
      <c r="A1014" s="70">
        <v>45408</v>
      </c>
      <c r="B1014" s="25" t="s">
        <v>11367</v>
      </c>
      <c r="C1014" s="25" t="s">
        <v>11366</v>
      </c>
      <c r="D1014" s="25" t="s">
        <v>345</v>
      </c>
    </row>
    <row r="1015" spans="1:4">
      <c r="A1015" s="61">
        <v>45353</v>
      </c>
      <c r="B1015" s="36" t="s">
        <v>11369</v>
      </c>
      <c r="C1015" s="36" t="s">
        <v>11368</v>
      </c>
      <c r="D1015" s="36" t="s">
        <v>5</v>
      </c>
    </row>
    <row r="1016" spans="1:4">
      <c r="A1016" s="61">
        <v>45353</v>
      </c>
      <c r="B1016" s="36" t="s">
        <v>11370</v>
      </c>
      <c r="C1016" s="36" t="s">
        <v>3113</v>
      </c>
      <c r="D1016" s="36" t="s">
        <v>5</v>
      </c>
    </row>
    <row r="1017" spans="1:4">
      <c r="A1017" s="61">
        <v>45353</v>
      </c>
      <c r="B1017" s="36" t="s">
        <v>11372</v>
      </c>
      <c r="C1017" s="36" t="s">
        <v>11371</v>
      </c>
      <c r="D1017" s="36" t="s">
        <v>5</v>
      </c>
    </row>
    <row r="1018" spans="1:4">
      <c r="A1018" s="61">
        <v>45350</v>
      </c>
      <c r="B1018" s="36" t="s">
        <v>11374</v>
      </c>
      <c r="C1018" s="41" t="s">
        <v>11373</v>
      </c>
      <c r="D1018" s="36" t="s">
        <v>345</v>
      </c>
    </row>
    <row r="1019" spans="1:4">
      <c r="A1019" s="32">
        <v>45355</v>
      </c>
      <c r="B1019" s="19" t="s">
        <v>11376</v>
      </c>
      <c r="C1019" s="19" t="s">
        <v>11375</v>
      </c>
      <c r="D1019" s="19" t="s">
        <v>11</v>
      </c>
    </row>
    <row r="1020" spans="1:4">
      <c r="A1020" s="32">
        <v>45355</v>
      </c>
      <c r="B1020" s="19" t="s">
        <v>11378</v>
      </c>
      <c r="C1020" s="19" t="s">
        <v>11377</v>
      </c>
      <c r="D1020" s="19" t="s">
        <v>109</v>
      </c>
    </row>
    <row r="1021" spans="1:4">
      <c r="A1021" s="32">
        <v>45355</v>
      </c>
      <c r="B1021" s="19" t="s">
        <v>11380</v>
      </c>
      <c r="C1021" s="19" t="s">
        <v>11379</v>
      </c>
      <c r="D1021" s="19" t="s">
        <v>29</v>
      </c>
    </row>
    <row r="1022" spans="1:4">
      <c r="A1022" s="32">
        <v>45357</v>
      </c>
      <c r="B1022" s="19" t="s">
        <v>11382</v>
      </c>
      <c r="C1022" s="19" t="s">
        <v>11381</v>
      </c>
      <c r="D1022" s="19" t="s">
        <v>345</v>
      </c>
    </row>
    <row r="1023" spans="1:4">
      <c r="A1023" s="32">
        <v>45355</v>
      </c>
      <c r="B1023" s="19" t="s">
        <v>11384</v>
      </c>
      <c r="C1023" s="19" t="s">
        <v>11383</v>
      </c>
      <c r="D1023" s="19" t="s">
        <v>5</v>
      </c>
    </row>
    <row r="1024" spans="1:4">
      <c r="A1024" s="32">
        <v>45355</v>
      </c>
      <c r="B1024" s="19" t="s">
        <v>11386</v>
      </c>
      <c r="C1024" s="19" t="s">
        <v>11385</v>
      </c>
      <c r="D1024" s="19" t="s">
        <v>5</v>
      </c>
    </row>
    <row r="1025" spans="1:4">
      <c r="A1025" s="32">
        <v>45356</v>
      </c>
      <c r="B1025" s="19" t="s">
        <v>11388</v>
      </c>
      <c r="C1025" s="19" t="s">
        <v>11387</v>
      </c>
      <c r="D1025" s="19" t="s">
        <v>109</v>
      </c>
    </row>
    <row r="1026" spans="1:4">
      <c r="A1026" s="32">
        <v>45356</v>
      </c>
      <c r="B1026" s="19" t="s">
        <v>11390</v>
      </c>
      <c r="C1026" s="19" t="s">
        <v>11389</v>
      </c>
      <c r="D1026" s="19" t="s">
        <v>109</v>
      </c>
    </row>
    <row r="1027" spans="1:4">
      <c r="A1027" s="32">
        <v>45356</v>
      </c>
      <c r="B1027" s="19" t="s">
        <v>11392</v>
      </c>
      <c r="C1027" s="19" t="s">
        <v>11391</v>
      </c>
      <c r="D1027" s="19" t="s">
        <v>109</v>
      </c>
    </row>
    <row r="1028" spans="1:4">
      <c r="A1028" s="32">
        <v>45356</v>
      </c>
      <c r="B1028" s="19" t="s">
        <v>11394</v>
      </c>
      <c r="C1028" s="19" t="s">
        <v>11393</v>
      </c>
      <c r="D1028" s="19" t="s">
        <v>34</v>
      </c>
    </row>
    <row r="1029" spans="1:4">
      <c r="A1029" s="32">
        <v>45357</v>
      </c>
      <c r="B1029" s="19" t="s">
        <v>11396</v>
      </c>
      <c r="C1029" s="19" t="s">
        <v>11395</v>
      </c>
      <c r="D1029" s="19" t="s">
        <v>11</v>
      </c>
    </row>
    <row r="1030" spans="1:4">
      <c r="A1030" s="32">
        <v>45357</v>
      </c>
      <c r="B1030" s="19" t="s">
        <v>11398</v>
      </c>
      <c r="C1030" s="19" t="s">
        <v>11397</v>
      </c>
      <c r="D1030" s="19" t="s">
        <v>5</v>
      </c>
    </row>
    <row r="1031" spans="1:4">
      <c r="A1031" s="32">
        <v>45357</v>
      </c>
      <c r="B1031" s="19" t="s">
        <v>11400</v>
      </c>
      <c r="C1031" s="19" t="s">
        <v>11399</v>
      </c>
      <c r="D1031" s="19" t="s">
        <v>5</v>
      </c>
    </row>
    <row r="1032" spans="1:4">
      <c r="A1032" s="32">
        <v>45357</v>
      </c>
      <c r="B1032" s="19" t="s">
        <v>11402</v>
      </c>
      <c r="C1032" s="19" t="s">
        <v>11401</v>
      </c>
      <c r="D1032" s="19" t="s">
        <v>109</v>
      </c>
    </row>
    <row r="1033" spans="1:4">
      <c r="A1033" s="32">
        <v>45357</v>
      </c>
      <c r="B1033" s="19" t="s">
        <v>11404</v>
      </c>
      <c r="C1033" s="19" t="s">
        <v>11403</v>
      </c>
      <c r="D1033" s="19" t="s">
        <v>5</v>
      </c>
    </row>
    <row r="1034" spans="1:4">
      <c r="A1034" s="32">
        <v>45357</v>
      </c>
      <c r="B1034" s="19" t="s">
        <v>11406</v>
      </c>
      <c r="C1034" s="19" t="s">
        <v>11405</v>
      </c>
      <c r="D1034" s="19" t="s">
        <v>29</v>
      </c>
    </row>
    <row r="1035" spans="1:4">
      <c r="A1035" s="58">
        <v>45407</v>
      </c>
      <c r="B1035" s="25" t="s">
        <v>11408</v>
      </c>
      <c r="C1035" s="25" t="s">
        <v>11407</v>
      </c>
      <c r="D1035" s="25" t="s">
        <v>345</v>
      </c>
    </row>
    <row r="1036" spans="1:4">
      <c r="A1036" s="32">
        <v>45357</v>
      </c>
      <c r="B1036" s="19" t="s">
        <v>11410</v>
      </c>
      <c r="C1036" s="19" t="s">
        <v>11409</v>
      </c>
      <c r="D1036" s="19" t="s">
        <v>5</v>
      </c>
    </row>
    <row r="1037" spans="1:4">
      <c r="A1037" s="32">
        <v>45357</v>
      </c>
      <c r="B1037" s="19" t="s">
        <v>11412</v>
      </c>
      <c r="C1037" s="19" t="s">
        <v>11411</v>
      </c>
      <c r="D1037" s="19" t="s">
        <v>353</v>
      </c>
    </row>
    <row r="1038" spans="1:4">
      <c r="A1038" s="32">
        <v>45357</v>
      </c>
      <c r="B1038" s="19" t="s">
        <v>11414</v>
      </c>
      <c r="C1038" s="19" t="s">
        <v>11413</v>
      </c>
      <c r="D1038" s="19" t="s">
        <v>109</v>
      </c>
    </row>
    <row r="1039" spans="1:4">
      <c r="A1039" s="32">
        <v>45357</v>
      </c>
      <c r="B1039" s="19" t="s">
        <v>11416</v>
      </c>
      <c r="C1039" s="19" t="s">
        <v>11415</v>
      </c>
      <c r="D1039" s="19" t="s">
        <v>353</v>
      </c>
    </row>
    <row r="1040" spans="1:4">
      <c r="A1040" s="32">
        <v>45357</v>
      </c>
      <c r="B1040" s="19" t="s">
        <v>11404</v>
      </c>
      <c r="C1040" s="19" t="s">
        <v>11417</v>
      </c>
      <c r="D1040" s="19" t="s">
        <v>5</v>
      </c>
    </row>
    <row r="1041" spans="1:4">
      <c r="A1041" s="32">
        <v>45357</v>
      </c>
      <c r="B1041" s="19" t="s">
        <v>11419</v>
      </c>
      <c r="C1041" s="19" t="s">
        <v>11418</v>
      </c>
      <c r="D1041" s="19" t="s">
        <v>5</v>
      </c>
    </row>
    <row r="1042" spans="1:4">
      <c r="A1042" s="32">
        <v>45357</v>
      </c>
      <c r="B1042" s="19" t="s">
        <v>11421</v>
      </c>
      <c r="C1042" s="19" t="s">
        <v>11420</v>
      </c>
      <c r="D1042" s="19" t="s">
        <v>353</v>
      </c>
    </row>
    <row r="1043" spans="1:4">
      <c r="A1043" s="32">
        <v>45357</v>
      </c>
      <c r="B1043" s="19" t="s">
        <v>11422</v>
      </c>
      <c r="C1043" s="19" t="s">
        <v>11420</v>
      </c>
      <c r="D1043" s="19" t="s">
        <v>353</v>
      </c>
    </row>
    <row r="1044" spans="1:4">
      <c r="A1044" s="32">
        <v>45358</v>
      </c>
      <c r="B1044" s="19" t="s">
        <v>11424</v>
      </c>
      <c r="C1044" s="19" t="s">
        <v>11423</v>
      </c>
      <c r="D1044" s="19" t="s">
        <v>19</v>
      </c>
    </row>
    <row r="1045" spans="1:4">
      <c r="A1045" s="32">
        <v>45358</v>
      </c>
      <c r="B1045" s="19" t="s">
        <v>11426</v>
      </c>
      <c r="C1045" s="19" t="s">
        <v>11425</v>
      </c>
      <c r="D1045" s="19" t="s">
        <v>109</v>
      </c>
    </row>
    <row r="1046" spans="1:4">
      <c r="A1046" s="32">
        <v>45358</v>
      </c>
      <c r="B1046" s="19" t="s">
        <v>10969</v>
      </c>
      <c r="C1046" s="19" t="s">
        <v>11427</v>
      </c>
      <c r="D1046" s="19" t="s">
        <v>353</v>
      </c>
    </row>
    <row r="1047" spans="1:4">
      <c r="A1047" s="32">
        <v>45358</v>
      </c>
      <c r="B1047" s="19" t="s">
        <v>11429</v>
      </c>
      <c r="C1047" s="19" t="s">
        <v>11428</v>
      </c>
      <c r="D1047" s="19" t="s">
        <v>5</v>
      </c>
    </row>
    <row r="1048" spans="1:4">
      <c r="A1048" s="32">
        <v>45358</v>
      </c>
      <c r="B1048" s="19" t="s">
        <v>11431</v>
      </c>
      <c r="C1048" s="19" t="s">
        <v>11430</v>
      </c>
      <c r="D1048" s="19" t="s">
        <v>29</v>
      </c>
    </row>
    <row r="1049" spans="1:4">
      <c r="A1049" s="32">
        <v>45358</v>
      </c>
      <c r="B1049" s="19" t="s">
        <v>11433</v>
      </c>
      <c r="C1049" s="19" t="s">
        <v>11432</v>
      </c>
      <c r="D1049" s="19" t="s">
        <v>109</v>
      </c>
    </row>
    <row r="1050" spans="1:4">
      <c r="A1050" s="32">
        <v>45358</v>
      </c>
      <c r="B1050" s="19" t="s">
        <v>11435</v>
      </c>
      <c r="C1050" s="19" t="s">
        <v>11434</v>
      </c>
      <c r="D1050" s="19" t="s">
        <v>109</v>
      </c>
    </row>
    <row r="1051" spans="1:4">
      <c r="A1051" s="32">
        <v>45358</v>
      </c>
      <c r="B1051" s="19" t="s">
        <v>11437</v>
      </c>
      <c r="C1051" s="19" t="s">
        <v>11436</v>
      </c>
      <c r="D1051" s="19" t="s">
        <v>510</v>
      </c>
    </row>
    <row r="1052" spans="1:4">
      <c r="A1052" s="32">
        <v>45358</v>
      </c>
      <c r="B1052" s="19" t="s">
        <v>11439</v>
      </c>
      <c r="C1052" s="19" t="s">
        <v>11438</v>
      </c>
      <c r="D1052" s="19" t="s">
        <v>353</v>
      </c>
    </row>
    <row r="1053" spans="1:4">
      <c r="A1053" s="32">
        <v>45358</v>
      </c>
      <c r="B1053" s="19" t="s">
        <v>11440</v>
      </c>
      <c r="C1053" s="19" t="s">
        <v>11438</v>
      </c>
      <c r="D1053" s="19" t="s">
        <v>353</v>
      </c>
    </row>
    <row r="1054" spans="1:4">
      <c r="A1054" s="58">
        <v>45407</v>
      </c>
      <c r="B1054" s="25" t="s">
        <v>11442</v>
      </c>
      <c r="C1054" s="25" t="s">
        <v>11441</v>
      </c>
      <c r="D1054" s="25" t="s">
        <v>345</v>
      </c>
    </row>
    <row r="1055" spans="1:4">
      <c r="A1055" s="70">
        <v>45406</v>
      </c>
      <c r="B1055" s="25" t="s">
        <v>11444</v>
      </c>
      <c r="C1055" s="25" t="s">
        <v>11443</v>
      </c>
      <c r="D1055" s="25" t="s">
        <v>345</v>
      </c>
    </row>
    <row r="1056" spans="1:4">
      <c r="A1056" s="32">
        <v>45359</v>
      </c>
      <c r="B1056" s="19" t="s">
        <v>11446</v>
      </c>
      <c r="C1056" s="19" t="s">
        <v>11445</v>
      </c>
      <c r="D1056" s="19" t="s">
        <v>5</v>
      </c>
    </row>
    <row r="1057" spans="1:4">
      <c r="A1057" s="32">
        <v>45359</v>
      </c>
      <c r="B1057" s="19" t="s">
        <v>11448</v>
      </c>
      <c r="C1057" s="19" t="s">
        <v>11447</v>
      </c>
      <c r="D1057" s="19" t="s">
        <v>109</v>
      </c>
    </row>
    <row r="1058" spans="1:4">
      <c r="A1058" s="32">
        <v>45359</v>
      </c>
      <c r="B1058" s="19" t="s">
        <v>11450</v>
      </c>
      <c r="C1058" s="19" t="s">
        <v>11449</v>
      </c>
      <c r="D1058" s="19" t="s">
        <v>5</v>
      </c>
    </row>
    <row r="1059" spans="1:4">
      <c r="A1059" s="32">
        <v>45359</v>
      </c>
      <c r="B1059" s="19" t="s">
        <v>10969</v>
      </c>
      <c r="C1059" s="19" t="s">
        <v>11451</v>
      </c>
      <c r="D1059" s="19" t="s">
        <v>510</v>
      </c>
    </row>
    <row r="1060" spans="1:4">
      <c r="A1060" s="32">
        <v>45359</v>
      </c>
      <c r="B1060" s="19" t="s">
        <v>11453</v>
      </c>
      <c r="C1060" s="19" t="s">
        <v>11452</v>
      </c>
      <c r="D1060" s="19" t="s">
        <v>5</v>
      </c>
    </row>
    <row r="1061" spans="1:4">
      <c r="A1061" s="32">
        <v>45362</v>
      </c>
      <c r="B1061" s="19" t="s">
        <v>11454</v>
      </c>
      <c r="C1061" s="19" t="s">
        <v>11395</v>
      </c>
      <c r="D1061" s="19" t="s">
        <v>11</v>
      </c>
    </row>
    <row r="1062" spans="1:4">
      <c r="A1062" s="32">
        <v>45362</v>
      </c>
      <c r="B1062" s="19" t="s">
        <v>11456</v>
      </c>
      <c r="C1062" s="19" t="s">
        <v>11455</v>
      </c>
      <c r="D1062" s="19" t="s">
        <v>353</v>
      </c>
    </row>
    <row r="1063" spans="1:4">
      <c r="A1063" s="32">
        <v>45362</v>
      </c>
      <c r="B1063" s="19" t="s">
        <v>11458</v>
      </c>
      <c r="C1063" s="19" t="s">
        <v>11457</v>
      </c>
      <c r="D1063" s="19" t="s">
        <v>353</v>
      </c>
    </row>
    <row r="1064" spans="1:4">
      <c r="A1064" s="32">
        <v>45362</v>
      </c>
      <c r="B1064" s="19" t="s">
        <v>11460</v>
      </c>
      <c r="C1064" s="19" t="s">
        <v>11459</v>
      </c>
      <c r="D1064" s="19" t="s">
        <v>353</v>
      </c>
    </row>
    <row r="1065" spans="1:4">
      <c r="A1065" s="32">
        <v>45362</v>
      </c>
      <c r="B1065" s="19" t="s">
        <v>11462</v>
      </c>
      <c r="C1065" s="19" t="s">
        <v>11461</v>
      </c>
      <c r="D1065" s="19" t="s">
        <v>353</v>
      </c>
    </row>
    <row r="1066" spans="1:4">
      <c r="A1066" s="32">
        <v>45362</v>
      </c>
      <c r="B1066" s="19" t="s">
        <v>11464</v>
      </c>
      <c r="C1066" s="19" t="s">
        <v>11463</v>
      </c>
      <c r="D1066" s="19" t="s">
        <v>353</v>
      </c>
    </row>
    <row r="1067" spans="1:4">
      <c r="A1067" s="32">
        <v>45362</v>
      </c>
      <c r="B1067" s="19" t="s">
        <v>11466</v>
      </c>
      <c r="C1067" s="19" t="s">
        <v>11465</v>
      </c>
      <c r="D1067" s="19" t="s">
        <v>353</v>
      </c>
    </row>
    <row r="1068" spans="1:4">
      <c r="A1068" s="32">
        <v>45363</v>
      </c>
      <c r="B1068" s="19" t="s">
        <v>11468</v>
      </c>
      <c r="C1068" s="19" t="s">
        <v>11467</v>
      </c>
      <c r="D1068" s="19" t="s">
        <v>5</v>
      </c>
    </row>
    <row r="1069" spans="1:4">
      <c r="A1069" s="70">
        <v>45415</v>
      </c>
      <c r="B1069" s="25" t="s">
        <v>11470</v>
      </c>
      <c r="C1069" s="25" t="s">
        <v>11469</v>
      </c>
      <c r="D1069" s="25" t="s">
        <v>345</v>
      </c>
    </row>
    <row r="1070" spans="1:4">
      <c r="A1070" s="32">
        <v>45363</v>
      </c>
      <c r="B1070" s="19" t="s">
        <v>10969</v>
      </c>
      <c r="C1070" s="19" t="s">
        <v>11471</v>
      </c>
      <c r="D1070" s="19" t="s">
        <v>109</v>
      </c>
    </row>
    <row r="1071" spans="1:4">
      <c r="A1071" s="32">
        <v>45364</v>
      </c>
      <c r="B1071" s="19" t="s">
        <v>11473</v>
      </c>
      <c r="C1071" s="19" t="s">
        <v>11472</v>
      </c>
      <c r="D1071" s="19" t="s">
        <v>5</v>
      </c>
    </row>
    <row r="1072" spans="1:4">
      <c r="A1072" s="32">
        <v>45365</v>
      </c>
      <c r="B1072" s="19" t="s">
        <v>11475</v>
      </c>
      <c r="C1072" s="19" t="s">
        <v>11474</v>
      </c>
      <c r="D1072" s="19" t="s">
        <v>353</v>
      </c>
    </row>
    <row r="1073" spans="1:4">
      <c r="A1073" s="32">
        <v>45365</v>
      </c>
      <c r="B1073" s="19" t="s">
        <v>11477</v>
      </c>
      <c r="C1073" s="19" t="s">
        <v>11476</v>
      </c>
      <c r="D1073" s="19" t="s">
        <v>5</v>
      </c>
    </row>
    <row r="1074" spans="1:4">
      <c r="A1074" s="70">
        <v>45416</v>
      </c>
      <c r="B1074" s="25" t="s">
        <v>11479</v>
      </c>
      <c r="C1074" s="25" t="s">
        <v>11478</v>
      </c>
      <c r="D1074" s="25" t="s">
        <v>345</v>
      </c>
    </row>
    <row r="1075" spans="1:4">
      <c r="A1075" s="61">
        <v>45359</v>
      </c>
      <c r="B1075" s="36" t="s">
        <v>11481</v>
      </c>
      <c r="C1075" s="36" t="s">
        <v>11480</v>
      </c>
      <c r="D1075" s="36" t="s">
        <v>5</v>
      </c>
    </row>
    <row r="1076" spans="1:4">
      <c r="A1076" s="61">
        <v>45359</v>
      </c>
      <c r="B1076" s="36" t="s">
        <v>11482</v>
      </c>
      <c r="C1076" s="36" t="s">
        <v>10240</v>
      </c>
      <c r="D1076" s="36" t="s">
        <v>74</v>
      </c>
    </row>
    <row r="1077" spans="1:4">
      <c r="A1077" s="58">
        <v>45419</v>
      </c>
      <c r="B1077" s="34" t="s">
        <v>11484</v>
      </c>
      <c r="C1077" s="25" t="s">
        <v>11483</v>
      </c>
      <c r="D1077" s="25" t="s">
        <v>345</v>
      </c>
    </row>
    <row r="1078" spans="1:4">
      <c r="A1078" s="58">
        <v>45425</v>
      </c>
      <c r="B1078" s="34" t="s">
        <v>11485</v>
      </c>
      <c r="C1078" s="25" t="s">
        <v>11483</v>
      </c>
      <c r="D1078" s="25" t="s">
        <v>19</v>
      </c>
    </row>
    <row r="1079" spans="1:4">
      <c r="A1079" s="58">
        <v>45419</v>
      </c>
      <c r="B1079" s="34" t="s">
        <v>11487</v>
      </c>
      <c r="C1079" s="25" t="s">
        <v>11486</v>
      </c>
      <c r="D1079" s="25" t="s">
        <v>345</v>
      </c>
    </row>
    <row r="1080" spans="1:4">
      <c r="A1080" s="61">
        <v>45363</v>
      </c>
      <c r="B1080" s="36" t="s">
        <v>11489</v>
      </c>
      <c r="C1080" s="36" t="s">
        <v>11488</v>
      </c>
      <c r="D1080" s="36" t="s">
        <v>216</v>
      </c>
    </row>
    <row r="1081" spans="1:4">
      <c r="A1081" s="61">
        <v>45363</v>
      </c>
      <c r="B1081" s="36" t="s">
        <v>11491</v>
      </c>
      <c r="C1081" s="36" t="s">
        <v>11490</v>
      </c>
      <c r="D1081" s="36" t="s">
        <v>353</v>
      </c>
    </row>
    <row r="1082" spans="1:4">
      <c r="A1082" s="61">
        <v>45363</v>
      </c>
      <c r="B1082" s="36" t="s">
        <v>11493</v>
      </c>
      <c r="C1082" s="36" t="s">
        <v>11492</v>
      </c>
      <c r="D1082" s="36" t="s">
        <v>5</v>
      </c>
    </row>
    <row r="1083" spans="1:4">
      <c r="A1083" s="61">
        <v>45363</v>
      </c>
      <c r="B1083" s="36" t="s">
        <v>11495</v>
      </c>
      <c r="C1083" s="36" t="s">
        <v>11494</v>
      </c>
      <c r="D1083" s="36" t="s">
        <v>216</v>
      </c>
    </row>
    <row r="1084" spans="1:4">
      <c r="A1084" s="61">
        <v>45363</v>
      </c>
      <c r="B1084" s="36" t="s">
        <v>11497</v>
      </c>
      <c r="C1084" s="36" t="s">
        <v>11496</v>
      </c>
      <c r="D1084" s="36" t="s">
        <v>216</v>
      </c>
    </row>
    <row r="1085" spans="1:4">
      <c r="A1085" s="58">
        <v>45425</v>
      </c>
      <c r="B1085" s="34" t="s">
        <v>11499</v>
      </c>
      <c r="C1085" s="25" t="s">
        <v>11498</v>
      </c>
      <c r="D1085" s="25" t="s">
        <v>345</v>
      </c>
    </row>
    <row r="1086" spans="1:4">
      <c r="A1086" s="58">
        <v>45425</v>
      </c>
      <c r="B1086" s="34" t="s">
        <v>11501</v>
      </c>
      <c r="C1086" s="25" t="s">
        <v>11500</v>
      </c>
      <c r="D1086" s="25" t="s">
        <v>345</v>
      </c>
    </row>
    <row r="1087" spans="1:4">
      <c r="A1087" s="32">
        <v>45364</v>
      </c>
      <c r="B1087" s="19" t="s">
        <v>11503</v>
      </c>
      <c r="C1087" s="19" t="s">
        <v>11502</v>
      </c>
      <c r="D1087" s="19" t="s">
        <v>11</v>
      </c>
    </row>
    <row r="1088" spans="1:4">
      <c r="A1088" s="58">
        <v>45435</v>
      </c>
      <c r="B1088" s="34" t="s">
        <v>11505</v>
      </c>
      <c r="C1088" s="25" t="s">
        <v>11504</v>
      </c>
      <c r="D1088" s="25" t="s">
        <v>345</v>
      </c>
    </row>
    <row r="1089" spans="1:4">
      <c r="A1089" s="32">
        <v>45364</v>
      </c>
      <c r="B1089" s="19" t="s">
        <v>11507</v>
      </c>
      <c r="C1089" s="19" t="s">
        <v>11506</v>
      </c>
      <c r="D1089" s="19" t="s">
        <v>29</v>
      </c>
    </row>
    <row r="1090" spans="1:4">
      <c r="A1090" s="32">
        <v>45364</v>
      </c>
      <c r="B1090" s="19" t="s">
        <v>11509</v>
      </c>
      <c r="C1090" s="19" t="s">
        <v>11508</v>
      </c>
      <c r="D1090" s="19" t="s">
        <v>11</v>
      </c>
    </row>
    <row r="1091" spans="1:4">
      <c r="A1091" s="32">
        <v>45365</v>
      </c>
      <c r="B1091" s="19" t="s">
        <v>11511</v>
      </c>
      <c r="C1091" s="19" t="s">
        <v>11510</v>
      </c>
      <c r="D1091" s="19" t="s">
        <v>5</v>
      </c>
    </row>
    <row r="1092" spans="1:4">
      <c r="A1092" s="32">
        <v>45357</v>
      </c>
      <c r="B1092" s="19" t="s">
        <v>11513</v>
      </c>
      <c r="C1092" s="19" t="s">
        <v>11512</v>
      </c>
      <c r="D1092" s="19" t="s">
        <v>29</v>
      </c>
    </row>
    <row r="1093" spans="1:4">
      <c r="A1093" s="58">
        <v>45435</v>
      </c>
      <c r="B1093" s="34" t="s">
        <v>11515</v>
      </c>
      <c r="C1093" s="25" t="s">
        <v>11514</v>
      </c>
      <c r="D1093" s="25" t="s">
        <v>345</v>
      </c>
    </row>
    <row r="1094" spans="1:4">
      <c r="A1094" s="32">
        <v>45357</v>
      </c>
      <c r="B1094" s="19" t="s">
        <v>11517</v>
      </c>
      <c r="C1094" s="19" t="s">
        <v>11516</v>
      </c>
      <c r="D1094" s="19" t="s">
        <v>109</v>
      </c>
    </row>
    <row r="1095" spans="1:4">
      <c r="A1095" s="32">
        <v>45358</v>
      </c>
      <c r="B1095" s="19" t="s">
        <v>11519</v>
      </c>
      <c r="C1095" s="19" t="s">
        <v>11518</v>
      </c>
      <c r="D1095" s="19" t="s">
        <v>510</v>
      </c>
    </row>
    <row r="1096" spans="1:4">
      <c r="A1096" s="32">
        <v>45358</v>
      </c>
      <c r="B1096" s="19" t="s">
        <v>11521</v>
      </c>
      <c r="C1096" s="19" t="s">
        <v>11520</v>
      </c>
      <c r="D1096" s="19" t="s">
        <v>16</v>
      </c>
    </row>
    <row r="1097" spans="1:4">
      <c r="A1097" s="32">
        <v>45358</v>
      </c>
      <c r="B1097" s="19" t="s">
        <v>11523</v>
      </c>
      <c r="C1097" s="19" t="s">
        <v>11522</v>
      </c>
      <c r="D1097" s="19" t="s">
        <v>510</v>
      </c>
    </row>
    <row r="1098" spans="1:4">
      <c r="A1098" s="32">
        <v>45358</v>
      </c>
      <c r="B1098" s="19" t="s">
        <v>11525</v>
      </c>
      <c r="C1098" s="19" t="s">
        <v>11524</v>
      </c>
      <c r="D1098" s="19" t="s">
        <v>19</v>
      </c>
    </row>
    <row r="1099" spans="1:4">
      <c r="A1099" s="32">
        <v>45371</v>
      </c>
      <c r="B1099" s="19" t="s">
        <v>11527</v>
      </c>
      <c r="C1099" s="19" t="s">
        <v>11526</v>
      </c>
      <c r="D1099" s="19" t="s">
        <v>345</v>
      </c>
    </row>
    <row r="1100" spans="1:4">
      <c r="A1100" s="32">
        <v>45359</v>
      </c>
      <c r="B1100" s="19" t="s">
        <v>11529</v>
      </c>
      <c r="C1100" s="19" t="s">
        <v>11528</v>
      </c>
      <c r="D1100" s="19" t="s">
        <v>353</v>
      </c>
    </row>
    <row r="1101" spans="1:4">
      <c r="A1101" s="32">
        <v>45359</v>
      </c>
      <c r="B1101" s="19" t="s">
        <v>11531</v>
      </c>
      <c r="C1101" s="19" t="s">
        <v>11530</v>
      </c>
      <c r="D1101" s="19" t="s">
        <v>353</v>
      </c>
    </row>
    <row r="1102" spans="1:4">
      <c r="A1102" s="32">
        <v>45362</v>
      </c>
      <c r="B1102" s="19" t="s">
        <v>11533</v>
      </c>
      <c r="C1102" s="19" t="s">
        <v>11532</v>
      </c>
      <c r="D1102" s="19" t="s">
        <v>5</v>
      </c>
    </row>
    <row r="1103" spans="1:4">
      <c r="A1103" s="32">
        <v>45362</v>
      </c>
      <c r="B1103" s="19" t="s">
        <v>11535</v>
      </c>
      <c r="C1103" s="19" t="s">
        <v>11534</v>
      </c>
      <c r="D1103" s="19" t="s">
        <v>5</v>
      </c>
    </row>
    <row r="1104" spans="1:4">
      <c r="A1104" s="32">
        <v>45362</v>
      </c>
      <c r="B1104" s="19" t="s">
        <v>11537</v>
      </c>
      <c r="C1104" s="19" t="s">
        <v>11536</v>
      </c>
      <c r="D1104" s="19" t="s">
        <v>5</v>
      </c>
    </row>
    <row r="1105" spans="1:4">
      <c r="A1105" s="32">
        <v>45359</v>
      </c>
      <c r="B1105" s="19" t="s">
        <v>11539</v>
      </c>
      <c r="C1105" s="19" t="s">
        <v>11538</v>
      </c>
      <c r="D1105" s="19" t="s">
        <v>5</v>
      </c>
    </row>
    <row r="1106" spans="1:4">
      <c r="A1106" s="32">
        <v>45359</v>
      </c>
      <c r="B1106" s="19" t="s">
        <v>11541</v>
      </c>
      <c r="C1106" s="19" t="s">
        <v>11540</v>
      </c>
      <c r="D1106" s="19" t="s">
        <v>5</v>
      </c>
    </row>
    <row r="1107" spans="1:4">
      <c r="A1107" s="32">
        <v>45359</v>
      </c>
      <c r="B1107" s="19" t="s">
        <v>11542</v>
      </c>
      <c r="C1107" s="19" t="s">
        <v>11540</v>
      </c>
      <c r="D1107" s="19" t="s">
        <v>5</v>
      </c>
    </row>
    <row r="1108" spans="1:4">
      <c r="A1108" s="32">
        <v>45363</v>
      </c>
      <c r="B1108" s="19" t="s">
        <v>11544</v>
      </c>
      <c r="C1108" s="19" t="s">
        <v>11543</v>
      </c>
      <c r="D1108" s="19" t="s">
        <v>5</v>
      </c>
    </row>
    <row r="1109" spans="1:4">
      <c r="A1109" s="32">
        <v>45363</v>
      </c>
      <c r="B1109" s="19" t="s">
        <v>11546</v>
      </c>
      <c r="C1109" s="19" t="s">
        <v>11545</v>
      </c>
      <c r="D1109" s="19" t="s">
        <v>109</v>
      </c>
    </row>
    <row r="1110" spans="1:4">
      <c r="A1110" s="32">
        <v>45363</v>
      </c>
      <c r="B1110" s="19" t="s">
        <v>11546</v>
      </c>
      <c r="C1110" s="19" t="s">
        <v>11547</v>
      </c>
      <c r="D1110" s="19" t="s">
        <v>109</v>
      </c>
    </row>
    <row r="1111" spans="1:4">
      <c r="A1111" s="32">
        <v>45363</v>
      </c>
      <c r="B1111" s="19" t="s">
        <v>11546</v>
      </c>
      <c r="C1111" s="19" t="s">
        <v>11547</v>
      </c>
      <c r="D1111" s="19" t="s">
        <v>109</v>
      </c>
    </row>
    <row r="1112" spans="1:4">
      <c r="A1112" s="32">
        <v>45363</v>
      </c>
      <c r="B1112" s="19" t="s">
        <v>11546</v>
      </c>
      <c r="C1112" s="19" t="s">
        <v>11547</v>
      </c>
      <c r="D1112" s="19" t="s">
        <v>109</v>
      </c>
    </row>
    <row r="1113" spans="1:4">
      <c r="A1113" s="32">
        <v>45364</v>
      </c>
      <c r="B1113" s="19" t="s">
        <v>11549</v>
      </c>
      <c r="C1113" s="19" t="s">
        <v>11548</v>
      </c>
      <c r="D1113" s="19" t="s">
        <v>29</v>
      </c>
    </row>
    <row r="1114" spans="1:4">
      <c r="A1114" s="32">
        <v>45369</v>
      </c>
      <c r="B1114" s="42" t="s">
        <v>11551</v>
      </c>
      <c r="C1114" s="42" t="s">
        <v>11550</v>
      </c>
      <c r="D1114" s="42" t="s">
        <v>216</v>
      </c>
    </row>
    <row r="1115" spans="1:4">
      <c r="A1115" s="70">
        <v>45310</v>
      </c>
      <c r="B1115" s="25" t="s">
        <v>11553</v>
      </c>
      <c r="C1115" s="25" t="s">
        <v>11552</v>
      </c>
      <c r="D1115" s="25" t="s">
        <v>5</v>
      </c>
    </row>
    <row r="1116" spans="1:4">
      <c r="A1116" s="32">
        <v>45365</v>
      </c>
      <c r="B1116" s="42" t="s">
        <v>11555</v>
      </c>
      <c r="C1116" s="42" t="s">
        <v>11554</v>
      </c>
      <c r="D1116" s="42" t="s">
        <v>216</v>
      </c>
    </row>
    <row r="1117" spans="1:4">
      <c r="A1117" s="32">
        <v>45364</v>
      </c>
      <c r="B1117" s="19" t="s">
        <v>11557</v>
      </c>
      <c r="C1117" s="19" t="s">
        <v>11556</v>
      </c>
      <c r="D1117" s="19" t="s">
        <v>5</v>
      </c>
    </row>
    <row r="1118" spans="1:4">
      <c r="A1118" s="32">
        <v>45366</v>
      </c>
      <c r="B1118" s="42" t="s">
        <v>11559</v>
      </c>
      <c r="C1118" s="42" t="s">
        <v>11558</v>
      </c>
      <c r="D1118" s="42" t="s">
        <v>29</v>
      </c>
    </row>
    <row r="1119" spans="1:4">
      <c r="A1119" s="32">
        <v>45366</v>
      </c>
      <c r="B1119" s="42" t="s">
        <v>11561</v>
      </c>
      <c r="C1119" s="42" t="s">
        <v>11560</v>
      </c>
      <c r="D1119" s="42" t="s">
        <v>109</v>
      </c>
    </row>
    <row r="1120" spans="1:4">
      <c r="A1120" s="32">
        <v>45366</v>
      </c>
      <c r="B1120" s="42" t="s">
        <v>11563</v>
      </c>
      <c r="C1120" s="42" t="s">
        <v>11562</v>
      </c>
      <c r="D1120" s="42" t="s">
        <v>109</v>
      </c>
    </row>
    <row r="1121" spans="1:4">
      <c r="A1121" s="58">
        <v>45439</v>
      </c>
      <c r="B1121" s="34" t="s">
        <v>11565</v>
      </c>
      <c r="C1121" s="25" t="s">
        <v>11564</v>
      </c>
      <c r="D1121" s="25" t="s">
        <v>5</v>
      </c>
    </row>
    <row r="1122" spans="1:4">
      <c r="A1122" s="58">
        <v>45451</v>
      </c>
      <c r="B1122" s="34" t="s">
        <v>11567</v>
      </c>
      <c r="C1122" s="25" t="s">
        <v>11566</v>
      </c>
      <c r="D1122" s="25" t="s">
        <v>216</v>
      </c>
    </row>
    <row r="1123" spans="1:4">
      <c r="A1123" s="32">
        <v>45369</v>
      </c>
      <c r="B1123" s="42" t="s">
        <v>11569</v>
      </c>
      <c r="C1123" s="42" t="s">
        <v>11568</v>
      </c>
      <c r="D1123" s="42" t="s">
        <v>74</v>
      </c>
    </row>
    <row r="1124" spans="1:4">
      <c r="A1124" s="61">
        <v>45359</v>
      </c>
      <c r="B1124" s="36" t="s">
        <v>11570</v>
      </c>
      <c r="C1124" s="36" t="s">
        <v>11480</v>
      </c>
      <c r="D1124" s="36" t="s">
        <v>5</v>
      </c>
    </row>
    <row r="1125" spans="1:4">
      <c r="A1125" s="32">
        <v>45364</v>
      </c>
      <c r="B1125" s="19" t="s">
        <v>11572</v>
      </c>
      <c r="C1125" s="19" t="s">
        <v>11571</v>
      </c>
      <c r="D1125" s="19" t="s">
        <v>5</v>
      </c>
    </row>
    <row r="1126" spans="1:4">
      <c r="A1126" s="32">
        <v>45370</v>
      </c>
      <c r="B1126" s="42" t="s">
        <v>10969</v>
      </c>
      <c r="C1126" s="42" t="s">
        <v>11573</v>
      </c>
      <c r="D1126" s="42" t="s">
        <v>74</v>
      </c>
    </row>
    <row r="1127" spans="1:4">
      <c r="A1127" s="32">
        <v>45364</v>
      </c>
      <c r="B1127" s="19" t="s">
        <v>11575</v>
      </c>
      <c r="C1127" s="19" t="s">
        <v>11574</v>
      </c>
      <c r="D1127" s="19" t="s">
        <v>5</v>
      </c>
    </row>
    <row r="1128" spans="1:4">
      <c r="A1128" s="32">
        <v>45365</v>
      </c>
      <c r="B1128" s="42" t="s">
        <v>11577</v>
      </c>
      <c r="C1128" s="42" t="s">
        <v>11576</v>
      </c>
      <c r="D1128" s="42" t="s">
        <v>74</v>
      </c>
    </row>
    <row r="1129" spans="1:4">
      <c r="A1129" s="32">
        <v>45366</v>
      </c>
      <c r="B1129" s="42" t="s">
        <v>11579</v>
      </c>
      <c r="C1129" s="42" t="s">
        <v>11578</v>
      </c>
      <c r="D1129" s="42" t="s">
        <v>109</v>
      </c>
    </row>
    <row r="1130" spans="1:4">
      <c r="A1130" s="32">
        <v>45366</v>
      </c>
      <c r="B1130" s="42" t="s">
        <v>11581</v>
      </c>
      <c r="C1130" s="42" t="s">
        <v>11580</v>
      </c>
      <c r="D1130" s="42" t="s">
        <v>109</v>
      </c>
    </row>
    <row r="1131" spans="1:4">
      <c r="A1131" s="32">
        <v>45369</v>
      </c>
      <c r="B1131" s="42" t="s">
        <v>11583</v>
      </c>
      <c r="C1131" s="42" t="s">
        <v>11582</v>
      </c>
      <c r="D1131" s="42" t="s">
        <v>353</v>
      </c>
    </row>
    <row r="1132" spans="1:4">
      <c r="A1132" s="32">
        <v>45369</v>
      </c>
      <c r="B1132" s="42" t="s">
        <v>11585</v>
      </c>
      <c r="C1132" s="42" t="s">
        <v>11584</v>
      </c>
      <c r="D1132" s="42" t="s">
        <v>5</v>
      </c>
    </row>
    <row r="1133" spans="1:4">
      <c r="A1133" s="32">
        <v>45369</v>
      </c>
      <c r="B1133" s="42" t="s">
        <v>11587</v>
      </c>
      <c r="C1133" s="42" t="s">
        <v>11586</v>
      </c>
      <c r="D1133" s="42" t="s">
        <v>5</v>
      </c>
    </row>
    <row r="1134" spans="1:4">
      <c r="A1134" s="32">
        <v>45366</v>
      </c>
      <c r="B1134" s="42" t="s">
        <v>11589</v>
      </c>
      <c r="C1134" s="42" t="s">
        <v>11588</v>
      </c>
      <c r="D1134" s="42" t="s">
        <v>5</v>
      </c>
    </row>
    <row r="1135" spans="1:4">
      <c r="A1135" s="32">
        <v>45370</v>
      </c>
      <c r="B1135" s="42" t="s">
        <v>11591</v>
      </c>
      <c r="C1135" s="42" t="s">
        <v>11590</v>
      </c>
      <c r="D1135" s="42" t="s">
        <v>510</v>
      </c>
    </row>
    <row r="1136" spans="1:4">
      <c r="A1136" s="32">
        <v>45370</v>
      </c>
      <c r="B1136" s="42" t="s">
        <v>11593</v>
      </c>
      <c r="C1136" s="42" t="s">
        <v>11592</v>
      </c>
      <c r="D1136" s="42" t="s">
        <v>16</v>
      </c>
    </row>
    <row r="1137" spans="1:4">
      <c r="A1137" s="32">
        <v>45366</v>
      </c>
      <c r="B1137" s="42" t="s">
        <v>11594</v>
      </c>
      <c r="C1137" s="42" t="s">
        <v>11574</v>
      </c>
      <c r="D1137" s="42" t="s">
        <v>5</v>
      </c>
    </row>
    <row r="1138" spans="1:4">
      <c r="A1138" s="32">
        <v>45370</v>
      </c>
      <c r="B1138" s="42" t="s">
        <v>11596</v>
      </c>
      <c r="C1138" s="42" t="s">
        <v>11595</v>
      </c>
      <c r="D1138" s="42" t="s">
        <v>74</v>
      </c>
    </row>
    <row r="1139" spans="1:4">
      <c r="A1139" s="32">
        <v>45370</v>
      </c>
      <c r="B1139" s="42" t="s">
        <v>11598</v>
      </c>
      <c r="C1139" s="42" t="s">
        <v>11597</v>
      </c>
      <c r="D1139" s="42" t="s">
        <v>74</v>
      </c>
    </row>
    <row r="1140" spans="1:4">
      <c r="A1140" s="32">
        <v>45365</v>
      </c>
      <c r="B1140" s="42" t="s">
        <v>11600</v>
      </c>
      <c r="C1140" s="42" t="s">
        <v>11599</v>
      </c>
      <c r="D1140" s="42" t="s">
        <v>109</v>
      </c>
    </row>
    <row r="1141" spans="1:4">
      <c r="A1141" s="32">
        <v>45376</v>
      </c>
      <c r="B1141" s="19" t="s">
        <v>11602</v>
      </c>
      <c r="C1141" s="19" t="s">
        <v>11601</v>
      </c>
      <c r="D1141" s="19" t="s">
        <v>5</v>
      </c>
    </row>
    <row r="1142" spans="1:4">
      <c r="A1142" s="32">
        <v>45378</v>
      </c>
      <c r="B1142" s="19" t="s">
        <v>11603</v>
      </c>
      <c r="C1142" s="19" t="s">
        <v>11574</v>
      </c>
      <c r="D1142" s="19" t="s">
        <v>5</v>
      </c>
    </row>
    <row r="1143" spans="1:4">
      <c r="A1143" s="32">
        <v>45369</v>
      </c>
      <c r="B1143" s="42" t="s">
        <v>11605</v>
      </c>
      <c r="C1143" s="42" t="s">
        <v>11604</v>
      </c>
      <c r="D1143" s="42" t="s">
        <v>74</v>
      </c>
    </row>
    <row r="1144" spans="1:4">
      <c r="A1144" s="32">
        <v>45378</v>
      </c>
      <c r="B1144" s="19" t="s">
        <v>11607</v>
      </c>
      <c r="C1144" s="19" t="s">
        <v>11606</v>
      </c>
      <c r="D1144" s="19" t="s">
        <v>5</v>
      </c>
    </row>
    <row r="1145" spans="1:4">
      <c r="A1145" s="32">
        <v>45379</v>
      </c>
      <c r="B1145" s="19" t="s">
        <v>11609</v>
      </c>
      <c r="C1145" s="19" t="s">
        <v>11608</v>
      </c>
      <c r="D1145" s="19" t="s">
        <v>5</v>
      </c>
    </row>
    <row r="1146" spans="1:4">
      <c r="A1146" s="32">
        <v>45365</v>
      </c>
      <c r="B1146" s="42" t="s">
        <v>11611</v>
      </c>
      <c r="C1146" s="42" t="s">
        <v>11610</v>
      </c>
      <c r="D1146" s="42" t="s">
        <v>510</v>
      </c>
    </row>
    <row r="1147" spans="1:4">
      <c r="A1147" s="32">
        <v>45365</v>
      </c>
      <c r="B1147" s="42" t="s">
        <v>11613</v>
      </c>
      <c r="C1147" s="42" t="s">
        <v>11612</v>
      </c>
      <c r="D1147" s="42" t="s">
        <v>11</v>
      </c>
    </row>
    <row r="1148" spans="1:4">
      <c r="A1148" s="32">
        <v>45365</v>
      </c>
      <c r="B1148" s="42" t="s">
        <v>11614</v>
      </c>
      <c r="C1148" s="42" t="s">
        <v>11610</v>
      </c>
      <c r="D1148" s="42" t="s">
        <v>510</v>
      </c>
    </row>
    <row r="1149" spans="1:4">
      <c r="A1149" s="32">
        <v>45365</v>
      </c>
      <c r="B1149" s="42" t="s">
        <v>11615</v>
      </c>
      <c r="C1149" s="42" t="s">
        <v>11612</v>
      </c>
      <c r="D1149" s="42" t="s">
        <v>11</v>
      </c>
    </row>
    <row r="1150" spans="1:4">
      <c r="A1150" s="32">
        <v>45365</v>
      </c>
      <c r="B1150" s="42" t="s">
        <v>11617</v>
      </c>
      <c r="C1150" s="42" t="s">
        <v>11616</v>
      </c>
      <c r="D1150" s="42" t="s">
        <v>11</v>
      </c>
    </row>
    <row r="1151" spans="1:4">
      <c r="A1151" s="32">
        <v>45366</v>
      </c>
      <c r="B1151" s="42" t="s">
        <v>10969</v>
      </c>
      <c r="C1151" s="42" t="s">
        <v>11618</v>
      </c>
      <c r="D1151" s="42" t="s">
        <v>345</v>
      </c>
    </row>
    <row r="1152" spans="1:4">
      <c r="A1152" s="32">
        <v>45366</v>
      </c>
      <c r="B1152" s="42" t="s">
        <v>10969</v>
      </c>
      <c r="C1152" s="42" t="s">
        <v>11619</v>
      </c>
      <c r="D1152" s="42" t="s">
        <v>74</v>
      </c>
    </row>
    <row r="1153" spans="1:4">
      <c r="A1153" s="32">
        <v>45366</v>
      </c>
      <c r="B1153" s="42" t="s">
        <v>11621</v>
      </c>
      <c r="C1153" s="42" t="s">
        <v>11620</v>
      </c>
      <c r="D1153" s="42" t="s">
        <v>5</v>
      </c>
    </row>
    <row r="1154" spans="1:4">
      <c r="A1154" s="32">
        <v>45367</v>
      </c>
      <c r="B1154" s="42" t="s">
        <v>11623</v>
      </c>
      <c r="C1154" s="42" t="s">
        <v>11622</v>
      </c>
      <c r="D1154" s="42" t="s">
        <v>109</v>
      </c>
    </row>
    <row r="1155" spans="1:4">
      <c r="A1155" s="32">
        <v>45367</v>
      </c>
      <c r="B1155" s="42" t="s">
        <v>11625</v>
      </c>
      <c r="C1155" s="42" t="s">
        <v>11624</v>
      </c>
      <c r="D1155" s="42" t="s">
        <v>29</v>
      </c>
    </row>
    <row r="1156" spans="1:4">
      <c r="A1156" s="32">
        <v>45368</v>
      </c>
      <c r="B1156" s="42" t="s">
        <v>10969</v>
      </c>
      <c r="C1156" s="42" t="s">
        <v>11626</v>
      </c>
      <c r="D1156" s="42" t="s">
        <v>5</v>
      </c>
    </row>
    <row r="1157" spans="1:4">
      <c r="A1157" s="32">
        <v>45368</v>
      </c>
      <c r="B1157" s="42" t="s">
        <v>10969</v>
      </c>
      <c r="C1157" s="42" t="s">
        <v>11627</v>
      </c>
      <c r="D1157" s="42" t="s">
        <v>5</v>
      </c>
    </row>
    <row r="1158" spans="1:4">
      <c r="A1158" s="32">
        <v>45368</v>
      </c>
      <c r="B1158" s="42" t="s">
        <v>10969</v>
      </c>
      <c r="C1158" s="42" t="s">
        <v>11231</v>
      </c>
      <c r="D1158" s="42" t="s">
        <v>5</v>
      </c>
    </row>
    <row r="1159" spans="1:4">
      <c r="A1159" s="32">
        <v>45368</v>
      </c>
      <c r="B1159" s="42" t="s">
        <v>10969</v>
      </c>
      <c r="C1159" s="42" t="s">
        <v>11628</v>
      </c>
      <c r="D1159" s="42" t="s">
        <v>5</v>
      </c>
    </row>
    <row r="1160" spans="1:4">
      <c r="A1160" s="32">
        <v>45368</v>
      </c>
      <c r="B1160" s="42" t="s">
        <v>10969</v>
      </c>
      <c r="C1160" s="42" t="s">
        <v>11629</v>
      </c>
      <c r="D1160" s="42" t="s">
        <v>11</v>
      </c>
    </row>
    <row r="1161" spans="1:4">
      <c r="A1161" s="32">
        <v>45368</v>
      </c>
      <c r="B1161" s="42" t="s">
        <v>11630</v>
      </c>
      <c r="C1161" s="42" t="s">
        <v>11090</v>
      </c>
      <c r="D1161" s="42" t="s">
        <v>29</v>
      </c>
    </row>
    <row r="1162" spans="1:4">
      <c r="A1162" s="32">
        <v>45368</v>
      </c>
      <c r="B1162" s="42" t="s">
        <v>11632</v>
      </c>
      <c r="C1162" s="42" t="s">
        <v>11631</v>
      </c>
      <c r="D1162" s="42" t="s">
        <v>29</v>
      </c>
    </row>
    <row r="1163" spans="1:4">
      <c r="A1163" s="32">
        <v>45368</v>
      </c>
      <c r="B1163" s="42" t="s">
        <v>11634</v>
      </c>
      <c r="C1163" s="42" t="s">
        <v>11633</v>
      </c>
      <c r="D1163" s="42" t="s">
        <v>109</v>
      </c>
    </row>
    <row r="1164" spans="1:4">
      <c r="A1164" s="32">
        <v>45368</v>
      </c>
      <c r="B1164" s="42" t="s">
        <v>11636</v>
      </c>
      <c r="C1164" s="42" t="s">
        <v>11635</v>
      </c>
      <c r="D1164" s="42" t="s">
        <v>29</v>
      </c>
    </row>
    <row r="1165" spans="1:4">
      <c r="A1165" s="32">
        <v>45368</v>
      </c>
      <c r="B1165" s="42" t="s">
        <v>10969</v>
      </c>
      <c r="C1165" s="42" t="s">
        <v>11637</v>
      </c>
      <c r="D1165" s="42" t="s">
        <v>5</v>
      </c>
    </row>
    <row r="1166" spans="1:4">
      <c r="A1166" s="32">
        <v>45369</v>
      </c>
      <c r="B1166" s="42" t="s">
        <v>10969</v>
      </c>
      <c r="C1166" s="42" t="s">
        <v>11638</v>
      </c>
      <c r="D1166" s="42" t="s">
        <v>29</v>
      </c>
    </row>
    <row r="1167" spans="1:4">
      <c r="A1167" s="32">
        <v>45369</v>
      </c>
      <c r="B1167" s="42" t="s">
        <v>10969</v>
      </c>
      <c r="C1167" s="42" t="s">
        <v>11639</v>
      </c>
      <c r="D1167" s="42" t="s">
        <v>109</v>
      </c>
    </row>
    <row r="1168" spans="1:4">
      <c r="A1168" s="32">
        <v>45369</v>
      </c>
      <c r="B1168" s="42" t="s">
        <v>11641</v>
      </c>
      <c r="C1168" s="42" t="s">
        <v>11640</v>
      </c>
      <c r="D1168" s="42" t="s">
        <v>24</v>
      </c>
    </row>
    <row r="1169" spans="1:4">
      <c r="A1169" s="32">
        <v>45369</v>
      </c>
      <c r="B1169" s="42" t="s">
        <v>11643</v>
      </c>
      <c r="C1169" s="42" t="s">
        <v>11642</v>
      </c>
      <c r="D1169" s="42" t="s">
        <v>109</v>
      </c>
    </row>
    <row r="1170" spans="1:4">
      <c r="A1170" s="32">
        <v>45369</v>
      </c>
      <c r="B1170" s="42" t="s">
        <v>11645</v>
      </c>
      <c r="C1170" s="42" t="s">
        <v>11644</v>
      </c>
      <c r="D1170" s="42" t="s">
        <v>109</v>
      </c>
    </row>
    <row r="1171" spans="1:4">
      <c r="A1171" s="32">
        <v>45369</v>
      </c>
      <c r="B1171" s="42" t="s">
        <v>11647</v>
      </c>
      <c r="C1171" s="42" t="s">
        <v>11646</v>
      </c>
      <c r="D1171" s="42" t="s">
        <v>19</v>
      </c>
    </row>
    <row r="1172" spans="1:4">
      <c r="A1172" s="32">
        <v>45370</v>
      </c>
      <c r="B1172" s="42" t="s">
        <v>10969</v>
      </c>
      <c r="C1172" s="42" t="s">
        <v>11648</v>
      </c>
      <c r="D1172" s="42" t="s">
        <v>74</v>
      </c>
    </row>
    <row r="1173" spans="1:4">
      <c r="A1173" s="32">
        <v>45370</v>
      </c>
      <c r="B1173" s="42" t="s">
        <v>10969</v>
      </c>
      <c r="C1173" s="42" t="s">
        <v>11649</v>
      </c>
      <c r="D1173" s="42" t="s">
        <v>74</v>
      </c>
    </row>
    <row r="1174" spans="1:4">
      <c r="A1174" s="32">
        <v>45370</v>
      </c>
      <c r="B1174" s="42" t="s">
        <v>11651</v>
      </c>
      <c r="C1174" s="42" t="s">
        <v>11650</v>
      </c>
      <c r="D1174" s="42" t="s">
        <v>29</v>
      </c>
    </row>
    <row r="1175" spans="1:4">
      <c r="A1175" s="32">
        <v>45370</v>
      </c>
      <c r="B1175" s="42" t="s">
        <v>11653</v>
      </c>
      <c r="C1175" s="42" t="s">
        <v>11652</v>
      </c>
      <c r="D1175" s="42" t="s">
        <v>5</v>
      </c>
    </row>
    <row r="1176" spans="1:4">
      <c r="A1176" s="32">
        <v>45365</v>
      </c>
      <c r="B1176" s="42" t="s">
        <v>11655</v>
      </c>
      <c r="C1176" s="42" t="s">
        <v>11654</v>
      </c>
      <c r="D1176" s="42" t="s">
        <v>5</v>
      </c>
    </row>
    <row r="1177" spans="1:4">
      <c r="A1177" s="32">
        <v>45365</v>
      </c>
      <c r="B1177" s="42" t="s">
        <v>11657</v>
      </c>
      <c r="C1177" s="42" t="s">
        <v>11656</v>
      </c>
      <c r="D1177" s="42" t="s">
        <v>24</v>
      </c>
    </row>
    <row r="1178" spans="1:4">
      <c r="A1178" s="32">
        <v>45365</v>
      </c>
      <c r="B1178" s="42" t="s">
        <v>11659</v>
      </c>
      <c r="C1178" s="42" t="s">
        <v>11658</v>
      </c>
      <c r="D1178" s="42" t="s">
        <v>5</v>
      </c>
    </row>
    <row r="1179" spans="1:4">
      <c r="A1179" s="32">
        <v>45365</v>
      </c>
      <c r="B1179" s="42" t="s">
        <v>11661</v>
      </c>
      <c r="C1179" s="42" t="s">
        <v>11660</v>
      </c>
      <c r="D1179" s="42" t="s">
        <v>216</v>
      </c>
    </row>
    <row r="1180" spans="1:4">
      <c r="A1180" s="32">
        <v>45365</v>
      </c>
      <c r="B1180" s="42" t="s">
        <v>11663</v>
      </c>
      <c r="C1180" s="42" t="s">
        <v>11662</v>
      </c>
      <c r="D1180" s="42" t="s">
        <v>24</v>
      </c>
    </row>
    <row r="1181" spans="1:4">
      <c r="A1181" s="32">
        <v>45365</v>
      </c>
      <c r="B1181" s="42" t="s">
        <v>11665</v>
      </c>
      <c r="C1181" s="42" t="s">
        <v>11664</v>
      </c>
      <c r="D1181" s="42" t="s">
        <v>5</v>
      </c>
    </row>
    <row r="1182" spans="1:4">
      <c r="A1182" s="32">
        <v>45365</v>
      </c>
      <c r="B1182" s="42" t="s">
        <v>11667</v>
      </c>
      <c r="C1182" s="42" t="s">
        <v>11666</v>
      </c>
      <c r="D1182" s="42" t="s">
        <v>8</v>
      </c>
    </row>
    <row r="1183" spans="1:4">
      <c r="A1183" s="32">
        <v>45366</v>
      </c>
      <c r="B1183" s="42" t="s">
        <v>11669</v>
      </c>
      <c r="C1183" s="42" t="s">
        <v>11668</v>
      </c>
      <c r="D1183" s="42" t="s">
        <v>353</v>
      </c>
    </row>
    <row r="1184" spans="1:4">
      <c r="A1184" s="32">
        <v>45366</v>
      </c>
      <c r="B1184" s="42" t="s">
        <v>11671</v>
      </c>
      <c r="C1184" s="42" t="s">
        <v>11670</v>
      </c>
      <c r="D1184" s="42" t="s">
        <v>8</v>
      </c>
    </row>
    <row r="1185" spans="1:4">
      <c r="A1185" s="32">
        <v>45366</v>
      </c>
      <c r="B1185" s="42" t="s">
        <v>11673</v>
      </c>
      <c r="C1185" s="42" t="s">
        <v>11672</v>
      </c>
      <c r="D1185" s="42" t="s">
        <v>5</v>
      </c>
    </row>
    <row r="1186" spans="1:4">
      <c r="A1186" s="32">
        <v>45366</v>
      </c>
      <c r="B1186" s="42" t="s">
        <v>11675</v>
      </c>
      <c r="C1186" s="42" t="s">
        <v>11674</v>
      </c>
      <c r="D1186" s="42" t="s">
        <v>216</v>
      </c>
    </row>
    <row r="1187" spans="1:4">
      <c r="A1187" s="32">
        <v>45366</v>
      </c>
      <c r="B1187" s="42" t="s">
        <v>11677</v>
      </c>
      <c r="C1187" s="42" t="s">
        <v>11676</v>
      </c>
      <c r="D1187" s="42" t="s">
        <v>5</v>
      </c>
    </row>
    <row r="1188" spans="1:4">
      <c r="A1188" s="32">
        <v>45366</v>
      </c>
      <c r="B1188" s="42" t="s">
        <v>11679</v>
      </c>
      <c r="C1188" s="42" t="s">
        <v>11678</v>
      </c>
      <c r="D1188" s="42" t="s">
        <v>353</v>
      </c>
    </row>
    <row r="1189" spans="1:4">
      <c r="A1189" s="32">
        <v>45366</v>
      </c>
      <c r="B1189" s="42" t="s">
        <v>11681</v>
      </c>
      <c r="C1189" s="42" t="s">
        <v>11680</v>
      </c>
      <c r="D1189" s="42" t="s">
        <v>216</v>
      </c>
    </row>
    <row r="1190" spans="1:4">
      <c r="A1190" s="32">
        <v>45366</v>
      </c>
      <c r="B1190" s="42" t="s">
        <v>11683</v>
      </c>
      <c r="C1190" s="42" t="s">
        <v>11682</v>
      </c>
      <c r="D1190" s="42" t="s">
        <v>74</v>
      </c>
    </row>
    <row r="1191" spans="1:4">
      <c r="A1191" s="32">
        <v>45369</v>
      </c>
      <c r="B1191" s="42" t="s">
        <v>11685</v>
      </c>
      <c r="C1191" s="42" t="s">
        <v>11684</v>
      </c>
      <c r="D1191" s="42" t="s">
        <v>5</v>
      </c>
    </row>
    <row r="1192" spans="1:4">
      <c r="A1192" s="32">
        <v>45369</v>
      </c>
      <c r="B1192" s="42" t="s">
        <v>11687</v>
      </c>
      <c r="C1192" s="42" t="s">
        <v>11686</v>
      </c>
      <c r="D1192" s="42" t="s">
        <v>29</v>
      </c>
    </row>
    <row r="1193" spans="1:4">
      <c r="A1193" s="32">
        <v>45369</v>
      </c>
      <c r="B1193" s="42" t="s">
        <v>11689</v>
      </c>
      <c r="C1193" s="42" t="s">
        <v>11688</v>
      </c>
      <c r="D1193" s="42" t="s">
        <v>109</v>
      </c>
    </row>
    <row r="1194" spans="1:4">
      <c r="A1194" s="32">
        <v>45369</v>
      </c>
      <c r="B1194" s="42" t="s">
        <v>11691</v>
      </c>
      <c r="C1194" s="42" t="s">
        <v>11690</v>
      </c>
      <c r="D1194" s="42" t="s">
        <v>353</v>
      </c>
    </row>
    <row r="1195" spans="1:4">
      <c r="A1195" s="32">
        <v>45370</v>
      </c>
      <c r="B1195" s="42" t="s">
        <v>11693</v>
      </c>
      <c r="C1195" s="42" t="s">
        <v>11692</v>
      </c>
      <c r="D1195" s="42" t="s">
        <v>11</v>
      </c>
    </row>
    <row r="1196" spans="1:4">
      <c r="A1196" s="32">
        <v>45370</v>
      </c>
      <c r="B1196" s="42" t="s">
        <v>11695</v>
      </c>
      <c r="C1196" s="42" t="s">
        <v>11694</v>
      </c>
      <c r="D1196" s="42" t="s">
        <v>29</v>
      </c>
    </row>
    <row r="1197" spans="1:4">
      <c r="A1197" s="32">
        <v>45370</v>
      </c>
      <c r="B1197" s="42" t="s">
        <v>11697</v>
      </c>
      <c r="C1197" s="42" t="s">
        <v>11696</v>
      </c>
      <c r="D1197" s="42" t="s">
        <v>216</v>
      </c>
    </row>
    <row r="1198" spans="1:4">
      <c r="A1198" s="32">
        <v>45370</v>
      </c>
      <c r="B1198" s="42" t="s">
        <v>11699</v>
      </c>
      <c r="C1198" s="42" t="s">
        <v>11698</v>
      </c>
      <c r="D1198" s="42" t="s">
        <v>29</v>
      </c>
    </row>
    <row r="1199" spans="1:4">
      <c r="A1199" s="32">
        <v>45365</v>
      </c>
      <c r="B1199" s="42" t="s">
        <v>11477</v>
      </c>
      <c r="C1199" s="42" t="s">
        <v>11700</v>
      </c>
      <c r="D1199" s="42" t="s">
        <v>5</v>
      </c>
    </row>
    <row r="1200" spans="1:4">
      <c r="A1200" s="32">
        <v>45365</v>
      </c>
      <c r="B1200" s="42" t="s">
        <v>10969</v>
      </c>
      <c r="C1200" s="42" t="s">
        <v>11701</v>
      </c>
      <c r="D1200" s="42" t="s">
        <v>109</v>
      </c>
    </row>
    <row r="1201" spans="1:4">
      <c r="A1201" s="32">
        <v>45365</v>
      </c>
      <c r="B1201" s="42" t="s">
        <v>11703</v>
      </c>
      <c r="C1201" s="42" t="s">
        <v>11702</v>
      </c>
      <c r="D1201" s="42" t="s">
        <v>11</v>
      </c>
    </row>
    <row r="1202" spans="1:4">
      <c r="A1202" s="32">
        <v>45365</v>
      </c>
      <c r="B1202" s="42" t="s">
        <v>11704</v>
      </c>
      <c r="C1202" s="42" t="s">
        <v>11415</v>
      </c>
      <c r="D1202" s="42" t="s">
        <v>353</v>
      </c>
    </row>
    <row r="1203" spans="1:4">
      <c r="A1203" s="32">
        <v>45365</v>
      </c>
      <c r="B1203" s="42" t="s">
        <v>11706</v>
      </c>
      <c r="C1203" s="42" t="s">
        <v>11705</v>
      </c>
      <c r="D1203" s="42" t="s">
        <v>5</v>
      </c>
    </row>
    <row r="1204" spans="1:4">
      <c r="A1204" s="32">
        <v>45365</v>
      </c>
      <c r="B1204" s="42" t="s">
        <v>11708</v>
      </c>
      <c r="C1204" s="42" t="s">
        <v>11707</v>
      </c>
      <c r="D1204" s="42" t="s">
        <v>5</v>
      </c>
    </row>
    <row r="1205" spans="1:4">
      <c r="A1205" s="32">
        <v>45365</v>
      </c>
      <c r="B1205" s="42" t="s">
        <v>11710</v>
      </c>
      <c r="C1205" s="42" t="s">
        <v>11709</v>
      </c>
      <c r="D1205" s="42" t="s">
        <v>11</v>
      </c>
    </row>
    <row r="1206" spans="1:4">
      <c r="A1206" s="32">
        <v>45365</v>
      </c>
      <c r="B1206" s="42" t="s">
        <v>11712</v>
      </c>
      <c r="C1206" s="42" t="s">
        <v>11711</v>
      </c>
      <c r="D1206" s="42" t="s">
        <v>11</v>
      </c>
    </row>
    <row r="1207" spans="1:4">
      <c r="A1207" s="32">
        <v>45366</v>
      </c>
      <c r="B1207" s="42" t="s">
        <v>11714</v>
      </c>
      <c r="C1207" s="42" t="s">
        <v>11713</v>
      </c>
      <c r="D1207" s="42" t="s">
        <v>109</v>
      </c>
    </row>
    <row r="1208" spans="1:4">
      <c r="A1208" s="32">
        <v>45366</v>
      </c>
      <c r="B1208" s="42" t="s">
        <v>11716</v>
      </c>
      <c r="C1208" s="42" t="s">
        <v>11715</v>
      </c>
      <c r="D1208" s="42" t="s">
        <v>109</v>
      </c>
    </row>
    <row r="1209" spans="1:4">
      <c r="A1209" s="32">
        <v>45366</v>
      </c>
      <c r="B1209" s="42" t="s">
        <v>10969</v>
      </c>
      <c r="C1209" s="42" t="s">
        <v>11717</v>
      </c>
      <c r="D1209" s="42" t="s">
        <v>510</v>
      </c>
    </row>
    <row r="1210" spans="1:4">
      <c r="A1210" s="32">
        <v>45366</v>
      </c>
      <c r="B1210" s="42" t="s">
        <v>11719</v>
      </c>
      <c r="C1210" s="42" t="s">
        <v>11718</v>
      </c>
      <c r="D1210" s="42" t="s">
        <v>109</v>
      </c>
    </row>
    <row r="1211" spans="1:4">
      <c r="A1211" s="32">
        <v>45366</v>
      </c>
      <c r="B1211" s="42" t="s">
        <v>11721</v>
      </c>
      <c r="C1211" s="42" t="s">
        <v>11720</v>
      </c>
      <c r="D1211" s="42" t="s">
        <v>109</v>
      </c>
    </row>
    <row r="1212" spans="1:4">
      <c r="A1212" s="32">
        <v>45366</v>
      </c>
      <c r="B1212" s="42" t="s">
        <v>11723</v>
      </c>
      <c r="C1212" s="42" t="s">
        <v>11722</v>
      </c>
      <c r="D1212" s="42" t="s">
        <v>109</v>
      </c>
    </row>
    <row r="1213" spans="1:4">
      <c r="A1213" s="32">
        <v>45366</v>
      </c>
      <c r="B1213" s="42" t="s">
        <v>10969</v>
      </c>
      <c r="C1213" s="42" t="s">
        <v>11724</v>
      </c>
      <c r="D1213" s="42" t="s">
        <v>109</v>
      </c>
    </row>
    <row r="1214" spans="1:4">
      <c r="A1214" s="58">
        <v>45370</v>
      </c>
      <c r="B1214" s="34" t="s">
        <v>11726</v>
      </c>
      <c r="C1214" s="25" t="s">
        <v>11725</v>
      </c>
      <c r="D1214" s="25" t="s">
        <v>5</v>
      </c>
    </row>
    <row r="1215" spans="1:4">
      <c r="A1215" s="32">
        <v>45367</v>
      </c>
      <c r="B1215" s="42" t="s">
        <v>11728</v>
      </c>
      <c r="C1215" s="42" t="s">
        <v>11727</v>
      </c>
      <c r="D1215" s="42" t="s">
        <v>5</v>
      </c>
    </row>
    <row r="1216" spans="1:4">
      <c r="A1216" s="32">
        <v>45367</v>
      </c>
      <c r="B1216" s="42" t="s">
        <v>11730</v>
      </c>
      <c r="C1216" s="42" t="s">
        <v>11729</v>
      </c>
      <c r="D1216" s="42" t="s">
        <v>34</v>
      </c>
    </row>
    <row r="1217" spans="1:4">
      <c r="A1217" s="32">
        <v>45367</v>
      </c>
      <c r="B1217" s="42" t="s">
        <v>11732</v>
      </c>
      <c r="C1217" s="42" t="s">
        <v>11731</v>
      </c>
      <c r="D1217" s="42" t="s">
        <v>5</v>
      </c>
    </row>
    <row r="1218" spans="1:4">
      <c r="A1218" s="32">
        <v>45369</v>
      </c>
      <c r="B1218" s="42" t="s">
        <v>11734</v>
      </c>
      <c r="C1218" s="42" t="s">
        <v>11733</v>
      </c>
      <c r="D1218" s="42" t="s">
        <v>109</v>
      </c>
    </row>
    <row r="1219" spans="1:4">
      <c r="A1219" s="32">
        <v>45370</v>
      </c>
      <c r="B1219" s="42" t="s">
        <v>11735</v>
      </c>
      <c r="C1219" s="42" t="s">
        <v>11722</v>
      </c>
      <c r="D1219" s="42" t="s">
        <v>109</v>
      </c>
    </row>
    <row r="1220" spans="1:4">
      <c r="A1220" s="32">
        <v>45370</v>
      </c>
      <c r="B1220" s="42" t="s">
        <v>11737</v>
      </c>
      <c r="C1220" s="42" t="s">
        <v>11736</v>
      </c>
      <c r="D1220" s="42" t="s">
        <v>19</v>
      </c>
    </row>
    <row r="1221" spans="1:4">
      <c r="A1221" s="32">
        <v>45370</v>
      </c>
      <c r="B1221" s="42" t="s">
        <v>11739</v>
      </c>
      <c r="C1221" s="42" t="s">
        <v>11738</v>
      </c>
      <c r="D1221" s="42" t="s">
        <v>5</v>
      </c>
    </row>
    <row r="1222" spans="1:4">
      <c r="A1222" s="32">
        <v>45370</v>
      </c>
      <c r="B1222" s="42" t="s">
        <v>10969</v>
      </c>
      <c r="C1222" s="42" t="s">
        <v>11740</v>
      </c>
      <c r="D1222" s="42" t="s">
        <v>109</v>
      </c>
    </row>
    <row r="1223" spans="1:4">
      <c r="A1223" s="32">
        <v>45370</v>
      </c>
      <c r="B1223" s="42" t="s">
        <v>11742</v>
      </c>
      <c r="C1223" s="42" t="s">
        <v>11741</v>
      </c>
      <c r="D1223" s="42" t="s">
        <v>109</v>
      </c>
    </row>
    <row r="1224" spans="1:4">
      <c r="A1224" s="32">
        <v>45370</v>
      </c>
      <c r="B1224" s="42" t="s">
        <v>11744</v>
      </c>
      <c r="C1224" s="42" t="s">
        <v>11743</v>
      </c>
      <c r="D1224" s="42" t="s">
        <v>5</v>
      </c>
    </row>
    <row r="1225" spans="1:4">
      <c r="A1225" s="32">
        <v>45370</v>
      </c>
      <c r="B1225" s="42" t="s">
        <v>11746</v>
      </c>
      <c r="C1225" s="42" t="s">
        <v>11745</v>
      </c>
      <c r="D1225" s="42" t="s">
        <v>5</v>
      </c>
    </row>
    <row r="1226" spans="1:4">
      <c r="A1226" s="32">
        <v>45370</v>
      </c>
      <c r="B1226" s="42" t="s">
        <v>11748</v>
      </c>
      <c r="C1226" s="42" t="s">
        <v>11747</v>
      </c>
      <c r="D1226" s="42" t="s">
        <v>19</v>
      </c>
    </row>
    <row r="1227" spans="1:4">
      <c r="A1227" s="32">
        <v>45370</v>
      </c>
      <c r="B1227" s="42" t="s">
        <v>11749</v>
      </c>
      <c r="C1227" s="42" t="s">
        <v>11608</v>
      </c>
      <c r="D1227" s="42" t="s">
        <v>5</v>
      </c>
    </row>
    <row r="1228" spans="1:4">
      <c r="A1228" s="32">
        <v>45370</v>
      </c>
      <c r="B1228" s="42" t="s">
        <v>11751</v>
      </c>
      <c r="C1228" s="42" t="s">
        <v>11750</v>
      </c>
      <c r="D1228" s="42" t="s">
        <v>109</v>
      </c>
    </row>
    <row r="1229" spans="1:4">
      <c r="A1229" s="32">
        <v>45370</v>
      </c>
      <c r="B1229" s="42" t="s">
        <v>11753</v>
      </c>
      <c r="C1229" s="42" t="s">
        <v>11752</v>
      </c>
      <c r="D1229" s="42" t="s">
        <v>5</v>
      </c>
    </row>
    <row r="1230" spans="1:4">
      <c r="A1230" s="32">
        <v>45370</v>
      </c>
      <c r="B1230" s="42" t="s">
        <v>11755</v>
      </c>
      <c r="C1230" s="42" t="s">
        <v>11754</v>
      </c>
      <c r="D1230" s="42" t="s">
        <v>5</v>
      </c>
    </row>
    <row r="1231" spans="1:4">
      <c r="A1231" s="32">
        <v>45370</v>
      </c>
      <c r="B1231" s="42" t="s">
        <v>11756</v>
      </c>
      <c r="C1231" s="42" t="s">
        <v>11752</v>
      </c>
      <c r="D1231" s="42" t="s">
        <v>5</v>
      </c>
    </row>
    <row r="1232" spans="1:4">
      <c r="A1232" s="32">
        <v>45370</v>
      </c>
      <c r="B1232" s="42" t="s">
        <v>10969</v>
      </c>
      <c r="C1232" s="42" t="s">
        <v>11757</v>
      </c>
      <c r="D1232" s="42" t="s">
        <v>109</v>
      </c>
    </row>
    <row r="1233" spans="1:4">
      <c r="A1233" s="32">
        <v>45370</v>
      </c>
      <c r="B1233" s="42" t="s">
        <v>11759</v>
      </c>
      <c r="C1233" s="42" t="s">
        <v>11758</v>
      </c>
      <c r="D1233" s="42" t="s">
        <v>5</v>
      </c>
    </row>
    <row r="1234" spans="1:4">
      <c r="A1234" s="70">
        <v>45370</v>
      </c>
      <c r="B1234" s="25" t="s">
        <v>11761</v>
      </c>
      <c r="C1234" s="19" t="s">
        <v>11760</v>
      </c>
      <c r="D1234" s="19" t="s">
        <v>74</v>
      </c>
    </row>
    <row r="1235" spans="1:4">
      <c r="A1235" s="70">
        <v>45370</v>
      </c>
      <c r="B1235" s="25" t="s">
        <v>11762</v>
      </c>
      <c r="C1235" s="19" t="s">
        <v>11189</v>
      </c>
      <c r="D1235" s="19" t="s">
        <v>74</v>
      </c>
    </row>
    <row r="1236" spans="1:4">
      <c r="A1236" s="70">
        <v>45370</v>
      </c>
      <c r="B1236" s="25" t="s">
        <v>11764</v>
      </c>
      <c r="C1236" s="19" t="s">
        <v>11763</v>
      </c>
      <c r="D1236" s="19" t="s">
        <v>74</v>
      </c>
    </row>
    <row r="1237" spans="1:4">
      <c r="A1237" s="70">
        <v>45371</v>
      </c>
      <c r="B1237" s="25" t="s">
        <v>11766</v>
      </c>
      <c r="C1237" s="19" t="s">
        <v>11765</v>
      </c>
      <c r="D1237" s="19" t="s">
        <v>29</v>
      </c>
    </row>
    <row r="1238" spans="1:4">
      <c r="A1238" s="70">
        <v>45371</v>
      </c>
      <c r="B1238" s="25" t="s">
        <v>11767</v>
      </c>
      <c r="C1238" s="19" t="s">
        <v>10128</v>
      </c>
      <c r="D1238" s="19" t="s">
        <v>216</v>
      </c>
    </row>
    <row r="1239" spans="1:4">
      <c r="A1239" s="70">
        <v>45371</v>
      </c>
      <c r="B1239" s="25" t="s">
        <v>11769</v>
      </c>
      <c r="C1239" s="19" t="s">
        <v>11768</v>
      </c>
      <c r="D1239" s="19" t="s">
        <v>8</v>
      </c>
    </row>
    <row r="1240" spans="1:4">
      <c r="A1240" s="70">
        <v>45371</v>
      </c>
      <c r="B1240" s="25" t="s">
        <v>11770</v>
      </c>
      <c r="C1240" s="19" t="s">
        <v>10985</v>
      </c>
      <c r="D1240" s="19" t="s">
        <v>216</v>
      </c>
    </row>
    <row r="1241" spans="1:4">
      <c r="A1241" s="70">
        <v>45371</v>
      </c>
      <c r="B1241" s="25" t="s">
        <v>11771</v>
      </c>
      <c r="C1241" s="19" t="s">
        <v>10985</v>
      </c>
      <c r="D1241" s="19" t="s">
        <v>216</v>
      </c>
    </row>
    <row r="1242" spans="1:4">
      <c r="A1242" s="70">
        <v>45371</v>
      </c>
      <c r="B1242" s="25" t="s">
        <v>11773</v>
      </c>
      <c r="C1242" s="19" t="s">
        <v>11772</v>
      </c>
      <c r="D1242" s="19" t="s">
        <v>109</v>
      </c>
    </row>
    <row r="1243" spans="1:4">
      <c r="A1243" s="70">
        <v>45372</v>
      </c>
      <c r="B1243" s="25" t="s">
        <v>11775</v>
      </c>
      <c r="C1243" s="19" t="s">
        <v>11774</v>
      </c>
      <c r="D1243" s="19" t="s">
        <v>11</v>
      </c>
    </row>
    <row r="1244" spans="1:4">
      <c r="A1244" s="70">
        <v>45374</v>
      </c>
      <c r="B1244" s="25" t="s">
        <v>11777</v>
      </c>
      <c r="C1244" s="19" t="s">
        <v>11776</v>
      </c>
      <c r="D1244" s="19" t="s">
        <v>19</v>
      </c>
    </row>
    <row r="1245" spans="1:4">
      <c r="A1245" s="70">
        <v>45374</v>
      </c>
      <c r="B1245" s="25" t="s">
        <v>11779</v>
      </c>
      <c r="C1245" s="19" t="s">
        <v>11778</v>
      </c>
      <c r="D1245" s="19" t="s">
        <v>216</v>
      </c>
    </row>
    <row r="1246" spans="1:4">
      <c r="A1246" s="70">
        <v>45376</v>
      </c>
      <c r="B1246" s="25" t="s">
        <v>11781</v>
      </c>
      <c r="C1246" s="19" t="s">
        <v>11780</v>
      </c>
      <c r="D1246" s="19" t="s">
        <v>5</v>
      </c>
    </row>
    <row r="1247" spans="1:4">
      <c r="A1247" s="70">
        <v>45376</v>
      </c>
      <c r="B1247" s="25" t="s">
        <v>11783</v>
      </c>
      <c r="C1247" s="19" t="s">
        <v>11782</v>
      </c>
      <c r="D1247" s="19" t="s">
        <v>19</v>
      </c>
    </row>
    <row r="1248" spans="1:4">
      <c r="A1248" s="70">
        <v>45376</v>
      </c>
      <c r="B1248" s="25" t="s">
        <v>11785</v>
      </c>
      <c r="C1248" s="19" t="s">
        <v>11784</v>
      </c>
      <c r="D1248" s="19" t="s">
        <v>164</v>
      </c>
    </row>
    <row r="1249" spans="1:4">
      <c r="A1249" s="70">
        <v>45376</v>
      </c>
      <c r="B1249" s="25" t="s">
        <v>11787</v>
      </c>
      <c r="C1249" s="19" t="s">
        <v>11786</v>
      </c>
      <c r="D1249" s="19" t="s">
        <v>19</v>
      </c>
    </row>
    <row r="1250" spans="1:4">
      <c r="A1250" s="70">
        <v>45376</v>
      </c>
      <c r="B1250" s="25" t="s">
        <v>11789</v>
      </c>
      <c r="C1250" s="19" t="s">
        <v>11788</v>
      </c>
      <c r="D1250" s="19" t="s">
        <v>19</v>
      </c>
    </row>
    <row r="1251" spans="1:4">
      <c r="A1251" s="70">
        <v>45377</v>
      </c>
      <c r="B1251" s="25" t="s">
        <v>11791</v>
      </c>
      <c r="C1251" s="19" t="s">
        <v>11790</v>
      </c>
      <c r="D1251" s="19" t="s">
        <v>5</v>
      </c>
    </row>
    <row r="1252" spans="1:4">
      <c r="A1252" s="70">
        <v>45377</v>
      </c>
      <c r="B1252" s="25" t="s">
        <v>11793</v>
      </c>
      <c r="C1252" s="19" t="s">
        <v>11792</v>
      </c>
      <c r="D1252" s="19" t="s">
        <v>19</v>
      </c>
    </row>
    <row r="1253" spans="1:4">
      <c r="A1253" s="70">
        <v>45377</v>
      </c>
      <c r="B1253" s="25" t="s">
        <v>11795</v>
      </c>
      <c r="C1253" s="19" t="s">
        <v>11794</v>
      </c>
      <c r="D1253" s="19" t="s">
        <v>19</v>
      </c>
    </row>
    <row r="1254" spans="1:4">
      <c r="A1254" s="70">
        <v>45377</v>
      </c>
      <c r="B1254" s="25" t="s">
        <v>11797</v>
      </c>
      <c r="C1254" s="19" t="s">
        <v>11796</v>
      </c>
      <c r="D1254" s="19" t="s">
        <v>19</v>
      </c>
    </row>
    <row r="1255" spans="1:4">
      <c r="A1255" s="70">
        <v>45377</v>
      </c>
      <c r="B1255" s="25" t="s">
        <v>11799</v>
      </c>
      <c r="C1255" s="19" t="s">
        <v>11798</v>
      </c>
      <c r="D1255" s="19" t="s">
        <v>5</v>
      </c>
    </row>
    <row r="1256" spans="1:4">
      <c r="A1256" s="70">
        <v>45382</v>
      </c>
      <c r="B1256" s="25" t="s">
        <v>11801</v>
      </c>
      <c r="C1256" s="19" t="s">
        <v>11800</v>
      </c>
      <c r="D1256" s="19" t="s">
        <v>5</v>
      </c>
    </row>
    <row r="1257" spans="1:4">
      <c r="A1257" s="70">
        <v>45382</v>
      </c>
      <c r="B1257" s="25" t="s">
        <v>11803</v>
      </c>
      <c r="C1257" s="19" t="s">
        <v>11802</v>
      </c>
      <c r="D1257" s="19" t="s">
        <v>5</v>
      </c>
    </row>
    <row r="1258" spans="1:4">
      <c r="A1258" s="70">
        <v>45383</v>
      </c>
      <c r="B1258" s="25" t="s">
        <v>11805</v>
      </c>
      <c r="C1258" s="19" t="s">
        <v>11804</v>
      </c>
      <c r="D1258" s="19" t="s">
        <v>16</v>
      </c>
    </row>
    <row r="1259" spans="1:4">
      <c r="A1259" s="70">
        <v>45384</v>
      </c>
      <c r="B1259" s="25" t="s">
        <v>10969</v>
      </c>
      <c r="C1259" s="19" t="s">
        <v>11806</v>
      </c>
      <c r="D1259" s="19" t="s">
        <v>5</v>
      </c>
    </row>
    <row r="1260" spans="1:4">
      <c r="A1260" s="70">
        <v>45384</v>
      </c>
      <c r="B1260" s="25" t="s">
        <v>11808</v>
      </c>
      <c r="C1260" s="19" t="s">
        <v>11807</v>
      </c>
      <c r="D1260" s="19" t="s">
        <v>29</v>
      </c>
    </row>
    <row r="1261" spans="1:4">
      <c r="A1261" s="70">
        <v>45385</v>
      </c>
      <c r="B1261" s="25" t="s">
        <v>11810</v>
      </c>
      <c r="C1261" s="19" t="s">
        <v>11809</v>
      </c>
      <c r="D1261" s="19" t="s">
        <v>11</v>
      </c>
    </row>
    <row r="1262" spans="1:4">
      <c r="A1262" s="70">
        <v>45385</v>
      </c>
      <c r="B1262" s="25" t="s">
        <v>11812</v>
      </c>
      <c r="C1262" s="19" t="s">
        <v>11811</v>
      </c>
      <c r="D1262" s="19" t="s">
        <v>594</v>
      </c>
    </row>
    <row r="1263" spans="1:4">
      <c r="A1263" s="32">
        <v>45370</v>
      </c>
      <c r="B1263" s="19" t="s">
        <v>11814</v>
      </c>
      <c r="C1263" s="19" t="s">
        <v>11813</v>
      </c>
      <c r="D1263" s="19" t="s">
        <v>24</v>
      </c>
    </row>
    <row r="1264" spans="1:4">
      <c r="A1264" s="32">
        <v>45370</v>
      </c>
      <c r="B1264" s="19" t="s">
        <v>11816</v>
      </c>
      <c r="C1264" s="19" t="s">
        <v>11815</v>
      </c>
      <c r="D1264" s="19" t="s">
        <v>24</v>
      </c>
    </row>
    <row r="1265" spans="1:4">
      <c r="A1265" s="32">
        <v>45371</v>
      </c>
      <c r="B1265" s="19" t="s">
        <v>11818</v>
      </c>
      <c r="C1265" s="19" t="s">
        <v>11817</v>
      </c>
      <c r="D1265" s="19" t="s">
        <v>5</v>
      </c>
    </row>
    <row r="1266" spans="1:4">
      <c r="A1266" s="32">
        <v>45371</v>
      </c>
      <c r="B1266" s="19" t="s">
        <v>11820</v>
      </c>
      <c r="C1266" s="19" t="s">
        <v>11819</v>
      </c>
      <c r="D1266" s="19" t="s">
        <v>5</v>
      </c>
    </row>
    <row r="1267" spans="1:4">
      <c r="A1267" s="32">
        <v>45371</v>
      </c>
      <c r="B1267" s="19" t="s">
        <v>11822</v>
      </c>
      <c r="C1267" s="19" t="s">
        <v>11821</v>
      </c>
      <c r="D1267" s="19" t="s">
        <v>8</v>
      </c>
    </row>
    <row r="1268" spans="1:4">
      <c r="A1268" s="32">
        <v>45371</v>
      </c>
      <c r="B1268" s="19" t="s">
        <v>11824</v>
      </c>
      <c r="C1268" s="19" t="s">
        <v>11823</v>
      </c>
      <c r="D1268" s="19" t="s">
        <v>5</v>
      </c>
    </row>
    <row r="1269" spans="1:4">
      <c r="A1269" s="32">
        <v>45372</v>
      </c>
      <c r="B1269" s="19" t="s">
        <v>11826</v>
      </c>
      <c r="C1269" s="19" t="s">
        <v>11825</v>
      </c>
      <c r="D1269" s="19" t="s">
        <v>5</v>
      </c>
    </row>
    <row r="1270" spans="1:4">
      <c r="A1270" s="32">
        <v>45372</v>
      </c>
      <c r="B1270" s="19" t="s">
        <v>11828</v>
      </c>
      <c r="C1270" s="19" t="s">
        <v>11827</v>
      </c>
      <c r="D1270" s="19" t="s">
        <v>5</v>
      </c>
    </row>
    <row r="1271" spans="1:4">
      <c r="A1271" s="32">
        <v>45372</v>
      </c>
      <c r="B1271" s="19" t="s">
        <v>11830</v>
      </c>
      <c r="C1271" s="19" t="s">
        <v>11829</v>
      </c>
      <c r="D1271" s="19" t="s">
        <v>16</v>
      </c>
    </row>
    <row r="1272" spans="1:4">
      <c r="A1272" s="32">
        <v>45372</v>
      </c>
      <c r="B1272" s="19" t="s">
        <v>11832</v>
      </c>
      <c r="C1272" s="19" t="s">
        <v>11831</v>
      </c>
      <c r="D1272" s="19" t="s">
        <v>16</v>
      </c>
    </row>
    <row r="1273" spans="1:4">
      <c r="A1273" s="32">
        <v>45373</v>
      </c>
      <c r="B1273" s="19" t="s">
        <v>11834</v>
      </c>
      <c r="C1273" s="19" t="s">
        <v>11833</v>
      </c>
      <c r="D1273" s="19" t="s">
        <v>24</v>
      </c>
    </row>
    <row r="1274" spans="1:4">
      <c r="A1274" s="32">
        <v>45374</v>
      </c>
      <c r="B1274" s="19" t="s">
        <v>11835</v>
      </c>
      <c r="C1274" s="19" t="s">
        <v>11829</v>
      </c>
      <c r="D1274" s="19" t="s">
        <v>16</v>
      </c>
    </row>
    <row r="1275" spans="1:4">
      <c r="A1275" s="32">
        <v>45374</v>
      </c>
      <c r="B1275" s="19" t="s">
        <v>11837</v>
      </c>
      <c r="C1275" s="19" t="s">
        <v>11836</v>
      </c>
      <c r="D1275" s="19" t="s">
        <v>8</v>
      </c>
    </row>
    <row r="1276" spans="1:4">
      <c r="A1276" s="32">
        <v>45375</v>
      </c>
      <c r="B1276" s="19" t="s">
        <v>11839</v>
      </c>
      <c r="C1276" s="19" t="s">
        <v>11838</v>
      </c>
      <c r="D1276" s="19" t="s">
        <v>16</v>
      </c>
    </row>
    <row r="1277" spans="1:4">
      <c r="A1277" s="32">
        <v>45376</v>
      </c>
      <c r="B1277" s="19" t="s">
        <v>11840</v>
      </c>
      <c r="C1277" s="19" t="s">
        <v>11231</v>
      </c>
      <c r="D1277" s="19" t="s">
        <v>5</v>
      </c>
    </row>
    <row r="1278" spans="1:4">
      <c r="A1278" s="32">
        <v>45376</v>
      </c>
      <c r="B1278" s="19" t="s">
        <v>11842</v>
      </c>
      <c r="C1278" s="19" t="s">
        <v>11841</v>
      </c>
      <c r="D1278" s="19" t="s">
        <v>510</v>
      </c>
    </row>
    <row r="1279" spans="1:4">
      <c r="A1279" s="32">
        <v>45376</v>
      </c>
      <c r="B1279" s="19" t="s">
        <v>11844</v>
      </c>
      <c r="C1279" s="19" t="s">
        <v>11843</v>
      </c>
      <c r="D1279" s="19" t="s">
        <v>24</v>
      </c>
    </row>
    <row r="1280" spans="1:4">
      <c r="A1280" s="32">
        <v>45376</v>
      </c>
      <c r="B1280" s="19" t="s">
        <v>11846</v>
      </c>
      <c r="C1280" s="19" t="s">
        <v>11845</v>
      </c>
      <c r="D1280" s="19" t="s">
        <v>353</v>
      </c>
    </row>
    <row r="1281" spans="1:4">
      <c r="A1281" s="58">
        <v>45441</v>
      </c>
      <c r="B1281" s="34" t="s">
        <v>11848</v>
      </c>
      <c r="C1281" s="25" t="s">
        <v>11847</v>
      </c>
      <c r="D1281" s="25" t="s">
        <v>216</v>
      </c>
    </row>
    <row r="1282" spans="1:4">
      <c r="A1282" s="58">
        <v>45447</v>
      </c>
      <c r="B1282" s="34" t="s">
        <v>11850</v>
      </c>
      <c r="C1282" s="25" t="s">
        <v>11849</v>
      </c>
      <c r="D1282" s="25" t="s">
        <v>5</v>
      </c>
    </row>
    <row r="1283" spans="1:4">
      <c r="A1283" s="32">
        <v>45377</v>
      </c>
      <c r="B1283" s="19" t="s">
        <v>11118</v>
      </c>
      <c r="C1283" s="19" t="s">
        <v>11851</v>
      </c>
      <c r="D1283" s="19" t="s">
        <v>29</v>
      </c>
    </row>
    <row r="1284" spans="1:4">
      <c r="A1284" s="32">
        <v>45377</v>
      </c>
      <c r="B1284" s="19" t="s">
        <v>11853</v>
      </c>
      <c r="C1284" s="19" t="s">
        <v>11852</v>
      </c>
      <c r="D1284" s="19" t="s">
        <v>8</v>
      </c>
    </row>
    <row r="1285" spans="1:4">
      <c r="A1285" s="32">
        <v>45377</v>
      </c>
      <c r="B1285" s="19" t="s">
        <v>11855</v>
      </c>
      <c r="C1285" s="19" t="s">
        <v>11854</v>
      </c>
      <c r="D1285" s="19" t="s">
        <v>216</v>
      </c>
    </row>
    <row r="1286" spans="1:4">
      <c r="A1286" s="32">
        <v>45377</v>
      </c>
      <c r="B1286" s="19" t="s">
        <v>11857</v>
      </c>
      <c r="C1286" s="19" t="s">
        <v>11856</v>
      </c>
      <c r="D1286" s="19" t="s">
        <v>216</v>
      </c>
    </row>
    <row r="1287" spans="1:4">
      <c r="A1287" s="61">
        <v>45316</v>
      </c>
      <c r="B1287" s="36" t="s">
        <v>11859</v>
      </c>
      <c r="C1287" s="36" t="s">
        <v>11858</v>
      </c>
      <c r="D1287" s="36" t="s">
        <v>216</v>
      </c>
    </row>
    <row r="1288" spans="1:4">
      <c r="A1288" s="32">
        <v>45378</v>
      </c>
      <c r="B1288" s="19" t="s">
        <v>11861</v>
      </c>
      <c r="C1288" s="19" t="s">
        <v>11860</v>
      </c>
      <c r="D1288" s="19" t="s">
        <v>24</v>
      </c>
    </row>
    <row r="1289" spans="1:4">
      <c r="A1289" s="32">
        <v>45378</v>
      </c>
      <c r="B1289" s="19" t="s">
        <v>11863</v>
      </c>
      <c r="C1289" s="19" t="s">
        <v>11862</v>
      </c>
      <c r="D1289" s="19" t="s">
        <v>109</v>
      </c>
    </row>
    <row r="1290" spans="1:4">
      <c r="A1290" s="32">
        <v>45378</v>
      </c>
      <c r="B1290" s="19" t="s">
        <v>11865</v>
      </c>
      <c r="C1290" s="19" t="s">
        <v>11864</v>
      </c>
      <c r="D1290" s="19" t="s">
        <v>5</v>
      </c>
    </row>
    <row r="1291" spans="1:4">
      <c r="A1291" s="32">
        <v>45378</v>
      </c>
      <c r="B1291" s="19" t="s">
        <v>11867</v>
      </c>
      <c r="C1291" s="19" t="s">
        <v>11866</v>
      </c>
      <c r="D1291" s="19" t="s">
        <v>8</v>
      </c>
    </row>
    <row r="1292" spans="1:4">
      <c r="A1292" s="32">
        <v>45378</v>
      </c>
      <c r="B1292" s="19" t="s">
        <v>11868</v>
      </c>
      <c r="C1292" s="19" t="s">
        <v>11825</v>
      </c>
      <c r="D1292" s="19" t="s">
        <v>5</v>
      </c>
    </row>
    <row r="1293" spans="1:4">
      <c r="A1293" s="32">
        <v>45379</v>
      </c>
      <c r="B1293" s="19" t="s">
        <v>11870</v>
      </c>
      <c r="C1293" s="19" t="s">
        <v>11869</v>
      </c>
      <c r="D1293" s="19" t="s">
        <v>74</v>
      </c>
    </row>
    <row r="1294" spans="1:4">
      <c r="A1294" s="32">
        <v>45379</v>
      </c>
      <c r="B1294" s="19" t="s">
        <v>11872</v>
      </c>
      <c r="C1294" s="19" t="s">
        <v>11871</v>
      </c>
      <c r="D1294" s="19" t="s">
        <v>24</v>
      </c>
    </row>
    <row r="1295" spans="1:4">
      <c r="A1295" s="32">
        <v>45379</v>
      </c>
      <c r="B1295" s="19" t="s">
        <v>11874</v>
      </c>
      <c r="C1295" s="19" t="s">
        <v>11873</v>
      </c>
      <c r="D1295" s="19" t="s">
        <v>29</v>
      </c>
    </row>
    <row r="1296" spans="1:4">
      <c r="A1296" s="32">
        <v>45382</v>
      </c>
      <c r="B1296" s="19" t="s">
        <v>11876</v>
      </c>
      <c r="C1296" s="19" t="s">
        <v>11875</v>
      </c>
      <c r="D1296" s="19" t="s">
        <v>29</v>
      </c>
    </row>
    <row r="1297" spans="1:4">
      <c r="A1297" s="32">
        <v>45383</v>
      </c>
      <c r="B1297" s="19" t="s">
        <v>11878</v>
      </c>
      <c r="C1297" s="19" t="s">
        <v>11877</v>
      </c>
      <c r="D1297" s="19" t="s">
        <v>109</v>
      </c>
    </row>
    <row r="1298" spans="1:4">
      <c r="A1298" s="32">
        <v>45385</v>
      </c>
      <c r="B1298" s="19" t="s">
        <v>11880</v>
      </c>
      <c r="C1298" s="19" t="s">
        <v>11879</v>
      </c>
      <c r="D1298" s="19" t="s">
        <v>8</v>
      </c>
    </row>
    <row r="1299" spans="1:4">
      <c r="A1299" s="32">
        <v>45385</v>
      </c>
      <c r="B1299" s="19" t="s">
        <v>11882</v>
      </c>
      <c r="C1299" s="19" t="s">
        <v>11881</v>
      </c>
      <c r="D1299" s="19" t="s">
        <v>8</v>
      </c>
    </row>
    <row r="1300" spans="1:4">
      <c r="A1300" s="32">
        <v>45385</v>
      </c>
      <c r="B1300" s="19" t="s">
        <v>11884</v>
      </c>
      <c r="C1300" s="19" t="s">
        <v>11883</v>
      </c>
      <c r="D1300" s="19" t="s">
        <v>16</v>
      </c>
    </row>
    <row r="1301" spans="1:4">
      <c r="A1301" s="61">
        <v>45317</v>
      </c>
      <c r="B1301" s="36" t="s">
        <v>11886</v>
      </c>
      <c r="C1301" s="36" t="s">
        <v>11885</v>
      </c>
      <c r="D1301" s="36" t="s">
        <v>5</v>
      </c>
    </row>
    <row r="1302" spans="1:4">
      <c r="A1302" s="32">
        <v>45371</v>
      </c>
      <c r="B1302" s="19" t="s">
        <v>11888</v>
      </c>
      <c r="C1302" s="19" t="s">
        <v>11887</v>
      </c>
      <c r="D1302" s="19" t="s">
        <v>74</v>
      </c>
    </row>
    <row r="1303" spans="1:4">
      <c r="A1303" s="61">
        <v>45349</v>
      </c>
      <c r="B1303" s="36" t="s">
        <v>11890</v>
      </c>
      <c r="C1303" s="36" t="s">
        <v>11889</v>
      </c>
      <c r="D1303" s="36" t="s">
        <v>216</v>
      </c>
    </row>
    <row r="1304" spans="1:4">
      <c r="A1304" s="32">
        <v>45371</v>
      </c>
      <c r="B1304" s="19" t="s">
        <v>11892</v>
      </c>
      <c r="C1304" s="19" t="s">
        <v>11891</v>
      </c>
      <c r="D1304" s="19" t="s">
        <v>8</v>
      </c>
    </row>
    <row r="1305" spans="1:4">
      <c r="A1305" s="32">
        <v>45371</v>
      </c>
      <c r="B1305" s="19" t="s">
        <v>11894</v>
      </c>
      <c r="C1305" s="19" t="s">
        <v>11893</v>
      </c>
      <c r="D1305" s="19" t="s">
        <v>345</v>
      </c>
    </row>
    <row r="1306" spans="1:4">
      <c r="A1306" s="32">
        <v>45372</v>
      </c>
      <c r="B1306" s="19" t="s">
        <v>11896</v>
      </c>
      <c r="C1306" s="19" t="s">
        <v>11895</v>
      </c>
      <c r="D1306" s="19" t="s">
        <v>16</v>
      </c>
    </row>
    <row r="1307" spans="1:4">
      <c r="A1307" s="32">
        <v>45372</v>
      </c>
      <c r="B1307" s="19" t="s">
        <v>11898</v>
      </c>
      <c r="C1307" s="19" t="s">
        <v>11897</v>
      </c>
      <c r="D1307" s="19" t="s">
        <v>345</v>
      </c>
    </row>
    <row r="1308" spans="1:4">
      <c r="A1308" s="32">
        <v>45373</v>
      </c>
      <c r="B1308" s="19" t="s">
        <v>11900</v>
      </c>
      <c r="C1308" s="19" t="s">
        <v>11899</v>
      </c>
      <c r="D1308" s="19" t="s">
        <v>74</v>
      </c>
    </row>
    <row r="1309" spans="1:4">
      <c r="A1309" s="32">
        <v>45373</v>
      </c>
      <c r="B1309" s="19" t="s">
        <v>11902</v>
      </c>
      <c r="C1309" s="19" t="s">
        <v>11901</v>
      </c>
      <c r="D1309" s="19" t="s">
        <v>74</v>
      </c>
    </row>
    <row r="1310" spans="1:4">
      <c r="A1310" s="61">
        <v>45318</v>
      </c>
      <c r="B1310" s="36" t="s">
        <v>11903</v>
      </c>
      <c r="C1310" s="36" t="s">
        <v>11101</v>
      </c>
      <c r="D1310" s="36" t="s">
        <v>216</v>
      </c>
    </row>
    <row r="1311" spans="1:4">
      <c r="A1311" s="32">
        <v>45376</v>
      </c>
      <c r="B1311" s="19" t="s">
        <v>11905</v>
      </c>
      <c r="C1311" s="19" t="s">
        <v>11904</v>
      </c>
      <c r="D1311" s="19" t="s">
        <v>345</v>
      </c>
    </row>
    <row r="1312" spans="1:4">
      <c r="A1312" s="32">
        <v>45377</v>
      </c>
      <c r="B1312" s="19" t="s">
        <v>11907</v>
      </c>
      <c r="C1312" s="19" t="s">
        <v>11906</v>
      </c>
      <c r="D1312" s="19" t="s">
        <v>5</v>
      </c>
    </row>
    <row r="1313" spans="1:4">
      <c r="A1313" s="32">
        <v>45377</v>
      </c>
      <c r="B1313" s="19" t="s">
        <v>11909</v>
      </c>
      <c r="C1313" s="19" t="s">
        <v>11908</v>
      </c>
      <c r="D1313" s="19" t="s">
        <v>345</v>
      </c>
    </row>
    <row r="1314" spans="1:4">
      <c r="A1314" s="32">
        <v>45378</v>
      </c>
      <c r="B1314" s="19" t="s">
        <v>11911</v>
      </c>
      <c r="C1314" s="19" t="s">
        <v>11910</v>
      </c>
      <c r="D1314" s="19" t="s">
        <v>216</v>
      </c>
    </row>
    <row r="1315" spans="1:4">
      <c r="A1315" s="61">
        <v>45356</v>
      </c>
      <c r="B1315" s="36" t="s">
        <v>11913</v>
      </c>
      <c r="C1315" s="36" t="s">
        <v>11912</v>
      </c>
      <c r="D1315" s="36" t="s">
        <v>216</v>
      </c>
    </row>
    <row r="1316" spans="1:4">
      <c r="A1316" s="32">
        <v>45378</v>
      </c>
      <c r="B1316" s="19" t="s">
        <v>11915</v>
      </c>
      <c r="C1316" s="19" t="s">
        <v>11914</v>
      </c>
      <c r="D1316" s="19" t="s">
        <v>216</v>
      </c>
    </row>
    <row r="1317" spans="1:4">
      <c r="A1317" s="61">
        <v>45356</v>
      </c>
      <c r="B1317" s="36" t="s">
        <v>11917</v>
      </c>
      <c r="C1317" s="36" t="s">
        <v>11916</v>
      </c>
      <c r="D1317" s="36" t="s">
        <v>5</v>
      </c>
    </row>
    <row r="1318" spans="1:4">
      <c r="A1318" s="32">
        <v>45379</v>
      </c>
      <c r="B1318" s="19" t="s">
        <v>11919</v>
      </c>
      <c r="C1318" s="19" t="s">
        <v>11918</v>
      </c>
      <c r="D1318" s="19" t="s">
        <v>29</v>
      </c>
    </row>
    <row r="1319" spans="1:4">
      <c r="A1319" s="61">
        <v>45359</v>
      </c>
      <c r="B1319" s="36" t="s">
        <v>11921</v>
      </c>
      <c r="C1319" s="36" t="s">
        <v>11920</v>
      </c>
      <c r="D1319" s="36" t="s">
        <v>5</v>
      </c>
    </row>
    <row r="1320" spans="1:4">
      <c r="A1320" s="32">
        <v>45379</v>
      </c>
      <c r="B1320" s="19" t="s">
        <v>11923</v>
      </c>
      <c r="C1320" s="19" t="s">
        <v>11922</v>
      </c>
      <c r="D1320" s="19" t="s">
        <v>345</v>
      </c>
    </row>
    <row r="1321" spans="1:4">
      <c r="A1321" s="32">
        <v>45379</v>
      </c>
      <c r="B1321" s="19" t="s">
        <v>11925</v>
      </c>
      <c r="C1321" s="19" t="s">
        <v>11924</v>
      </c>
      <c r="D1321" s="19" t="s">
        <v>345</v>
      </c>
    </row>
    <row r="1322" spans="1:4">
      <c r="A1322" s="32">
        <v>45383</v>
      </c>
      <c r="B1322" s="19" t="s">
        <v>11927</v>
      </c>
      <c r="C1322" s="19" t="s">
        <v>11926</v>
      </c>
      <c r="D1322" s="19" t="s">
        <v>164</v>
      </c>
    </row>
    <row r="1323" spans="1:4">
      <c r="A1323" s="32">
        <v>45383</v>
      </c>
      <c r="B1323" s="19" t="s">
        <v>11929</v>
      </c>
      <c r="C1323" s="19" t="s">
        <v>11928</v>
      </c>
      <c r="D1323" s="19" t="s">
        <v>74</v>
      </c>
    </row>
    <row r="1324" spans="1:4">
      <c r="A1324" s="32">
        <v>45384</v>
      </c>
      <c r="B1324" s="19" t="s">
        <v>11931</v>
      </c>
      <c r="C1324" s="19" t="s">
        <v>11930</v>
      </c>
      <c r="D1324" s="19" t="s">
        <v>11</v>
      </c>
    </row>
    <row r="1325" spans="1:4">
      <c r="A1325" s="32">
        <v>45384</v>
      </c>
      <c r="B1325" s="19" t="s">
        <v>11933</v>
      </c>
      <c r="C1325" s="19" t="s">
        <v>11932</v>
      </c>
      <c r="D1325" s="19" t="s">
        <v>109</v>
      </c>
    </row>
    <row r="1326" spans="1:4">
      <c r="A1326" s="32">
        <v>45385</v>
      </c>
      <c r="B1326" s="19" t="s">
        <v>11935</v>
      </c>
      <c r="C1326" s="19" t="s">
        <v>11934</v>
      </c>
      <c r="D1326" s="19" t="s">
        <v>5</v>
      </c>
    </row>
    <row r="1327" spans="1:4">
      <c r="A1327" s="32">
        <v>45385</v>
      </c>
      <c r="B1327" s="19" t="s">
        <v>11937</v>
      </c>
      <c r="C1327" s="19" t="s">
        <v>11936</v>
      </c>
      <c r="D1327" s="19" t="s">
        <v>345</v>
      </c>
    </row>
    <row r="1328" spans="1:4">
      <c r="A1328" s="32">
        <v>45385</v>
      </c>
      <c r="B1328" s="19" t="s">
        <v>11937</v>
      </c>
      <c r="C1328" s="19" t="s">
        <v>11936</v>
      </c>
      <c r="D1328" s="19" t="s">
        <v>345</v>
      </c>
    </row>
    <row r="1329" spans="1:4">
      <c r="A1329" s="32">
        <v>45379</v>
      </c>
      <c r="B1329" s="19" t="s">
        <v>11939</v>
      </c>
      <c r="C1329" s="19" t="s">
        <v>11938</v>
      </c>
      <c r="D1329" s="19" t="s">
        <v>109</v>
      </c>
    </row>
    <row r="1330" spans="1:4">
      <c r="A1330" s="58">
        <v>45383</v>
      </c>
      <c r="B1330" s="25" t="s">
        <v>11941</v>
      </c>
      <c r="C1330" s="25" t="s">
        <v>11940</v>
      </c>
      <c r="D1330" s="25" t="s">
        <v>29</v>
      </c>
    </row>
    <row r="1331" spans="1:4">
      <c r="A1331" s="58">
        <v>45383</v>
      </c>
      <c r="B1331" s="25" t="s">
        <v>11942</v>
      </c>
      <c r="C1331" s="25" t="s">
        <v>799</v>
      </c>
      <c r="D1331" s="25" t="s">
        <v>11</v>
      </c>
    </row>
    <row r="1332" spans="1:4">
      <c r="A1332" s="58">
        <v>45383</v>
      </c>
      <c r="B1332" s="25" t="s">
        <v>11942</v>
      </c>
      <c r="C1332" s="25" t="s">
        <v>799</v>
      </c>
      <c r="D1332" s="25" t="s">
        <v>11</v>
      </c>
    </row>
    <row r="1333" spans="1:4">
      <c r="A1333" s="58">
        <v>45385</v>
      </c>
      <c r="B1333" s="25" t="s">
        <v>11944</v>
      </c>
      <c r="C1333" s="25" t="s">
        <v>11943</v>
      </c>
      <c r="D1333" s="25" t="s">
        <v>353</v>
      </c>
    </row>
    <row r="1334" spans="1:4">
      <c r="A1334" s="58">
        <v>45391</v>
      </c>
      <c r="B1334" s="25" t="s">
        <v>11946</v>
      </c>
      <c r="C1334" s="25" t="s">
        <v>11945</v>
      </c>
      <c r="D1334" s="25" t="s">
        <v>29</v>
      </c>
    </row>
    <row r="1335" spans="1:4">
      <c r="A1335" s="58">
        <v>45391</v>
      </c>
      <c r="B1335" s="25" t="s">
        <v>11948</v>
      </c>
      <c r="C1335" s="25" t="s">
        <v>11947</v>
      </c>
      <c r="D1335" s="25" t="s">
        <v>19</v>
      </c>
    </row>
    <row r="1336" spans="1:4">
      <c r="A1336" s="58">
        <v>45391</v>
      </c>
      <c r="B1336" s="25" t="s">
        <v>11950</v>
      </c>
      <c r="C1336" s="25" t="s">
        <v>11949</v>
      </c>
      <c r="D1336" s="25" t="s">
        <v>19</v>
      </c>
    </row>
    <row r="1337" spans="1:4">
      <c r="A1337" s="58">
        <v>45391</v>
      </c>
      <c r="B1337" s="25" t="s">
        <v>11952</v>
      </c>
      <c r="C1337" s="25" t="s">
        <v>11951</v>
      </c>
      <c r="D1337" s="25" t="s">
        <v>19</v>
      </c>
    </row>
    <row r="1338" spans="1:4">
      <c r="A1338" s="58">
        <v>45392</v>
      </c>
      <c r="B1338" s="25" t="s">
        <v>11954</v>
      </c>
      <c r="C1338" s="25" t="s">
        <v>11953</v>
      </c>
      <c r="D1338" s="25" t="s">
        <v>353</v>
      </c>
    </row>
    <row r="1339" spans="1:4">
      <c r="A1339" s="58">
        <v>45392</v>
      </c>
      <c r="B1339" s="25" t="s">
        <v>11956</v>
      </c>
      <c r="C1339" s="25" t="s">
        <v>11955</v>
      </c>
      <c r="D1339" s="25" t="s">
        <v>8</v>
      </c>
    </row>
    <row r="1340" spans="1:4">
      <c r="A1340" s="58">
        <v>45392</v>
      </c>
      <c r="B1340" s="25" t="s">
        <v>11958</v>
      </c>
      <c r="C1340" s="25" t="s">
        <v>11957</v>
      </c>
      <c r="D1340" s="25" t="s">
        <v>5</v>
      </c>
    </row>
    <row r="1341" spans="1:4">
      <c r="A1341" s="58">
        <v>45392</v>
      </c>
      <c r="B1341" s="25" t="s">
        <v>11960</v>
      </c>
      <c r="C1341" s="25" t="s">
        <v>11959</v>
      </c>
      <c r="D1341" s="25" t="s">
        <v>8</v>
      </c>
    </row>
    <row r="1342" spans="1:4">
      <c r="A1342" s="58">
        <v>45392</v>
      </c>
      <c r="B1342" s="25" t="s">
        <v>11962</v>
      </c>
      <c r="C1342" s="25" t="s">
        <v>11961</v>
      </c>
      <c r="D1342" s="25" t="s">
        <v>5</v>
      </c>
    </row>
    <row r="1343" spans="1:4">
      <c r="A1343" s="58">
        <v>45392</v>
      </c>
      <c r="B1343" s="25" t="s">
        <v>11964</v>
      </c>
      <c r="C1343" s="25" t="s">
        <v>11963</v>
      </c>
      <c r="D1343" s="25" t="s">
        <v>5</v>
      </c>
    </row>
    <row r="1344" spans="1:4">
      <c r="A1344" s="58">
        <v>45392</v>
      </c>
      <c r="B1344" s="25" t="s">
        <v>11965</v>
      </c>
      <c r="C1344" s="25" t="s">
        <v>11959</v>
      </c>
      <c r="D1344" s="25" t="s">
        <v>8</v>
      </c>
    </row>
    <row r="1345" spans="1:4">
      <c r="A1345" s="58">
        <v>45393</v>
      </c>
      <c r="B1345" s="25" t="s">
        <v>11967</v>
      </c>
      <c r="C1345" s="25" t="s">
        <v>11966</v>
      </c>
      <c r="D1345" s="25" t="s">
        <v>141</v>
      </c>
    </row>
    <row r="1346" spans="1:4">
      <c r="A1346" s="58">
        <v>45393</v>
      </c>
      <c r="B1346" s="25" t="s">
        <v>11969</v>
      </c>
      <c r="C1346" s="25" t="s">
        <v>11968</v>
      </c>
      <c r="D1346" s="25" t="s">
        <v>141</v>
      </c>
    </row>
    <row r="1347" spans="1:4">
      <c r="A1347" s="32">
        <v>45365</v>
      </c>
      <c r="B1347" s="42" t="s">
        <v>11971</v>
      </c>
      <c r="C1347" s="42" t="s">
        <v>11970</v>
      </c>
      <c r="D1347" s="42" t="s">
        <v>216</v>
      </c>
    </row>
    <row r="1348" spans="1:4">
      <c r="A1348" s="58">
        <v>45393</v>
      </c>
      <c r="B1348" s="25" t="s">
        <v>11973</v>
      </c>
      <c r="C1348" s="25" t="s">
        <v>11972</v>
      </c>
      <c r="D1348" s="25" t="s">
        <v>8</v>
      </c>
    </row>
    <row r="1349" spans="1:4">
      <c r="A1349" s="58">
        <v>45393</v>
      </c>
      <c r="B1349" s="25" t="s">
        <v>11975</v>
      </c>
      <c r="C1349" s="25" t="s">
        <v>11974</v>
      </c>
      <c r="D1349" s="25" t="s">
        <v>216</v>
      </c>
    </row>
    <row r="1350" spans="1:4">
      <c r="A1350" s="58">
        <v>45397</v>
      </c>
      <c r="B1350" s="25" t="s">
        <v>11977</v>
      </c>
      <c r="C1350" s="25" t="s">
        <v>11976</v>
      </c>
      <c r="D1350" s="25" t="s">
        <v>11</v>
      </c>
    </row>
    <row r="1351" spans="1:4">
      <c r="A1351" s="58">
        <v>45397</v>
      </c>
      <c r="B1351" s="25" t="s">
        <v>11978</v>
      </c>
      <c r="C1351" s="25" t="s">
        <v>11976</v>
      </c>
      <c r="D1351" s="25" t="s">
        <v>11</v>
      </c>
    </row>
    <row r="1352" spans="1:4">
      <c r="A1352" s="58">
        <v>45397</v>
      </c>
      <c r="B1352" s="25" t="s">
        <v>11980</v>
      </c>
      <c r="C1352" s="25" t="s">
        <v>11979</v>
      </c>
      <c r="D1352" s="25" t="s">
        <v>11</v>
      </c>
    </row>
    <row r="1353" spans="1:4">
      <c r="A1353" s="58">
        <v>45397</v>
      </c>
      <c r="B1353" s="25" t="s">
        <v>11982</v>
      </c>
      <c r="C1353" s="25" t="s">
        <v>11981</v>
      </c>
      <c r="D1353" s="25" t="s">
        <v>345</v>
      </c>
    </row>
    <row r="1354" spans="1:4">
      <c r="A1354" s="58">
        <v>45397</v>
      </c>
      <c r="B1354" s="25" t="s">
        <v>11984</v>
      </c>
      <c r="C1354" s="25" t="s">
        <v>11983</v>
      </c>
      <c r="D1354" s="25" t="s">
        <v>8</v>
      </c>
    </row>
    <row r="1355" spans="1:4">
      <c r="A1355" s="58">
        <v>45397</v>
      </c>
      <c r="B1355" s="25" t="s">
        <v>11986</v>
      </c>
      <c r="C1355" s="25" t="s">
        <v>11985</v>
      </c>
      <c r="D1355" s="25" t="s">
        <v>74</v>
      </c>
    </row>
    <row r="1356" spans="1:4">
      <c r="A1356" s="58">
        <v>45397</v>
      </c>
      <c r="B1356" s="25" t="s">
        <v>11987</v>
      </c>
      <c r="C1356" s="25" t="s">
        <v>11983</v>
      </c>
      <c r="D1356" s="25" t="s">
        <v>8</v>
      </c>
    </row>
    <row r="1357" spans="1:4">
      <c r="A1357" s="58">
        <v>45397</v>
      </c>
      <c r="B1357" s="25" t="s">
        <v>11989</v>
      </c>
      <c r="C1357" s="25" t="s">
        <v>11988</v>
      </c>
      <c r="D1357" s="25" t="s">
        <v>11</v>
      </c>
    </row>
    <row r="1358" spans="1:4">
      <c r="A1358" s="58">
        <v>45397</v>
      </c>
      <c r="B1358" s="25" t="s">
        <v>11991</v>
      </c>
      <c r="C1358" s="25" t="s">
        <v>11990</v>
      </c>
      <c r="D1358" s="25" t="s">
        <v>345</v>
      </c>
    </row>
    <row r="1359" spans="1:4">
      <c r="A1359" s="58">
        <v>45397</v>
      </c>
      <c r="B1359" s="25" t="s">
        <v>11993</v>
      </c>
      <c r="C1359" s="25" t="s">
        <v>11992</v>
      </c>
      <c r="D1359" s="25" t="s">
        <v>8</v>
      </c>
    </row>
    <row r="1360" spans="1:4">
      <c r="A1360" s="58">
        <v>45397</v>
      </c>
      <c r="B1360" s="25" t="s">
        <v>11995</v>
      </c>
      <c r="C1360" s="25" t="s">
        <v>11994</v>
      </c>
      <c r="D1360" s="25" t="s">
        <v>11</v>
      </c>
    </row>
    <row r="1361" spans="1:4">
      <c r="A1361" s="58">
        <v>45397</v>
      </c>
      <c r="B1361" s="25" t="s">
        <v>11997</v>
      </c>
      <c r="C1361" s="25" t="s">
        <v>11996</v>
      </c>
      <c r="D1361" s="25" t="s">
        <v>11</v>
      </c>
    </row>
    <row r="1362" spans="1:4">
      <c r="A1362" s="58">
        <v>45398</v>
      </c>
      <c r="B1362" s="25" t="s">
        <v>11999</v>
      </c>
      <c r="C1362" s="25" t="s">
        <v>11998</v>
      </c>
      <c r="D1362" s="25" t="s">
        <v>5</v>
      </c>
    </row>
    <row r="1363" spans="1:4">
      <c r="A1363" s="58">
        <v>45398</v>
      </c>
      <c r="B1363" s="25" t="s">
        <v>12000</v>
      </c>
      <c r="C1363" s="25" t="s">
        <v>11998</v>
      </c>
      <c r="D1363" s="25" t="s">
        <v>5</v>
      </c>
    </row>
    <row r="1364" spans="1:4">
      <c r="A1364" s="58">
        <v>45398</v>
      </c>
      <c r="B1364" s="25" t="s">
        <v>12002</v>
      </c>
      <c r="C1364" s="25" t="s">
        <v>12001</v>
      </c>
      <c r="D1364" s="25" t="s">
        <v>5</v>
      </c>
    </row>
    <row r="1365" spans="1:4">
      <c r="A1365" s="58">
        <v>45398</v>
      </c>
      <c r="B1365" s="25" t="s">
        <v>10969</v>
      </c>
      <c r="C1365" s="25" t="s">
        <v>12003</v>
      </c>
      <c r="D1365" s="25" t="s">
        <v>353</v>
      </c>
    </row>
    <row r="1366" spans="1:4">
      <c r="A1366" s="58">
        <v>45398</v>
      </c>
      <c r="B1366" s="25" t="s">
        <v>12005</v>
      </c>
      <c r="C1366" s="25" t="s">
        <v>12004</v>
      </c>
      <c r="D1366" s="25" t="s">
        <v>8</v>
      </c>
    </row>
    <row r="1367" spans="1:4">
      <c r="A1367" s="58">
        <v>45398</v>
      </c>
      <c r="B1367" s="25" t="s">
        <v>12006</v>
      </c>
      <c r="C1367" s="25" t="s">
        <v>12004</v>
      </c>
      <c r="D1367" s="25" t="s">
        <v>8</v>
      </c>
    </row>
    <row r="1368" spans="1:4">
      <c r="A1368" s="58">
        <v>45398</v>
      </c>
      <c r="B1368" s="25" t="s">
        <v>12008</v>
      </c>
      <c r="C1368" s="25" t="s">
        <v>12007</v>
      </c>
      <c r="D1368" s="25" t="s">
        <v>345</v>
      </c>
    </row>
    <row r="1369" spans="1:4">
      <c r="A1369" s="58">
        <v>45398</v>
      </c>
      <c r="B1369" s="25" t="s">
        <v>12010</v>
      </c>
      <c r="C1369" s="25" t="s">
        <v>12009</v>
      </c>
      <c r="D1369" s="25" t="s">
        <v>8</v>
      </c>
    </row>
    <row r="1370" spans="1:4">
      <c r="A1370" s="58">
        <v>45398</v>
      </c>
      <c r="B1370" s="25" t="s">
        <v>12012</v>
      </c>
      <c r="C1370" s="25" t="s">
        <v>12011</v>
      </c>
      <c r="D1370" s="25" t="s">
        <v>74</v>
      </c>
    </row>
    <row r="1371" spans="1:4">
      <c r="A1371" s="58">
        <v>45398</v>
      </c>
      <c r="B1371" s="25" t="s">
        <v>12014</v>
      </c>
      <c r="C1371" s="25" t="s">
        <v>12013</v>
      </c>
      <c r="D1371" s="25" t="s">
        <v>8</v>
      </c>
    </row>
    <row r="1372" spans="1:4">
      <c r="A1372" s="58">
        <v>45398</v>
      </c>
      <c r="B1372" s="25" t="s">
        <v>12016</v>
      </c>
      <c r="C1372" s="25" t="s">
        <v>12015</v>
      </c>
      <c r="D1372" s="25" t="s">
        <v>74</v>
      </c>
    </row>
    <row r="1373" spans="1:4">
      <c r="A1373" s="58">
        <v>45398</v>
      </c>
      <c r="B1373" s="25" t="s">
        <v>12018</v>
      </c>
      <c r="C1373" s="25" t="s">
        <v>12017</v>
      </c>
      <c r="D1373" s="25" t="s">
        <v>11</v>
      </c>
    </row>
    <row r="1374" spans="1:4">
      <c r="A1374" s="58">
        <v>45398</v>
      </c>
      <c r="B1374" s="25" t="s">
        <v>12019</v>
      </c>
      <c r="C1374" s="25" t="s">
        <v>12017</v>
      </c>
      <c r="D1374" s="25" t="s">
        <v>11</v>
      </c>
    </row>
    <row r="1375" spans="1:4">
      <c r="A1375" s="58">
        <v>45398</v>
      </c>
      <c r="B1375" s="25" t="s">
        <v>12021</v>
      </c>
      <c r="C1375" s="25" t="s">
        <v>12020</v>
      </c>
      <c r="D1375" s="25" t="s">
        <v>11</v>
      </c>
    </row>
    <row r="1376" spans="1:4">
      <c r="A1376" s="58">
        <v>45398</v>
      </c>
      <c r="B1376" s="25" t="s">
        <v>12022</v>
      </c>
      <c r="C1376" s="25" t="s">
        <v>12020</v>
      </c>
      <c r="D1376" s="25" t="s">
        <v>11</v>
      </c>
    </row>
    <row r="1377" spans="1:4">
      <c r="A1377" s="58">
        <v>45398</v>
      </c>
      <c r="B1377" s="25" t="s">
        <v>12024</v>
      </c>
      <c r="C1377" s="25" t="s">
        <v>12023</v>
      </c>
      <c r="D1377" s="25" t="s">
        <v>11</v>
      </c>
    </row>
    <row r="1378" spans="1:4">
      <c r="A1378" s="58">
        <v>45398</v>
      </c>
      <c r="B1378" s="25" t="s">
        <v>12026</v>
      </c>
      <c r="C1378" s="25" t="s">
        <v>12025</v>
      </c>
      <c r="D1378" s="25" t="s">
        <v>11</v>
      </c>
    </row>
    <row r="1379" spans="1:4">
      <c r="A1379" s="58">
        <v>45398</v>
      </c>
      <c r="B1379" s="25" t="s">
        <v>12026</v>
      </c>
      <c r="C1379" s="25" t="s">
        <v>11084</v>
      </c>
      <c r="D1379" s="25" t="s">
        <v>11</v>
      </c>
    </row>
    <row r="1380" spans="1:4">
      <c r="A1380" s="58">
        <v>45399</v>
      </c>
      <c r="B1380" s="25" t="s">
        <v>12028</v>
      </c>
      <c r="C1380" s="25" t="s">
        <v>12027</v>
      </c>
      <c r="D1380" s="25" t="s">
        <v>5</v>
      </c>
    </row>
    <row r="1381" spans="1:4">
      <c r="A1381" s="58">
        <v>45399</v>
      </c>
      <c r="B1381" s="25" t="s">
        <v>12030</v>
      </c>
      <c r="C1381" s="25" t="s">
        <v>12029</v>
      </c>
      <c r="D1381" s="25" t="s">
        <v>8</v>
      </c>
    </row>
    <row r="1382" spans="1:4">
      <c r="A1382" s="58">
        <v>45399</v>
      </c>
      <c r="B1382" s="25" t="s">
        <v>12030</v>
      </c>
      <c r="C1382" s="25" t="s">
        <v>12029</v>
      </c>
      <c r="D1382" s="25" t="s">
        <v>8</v>
      </c>
    </row>
    <row r="1383" spans="1:4">
      <c r="A1383" s="58">
        <v>45399</v>
      </c>
      <c r="B1383" s="25" t="s">
        <v>12031</v>
      </c>
      <c r="C1383" s="25" t="s">
        <v>12004</v>
      </c>
      <c r="D1383" s="25" t="s">
        <v>8</v>
      </c>
    </row>
    <row r="1384" spans="1:4">
      <c r="A1384" s="58">
        <v>45399</v>
      </c>
      <c r="B1384" s="25" t="s">
        <v>12031</v>
      </c>
      <c r="C1384" s="25" t="s">
        <v>12032</v>
      </c>
      <c r="D1384" s="25" t="s">
        <v>8</v>
      </c>
    </row>
    <row r="1385" spans="1:4">
      <c r="A1385" s="58">
        <v>45399</v>
      </c>
      <c r="B1385" s="25" t="s">
        <v>12034</v>
      </c>
      <c r="C1385" s="25" t="s">
        <v>12033</v>
      </c>
      <c r="D1385" s="25" t="s">
        <v>8</v>
      </c>
    </row>
    <row r="1386" spans="1:4">
      <c r="A1386" s="58">
        <v>45400</v>
      </c>
      <c r="B1386" s="25" t="s">
        <v>12036</v>
      </c>
      <c r="C1386" s="25" t="s">
        <v>12035</v>
      </c>
      <c r="D1386" s="25" t="s">
        <v>11</v>
      </c>
    </row>
    <row r="1387" spans="1:4">
      <c r="A1387" s="58">
        <v>45400</v>
      </c>
      <c r="B1387" s="25" t="s">
        <v>12038</v>
      </c>
      <c r="C1387" s="25" t="s">
        <v>12037</v>
      </c>
      <c r="D1387" s="25" t="s">
        <v>16</v>
      </c>
    </row>
    <row r="1388" spans="1:4">
      <c r="A1388" s="58">
        <v>45400</v>
      </c>
      <c r="B1388" s="25" t="s">
        <v>12040</v>
      </c>
      <c r="C1388" s="25" t="s">
        <v>12039</v>
      </c>
      <c r="D1388" s="25" t="s">
        <v>11</v>
      </c>
    </row>
    <row r="1389" spans="1:4">
      <c r="A1389" s="58">
        <v>45400</v>
      </c>
      <c r="B1389" s="25" t="s">
        <v>12041</v>
      </c>
      <c r="C1389" s="25" t="s">
        <v>799</v>
      </c>
      <c r="D1389" s="25" t="s">
        <v>11</v>
      </c>
    </row>
    <row r="1390" spans="1:4">
      <c r="A1390" s="58">
        <v>45400</v>
      </c>
      <c r="B1390" s="25" t="s">
        <v>12042</v>
      </c>
      <c r="C1390" s="25" t="s">
        <v>11088</v>
      </c>
      <c r="D1390" s="25" t="s">
        <v>11</v>
      </c>
    </row>
    <row r="1391" spans="1:4">
      <c r="A1391" s="58">
        <v>45400</v>
      </c>
      <c r="B1391" s="25" t="s">
        <v>12044</v>
      </c>
      <c r="C1391" s="25" t="s">
        <v>12043</v>
      </c>
      <c r="D1391" s="25" t="s">
        <v>11</v>
      </c>
    </row>
    <row r="1392" spans="1:4">
      <c r="A1392" s="58">
        <v>45400</v>
      </c>
      <c r="B1392" s="25" t="s">
        <v>12046</v>
      </c>
      <c r="C1392" s="25" t="s">
        <v>12045</v>
      </c>
      <c r="D1392" s="25" t="s">
        <v>11</v>
      </c>
    </row>
    <row r="1393" spans="1:4">
      <c r="A1393" s="58">
        <v>45400</v>
      </c>
      <c r="B1393" s="25" t="s">
        <v>12048</v>
      </c>
      <c r="C1393" s="25" t="s">
        <v>12047</v>
      </c>
      <c r="D1393" s="25" t="s">
        <v>11</v>
      </c>
    </row>
    <row r="1394" spans="1:4">
      <c r="A1394" s="58">
        <v>45400</v>
      </c>
      <c r="B1394" s="25" t="s">
        <v>12050</v>
      </c>
      <c r="C1394" s="25" t="s">
        <v>12049</v>
      </c>
      <c r="D1394" s="25" t="s">
        <v>11</v>
      </c>
    </row>
    <row r="1395" spans="1:4">
      <c r="A1395" s="58">
        <v>45401</v>
      </c>
      <c r="B1395" s="25" t="s">
        <v>12052</v>
      </c>
      <c r="C1395" s="25" t="s">
        <v>12051</v>
      </c>
      <c r="D1395" s="25" t="s">
        <v>11</v>
      </c>
    </row>
    <row r="1396" spans="1:4">
      <c r="A1396" s="58">
        <v>45401</v>
      </c>
      <c r="B1396" s="25" t="s">
        <v>12054</v>
      </c>
      <c r="C1396" s="25" t="s">
        <v>12053</v>
      </c>
      <c r="D1396" s="25" t="s">
        <v>11</v>
      </c>
    </row>
    <row r="1397" spans="1:4">
      <c r="A1397" s="58">
        <v>45401</v>
      </c>
      <c r="B1397" s="25" t="s">
        <v>12056</v>
      </c>
      <c r="C1397" s="25" t="s">
        <v>12055</v>
      </c>
      <c r="D1397" s="25" t="s">
        <v>11</v>
      </c>
    </row>
    <row r="1398" spans="1:4">
      <c r="A1398" s="58">
        <v>45401</v>
      </c>
      <c r="B1398" s="25" t="s">
        <v>12058</v>
      </c>
      <c r="C1398" s="25" t="s">
        <v>12057</v>
      </c>
      <c r="D1398" s="25" t="s">
        <v>16</v>
      </c>
    </row>
    <row r="1399" spans="1:4">
      <c r="A1399" s="32">
        <v>45367</v>
      </c>
      <c r="B1399" s="42" t="s">
        <v>12060</v>
      </c>
      <c r="C1399" s="42" t="s">
        <v>12059</v>
      </c>
      <c r="D1399" s="42" t="s">
        <v>5</v>
      </c>
    </row>
    <row r="1400" spans="1:4">
      <c r="A1400" s="32">
        <v>45367</v>
      </c>
      <c r="B1400" s="42" t="s">
        <v>12061</v>
      </c>
      <c r="C1400" s="42" t="s">
        <v>12059</v>
      </c>
      <c r="D1400" s="42" t="s">
        <v>5</v>
      </c>
    </row>
    <row r="1401" spans="1:4">
      <c r="A1401" s="58">
        <v>45441</v>
      </c>
      <c r="B1401" s="34" t="s">
        <v>12063</v>
      </c>
      <c r="C1401" s="25" t="s">
        <v>12062</v>
      </c>
      <c r="D1401" s="25" t="s">
        <v>5</v>
      </c>
    </row>
    <row r="1402" spans="1:4">
      <c r="A1402" s="58">
        <v>45443</v>
      </c>
      <c r="B1402" s="34" t="s">
        <v>12065</v>
      </c>
      <c r="C1402" s="25" t="s">
        <v>12064</v>
      </c>
      <c r="D1402" s="25" t="s">
        <v>5</v>
      </c>
    </row>
    <row r="1403" spans="1:4">
      <c r="A1403" s="58">
        <v>45454</v>
      </c>
      <c r="B1403" s="34" t="s">
        <v>12067</v>
      </c>
      <c r="C1403" s="25" t="s">
        <v>12066</v>
      </c>
      <c r="D1403" s="25" t="s">
        <v>5</v>
      </c>
    </row>
    <row r="1404" spans="1:4">
      <c r="A1404" s="58">
        <v>45401</v>
      </c>
      <c r="B1404" s="25" t="s">
        <v>12069</v>
      </c>
      <c r="C1404" s="25" t="s">
        <v>12068</v>
      </c>
      <c r="D1404" s="25" t="s">
        <v>16</v>
      </c>
    </row>
    <row r="1405" spans="1:4">
      <c r="A1405" s="58">
        <v>45402</v>
      </c>
      <c r="B1405" s="25" t="s">
        <v>12071</v>
      </c>
      <c r="C1405" s="25" t="s">
        <v>12070</v>
      </c>
      <c r="D1405" s="25" t="s">
        <v>11</v>
      </c>
    </row>
    <row r="1406" spans="1:4">
      <c r="A1406" s="58">
        <v>45402</v>
      </c>
      <c r="B1406" s="25" t="s">
        <v>12073</v>
      </c>
      <c r="C1406" s="25" t="s">
        <v>12072</v>
      </c>
      <c r="D1406" s="25" t="s">
        <v>11</v>
      </c>
    </row>
    <row r="1407" spans="1:4">
      <c r="A1407" s="58">
        <v>45402</v>
      </c>
      <c r="B1407" s="25" t="s">
        <v>12074</v>
      </c>
      <c r="C1407" s="25" t="s">
        <v>12072</v>
      </c>
      <c r="D1407" s="25" t="s">
        <v>11</v>
      </c>
    </row>
    <row r="1408" spans="1:4">
      <c r="A1408" s="58">
        <v>45402</v>
      </c>
      <c r="B1408" s="25" t="s">
        <v>12075</v>
      </c>
      <c r="C1408" s="25" t="s">
        <v>12072</v>
      </c>
      <c r="D1408" s="25" t="s">
        <v>11</v>
      </c>
    </row>
    <row r="1409" spans="1:4">
      <c r="A1409" s="58">
        <v>45404</v>
      </c>
      <c r="B1409" s="25" t="s">
        <v>12077</v>
      </c>
      <c r="C1409" s="25" t="s">
        <v>12076</v>
      </c>
      <c r="D1409" s="25" t="s">
        <v>8</v>
      </c>
    </row>
    <row r="1410" spans="1:4">
      <c r="A1410" s="58">
        <v>45404</v>
      </c>
      <c r="B1410" s="25" t="s">
        <v>12079</v>
      </c>
      <c r="C1410" s="25" t="s">
        <v>12078</v>
      </c>
      <c r="D1410" s="25" t="s">
        <v>74</v>
      </c>
    </row>
    <row r="1411" spans="1:4">
      <c r="A1411" s="58">
        <v>45404</v>
      </c>
      <c r="B1411" s="25" t="s">
        <v>12081</v>
      </c>
      <c r="C1411" s="25" t="s">
        <v>12080</v>
      </c>
      <c r="D1411" s="25" t="s">
        <v>8</v>
      </c>
    </row>
    <row r="1412" spans="1:4">
      <c r="A1412" s="58">
        <v>45404</v>
      </c>
      <c r="B1412" s="25" t="s">
        <v>12082</v>
      </c>
      <c r="C1412" s="25" t="s">
        <v>11072</v>
      </c>
      <c r="D1412" s="25" t="s">
        <v>24</v>
      </c>
    </row>
    <row r="1413" spans="1:4">
      <c r="A1413" s="58">
        <v>45404</v>
      </c>
      <c r="B1413" s="25" t="s">
        <v>12083</v>
      </c>
      <c r="C1413" s="25" t="s">
        <v>12080</v>
      </c>
      <c r="D1413" s="25" t="s">
        <v>8</v>
      </c>
    </row>
    <row r="1414" spans="1:4">
      <c r="A1414" s="58">
        <v>45404</v>
      </c>
      <c r="B1414" s="25" t="s">
        <v>12083</v>
      </c>
      <c r="C1414" s="25" t="s">
        <v>12080</v>
      </c>
      <c r="D1414" s="25" t="s">
        <v>8</v>
      </c>
    </row>
    <row r="1415" spans="1:4">
      <c r="A1415" s="58">
        <v>45404</v>
      </c>
      <c r="B1415" s="25" t="s">
        <v>12085</v>
      </c>
      <c r="C1415" s="25" t="s">
        <v>12084</v>
      </c>
      <c r="D1415" s="25" t="s">
        <v>29</v>
      </c>
    </row>
    <row r="1416" spans="1:4">
      <c r="A1416" s="58">
        <v>45404</v>
      </c>
      <c r="B1416" s="25" t="s">
        <v>12087</v>
      </c>
      <c r="C1416" s="25" t="s">
        <v>12086</v>
      </c>
      <c r="D1416" s="25" t="s">
        <v>24</v>
      </c>
    </row>
    <row r="1417" spans="1:4">
      <c r="A1417" s="58">
        <v>45404</v>
      </c>
      <c r="B1417" s="25" t="s">
        <v>12089</v>
      </c>
      <c r="C1417" s="25" t="s">
        <v>12088</v>
      </c>
      <c r="D1417" s="25" t="s">
        <v>5</v>
      </c>
    </row>
    <row r="1418" spans="1:4">
      <c r="A1418" s="58">
        <v>45404</v>
      </c>
      <c r="B1418" s="25" t="s">
        <v>12091</v>
      </c>
      <c r="C1418" s="25" t="s">
        <v>12090</v>
      </c>
      <c r="D1418" s="25" t="s">
        <v>5</v>
      </c>
    </row>
    <row r="1419" spans="1:4">
      <c r="A1419" s="58">
        <v>45400</v>
      </c>
      <c r="B1419" s="34" t="s">
        <v>12093</v>
      </c>
      <c r="C1419" s="25" t="s">
        <v>12092</v>
      </c>
      <c r="D1419" s="25" t="s">
        <v>5</v>
      </c>
    </row>
    <row r="1420" spans="1:4">
      <c r="A1420" s="70">
        <v>45406</v>
      </c>
      <c r="B1420" s="25" t="s">
        <v>10969</v>
      </c>
      <c r="C1420" s="25" t="s">
        <v>12094</v>
      </c>
      <c r="D1420" s="25" t="s">
        <v>5</v>
      </c>
    </row>
    <row r="1421" spans="1:4">
      <c r="A1421" s="53">
        <v>45342</v>
      </c>
      <c r="B1421" s="36" t="s">
        <v>12096</v>
      </c>
      <c r="C1421" s="36" t="s">
        <v>12095</v>
      </c>
      <c r="D1421" s="36" t="s">
        <v>5</v>
      </c>
    </row>
    <row r="1422" spans="1:4">
      <c r="A1422" s="58">
        <v>45405</v>
      </c>
      <c r="B1422" s="25" t="s">
        <v>12098</v>
      </c>
      <c r="C1422" s="25" t="s">
        <v>12097</v>
      </c>
      <c r="D1422" s="25" t="s">
        <v>11</v>
      </c>
    </row>
    <row r="1423" spans="1:4">
      <c r="A1423" s="58">
        <v>45405</v>
      </c>
      <c r="B1423" s="25" t="s">
        <v>12100</v>
      </c>
      <c r="C1423" s="25" t="s">
        <v>12099</v>
      </c>
      <c r="D1423" s="25" t="s">
        <v>11</v>
      </c>
    </row>
    <row r="1424" spans="1:4">
      <c r="A1424" s="58">
        <v>45405</v>
      </c>
      <c r="B1424" s="25" t="s">
        <v>12102</v>
      </c>
      <c r="C1424" s="25" t="s">
        <v>12101</v>
      </c>
      <c r="D1424" s="25" t="s">
        <v>11</v>
      </c>
    </row>
    <row r="1425" spans="1:4">
      <c r="A1425" s="58">
        <v>45405</v>
      </c>
      <c r="B1425" s="25" t="s">
        <v>12104</v>
      </c>
      <c r="C1425" s="25" t="s">
        <v>12103</v>
      </c>
      <c r="D1425" s="25" t="s">
        <v>11</v>
      </c>
    </row>
    <row r="1426" spans="1:4">
      <c r="A1426" s="58">
        <v>45405</v>
      </c>
      <c r="B1426" s="25" t="s">
        <v>12106</v>
      </c>
      <c r="C1426" s="25" t="s">
        <v>12105</v>
      </c>
      <c r="D1426" s="25" t="s">
        <v>8</v>
      </c>
    </row>
    <row r="1427" spans="1:4">
      <c r="A1427" s="58">
        <v>45405</v>
      </c>
      <c r="B1427" s="25" t="s">
        <v>12108</v>
      </c>
      <c r="C1427" s="25" t="s">
        <v>12107</v>
      </c>
      <c r="D1427" s="25" t="s">
        <v>164</v>
      </c>
    </row>
    <row r="1428" spans="1:4">
      <c r="A1428" s="58">
        <v>45405</v>
      </c>
      <c r="B1428" s="25" t="s">
        <v>12110</v>
      </c>
      <c r="C1428" s="25" t="s">
        <v>12109</v>
      </c>
      <c r="D1428" s="25" t="s">
        <v>11</v>
      </c>
    </row>
    <row r="1429" spans="1:4">
      <c r="A1429" s="58">
        <v>45405</v>
      </c>
      <c r="B1429" s="25" t="s">
        <v>12112</v>
      </c>
      <c r="C1429" s="25" t="s">
        <v>12111</v>
      </c>
      <c r="D1429" s="25" t="s">
        <v>164</v>
      </c>
    </row>
    <row r="1430" spans="1:4">
      <c r="A1430" s="58">
        <v>45405</v>
      </c>
      <c r="B1430" s="25" t="s">
        <v>12114</v>
      </c>
      <c r="C1430" s="25" t="s">
        <v>12113</v>
      </c>
      <c r="D1430" s="25" t="s">
        <v>8</v>
      </c>
    </row>
    <row r="1431" spans="1:4">
      <c r="A1431" s="58">
        <v>45405</v>
      </c>
      <c r="B1431" s="25" t="s">
        <v>12115</v>
      </c>
      <c r="C1431" s="25" t="s">
        <v>12113</v>
      </c>
      <c r="D1431" s="25" t="s">
        <v>8</v>
      </c>
    </row>
    <row r="1432" spans="1:4">
      <c r="A1432" s="58">
        <v>45405</v>
      </c>
      <c r="B1432" s="25" t="s">
        <v>12116</v>
      </c>
      <c r="C1432" s="25" t="s">
        <v>12113</v>
      </c>
      <c r="D1432" s="25" t="s">
        <v>8</v>
      </c>
    </row>
    <row r="1433" spans="1:4">
      <c r="A1433" s="58">
        <v>45405</v>
      </c>
      <c r="B1433" s="25" t="s">
        <v>12118</v>
      </c>
      <c r="C1433" s="25" t="s">
        <v>12117</v>
      </c>
      <c r="D1433" s="25" t="s">
        <v>8</v>
      </c>
    </row>
    <row r="1434" spans="1:4">
      <c r="A1434" s="53">
        <v>45342</v>
      </c>
      <c r="B1434" s="36" t="s">
        <v>12119</v>
      </c>
      <c r="C1434" s="36" t="s">
        <v>10623</v>
      </c>
      <c r="D1434" s="36" t="s">
        <v>5</v>
      </c>
    </row>
    <row r="1435" spans="1:4">
      <c r="A1435" s="61">
        <v>45343</v>
      </c>
      <c r="B1435" s="36" t="s">
        <v>12121</v>
      </c>
      <c r="C1435" s="36" t="s">
        <v>12120</v>
      </c>
      <c r="D1435" s="36" t="s">
        <v>5</v>
      </c>
    </row>
    <row r="1436" spans="1:4">
      <c r="A1436" s="58">
        <v>45406</v>
      </c>
      <c r="B1436" s="25" t="s">
        <v>12123</v>
      </c>
      <c r="C1436" s="25" t="s">
        <v>12122</v>
      </c>
      <c r="D1436" s="25" t="s">
        <v>74</v>
      </c>
    </row>
    <row r="1437" spans="1:4">
      <c r="A1437" s="58">
        <v>45406</v>
      </c>
      <c r="B1437" s="25" t="s">
        <v>12125</v>
      </c>
      <c r="C1437" s="25" t="s">
        <v>12124</v>
      </c>
      <c r="D1437" s="25" t="s">
        <v>74</v>
      </c>
    </row>
    <row r="1438" spans="1:4">
      <c r="A1438" s="58">
        <v>45408</v>
      </c>
      <c r="B1438" s="25" t="s">
        <v>12127</v>
      </c>
      <c r="C1438" s="25" t="s">
        <v>12126</v>
      </c>
      <c r="D1438" s="25" t="s">
        <v>353</v>
      </c>
    </row>
    <row r="1439" spans="1:4">
      <c r="A1439" s="58">
        <v>45408</v>
      </c>
      <c r="B1439" s="25" t="s">
        <v>12129</v>
      </c>
      <c r="C1439" s="25" t="s">
        <v>12128</v>
      </c>
      <c r="D1439" s="25" t="s">
        <v>353</v>
      </c>
    </row>
    <row r="1440" spans="1:4">
      <c r="A1440" s="58">
        <v>45407</v>
      </c>
      <c r="B1440" s="25" t="s">
        <v>12131</v>
      </c>
      <c r="C1440" s="25" t="s">
        <v>12130</v>
      </c>
      <c r="D1440" s="25" t="s">
        <v>5</v>
      </c>
    </row>
    <row r="1441" spans="1:4">
      <c r="A1441" s="58">
        <v>45407</v>
      </c>
      <c r="B1441" s="25" t="s">
        <v>12133</v>
      </c>
      <c r="C1441" s="25" t="s">
        <v>12132</v>
      </c>
      <c r="D1441" s="25" t="s">
        <v>5</v>
      </c>
    </row>
    <row r="1442" spans="1:4">
      <c r="A1442" s="58">
        <v>45410</v>
      </c>
      <c r="B1442" s="25" t="s">
        <v>12135</v>
      </c>
      <c r="C1442" s="25" t="s">
        <v>12134</v>
      </c>
      <c r="D1442" s="25" t="s">
        <v>5</v>
      </c>
    </row>
    <row r="1443" spans="1:4">
      <c r="A1443" s="58">
        <v>45411</v>
      </c>
      <c r="B1443" s="25" t="s">
        <v>12137</v>
      </c>
      <c r="C1443" s="25" t="s">
        <v>12136</v>
      </c>
      <c r="D1443" s="25" t="s">
        <v>8</v>
      </c>
    </row>
    <row r="1444" spans="1:4">
      <c r="A1444" s="58">
        <v>45411</v>
      </c>
      <c r="B1444" s="25" t="s">
        <v>12139</v>
      </c>
      <c r="C1444" s="25" t="s">
        <v>12138</v>
      </c>
      <c r="D1444" s="25" t="s">
        <v>74</v>
      </c>
    </row>
    <row r="1445" spans="1:4">
      <c r="A1445" s="58">
        <v>45411</v>
      </c>
      <c r="B1445" s="25" t="s">
        <v>12141</v>
      </c>
      <c r="C1445" s="25" t="s">
        <v>12140</v>
      </c>
      <c r="D1445" s="25" t="s">
        <v>8</v>
      </c>
    </row>
    <row r="1446" spans="1:4">
      <c r="A1446" s="58">
        <v>45411</v>
      </c>
      <c r="B1446" s="25" t="s">
        <v>12143</v>
      </c>
      <c r="C1446" s="25" t="s">
        <v>12142</v>
      </c>
      <c r="D1446" s="25" t="s">
        <v>24</v>
      </c>
    </row>
    <row r="1447" spans="1:4">
      <c r="A1447" s="58">
        <v>45411</v>
      </c>
      <c r="B1447" s="25" t="s">
        <v>12145</v>
      </c>
      <c r="C1447" s="25" t="s">
        <v>12144</v>
      </c>
      <c r="D1447" s="25" t="s">
        <v>19</v>
      </c>
    </row>
    <row r="1448" spans="1:4">
      <c r="A1448" s="58">
        <v>45411</v>
      </c>
      <c r="B1448" s="25" t="s">
        <v>12147</v>
      </c>
      <c r="C1448" s="25" t="s">
        <v>12146</v>
      </c>
      <c r="D1448" s="25" t="s">
        <v>74</v>
      </c>
    </row>
    <row r="1449" spans="1:4">
      <c r="A1449" s="61">
        <v>45343</v>
      </c>
      <c r="B1449" s="36" t="s">
        <v>12149</v>
      </c>
      <c r="C1449" s="36" t="s">
        <v>12148</v>
      </c>
      <c r="D1449" s="36" t="s">
        <v>216</v>
      </c>
    </row>
    <row r="1450" spans="1:4">
      <c r="A1450" s="61">
        <v>45343</v>
      </c>
      <c r="B1450" s="36" t="s">
        <v>11249</v>
      </c>
      <c r="C1450" s="36" t="s">
        <v>12150</v>
      </c>
      <c r="D1450" s="36" t="s">
        <v>216</v>
      </c>
    </row>
    <row r="1451" spans="1:4">
      <c r="A1451" s="61">
        <v>45343</v>
      </c>
      <c r="B1451" s="36" t="s">
        <v>12151</v>
      </c>
      <c r="C1451" s="36" t="s">
        <v>12150</v>
      </c>
      <c r="D1451" s="36" t="s">
        <v>216</v>
      </c>
    </row>
    <row r="1452" spans="1:4">
      <c r="A1452" s="61">
        <v>45344</v>
      </c>
      <c r="B1452" s="36" t="s">
        <v>12152</v>
      </c>
      <c r="C1452" s="36" t="s">
        <v>11262</v>
      </c>
      <c r="D1452" s="36" t="s">
        <v>5</v>
      </c>
    </row>
    <row r="1453" spans="1:4">
      <c r="A1453" s="61">
        <v>45345</v>
      </c>
      <c r="B1453" s="36" t="s">
        <v>12154</v>
      </c>
      <c r="C1453" s="36" t="s">
        <v>12153</v>
      </c>
      <c r="D1453" s="36" t="s">
        <v>5</v>
      </c>
    </row>
    <row r="1454" spans="1:4">
      <c r="A1454" s="61">
        <v>45350</v>
      </c>
      <c r="B1454" s="36" t="s">
        <v>12155</v>
      </c>
      <c r="C1454" s="36" t="s">
        <v>9150</v>
      </c>
      <c r="D1454" s="36" t="s">
        <v>5</v>
      </c>
    </row>
    <row r="1455" spans="1:4">
      <c r="A1455" s="58">
        <v>45412</v>
      </c>
      <c r="B1455" s="25" t="s">
        <v>12157</v>
      </c>
      <c r="C1455" s="25" t="s">
        <v>12156</v>
      </c>
      <c r="D1455" s="25" t="s">
        <v>5</v>
      </c>
    </row>
    <row r="1456" spans="1:4">
      <c r="A1456" s="32">
        <v>45370</v>
      </c>
      <c r="B1456" s="19" t="s">
        <v>12159</v>
      </c>
      <c r="C1456" s="19" t="s">
        <v>12158</v>
      </c>
      <c r="D1456" s="19" t="s">
        <v>5</v>
      </c>
    </row>
    <row r="1457" spans="1:4">
      <c r="A1457" s="32">
        <v>45370</v>
      </c>
      <c r="B1457" s="19" t="s">
        <v>12161</v>
      </c>
      <c r="C1457" s="19" t="s">
        <v>12160</v>
      </c>
      <c r="D1457" s="19" t="s">
        <v>29</v>
      </c>
    </row>
    <row r="1458" spans="1:4">
      <c r="A1458" s="32">
        <v>45371</v>
      </c>
      <c r="B1458" s="19" t="s">
        <v>10969</v>
      </c>
      <c r="C1458" s="19" t="s">
        <v>12162</v>
      </c>
      <c r="D1458" s="19" t="s">
        <v>74</v>
      </c>
    </row>
    <row r="1459" spans="1:4">
      <c r="A1459" s="32">
        <v>45371</v>
      </c>
      <c r="B1459" s="19" t="s">
        <v>12164</v>
      </c>
      <c r="C1459" s="19" t="s">
        <v>12163</v>
      </c>
      <c r="D1459" s="19" t="s">
        <v>510</v>
      </c>
    </row>
    <row r="1460" spans="1:4">
      <c r="A1460" s="32">
        <v>45371</v>
      </c>
      <c r="B1460" s="19" t="s">
        <v>10969</v>
      </c>
      <c r="C1460" s="19" t="s">
        <v>12165</v>
      </c>
      <c r="D1460" s="19" t="s">
        <v>74</v>
      </c>
    </row>
    <row r="1461" spans="1:4">
      <c r="A1461" s="32">
        <v>45371</v>
      </c>
      <c r="B1461" s="19" t="s">
        <v>12167</v>
      </c>
      <c r="C1461" s="19" t="s">
        <v>12166</v>
      </c>
      <c r="D1461" s="19" t="s">
        <v>345</v>
      </c>
    </row>
    <row r="1462" spans="1:4">
      <c r="A1462" s="32">
        <v>45371</v>
      </c>
      <c r="B1462" s="19" t="s">
        <v>12169</v>
      </c>
      <c r="C1462" s="19" t="s">
        <v>12168</v>
      </c>
      <c r="D1462" s="19" t="s">
        <v>345</v>
      </c>
    </row>
    <row r="1463" spans="1:4">
      <c r="A1463" s="32">
        <v>45371</v>
      </c>
      <c r="B1463" s="19" t="s">
        <v>12171</v>
      </c>
      <c r="C1463" s="19" t="s">
        <v>12170</v>
      </c>
      <c r="D1463" s="19" t="s">
        <v>29</v>
      </c>
    </row>
    <row r="1464" spans="1:4">
      <c r="A1464" s="32">
        <v>45371</v>
      </c>
      <c r="B1464" s="19" t="s">
        <v>12173</v>
      </c>
      <c r="C1464" s="19" t="s">
        <v>12172</v>
      </c>
      <c r="D1464" s="19" t="s">
        <v>510</v>
      </c>
    </row>
    <row r="1465" spans="1:4">
      <c r="A1465" s="32">
        <v>45371</v>
      </c>
      <c r="B1465" s="19" t="s">
        <v>12175</v>
      </c>
      <c r="C1465" s="19" t="s">
        <v>12174</v>
      </c>
      <c r="D1465" s="19" t="s">
        <v>16</v>
      </c>
    </row>
    <row r="1466" spans="1:4">
      <c r="A1466" s="32">
        <v>45372</v>
      </c>
      <c r="B1466" s="19" t="s">
        <v>10969</v>
      </c>
      <c r="C1466" s="19" t="s">
        <v>12176</v>
      </c>
      <c r="D1466" s="19" t="s">
        <v>74</v>
      </c>
    </row>
    <row r="1467" spans="1:4">
      <c r="A1467" s="32">
        <v>45372</v>
      </c>
      <c r="B1467" s="19" t="s">
        <v>12178</v>
      </c>
      <c r="C1467" s="19" t="s">
        <v>12177</v>
      </c>
      <c r="D1467" s="19" t="s">
        <v>8</v>
      </c>
    </row>
    <row r="1468" spans="1:4">
      <c r="A1468" s="32">
        <v>45372</v>
      </c>
      <c r="B1468" s="19" t="s">
        <v>12180</v>
      </c>
      <c r="C1468" s="19" t="s">
        <v>12179</v>
      </c>
      <c r="D1468" s="19" t="s">
        <v>109</v>
      </c>
    </row>
    <row r="1469" spans="1:4">
      <c r="A1469" s="32">
        <v>45372</v>
      </c>
      <c r="B1469" s="19" t="s">
        <v>10969</v>
      </c>
      <c r="C1469" s="19" t="s">
        <v>12181</v>
      </c>
      <c r="D1469" s="19" t="s">
        <v>81</v>
      </c>
    </row>
    <row r="1470" spans="1:4">
      <c r="A1470" s="32">
        <v>45372</v>
      </c>
      <c r="B1470" s="19" t="s">
        <v>12183</v>
      </c>
      <c r="C1470" s="19" t="s">
        <v>12182</v>
      </c>
      <c r="D1470" s="19" t="s">
        <v>8</v>
      </c>
    </row>
    <row r="1471" spans="1:4">
      <c r="A1471" s="32">
        <v>45372</v>
      </c>
      <c r="B1471" s="19" t="s">
        <v>12185</v>
      </c>
      <c r="C1471" s="19" t="s">
        <v>12184</v>
      </c>
      <c r="D1471" s="19" t="s">
        <v>109</v>
      </c>
    </row>
    <row r="1472" spans="1:4">
      <c r="A1472" s="32">
        <v>45372</v>
      </c>
      <c r="B1472" s="19" t="s">
        <v>12187</v>
      </c>
      <c r="C1472" s="19" t="s">
        <v>12186</v>
      </c>
      <c r="D1472" s="19" t="s">
        <v>109</v>
      </c>
    </row>
    <row r="1473" spans="1:4">
      <c r="A1473" s="32">
        <v>45373</v>
      </c>
      <c r="B1473" s="19" t="s">
        <v>12189</v>
      </c>
      <c r="C1473" s="19" t="s">
        <v>12188</v>
      </c>
      <c r="D1473" s="19" t="s">
        <v>109</v>
      </c>
    </row>
    <row r="1474" spans="1:4">
      <c r="A1474" s="32">
        <v>45373</v>
      </c>
      <c r="B1474" s="19" t="s">
        <v>12191</v>
      </c>
      <c r="C1474" s="19" t="s">
        <v>12190</v>
      </c>
      <c r="D1474" s="19" t="s">
        <v>109</v>
      </c>
    </row>
    <row r="1475" spans="1:4">
      <c r="A1475" s="32">
        <v>45373</v>
      </c>
      <c r="B1475" s="19" t="s">
        <v>10969</v>
      </c>
      <c r="C1475" s="19" t="s">
        <v>12192</v>
      </c>
      <c r="D1475" s="19" t="s">
        <v>74</v>
      </c>
    </row>
    <row r="1476" spans="1:4">
      <c r="A1476" s="32">
        <v>45375</v>
      </c>
      <c r="B1476" s="19" t="s">
        <v>12194</v>
      </c>
      <c r="C1476" s="19" t="s">
        <v>12193</v>
      </c>
      <c r="D1476" s="19" t="s">
        <v>109</v>
      </c>
    </row>
    <row r="1477" spans="1:4">
      <c r="A1477" s="32">
        <v>45376</v>
      </c>
      <c r="B1477" s="19" t="s">
        <v>12196</v>
      </c>
      <c r="C1477" s="19" t="s">
        <v>12195</v>
      </c>
      <c r="D1477" s="19" t="s">
        <v>29</v>
      </c>
    </row>
    <row r="1478" spans="1:4">
      <c r="A1478" s="32">
        <v>45376</v>
      </c>
      <c r="B1478" s="19" t="s">
        <v>12198</v>
      </c>
      <c r="C1478" s="19" t="s">
        <v>12197</v>
      </c>
      <c r="D1478" s="19" t="s">
        <v>29</v>
      </c>
    </row>
    <row r="1479" spans="1:4">
      <c r="A1479" s="32">
        <v>45377</v>
      </c>
      <c r="B1479" s="19" t="s">
        <v>12200</v>
      </c>
      <c r="C1479" s="19" t="s">
        <v>12199</v>
      </c>
      <c r="D1479" s="19" t="s">
        <v>19</v>
      </c>
    </row>
    <row r="1480" spans="1:4">
      <c r="A1480" s="32">
        <v>45377</v>
      </c>
      <c r="B1480" s="19" t="s">
        <v>12202</v>
      </c>
      <c r="C1480" s="19" t="s">
        <v>12201</v>
      </c>
      <c r="D1480" s="19" t="s">
        <v>109</v>
      </c>
    </row>
    <row r="1481" spans="1:4">
      <c r="A1481" s="32">
        <v>45377</v>
      </c>
      <c r="B1481" s="19" t="s">
        <v>12204</v>
      </c>
      <c r="C1481" s="19" t="s">
        <v>12203</v>
      </c>
      <c r="D1481" s="19" t="s">
        <v>109</v>
      </c>
    </row>
    <row r="1482" spans="1:4">
      <c r="A1482" s="32">
        <v>45377</v>
      </c>
      <c r="B1482" s="19" t="s">
        <v>10969</v>
      </c>
      <c r="C1482" s="19" t="s">
        <v>12205</v>
      </c>
      <c r="D1482" s="19" t="s">
        <v>345</v>
      </c>
    </row>
    <row r="1483" spans="1:4">
      <c r="A1483" s="32">
        <v>45377</v>
      </c>
      <c r="B1483" s="19" t="s">
        <v>12207</v>
      </c>
      <c r="C1483" s="19" t="s">
        <v>12206</v>
      </c>
      <c r="D1483" s="19" t="s">
        <v>510</v>
      </c>
    </row>
    <row r="1484" spans="1:4">
      <c r="A1484" s="32">
        <v>45377</v>
      </c>
      <c r="B1484" s="19" t="s">
        <v>10969</v>
      </c>
      <c r="C1484" s="19" t="s">
        <v>12208</v>
      </c>
      <c r="D1484" s="19" t="s">
        <v>74</v>
      </c>
    </row>
    <row r="1485" spans="1:4">
      <c r="A1485" s="32">
        <v>45377</v>
      </c>
      <c r="B1485" s="19" t="s">
        <v>12210</v>
      </c>
      <c r="C1485" s="19" t="s">
        <v>12209</v>
      </c>
      <c r="D1485" s="19" t="s">
        <v>510</v>
      </c>
    </row>
    <row r="1486" spans="1:4">
      <c r="A1486" s="32">
        <v>45378</v>
      </c>
      <c r="B1486" s="19" t="s">
        <v>10969</v>
      </c>
      <c r="C1486" s="19" t="s">
        <v>12211</v>
      </c>
      <c r="D1486" s="19" t="s">
        <v>74</v>
      </c>
    </row>
    <row r="1487" spans="1:4">
      <c r="A1487" s="32">
        <v>45378</v>
      </c>
      <c r="B1487" s="19" t="s">
        <v>12213</v>
      </c>
      <c r="C1487" s="19" t="s">
        <v>12212</v>
      </c>
      <c r="D1487" s="19" t="s">
        <v>109</v>
      </c>
    </row>
    <row r="1488" spans="1:4">
      <c r="A1488" s="32">
        <v>45378</v>
      </c>
      <c r="B1488" s="19" t="s">
        <v>12215</v>
      </c>
      <c r="C1488" s="19" t="s">
        <v>12214</v>
      </c>
      <c r="D1488" s="19" t="s">
        <v>29</v>
      </c>
    </row>
    <row r="1489" spans="1:4">
      <c r="A1489" s="32">
        <v>45379</v>
      </c>
      <c r="B1489" s="19" t="s">
        <v>10969</v>
      </c>
      <c r="C1489" s="19" t="s">
        <v>12216</v>
      </c>
      <c r="D1489" s="19" t="s">
        <v>29</v>
      </c>
    </row>
    <row r="1490" spans="1:4">
      <c r="A1490" s="32">
        <v>45378</v>
      </c>
      <c r="B1490" s="19" t="s">
        <v>12218</v>
      </c>
      <c r="C1490" s="19" t="s">
        <v>12217</v>
      </c>
      <c r="D1490" s="19" t="s">
        <v>29</v>
      </c>
    </row>
    <row r="1491" spans="1:4">
      <c r="A1491" s="32">
        <v>45379</v>
      </c>
      <c r="B1491" s="19" t="s">
        <v>12220</v>
      </c>
      <c r="C1491" s="19" t="s">
        <v>12219</v>
      </c>
      <c r="D1491" s="19" t="s">
        <v>29</v>
      </c>
    </row>
    <row r="1492" spans="1:4">
      <c r="A1492" s="32">
        <v>45379</v>
      </c>
      <c r="B1492" s="19" t="s">
        <v>10969</v>
      </c>
      <c r="C1492" s="19" t="s">
        <v>12221</v>
      </c>
      <c r="D1492" s="19" t="s">
        <v>11</v>
      </c>
    </row>
    <row r="1493" spans="1:4">
      <c r="A1493" s="32">
        <v>45379</v>
      </c>
      <c r="B1493" s="19" t="s">
        <v>10969</v>
      </c>
      <c r="C1493" s="19" t="s">
        <v>12222</v>
      </c>
      <c r="D1493" s="19" t="s">
        <v>16</v>
      </c>
    </row>
    <row r="1494" spans="1:4">
      <c r="A1494" s="32">
        <v>45379</v>
      </c>
      <c r="B1494" s="19" t="s">
        <v>12224</v>
      </c>
      <c r="C1494" s="19" t="s">
        <v>12223</v>
      </c>
      <c r="D1494" s="19" t="s">
        <v>19</v>
      </c>
    </row>
    <row r="1495" spans="1:4">
      <c r="A1495" s="32">
        <v>45379</v>
      </c>
      <c r="B1495" s="19" t="s">
        <v>12226</v>
      </c>
      <c r="C1495" s="19" t="s">
        <v>12225</v>
      </c>
      <c r="D1495" s="19" t="s">
        <v>109</v>
      </c>
    </row>
    <row r="1496" spans="1:4">
      <c r="A1496" s="32">
        <v>45380</v>
      </c>
      <c r="B1496" s="19" t="s">
        <v>12228</v>
      </c>
      <c r="C1496" s="19" t="s">
        <v>12227</v>
      </c>
      <c r="D1496" s="19" t="s">
        <v>109</v>
      </c>
    </row>
    <row r="1497" spans="1:4">
      <c r="A1497" s="32">
        <v>45380</v>
      </c>
      <c r="B1497" s="19" t="s">
        <v>12230</v>
      </c>
      <c r="C1497" s="19" t="s">
        <v>12229</v>
      </c>
      <c r="D1497" s="19" t="s">
        <v>8</v>
      </c>
    </row>
    <row r="1498" spans="1:4">
      <c r="A1498" s="32">
        <v>45383</v>
      </c>
      <c r="B1498" s="19" t="s">
        <v>10969</v>
      </c>
      <c r="C1498" s="19" t="s">
        <v>12231</v>
      </c>
      <c r="D1498" s="19" t="s">
        <v>29</v>
      </c>
    </row>
    <row r="1499" spans="1:4">
      <c r="A1499" s="32">
        <v>45383</v>
      </c>
      <c r="B1499" s="19" t="s">
        <v>10969</v>
      </c>
      <c r="C1499" s="19" t="s">
        <v>12232</v>
      </c>
      <c r="D1499" s="19" t="s">
        <v>29</v>
      </c>
    </row>
    <row r="1500" spans="1:4">
      <c r="A1500" s="32">
        <v>45383</v>
      </c>
      <c r="B1500" s="19" t="s">
        <v>12234</v>
      </c>
      <c r="C1500" s="19" t="s">
        <v>12233</v>
      </c>
      <c r="D1500" s="19" t="s">
        <v>19</v>
      </c>
    </row>
    <row r="1501" spans="1:4">
      <c r="A1501" s="32">
        <v>45383</v>
      </c>
      <c r="B1501" s="19" t="s">
        <v>10969</v>
      </c>
      <c r="C1501" s="19" t="s">
        <v>12235</v>
      </c>
      <c r="D1501" s="19" t="s">
        <v>74</v>
      </c>
    </row>
    <row r="1502" spans="1:4">
      <c r="A1502" s="32">
        <v>45383</v>
      </c>
      <c r="B1502" s="19" t="s">
        <v>10969</v>
      </c>
      <c r="C1502" s="19" t="s">
        <v>12236</v>
      </c>
      <c r="D1502" s="19" t="s">
        <v>109</v>
      </c>
    </row>
    <row r="1503" spans="1:4">
      <c r="A1503" s="32">
        <v>45383</v>
      </c>
      <c r="B1503" s="19" t="s">
        <v>12238</v>
      </c>
      <c r="C1503" s="19" t="s">
        <v>12237</v>
      </c>
      <c r="D1503" s="19" t="s">
        <v>19</v>
      </c>
    </row>
    <row r="1504" spans="1:4">
      <c r="A1504" s="32">
        <v>45384</v>
      </c>
      <c r="B1504" s="19" t="s">
        <v>10969</v>
      </c>
      <c r="C1504" s="19" t="s">
        <v>12239</v>
      </c>
      <c r="D1504" s="19" t="s">
        <v>345</v>
      </c>
    </row>
    <row r="1505" spans="1:4">
      <c r="A1505" s="32">
        <v>45384</v>
      </c>
      <c r="B1505" s="19" t="s">
        <v>12241</v>
      </c>
      <c r="C1505" s="19" t="s">
        <v>12240</v>
      </c>
      <c r="D1505" s="19" t="s">
        <v>29</v>
      </c>
    </row>
    <row r="1506" spans="1:4">
      <c r="A1506" s="32">
        <v>45384</v>
      </c>
      <c r="B1506" s="19" t="s">
        <v>10969</v>
      </c>
      <c r="C1506" s="19" t="s">
        <v>12242</v>
      </c>
      <c r="D1506" s="19" t="s">
        <v>345</v>
      </c>
    </row>
    <row r="1507" spans="1:4">
      <c r="A1507" s="32">
        <v>45384</v>
      </c>
      <c r="B1507" s="19" t="s">
        <v>12244</v>
      </c>
      <c r="C1507" s="19" t="s">
        <v>12243</v>
      </c>
      <c r="D1507" s="19" t="s">
        <v>29</v>
      </c>
    </row>
    <row r="1508" spans="1:4">
      <c r="A1508" s="32">
        <v>45384</v>
      </c>
      <c r="B1508" s="19" t="s">
        <v>10969</v>
      </c>
      <c r="C1508" s="19" t="s">
        <v>12245</v>
      </c>
      <c r="D1508" s="19" t="s">
        <v>109</v>
      </c>
    </row>
    <row r="1509" spans="1:4">
      <c r="A1509" s="32">
        <v>45384</v>
      </c>
      <c r="B1509" s="19" t="s">
        <v>12247</v>
      </c>
      <c r="C1509" s="19" t="s">
        <v>12246</v>
      </c>
      <c r="D1509" s="19" t="s">
        <v>11</v>
      </c>
    </row>
    <row r="1510" spans="1:4">
      <c r="A1510" s="32">
        <v>45385</v>
      </c>
      <c r="B1510" s="19" t="s">
        <v>12249</v>
      </c>
      <c r="C1510" s="19" t="s">
        <v>12248</v>
      </c>
      <c r="D1510" s="19" t="s">
        <v>345</v>
      </c>
    </row>
    <row r="1511" spans="1:4">
      <c r="A1511" s="32">
        <v>45385</v>
      </c>
      <c r="B1511" s="19" t="s">
        <v>12251</v>
      </c>
      <c r="C1511" s="19" t="s">
        <v>12250</v>
      </c>
      <c r="D1511" s="19" t="s">
        <v>345</v>
      </c>
    </row>
    <row r="1512" spans="1:4">
      <c r="A1512" s="32">
        <v>45385</v>
      </c>
      <c r="B1512" s="19" t="s">
        <v>10969</v>
      </c>
      <c r="C1512" s="19" t="s">
        <v>12252</v>
      </c>
      <c r="D1512" s="19" t="s">
        <v>74</v>
      </c>
    </row>
    <row r="1513" spans="1:4">
      <c r="A1513" s="32">
        <v>45385</v>
      </c>
      <c r="B1513" s="19" t="s">
        <v>10969</v>
      </c>
      <c r="C1513" s="19" t="s">
        <v>12252</v>
      </c>
      <c r="D1513" s="19" t="s">
        <v>74</v>
      </c>
    </row>
    <row r="1514" spans="1:4">
      <c r="A1514" s="32">
        <v>45385</v>
      </c>
      <c r="B1514" s="19" t="s">
        <v>12254</v>
      </c>
      <c r="C1514" s="19" t="s">
        <v>12253</v>
      </c>
      <c r="D1514" s="19" t="s">
        <v>345</v>
      </c>
    </row>
    <row r="1515" spans="1:4">
      <c r="A1515" s="32">
        <v>45371</v>
      </c>
      <c r="B1515" s="19" t="s">
        <v>12256</v>
      </c>
      <c r="C1515" s="19" t="s">
        <v>12255</v>
      </c>
      <c r="D1515" s="19" t="s">
        <v>5</v>
      </c>
    </row>
    <row r="1516" spans="1:4">
      <c r="A1516" s="32">
        <v>45371</v>
      </c>
      <c r="B1516" s="19" t="s">
        <v>12258</v>
      </c>
      <c r="C1516" s="19" t="s">
        <v>12257</v>
      </c>
      <c r="D1516" s="19" t="s">
        <v>5</v>
      </c>
    </row>
    <row r="1517" spans="1:4">
      <c r="A1517" s="32">
        <v>45371</v>
      </c>
      <c r="B1517" s="19" t="s">
        <v>12260</v>
      </c>
      <c r="C1517" s="19" t="s">
        <v>12259</v>
      </c>
      <c r="D1517" s="19" t="s">
        <v>5</v>
      </c>
    </row>
    <row r="1518" spans="1:4">
      <c r="A1518" s="32">
        <v>45371</v>
      </c>
      <c r="B1518" s="19" t="s">
        <v>12262</v>
      </c>
      <c r="C1518" s="19" t="s">
        <v>12261</v>
      </c>
      <c r="D1518" s="19" t="s">
        <v>29</v>
      </c>
    </row>
    <row r="1519" spans="1:4">
      <c r="A1519" s="32">
        <v>45371</v>
      </c>
      <c r="B1519" s="19" t="s">
        <v>12264</v>
      </c>
      <c r="C1519" s="19" t="s">
        <v>12263</v>
      </c>
      <c r="D1519" s="19" t="s">
        <v>353</v>
      </c>
    </row>
    <row r="1520" spans="1:4">
      <c r="A1520" s="32">
        <v>45372</v>
      </c>
      <c r="B1520" s="19" t="s">
        <v>12266</v>
      </c>
      <c r="C1520" s="19" t="s">
        <v>12265</v>
      </c>
      <c r="D1520" s="19" t="s">
        <v>8</v>
      </c>
    </row>
    <row r="1521" spans="1:4">
      <c r="A1521" s="32">
        <v>45373</v>
      </c>
      <c r="B1521" s="19" t="s">
        <v>12268</v>
      </c>
      <c r="C1521" s="19" t="s">
        <v>12267</v>
      </c>
      <c r="D1521" s="19" t="s">
        <v>8</v>
      </c>
    </row>
    <row r="1522" spans="1:4">
      <c r="A1522" s="32">
        <v>45373</v>
      </c>
      <c r="B1522" s="19" t="s">
        <v>10969</v>
      </c>
      <c r="C1522" s="19" t="s">
        <v>11576</v>
      </c>
      <c r="D1522" s="19" t="s">
        <v>74</v>
      </c>
    </row>
    <row r="1523" spans="1:4">
      <c r="A1523" s="32">
        <v>45373</v>
      </c>
      <c r="B1523" s="19" t="s">
        <v>12270</v>
      </c>
      <c r="C1523" s="19" t="s">
        <v>12269</v>
      </c>
      <c r="D1523" s="19" t="s">
        <v>74</v>
      </c>
    </row>
    <row r="1524" spans="1:4">
      <c r="A1524" s="32">
        <v>45376</v>
      </c>
      <c r="B1524" s="19" t="s">
        <v>12272</v>
      </c>
      <c r="C1524" s="19" t="s">
        <v>12271</v>
      </c>
      <c r="D1524" s="19" t="s">
        <v>29</v>
      </c>
    </row>
    <row r="1525" spans="1:4">
      <c r="A1525" s="32">
        <v>45376</v>
      </c>
      <c r="B1525" s="19" t="s">
        <v>12273</v>
      </c>
      <c r="C1525" s="19" t="s">
        <v>11181</v>
      </c>
      <c r="D1525" s="19" t="s">
        <v>109</v>
      </c>
    </row>
    <row r="1526" spans="1:4">
      <c r="A1526" s="32">
        <v>45376</v>
      </c>
      <c r="B1526" s="19" t="s">
        <v>12275</v>
      </c>
      <c r="C1526" s="19" t="s">
        <v>12274</v>
      </c>
      <c r="D1526" s="19" t="s">
        <v>216</v>
      </c>
    </row>
    <row r="1527" spans="1:4">
      <c r="A1527" s="32">
        <v>45376</v>
      </c>
      <c r="B1527" s="19" t="s">
        <v>12277</v>
      </c>
      <c r="C1527" s="19" t="s">
        <v>12276</v>
      </c>
      <c r="D1527" s="19" t="s">
        <v>216</v>
      </c>
    </row>
    <row r="1528" spans="1:4">
      <c r="A1528" s="32">
        <v>45376</v>
      </c>
      <c r="B1528" s="19" t="s">
        <v>12279</v>
      </c>
      <c r="C1528" s="19" t="s">
        <v>12278</v>
      </c>
      <c r="D1528" s="19" t="s">
        <v>74</v>
      </c>
    </row>
    <row r="1529" spans="1:4">
      <c r="A1529" s="32">
        <v>45377</v>
      </c>
      <c r="B1529" s="19" t="s">
        <v>12281</v>
      </c>
      <c r="C1529" s="19" t="s">
        <v>12280</v>
      </c>
      <c r="D1529" s="19" t="s">
        <v>74</v>
      </c>
    </row>
    <row r="1530" spans="1:4">
      <c r="A1530" s="32">
        <v>45377</v>
      </c>
      <c r="B1530" s="19" t="s">
        <v>12283</v>
      </c>
      <c r="C1530" s="19" t="s">
        <v>12282</v>
      </c>
      <c r="D1530" s="19" t="s">
        <v>5</v>
      </c>
    </row>
    <row r="1531" spans="1:4">
      <c r="A1531" s="32">
        <v>45377</v>
      </c>
      <c r="B1531" s="19" t="s">
        <v>12285</v>
      </c>
      <c r="C1531" s="19" t="s">
        <v>12284</v>
      </c>
      <c r="D1531" s="19" t="s">
        <v>216</v>
      </c>
    </row>
    <row r="1532" spans="1:4">
      <c r="A1532" s="32">
        <v>45377</v>
      </c>
      <c r="B1532" s="19" t="s">
        <v>12287</v>
      </c>
      <c r="C1532" s="19" t="s">
        <v>12286</v>
      </c>
      <c r="D1532" s="19" t="s">
        <v>5</v>
      </c>
    </row>
    <row r="1533" spans="1:4">
      <c r="A1533" s="32">
        <v>45377</v>
      </c>
      <c r="B1533" s="19" t="s">
        <v>12289</v>
      </c>
      <c r="C1533" s="19" t="s">
        <v>12288</v>
      </c>
      <c r="D1533" s="19" t="s">
        <v>19</v>
      </c>
    </row>
    <row r="1534" spans="1:4">
      <c r="A1534" s="32">
        <v>45378</v>
      </c>
      <c r="B1534" s="19" t="s">
        <v>12291</v>
      </c>
      <c r="C1534" s="19" t="s">
        <v>12290</v>
      </c>
      <c r="D1534" s="19" t="s">
        <v>34</v>
      </c>
    </row>
    <row r="1535" spans="1:4">
      <c r="A1535" s="32">
        <v>45378</v>
      </c>
      <c r="B1535" s="19" t="s">
        <v>12293</v>
      </c>
      <c r="C1535" s="19" t="s">
        <v>12292</v>
      </c>
      <c r="D1535" s="19" t="s">
        <v>8</v>
      </c>
    </row>
    <row r="1536" spans="1:4">
      <c r="A1536" s="32">
        <v>45378</v>
      </c>
      <c r="B1536" s="19" t="s">
        <v>12295</v>
      </c>
      <c r="C1536" s="19" t="s">
        <v>12294</v>
      </c>
      <c r="D1536" s="19" t="s">
        <v>19</v>
      </c>
    </row>
    <row r="1537" spans="1:4">
      <c r="A1537" s="32">
        <v>45378</v>
      </c>
      <c r="B1537" s="19" t="s">
        <v>12297</v>
      </c>
      <c r="C1537" s="19" t="s">
        <v>12296</v>
      </c>
      <c r="D1537" s="19" t="s">
        <v>8</v>
      </c>
    </row>
    <row r="1538" spans="1:4">
      <c r="A1538" s="32">
        <v>45378</v>
      </c>
      <c r="B1538" s="19" t="s">
        <v>12299</v>
      </c>
      <c r="C1538" s="19" t="s">
        <v>12298</v>
      </c>
      <c r="D1538" s="19" t="s">
        <v>216</v>
      </c>
    </row>
    <row r="1539" spans="1:4">
      <c r="A1539" s="32">
        <v>45378</v>
      </c>
      <c r="B1539" s="19" t="s">
        <v>12301</v>
      </c>
      <c r="C1539" s="19" t="s">
        <v>12300</v>
      </c>
      <c r="D1539" s="19" t="s">
        <v>353</v>
      </c>
    </row>
    <row r="1540" spans="1:4">
      <c r="A1540" s="32">
        <v>45378</v>
      </c>
      <c r="B1540" s="19" t="s">
        <v>12303</v>
      </c>
      <c r="C1540" s="19" t="s">
        <v>12302</v>
      </c>
      <c r="D1540" s="19" t="s">
        <v>8</v>
      </c>
    </row>
    <row r="1541" spans="1:4">
      <c r="A1541" s="32">
        <v>45378</v>
      </c>
      <c r="B1541" s="19" t="s">
        <v>12305</v>
      </c>
      <c r="C1541" s="19" t="s">
        <v>12304</v>
      </c>
      <c r="D1541" s="19" t="s">
        <v>216</v>
      </c>
    </row>
    <row r="1542" spans="1:4">
      <c r="A1542" s="32">
        <v>45379</v>
      </c>
      <c r="B1542" s="19" t="s">
        <v>12307</v>
      </c>
      <c r="C1542" s="19" t="s">
        <v>12306</v>
      </c>
      <c r="D1542" s="19" t="s">
        <v>5</v>
      </c>
    </row>
    <row r="1543" spans="1:4">
      <c r="A1543" s="32">
        <v>45379</v>
      </c>
      <c r="B1543" s="19" t="s">
        <v>10969</v>
      </c>
      <c r="C1543" s="19" t="s">
        <v>12308</v>
      </c>
      <c r="D1543" s="19" t="s">
        <v>29</v>
      </c>
    </row>
    <row r="1544" spans="1:4">
      <c r="A1544" s="32">
        <v>45379</v>
      </c>
      <c r="B1544" s="19" t="s">
        <v>12310</v>
      </c>
      <c r="C1544" s="19" t="s">
        <v>12309</v>
      </c>
      <c r="D1544" s="19" t="s">
        <v>510</v>
      </c>
    </row>
    <row r="1545" spans="1:4">
      <c r="A1545" s="32">
        <v>45379</v>
      </c>
      <c r="B1545" s="19" t="s">
        <v>12312</v>
      </c>
      <c r="C1545" s="19" t="s">
        <v>12311</v>
      </c>
      <c r="D1545" s="19" t="s">
        <v>5</v>
      </c>
    </row>
    <row r="1546" spans="1:4">
      <c r="A1546" s="32">
        <v>45379</v>
      </c>
      <c r="B1546" s="19" t="s">
        <v>12314</v>
      </c>
      <c r="C1546" s="19" t="s">
        <v>12313</v>
      </c>
      <c r="D1546" s="19" t="s">
        <v>510</v>
      </c>
    </row>
    <row r="1547" spans="1:4">
      <c r="A1547" s="32">
        <v>45383</v>
      </c>
      <c r="B1547" s="19" t="s">
        <v>12315</v>
      </c>
      <c r="C1547" s="19" t="s">
        <v>12282</v>
      </c>
      <c r="D1547" s="19" t="s">
        <v>5</v>
      </c>
    </row>
    <row r="1548" spans="1:4">
      <c r="A1548" s="32">
        <v>45383</v>
      </c>
      <c r="B1548" s="19" t="s">
        <v>12317</v>
      </c>
      <c r="C1548" s="19" t="s">
        <v>12316</v>
      </c>
      <c r="D1548" s="19" t="s">
        <v>8</v>
      </c>
    </row>
    <row r="1549" spans="1:4">
      <c r="A1549" s="32">
        <v>45383</v>
      </c>
      <c r="B1549" s="19" t="s">
        <v>12319</v>
      </c>
      <c r="C1549" s="19" t="s">
        <v>12318</v>
      </c>
      <c r="D1549" s="19" t="s">
        <v>216</v>
      </c>
    </row>
    <row r="1550" spans="1:4">
      <c r="A1550" s="32">
        <v>45384</v>
      </c>
      <c r="B1550" s="19" t="s">
        <v>12321</v>
      </c>
      <c r="C1550" s="19" t="s">
        <v>12320</v>
      </c>
      <c r="D1550" s="19" t="s">
        <v>16</v>
      </c>
    </row>
    <row r="1551" spans="1:4">
      <c r="A1551" s="32">
        <v>45384</v>
      </c>
      <c r="B1551" s="19" t="s">
        <v>12322</v>
      </c>
      <c r="C1551" s="19" t="s">
        <v>12308</v>
      </c>
      <c r="D1551" s="19" t="s">
        <v>29</v>
      </c>
    </row>
    <row r="1552" spans="1:4">
      <c r="A1552" s="32">
        <v>45384</v>
      </c>
      <c r="B1552" s="19" t="s">
        <v>12324</v>
      </c>
      <c r="C1552" s="19" t="s">
        <v>12323</v>
      </c>
      <c r="D1552" s="19" t="s">
        <v>8</v>
      </c>
    </row>
    <row r="1553" spans="1:4">
      <c r="A1553" s="32">
        <v>45384</v>
      </c>
      <c r="B1553" s="19" t="s">
        <v>12326</v>
      </c>
      <c r="C1553" s="19" t="s">
        <v>12325</v>
      </c>
      <c r="D1553" s="19" t="s">
        <v>353</v>
      </c>
    </row>
    <row r="1554" spans="1:4">
      <c r="A1554" s="32">
        <v>45385</v>
      </c>
      <c r="B1554" s="19" t="s">
        <v>12328</v>
      </c>
      <c r="C1554" s="19" t="s">
        <v>12327</v>
      </c>
      <c r="D1554" s="19" t="s">
        <v>29</v>
      </c>
    </row>
    <row r="1555" spans="1:4">
      <c r="A1555" s="32">
        <v>45385</v>
      </c>
      <c r="B1555" s="19" t="s">
        <v>12330</v>
      </c>
      <c r="C1555" s="19" t="s">
        <v>12329</v>
      </c>
      <c r="D1555" s="19" t="s">
        <v>353</v>
      </c>
    </row>
    <row r="1556" spans="1:4">
      <c r="A1556" s="32">
        <v>45385</v>
      </c>
      <c r="B1556" s="19" t="s">
        <v>12332</v>
      </c>
      <c r="C1556" s="19" t="s">
        <v>12331</v>
      </c>
      <c r="D1556" s="19" t="s">
        <v>19</v>
      </c>
    </row>
    <row r="1557" spans="1:4">
      <c r="A1557" s="32">
        <v>45385</v>
      </c>
      <c r="B1557" s="19" t="s">
        <v>12334</v>
      </c>
      <c r="C1557" s="19" t="s">
        <v>12333</v>
      </c>
      <c r="D1557" s="19" t="s">
        <v>164</v>
      </c>
    </row>
    <row r="1558" spans="1:4">
      <c r="A1558" s="32">
        <v>45385</v>
      </c>
      <c r="B1558" s="19" t="s">
        <v>12336</v>
      </c>
      <c r="C1558" s="19" t="s">
        <v>12335</v>
      </c>
      <c r="D1558" s="19" t="s">
        <v>24</v>
      </c>
    </row>
    <row r="1559" spans="1:4">
      <c r="A1559" s="32">
        <v>45385</v>
      </c>
      <c r="B1559" s="19" t="s">
        <v>12338</v>
      </c>
      <c r="C1559" s="19" t="s">
        <v>12337</v>
      </c>
      <c r="D1559" s="19" t="s">
        <v>109</v>
      </c>
    </row>
    <row r="1560" spans="1:4">
      <c r="A1560" s="32">
        <v>45385</v>
      </c>
      <c r="B1560" s="19" t="s">
        <v>12340</v>
      </c>
      <c r="C1560" s="19" t="s">
        <v>12339</v>
      </c>
      <c r="D1560" s="19" t="s">
        <v>109</v>
      </c>
    </row>
    <row r="1561" spans="1:4">
      <c r="A1561" s="32">
        <v>45385</v>
      </c>
      <c r="B1561" s="19" t="s">
        <v>12342</v>
      </c>
      <c r="C1561" s="19" t="s">
        <v>12341</v>
      </c>
      <c r="D1561" s="19" t="s">
        <v>29</v>
      </c>
    </row>
    <row r="1562" spans="1:4">
      <c r="A1562" s="70">
        <v>45370</v>
      </c>
      <c r="B1562" s="25" t="s">
        <v>12343</v>
      </c>
      <c r="C1562" s="25" t="s">
        <v>11752</v>
      </c>
      <c r="D1562" s="25" t="s">
        <v>5</v>
      </c>
    </row>
    <row r="1563" spans="1:4">
      <c r="A1563" s="70">
        <v>45370</v>
      </c>
      <c r="B1563" s="25" t="s">
        <v>12345</v>
      </c>
      <c r="C1563" s="25" t="s">
        <v>12344</v>
      </c>
      <c r="D1563" s="25" t="s">
        <v>5</v>
      </c>
    </row>
    <row r="1564" spans="1:4">
      <c r="A1564" s="70">
        <v>45370</v>
      </c>
      <c r="B1564" s="25" t="s">
        <v>12347</v>
      </c>
      <c r="C1564" s="25" t="s">
        <v>12346</v>
      </c>
      <c r="D1564" s="25" t="s">
        <v>5</v>
      </c>
    </row>
    <row r="1565" spans="1:4">
      <c r="A1565" s="70">
        <v>45370</v>
      </c>
      <c r="B1565" s="25" t="s">
        <v>12349</v>
      </c>
      <c r="C1565" s="25" t="s">
        <v>12348</v>
      </c>
      <c r="D1565" s="25" t="s">
        <v>74</v>
      </c>
    </row>
    <row r="1566" spans="1:4">
      <c r="A1566" s="70">
        <v>45370</v>
      </c>
      <c r="B1566" s="25" t="s">
        <v>10969</v>
      </c>
      <c r="C1566" s="25" t="s">
        <v>12350</v>
      </c>
      <c r="D1566" s="25" t="s">
        <v>74</v>
      </c>
    </row>
    <row r="1567" spans="1:4">
      <c r="A1567" s="70">
        <v>45370</v>
      </c>
      <c r="B1567" s="25" t="s">
        <v>10969</v>
      </c>
      <c r="C1567" s="25" t="s">
        <v>12351</v>
      </c>
      <c r="D1567" s="25" t="s">
        <v>19</v>
      </c>
    </row>
    <row r="1568" spans="1:4">
      <c r="A1568" s="70">
        <v>45370</v>
      </c>
      <c r="B1568" s="25" t="s">
        <v>12352</v>
      </c>
      <c r="C1568" s="25" t="s">
        <v>11752</v>
      </c>
      <c r="D1568" s="25" t="s">
        <v>5</v>
      </c>
    </row>
    <row r="1569" spans="1:4">
      <c r="A1569" s="70">
        <v>45370</v>
      </c>
      <c r="B1569" s="25" t="s">
        <v>12354</v>
      </c>
      <c r="C1569" s="25" t="s">
        <v>12353</v>
      </c>
      <c r="D1569" s="25" t="s">
        <v>5</v>
      </c>
    </row>
    <row r="1570" spans="1:4">
      <c r="A1570" s="70">
        <v>45370</v>
      </c>
      <c r="B1570" s="25" t="s">
        <v>12356</v>
      </c>
      <c r="C1570" s="25" t="s">
        <v>12355</v>
      </c>
      <c r="D1570" s="25" t="s">
        <v>5</v>
      </c>
    </row>
    <row r="1571" spans="1:4">
      <c r="A1571" s="70">
        <v>45370</v>
      </c>
      <c r="B1571" s="25" t="s">
        <v>12357</v>
      </c>
      <c r="C1571" s="25" t="s">
        <v>12353</v>
      </c>
      <c r="D1571" s="25" t="s">
        <v>5</v>
      </c>
    </row>
    <row r="1572" spans="1:4">
      <c r="A1572" s="70">
        <v>45370</v>
      </c>
      <c r="B1572" s="25" t="s">
        <v>12359</v>
      </c>
      <c r="C1572" s="25" t="s">
        <v>12358</v>
      </c>
      <c r="D1572" s="25" t="s">
        <v>5</v>
      </c>
    </row>
    <row r="1573" spans="1:4">
      <c r="A1573" s="70">
        <v>45370</v>
      </c>
      <c r="B1573" s="25" t="s">
        <v>12359</v>
      </c>
      <c r="C1573" s="25" t="s">
        <v>12358</v>
      </c>
      <c r="D1573" s="25" t="s">
        <v>5</v>
      </c>
    </row>
    <row r="1574" spans="1:4">
      <c r="A1574" s="70">
        <v>45371</v>
      </c>
      <c r="B1574" s="25" t="s">
        <v>12361</v>
      </c>
      <c r="C1574" s="25" t="s">
        <v>12360</v>
      </c>
      <c r="D1574" s="25" t="s">
        <v>29</v>
      </c>
    </row>
    <row r="1575" spans="1:4">
      <c r="A1575" s="70">
        <v>45371</v>
      </c>
      <c r="B1575" s="25" t="s">
        <v>12363</v>
      </c>
      <c r="C1575" s="25" t="s">
        <v>12362</v>
      </c>
      <c r="D1575" s="25" t="s">
        <v>24</v>
      </c>
    </row>
    <row r="1576" spans="1:4">
      <c r="A1576" s="70">
        <v>45371</v>
      </c>
      <c r="B1576" s="25" t="s">
        <v>10969</v>
      </c>
      <c r="C1576" s="25" t="s">
        <v>12364</v>
      </c>
      <c r="D1576" s="25" t="s">
        <v>29</v>
      </c>
    </row>
    <row r="1577" spans="1:4">
      <c r="A1577" s="70">
        <v>45371</v>
      </c>
      <c r="B1577" s="25" t="s">
        <v>12366</v>
      </c>
      <c r="C1577" s="25" t="s">
        <v>12365</v>
      </c>
      <c r="D1577" s="25" t="s">
        <v>34</v>
      </c>
    </row>
    <row r="1578" spans="1:4">
      <c r="A1578" s="70">
        <v>45371</v>
      </c>
      <c r="B1578" s="25" t="s">
        <v>12368</v>
      </c>
      <c r="C1578" s="25" t="s">
        <v>12367</v>
      </c>
      <c r="D1578" s="25" t="s">
        <v>29</v>
      </c>
    </row>
    <row r="1579" spans="1:4">
      <c r="A1579" s="70">
        <v>45371</v>
      </c>
      <c r="B1579" s="25" t="s">
        <v>10969</v>
      </c>
      <c r="C1579" s="25" t="s">
        <v>12369</v>
      </c>
      <c r="D1579" s="25" t="s">
        <v>109</v>
      </c>
    </row>
    <row r="1580" spans="1:4">
      <c r="A1580" s="70">
        <v>45371</v>
      </c>
      <c r="B1580" s="25" t="s">
        <v>12371</v>
      </c>
      <c r="C1580" s="25" t="s">
        <v>12370</v>
      </c>
      <c r="D1580" s="25" t="s">
        <v>34</v>
      </c>
    </row>
    <row r="1581" spans="1:4">
      <c r="A1581" s="70">
        <v>45372</v>
      </c>
      <c r="B1581" s="25" t="s">
        <v>12373</v>
      </c>
      <c r="C1581" s="25" t="s">
        <v>12372</v>
      </c>
      <c r="D1581" s="25" t="s">
        <v>19</v>
      </c>
    </row>
    <row r="1582" spans="1:4">
      <c r="A1582" s="70">
        <v>45372</v>
      </c>
      <c r="B1582" s="25" t="s">
        <v>12375</v>
      </c>
      <c r="C1582" s="25" t="s">
        <v>12374</v>
      </c>
      <c r="D1582" s="25" t="s">
        <v>19</v>
      </c>
    </row>
    <row r="1583" spans="1:4">
      <c r="A1583" s="70">
        <v>45372</v>
      </c>
      <c r="B1583" s="25" t="s">
        <v>12377</v>
      </c>
      <c r="C1583" s="25" t="s">
        <v>12376</v>
      </c>
      <c r="D1583" s="25" t="s">
        <v>109</v>
      </c>
    </row>
    <row r="1584" spans="1:4">
      <c r="A1584" s="70">
        <v>45373</v>
      </c>
      <c r="B1584" s="25" t="s">
        <v>12379</v>
      </c>
      <c r="C1584" s="25" t="s">
        <v>12378</v>
      </c>
      <c r="D1584" s="25" t="s">
        <v>24</v>
      </c>
    </row>
    <row r="1585" spans="1:4">
      <c r="A1585" s="70">
        <v>45373</v>
      </c>
      <c r="B1585" s="25" t="s">
        <v>12381</v>
      </c>
      <c r="C1585" s="25" t="s">
        <v>12380</v>
      </c>
      <c r="D1585" s="25" t="s">
        <v>109</v>
      </c>
    </row>
    <row r="1586" spans="1:4">
      <c r="A1586" s="70">
        <v>45373</v>
      </c>
      <c r="B1586" s="25" t="s">
        <v>12383</v>
      </c>
      <c r="C1586" s="25" t="s">
        <v>12382</v>
      </c>
      <c r="D1586" s="25" t="s">
        <v>353</v>
      </c>
    </row>
    <row r="1587" spans="1:4">
      <c r="A1587" s="70">
        <v>45373</v>
      </c>
      <c r="B1587" s="25" t="s">
        <v>12384</v>
      </c>
      <c r="C1587" s="25" t="s">
        <v>12382</v>
      </c>
      <c r="D1587" s="25" t="s">
        <v>353</v>
      </c>
    </row>
    <row r="1588" spans="1:4">
      <c r="A1588" s="70">
        <v>45373</v>
      </c>
      <c r="B1588" s="25" t="s">
        <v>12386</v>
      </c>
      <c r="C1588" s="25" t="s">
        <v>12385</v>
      </c>
      <c r="D1588" s="25" t="s">
        <v>16</v>
      </c>
    </row>
    <row r="1589" spans="1:4">
      <c r="A1589" s="70">
        <v>45373</v>
      </c>
      <c r="B1589" s="25" t="s">
        <v>12387</v>
      </c>
      <c r="C1589" s="25" t="s">
        <v>12382</v>
      </c>
      <c r="D1589" s="25" t="s">
        <v>353</v>
      </c>
    </row>
    <row r="1590" spans="1:4">
      <c r="A1590" s="70">
        <v>45374</v>
      </c>
      <c r="B1590" s="25" t="s">
        <v>12389</v>
      </c>
      <c r="C1590" s="25" t="s">
        <v>12388</v>
      </c>
      <c r="D1590" s="25" t="s">
        <v>5</v>
      </c>
    </row>
    <row r="1591" spans="1:4">
      <c r="A1591" s="70">
        <v>45376</v>
      </c>
      <c r="B1591" s="25" t="s">
        <v>12391</v>
      </c>
      <c r="C1591" s="25" t="s">
        <v>12390</v>
      </c>
      <c r="D1591" s="25" t="s">
        <v>353</v>
      </c>
    </row>
    <row r="1592" spans="1:4">
      <c r="A1592" s="70">
        <v>45376</v>
      </c>
      <c r="B1592" s="25" t="s">
        <v>12393</v>
      </c>
      <c r="C1592" s="25" t="s">
        <v>12392</v>
      </c>
      <c r="D1592" s="25" t="s">
        <v>353</v>
      </c>
    </row>
    <row r="1593" spans="1:4">
      <c r="A1593" s="70">
        <v>45376</v>
      </c>
      <c r="B1593" s="25" t="s">
        <v>12393</v>
      </c>
      <c r="C1593" s="25" t="s">
        <v>10574</v>
      </c>
      <c r="D1593" s="25" t="s">
        <v>353</v>
      </c>
    </row>
    <row r="1594" spans="1:4">
      <c r="A1594" s="70">
        <v>45376</v>
      </c>
      <c r="B1594" s="25" t="s">
        <v>12395</v>
      </c>
      <c r="C1594" s="25" t="s">
        <v>12394</v>
      </c>
      <c r="D1594" s="25" t="s">
        <v>5</v>
      </c>
    </row>
    <row r="1595" spans="1:4">
      <c r="A1595" s="70">
        <v>45376</v>
      </c>
      <c r="B1595" s="25" t="s">
        <v>12397</v>
      </c>
      <c r="C1595" s="25" t="s">
        <v>12396</v>
      </c>
      <c r="D1595" s="25" t="s">
        <v>5</v>
      </c>
    </row>
    <row r="1596" spans="1:4">
      <c r="A1596" s="70">
        <v>45376</v>
      </c>
      <c r="B1596" s="25" t="s">
        <v>12399</v>
      </c>
      <c r="C1596" s="25" t="s">
        <v>12398</v>
      </c>
      <c r="D1596" s="25" t="s">
        <v>5</v>
      </c>
    </row>
    <row r="1597" spans="1:4">
      <c r="A1597" s="70">
        <v>45377</v>
      </c>
      <c r="B1597" s="25" t="s">
        <v>12401</v>
      </c>
      <c r="C1597" s="25" t="s">
        <v>12400</v>
      </c>
      <c r="D1597" s="25" t="s">
        <v>5</v>
      </c>
    </row>
    <row r="1598" spans="1:4">
      <c r="A1598" s="70">
        <v>45377</v>
      </c>
      <c r="B1598" s="25" t="s">
        <v>12403</v>
      </c>
      <c r="C1598" s="25" t="s">
        <v>12402</v>
      </c>
      <c r="D1598" s="25" t="s">
        <v>29</v>
      </c>
    </row>
    <row r="1599" spans="1:4">
      <c r="A1599" s="70">
        <v>45377</v>
      </c>
      <c r="B1599" s="25" t="s">
        <v>12405</v>
      </c>
      <c r="C1599" s="25" t="s">
        <v>12404</v>
      </c>
      <c r="D1599" s="25" t="s">
        <v>109</v>
      </c>
    </row>
    <row r="1600" spans="1:4">
      <c r="A1600" s="70">
        <v>45377</v>
      </c>
      <c r="B1600" s="25" t="s">
        <v>12407</v>
      </c>
      <c r="C1600" s="25" t="s">
        <v>12406</v>
      </c>
      <c r="D1600" s="25" t="s">
        <v>24</v>
      </c>
    </row>
    <row r="1601" spans="1:4">
      <c r="A1601" s="70">
        <v>45377</v>
      </c>
      <c r="B1601" s="25" t="s">
        <v>10969</v>
      </c>
      <c r="C1601" s="25" t="s">
        <v>12408</v>
      </c>
      <c r="D1601" s="25" t="s">
        <v>510</v>
      </c>
    </row>
    <row r="1602" spans="1:4">
      <c r="A1602" s="70">
        <v>45377</v>
      </c>
      <c r="B1602" s="25" t="s">
        <v>12410</v>
      </c>
      <c r="C1602" s="25" t="s">
        <v>12409</v>
      </c>
      <c r="D1602" s="25" t="s">
        <v>5</v>
      </c>
    </row>
    <row r="1603" spans="1:4">
      <c r="A1603" s="70">
        <v>45377</v>
      </c>
      <c r="B1603" s="25" t="s">
        <v>12412</v>
      </c>
      <c r="C1603" s="25" t="s">
        <v>12411</v>
      </c>
      <c r="D1603" s="25" t="s">
        <v>16</v>
      </c>
    </row>
    <row r="1604" spans="1:4">
      <c r="A1604" s="70">
        <v>45377</v>
      </c>
      <c r="B1604" s="25" t="s">
        <v>12414</v>
      </c>
      <c r="C1604" s="25" t="s">
        <v>12413</v>
      </c>
      <c r="D1604" s="25" t="s">
        <v>109</v>
      </c>
    </row>
    <row r="1605" spans="1:4">
      <c r="A1605" s="70">
        <v>45377</v>
      </c>
      <c r="B1605" s="25" t="s">
        <v>10969</v>
      </c>
      <c r="C1605" s="25" t="s">
        <v>12415</v>
      </c>
      <c r="D1605" s="25" t="s">
        <v>510</v>
      </c>
    </row>
    <row r="1606" spans="1:4">
      <c r="A1606" s="70">
        <v>45378</v>
      </c>
      <c r="B1606" s="25" t="s">
        <v>12417</v>
      </c>
      <c r="C1606" s="25" t="s">
        <v>12416</v>
      </c>
      <c r="D1606" s="25" t="s">
        <v>29</v>
      </c>
    </row>
    <row r="1607" spans="1:4">
      <c r="A1607" s="70">
        <v>45378</v>
      </c>
      <c r="B1607" s="25" t="s">
        <v>12419</v>
      </c>
      <c r="C1607" s="25" t="s">
        <v>12418</v>
      </c>
      <c r="D1607" s="25" t="s">
        <v>29</v>
      </c>
    </row>
    <row r="1608" spans="1:4">
      <c r="A1608" s="70">
        <v>45378</v>
      </c>
      <c r="B1608" s="25" t="s">
        <v>12421</v>
      </c>
      <c r="C1608" s="25" t="s">
        <v>12420</v>
      </c>
      <c r="D1608" s="25" t="s">
        <v>5</v>
      </c>
    </row>
    <row r="1609" spans="1:4">
      <c r="A1609" s="70">
        <v>45378</v>
      </c>
      <c r="B1609" s="25" t="s">
        <v>12423</v>
      </c>
      <c r="C1609" s="25" t="s">
        <v>12422</v>
      </c>
      <c r="D1609" s="25" t="s">
        <v>11</v>
      </c>
    </row>
    <row r="1610" spans="1:4">
      <c r="A1610" s="70">
        <v>45378</v>
      </c>
      <c r="B1610" s="25" t="s">
        <v>12425</v>
      </c>
      <c r="C1610" s="25" t="s">
        <v>12424</v>
      </c>
      <c r="D1610" s="25" t="s">
        <v>5</v>
      </c>
    </row>
    <row r="1611" spans="1:4">
      <c r="A1611" s="70">
        <v>45378</v>
      </c>
      <c r="B1611" s="25" t="s">
        <v>12427</v>
      </c>
      <c r="C1611" s="25" t="s">
        <v>12426</v>
      </c>
      <c r="D1611" s="25" t="s">
        <v>109</v>
      </c>
    </row>
    <row r="1612" spans="1:4">
      <c r="A1612" s="70">
        <v>45378</v>
      </c>
      <c r="B1612" s="25" t="s">
        <v>10969</v>
      </c>
      <c r="C1612" s="25" t="s">
        <v>12428</v>
      </c>
      <c r="D1612" s="25" t="s">
        <v>29</v>
      </c>
    </row>
    <row r="1613" spans="1:4">
      <c r="A1613" s="70">
        <v>45378</v>
      </c>
      <c r="B1613" s="25" t="s">
        <v>12430</v>
      </c>
      <c r="C1613" s="25" t="s">
        <v>12429</v>
      </c>
      <c r="D1613" s="25" t="s">
        <v>11</v>
      </c>
    </row>
    <row r="1614" spans="1:4">
      <c r="A1614" s="70">
        <v>45378</v>
      </c>
      <c r="B1614" s="25" t="s">
        <v>12432</v>
      </c>
      <c r="C1614" s="25" t="s">
        <v>12431</v>
      </c>
      <c r="D1614" s="25" t="s">
        <v>5</v>
      </c>
    </row>
    <row r="1615" spans="1:4">
      <c r="A1615" s="70">
        <v>45378</v>
      </c>
      <c r="B1615" s="25" t="s">
        <v>12434</v>
      </c>
      <c r="C1615" s="25" t="s">
        <v>12433</v>
      </c>
      <c r="D1615" s="25" t="s">
        <v>109</v>
      </c>
    </row>
    <row r="1616" spans="1:4">
      <c r="A1616" s="70">
        <v>45378</v>
      </c>
      <c r="B1616" s="25" t="s">
        <v>12436</v>
      </c>
      <c r="C1616" s="25" t="s">
        <v>12435</v>
      </c>
      <c r="D1616" s="25" t="s">
        <v>5</v>
      </c>
    </row>
    <row r="1617" spans="1:4">
      <c r="A1617" s="70">
        <v>45378</v>
      </c>
      <c r="B1617" s="25" t="s">
        <v>12438</v>
      </c>
      <c r="C1617" s="25" t="s">
        <v>12437</v>
      </c>
      <c r="D1617" s="25" t="s">
        <v>11</v>
      </c>
    </row>
    <row r="1618" spans="1:4">
      <c r="A1618" s="70">
        <v>45378</v>
      </c>
      <c r="B1618" s="25" t="s">
        <v>12440</v>
      </c>
      <c r="C1618" s="25" t="s">
        <v>12439</v>
      </c>
      <c r="D1618" s="25" t="s">
        <v>5</v>
      </c>
    </row>
    <row r="1619" spans="1:4">
      <c r="A1619" s="70">
        <v>45378</v>
      </c>
      <c r="B1619" s="25" t="s">
        <v>10969</v>
      </c>
      <c r="C1619" s="25" t="s">
        <v>12441</v>
      </c>
      <c r="D1619" s="25" t="s">
        <v>11</v>
      </c>
    </row>
    <row r="1620" spans="1:4">
      <c r="A1620" s="70">
        <v>45378</v>
      </c>
      <c r="B1620" s="25" t="s">
        <v>12443</v>
      </c>
      <c r="C1620" s="25" t="s">
        <v>12442</v>
      </c>
      <c r="D1620" s="25" t="s">
        <v>5</v>
      </c>
    </row>
    <row r="1621" spans="1:4">
      <c r="A1621" s="70">
        <v>45378</v>
      </c>
      <c r="B1621" s="25" t="s">
        <v>12444</v>
      </c>
      <c r="C1621" s="25" t="s">
        <v>12441</v>
      </c>
      <c r="D1621" s="25" t="s">
        <v>11</v>
      </c>
    </row>
    <row r="1622" spans="1:4">
      <c r="A1622" s="70">
        <v>45378</v>
      </c>
      <c r="B1622" s="25" t="s">
        <v>12446</v>
      </c>
      <c r="C1622" s="25" t="s">
        <v>12445</v>
      </c>
      <c r="D1622" s="25" t="s">
        <v>5</v>
      </c>
    </row>
    <row r="1623" spans="1:4">
      <c r="A1623" s="70">
        <v>45378</v>
      </c>
      <c r="B1623" s="25" t="s">
        <v>12448</v>
      </c>
      <c r="C1623" s="25" t="s">
        <v>12447</v>
      </c>
      <c r="D1623" s="25" t="s">
        <v>5</v>
      </c>
    </row>
    <row r="1624" spans="1:4">
      <c r="A1624" s="70">
        <v>45378</v>
      </c>
      <c r="B1624" s="25" t="s">
        <v>12450</v>
      </c>
      <c r="C1624" s="25" t="s">
        <v>12449</v>
      </c>
      <c r="D1624" s="25" t="s">
        <v>5</v>
      </c>
    </row>
    <row r="1625" spans="1:4">
      <c r="A1625" s="70">
        <v>45378</v>
      </c>
      <c r="B1625" s="25" t="s">
        <v>12452</v>
      </c>
      <c r="C1625" s="25" t="s">
        <v>12451</v>
      </c>
      <c r="D1625" s="25" t="s">
        <v>5</v>
      </c>
    </row>
    <row r="1626" spans="1:4">
      <c r="A1626" s="70">
        <v>45379</v>
      </c>
      <c r="B1626" s="25" t="s">
        <v>12454</v>
      </c>
      <c r="C1626" s="25" t="s">
        <v>12453</v>
      </c>
      <c r="D1626" s="25" t="s">
        <v>5</v>
      </c>
    </row>
    <row r="1627" spans="1:4">
      <c r="A1627" s="70">
        <v>45379</v>
      </c>
      <c r="B1627" s="25" t="s">
        <v>12456</v>
      </c>
      <c r="C1627" s="25" t="s">
        <v>12455</v>
      </c>
      <c r="D1627" s="25" t="s">
        <v>74</v>
      </c>
    </row>
    <row r="1628" spans="1:4">
      <c r="A1628" s="70">
        <v>45379</v>
      </c>
      <c r="B1628" s="25" t="s">
        <v>12458</v>
      </c>
      <c r="C1628" s="25" t="s">
        <v>12457</v>
      </c>
      <c r="D1628" s="25" t="s">
        <v>353</v>
      </c>
    </row>
    <row r="1629" spans="1:4">
      <c r="A1629" s="70">
        <v>45379</v>
      </c>
      <c r="B1629" s="25" t="s">
        <v>12460</v>
      </c>
      <c r="C1629" s="25" t="s">
        <v>12459</v>
      </c>
      <c r="D1629" s="25" t="s">
        <v>11</v>
      </c>
    </row>
    <row r="1630" spans="1:4">
      <c r="A1630" s="70">
        <v>45379</v>
      </c>
      <c r="B1630" s="25" t="s">
        <v>12462</v>
      </c>
      <c r="C1630" s="25" t="s">
        <v>12461</v>
      </c>
      <c r="D1630" s="25" t="s">
        <v>29</v>
      </c>
    </row>
    <row r="1631" spans="1:4">
      <c r="A1631" s="70">
        <v>45379</v>
      </c>
      <c r="B1631" s="25" t="s">
        <v>12464</v>
      </c>
      <c r="C1631" s="25" t="s">
        <v>12463</v>
      </c>
      <c r="D1631" s="25" t="s">
        <v>5</v>
      </c>
    </row>
    <row r="1632" spans="1:4">
      <c r="A1632" s="70">
        <v>45379</v>
      </c>
      <c r="B1632" s="25" t="s">
        <v>12466</v>
      </c>
      <c r="C1632" s="25" t="s">
        <v>12465</v>
      </c>
      <c r="D1632" s="25" t="s">
        <v>74</v>
      </c>
    </row>
    <row r="1633" spans="1:4">
      <c r="A1633" s="70">
        <v>45379</v>
      </c>
      <c r="B1633" s="25" t="s">
        <v>12468</v>
      </c>
      <c r="C1633" s="25" t="s">
        <v>12467</v>
      </c>
      <c r="D1633" s="25" t="s">
        <v>109</v>
      </c>
    </row>
    <row r="1634" spans="1:4">
      <c r="A1634" s="70">
        <v>45379</v>
      </c>
      <c r="B1634" s="25" t="s">
        <v>12470</v>
      </c>
      <c r="C1634" s="25" t="s">
        <v>12469</v>
      </c>
      <c r="D1634" s="25" t="s">
        <v>74</v>
      </c>
    </row>
    <row r="1635" spans="1:4">
      <c r="A1635" s="70">
        <v>45381</v>
      </c>
      <c r="B1635" s="25" t="s">
        <v>12472</v>
      </c>
      <c r="C1635" s="25" t="s">
        <v>12471</v>
      </c>
      <c r="D1635" s="25" t="s">
        <v>8</v>
      </c>
    </row>
    <row r="1636" spans="1:4">
      <c r="A1636" s="70">
        <v>45383</v>
      </c>
      <c r="B1636" s="25" t="s">
        <v>12474</v>
      </c>
      <c r="C1636" s="25" t="s">
        <v>12473</v>
      </c>
      <c r="D1636" s="25" t="s">
        <v>109</v>
      </c>
    </row>
    <row r="1637" spans="1:4">
      <c r="A1637" s="70">
        <v>45383</v>
      </c>
      <c r="B1637" s="25" t="s">
        <v>12476</v>
      </c>
      <c r="C1637" s="25" t="s">
        <v>12475</v>
      </c>
      <c r="D1637" s="25" t="s">
        <v>5</v>
      </c>
    </row>
    <row r="1638" spans="1:4">
      <c r="A1638" s="70">
        <v>45383</v>
      </c>
      <c r="B1638" s="25" t="s">
        <v>12477</v>
      </c>
      <c r="C1638" s="25" t="s">
        <v>12457</v>
      </c>
      <c r="D1638" s="25" t="s">
        <v>353</v>
      </c>
    </row>
    <row r="1639" spans="1:4">
      <c r="A1639" s="70">
        <v>45383</v>
      </c>
      <c r="B1639" s="25" t="s">
        <v>12479</v>
      </c>
      <c r="C1639" s="25" t="s">
        <v>12478</v>
      </c>
      <c r="D1639" s="25" t="s">
        <v>109</v>
      </c>
    </row>
    <row r="1640" spans="1:4">
      <c r="A1640" s="70">
        <v>45383</v>
      </c>
      <c r="B1640" s="25" t="s">
        <v>12481</v>
      </c>
      <c r="C1640" s="25" t="s">
        <v>12480</v>
      </c>
      <c r="D1640" s="25" t="s">
        <v>29</v>
      </c>
    </row>
    <row r="1641" spans="1:4">
      <c r="A1641" s="70">
        <v>45383</v>
      </c>
      <c r="B1641" s="25" t="s">
        <v>12483</v>
      </c>
      <c r="C1641" s="25" t="s">
        <v>12482</v>
      </c>
      <c r="D1641" s="25" t="s">
        <v>5</v>
      </c>
    </row>
    <row r="1642" spans="1:4">
      <c r="A1642" s="70">
        <v>45383</v>
      </c>
      <c r="B1642" s="25" t="s">
        <v>12485</v>
      </c>
      <c r="C1642" s="25" t="s">
        <v>12484</v>
      </c>
      <c r="D1642" s="25" t="s">
        <v>5</v>
      </c>
    </row>
    <row r="1643" spans="1:4">
      <c r="A1643" s="70">
        <v>45384</v>
      </c>
      <c r="B1643" s="25" t="s">
        <v>12487</v>
      </c>
      <c r="C1643" s="25" t="s">
        <v>12486</v>
      </c>
      <c r="D1643" s="25" t="s">
        <v>8</v>
      </c>
    </row>
    <row r="1644" spans="1:4">
      <c r="A1644" s="70">
        <v>45384</v>
      </c>
      <c r="B1644" s="25" t="s">
        <v>12489</v>
      </c>
      <c r="C1644" s="25" t="s">
        <v>12488</v>
      </c>
      <c r="D1644" s="25" t="s">
        <v>353</v>
      </c>
    </row>
    <row r="1645" spans="1:4">
      <c r="A1645" s="70">
        <v>45384</v>
      </c>
      <c r="B1645" s="25" t="s">
        <v>12490</v>
      </c>
      <c r="C1645" s="25" t="s">
        <v>12488</v>
      </c>
      <c r="D1645" s="25" t="s">
        <v>353</v>
      </c>
    </row>
    <row r="1646" spans="1:4">
      <c r="A1646" s="70">
        <v>45384</v>
      </c>
      <c r="B1646" s="25" t="s">
        <v>12492</v>
      </c>
      <c r="C1646" s="25" t="s">
        <v>12491</v>
      </c>
      <c r="D1646" s="25" t="s">
        <v>5</v>
      </c>
    </row>
    <row r="1647" spans="1:4">
      <c r="A1647" s="70">
        <v>45384</v>
      </c>
      <c r="B1647" s="25" t="s">
        <v>12494</v>
      </c>
      <c r="C1647" s="25" t="s">
        <v>12493</v>
      </c>
      <c r="D1647" s="25" t="s">
        <v>5</v>
      </c>
    </row>
    <row r="1648" spans="1:4">
      <c r="A1648" s="70">
        <v>45384</v>
      </c>
      <c r="B1648" s="25" t="s">
        <v>12496</v>
      </c>
      <c r="C1648" s="25" t="s">
        <v>12495</v>
      </c>
      <c r="D1648" s="25" t="s">
        <v>5</v>
      </c>
    </row>
    <row r="1649" spans="1:4">
      <c r="A1649" s="70">
        <v>45385</v>
      </c>
      <c r="B1649" s="25" t="s">
        <v>12498</v>
      </c>
      <c r="C1649" s="25" t="s">
        <v>12497</v>
      </c>
      <c r="D1649" s="25" t="s">
        <v>5</v>
      </c>
    </row>
    <row r="1650" spans="1:4">
      <c r="A1650" s="70">
        <v>45385</v>
      </c>
      <c r="B1650" s="25" t="s">
        <v>10969</v>
      </c>
      <c r="C1650" s="25" t="s">
        <v>12499</v>
      </c>
      <c r="D1650" s="25" t="s">
        <v>109</v>
      </c>
    </row>
    <row r="1651" spans="1:4">
      <c r="A1651" s="70">
        <v>45385</v>
      </c>
      <c r="B1651" s="25" t="s">
        <v>12501</v>
      </c>
      <c r="C1651" s="25" t="s">
        <v>12500</v>
      </c>
      <c r="D1651" s="25" t="s">
        <v>109</v>
      </c>
    </row>
    <row r="1652" spans="1:4">
      <c r="A1652" s="70">
        <v>45385</v>
      </c>
      <c r="B1652" s="25" t="s">
        <v>12503</v>
      </c>
      <c r="C1652" s="25" t="s">
        <v>12502</v>
      </c>
      <c r="D1652" s="25" t="s">
        <v>5</v>
      </c>
    </row>
    <row r="1653" spans="1:4">
      <c r="A1653" s="70">
        <v>45385</v>
      </c>
      <c r="B1653" s="25" t="s">
        <v>12505</v>
      </c>
      <c r="C1653" s="25" t="s">
        <v>12504</v>
      </c>
      <c r="D1653" s="25" t="s">
        <v>164</v>
      </c>
    </row>
    <row r="1654" spans="1:4">
      <c r="A1654" s="70">
        <v>45385</v>
      </c>
      <c r="B1654" s="25" t="s">
        <v>11384</v>
      </c>
      <c r="C1654" s="25" t="s">
        <v>12506</v>
      </c>
      <c r="D1654" s="25" t="s">
        <v>5</v>
      </c>
    </row>
    <row r="1655" spans="1:4">
      <c r="A1655" s="70">
        <v>45385</v>
      </c>
      <c r="B1655" s="25" t="s">
        <v>12508</v>
      </c>
      <c r="C1655" s="25" t="s">
        <v>12507</v>
      </c>
      <c r="D1655" s="25" t="s">
        <v>109</v>
      </c>
    </row>
    <row r="1656" spans="1:4">
      <c r="A1656" s="70">
        <v>45385</v>
      </c>
      <c r="B1656" s="25" t="s">
        <v>11384</v>
      </c>
      <c r="C1656" s="25" t="s">
        <v>12509</v>
      </c>
      <c r="D1656" s="25" t="s">
        <v>5</v>
      </c>
    </row>
    <row r="1657" spans="1:4">
      <c r="A1657" s="70">
        <v>45385</v>
      </c>
      <c r="B1657" s="25" t="s">
        <v>12511</v>
      </c>
      <c r="C1657" s="25" t="s">
        <v>12510</v>
      </c>
      <c r="D1657" s="25" t="s">
        <v>109</v>
      </c>
    </row>
    <row r="1658" spans="1:4">
      <c r="A1658" s="70">
        <v>45385</v>
      </c>
      <c r="B1658" s="25" t="s">
        <v>12513</v>
      </c>
      <c r="C1658" s="25" t="s">
        <v>12512</v>
      </c>
      <c r="D1658" s="25" t="s">
        <v>5</v>
      </c>
    </row>
    <row r="1659" spans="1:4">
      <c r="A1659" s="70">
        <v>45385</v>
      </c>
      <c r="B1659" s="25" t="s">
        <v>10969</v>
      </c>
      <c r="C1659" s="25" t="s">
        <v>12514</v>
      </c>
      <c r="D1659" s="25" t="s">
        <v>109</v>
      </c>
    </row>
    <row r="1660" spans="1:4">
      <c r="A1660" s="70">
        <v>45385</v>
      </c>
      <c r="B1660" s="25" t="s">
        <v>12515</v>
      </c>
      <c r="C1660" s="25" t="s">
        <v>12512</v>
      </c>
      <c r="D1660" s="25" t="s">
        <v>5</v>
      </c>
    </row>
    <row r="1661" spans="1:4">
      <c r="A1661" s="70">
        <v>45385</v>
      </c>
      <c r="B1661" s="25" t="s">
        <v>12517</v>
      </c>
      <c r="C1661" s="25" t="s">
        <v>12516</v>
      </c>
      <c r="D1661" s="25" t="s">
        <v>5</v>
      </c>
    </row>
    <row r="1662" spans="1:4">
      <c r="A1662" s="70">
        <v>45385</v>
      </c>
      <c r="B1662" s="25" t="s">
        <v>12518</v>
      </c>
      <c r="C1662" s="25" t="s">
        <v>12451</v>
      </c>
      <c r="D1662" s="25" t="s">
        <v>5</v>
      </c>
    </row>
    <row r="1663" spans="1:4">
      <c r="A1663" s="70">
        <v>45385</v>
      </c>
      <c r="B1663" s="25" t="s">
        <v>12520</v>
      </c>
      <c r="C1663" s="25" t="s">
        <v>12519</v>
      </c>
      <c r="D1663" s="25" t="s">
        <v>5</v>
      </c>
    </row>
    <row r="1664" spans="1:4">
      <c r="A1664" s="70">
        <v>45385</v>
      </c>
      <c r="B1664" s="25" t="s">
        <v>12522</v>
      </c>
      <c r="C1664" s="25" t="s">
        <v>12521</v>
      </c>
      <c r="D1664" s="25" t="s">
        <v>5</v>
      </c>
    </row>
    <row r="1665" spans="1:4">
      <c r="A1665" s="70">
        <v>45386</v>
      </c>
      <c r="B1665" s="25" t="s">
        <v>12524</v>
      </c>
      <c r="C1665" s="25" t="s">
        <v>12523</v>
      </c>
      <c r="D1665" s="25" t="s">
        <v>19</v>
      </c>
    </row>
    <row r="1666" spans="1:4">
      <c r="A1666" s="70">
        <v>45386</v>
      </c>
      <c r="B1666" s="25" t="s">
        <v>12526</v>
      </c>
      <c r="C1666" s="25" t="s">
        <v>12525</v>
      </c>
      <c r="D1666" s="25" t="s">
        <v>16</v>
      </c>
    </row>
    <row r="1667" spans="1:4">
      <c r="A1667" s="70">
        <v>45386</v>
      </c>
      <c r="B1667" s="25" t="s">
        <v>12528</v>
      </c>
      <c r="C1667" s="25" t="s">
        <v>12527</v>
      </c>
      <c r="D1667" s="25" t="s">
        <v>19</v>
      </c>
    </row>
    <row r="1668" spans="1:4">
      <c r="A1668" s="70">
        <v>45387</v>
      </c>
      <c r="B1668" s="25" t="s">
        <v>12530</v>
      </c>
      <c r="C1668" s="25" t="s">
        <v>12529</v>
      </c>
      <c r="D1668" s="25" t="s">
        <v>109</v>
      </c>
    </row>
    <row r="1669" spans="1:4">
      <c r="A1669" s="70">
        <v>45387</v>
      </c>
      <c r="B1669" s="25" t="s">
        <v>12532</v>
      </c>
      <c r="C1669" s="25" t="s">
        <v>12531</v>
      </c>
      <c r="D1669" s="25" t="s">
        <v>16</v>
      </c>
    </row>
    <row r="1670" spans="1:4">
      <c r="A1670" s="70">
        <v>45387</v>
      </c>
      <c r="B1670" s="25" t="s">
        <v>12534</v>
      </c>
      <c r="C1670" s="25" t="s">
        <v>12533</v>
      </c>
      <c r="D1670" s="25" t="s">
        <v>109</v>
      </c>
    </row>
    <row r="1671" spans="1:4">
      <c r="A1671" s="70">
        <v>45387</v>
      </c>
      <c r="B1671" s="25" t="s">
        <v>12536</v>
      </c>
      <c r="C1671" s="25" t="s">
        <v>12535</v>
      </c>
      <c r="D1671" s="25" t="s">
        <v>16</v>
      </c>
    </row>
    <row r="1672" spans="1:4">
      <c r="A1672" s="70">
        <v>45390</v>
      </c>
      <c r="B1672" s="25" t="s">
        <v>12538</v>
      </c>
      <c r="C1672" s="25" t="s">
        <v>12537</v>
      </c>
      <c r="D1672" s="25" t="s">
        <v>5</v>
      </c>
    </row>
    <row r="1673" spans="1:4">
      <c r="A1673" s="70">
        <v>45390</v>
      </c>
      <c r="B1673" s="25" t="s">
        <v>12540</v>
      </c>
      <c r="C1673" s="25" t="s">
        <v>12539</v>
      </c>
      <c r="D1673" s="25" t="s">
        <v>5</v>
      </c>
    </row>
    <row r="1674" spans="1:4">
      <c r="A1674" s="70">
        <v>45390</v>
      </c>
      <c r="B1674" s="25" t="s">
        <v>12542</v>
      </c>
      <c r="C1674" s="25" t="s">
        <v>12541</v>
      </c>
      <c r="D1674" s="25" t="s">
        <v>16</v>
      </c>
    </row>
    <row r="1675" spans="1:4">
      <c r="A1675" s="70">
        <v>45390</v>
      </c>
      <c r="B1675" s="25" t="s">
        <v>12544</v>
      </c>
      <c r="C1675" s="25" t="s">
        <v>12543</v>
      </c>
      <c r="D1675" s="25" t="s">
        <v>109</v>
      </c>
    </row>
    <row r="1676" spans="1:4">
      <c r="A1676" s="70">
        <v>45390</v>
      </c>
      <c r="B1676" s="25" t="s">
        <v>12546</v>
      </c>
      <c r="C1676" s="25" t="s">
        <v>12545</v>
      </c>
      <c r="D1676" s="25" t="s">
        <v>109</v>
      </c>
    </row>
    <row r="1677" spans="1:4">
      <c r="A1677" s="70">
        <v>45390</v>
      </c>
      <c r="B1677" s="25" t="s">
        <v>12548</v>
      </c>
      <c r="C1677" s="25" t="s">
        <v>12547</v>
      </c>
      <c r="D1677" s="25" t="s">
        <v>109</v>
      </c>
    </row>
    <row r="1678" spans="1:4">
      <c r="A1678" s="70">
        <v>45391</v>
      </c>
      <c r="B1678" s="25" t="s">
        <v>12550</v>
      </c>
      <c r="C1678" s="25" t="s">
        <v>12549</v>
      </c>
      <c r="D1678" s="25" t="s">
        <v>109</v>
      </c>
    </row>
    <row r="1679" spans="1:4">
      <c r="A1679" s="70">
        <v>45391</v>
      </c>
      <c r="B1679" s="25" t="s">
        <v>12552</v>
      </c>
      <c r="C1679" s="25" t="s">
        <v>12551</v>
      </c>
      <c r="D1679" s="25" t="s">
        <v>109</v>
      </c>
    </row>
    <row r="1680" spans="1:4">
      <c r="A1680" s="70">
        <v>45391</v>
      </c>
      <c r="B1680" s="57" t="s">
        <v>12553</v>
      </c>
      <c r="C1680" s="25" t="s">
        <v>12543</v>
      </c>
      <c r="D1680" s="25" t="s">
        <v>109</v>
      </c>
    </row>
    <row r="1681" spans="1:4">
      <c r="A1681" s="70">
        <v>45392</v>
      </c>
      <c r="B1681" s="25" t="s">
        <v>12555</v>
      </c>
      <c r="C1681" s="25" t="s">
        <v>12554</v>
      </c>
      <c r="D1681" s="25" t="s">
        <v>216</v>
      </c>
    </row>
    <row r="1682" spans="1:4">
      <c r="A1682" s="70">
        <v>45392</v>
      </c>
      <c r="B1682" s="25" t="s">
        <v>12557</v>
      </c>
      <c r="C1682" s="25" t="s">
        <v>12556</v>
      </c>
      <c r="D1682" s="25" t="s">
        <v>216</v>
      </c>
    </row>
    <row r="1683" spans="1:4">
      <c r="A1683" s="70">
        <v>45392</v>
      </c>
      <c r="B1683" s="25" t="s">
        <v>12559</v>
      </c>
      <c r="C1683" s="25" t="s">
        <v>12558</v>
      </c>
      <c r="D1683" s="25" t="s">
        <v>5</v>
      </c>
    </row>
    <row r="1684" spans="1:4">
      <c r="A1684" s="70">
        <v>45392</v>
      </c>
      <c r="B1684" s="25" t="s">
        <v>12561</v>
      </c>
      <c r="C1684" s="25" t="s">
        <v>12560</v>
      </c>
      <c r="D1684" s="25" t="s">
        <v>16</v>
      </c>
    </row>
    <row r="1685" spans="1:4">
      <c r="A1685" s="70">
        <v>45392</v>
      </c>
      <c r="B1685" s="25" t="s">
        <v>12563</v>
      </c>
      <c r="C1685" s="25" t="s">
        <v>12562</v>
      </c>
      <c r="D1685" s="25" t="s">
        <v>5</v>
      </c>
    </row>
    <row r="1686" spans="1:4">
      <c r="A1686" s="70">
        <v>45393</v>
      </c>
      <c r="B1686" s="25" t="s">
        <v>12565</v>
      </c>
      <c r="C1686" s="25" t="s">
        <v>12564</v>
      </c>
      <c r="D1686" s="25" t="s">
        <v>29</v>
      </c>
    </row>
    <row r="1687" spans="1:4">
      <c r="A1687" s="70">
        <v>45393</v>
      </c>
      <c r="B1687" s="25" t="s">
        <v>12567</v>
      </c>
      <c r="C1687" s="25" t="s">
        <v>12566</v>
      </c>
      <c r="D1687" s="25" t="s">
        <v>109</v>
      </c>
    </row>
    <row r="1688" spans="1:4">
      <c r="A1688" s="70">
        <v>45393</v>
      </c>
      <c r="B1688" s="57" t="s">
        <v>12569</v>
      </c>
      <c r="C1688" s="25" t="s">
        <v>12568</v>
      </c>
      <c r="D1688" s="25" t="s">
        <v>29</v>
      </c>
    </row>
    <row r="1689" spans="1:4">
      <c r="A1689" s="70">
        <v>45395</v>
      </c>
      <c r="B1689" s="25" t="s">
        <v>12571</v>
      </c>
      <c r="C1689" s="25" t="s">
        <v>12570</v>
      </c>
      <c r="D1689" s="25" t="s">
        <v>11</v>
      </c>
    </row>
    <row r="1690" spans="1:4">
      <c r="A1690" s="70">
        <v>45395</v>
      </c>
      <c r="B1690" s="25" t="s">
        <v>12572</v>
      </c>
      <c r="C1690" s="25" t="s">
        <v>12570</v>
      </c>
      <c r="D1690" s="25" t="s">
        <v>11</v>
      </c>
    </row>
    <row r="1691" spans="1:4">
      <c r="A1691" s="70">
        <v>45395</v>
      </c>
      <c r="B1691" s="25" t="s">
        <v>12573</v>
      </c>
      <c r="C1691" s="25" t="s">
        <v>12570</v>
      </c>
      <c r="D1691" s="25" t="s">
        <v>11</v>
      </c>
    </row>
    <row r="1692" spans="1:4">
      <c r="A1692" s="70">
        <v>45397</v>
      </c>
      <c r="B1692" s="25" t="s">
        <v>12574</v>
      </c>
      <c r="C1692" s="25" t="s">
        <v>12547</v>
      </c>
      <c r="D1692" s="25" t="s">
        <v>109</v>
      </c>
    </row>
    <row r="1693" spans="1:4">
      <c r="A1693" s="70">
        <v>45397</v>
      </c>
      <c r="B1693" s="25" t="s">
        <v>12576</v>
      </c>
      <c r="C1693" s="25" t="s">
        <v>12575</v>
      </c>
      <c r="D1693" s="25" t="s">
        <v>109</v>
      </c>
    </row>
    <row r="1694" spans="1:4">
      <c r="A1694" s="70">
        <v>45398</v>
      </c>
      <c r="B1694" s="25" t="s">
        <v>12578</v>
      </c>
      <c r="C1694" s="25" t="s">
        <v>12577</v>
      </c>
      <c r="D1694" s="25" t="s">
        <v>81</v>
      </c>
    </row>
    <row r="1695" spans="1:4">
      <c r="A1695" s="70">
        <v>45398</v>
      </c>
      <c r="B1695" s="25" t="s">
        <v>12579</v>
      </c>
      <c r="C1695" s="25" t="s">
        <v>592</v>
      </c>
      <c r="D1695" s="25" t="s">
        <v>81</v>
      </c>
    </row>
    <row r="1696" spans="1:4">
      <c r="A1696" s="70">
        <v>45398</v>
      </c>
      <c r="B1696" s="25" t="s">
        <v>12580</v>
      </c>
      <c r="C1696" s="25" t="s">
        <v>592</v>
      </c>
      <c r="D1696" s="25" t="s">
        <v>81</v>
      </c>
    </row>
    <row r="1697" spans="1:4">
      <c r="A1697" s="70">
        <v>45399</v>
      </c>
      <c r="B1697" s="25" t="s">
        <v>12582</v>
      </c>
      <c r="C1697" s="25" t="s">
        <v>12581</v>
      </c>
      <c r="D1697" s="25" t="s">
        <v>16</v>
      </c>
    </row>
    <row r="1698" spans="1:4">
      <c r="A1698" s="70">
        <v>45399</v>
      </c>
      <c r="B1698" s="25" t="s">
        <v>12584</v>
      </c>
      <c r="C1698" s="25" t="s">
        <v>12583</v>
      </c>
      <c r="D1698" s="25" t="s">
        <v>11</v>
      </c>
    </row>
    <row r="1699" spans="1:4">
      <c r="A1699" s="70">
        <v>45400</v>
      </c>
      <c r="B1699" s="25" t="s">
        <v>12586</v>
      </c>
      <c r="C1699" s="25" t="s">
        <v>12585</v>
      </c>
      <c r="D1699" s="25" t="s">
        <v>5</v>
      </c>
    </row>
    <row r="1700" spans="1:4">
      <c r="A1700" s="70">
        <v>45400</v>
      </c>
      <c r="B1700" s="25" t="s">
        <v>12588</v>
      </c>
      <c r="C1700" s="25" t="s">
        <v>12587</v>
      </c>
      <c r="D1700" s="25" t="s">
        <v>16</v>
      </c>
    </row>
    <row r="1701" spans="1:4">
      <c r="A1701" s="70">
        <v>45400</v>
      </c>
      <c r="B1701" s="25" t="s">
        <v>12589</v>
      </c>
      <c r="C1701" s="25" t="s">
        <v>12587</v>
      </c>
      <c r="D1701" s="25" t="s">
        <v>16</v>
      </c>
    </row>
    <row r="1702" spans="1:4">
      <c r="A1702" s="70">
        <v>45400</v>
      </c>
      <c r="B1702" s="25" t="s">
        <v>12591</v>
      </c>
      <c r="C1702" s="25" t="s">
        <v>12590</v>
      </c>
      <c r="D1702" s="25" t="s">
        <v>19</v>
      </c>
    </row>
    <row r="1703" spans="1:4">
      <c r="A1703" s="70">
        <v>45400</v>
      </c>
      <c r="B1703" s="25" t="s">
        <v>12593</v>
      </c>
      <c r="C1703" s="25" t="s">
        <v>12592</v>
      </c>
      <c r="D1703" s="25" t="s">
        <v>216</v>
      </c>
    </row>
    <row r="1704" spans="1:4">
      <c r="A1704" s="70">
        <v>45400</v>
      </c>
      <c r="B1704" s="25" t="s">
        <v>12595</v>
      </c>
      <c r="C1704" s="25" t="s">
        <v>12594</v>
      </c>
      <c r="D1704" s="25" t="s">
        <v>19</v>
      </c>
    </row>
    <row r="1705" spans="1:4">
      <c r="A1705" s="70">
        <v>45400</v>
      </c>
      <c r="B1705" s="25" t="s">
        <v>12597</v>
      </c>
      <c r="C1705" s="25" t="s">
        <v>12596</v>
      </c>
      <c r="D1705" s="25" t="s">
        <v>19</v>
      </c>
    </row>
    <row r="1706" spans="1:4">
      <c r="A1706" s="70">
        <v>45400</v>
      </c>
      <c r="B1706" s="25" t="s">
        <v>12599</v>
      </c>
      <c r="C1706" s="25" t="s">
        <v>12598</v>
      </c>
      <c r="D1706" s="25" t="s">
        <v>19</v>
      </c>
    </row>
    <row r="1707" spans="1:4">
      <c r="A1707" s="70">
        <v>45401</v>
      </c>
      <c r="B1707" s="25" t="s">
        <v>12601</v>
      </c>
      <c r="C1707" s="25" t="s">
        <v>12600</v>
      </c>
      <c r="D1707" s="25" t="s">
        <v>19</v>
      </c>
    </row>
    <row r="1708" spans="1:4">
      <c r="A1708" s="70">
        <v>45401</v>
      </c>
      <c r="B1708" s="25" t="s">
        <v>12603</v>
      </c>
      <c r="C1708" s="25" t="s">
        <v>12602</v>
      </c>
      <c r="D1708" s="25" t="s">
        <v>19</v>
      </c>
    </row>
    <row r="1709" spans="1:4">
      <c r="A1709" s="70">
        <v>45401</v>
      </c>
      <c r="B1709" s="25" t="s">
        <v>12605</v>
      </c>
      <c r="C1709" s="25" t="s">
        <v>12604</v>
      </c>
      <c r="D1709" s="25" t="s">
        <v>19</v>
      </c>
    </row>
    <row r="1710" spans="1:4">
      <c r="A1710" s="70">
        <v>45402</v>
      </c>
      <c r="B1710" s="25" t="s">
        <v>12607</v>
      </c>
      <c r="C1710" s="25" t="s">
        <v>12606</v>
      </c>
      <c r="D1710" s="25" t="s">
        <v>19</v>
      </c>
    </row>
    <row r="1711" spans="1:4">
      <c r="A1711" s="70">
        <v>45404</v>
      </c>
      <c r="B1711" s="25" t="s">
        <v>12609</v>
      </c>
      <c r="C1711" s="25" t="s">
        <v>12608</v>
      </c>
      <c r="D1711" s="25" t="s">
        <v>16</v>
      </c>
    </row>
    <row r="1712" spans="1:4">
      <c r="A1712" s="70">
        <v>45404</v>
      </c>
      <c r="B1712" s="25" t="s">
        <v>12611</v>
      </c>
      <c r="C1712" s="25" t="s">
        <v>12610</v>
      </c>
      <c r="D1712" s="25" t="s">
        <v>24</v>
      </c>
    </row>
    <row r="1713" spans="1:4">
      <c r="A1713" s="70">
        <v>45405</v>
      </c>
      <c r="B1713" s="25" t="s">
        <v>12613</v>
      </c>
      <c r="C1713" s="25" t="s">
        <v>12612</v>
      </c>
      <c r="D1713" s="25" t="s">
        <v>594</v>
      </c>
    </row>
    <row r="1714" spans="1:4">
      <c r="A1714" s="70">
        <v>45386</v>
      </c>
      <c r="B1714" s="25" t="s">
        <v>12614</v>
      </c>
      <c r="C1714" s="25" t="s">
        <v>11752</v>
      </c>
      <c r="D1714" s="25" t="s">
        <v>5</v>
      </c>
    </row>
    <row r="1715" spans="1:4">
      <c r="A1715" s="70">
        <v>45386</v>
      </c>
      <c r="B1715" s="25" t="s">
        <v>12616</v>
      </c>
      <c r="C1715" s="25" t="s">
        <v>12615</v>
      </c>
      <c r="D1715" s="25" t="s">
        <v>34</v>
      </c>
    </row>
    <row r="1716" spans="1:4">
      <c r="A1716" s="70">
        <v>45386</v>
      </c>
      <c r="B1716" s="25" t="s">
        <v>12618</v>
      </c>
      <c r="C1716" s="25" t="s">
        <v>12617</v>
      </c>
      <c r="D1716" s="25" t="s">
        <v>141</v>
      </c>
    </row>
    <row r="1717" spans="1:4">
      <c r="A1717" s="70">
        <v>45387</v>
      </c>
      <c r="B1717" s="25" t="s">
        <v>12620</v>
      </c>
      <c r="C1717" s="25" t="s">
        <v>12619</v>
      </c>
      <c r="D1717" s="25" t="s">
        <v>24</v>
      </c>
    </row>
    <row r="1718" spans="1:4">
      <c r="A1718" s="70">
        <v>45388</v>
      </c>
      <c r="B1718" s="25" t="s">
        <v>12622</v>
      </c>
      <c r="C1718" s="25" t="s">
        <v>12621</v>
      </c>
      <c r="D1718" s="25" t="s">
        <v>141</v>
      </c>
    </row>
    <row r="1719" spans="1:4">
      <c r="A1719" s="70">
        <v>45390</v>
      </c>
      <c r="B1719" s="25" t="s">
        <v>12624</v>
      </c>
      <c r="C1719" s="25" t="s">
        <v>12623</v>
      </c>
      <c r="D1719" s="25" t="s">
        <v>19</v>
      </c>
    </row>
    <row r="1720" spans="1:4">
      <c r="A1720" s="70">
        <v>45390</v>
      </c>
      <c r="B1720" s="25" t="s">
        <v>12626</v>
      </c>
      <c r="C1720" s="25" t="s">
        <v>12625</v>
      </c>
      <c r="D1720" s="25" t="s">
        <v>19</v>
      </c>
    </row>
    <row r="1721" spans="1:4">
      <c r="A1721" s="70">
        <v>45390</v>
      </c>
      <c r="B1721" s="25" t="s">
        <v>12628</v>
      </c>
      <c r="C1721" s="25" t="s">
        <v>12627</v>
      </c>
      <c r="D1721" s="25" t="s">
        <v>19</v>
      </c>
    </row>
    <row r="1722" spans="1:4">
      <c r="A1722" s="70">
        <v>45391</v>
      </c>
      <c r="B1722" s="25" t="s">
        <v>12630</v>
      </c>
      <c r="C1722" s="25" t="s">
        <v>12629</v>
      </c>
      <c r="D1722" s="25" t="s">
        <v>164</v>
      </c>
    </row>
    <row r="1723" spans="1:4">
      <c r="A1723" s="70">
        <v>45391</v>
      </c>
      <c r="B1723" s="25" t="s">
        <v>12632</v>
      </c>
      <c r="C1723" s="25" t="s">
        <v>12631</v>
      </c>
      <c r="D1723" s="25" t="s">
        <v>74</v>
      </c>
    </row>
    <row r="1724" spans="1:4">
      <c r="A1724" s="70">
        <v>45391</v>
      </c>
      <c r="B1724" s="25" t="s">
        <v>12634</v>
      </c>
      <c r="C1724" s="25" t="s">
        <v>12633</v>
      </c>
      <c r="D1724" s="25" t="s">
        <v>74</v>
      </c>
    </row>
    <row r="1725" spans="1:4">
      <c r="A1725" s="70">
        <v>45392</v>
      </c>
      <c r="B1725" s="25" t="s">
        <v>12636</v>
      </c>
      <c r="C1725" s="25" t="s">
        <v>12635</v>
      </c>
      <c r="D1725" s="25" t="s">
        <v>29</v>
      </c>
    </row>
    <row r="1726" spans="1:4">
      <c r="A1726" s="70">
        <v>45392</v>
      </c>
      <c r="B1726" s="25" t="s">
        <v>12638</v>
      </c>
      <c r="C1726" s="25" t="s">
        <v>12637</v>
      </c>
      <c r="D1726" s="25" t="s">
        <v>353</v>
      </c>
    </row>
    <row r="1727" spans="1:4">
      <c r="A1727" s="70">
        <v>45392</v>
      </c>
      <c r="B1727" s="25" t="s">
        <v>12639</v>
      </c>
      <c r="C1727" s="25" t="s">
        <v>11528</v>
      </c>
      <c r="D1727" s="25" t="s">
        <v>353</v>
      </c>
    </row>
    <row r="1728" spans="1:4">
      <c r="A1728" s="70">
        <v>45392</v>
      </c>
      <c r="B1728" s="25" t="s">
        <v>12641</v>
      </c>
      <c r="C1728" s="25" t="s">
        <v>12640</v>
      </c>
      <c r="D1728" s="25" t="s">
        <v>109</v>
      </c>
    </row>
    <row r="1729" spans="1:4">
      <c r="A1729" s="70">
        <v>45393</v>
      </c>
      <c r="B1729" s="25" t="s">
        <v>12643</v>
      </c>
      <c r="C1729" s="25" t="s">
        <v>12642</v>
      </c>
      <c r="D1729" s="25" t="s">
        <v>5</v>
      </c>
    </row>
    <row r="1730" spans="1:4">
      <c r="A1730" s="70">
        <v>45393</v>
      </c>
      <c r="B1730" s="25" t="s">
        <v>12645</v>
      </c>
      <c r="C1730" s="25" t="s">
        <v>12644</v>
      </c>
      <c r="D1730" s="25" t="s">
        <v>5</v>
      </c>
    </row>
    <row r="1731" spans="1:4">
      <c r="A1731" s="70">
        <v>45393</v>
      </c>
      <c r="B1731" s="25" t="s">
        <v>12647</v>
      </c>
      <c r="C1731" s="25" t="s">
        <v>12646</v>
      </c>
      <c r="D1731" s="25" t="s">
        <v>5</v>
      </c>
    </row>
    <row r="1732" spans="1:4">
      <c r="A1732" s="70">
        <v>45393</v>
      </c>
      <c r="B1732" s="25" t="s">
        <v>12649</v>
      </c>
      <c r="C1732" s="25" t="s">
        <v>12648</v>
      </c>
      <c r="D1732" s="25" t="s">
        <v>5</v>
      </c>
    </row>
    <row r="1733" spans="1:4">
      <c r="A1733" s="70">
        <v>45394</v>
      </c>
      <c r="B1733" s="25" t="s">
        <v>12651</v>
      </c>
      <c r="C1733" s="25" t="s">
        <v>12650</v>
      </c>
      <c r="D1733" s="25" t="s">
        <v>11</v>
      </c>
    </row>
    <row r="1734" spans="1:4">
      <c r="A1734" s="70">
        <v>45395</v>
      </c>
      <c r="B1734" s="25" t="s">
        <v>12653</v>
      </c>
      <c r="C1734" s="25" t="s">
        <v>12652</v>
      </c>
      <c r="D1734" s="25" t="s">
        <v>5</v>
      </c>
    </row>
    <row r="1735" spans="1:4">
      <c r="A1735" s="70">
        <v>45395</v>
      </c>
      <c r="B1735" s="25" t="s">
        <v>12655</v>
      </c>
      <c r="C1735" s="25" t="s">
        <v>12654</v>
      </c>
      <c r="D1735" s="25" t="s">
        <v>5</v>
      </c>
    </row>
    <row r="1736" spans="1:4">
      <c r="A1736" s="70">
        <v>45397</v>
      </c>
      <c r="B1736" s="25" t="s">
        <v>12657</v>
      </c>
      <c r="C1736" s="25" t="s">
        <v>12656</v>
      </c>
      <c r="D1736" s="25" t="s">
        <v>109</v>
      </c>
    </row>
    <row r="1737" spans="1:4">
      <c r="A1737" s="70">
        <v>45397</v>
      </c>
      <c r="B1737" s="25" t="s">
        <v>12659</v>
      </c>
      <c r="C1737" s="25" t="s">
        <v>12658</v>
      </c>
      <c r="D1737" s="25" t="s">
        <v>109</v>
      </c>
    </row>
    <row r="1738" spans="1:4">
      <c r="A1738" s="70">
        <v>45398</v>
      </c>
      <c r="B1738" s="25" t="s">
        <v>12661</v>
      </c>
      <c r="C1738" s="25" t="s">
        <v>12660</v>
      </c>
      <c r="D1738" s="25" t="s">
        <v>74</v>
      </c>
    </row>
    <row r="1739" spans="1:4">
      <c r="A1739" s="70">
        <v>45398</v>
      </c>
      <c r="B1739" s="25" t="s">
        <v>12663</v>
      </c>
      <c r="C1739" s="25" t="s">
        <v>12662</v>
      </c>
      <c r="D1739" s="25" t="s">
        <v>74</v>
      </c>
    </row>
    <row r="1740" spans="1:4">
      <c r="A1740" s="70">
        <v>45398</v>
      </c>
      <c r="B1740" s="25" t="s">
        <v>12665</v>
      </c>
      <c r="C1740" s="25" t="s">
        <v>12664</v>
      </c>
      <c r="D1740" s="25" t="s">
        <v>353</v>
      </c>
    </row>
    <row r="1741" spans="1:4">
      <c r="A1741" s="70">
        <v>45398</v>
      </c>
      <c r="B1741" s="25" t="s">
        <v>12667</v>
      </c>
      <c r="C1741" s="25" t="s">
        <v>12666</v>
      </c>
      <c r="D1741" s="25" t="s">
        <v>109</v>
      </c>
    </row>
    <row r="1742" spans="1:4">
      <c r="A1742" s="70">
        <v>45399</v>
      </c>
      <c r="B1742" s="25" t="s">
        <v>12669</v>
      </c>
      <c r="C1742" s="25" t="s">
        <v>12668</v>
      </c>
      <c r="D1742" s="25" t="s">
        <v>216</v>
      </c>
    </row>
    <row r="1743" spans="1:4">
      <c r="A1743" s="70">
        <v>45399</v>
      </c>
      <c r="B1743" s="25" t="s">
        <v>12671</v>
      </c>
      <c r="C1743" s="25" t="s">
        <v>12670</v>
      </c>
      <c r="D1743" s="25" t="s">
        <v>19</v>
      </c>
    </row>
    <row r="1744" spans="1:4">
      <c r="A1744" s="70">
        <v>45399</v>
      </c>
      <c r="B1744" s="25" t="s">
        <v>12673</v>
      </c>
      <c r="C1744" s="25" t="s">
        <v>12672</v>
      </c>
      <c r="D1744" s="25" t="s">
        <v>11</v>
      </c>
    </row>
    <row r="1745" spans="1:4">
      <c r="A1745" s="70">
        <v>45401</v>
      </c>
      <c r="B1745" s="25" t="s">
        <v>12675</v>
      </c>
      <c r="C1745" s="25" t="s">
        <v>12674</v>
      </c>
      <c r="D1745" s="25" t="s">
        <v>141</v>
      </c>
    </row>
    <row r="1746" spans="1:4">
      <c r="A1746" s="70">
        <v>45401</v>
      </c>
      <c r="B1746" s="25" t="s">
        <v>12677</v>
      </c>
      <c r="C1746" s="25" t="s">
        <v>12676</v>
      </c>
      <c r="D1746" s="25" t="s">
        <v>141</v>
      </c>
    </row>
    <row r="1747" spans="1:4">
      <c r="A1747" s="70">
        <v>45403</v>
      </c>
      <c r="B1747" s="25" t="s">
        <v>10969</v>
      </c>
      <c r="C1747" s="25" t="s">
        <v>12678</v>
      </c>
      <c r="D1747" s="25" t="s">
        <v>29</v>
      </c>
    </row>
    <row r="1748" spans="1:4">
      <c r="A1748" s="70">
        <v>45404</v>
      </c>
      <c r="B1748" s="25" t="s">
        <v>12680</v>
      </c>
      <c r="C1748" s="25" t="s">
        <v>12679</v>
      </c>
      <c r="D1748" s="25" t="s">
        <v>5</v>
      </c>
    </row>
    <row r="1749" spans="1:4">
      <c r="A1749" s="70">
        <v>45405</v>
      </c>
      <c r="B1749" s="25" t="s">
        <v>12682</v>
      </c>
      <c r="C1749" s="25" t="s">
        <v>12681</v>
      </c>
      <c r="D1749" s="25" t="s">
        <v>345</v>
      </c>
    </row>
    <row r="1750" spans="1:4">
      <c r="A1750" s="70">
        <v>45405</v>
      </c>
      <c r="B1750" s="25" t="s">
        <v>12684</v>
      </c>
      <c r="C1750" s="25" t="s">
        <v>12683</v>
      </c>
      <c r="D1750" s="25" t="s">
        <v>19</v>
      </c>
    </row>
    <row r="1751" spans="1:4">
      <c r="A1751" s="70">
        <v>45387</v>
      </c>
      <c r="B1751" s="25" t="s">
        <v>12686</v>
      </c>
      <c r="C1751" s="25" t="s">
        <v>12685</v>
      </c>
      <c r="D1751" s="25" t="s">
        <v>109</v>
      </c>
    </row>
    <row r="1752" spans="1:4">
      <c r="A1752" s="61">
        <v>45352</v>
      </c>
      <c r="B1752" s="36" t="s">
        <v>12688</v>
      </c>
      <c r="C1752" s="36" t="s">
        <v>12687</v>
      </c>
      <c r="D1752" s="36" t="s">
        <v>5</v>
      </c>
    </row>
    <row r="1753" spans="1:4">
      <c r="A1753" s="70">
        <v>45392</v>
      </c>
      <c r="B1753" s="25" t="s">
        <v>12690</v>
      </c>
      <c r="C1753" s="25" t="s">
        <v>12689</v>
      </c>
      <c r="D1753" s="25" t="s">
        <v>16</v>
      </c>
    </row>
    <row r="1754" spans="1:4">
      <c r="A1754" s="70">
        <v>45392</v>
      </c>
      <c r="B1754" s="25" t="s">
        <v>12692</v>
      </c>
      <c r="C1754" s="25" t="s">
        <v>12691</v>
      </c>
      <c r="D1754" s="25" t="s">
        <v>5</v>
      </c>
    </row>
    <row r="1755" spans="1:4">
      <c r="A1755" s="58">
        <v>45392</v>
      </c>
      <c r="B1755" s="34" t="s">
        <v>12694</v>
      </c>
      <c r="C1755" s="25" t="s">
        <v>12693</v>
      </c>
      <c r="D1755" s="25" t="s">
        <v>74</v>
      </c>
    </row>
    <row r="1756" spans="1:4">
      <c r="A1756" s="58">
        <v>45392</v>
      </c>
      <c r="B1756" s="34" t="s">
        <v>12696</v>
      </c>
      <c r="C1756" s="25" t="s">
        <v>12695</v>
      </c>
      <c r="D1756" s="25" t="s">
        <v>5</v>
      </c>
    </row>
    <row r="1757" spans="1:4">
      <c r="A1757" s="58">
        <v>45392</v>
      </c>
      <c r="B1757" s="34" t="s">
        <v>12698</v>
      </c>
      <c r="C1757" s="25" t="s">
        <v>12697</v>
      </c>
      <c r="D1757" s="25" t="s">
        <v>353</v>
      </c>
    </row>
    <row r="1758" spans="1:4">
      <c r="A1758" s="58">
        <v>45393</v>
      </c>
      <c r="B1758" s="34" t="s">
        <v>12700</v>
      </c>
      <c r="C1758" s="25" t="s">
        <v>12699</v>
      </c>
      <c r="D1758" s="25" t="s">
        <v>5</v>
      </c>
    </row>
    <row r="1759" spans="1:4">
      <c r="A1759" s="58">
        <v>45393</v>
      </c>
      <c r="B1759" s="34" t="s">
        <v>12702</v>
      </c>
      <c r="C1759" s="25" t="s">
        <v>12701</v>
      </c>
      <c r="D1759" s="25" t="s">
        <v>8</v>
      </c>
    </row>
    <row r="1760" spans="1:4">
      <c r="A1760" s="61">
        <v>45350</v>
      </c>
      <c r="B1760" s="36" t="s">
        <v>11360</v>
      </c>
      <c r="C1760" s="36" t="s">
        <v>11359</v>
      </c>
      <c r="D1760" s="36" t="s">
        <v>5</v>
      </c>
    </row>
    <row r="1761" spans="1:4">
      <c r="A1761" s="58">
        <v>45394</v>
      </c>
      <c r="B1761" s="34" t="s">
        <v>12704</v>
      </c>
      <c r="C1761" s="25" t="s">
        <v>12703</v>
      </c>
      <c r="D1761" s="25" t="s">
        <v>345</v>
      </c>
    </row>
    <row r="1762" spans="1:4">
      <c r="A1762" s="58">
        <v>45394</v>
      </c>
      <c r="B1762" s="34" t="s">
        <v>12706</v>
      </c>
      <c r="C1762" s="25" t="s">
        <v>12705</v>
      </c>
      <c r="D1762" s="25" t="s">
        <v>11</v>
      </c>
    </row>
    <row r="1763" spans="1:4">
      <c r="A1763" s="58">
        <v>45394</v>
      </c>
      <c r="B1763" s="34" t="s">
        <v>12708</v>
      </c>
      <c r="C1763" s="25" t="s">
        <v>12707</v>
      </c>
      <c r="D1763" s="25" t="s">
        <v>11</v>
      </c>
    </row>
    <row r="1764" spans="1:4">
      <c r="A1764" s="58">
        <v>45394</v>
      </c>
      <c r="B1764" s="34" t="s">
        <v>12710</v>
      </c>
      <c r="C1764" s="25" t="s">
        <v>12709</v>
      </c>
      <c r="D1764" s="25" t="s">
        <v>109</v>
      </c>
    </row>
    <row r="1765" spans="1:4">
      <c r="A1765" s="58">
        <v>45401</v>
      </c>
      <c r="B1765" s="34" t="s">
        <v>12712</v>
      </c>
      <c r="C1765" s="25" t="s">
        <v>12711</v>
      </c>
      <c r="D1765" s="25" t="s">
        <v>109</v>
      </c>
    </row>
    <row r="1766" spans="1:4">
      <c r="A1766" s="58">
        <v>45401</v>
      </c>
      <c r="B1766" s="34" t="s">
        <v>12714</v>
      </c>
      <c r="C1766" s="25" t="s">
        <v>12713</v>
      </c>
      <c r="D1766" s="25" t="s">
        <v>109</v>
      </c>
    </row>
    <row r="1767" spans="1:4">
      <c r="A1767" s="58">
        <v>45405</v>
      </c>
      <c r="B1767" s="34" t="s">
        <v>12716</v>
      </c>
      <c r="C1767" s="25" t="s">
        <v>12715</v>
      </c>
      <c r="D1767" s="25" t="s">
        <v>5</v>
      </c>
    </row>
    <row r="1768" spans="1:4">
      <c r="A1768" s="58">
        <v>45386</v>
      </c>
      <c r="B1768" s="34" t="s">
        <v>10969</v>
      </c>
      <c r="C1768" s="25" t="s">
        <v>12717</v>
      </c>
      <c r="D1768" s="25" t="s">
        <v>74</v>
      </c>
    </row>
    <row r="1769" spans="1:4">
      <c r="A1769" s="58">
        <v>45386</v>
      </c>
      <c r="B1769" s="34" t="s">
        <v>10969</v>
      </c>
      <c r="C1769" s="25" t="s">
        <v>12718</v>
      </c>
      <c r="D1769" s="25" t="s">
        <v>74</v>
      </c>
    </row>
    <row r="1770" spans="1:4">
      <c r="A1770" s="58">
        <v>45386</v>
      </c>
      <c r="B1770" s="34" t="s">
        <v>10969</v>
      </c>
      <c r="C1770" s="25" t="s">
        <v>12719</v>
      </c>
      <c r="D1770" s="25" t="s">
        <v>109</v>
      </c>
    </row>
    <row r="1771" spans="1:4">
      <c r="A1771" s="58">
        <v>45386</v>
      </c>
      <c r="B1771" s="34" t="s">
        <v>12721</v>
      </c>
      <c r="C1771" s="25" t="s">
        <v>12720</v>
      </c>
      <c r="D1771" s="25" t="s">
        <v>11</v>
      </c>
    </row>
    <row r="1772" spans="1:4">
      <c r="A1772" s="58">
        <v>45386</v>
      </c>
      <c r="B1772" s="34" t="s">
        <v>12723</v>
      </c>
      <c r="C1772" s="25" t="s">
        <v>12722</v>
      </c>
      <c r="D1772" s="25" t="s">
        <v>29</v>
      </c>
    </row>
    <row r="1773" spans="1:4">
      <c r="A1773" s="58">
        <v>45386</v>
      </c>
      <c r="B1773" s="34" t="s">
        <v>10969</v>
      </c>
      <c r="C1773" s="25" t="s">
        <v>12719</v>
      </c>
      <c r="D1773" s="25" t="s">
        <v>109</v>
      </c>
    </row>
    <row r="1774" spans="1:4">
      <c r="A1774" s="58">
        <v>45386</v>
      </c>
      <c r="B1774" s="34" t="s">
        <v>10969</v>
      </c>
      <c r="C1774" s="25" t="s">
        <v>12724</v>
      </c>
      <c r="D1774" s="25" t="s">
        <v>74</v>
      </c>
    </row>
    <row r="1775" spans="1:4">
      <c r="A1775" s="58">
        <v>45386</v>
      </c>
      <c r="B1775" s="34" t="s">
        <v>12725</v>
      </c>
      <c r="C1775" s="25" t="s">
        <v>12720</v>
      </c>
      <c r="D1775" s="25" t="s">
        <v>11</v>
      </c>
    </row>
    <row r="1776" spans="1:4">
      <c r="A1776" s="58">
        <v>45387</v>
      </c>
      <c r="B1776" s="34" t="s">
        <v>12727</v>
      </c>
      <c r="C1776" s="25" t="s">
        <v>12726</v>
      </c>
      <c r="D1776" s="25" t="s">
        <v>29</v>
      </c>
    </row>
    <row r="1777" spans="1:4">
      <c r="A1777" s="58">
        <v>45387</v>
      </c>
      <c r="B1777" s="34" t="s">
        <v>12729</v>
      </c>
      <c r="C1777" s="25" t="s">
        <v>12728</v>
      </c>
      <c r="D1777" s="25" t="s">
        <v>510</v>
      </c>
    </row>
    <row r="1778" spans="1:4">
      <c r="A1778" s="58">
        <v>45387</v>
      </c>
      <c r="B1778" s="34" t="s">
        <v>12731</v>
      </c>
      <c r="C1778" s="25" t="s">
        <v>12730</v>
      </c>
      <c r="D1778" s="25" t="s">
        <v>510</v>
      </c>
    </row>
    <row r="1779" spans="1:4">
      <c r="A1779" s="58">
        <v>45387</v>
      </c>
      <c r="B1779" s="34" t="s">
        <v>12733</v>
      </c>
      <c r="C1779" s="25" t="s">
        <v>12732</v>
      </c>
      <c r="D1779" s="25" t="s">
        <v>510</v>
      </c>
    </row>
    <row r="1780" spans="1:4">
      <c r="A1780" s="58">
        <v>45387</v>
      </c>
      <c r="B1780" s="34" t="s">
        <v>12735</v>
      </c>
      <c r="C1780" s="25" t="s">
        <v>12734</v>
      </c>
      <c r="D1780" s="25" t="s">
        <v>19</v>
      </c>
    </row>
    <row r="1781" spans="1:4">
      <c r="A1781" s="58">
        <v>45389</v>
      </c>
      <c r="B1781" s="34" t="s">
        <v>12737</v>
      </c>
      <c r="C1781" s="25" t="s">
        <v>12736</v>
      </c>
      <c r="D1781" s="25" t="s">
        <v>29</v>
      </c>
    </row>
    <row r="1782" spans="1:4">
      <c r="A1782" s="58">
        <v>45389</v>
      </c>
      <c r="B1782" s="34" t="s">
        <v>12739</v>
      </c>
      <c r="C1782" s="25" t="s">
        <v>12738</v>
      </c>
      <c r="D1782" s="25" t="s">
        <v>510</v>
      </c>
    </row>
    <row r="1783" spans="1:4">
      <c r="A1783" s="58">
        <v>45390</v>
      </c>
      <c r="B1783" s="34" t="s">
        <v>12741</v>
      </c>
      <c r="C1783" s="25" t="s">
        <v>12740</v>
      </c>
      <c r="D1783" s="25" t="s">
        <v>19</v>
      </c>
    </row>
    <row r="1784" spans="1:4">
      <c r="A1784" s="58">
        <v>45390</v>
      </c>
      <c r="B1784" s="34" t="s">
        <v>12743</v>
      </c>
      <c r="C1784" s="25" t="s">
        <v>12742</v>
      </c>
      <c r="D1784" s="25" t="s">
        <v>19</v>
      </c>
    </row>
    <row r="1785" spans="1:4">
      <c r="A1785" s="58">
        <v>45390</v>
      </c>
      <c r="B1785" s="34" t="s">
        <v>12745</v>
      </c>
      <c r="C1785" s="25" t="s">
        <v>12744</v>
      </c>
      <c r="D1785" s="25" t="s">
        <v>34</v>
      </c>
    </row>
    <row r="1786" spans="1:4">
      <c r="A1786" s="58">
        <v>45390</v>
      </c>
      <c r="B1786" s="34" t="s">
        <v>10969</v>
      </c>
      <c r="C1786" s="25" t="s">
        <v>12746</v>
      </c>
      <c r="D1786" s="25" t="s">
        <v>74</v>
      </c>
    </row>
    <row r="1787" spans="1:4">
      <c r="A1787" s="58">
        <v>45391</v>
      </c>
      <c r="B1787" s="34" t="s">
        <v>12748</v>
      </c>
      <c r="C1787" s="25" t="s">
        <v>12747</v>
      </c>
      <c r="D1787" s="25" t="s">
        <v>109</v>
      </c>
    </row>
    <row r="1788" spans="1:4">
      <c r="A1788" s="58">
        <v>45391</v>
      </c>
      <c r="B1788" s="34" t="s">
        <v>12750</v>
      </c>
      <c r="C1788" s="25" t="s">
        <v>12749</v>
      </c>
      <c r="D1788" s="25" t="s">
        <v>345</v>
      </c>
    </row>
    <row r="1789" spans="1:4">
      <c r="A1789" s="58">
        <v>45391</v>
      </c>
      <c r="B1789" s="34" t="s">
        <v>10969</v>
      </c>
      <c r="C1789" s="25" t="s">
        <v>12751</v>
      </c>
      <c r="D1789" s="25" t="s">
        <v>345</v>
      </c>
    </row>
    <row r="1790" spans="1:4">
      <c r="A1790" s="58">
        <v>45391</v>
      </c>
      <c r="B1790" s="34" t="s">
        <v>12753</v>
      </c>
      <c r="C1790" s="25" t="s">
        <v>12752</v>
      </c>
      <c r="D1790" s="25" t="s">
        <v>109</v>
      </c>
    </row>
    <row r="1791" spans="1:4">
      <c r="A1791" s="58">
        <v>45391</v>
      </c>
      <c r="B1791" s="34" t="s">
        <v>12755</v>
      </c>
      <c r="C1791" s="25" t="s">
        <v>12754</v>
      </c>
      <c r="D1791" s="25" t="s">
        <v>345</v>
      </c>
    </row>
    <row r="1792" spans="1:4">
      <c r="A1792" s="58">
        <v>45392</v>
      </c>
      <c r="B1792" s="34" t="s">
        <v>10969</v>
      </c>
      <c r="C1792" s="25" t="s">
        <v>2963</v>
      </c>
      <c r="D1792" s="25" t="s">
        <v>74</v>
      </c>
    </row>
    <row r="1793" spans="1:4">
      <c r="A1793" s="58">
        <v>45392</v>
      </c>
      <c r="B1793" s="34" t="s">
        <v>12757</v>
      </c>
      <c r="C1793" s="25" t="s">
        <v>12756</v>
      </c>
      <c r="D1793" s="25" t="s">
        <v>345</v>
      </c>
    </row>
    <row r="1794" spans="1:4">
      <c r="A1794" s="58">
        <v>45392</v>
      </c>
      <c r="B1794" s="34" t="s">
        <v>12759</v>
      </c>
      <c r="C1794" s="25" t="s">
        <v>12758</v>
      </c>
      <c r="D1794" s="25" t="s">
        <v>5</v>
      </c>
    </row>
    <row r="1795" spans="1:4">
      <c r="A1795" s="58">
        <v>45392</v>
      </c>
      <c r="B1795" s="34" t="s">
        <v>12761</v>
      </c>
      <c r="C1795" s="25" t="s">
        <v>12760</v>
      </c>
      <c r="D1795" s="25" t="s">
        <v>345</v>
      </c>
    </row>
    <row r="1796" spans="1:4">
      <c r="A1796" s="58">
        <v>45392</v>
      </c>
      <c r="B1796" s="34" t="s">
        <v>12763</v>
      </c>
      <c r="C1796" s="25" t="s">
        <v>12762</v>
      </c>
      <c r="D1796" s="25" t="s">
        <v>345</v>
      </c>
    </row>
    <row r="1797" spans="1:4">
      <c r="A1797" s="58">
        <v>45393</v>
      </c>
      <c r="B1797" s="34" t="s">
        <v>12765</v>
      </c>
      <c r="C1797" s="25" t="s">
        <v>12764</v>
      </c>
      <c r="D1797" s="25" t="s">
        <v>353</v>
      </c>
    </row>
    <row r="1798" spans="1:4">
      <c r="A1798" s="58">
        <v>45393</v>
      </c>
      <c r="B1798" s="34" t="s">
        <v>12767</v>
      </c>
      <c r="C1798" s="25" t="s">
        <v>12766</v>
      </c>
      <c r="D1798" s="25" t="s">
        <v>345</v>
      </c>
    </row>
    <row r="1799" spans="1:4">
      <c r="A1799" s="58">
        <v>45393</v>
      </c>
      <c r="B1799" s="34" t="s">
        <v>12769</v>
      </c>
      <c r="C1799" s="25" t="s">
        <v>12768</v>
      </c>
      <c r="D1799" s="25" t="s">
        <v>216</v>
      </c>
    </row>
    <row r="1800" spans="1:4">
      <c r="A1800" s="58">
        <v>45393</v>
      </c>
      <c r="B1800" s="34" t="s">
        <v>12770</v>
      </c>
      <c r="C1800" s="25" t="s">
        <v>12222</v>
      </c>
      <c r="D1800" s="25" t="s">
        <v>16</v>
      </c>
    </row>
    <row r="1801" spans="1:4">
      <c r="A1801" s="58">
        <v>45393</v>
      </c>
      <c r="B1801" s="34" t="s">
        <v>12772</v>
      </c>
      <c r="C1801" s="25" t="s">
        <v>12771</v>
      </c>
      <c r="D1801" s="25" t="s">
        <v>29</v>
      </c>
    </row>
    <row r="1802" spans="1:4">
      <c r="A1802" s="58">
        <v>45393</v>
      </c>
      <c r="B1802" s="34" t="s">
        <v>12774</v>
      </c>
      <c r="C1802" s="25" t="s">
        <v>12773</v>
      </c>
      <c r="D1802" s="25" t="s">
        <v>11</v>
      </c>
    </row>
    <row r="1803" spans="1:4">
      <c r="A1803" s="58">
        <v>45393</v>
      </c>
      <c r="B1803" s="34" t="s">
        <v>12776</v>
      </c>
      <c r="C1803" s="25" t="s">
        <v>12775</v>
      </c>
      <c r="D1803" s="25" t="s">
        <v>29</v>
      </c>
    </row>
    <row r="1804" spans="1:4">
      <c r="A1804" s="58">
        <v>45394</v>
      </c>
      <c r="B1804" s="34" t="s">
        <v>12778</v>
      </c>
      <c r="C1804" s="25" t="s">
        <v>12777</v>
      </c>
      <c r="D1804" s="25" t="s">
        <v>345</v>
      </c>
    </row>
    <row r="1805" spans="1:4">
      <c r="A1805" s="58">
        <v>45394</v>
      </c>
      <c r="B1805" s="34" t="s">
        <v>12780</v>
      </c>
      <c r="C1805" s="25" t="s">
        <v>12779</v>
      </c>
      <c r="D1805" s="25" t="s">
        <v>74</v>
      </c>
    </row>
    <row r="1806" spans="1:4">
      <c r="A1806" s="58">
        <v>45394</v>
      </c>
      <c r="B1806" s="34" t="s">
        <v>12782</v>
      </c>
      <c r="C1806" s="25" t="s">
        <v>12781</v>
      </c>
      <c r="D1806" s="25" t="s">
        <v>510</v>
      </c>
    </row>
    <row r="1807" spans="1:4">
      <c r="A1807" s="58">
        <v>45394</v>
      </c>
      <c r="B1807" s="34" t="s">
        <v>12784</v>
      </c>
      <c r="C1807" s="25" t="s">
        <v>12783</v>
      </c>
      <c r="D1807" s="25" t="s">
        <v>510</v>
      </c>
    </row>
    <row r="1808" spans="1:4">
      <c r="A1808" s="58">
        <v>45394</v>
      </c>
      <c r="B1808" s="34" t="s">
        <v>12786</v>
      </c>
      <c r="C1808" s="25" t="s">
        <v>12785</v>
      </c>
      <c r="D1808" s="25" t="s">
        <v>29</v>
      </c>
    </row>
    <row r="1809" spans="1:4">
      <c r="A1809" s="58">
        <v>45395</v>
      </c>
      <c r="B1809" s="34" t="s">
        <v>12788</v>
      </c>
      <c r="C1809" s="25" t="s">
        <v>12787</v>
      </c>
      <c r="D1809" s="25" t="s">
        <v>11</v>
      </c>
    </row>
    <row r="1810" spans="1:4">
      <c r="A1810" s="58">
        <v>45395</v>
      </c>
      <c r="B1810" s="34" t="s">
        <v>12790</v>
      </c>
      <c r="C1810" s="25" t="s">
        <v>12789</v>
      </c>
      <c r="D1810" s="25" t="s">
        <v>11</v>
      </c>
    </row>
    <row r="1811" spans="1:4">
      <c r="A1811" s="58">
        <v>45395</v>
      </c>
      <c r="B1811" s="34" t="s">
        <v>12792</v>
      </c>
      <c r="C1811" s="25" t="s">
        <v>12791</v>
      </c>
      <c r="D1811" s="25" t="s">
        <v>11</v>
      </c>
    </row>
    <row r="1812" spans="1:4">
      <c r="A1812" s="58">
        <v>45395</v>
      </c>
      <c r="B1812" s="34" t="s">
        <v>12794</v>
      </c>
      <c r="C1812" s="25" t="s">
        <v>12793</v>
      </c>
      <c r="D1812" s="25" t="s">
        <v>11</v>
      </c>
    </row>
    <row r="1813" spans="1:4">
      <c r="A1813" s="58">
        <v>45396</v>
      </c>
      <c r="B1813" s="34" t="s">
        <v>12796</v>
      </c>
      <c r="C1813" s="25" t="s">
        <v>12795</v>
      </c>
      <c r="D1813" s="25" t="s">
        <v>11</v>
      </c>
    </row>
    <row r="1814" spans="1:4">
      <c r="A1814" s="58">
        <v>45397</v>
      </c>
      <c r="B1814" s="34" t="s">
        <v>12798</v>
      </c>
      <c r="C1814" s="25" t="s">
        <v>12797</v>
      </c>
      <c r="D1814" s="25" t="s">
        <v>19</v>
      </c>
    </row>
    <row r="1815" spans="1:4">
      <c r="A1815" s="58">
        <v>45397</v>
      </c>
      <c r="B1815" s="34" t="s">
        <v>12800</v>
      </c>
      <c r="C1815" s="25" t="s">
        <v>12799</v>
      </c>
      <c r="D1815" s="25" t="s">
        <v>29</v>
      </c>
    </row>
    <row r="1816" spans="1:4">
      <c r="A1816" s="58">
        <v>45397</v>
      </c>
      <c r="B1816" s="34" t="s">
        <v>12802</v>
      </c>
      <c r="C1816" s="25" t="s">
        <v>12801</v>
      </c>
      <c r="D1816" s="25" t="s">
        <v>74</v>
      </c>
    </row>
    <row r="1817" spans="1:4">
      <c r="A1817" s="58">
        <v>45397</v>
      </c>
      <c r="B1817" s="34" t="s">
        <v>12804</v>
      </c>
      <c r="C1817" s="25" t="s">
        <v>12803</v>
      </c>
      <c r="D1817" s="25" t="s">
        <v>19</v>
      </c>
    </row>
    <row r="1818" spans="1:4">
      <c r="A1818" s="58">
        <v>45397</v>
      </c>
      <c r="B1818" s="34" t="s">
        <v>12806</v>
      </c>
      <c r="C1818" s="25" t="s">
        <v>12805</v>
      </c>
      <c r="D1818" s="25" t="s">
        <v>74</v>
      </c>
    </row>
    <row r="1819" spans="1:4">
      <c r="A1819" s="58">
        <v>45397</v>
      </c>
      <c r="B1819" s="34" t="s">
        <v>12808</v>
      </c>
      <c r="C1819" s="25" t="s">
        <v>12807</v>
      </c>
      <c r="D1819" s="25" t="s">
        <v>11</v>
      </c>
    </row>
    <row r="1820" spans="1:4">
      <c r="A1820" s="58">
        <v>45397</v>
      </c>
      <c r="B1820" s="34" t="s">
        <v>12810</v>
      </c>
      <c r="C1820" s="25" t="s">
        <v>12809</v>
      </c>
      <c r="D1820" s="25" t="s">
        <v>29</v>
      </c>
    </row>
    <row r="1821" spans="1:4">
      <c r="A1821" s="58">
        <v>45398</v>
      </c>
      <c r="B1821" s="34" t="s">
        <v>12812</v>
      </c>
      <c r="C1821" s="25" t="s">
        <v>12811</v>
      </c>
      <c r="D1821" s="25" t="s">
        <v>74</v>
      </c>
    </row>
    <row r="1822" spans="1:4">
      <c r="A1822" s="58">
        <v>45398</v>
      </c>
      <c r="B1822" s="34" t="s">
        <v>12814</v>
      </c>
      <c r="C1822" s="25" t="s">
        <v>12813</v>
      </c>
      <c r="D1822" s="25" t="s">
        <v>109</v>
      </c>
    </row>
    <row r="1823" spans="1:4">
      <c r="A1823" s="58">
        <v>45398</v>
      </c>
      <c r="B1823" s="34" t="s">
        <v>12816</v>
      </c>
      <c r="C1823" s="25" t="s">
        <v>12815</v>
      </c>
      <c r="D1823" s="25" t="s">
        <v>74</v>
      </c>
    </row>
    <row r="1824" spans="1:4">
      <c r="A1824" s="58">
        <v>45398</v>
      </c>
      <c r="B1824" s="34" t="s">
        <v>12818</v>
      </c>
      <c r="C1824" s="25" t="s">
        <v>12817</v>
      </c>
      <c r="D1824" s="25" t="s">
        <v>109</v>
      </c>
    </row>
    <row r="1825" spans="1:4">
      <c r="A1825" s="58">
        <v>45399</v>
      </c>
      <c r="B1825" s="34" t="s">
        <v>12820</v>
      </c>
      <c r="C1825" s="25" t="s">
        <v>12819</v>
      </c>
      <c r="D1825" s="25" t="s">
        <v>19</v>
      </c>
    </row>
    <row r="1826" spans="1:4">
      <c r="A1826" s="58">
        <v>45399</v>
      </c>
      <c r="B1826" s="34" t="s">
        <v>12822</v>
      </c>
      <c r="C1826" s="25" t="s">
        <v>12821</v>
      </c>
      <c r="D1826" s="25" t="s">
        <v>74</v>
      </c>
    </row>
    <row r="1827" spans="1:4">
      <c r="A1827" s="58">
        <v>45399</v>
      </c>
      <c r="B1827" s="34" t="s">
        <v>12824</v>
      </c>
      <c r="C1827" s="25" t="s">
        <v>12823</v>
      </c>
      <c r="D1827" s="25" t="s">
        <v>19</v>
      </c>
    </row>
    <row r="1828" spans="1:4">
      <c r="A1828" s="58">
        <v>45399</v>
      </c>
      <c r="B1828" s="34" t="s">
        <v>12826</v>
      </c>
      <c r="C1828" s="25" t="s">
        <v>12825</v>
      </c>
      <c r="D1828" s="25" t="s">
        <v>510</v>
      </c>
    </row>
    <row r="1829" spans="1:4">
      <c r="A1829" s="58">
        <v>45399</v>
      </c>
      <c r="B1829" s="34" t="s">
        <v>12828</v>
      </c>
      <c r="C1829" s="25" t="s">
        <v>12827</v>
      </c>
      <c r="D1829" s="25" t="s">
        <v>345</v>
      </c>
    </row>
    <row r="1830" spans="1:4">
      <c r="A1830" s="58">
        <v>45400</v>
      </c>
      <c r="B1830" s="34" t="s">
        <v>12830</v>
      </c>
      <c r="C1830" s="25" t="s">
        <v>12829</v>
      </c>
      <c r="D1830" s="25" t="s">
        <v>74</v>
      </c>
    </row>
    <row r="1831" spans="1:4">
      <c r="A1831" s="58">
        <v>45400</v>
      </c>
      <c r="B1831" s="34" t="s">
        <v>12832</v>
      </c>
      <c r="C1831" s="25" t="s">
        <v>12831</v>
      </c>
      <c r="D1831" s="25" t="s">
        <v>74</v>
      </c>
    </row>
    <row r="1832" spans="1:4">
      <c r="A1832" s="61">
        <v>45350</v>
      </c>
      <c r="B1832" s="36" t="s">
        <v>11360</v>
      </c>
      <c r="C1832" s="36" t="s">
        <v>12833</v>
      </c>
      <c r="D1832" s="36" t="s">
        <v>5</v>
      </c>
    </row>
    <row r="1833" spans="1:4">
      <c r="A1833" s="58">
        <v>45400</v>
      </c>
      <c r="B1833" s="34" t="s">
        <v>12835</v>
      </c>
      <c r="C1833" s="25" t="s">
        <v>12834</v>
      </c>
      <c r="D1833" s="25" t="s">
        <v>5</v>
      </c>
    </row>
    <row r="1834" spans="1:4">
      <c r="A1834" s="58">
        <v>45401</v>
      </c>
      <c r="B1834" s="34" t="s">
        <v>12837</v>
      </c>
      <c r="C1834" s="25" t="s">
        <v>12836</v>
      </c>
      <c r="D1834" s="25" t="s">
        <v>29</v>
      </c>
    </row>
    <row r="1835" spans="1:4">
      <c r="A1835" s="58">
        <v>45401</v>
      </c>
      <c r="B1835" s="34" t="s">
        <v>12839</v>
      </c>
      <c r="C1835" s="25" t="s">
        <v>12838</v>
      </c>
      <c r="D1835" s="25" t="s">
        <v>164</v>
      </c>
    </row>
    <row r="1836" spans="1:4">
      <c r="A1836" s="58">
        <v>45401</v>
      </c>
      <c r="B1836" s="34" t="s">
        <v>12841</v>
      </c>
      <c r="C1836" s="25" t="s">
        <v>12840</v>
      </c>
      <c r="D1836" s="25" t="s">
        <v>29</v>
      </c>
    </row>
    <row r="1837" spans="1:4">
      <c r="A1837" s="58">
        <v>45401</v>
      </c>
      <c r="B1837" s="34" t="s">
        <v>12843</v>
      </c>
      <c r="C1837" s="25" t="s">
        <v>12842</v>
      </c>
      <c r="D1837" s="25" t="s">
        <v>74</v>
      </c>
    </row>
    <row r="1838" spans="1:4">
      <c r="A1838" s="61">
        <v>45350</v>
      </c>
      <c r="B1838" s="36" t="s">
        <v>11360</v>
      </c>
      <c r="C1838" s="36" t="s">
        <v>12844</v>
      </c>
      <c r="D1838" s="36" t="s">
        <v>5</v>
      </c>
    </row>
    <row r="1839" spans="1:4">
      <c r="A1839" s="58">
        <v>45404</v>
      </c>
      <c r="B1839" s="34" t="s">
        <v>12846</v>
      </c>
      <c r="C1839" s="25" t="s">
        <v>12845</v>
      </c>
      <c r="D1839" s="25" t="s">
        <v>29</v>
      </c>
    </row>
    <row r="1840" spans="1:4">
      <c r="A1840" s="61">
        <v>45352</v>
      </c>
      <c r="B1840" s="36" t="s">
        <v>12848</v>
      </c>
      <c r="C1840" s="36" t="s">
        <v>12847</v>
      </c>
      <c r="D1840" s="36" t="s">
        <v>5</v>
      </c>
    </row>
    <row r="1841" spans="1:4">
      <c r="A1841" s="58">
        <v>45405</v>
      </c>
      <c r="B1841" s="34" t="s">
        <v>12850</v>
      </c>
      <c r="C1841" s="25" t="s">
        <v>12849</v>
      </c>
      <c r="D1841" s="25" t="s">
        <v>29</v>
      </c>
    </row>
    <row r="1842" spans="1:4">
      <c r="A1842" s="58">
        <v>45405</v>
      </c>
      <c r="B1842" s="34" t="s">
        <v>12852</v>
      </c>
      <c r="C1842" s="25" t="s">
        <v>12851</v>
      </c>
      <c r="D1842" s="25" t="s">
        <v>19</v>
      </c>
    </row>
    <row r="1843" spans="1:4">
      <c r="A1843" s="58">
        <v>45405</v>
      </c>
      <c r="B1843" s="34" t="s">
        <v>12854</v>
      </c>
      <c r="C1843" s="25" t="s">
        <v>12853</v>
      </c>
      <c r="D1843" s="25" t="s">
        <v>74</v>
      </c>
    </row>
    <row r="1844" spans="1:4">
      <c r="A1844" s="58">
        <v>45405</v>
      </c>
      <c r="B1844" s="34" t="s">
        <v>12856</v>
      </c>
      <c r="C1844" s="25" t="s">
        <v>12855</v>
      </c>
      <c r="D1844" s="25" t="s">
        <v>29</v>
      </c>
    </row>
    <row r="1845" spans="1:4">
      <c r="A1845" s="70">
        <v>45386</v>
      </c>
      <c r="B1845" s="25" t="s">
        <v>12858</v>
      </c>
      <c r="C1845" s="25" t="s">
        <v>12857</v>
      </c>
      <c r="D1845" s="25" t="s">
        <v>8</v>
      </c>
    </row>
    <row r="1846" spans="1:4">
      <c r="A1846" s="70">
        <v>45386</v>
      </c>
      <c r="B1846" s="25" t="s">
        <v>12860</v>
      </c>
      <c r="C1846" s="25" t="s">
        <v>12859</v>
      </c>
      <c r="D1846" s="25" t="s">
        <v>74</v>
      </c>
    </row>
    <row r="1847" spans="1:4">
      <c r="A1847" s="70">
        <v>45386</v>
      </c>
      <c r="B1847" s="25" t="s">
        <v>12862</v>
      </c>
      <c r="C1847" s="25" t="s">
        <v>12861</v>
      </c>
      <c r="D1847" s="25" t="s">
        <v>11</v>
      </c>
    </row>
    <row r="1848" spans="1:4">
      <c r="A1848" s="70">
        <v>45386</v>
      </c>
      <c r="B1848" s="25" t="s">
        <v>12864</v>
      </c>
      <c r="C1848" s="25" t="s">
        <v>12863</v>
      </c>
      <c r="D1848" s="25" t="s">
        <v>216</v>
      </c>
    </row>
    <row r="1849" spans="1:4">
      <c r="A1849" s="70">
        <v>45386</v>
      </c>
      <c r="B1849" s="25" t="s">
        <v>12866</v>
      </c>
      <c r="C1849" s="25" t="s">
        <v>12865</v>
      </c>
      <c r="D1849" s="25" t="s">
        <v>5</v>
      </c>
    </row>
    <row r="1850" spans="1:4">
      <c r="A1850" s="70">
        <v>45386</v>
      </c>
      <c r="B1850" s="25" t="s">
        <v>12868</v>
      </c>
      <c r="C1850" s="25" t="s">
        <v>12867</v>
      </c>
      <c r="D1850" s="25" t="s">
        <v>216</v>
      </c>
    </row>
    <row r="1851" spans="1:4">
      <c r="A1851" s="70">
        <v>45386</v>
      </c>
      <c r="B1851" s="25" t="s">
        <v>12870</v>
      </c>
      <c r="C1851" s="25" t="s">
        <v>12869</v>
      </c>
      <c r="D1851" s="25" t="s">
        <v>16</v>
      </c>
    </row>
    <row r="1852" spans="1:4">
      <c r="A1852" s="70">
        <v>45386</v>
      </c>
      <c r="B1852" s="25" t="s">
        <v>12872</v>
      </c>
      <c r="C1852" s="25" t="s">
        <v>12871</v>
      </c>
      <c r="D1852" s="25" t="s">
        <v>216</v>
      </c>
    </row>
    <row r="1853" spans="1:4">
      <c r="A1853" s="70">
        <v>45387</v>
      </c>
      <c r="B1853" s="25" t="s">
        <v>12874</v>
      </c>
      <c r="C1853" s="25" t="s">
        <v>12873</v>
      </c>
      <c r="D1853" s="25" t="s">
        <v>8</v>
      </c>
    </row>
    <row r="1854" spans="1:4">
      <c r="A1854" s="70">
        <v>45387</v>
      </c>
      <c r="B1854" s="25" t="s">
        <v>12876</v>
      </c>
      <c r="C1854" s="25" t="s">
        <v>12875</v>
      </c>
      <c r="D1854" s="25" t="s">
        <v>11</v>
      </c>
    </row>
    <row r="1855" spans="1:4">
      <c r="A1855" s="70">
        <v>45387</v>
      </c>
      <c r="B1855" s="25" t="s">
        <v>12878</v>
      </c>
      <c r="C1855" s="25" t="s">
        <v>12877</v>
      </c>
      <c r="D1855" s="25" t="s">
        <v>141</v>
      </c>
    </row>
    <row r="1856" spans="1:4">
      <c r="A1856" s="70">
        <v>45387</v>
      </c>
      <c r="B1856" s="25" t="s">
        <v>12880</v>
      </c>
      <c r="C1856" s="25" t="s">
        <v>12879</v>
      </c>
      <c r="D1856" s="25" t="s">
        <v>353</v>
      </c>
    </row>
    <row r="1857" spans="1:4">
      <c r="A1857" s="70">
        <v>45387</v>
      </c>
      <c r="B1857" s="25" t="s">
        <v>12882</v>
      </c>
      <c r="C1857" s="25" t="s">
        <v>12881</v>
      </c>
      <c r="D1857" s="25" t="s">
        <v>19</v>
      </c>
    </row>
    <row r="1858" spans="1:4">
      <c r="A1858" s="70">
        <v>45387</v>
      </c>
      <c r="B1858" s="25" t="s">
        <v>12884</v>
      </c>
      <c r="C1858" s="25" t="s">
        <v>12883</v>
      </c>
      <c r="D1858" s="25" t="s">
        <v>109</v>
      </c>
    </row>
    <row r="1859" spans="1:4">
      <c r="A1859" s="70">
        <v>45387</v>
      </c>
      <c r="B1859" s="25" t="s">
        <v>12886</v>
      </c>
      <c r="C1859" s="25" t="s">
        <v>12885</v>
      </c>
      <c r="D1859" s="25" t="s">
        <v>5</v>
      </c>
    </row>
    <row r="1860" spans="1:4">
      <c r="A1860" s="70">
        <v>45390</v>
      </c>
      <c r="B1860" s="25" t="s">
        <v>12888</v>
      </c>
      <c r="C1860" s="25" t="s">
        <v>12887</v>
      </c>
      <c r="D1860" s="25" t="s">
        <v>353</v>
      </c>
    </row>
    <row r="1861" spans="1:4">
      <c r="A1861" s="70">
        <v>45390</v>
      </c>
      <c r="B1861" s="25" t="s">
        <v>12890</v>
      </c>
      <c r="C1861" s="25" t="s">
        <v>12889</v>
      </c>
      <c r="D1861" s="25" t="s">
        <v>5</v>
      </c>
    </row>
    <row r="1862" spans="1:4">
      <c r="A1862" s="70">
        <v>45390</v>
      </c>
      <c r="B1862" s="25" t="s">
        <v>12892</v>
      </c>
      <c r="C1862" s="25" t="s">
        <v>12891</v>
      </c>
      <c r="D1862" s="25" t="s">
        <v>353</v>
      </c>
    </row>
    <row r="1863" spans="1:4">
      <c r="A1863" s="70">
        <v>45390</v>
      </c>
      <c r="B1863" s="25" t="s">
        <v>12894</v>
      </c>
      <c r="C1863" s="25" t="s">
        <v>12893</v>
      </c>
      <c r="D1863" s="25" t="s">
        <v>5</v>
      </c>
    </row>
    <row r="1864" spans="1:4">
      <c r="A1864" s="70">
        <v>45390</v>
      </c>
      <c r="B1864" s="25" t="s">
        <v>12896</v>
      </c>
      <c r="C1864" s="25" t="s">
        <v>12895</v>
      </c>
      <c r="D1864" s="25" t="s">
        <v>16</v>
      </c>
    </row>
    <row r="1865" spans="1:4">
      <c r="A1865" s="70">
        <v>45390</v>
      </c>
      <c r="B1865" s="25" t="s">
        <v>12898</v>
      </c>
      <c r="C1865" s="25" t="s">
        <v>12897</v>
      </c>
      <c r="D1865" s="25" t="s">
        <v>16</v>
      </c>
    </row>
    <row r="1866" spans="1:4">
      <c r="A1866" s="70">
        <v>45390</v>
      </c>
      <c r="B1866" s="25" t="s">
        <v>12900</v>
      </c>
      <c r="C1866" s="25" t="s">
        <v>12899</v>
      </c>
      <c r="D1866" s="25" t="s">
        <v>5</v>
      </c>
    </row>
    <row r="1867" spans="1:4">
      <c r="A1867" s="70">
        <v>45390</v>
      </c>
      <c r="B1867" s="25" t="s">
        <v>12902</v>
      </c>
      <c r="C1867" s="25" t="s">
        <v>12901</v>
      </c>
      <c r="D1867" s="25" t="s">
        <v>353</v>
      </c>
    </row>
    <row r="1868" spans="1:4">
      <c r="A1868" s="70">
        <v>45390</v>
      </c>
      <c r="B1868" s="25" t="s">
        <v>12904</v>
      </c>
      <c r="C1868" s="25" t="s">
        <v>12903</v>
      </c>
      <c r="D1868" s="25" t="s">
        <v>8</v>
      </c>
    </row>
    <row r="1869" spans="1:4">
      <c r="A1869" s="70">
        <v>45391</v>
      </c>
      <c r="B1869" s="25" t="s">
        <v>12906</v>
      </c>
      <c r="C1869" s="25" t="s">
        <v>12905</v>
      </c>
      <c r="D1869" s="25" t="s">
        <v>5</v>
      </c>
    </row>
    <row r="1870" spans="1:4">
      <c r="A1870" s="70">
        <v>45391</v>
      </c>
      <c r="B1870" s="25" t="s">
        <v>12908</v>
      </c>
      <c r="C1870" s="25" t="s">
        <v>12907</v>
      </c>
      <c r="D1870" s="25" t="s">
        <v>29</v>
      </c>
    </row>
    <row r="1871" spans="1:4">
      <c r="A1871" s="70">
        <v>45391</v>
      </c>
      <c r="B1871" s="25" t="s">
        <v>12910</v>
      </c>
      <c r="C1871" s="25" t="s">
        <v>12909</v>
      </c>
      <c r="D1871" s="25" t="s">
        <v>29</v>
      </c>
    </row>
    <row r="1872" spans="1:4">
      <c r="A1872" s="70">
        <v>45391</v>
      </c>
      <c r="B1872" s="25" t="s">
        <v>12912</v>
      </c>
      <c r="C1872" s="25" t="s">
        <v>12911</v>
      </c>
      <c r="D1872" s="25" t="s">
        <v>16</v>
      </c>
    </row>
    <row r="1873" spans="1:4">
      <c r="A1873" s="70">
        <v>45391</v>
      </c>
      <c r="B1873" s="25" t="s">
        <v>12914</v>
      </c>
      <c r="C1873" s="25" t="s">
        <v>12913</v>
      </c>
      <c r="D1873" s="25" t="s">
        <v>11</v>
      </c>
    </row>
    <row r="1874" spans="1:4">
      <c r="A1874" s="70">
        <v>45391</v>
      </c>
      <c r="B1874" s="25" t="s">
        <v>12916</v>
      </c>
      <c r="C1874" s="25" t="s">
        <v>12915</v>
      </c>
      <c r="D1874" s="25" t="s">
        <v>109</v>
      </c>
    </row>
    <row r="1875" spans="1:4">
      <c r="A1875" s="70">
        <v>45391</v>
      </c>
      <c r="B1875" s="25" t="s">
        <v>12918</v>
      </c>
      <c r="C1875" s="25" t="s">
        <v>12917</v>
      </c>
      <c r="D1875" s="25" t="s">
        <v>74</v>
      </c>
    </row>
    <row r="1876" spans="1:4">
      <c r="A1876" s="70">
        <v>45392</v>
      </c>
      <c r="B1876" s="25" t="s">
        <v>12920</v>
      </c>
      <c r="C1876" s="25" t="s">
        <v>12919</v>
      </c>
      <c r="D1876" s="25" t="s">
        <v>353</v>
      </c>
    </row>
    <row r="1877" spans="1:4">
      <c r="A1877" s="70">
        <v>45392</v>
      </c>
      <c r="B1877" s="25" t="s">
        <v>12922</v>
      </c>
      <c r="C1877" s="25" t="s">
        <v>12921</v>
      </c>
      <c r="D1877" s="25" t="s">
        <v>11</v>
      </c>
    </row>
    <row r="1878" spans="1:4">
      <c r="A1878" s="70">
        <v>45392</v>
      </c>
      <c r="B1878" s="25" t="s">
        <v>12924</v>
      </c>
      <c r="C1878" s="25" t="s">
        <v>12923</v>
      </c>
      <c r="D1878" s="25" t="s">
        <v>74</v>
      </c>
    </row>
    <row r="1879" spans="1:4">
      <c r="A1879" s="70">
        <v>45392</v>
      </c>
      <c r="B1879" s="25" t="s">
        <v>12926</v>
      </c>
      <c r="C1879" s="25" t="s">
        <v>12925</v>
      </c>
      <c r="D1879" s="25" t="s">
        <v>11</v>
      </c>
    </row>
    <row r="1880" spans="1:4">
      <c r="A1880" s="70">
        <v>45392</v>
      </c>
      <c r="B1880" s="25" t="s">
        <v>12928</v>
      </c>
      <c r="C1880" s="25" t="s">
        <v>12927</v>
      </c>
      <c r="D1880" s="25" t="s">
        <v>29</v>
      </c>
    </row>
    <row r="1881" spans="1:4">
      <c r="A1881" s="70">
        <v>45392</v>
      </c>
      <c r="B1881" s="25" t="s">
        <v>12930</v>
      </c>
      <c r="C1881" s="25" t="s">
        <v>12929</v>
      </c>
      <c r="D1881" s="25" t="s">
        <v>5</v>
      </c>
    </row>
    <row r="1882" spans="1:4">
      <c r="A1882" s="70">
        <v>45392</v>
      </c>
      <c r="B1882" s="25" t="s">
        <v>12932</v>
      </c>
      <c r="C1882" s="25" t="s">
        <v>12931</v>
      </c>
      <c r="D1882" s="25" t="s">
        <v>74</v>
      </c>
    </row>
    <row r="1883" spans="1:4">
      <c r="A1883" s="70">
        <v>45393</v>
      </c>
      <c r="B1883" s="25" t="s">
        <v>12934</v>
      </c>
      <c r="C1883" s="25" t="s">
        <v>12933</v>
      </c>
      <c r="D1883" s="25" t="s">
        <v>16</v>
      </c>
    </row>
    <row r="1884" spans="1:4">
      <c r="A1884" s="70">
        <v>45394</v>
      </c>
      <c r="B1884" s="25" t="s">
        <v>12936</v>
      </c>
      <c r="C1884" s="25" t="s">
        <v>12935</v>
      </c>
      <c r="D1884" s="25" t="s">
        <v>11</v>
      </c>
    </row>
    <row r="1885" spans="1:4">
      <c r="A1885" s="70">
        <v>45394</v>
      </c>
      <c r="B1885" s="25" t="s">
        <v>12938</v>
      </c>
      <c r="C1885" s="25" t="s">
        <v>12937</v>
      </c>
      <c r="D1885" s="25" t="s">
        <v>216</v>
      </c>
    </row>
    <row r="1886" spans="1:4">
      <c r="A1886" s="70">
        <v>45397</v>
      </c>
      <c r="B1886" s="25" t="s">
        <v>12940</v>
      </c>
      <c r="C1886" s="25" t="s">
        <v>12939</v>
      </c>
      <c r="D1886" s="25" t="s">
        <v>5</v>
      </c>
    </row>
    <row r="1887" spans="1:4">
      <c r="A1887" s="70">
        <v>45397</v>
      </c>
      <c r="B1887" s="25" t="s">
        <v>12942</v>
      </c>
      <c r="C1887" s="25" t="s">
        <v>12941</v>
      </c>
      <c r="D1887" s="25" t="s">
        <v>16</v>
      </c>
    </row>
    <row r="1888" spans="1:4">
      <c r="A1888" s="70">
        <v>45397</v>
      </c>
      <c r="B1888" s="25" t="s">
        <v>12944</v>
      </c>
      <c r="C1888" s="25" t="s">
        <v>12943</v>
      </c>
      <c r="D1888" s="25" t="s">
        <v>19</v>
      </c>
    </row>
    <row r="1889" spans="1:4">
      <c r="A1889" s="70">
        <v>45397</v>
      </c>
      <c r="B1889" s="25" t="s">
        <v>12946</v>
      </c>
      <c r="C1889" s="25" t="s">
        <v>12945</v>
      </c>
      <c r="D1889" s="25" t="s">
        <v>74</v>
      </c>
    </row>
    <row r="1890" spans="1:4">
      <c r="A1890" s="70">
        <v>45397</v>
      </c>
      <c r="B1890" s="25" t="s">
        <v>12948</v>
      </c>
      <c r="C1890" s="25" t="s">
        <v>12947</v>
      </c>
      <c r="D1890" s="25" t="s">
        <v>19</v>
      </c>
    </row>
    <row r="1891" spans="1:4">
      <c r="A1891" s="70">
        <v>45398</v>
      </c>
      <c r="B1891" s="25" t="s">
        <v>12950</v>
      </c>
      <c r="C1891" s="25" t="s">
        <v>12949</v>
      </c>
      <c r="D1891" s="25" t="s">
        <v>29</v>
      </c>
    </row>
    <row r="1892" spans="1:4">
      <c r="A1892" s="70">
        <v>45398</v>
      </c>
      <c r="B1892" s="25" t="s">
        <v>12952</v>
      </c>
      <c r="C1892" s="25" t="s">
        <v>12951</v>
      </c>
      <c r="D1892" s="25" t="s">
        <v>8</v>
      </c>
    </row>
    <row r="1893" spans="1:4">
      <c r="A1893" s="70">
        <v>45398</v>
      </c>
      <c r="B1893" s="25" t="s">
        <v>12954</v>
      </c>
      <c r="C1893" s="25" t="s">
        <v>12953</v>
      </c>
      <c r="D1893" s="25" t="s">
        <v>5</v>
      </c>
    </row>
    <row r="1894" spans="1:4">
      <c r="A1894" s="70">
        <v>45398</v>
      </c>
      <c r="B1894" s="25" t="s">
        <v>12956</v>
      </c>
      <c r="C1894" s="25" t="s">
        <v>12955</v>
      </c>
      <c r="D1894" s="25" t="s">
        <v>8</v>
      </c>
    </row>
    <row r="1895" spans="1:4">
      <c r="A1895" s="70">
        <v>45398</v>
      </c>
      <c r="B1895" s="25" t="s">
        <v>12958</v>
      </c>
      <c r="C1895" s="25" t="s">
        <v>12957</v>
      </c>
      <c r="D1895" s="25" t="s">
        <v>29</v>
      </c>
    </row>
    <row r="1896" spans="1:4">
      <c r="A1896" s="70">
        <v>45399</v>
      </c>
      <c r="B1896" s="25" t="s">
        <v>12960</v>
      </c>
      <c r="C1896" s="25" t="s">
        <v>12959</v>
      </c>
      <c r="D1896" s="25" t="s">
        <v>594</v>
      </c>
    </row>
    <row r="1897" spans="1:4">
      <c r="A1897" s="70">
        <v>45399</v>
      </c>
      <c r="B1897" s="25" t="s">
        <v>12962</v>
      </c>
      <c r="C1897" s="25" t="s">
        <v>12961</v>
      </c>
      <c r="D1897" s="25" t="s">
        <v>29</v>
      </c>
    </row>
    <row r="1898" spans="1:4">
      <c r="A1898" s="70">
        <v>45400</v>
      </c>
      <c r="B1898" s="25" t="s">
        <v>12964</v>
      </c>
      <c r="C1898" s="25" t="s">
        <v>12963</v>
      </c>
      <c r="D1898" s="25" t="s">
        <v>19</v>
      </c>
    </row>
    <row r="1899" spans="1:4">
      <c r="A1899" s="70">
        <v>45400</v>
      </c>
      <c r="B1899" s="25" t="s">
        <v>12966</v>
      </c>
      <c r="C1899" s="25" t="s">
        <v>12965</v>
      </c>
      <c r="D1899" s="25" t="s">
        <v>16</v>
      </c>
    </row>
    <row r="1900" spans="1:4">
      <c r="A1900" s="70">
        <v>45400</v>
      </c>
      <c r="B1900" s="25" t="s">
        <v>12968</v>
      </c>
      <c r="C1900" s="25" t="s">
        <v>12967</v>
      </c>
      <c r="D1900" s="25" t="s">
        <v>5</v>
      </c>
    </row>
    <row r="1901" spans="1:4">
      <c r="A1901" s="70">
        <v>45400</v>
      </c>
      <c r="B1901" s="25" t="s">
        <v>12970</v>
      </c>
      <c r="C1901" s="25" t="s">
        <v>12969</v>
      </c>
      <c r="D1901" s="25" t="s">
        <v>109</v>
      </c>
    </row>
    <row r="1902" spans="1:4">
      <c r="A1902" s="70">
        <v>45400</v>
      </c>
      <c r="B1902" s="25" t="s">
        <v>12972</v>
      </c>
      <c r="C1902" s="25" t="s">
        <v>12971</v>
      </c>
      <c r="D1902" s="25" t="s">
        <v>34</v>
      </c>
    </row>
    <row r="1903" spans="1:4">
      <c r="A1903" s="70">
        <v>45400</v>
      </c>
      <c r="B1903" s="25" t="s">
        <v>12974</v>
      </c>
      <c r="C1903" s="25" t="s">
        <v>12973</v>
      </c>
      <c r="D1903" s="25" t="s">
        <v>8</v>
      </c>
    </row>
    <row r="1904" spans="1:4">
      <c r="A1904" s="70">
        <v>45400</v>
      </c>
      <c r="B1904" s="25" t="s">
        <v>12976</v>
      </c>
      <c r="C1904" s="25" t="s">
        <v>12975</v>
      </c>
      <c r="D1904" s="25" t="s">
        <v>11</v>
      </c>
    </row>
    <row r="1905" spans="1:4">
      <c r="A1905" s="70">
        <v>45401</v>
      </c>
      <c r="B1905" s="25" t="s">
        <v>12978</v>
      </c>
      <c r="C1905" s="25" t="s">
        <v>12977</v>
      </c>
      <c r="D1905" s="25" t="s">
        <v>5</v>
      </c>
    </row>
    <row r="1906" spans="1:4">
      <c r="A1906" s="70">
        <v>45401</v>
      </c>
      <c r="B1906" s="25" t="s">
        <v>12980</v>
      </c>
      <c r="C1906" s="25" t="s">
        <v>12979</v>
      </c>
      <c r="D1906" s="25" t="s">
        <v>216</v>
      </c>
    </row>
    <row r="1907" spans="1:4">
      <c r="A1907" s="70">
        <v>45401</v>
      </c>
      <c r="B1907" s="25" t="s">
        <v>12982</v>
      </c>
      <c r="C1907" s="25" t="s">
        <v>12981</v>
      </c>
      <c r="D1907" s="25" t="s">
        <v>353</v>
      </c>
    </row>
    <row r="1908" spans="1:4">
      <c r="A1908" s="70">
        <v>45401</v>
      </c>
      <c r="B1908" s="25" t="s">
        <v>12984</v>
      </c>
      <c r="C1908" s="25" t="s">
        <v>12983</v>
      </c>
    </row>
    <row r="1909" spans="1:4">
      <c r="A1909" s="70">
        <v>45401</v>
      </c>
      <c r="B1909" s="25" t="s">
        <v>12986</v>
      </c>
      <c r="C1909" s="25" t="s">
        <v>12985</v>
      </c>
      <c r="D1909" s="25" t="s">
        <v>216</v>
      </c>
    </row>
    <row r="1910" spans="1:4">
      <c r="A1910" s="70">
        <v>45404</v>
      </c>
      <c r="B1910" s="25" t="s">
        <v>12988</v>
      </c>
      <c r="C1910" s="25" t="s">
        <v>12987</v>
      </c>
      <c r="D1910" s="25" t="s">
        <v>29</v>
      </c>
    </row>
    <row r="1911" spans="1:4">
      <c r="A1911" s="70">
        <v>45404</v>
      </c>
      <c r="B1911" s="25" t="s">
        <v>12990</v>
      </c>
      <c r="C1911" s="25" t="s">
        <v>12989</v>
      </c>
      <c r="D1911" s="25" t="s">
        <v>353</v>
      </c>
    </row>
    <row r="1912" spans="1:4">
      <c r="A1912" s="70">
        <v>45404</v>
      </c>
      <c r="B1912" s="25" t="s">
        <v>12992</v>
      </c>
      <c r="C1912" s="25" t="s">
        <v>12991</v>
      </c>
      <c r="D1912" s="25" t="s">
        <v>5</v>
      </c>
    </row>
    <row r="1913" spans="1:4">
      <c r="A1913" s="70">
        <v>45405</v>
      </c>
      <c r="B1913" s="25" t="s">
        <v>12994</v>
      </c>
      <c r="C1913" s="25" t="s">
        <v>12993</v>
      </c>
      <c r="D1913" s="25" t="s">
        <v>24</v>
      </c>
    </row>
    <row r="1914" spans="1:4">
      <c r="A1914" s="70">
        <v>45405</v>
      </c>
      <c r="B1914" s="25" t="s">
        <v>12996</v>
      </c>
      <c r="C1914" s="25" t="s">
        <v>12995</v>
      </c>
      <c r="D1914" s="25" t="s">
        <v>24</v>
      </c>
    </row>
    <row r="1915" spans="1:4">
      <c r="A1915" s="70">
        <v>45386</v>
      </c>
      <c r="B1915" s="25" t="s">
        <v>12998</v>
      </c>
      <c r="C1915" s="25" t="s">
        <v>12997</v>
      </c>
      <c r="D1915" s="25" t="s">
        <v>109</v>
      </c>
    </row>
    <row r="1916" spans="1:4">
      <c r="A1916" s="70">
        <v>45386</v>
      </c>
      <c r="B1916" s="25" t="s">
        <v>13000</v>
      </c>
      <c r="C1916" s="25" t="s">
        <v>12999</v>
      </c>
      <c r="D1916" s="25" t="s">
        <v>11</v>
      </c>
    </row>
    <row r="1917" spans="1:4">
      <c r="A1917" s="70">
        <v>45386</v>
      </c>
      <c r="B1917" s="25" t="s">
        <v>10969</v>
      </c>
      <c r="C1917" s="25" t="s">
        <v>13001</v>
      </c>
      <c r="D1917" s="25" t="s">
        <v>109</v>
      </c>
    </row>
    <row r="1918" spans="1:4">
      <c r="A1918" s="70">
        <v>45386</v>
      </c>
      <c r="B1918" s="25" t="s">
        <v>13002</v>
      </c>
      <c r="C1918" s="25" t="s">
        <v>12420</v>
      </c>
      <c r="D1918" s="25" t="s">
        <v>5</v>
      </c>
    </row>
    <row r="1919" spans="1:4">
      <c r="A1919" s="70">
        <v>45386</v>
      </c>
      <c r="B1919" s="25" t="s">
        <v>10969</v>
      </c>
      <c r="C1919" s="25" t="s">
        <v>13003</v>
      </c>
      <c r="D1919" s="25" t="s">
        <v>11</v>
      </c>
    </row>
    <row r="1920" spans="1:4">
      <c r="A1920" s="70">
        <v>45386</v>
      </c>
      <c r="B1920" s="25" t="s">
        <v>13005</v>
      </c>
      <c r="C1920" s="25" t="s">
        <v>13004</v>
      </c>
      <c r="D1920" s="25" t="s">
        <v>19</v>
      </c>
    </row>
    <row r="1921" spans="1:4">
      <c r="A1921" s="70">
        <v>45386</v>
      </c>
      <c r="B1921" s="25" t="s">
        <v>13007</v>
      </c>
      <c r="C1921" s="25" t="s">
        <v>13006</v>
      </c>
      <c r="D1921" s="25" t="s">
        <v>109</v>
      </c>
    </row>
    <row r="1922" spans="1:4">
      <c r="A1922" s="70">
        <v>45386</v>
      </c>
      <c r="B1922" s="25" t="s">
        <v>13009</v>
      </c>
      <c r="C1922" s="25" t="s">
        <v>13008</v>
      </c>
      <c r="D1922" s="25" t="s">
        <v>11</v>
      </c>
    </row>
    <row r="1923" spans="1:4">
      <c r="A1923" s="70">
        <v>45386</v>
      </c>
      <c r="B1923" s="25" t="s">
        <v>10969</v>
      </c>
      <c r="C1923" s="25" t="s">
        <v>13010</v>
      </c>
      <c r="D1923" s="25" t="s">
        <v>109</v>
      </c>
    </row>
    <row r="1924" spans="1:4">
      <c r="A1924" s="70">
        <v>45386</v>
      </c>
      <c r="B1924" s="25" t="s">
        <v>13012</v>
      </c>
      <c r="C1924" s="25" t="s">
        <v>13011</v>
      </c>
      <c r="D1924" s="25" t="s">
        <v>353</v>
      </c>
    </row>
    <row r="1925" spans="1:4">
      <c r="A1925" s="70">
        <v>45386</v>
      </c>
      <c r="B1925" s="25" t="s">
        <v>13013</v>
      </c>
      <c r="C1925" s="25" t="s">
        <v>13011</v>
      </c>
      <c r="D1925" s="25" t="s">
        <v>353</v>
      </c>
    </row>
    <row r="1926" spans="1:4">
      <c r="A1926" s="70">
        <v>45386</v>
      </c>
      <c r="B1926" s="25" t="s">
        <v>13015</v>
      </c>
      <c r="C1926" s="25" t="s">
        <v>13014</v>
      </c>
      <c r="D1926" s="25" t="s">
        <v>5</v>
      </c>
    </row>
    <row r="1927" spans="1:4">
      <c r="A1927" s="70">
        <v>45386</v>
      </c>
      <c r="B1927" s="25" t="s">
        <v>13016</v>
      </c>
      <c r="C1927" s="25" t="s">
        <v>13011</v>
      </c>
      <c r="D1927" s="25" t="s">
        <v>353</v>
      </c>
    </row>
    <row r="1928" spans="1:4">
      <c r="A1928" s="70">
        <v>45386</v>
      </c>
      <c r="B1928" s="25" t="s">
        <v>13018</v>
      </c>
      <c r="C1928" s="25" t="s">
        <v>13017</v>
      </c>
      <c r="D1928" s="25" t="s">
        <v>5</v>
      </c>
    </row>
    <row r="1929" spans="1:4">
      <c r="A1929" s="70">
        <v>45386</v>
      </c>
      <c r="B1929" s="25" t="s">
        <v>13020</v>
      </c>
      <c r="C1929" s="25" t="s">
        <v>13019</v>
      </c>
      <c r="D1929" s="25" t="s">
        <v>5</v>
      </c>
    </row>
    <row r="1930" spans="1:4">
      <c r="A1930" s="70">
        <v>45386</v>
      </c>
      <c r="B1930" s="25" t="s">
        <v>13022</v>
      </c>
      <c r="C1930" s="25" t="s">
        <v>13021</v>
      </c>
      <c r="D1930" s="25" t="s">
        <v>109</v>
      </c>
    </row>
    <row r="1931" spans="1:4">
      <c r="A1931" s="70">
        <v>45386</v>
      </c>
      <c r="B1931" s="25" t="s">
        <v>13024</v>
      </c>
      <c r="C1931" s="25" t="s">
        <v>13023</v>
      </c>
      <c r="D1931" s="25" t="s">
        <v>11</v>
      </c>
    </row>
    <row r="1932" spans="1:4">
      <c r="A1932" s="70">
        <v>45386</v>
      </c>
      <c r="B1932" s="25" t="s">
        <v>13026</v>
      </c>
      <c r="C1932" s="25" t="s">
        <v>13025</v>
      </c>
      <c r="D1932" s="25" t="s">
        <v>5</v>
      </c>
    </row>
    <row r="1933" spans="1:4">
      <c r="A1933" s="70">
        <v>45386</v>
      </c>
      <c r="B1933" s="25" t="s">
        <v>13024</v>
      </c>
      <c r="C1933" s="25" t="s">
        <v>13023</v>
      </c>
      <c r="D1933" s="25" t="s">
        <v>11</v>
      </c>
    </row>
    <row r="1934" spans="1:4">
      <c r="A1934" s="70">
        <v>45387</v>
      </c>
      <c r="B1934" s="25" t="s">
        <v>10969</v>
      </c>
      <c r="C1934" s="25" t="s">
        <v>13027</v>
      </c>
      <c r="D1934" s="25" t="s">
        <v>353</v>
      </c>
    </row>
    <row r="1935" spans="1:4">
      <c r="A1935" s="70">
        <v>45387</v>
      </c>
      <c r="B1935" s="25" t="s">
        <v>13029</v>
      </c>
      <c r="C1935" s="25" t="s">
        <v>13028</v>
      </c>
      <c r="D1935" s="25" t="s">
        <v>8</v>
      </c>
    </row>
    <row r="1936" spans="1:4">
      <c r="A1936" s="70">
        <v>45387</v>
      </c>
      <c r="B1936" s="25" t="s">
        <v>10969</v>
      </c>
      <c r="C1936" s="25" t="s">
        <v>13030</v>
      </c>
      <c r="D1936" s="25" t="s">
        <v>19</v>
      </c>
    </row>
    <row r="1937" spans="1:4">
      <c r="A1937" s="70">
        <v>45387</v>
      </c>
      <c r="B1937" s="25" t="s">
        <v>10969</v>
      </c>
      <c r="C1937" s="25" t="s">
        <v>13031</v>
      </c>
      <c r="D1937" s="25" t="s">
        <v>109</v>
      </c>
    </row>
    <row r="1938" spans="1:4">
      <c r="A1938" s="70">
        <v>45387</v>
      </c>
      <c r="B1938" s="25" t="s">
        <v>10969</v>
      </c>
      <c r="C1938" s="25" t="s">
        <v>13032</v>
      </c>
      <c r="D1938" s="25" t="s">
        <v>29</v>
      </c>
    </row>
    <row r="1939" spans="1:4">
      <c r="A1939" s="70">
        <v>45388</v>
      </c>
      <c r="B1939" s="25" t="s">
        <v>13034</v>
      </c>
      <c r="C1939" s="25" t="s">
        <v>13033</v>
      </c>
      <c r="D1939" s="25" t="s">
        <v>5</v>
      </c>
    </row>
    <row r="1940" spans="1:4">
      <c r="A1940" s="70">
        <v>45388</v>
      </c>
      <c r="B1940" s="25" t="s">
        <v>13036</v>
      </c>
      <c r="C1940" s="25" t="s">
        <v>13035</v>
      </c>
      <c r="D1940" s="25" t="s">
        <v>5</v>
      </c>
    </row>
    <row r="1941" spans="1:4">
      <c r="A1941" s="70">
        <v>45390</v>
      </c>
      <c r="B1941" s="25" t="s">
        <v>13038</v>
      </c>
      <c r="C1941" s="25" t="s">
        <v>13037</v>
      </c>
      <c r="D1941" s="25" t="s">
        <v>109</v>
      </c>
    </row>
    <row r="1942" spans="1:4">
      <c r="A1942" s="70">
        <v>45390</v>
      </c>
      <c r="B1942" s="25" t="s">
        <v>13040</v>
      </c>
      <c r="C1942" s="25" t="s">
        <v>13039</v>
      </c>
      <c r="D1942" s="25" t="s">
        <v>29</v>
      </c>
    </row>
    <row r="1943" spans="1:4">
      <c r="A1943" s="70">
        <v>45390</v>
      </c>
      <c r="B1943" s="25" t="s">
        <v>13042</v>
      </c>
      <c r="C1943" s="25" t="s">
        <v>13041</v>
      </c>
      <c r="D1943" s="25" t="s">
        <v>353</v>
      </c>
    </row>
    <row r="1944" spans="1:4">
      <c r="A1944" s="70">
        <v>45390</v>
      </c>
      <c r="B1944" s="25" t="s">
        <v>13044</v>
      </c>
      <c r="C1944" s="25" t="s">
        <v>13043</v>
      </c>
      <c r="D1944" s="25" t="s">
        <v>353</v>
      </c>
    </row>
    <row r="1945" spans="1:4">
      <c r="A1945" s="70">
        <v>45390</v>
      </c>
      <c r="B1945" s="25" t="s">
        <v>13046</v>
      </c>
      <c r="C1945" s="25" t="s">
        <v>13045</v>
      </c>
      <c r="D1945" s="25" t="s">
        <v>29</v>
      </c>
    </row>
    <row r="1946" spans="1:4">
      <c r="A1946" s="70">
        <v>45390</v>
      </c>
      <c r="B1946" s="25" t="s">
        <v>13047</v>
      </c>
      <c r="C1946" s="25" t="s">
        <v>13043</v>
      </c>
      <c r="D1946" s="25" t="s">
        <v>353</v>
      </c>
    </row>
    <row r="1947" spans="1:4">
      <c r="A1947" s="70">
        <v>45390</v>
      </c>
      <c r="B1947" s="25" t="s">
        <v>13048</v>
      </c>
      <c r="C1947" s="25" t="s">
        <v>13043</v>
      </c>
      <c r="D1947" s="25" t="s">
        <v>353</v>
      </c>
    </row>
    <row r="1948" spans="1:4">
      <c r="A1948" s="70">
        <v>45390</v>
      </c>
      <c r="B1948" s="25" t="s">
        <v>13050</v>
      </c>
      <c r="C1948" s="25" t="s">
        <v>13049</v>
      </c>
      <c r="D1948" s="25" t="s">
        <v>5</v>
      </c>
    </row>
    <row r="1949" spans="1:4">
      <c r="A1949" s="70">
        <v>45390</v>
      </c>
      <c r="B1949" s="25" t="s">
        <v>13052</v>
      </c>
      <c r="C1949" s="25" t="s">
        <v>13051</v>
      </c>
      <c r="D1949" s="25" t="s">
        <v>5</v>
      </c>
    </row>
    <row r="1950" spans="1:4">
      <c r="A1950" s="70">
        <v>45390</v>
      </c>
      <c r="B1950" s="25" t="s">
        <v>10969</v>
      </c>
      <c r="C1950" s="25" t="s">
        <v>13049</v>
      </c>
      <c r="D1950" s="25" t="s">
        <v>5</v>
      </c>
    </row>
    <row r="1951" spans="1:4">
      <c r="A1951" s="70">
        <v>45390</v>
      </c>
      <c r="B1951" s="25" t="s">
        <v>11477</v>
      </c>
      <c r="C1951" s="25" t="s">
        <v>13053</v>
      </c>
      <c r="D1951" s="25" t="s">
        <v>5</v>
      </c>
    </row>
    <row r="1952" spans="1:4">
      <c r="A1952" s="70">
        <v>45390</v>
      </c>
      <c r="B1952" s="25" t="s">
        <v>10969</v>
      </c>
      <c r="C1952" s="25" t="s">
        <v>13054</v>
      </c>
      <c r="D1952" s="25" t="s">
        <v>5</v>
      </c>
    </row>
    <row r="1953" spans="1:4">
      <c r="A1953" s="70">
        <v>45391</v>
      </c>
      <c r="B1953" s="25" t="s">
        <v>13055</v>
      </c>
      <c r="C1953" s="25" t="s">
        <v>11608</v>
      </c>
      <c r="D1953" s="25" t="s">
        <v>5</v>
      </c>
    </row>
    <row r="1954" spans="1:4">
      <c r="A1954" s="70">
        <v>45391</v>
      </c>
      <c r="B1954" s="25" t="s">
        <v>11384</v>
      </c>
      <c r="C1954" s="25" t="s">
        <v>13056</v>
      </c>
      <c r="D1954" s="25" t="s">
        <v>5</v>
      </c>
    </row>
    <row r="1955" spans="1:4">
      <c r="A1955" s="70">
        <v>45391</v>
      </c>
      <c r="B1955" s="25" t="s">
        <v>10969</v>
      </c>
      <c r="C1955" s="25" t="s">
        <v>13057</v>
      </c>
      <c r="D1955" s="25" t="s">
        <v>510</v>
      </c>
    </row>
    <row r="1956" spans="1:4">
      <c r="A1956" s="70">
        <v>45391</v>
      </c>
      <c r="B1956" s="25" t="s">
        <v>13059</v>
      </c>
      <c r="C1956" s="25" t="s">
        <v>13058</v>
      </c>
      <c r="D1956" s="25" t="s">
        <v>5</v>
      </c>
    </row>
    <row r="1957" spans="1:4">
      <c r="A1957" s="70">
        <v>45391</v>
      </c>
      <c r="B1957" s="25" t="s">
        <v>11384</v>
      </c>
      <c r="C1957" s="25" t="s">
        <v>13060</v>
      </c>
      <c r="D1957" s="25" t="s">
        <v>5</v>
      </c>
    </row>
    <row r="1958" spans="1:4">
      <c r="A1958" s="70">
        <v>45391</v>
      </c>
      <c r="B1958" s="25" t="s">
        <v>11384</v>
      </c>
      <c r="C1958" s="25" t="s">
        <v>13061</v>
      </c>
      <c r="D1958" s="25" t="s">
        <v>5</v>
      </c>
    </row>
    <row r="1959" spans="1:4">
      <c r="A1959" s="70">
        <v>45391</v>
      </c>
      <c r="B1959" s="25" t="s">
        <v>10969</v>
      </c>
      <c r="C1959" s="25" t="s">
        <v>13062</v>
      </c>
      <c r="D1959" s="25" t="s">
        <v>109</v>
      </c>
    </row>
    <row r="1960" spans="1:4">
      <c r="A1960" s="70">
        <v>45391</v>
      </c>
      <c r="B1960" s="25" t="s">
        <v>13064</v>
      </c>
      <c r="C1960" s="25" t="s">
        <v>13063</v>
      </c>
      <c r="D1960" s="25" t="s">
        <v>5</v>
      </c>
    </row>
    <row r="1961" spans="1:4">
      <c r="A1961" s="70">
        <v>45392</v>
      </c>
      <c r="B1961" s="25" t="s">
        <v>13066</v>
      </c>
      <c r="C1961" s="25" t="s">
        <v>13065</v>
      </c>
      <c r="D1961" s="25" t="s">
        <v>5</v>
      </c>
    </row>
    <row r="1962" spans="1:4">
      <c r="A1962" s="70">
        <v>45392</v>
      </c>
      <c r="B1962" s="25" t="s">
        <v>13068</v>
      </c>
      <c r="C1962" s="25" t="s">
        <v>13067</v>
      </c>
      <c r="D1962" s="25" t="s">
        <v>5</v>
      </c>
    </row>
    <row r="1963" spans="1:4">
      <c r="A1963" s="70">
        <v>45392</v>
      </c>
      <c r="B1963" s="25" t="s">
        <v>11419</v>
      </c>
      <c r="C1963" s="25" t="s">
        <v>13069</v>
      </c>
      <c r="D1963" s="25" t="s">
        <v>5</v>
      </c>
    </row>
    <row r="1964" spans="1:4">
      <c r="A1964" s="70">
        <v>45392</v>
      </c>
      <c r="B1964" s="25" t="s">
        <v>13071</v>
      </c>
      <c r="C1964" s="25" t="s">
        <v>13070</v>
      </c>
      <c r="D1964" s="25" t="s">
        <v>5</v>
      </c>
    </row>
    <row r="1965" spans="1:4">
      <c r="A1965" s="70">
        <v>45392</v>
      </c>
      <c r="B1965" s="25" t="s">
        <v>12492</v>
      </c>
      <c r="C1965" s="25" t="s">
        <v>13072</v>
      </c>
      <c r="D1965" s="25" t="s">
        <v>5</v>
      </c>
    </row>
    <row r="1966" spans="1:4">
      <c r="A1966" s="70">
        <v>45392</v>
      </c>
      <c r="B1966" s="25" t="s">
        <v>13074</v>
      </c>
      <c r="C1966" s="25" t="s">
        <v>13073</v>
      </c>
      <c r="D1966" s="25" t="s">
        <v>5</v>
      </c>
    </row>
    <row r="1967" spans="1:4">
      <c r="A1967" s="70">
        <v>45392</v>
      </c>
      <c r="B1967" s="25" t="s">
        <v>13076</v>
      </c>
      <c r="C1967" s="25" t="s">
        <v>13075</v>
      </c>
      <c r="D1967" s="25" t="s">
        <v>11</v>
      </c>
    </row>
    <row r="1968" spans="1:4">
      <c r="A1968" s="70">
        <v>45392</v>
      </c>
      <c r="B1968" s="25" t="s">
        <v>13078</v>
      </c>
      <c r="C1968" s="25" t="s">
        <v>13077</v>
      </c>
      <c r="D1968" s="25" t="s">
        <v>109</v>
      </c>
    </row>
    <row r="1969" spans="1:4">
      <c r="A1969" s="70">
        <v>45392</v>
      </c>
      <c r="B1969" s="25" t="s">
        <v>13080</v>
      </c>
      <c r="C1969" s="25" t="s">
        <v>13079</v>
      </c>
      <c r="D1969" s="25" t="s">
        <v>5</v>
      </c>
    </row>
    <row r="1970" spans="1:4">
      <c r="A1970" s="70">
        <v>45392</v>
      </c>
      <c r="B1970" s="25" t="s">
        <v>12492</v>
      </c>
      <c r="C1970" s="25" t="s">
        <v>13072</v>
      </c>
      <c r="D1970" s="25" t="s">
        <v>5</v>
      </c>
    </row>
    <row r="1971" spans="1:4">
      <c r="A1971" s="70">
        <v>45392</v>
      </c>
      <c r="B1971" s="25" t="s">
        <v>13082</v>
      </c>
      <c r="C1971" s="25" t="s">
        <v>13081</v>
      </c>
      <c r="D1971" s="25" t="s">
        <v>5</v>
      </c>
    </row>
    <row r="1972" spans="1:4">
      <c r="A1972" s="70">
        <v>45392</v>
      </c>
      <c r="B1972" s="25" t="s">
        <v>13083</v>
      </c>
      <c r="C1972" s="25" t="s">
        <v>11181</v>
      </c>
      <c r="D1972" s="25" t="s">
        <v>109</v>
      </c>
    </row>
    <row r="1973" spans="1:4">
      <c r="A1973" s="70">
        <v>45392</v>
      </c>
      <c r="B1973" s="25" t="s">
        <v>12492</v>
      </c>
      <c r="C1973" s="25" t="s">
        <v>13072</v>
      </c>
      <c r="D1973" s="25" t="s">
        <v>5</v>
      </c>
    </row>
    <row r="1974" spans="1:4">
      <c r="A1974" s="70">
        <v>45392</v>
      </c>
      <c r="B1974" s="25" t="s">
        <v>13085</v>
      </c>
      <c r="C1974" s="25" t="s">
        <v>13084</v>
      </c>
      <c r="D1974" s="25" t="s">
        <v>5</v>
      </c>
    </row>
    <row r="1975" spans="1:4">
      <c r="A1975" s="70">
        <v>45392</v>
      </c>
      <c r="B1975" s="25" t="s">
        <v>13087</v>
      </c>
      <c r="C1975" s="25" t="s">
        <v>13086</v>
      </c>
      <c r="D1975" s="25" t="s">
        <v>5</v>
      </c>
    </row>
    <row r="1976" spans="1:4">
      <c r="A1976" s="70">
        <v>45392</v>
      </c>
      <c r="B1976" s="25" t="s">
        <v>13089</v>
      </c>
      <c r="C1976" s="25" t="s">
        <v>13088</v>
      </c>
      <c r="D1976" s="25" t="s">
        <v>109</v>
      </c>
    </row>
    <row r="1977" spans="1:4">
      <c r="A1977" s="70">
        <v>45392</v>
      </c>
      <c r="B1977" s="25" t="s">
        <v>13090</v>
      </c>
      <c r="C1977" s="25" t="s">
        <v>13081</v>
      </c>
      <c r="D1977" s="25" t="s">
        <v>5</v>
      </c>
    </row>
    <row r="1978" spans="1:4">
      <c r="A1978" s="70">
        <v>45392</v>
      </c>
      <c r="B1978" s="25" t="s">
        <v>13092</v>
      </c>
      <c r="C1978" s="25" t="s">
        <v>13091</v>
      </c>
      <c r="D1978" s="25" t="s">
        <v>5</v>
      </c>
    </row>
    <row r="1979" spans="1:4">
      <c r="A1979" s="70">
        <v>45392</v>
      </c>
      <c r="B1979" s="25" t="s">
        <v>13094</v>
      </c>
      <c r="C1979" s="25" t="s">
        <v>13093</v>
      </c>
      <c r="D1979" s="25" t="s">
        <v>5</v>
      </c>
    </row>
    <row r="1980" spans="1:4">
      <c r="A1980" s="70">
        <v>45392</v>
      </c>
      <c r="B1980" s="25" t="s">
        <v>12492</v>
      </c>
      <c r="C1980" s="25" t="s">
        <v>13095</v>
      </c>
      <c r="D1980" s="25" t="s">
        <v>5</v>
      </c>
    </row>
    <row r="1981" spans="1:4">
      <c r="A1981" s="70">
        <v>45393</v>
      </c>
      <c r="B1981" s="25" t="s">
        <v>10969</v>
      </c>
      <c r="C1981" s="25" t="s">
        <v>13096</v>
      </c>
      <c r="D1981" s="25" t="s">
        <v>109</v>
      </c>
    </row>
    <row r="1982" spans="1:4">
      <c r="A1982" s="70">
        <v>45393</v>
      </c>
      <c r="B1982" s="25" t="s">
        <v>13098</v>
      </c>
      <c r="C1982" s="25" t="s">
        <v>13097</v>
      </c>
      <c r="D1982" s="25" t="s">
        <v>109</v>
      </c>
    </row>
    <row r="1983" spans="1:4">
      <c r="A1983" s="70">
        <v>45393</v>
      </c>
      <c r="B1983" s="25" t="s">
        <v>13100</v>
      </c>
      <c r="C1983" s="25" t="s">
        <v>13099</v>
      </c>
      <c r="D1983" s="25" t="s">
        <v>19</v>
      </c>
    </row>
    <row r="1984" spans="1:4">
      <c r="A1984" s="70">
        <v>45393</v>
      </c>
      <c r="B1984" s="25" t="s">
        <v>13102</v>
      </c>
      <c r="C1984" s="25" t="s">
        <v>13101</v>
      </c>
      <c r="D1984" s="25" t="s">
        <v>109</v>
      </c>
    </row>
    <row r="1985" spans="1:4">
      <c r="A1985" s="70">
        <v>45393</v>
      </c>
      <c r="B1985" s="25" t="s">
        <v>10969</v>
      </c>
      <c r="C1985" s="25" t="s">
        <v>13103</v>
      </c>
      <c r="D1985" s="25" t="s">
        <v>109</v>
      </c>
    </row>
    <row r="1986" spans="1:4">
      <c r="A1986" s="70">
        <v>45393</v>
      </c>
      <c r="B1986" s="25" t="s">
        <v>13104</v>
      </c>
      <c r="C1986" s="25" t="s">
        <v>13101</v>
      </c>
      <c r="D1986" s="25" t="s">
        <v>109</v>
      </c>
    </row>
    <row r="1987" spans="1:4">
      <c r="A1987" s="70">
        <v>45393</v>
      </c>
      <c r="B1987" s="25" t="s">
        <v>13106</v>
      </c>
      <c r="C1987" s="25" t="s">
        <v>13105</v>
      </c>
      <c r="D1987" s="25" t="s">
        <v>5</v>
      </c>
    </row>
    <row r="1988" spans="1:4">
      <c r="A1988" s="70">
        <v>45394</v>
      </c>
      <c r="B1988" s="25" t="s">
        <v>10969</v>
      </c>
      <c r="C1988" s="25" t="s">
        <v>13062</v>
      </c>
      <c r="D1988" s="25" t="s">
        <v>109</v>
      </c>
    </row>
    <row r="1989" spans="1:4">
      <c r="A1989" s="70">
        <v>45394</v>
      </c>
      <c r="B1989" s="25" t="s">
        <v>13108</v>
      </c>
      <c r="C1989" s="25" t="s">
        <v>13107</v>
      </c>
      <c r="D1989" s="25" t="s">
        <v>24</v>
      </c>
    </row>
    <row r="1990" spans="1:4">
      <c r="A1990" s="70">
        <v>45394</v>
      </c>
      <c r="B1990" s="25" t="s">
        <v>13110</v>
      </c>
      <c r="C1990" s="25" t="s">
        <v>13109</v>
      </c>
      <c r="D1990" s="25" t="s">
        <v>109</v>
      </c>
    </row>
    <row r="1991" spans="1:4">
      <c r="A1991" s="70">
        <v>45394</v>
      </c>
      <c r="B1991" s="25" t="s">
        <v>10969</v>
      </c>
      <c r="C1991" s="25" t="s">
        <v>13111</v>
      </c>
      <c r="D1991" s="25" t="s">
        <v>109</v>
      </c>
    </row>
    <row r="1992" spans="1:4">
      <c r="A1992" s="70">
        <v>45394</v>
      </c>
      <c r="B1992" s="25" t="s">
        <v>13112</v>
      </c>
      <c r="C1992" s="25" t="s">
        <v>13109</v>
      </c>
      <c r="D1992" s="25" t="s">
        <v>109</v>
      </c>
    </row>
    <row r="1993" spans="1:4">
      <c r="A1993" s="70">
        <v>45394</v>
      </c>
      <c r="B1993" s="25" t="s">
        <v>13114</v>
      </c>
      <c r="C1993" s="25" t="s">
        <v>13113</v>
      </c>
      <c r="D1993" s="25" t="s">
        <v>5</v>
      </c>
    </row>
    <row r="1994" spans="1:4">
      <c r="A1994" s="70">
        <v>45394</v>
      </c>
      <c r="B1994" s="25" t="s">
        <v>13116</v>
      </c>
      <c r="C1994" s="25" t="s">
        <v>13115</v>
      </c>
      <c r="D1994" s="25" t="s">
        <v>216</v>
      </c>
    </row>
    <row r="1995" spans="1:4">
      <c r="A1995" s="70">
        <v>45394</v>
      </c>
      <c r="B1995" s="25" t="s">
        <v>13118</v>
      </c>
      <c r="C1995" s="25" t="s">
        <v>13117</v>
      </c>
      <c r="D1995" s="25" t="s">
        <v>29</v>
      </c>
    </row>
    <row r="1996" spans="1:4">
      <c r="A1996" s="70">
        <v>45394</v>
      </c>
      <c r="B1996" s="25" t="s">
        <v>13120</v>
      </c>
      <c r="C1996" s="25" t="s">
        <v>13119</v>
      </c>
      <c r="D1996" s="25" t="s">
        <v>5</v>
      </c>
    </row>
    <row r="1997" spans="1:4">
      <c r="A1997" s="70">
        <v>45395</v>
      </c>
      <c r="B1997" s="25" t="s">
        <v>13122</v>
      </c>
      <c r="C1997" s="25" t="s">
        <v>13121</v>
      </c>
      <c r="D1997" s="25" t="s">
        <v>5</v>
      </c>
    </row>
    <row r="1998" spans="1:4">
      <c r="A1998" s="70">
        <v>45395</v>
      </c>
      <c r="B1998" s="25" t="s">
        <v>13124</v>
      </c>
      <c r="C1998" s="25" t="s">
        <v>13123</v>
      </c>
      <c r="D1998" s="25" t="s">
        <v>5</v>
      </c>
    </row>
    <row r="1999" spans="1:4">
      <c r="A1999" s="70">
        <v>45395</v>
      </c>
      <c r="B1999" s="25" t="s">
        <v>13126</v>
      </c>
      <c r="C1999" s="25" t="s">
        <v>13125</v>
      </c>
      <c r="D1999" s="25" t="s">
        <v>34</v>
      </c>
    </row>
    <row r="2000" spans="1:4">
      <c r="A2000" s="70">
        <v>45396</v>
      </c>
      <c r="B2000" s="25" t="s">
        <v>10969</v>
      </c>
      <c r="C2000" s="25" t="s">
        <v>13127</v>
      </c>
      <c r="D2000" s="25" t="s">
        <v>5</v>
      </c>
    </row>
    <row r="2001" spans="1:4">
      <c r="A2001" s="70">
        <v>45397</v>
      </c>
      <c r="B2001" s="25" t="s">
        <v>13129</v>
      </c>
      <c r="C2001" s="25" t="s">
        <v>13128</v>
      </c>
      <c r="D2001" s="25" t="s">
        <v>109</v>
      </c>
    </row>
    <row r="2002" spans="1:4">
      <c r="A2002" s="70">
        <v>45397</v>
      </c>
      <c r="B2002" s="25" t="s">
        <v>13131</v>
      </c>
      <c r="C2002" s="25" t="s">
        <v>13130</v>
      </c>
      <c r="D2002" s="25" t="s">
        <v>5</v>
      </c>
    </row>
    <row r="2003" spans="1:4">
      <c r="A2003" s="70">
        <v>45397</v>
      </c>
      <c r="B2003" s="25" t="s">
        <v>10969</v>
      </c>
      <c r="C2003" s="25" t="s">
        <v>13132</v>
      </c>
      <c r="D2003" s="25" t="s">
        <v>19</v>
      </c>
    </row>
    <row r="2004" spans="1:4">
      <c r="A2004" s="70">
        <v>45397</v>
      </c>
      <c r="B2004" s="25" t="s">
        <v>13134</v>
      </c>
      <c r="C2004" s="25" t="s">
        <v>13133</v>
      </c>
      <c r="D2004" s="25" t="s">
        <v>353</v>
      </c>
    </row>
    <row r="2005" spans="1:4">
      <c r="A2005" s="70">
        <v>45397</v>
      </c>
      <c r="B2005" s="25" t="s">
        <v>13136</v>
      </c>
      <c r="C2005" s="25" t="s">
        <v>13135</v>
      </c>
      <c r="D2005" s="25" t="s">
        <v>5</v>
      </c>
    </row>
    <row r="2006" spans="1:4">
      <c r="A2006" s="70">
        <v>45397</v>
      </c>
      <c r="B2006" s="25" t="s">
        <v>13137</v>
      </c>
      <c r="C2006" s="25" t="s">
        <v>13133</v>
      </c>
      <c r="D2006" s="25" t="s">
        <v>353</v>
      </c>
    </row>
    <row r="2007" spans="1:4">
      <c r="A2007" s="70">
        <v>45397</v>
      </c>
      <c r="B2007" s="25" t="s">
        <v>13139</v>
      </c>
      <c r="C2007" s="25" t="s">
        <v>13138</v>
      </c>
      <c r="D2007" s="25" t="s">
        <v>353</v>
      </c>
    </row>
    <row r="2008" spans="1:4">
      <c r="A2008" s="70">
        <v>45397</v>
      </c>
      <c r="B2008" s="25" t="s">
        <v>13141</v>
      </c>
      <c r="C2008" s="25" t="s">
        <v>13140</v>
      </c>
      <c r="D2008" s="25" t="s">
        <v>5</v>
      </c>
    </row>
    <row r="2009" spans="1:4">
      <c r="A2009" s="70">
        <v>45397</v>
      </c>
      <c r="B2009" s="25" t="s">
        <v>13143</v>
      </c>
      <c r="C2009" s="25" t="s">
        <v>13142</v>
      </c>
      <c r="D2009" s="25" t="s">
        <v>216</v>
      </c>
    </row>
    <row r="2010" spans="1:4">
      <c r="A2010" s="70">
        <v>45397</v>
      </c>
      <c r="B2010" s="25" t="s">
        <v>13145</v>
      </c>
      <c r="C2010" s="25" t="s">
        <v>13144</v>
      </c>
      <c r="D2010" s="25" t="s">
        <v>5</v>
      </c>
    </row>
    <row r="2011" spans="1:4">
      <c r="A2011" s="70">
        <v>45397</v>
      </c>
      <c r="B2011" s="25" t="s">
        <v>13143</v>
      </c>
      <c r="C2011" s="25" t="s">
        <v>13146</v>
      </c>
      <c r="D2011" s="25" t="s">
        <v>216</v>
      </c>
    </row>
    <row r="2012" spans="1:4">
      <c r="A2012" s="70">
        <v>45397</v>
      </c>
      <c r="B2012" s="25" t="s">
        <v>13143</v>
      </c>
      <c r="C2012" s="25" t="s">
        <v>13147</v>
      </c>
      <c r="D2012" s="25" t="s">
        <v>216</v>
      </c>
    </row>
    <row r="2013" spans="1:4">
      <c r="A2013" s="70">
        <v>45398</v>
      </c>
      <c r="B2013" s="25" t="s">
        <v>13149</v>
      </c>
      <c r="C2013" s="25" t="s">
        <v>13148</v>
      </c>
      <c r="D2013" s="25" t="s">
        <v>24</v>
      </c>
    </row>
    <row r="2014" spans="1:4">
      <c r="A2014" s="70">
        <v>45398</v>
      </c>
      <c r="B2014" s="25" t="s">
        <v>13151</v>
      </c>
      <c r="C2014" s="25" t="s">
        <v>13150</v>
      </c>
      <c r="D2014" s="25" t="s">
        <v>164</v>
      </c>
    </row>
    <row r="2015" spans="1:4">
      <c r="A2015" s="70">
        <v>45398</v>
      </c>
      <c r="B2015" s="25" t="s">
        <v>10969</v>
      </c>
      <c r="C2015" s="25" t="s">
        <v>13152</v>
      </c>
      <c r="D2015" s="25" t="s">
        <v>29</v>
      </c>
    </row>
    <row r="2016" spans="1:4">
      <c r="A2016" s="70">
        <v>45398</v>
      </c>
      <c r="B2016" s="25" t="s">
        <v>13154</v>
      </c>
      <c r="C2016" s="25" t="s">
        <v>13153</v>
      </c>
      <c r="D2016" s="25" t="s">
        <v>5</v>
      </c>
    </row>
    <row r="2017" spans="1:4">
      <c r="A2017" s="70">
        <v>45398</v>
      </c>
      <c r="B2017" s="25" t="s">
        <v>13156</v>
      </c>
      <c r="C2017" s="25" t="s">
        <v>13155</v>
      </c>
      <c r="D2017" s="25" t="s">
        <v>29</v>
      </c>
    </row>
    <row r="2018" spans="1:4">
      <c r="A2018" s="70">
        <v>45398</v>
      </c>
      <c r="B2018" s="25" t="s">
        <v>12492</v>
      </c>
      <c r="C2018" s="25" t="s">
        <v>13157</v>
      </c>
      <c r="D2018" s="25" t="s">
        <v>5</v>
      </c>
    </row>
    <row r="2019" spans="1:4">
      <c r="A2019" s="70">
        <v>45398</v>
      </c>
      <c r="B2019" s="25" t="s">
        <v>13158</v>
      </c>
      <c r="C2019" s="25" t="s">
        <v>13155</v>
      </c>
      <c r="D2019" s="25" t="s">
        <v>29</v>
      </c>
    </row>
    <row r="2020" spans="1:4">
      <c r="A2020" s="70">
        <v>45398</v>
      </c>
      <c r="B2020" s="25" t="s">
        <v>10969</v>
      </c>
      <c r="C2020" s="25" t="s">
        <v>11090</v>
      </c>
      <c r="D2020" s="25" t="s">
        <v>29</v>
      </c>
    </row>
    <row r="2021" spans="1:4">
      <c r="A2021" s="70">
        <v>45398</v>
      </c>
      <c r="B2021" s="25" t="s">
        <v>12492</v>
      </c>
      <c r="C2021" s="25" t="s">
        <v>13159</v>
      </c>
      <c r="D2021" s="25" t="s">
        <v>5</v>
      </c>
    </row>
    <row r="2022" spans="1:4">
      <c r="A2022" s="70">
        <v>45398</v>
      </c>
      <c r="B2022" s="25" t="s">
        <v>13161</v>
      </c>
      <c r="C2022" s="25" t="s">
        <v>13160</v>
      </c>
      <c r="D2022" s="25" t="s">
        <v>29</v>
      </c>
    </row>
    <row r="2023" spans="1:4">
      <c r="A2023" s="70">
        <v>45398</v>
      </c>
      <c r="B2023" s="25" t="s">
        <v>13163</v>
      </c>
      <c r="C2023" s="25" t="s">
        <v>13162</v>
      </c>
      <c r="D2023" s="25" t="s">
        <v>24</v>
      </c>
    </row>
    <row r="2024" spans="1:4">
      <c r="A2024" s="70">
        <v>45398</v>
      </c>
      <c r="B2024" s="25" t="s">
        <v>11708</v>
      </c>
      <c r="C2024" s="25" t="s">
        <v>13159</v>
      </c>
      <c r="D2024" s="25" t="s">
        <v>5</v>
      </c>
    </row>
    <row r="2025" spans="1:4">
      <c r="A2025" s="70">
        <v>45398</v>
      </c>
      <c r="B2025" s="25" t="s">
        <v>13165</v>
      </c>
      <c r="C2025" s="25" t="s">
        <v>13164</v>
      </c>
      <c r="D2025" s="25" t="s">
        <v>16</v>
      </c>
    </row>
    <row r="2026" spans="1:4">
      <c r="A2026" s="70">
        <v>45398</v>
      </c>
      <c r="B2026" s="25" t="s">
        <v>13167</v>
      </c>
      <c r="C2026" s="25" t="s">
        <v>13166</v>
      </c>
      <c r="D2026" s="25" t="s">
        <v>29</v>
      </c>
    </row>
    <row r="2027" spans="1:4">
      <c r="A2027" s="70">
        <v>45398</v>
      </c>
      <c r="B2027" s="25" t="s">
        <v>13169</v>
      </c>
      <c r="C2027" s="25" t="s">
        <v>13168</v>
      </c>
      <c r="D2027" s="25" t="s">
        <v>109</v>
      </c>
    </row>
    <row r="2028" spans="1:4">
      <c r="A2028" s="70">
        <v>45398</v>
      </c>
      <c r="B2028" s="25" t="s">
        <v>13170</v>
      </c>
      <c r="C2028" s="25" t="s">
        <v>13168</v>
      </c>
      <c r="D2028" s="25" t="s">
        <v>109</v>
      </c>
    </row>
    <row r="2029" spans="1:4">
      <c r="A2029" s="70">
        <v>45398</v>
      </c>
      <c r="B2029" s="25" t="s">
        <v>13171</v>
      </c>
      <c r="C2029" s="25" t="s">
        <v>13168</v>
      </c>
      <c r="D2029" s="25" t="s">
        <v>109</v>
      </c>
    </row>
    <row r="2030" spans="1:4">
      <c r="A2030" s="70">
        <v>45398</v>
      </c>
      <c r="B2030" s="25" t="s">
        <v>13173</v>
      </c>
      <c r="C2030" s="25" t="s">
        <v>13172</v>
      </c>
      <c r="D2030" s="25" t="s">
        <v>5</v>
      </c>
    </row>
    <row r="2031" spans="1:4">
      <c r="A2031" s="70">
        <v>45398</v>
      </c>
      <c r="B2031" s="25" t="s">
        <v>13173</v>
      </c>
      <c r="C2031" s="25" t="s">
        <v>13174</v>
      </c>
      <c r="D2031" s="25" t="s">
        <v>5</v>
      </c>
    </row>
    <row r="2032" spans="1:4">
      <c r="A2032" s="70">
        <v>45399</v>
      </c>
      <c r="B2032" s="25" t="s">
        <v>13176</v>
      </c>
      <c r="C2032" s="25" t="s">
        <v>13175</v>
      </c>
      <c r="D2032" s="25" t="s">
        <v>8</v>
      </c>
    </row>
    <row r="2033" spans="1:4">
      <c r="A2033" s="70">
        <v>45399</v>
      </c>
      <c r="B2033" s="25" t="s">
        <v>13178</v>
      </c>
      <c r="C2033" s="25" t="s">
        <v>13177</v>
      </c>
      <c r="D2033" s="25" t="s">
        <v>29</v>
      </c>
    </row>
    <row r="2034" spans="1:4">
      <c r="A2034" s="70">
        <v>45399</v>
      </c>
      <c r="B2034" s="25" t="s">
        <v>13180</v>
      </c>
      <c r="C2034" s="25" t="s">
        <v>13179</v>
      </c>
      <c r="D2034" s="25" t="s">
        <v>34</v>
      </c>
    </row>
    <row r="2035" spans="1:4">
      <c r="A2035" s="70">
        <v>45399</v>
      </c>
      <c r="B2035" s="25" t="s">
        <v>13182</v>
      </c>
      <c r="C2035" s="25" t="s">
        <v>13181</v>
      </c>
      <c r="D2035" s="25" t="s">
        <v>16</v>
      </c>
    </row>
    <row r="2036" spans="1:4">
      <c r="A2036" s="70">
        <v>45399</v>
      </c>
      <c r="B2036" s="25" t="s">
        <v>10969</v>
      </c>
      <c r="C2036" s="25" t="s">
        <v>13183</v>
      </c>
      <c r="D2036" s="25" t="s">
        <v>29</v>
      </c>
    </row>
    <row r="2037" spans="1:4">
      <c r="A2037" s="70">
        <v>45399</v>
      </c>
      <c r="B2037" s="25" t="s">
        <v>13185</v>
      </c>
      <c r="C2037" s="25" t="s">
        <v>13184</v>
      </c>
      <c r="D2037" s="25" t="s">
        <v>29</v>
      </c>
    </row>
    <row r="2038" spans="1:4">
      <c r="A2038" s="70">
        <v>45399</v>
      </c>
      <c r="B2038" s="25" t="s">
        <v>10969</v>
      </c>
      <c r="C2038" s="25" t="s">
        <v>13186</v>
      </c>
      <c r="D2038" s="25" t="s">
        <v>29</v>
      </c>
    </row>
    <row r="2039" spans="1:4">
      <c r="A2039" s="70">
        <v>45399</v>
      </c>
      <c r="B2039" s="25" t="s">
        <v>13188</v>
      </c>
      <c r="C2039" s="25" t="s">
        <v>13187</v>
      </c>
      <c r="D2039" s="25" t="s">
        <v>109</v>
      </c>
    </row>
    <row r="2040" spans="1:4">
      <c r="A2040" s="70">
        <v>45400</v>
      </c>
      <c r="B2040" s="25" t="s">
        <v>13190</v>
      </c>
      <c r="C2040" s="25" t="s">
        <v>13189</v>
      </c>
      <c r="D2040" s="25" t="s">
        <v>8</v>
      </c>
    </row>
    <row r="2041" spans="1:4">
      <c r="A2041" s="70">
        <v>45400</v>
      </c>
      <c r="B2041" s="25" t="s">
        <v>13192</v>
      </c>
      <c r="C2041" s="25" t="s">
        <v>13191</v>
      </c>
      <c r="D2041" s="25" t="s">
        <v>5</v>
      </c>
    </row>
    <row r="2042" spans="1:4">
      <c r="A2042" s="70">
        <v>45400</v>
      </c>
      <c r="B2042" s="25" t="s">
        <v>10969</v>
      </c>
      <c r="C2042" s="25" t="s">
        <v>13193</v>
      </c>
      <c r="D2042" s="25" t="s">
        <v>109</v>
      </c>
    </row>
    <row r="2043" spans="1:4">
      <c r="A2043" s="70">
        <v>45400</v>
      </c>
      <c r="B2043" s="25" t="s">
        <v>13195</v>
      </c>
      <c r="C2043" s="25" t="s">
        <v>13194</v>
      </c>
      <c r="D2043" s="25" t="s">
        <v>5</v>
      </c>
    </row>
    <row r="2044" spans="1:4">
      <c r="A2044" s="70">
        <v>45400</v>
      </c>
      <c r="B2044" s="25" t="s">
        <v>13197</v>
      </c>
      <c r="C2044" s="25" t="s">
        <v>13196</v>
      </c>
      <c r="D2044" s="25" t="s">
        <v>109</v>
      </c>
    </row>
    <row r="2045" spans="1:4">
      <c r="A2045" s="70">
        <v>45400</v>
      </c>
      <c r="B2045" s="25" t="s">
        <v>13199</v>
      </c>
      <c r="C2045" s="25" t="s">
        <v>13198</v>
      </c>
      <c r="D2045" s="25" t="s">
        <v>109</v>
      </c>
    </row>
    <row r="2046" spans="1:4">
      <c r="A2046" s="70">
        <v>45400</v>
      </c>
      <c r="B2046" s="25" t="s">
        <v>10969</v>
      </c>
      <c r="C2046" s="25" t="s">
        <v>13200</v>
      </c>
      <c r="D2046" s="25" t="s">
        <v>29</v>
      </c>
    </row>
    <row r="2047" spans="1:4">
      <c r="A2047" s="70">
        <v>45400</v>
      </c>
      <c r="B2047" s="25" t="s">
        <v>13202</v>
      </c>
      <c r="C2047" s="25" t="s">
        <v>13201</v>
      </c>
      <c r="D2047" s="25" t="s">
        <v>5</v>
      </c>
    </row>
    <row r="2048" spans="1:4">
      <c r="A2048" s="70">
        <v>45400</v>
      </c>
      <c r="B2048" s="25" t="s">
        <v>13204</v>
      </c>
      <c r="C2048" s="25" t="s">
        <v>13203</v>
      </c>
      <c r="D2048" s="25" t="s">
        <v>109</v>
      </c>
    </row>
    <row r="2049" spans="1:4">
      <c r="A2049" s="70">
        <v>45400</v>
      </c>
      <c r="B2049" s="25" t="s">
        <v>13206</v>
      </c>
      <c r="C2049" s="25" t="s">
        <v>13205</v>
      </c>
      <c r="D2049" s="25" t="s">
        <v>5</v>
      </c>
    </row>
    <row r="2050" spans="1:4">
      <c r="A2050" s="70">
        <v>45400</v>
      </c>
      <c r="B2050" s="25" t="s">
        <v>13208</v>
      </c>
      <c r="C2050" s="25" t="s">
        <v>13207</v>
      </c>
      <c r="D2050" s="25" t="s">
        <v>11</v>
      </c>
    </row>
    <row r="2051" spans="1:4">
      <c r="A2051" s="70">
        <v>45400</v>
      </c>
      <c r="B2051" s="25" t="s">
        <v>10969</v>
      </c>
      <c r="C2051" s="25" t="s">
        <v>12348</v>
      </c>
      <c r="D2051" s="25" t="s">
        <v>74</v>
      </c>
    </row>
    <row r="2052" spans="1:4">
      <c r="A2052" s="70">
        <v>45400</v>
      </c>
      <c r="B2052" s="25" t="s">
        <v>10969</v>
      </c>
      <c r="C2052" s="25" t="s">
        <v>12348</v>
      </c>
      <c r="D2052" s="25" t="s">
        <v>74</v>
      </c>
    </row>
    <row r="2053" spans="1:4">
      <c r="A2053" s="70">
        <v>45400</v>
      </c>
      <c r="B2053" s="25" t="s">
        <v>13210</v>
      </c>
      <c r="C2053" s="25" t="s">
        <v>13209</v>
      </c>
      <c r="D2053" s="25" t="s">
        <v>11</v>
      </c>
    </row>
    <row r="2054" spans="1:4">
      <c r="A2054" s="70">
        <v>45400</v>
      </c>
      <c r="B2054" s="25" t="s">
        <v>13212</v>
      </c>
      <c r="C2054" s="25" t="s">
        <v>13211</v>
      </c>
      <c r="D2054" s="25" t="s">
        <v>11</v>
      </c>
    </row>
    <row r="2055" spans="1:4">
      <c r="A2055" s="70">
        <v>45401</v>
      </c>
      <c r="B2055" s="25" t="s">
        <v>13214</v>
      </c>
      <c r="C2055" s="25" t="s">
        <v>13213</v>
      </c>
      <c r="D2055" s="25" t="s">
        <v>24</v>
      </c>
    </row>
    <row r="2056" spans="1:4">
      <c r="A2056" s="70">
        <v>45401</v>
      </c>
      <c r="B2056" s="25" t="s">
        <v>13216</v>
      </c>
      <c r="C2056" s="25" t="s">
        <v>13215</v>
      </c>
      <c r="D2056" s="25" t="s">
        <v>5</v>
      </c>
    </row>
    <row r="2057" spans="1:4">
      <c r="A2057" s="70">
        <v>45401</v>
      </c>
      <c r="B2057" s="25" t="s">
        <v>13218</v>
      </c>
      <c r="C2057" s="25" t="s">
        <v>13217</v>
      </c>
      <c r="D2057" s="25" t="s">
        <v>109</v>
      </c>
    </row>
    <row r="2058" spans="1:4">
      <c r="A2058" s="70">
        <v>45401</v>
      </c>
      <c r="B2058" s="25" t="s">
        <v>13220</v>
      </c>
      <c r="C2058" s="25" t="s">
        <v>13219</v>
      </c>
      <c r="D2058" s="25" t="s">
        <v>74</v>
      </c>
    </row>
    <row r="2059" spans="1:4">
      <c r="A2059" s="70">
        <v>45401</v>
      </c>
      <c r="B2059" s="25" t="s">
        <v>13222</v>
      </c>
      <c r="C2059" s="25" t="s">
        <v>13221</v>
      </c>
      <c r="D2059" s="25" t="s">
        <v>216</v>
      </c>
    </row>
    <row r="2060" spans="1:4">
      <c r="A2060" s="70">
        <v>45401</v>
      </c>
      <c r="B2060" s="25" t="s">
        <v>11419</v>
      </c>
      <c r="C2060" s="25" t="s">
        <v>13223</v>
      </c>
      <c r="D2060" s="25" t="s">
        <v>5</v>
      </c>
    </row>
    <row r="2061" spans="1:4">
      <c r="A2061" s="70">
        <v>45401</v>
      </c>
      <c r="B2061" s="25" t="s">
        <v>10969</v>
      </c>
      <c r="C2061" s="25" t="s">
        <v>13224</v>
      </c>
      <c r="D2061" s="25" t="s">
        <v>353</v>
      </c>
    </row>
    <row r="2062" spans="1:4">
      <c r="A2062" s="70">
        <v>45401</v>
      </c>
      <c r="B2062" s="25" t="s">
        <v>13226</v>
      </c>
      <c r="C2062" s="25" t="s">
        <v>13225</v>
      </c>
      <c r="D2062" s="25" t="s">
        <v>74</v>
      </c>
    </row>
    <row r="2063" spans="1:4">
      <c r="A2063" s="70">
        <v>45401</v>
      </c>
      <c r="B2063" s="25" t="s">
        <v>13228</v>
      </c>
      <c r="C2063" s="25" t="s">
        <v>13227</v>
      </c>
      <c r="D2063" s="25" t="s">
        <v>5</v>
      </c>
    </row>
    <row r="2064" spans="1:4">
      <c r="A2064" s="70">
        <v>45401</v>
      </c>
      <c r="B2064" s="25" t="s">
        <v>13229</v>
      </c>
      <c r="C2064" s="25" t="s">
        <v>11231</v>
      </c>
      <c r="D2064" s="25" t="s">
        <v>5</v>
      </c>
    </row>
    <row r="2065" spans="1:4">
      <c r="A2065" s="70">
        <v>45401</v>
      </c>
      <c r="B2065" s="25" t="s">
        <v>13231</v>
      </c>
      <c r="C2065" s="25" t="s">
        <v>13230</v>
      </c>
      <c r="D2065" s="25" t="s">
        <v>109</v>
      </c>
    </row>
    <row r="2066" spans="1:4">
      <c r="A2066" s="70">
        <v>45401</v>
      </c>
      <c r="B2066" s="25" t="s">
        <v>10969</v>
      </c>
      <c r="C2066" s="25" t="s">
        <v>13232</v>
      </c>
      <c r="D2066" s="25" t="s">
        <v>5</v>
      </c>
    </row>
    <row r="2067" spans="1:4">
      <c r="A2067" s="70">
        <v>45401</v>
      </c>
      <c r="B2067" s="25" t="s">
        <v>13234</v>
      </c>
      <c r="C2067" s="25" t="s">
        <v>13233</v>
      </c>
      <c r="D2067" s="25" t="s">
        <v>5</v>
      </c>
    </row>
    <row r="2068" spans="1:4">
      <c r="A2068" s="70">
        <v>45401</v>
      </c>
      <c r="B2068" s="25" t="s">
        <v>13236</v>
      </c>
      <c r="C2068" s="25" t="s">
        <v>13235</v>
      </c>
      <c r="D2068" s="25" t="s">
        <v>34</v>
      </c>
    </row>
    <row r="2069" spans="1:4">
      <c r="A2069" s="70">
        <v>45401</v>
      </c>
      <c r="B2069" s="25" t="s">
        <v>13238</v>
      </c>
      <c r="C2069" s="25" t="s">
        <v>13237</v>
      </c>
      <c r="D2069" s="25" t="s">
        <v>109</v>
      </c>
    </row>
    <row r="2070" spans="1:4">
      <c r="A2070" s="70">
        <v>45402</v>
      </c>
      <c r="B2070" s="25" t="s">
        <v>13240</v>
      </c>
      <c r="C2070" s="25" t="s">
        <v>13239</v>
      </c>
      <c r="D2070" s="25" t="s">
        <v>5</v>
      </c>
    </row>
    <row r="2071" spans="1:4">
      <c r="A2071" s="70">
        <v>45402</v>
      </c>
      <c r="B2071" s="25" t="s">
        <v>13242</v>
      </c>
      <c r="C2071" s="25" t="s">
        <v>13241</v>
      </c>
      <c r="D2071" s="25" t="s">
        <v>5</v>
      </c>
    </row>
    <row r="2072" spans="1:4">
      <c r="A2072" s="70">
        <v>45404</v>
      </c>
      <c r="B2072" s="25" t="s">
        <v>13244</v>
      </c>
      <c r="C2072" s="25" t="s">
        <v>13243</v>
      </c>
      <c r="D2072" s="25" t="s">
        <v>109</v>
      </c>
    </row>
    <row r="2073" spans="1:4">
      <c r="A2073" s="70">
        <v>45404</v>
      </c>
      <c r="B2073" s="25" t="s">
        <v>13245</v>
      </c>
      <c r="C2073" s="25" t="s">
        <v>11231</v>
      </c>
      <c r="D2073" s="25" t="s">
        <v>5</v>
      </c>
    </row>
    <row r="2074" spans="1:4">
      <c r="A2074" s="70">
        <v>45405</v>
      </c>
      <c r="B2074" s="25" t="s">
        <v>13247</v>
      </c>
      <c r="C2074" s="25" t="s">
        <v>13246</v>
      </c>
      <c r="D2074" s="25" t="s">
        <v>5</v>
      </c>
    </row>
    <row r="2075" spans="1:4">
      <c r="A2075" s="70">
        <v>45405</v>
      </c>
      <c r="B2075" s="25" t="s">
        <v>13249</v>
      </c>
      <c r="C2075" s="25" t="s">
        <v>13248</v>
      </c>
      <c r="D2075" s="25" t="s">
        <v>5</v>
      </c>
    </row>
    <row r="2076" spans="1:4">
      <c r="A2076" s="70">
        <v>45405</v>
      </c>
      <c r="B2076" s="25" t="s">
        <v>13251</v>
      </c>
      <c r="C2076" s="25" t="s">
        <v>13250</v>
      </c>
      <c r="D2076" s="25" t="s">
        <v>29</v>
      </c>
    </row>
    <row r="2077" spans="1:4">
      <c r="A2077" s="70">
        <v>45405</v>
      </c>
      <c r="B2077" s="25" t="s">
        <v>13253</v>
      </c>
      <c r="C2077" s="25" t="s">
        <v>13252</v>
      </c>
      <c r="D2077" s="25" t="s">
        <v>109</v>
      </c>
    </row>
    <row r="2078" spans="1:4">
      <c r="A2078" s="70">
        <v>45405</v>
      </c>
      <c r="B2078" s="25" t="s">
        <v>13255</v>
      </c>
      <c r="C2078" s="25" t="s">
        <v>13254</v>
      </c>
      <c r="D2078" s="25" t="s">
        <v>24</v>
      </c>
    </row>
    <row r="2079" spans="1:4">
      <c r="A2079" s="70">
        <v>45407</v>
      </c>
      <c r="B2079" s="25" t="s">
        <v>13257</v>
      </c>
      <c r="C2079" s="25" t="s">
        <v>13256</v>
      </c>
      <c r="D2079" s="25" t="s">
        <v>109</v>
      </c>
    </row>
    <row r="2080" spans="1:4">
      <c r="A2080" s="70">
        <v>45407</v>
      </c>
      <c r="B2080" s="25" t="s">
        <v>13259</v>
      </c>
      <c r="C2080" s="25" t="s">
        <v>13258</v>
      </c>
      <c r="D2080" s="25" t="s">
        <v>29</v>
      </c>
    </row>
    <row r="2081" spans="1:4">
      <c r="A2081" s="70">
        <v>45411</v>
      </c>
      <c r="B2081" s="25" t="s">
        <v>13261</v>
      </c>
      <c r="C2081" s="25" t="s">
        <v>13260</v>
      </c>
      <c r="D2081" s="25" t="s">
        <v>164</v>
      </c>
    </row>
    <row r="2082" spans="1:4">
      <c r="A2082" s="70">
        <v>45411</v>
      </c>
      <c r="B2082" s="25" t="s">
        <v>13263</v>
      </c>
      <c r="C2082" s="25" t="s">
        <v>13262</v>
      </c>
      <c r="D2082" s="25" t="s">
        <v>29</v>
      </c>
    </row>
    <row r="2083" spans="1:4">
      <c r="A2083" s="70">
        <v>45414</v>
      </c>
      <c r="B2083" s="25" t="s">
        <v>13265</v>
      </c>
      <c r="C2083" s="25" t="s">
        <v>13264</v>
      </c>
      <c r="D2083" s="25" t="s">
        <v>216</v>
      </c>
    </row>
    <row r="2084" spans="1:4">
      <c r="A2084" s="70">
        <v>45414</v>
      </c>
      <c r="B2084" s="25" t="s">
        <v>13267</v>
      </c>
      <c r="C2084" s="25" t="s">
        <v>13266</v>
      </c>
      <c r="D2084" s="25" t="s">
        <v>16</v>
      </c>
    </row>
    <row r="2085" spans="1:4">
      <c r="A2085" s="70">
        <v>45414</v>
      </c>
      <c r="B2085" s="25" t="s">
        <v>13269</v>
      </c>
      <c r="C2085" s="25" t="s">
        <v>13268</v>
      </c>
      <c r="D2085" s="25" t="s">
        <v>5</v>
      </c>
    </row>
    <row r="2086" spans="1:4">
      <c r="A2086" s="70">
        <v>45415</v>
      </c>
      <c r="B2086" s="25" t="s">
        <v>13271</v>
      </c>
      <c r="C2086" s="25" t="s">
        <v>13270</v>
      </c>
      <c r="D2086" s="25" t="s">
        <v>74</v>
      </c>
    </row>
    <row r="2087" spans="1:4">
      <c r="A2087" s="70">
        <v>45415</v>
      </c>
      <c r="B2087" s="25" t="s">
        <v>13273</v>
      </c>
      <c r="C2087" s="25" t="s">
        <v>13272</v>
      </c>
      <c r="D2087" s="25" t="s">
        <v>16</v>
      </c>
    </row>
    <row r="2088" spans="1:4">
      <c r="A2088" s="70">
        <v>45415</v>
      </c>
      <c r="B2088" s="25" t="s">
        <v>13275</v>
      </c>
      <c r="C2088" s="25" t="s">
        <v>13274</v>
      </c>
      <c r="D2088" s="25" t="s">
        <v>74</v>
      </c>
    </row>
    <row r="2089" spans="1:4">
      <c r="A2089" s="70">
        <v>45415</v>
      </c>
      <c r="B2089" s="25" t="s">
        <v>13277</v>
      </c>
      <c r="C2089" s="25" t="s">
        <v>13276</v>
      </c>
      <c r="D2089" s="25" t="s">
        <v>16</v>
      </c>
    </row>
    <row r="2090" spans="1:4">
      <c r="A2090" s="70">
        <v>45415</v>
      </c>
      <c r="B2090" s="25" t="s">
        <v>13279</v>
      </c>
      <c r="C2090" s="25" t="s">
        <v>13278</v>
      </c>
      <c r="D2090" s="25" t="s">
        <v>74</v>
      </c>
    </row>
    <row r="2091" spans="1:4">
      <c r="A2091" s="70">
        <v>45418</v>
      </c>
      <c r="B2091" s="25" t="s">
        <v>13281</v>
      </c>
      <c r="C2091" s="25" t="s">
        <v>13280</v>
      </c>
      <c r="D2091" s="25" t="s">
        <v>109</v>
      </c>
    </row>
    <row r="2092" spans="1:4">
      <c r="A2092" s="70">
        <v>45418</v>
      </c>
      <c r="B2092" s="25" t="s">
        <v>13283</v>
      </c>
      <c r="C2092" s="25" t="s">
        <v>13282</v>
      </c>
      <c r="D2092" s="25" t="s">
        <v>109</v>
      </c>
    </row>
    <row r="2093" spans="1:4">
      <c r="A2093" s="58">
        <v>45405</v>
      </c>
      <c r="B2093" s="25" t="s">
        <v>13285</v>
      </c>
      <c r="C2093" s="25" t="s">
        <v>13284</v>
      </c>
      <c r="D2093" s="25" t="s">
        <v>19</v>
      </c>
    </row>
    <row r="2094" spans="1:4">
      <c r="A2094" s="58">
        <v>45407</v>
      </c>
      <c r="B2094" s="25" t="s">
        <v>13287</v>
      </c>
      <c r="C2094" s="25" t="s">
        <v>13286</v>
      </c>
      <c r="D2094" s="25" t="s">
        <v>216</v>
      </c>
    </row>
    <row r="2095" spans="1:4">
      <c r="A2095" s="61">
        <v>45353</v>
      </c>
      <c r="B2095" s="36" t="s">
        <v>11370</v>
      </c>
      <c r="C2095" s="36" t="s">
        <v>3113</v>
      </c>
      <c r="D2095" s="36" t="s">
        <v>5</v>
      </c>
    </row>
    <row r="2096" spans="1:4">
      <c r="A2096" s="58">
        <v>45407</v>
      </c>
      <c r="B2096" s="25" t="s">
        <v>13289</v>
      </c>
      <c r="C2096" s="25" t="s">
        <v>13288</v>
      </c>
      <c r="D2096" s="25" t="s">
        <v>34</v>
      </c>
    </row>
    <row r="2097" spans="1:4">
      <c r="A2097" s="58">
        <v>45407</v>
      </c>
      <c r="B2097" s="25" t="s">
        <v>13291</v>
      </c>
      <c r="C2097" s="25" t="s">
        <v>13290</v>
      </c>
      <c r="D2097" s="25" t="s">
        <v>5</v>
      </c>
    </row>
    <row r="2098" spans="1:4">
      <c r="A2098" s="32">
        <v>45355</v>
      </c>
      <c r="B2098" s="19" t="s">
        <v>13293</v>
      </c>
      <c r="C2098" s="19" t="s">
        <v>13292</v>
      </c>
      <c r="D2098" s="19" t="s">
        <v>5</v>
      </c>
    </row>
    <row r="2099" spans="1:4">
      <c r="A2099" s="58">
        <v>45407</v>
      </c>
      <c r="B2099" s="25" t="s">
        <v>13295</v>
      </c>
      <c r="C2099" s="25" t="s">
        <v>13294</v>
      </c>
      <c r="D2099" s="25" t="s">
        <v>34</v>
      </c>
    </row>
    <row r="2100" spans="1:4">
      <c r="A2100" s="58">
        <v>45408</v>
      </c>
      <c r="B2100" s="25" t="s">
        <v>13297</v>
      </c>
      <c r="C2100" s="25" t="s">
        <v>13296</v>
      </c>
      <c r="D2100" s="25" t="s">
        <v>5</v>
      </c>
    </row>
    <row r="2101" spans="1:4">
      <c r="A2101" s="58">
        <v>45408</v>
      </c>
      <c r="B2101" s="25" t="s">
        <v>13299</v>
      </c>
      <c r="C2101" s="25" t="s">
        <v>13298</v>
      </c>
      <c r="D2101" s="25" t="s">
        <v>34</v>
      </c>
    </row>
    <row r="2102" spans="1:4">
      <c r="A2102" s="58">
        <v>45408</v>
      </c>
      <c r="B2102" s="25" t="s">
        <v>13301</v>
      </c>
      <c r="C2102" s="25" t="s">
        <v>13300</v>
      </c>
      <c r="D2102" s="25" t="s">
        <v>5</v>
      </c>
    </row>
    <row r="2103" spans="1:4">
      <c r="A2103" s="58">
        <v>45408</v>
      </c>
      <c r="B2103" s="25" t="s">
        <v>13303</v>
      </c>
      <c r="C2103" s="25" t="s">
        <v>13302</v>
      </c>
      <c r="D2103" s="25" t="s">
        <v>74</v>
      </c>
    </row>
    <row r="2104" spans="1:4">
      <c r="A2104" s="58">
        <v>45408</v>
      </c>
      <c r="B2104" s="25" t="s">
        <v>13304</v>
      </c>
      <c r="C2104" s="25" t="s">
        <v>13302</v>
      </c>
      <c r="D2104" s="25" t="s">
        <v>74</v>
      </c>
    </row>
    <row r="2105" spans="1:4">
      <c r="A2105" s="32">
        <v>45357</v>
      </c>
      <c r="B2105" s="19" t="s">
        <v>13306</v>
      </c>
      <c r="C2105" s="19" t="s">
        <v>13305</v>
      </c>
      <c r="D2105" s="19" t="s">
        <v>5</v>
      </c>
    </row>
    <row r="2106" spans="1:4">
      <c r="A2106" s="58">
        <v>45411</v>
      </c>
      <c r="B2106" s="25" t="s">
        <v>13308</v>
      </c>
      <c r="C2106" s="25" t="s">
        <v>13307</v>
      </c>
      <c r="D2106" s="25" t="s">
        <v>109</v>
      </c>
    </row>
    <row r="2107" spans="1:4">
      <c r="A2107" s="58">
        <v>45411</v>
      </c>
      <c r="B2107" s="25" t="s">
        <v>13310</v>
      </c>
      <c r="C2107" s="25" t="s">
        <v>13309</v>
      </c>
      <c r="D2107" s="25" t="s">
        <v>345</v>
      </c>
    </row>
    <row r="2108" spans="1:4">
      <c r="A2108" s="58">
        <v>45411</v>
      </c>
      <c r="B2108" s="25" t="s">
        <v>13312</v>
      </c>
      <c r="C2108" s="25" t="s">
        <v>13311</v>
      </c>
      <c r="D2108" s="25" t="s">
        <v>34</v>
      </c>
    </row>
    <row r="2109" spans="1:4">
      <c r="A2109" s="58">
        <v>45411</v>
      </c>
      <c r="B2109" s="25" t="s">
        <v>13314</v>
      </c>
      <c r="C2109" s="25" t="s">
        <v>13313</v>
      </c>
      <c r="D2109" s="25" t="s">
        <v>5</v>
      </c>
    </row>
    <row r="2110" spans="1:4">
      <c r="A2110" s="58">
        <v>45411</v>
      </c>
      <c r="B2110" s="25" t="s">
        <v>13315</v>
      </c>
      <c r="C2110" s="25" t="s">
        <v>13313</v>
      </c>
      <c r="D2110" s="25" t="s">
        <v>5</v>
      </c>
    </row>
    <row r="2111" spans="1:4">
      <c r="A2111" s="58">
        <v>45411</v>
      </c>
      <c r="B2111" s="25" t="s">
        <v>13317</v>
      </c>
      <c r="C2111" s="25" t="s">
        <v>13316</v>
      </c>
      <c r="D2111" s="25" t="s">
        <v>34</v>
      </c>
    </row>
    <row r="2112" spans="1:4">
      <c r="A2112" s="58">
        <v>45411</v>
      </c>
      <c r="B2112" s="25" t="s">
        <v>13319</v>
      </c>
      <c r="C2112" s="25" t="s">
        <v>13318</v>
      </c>
      <c r="D2112" s="25" t="s">
        <v>345</v>
      </c>
    </row>
    <row r="2113" spans="1:4">
      <c r="A2113" s="58">
        <v>45412</v>
      </c>
      <c r="B2113" s="25" t="s">
        <v>13321</v>
      </c>
      <c r="C2113" s="25" t="s">
        <v>13320</v>
      </c>
      <c r="D2113" s="25" t="s">
        <v>216</v>
      </c>
    </row>
    <row r="2114" spans="1:4">
      <c r="A2114" s="58">
        <v>45414</v>
      </c>
      <c r="B2114" s="25" t="s">
        <v>13323</v>
      </c>
      <c r="C2114" s="25" t="s">
        <v>13322</v>
      </c>
      <c r="D2114" s="25" t="s">
        <v>216</v>
      </c>
    </row>
    <row r="2115" spans="1:4">
      <c r="A2115" s="58">
        <v>45414</v>
      </c>
      <c r="B2115" s="25" t="s">
        <v>13324</v>
      </c>
      <c r="C2115" s="25" t="s">
        <v>13322</v>
      </c>
      <c r="D2115" s="25" t="s">
        <v>216</v>
      </c>
    </row>
    <row r="2116" spans="1:4">
      <c r="A2116" s="58">
        <v>45415</v>
      </c>
      <c r="B2116" s="25" t="s">
        <v>13326</v>
      </c>
      <c r="C2116" s="25" t="s">
        <v>13325</v>
      </c>
      <c r="D2116" s="25" t="s">
        <v>34</v>
      </c>
    </row>
    <row r="2117" spans="1:4">
      <c r="A2117" s="58">
        <v>45415</v>
      </c>
      <c r="B2117" s="25" t="s">
        <v>13328</v>
      </c>
      <c r="C2117" s="25" t="s">
        <v>13327</v>
      </c>
      <c r="D2117" s="25" t="s">
        <v>345</v>
      </c>
    </row>
    <row r="2118" spans="1:4">
      <c r="A2118" s="58">
        <v>45415</v>
      </c>
      <c r="B2118" s="25" t="s">
        <v>13330</v>
      </c>
      <c r="C2118" s="25" t="s">
        <v>13329</v>
      </c>
      <c r="D2118" s="25" t="s">
        <v>345</v>
      </c>
    </row>
    <row r="2119" spans="1:4">
      <c r="A2119" s="58">
        <v>45415</v>
      </c>
      <c r="B2119" s="25" t="s">
        <v>13332</v>
      </c>
      <c r="C2119" s="25" t="s">
        <v>13331</v>
      </c>
      <c r="D2119" s="25" t="s">
        <v>345</v>
      </c>
    </row>
    <row r="2120" spans="1:4">
      <c r="A2120" s="58">
        <v>45416</v>
      </c>
      <c r="B2120" s="25" t="s">
        <v>13334</v>
      </c>
      <c r="C2120" s="25" t="s">
        <v>13333</v>
      </c>
      <c r="D2120" s="25" t="s">
        <v>74</v>
      </c>
    </row>
    <row r="2121" spans="1:4">
      <c r="A2121" s="58">
        <v>45416</v>
      </c>
      <c r="B2121" s="25" t="s">
        <v>13336</v>
      </c>
      <c r="C2121" s="25" t="s">
        <v>13335</v>
      </c>
      <c r="D2121" s="25" t="s">
        <v>74</v>
      </c>
    </row>
    <row r="2122" spans="1:4">
      <c r="A2122" s="58">
        <v>45418</v>
      </c>
      <c r="B2122" s="25" t="s">
        <v>13338</v>
      </c>
      <c r="C2122" s="25" t="s">
        <v>13337</v>
      </c>
      <c r="D2122" s="25" t="s">
        <v>34</v>
      </c>
    </row>
    <row r="2123" spans="1:4">
      <c r="A2123" s="58">
        <v>45418</v>
      </c>
      <c r="B2123" s="25" t="s">
        <v>13340</v>
      </c>
      <c r="C2123" s="25" t="s">
        <v>13339</v>
      </c>
      <c r="D2123" s="25" t="s">
        <v>34</v>
      </c>
    </row>
    <row r="2124" spans="1:4">
      <c r="A2124" s="58">
        <v>45418</v>
      </c>
      <c r="B2124" s="25" t="s">
        <v>13342</v>
      </c>
      <c r="C2124" s="25" t="s">
        <v>13341</v>
      </c>
      <c r="D2124" s="25" t="s">
        <v>5</v>
      </c>
    </row>
    <row r="2125" spans="1:4">
      <c r="A2125" s="70">
        <v>45406</v>
      </c>
      <c r="B2125" s="25" t="s">
        <v>13344</v>
      </c>
      <c r="C2125" s="25" t="s">
        <v>13343</v>
      </c>
      <c r="D2125" s="25" t="s">
        <v>345</v>
      </c>
    </row>
    <row r="2126" spans="1:4">
      <c r="A2126" s="70">
        <v>45406</v>
      </c>
      <c r="B2126" s="25" t="s">
        <v>13346</v>
      </c>
      <c r="C2126" s="25" t="s">
        <v>13345</v>
      </c>
      <c r="D2126" s="25" t="s">
        <v>345</v>
      </c>
    </row>
    <row r="2127" spans="1:4">
      <c r="A2127" s="32">
        <v>45367</v>
      </c>
      <c r="B2127" s="42" t="s">
        <v>13347</v>
      </c>
      <c r="C2127" s="42" t="s">
        <v>13305</v>
      </c>
      <c r="D2127" s="42" t="s">
        <v>5</v>
      </c>
    </row>
    <row r="2128" spans="1:4">
      <c r="A2128" s="70">
        <v>45405</v>
      </c>
      <c r="B2128" s="25" t="s">
        <v>10969</v>
      </c>
      <c r="C2128" s="25" t="s">
        <v>13348</v>
      </c>
      <c r="D2128" s="25" t="s">
        <v>11</v>
      </c>
    </row>
    <row r="2129" spans="1:4">
      <c r="A2129" s="70">
        <v>45405</v>
      </c>
      <c r="B2129" s="25" t="s">
        <v>13349</v>
      </c>
      <c r="C2129" s="25" t="s">
        <v>11213</v>
      </c>
      <c r="D2129" s="25" t="s">
        <v>29</v>
      </c>
    </row>
    <row r="2130" spans="1:4">
      <c r="A2130" s="70">
        <v>45405</v>
      </c>
      <c r="B2130" s="25" t="s">
        <v>13350</v>
      </c>
      <c r="C2130" s="25" t="s">
        <v>13006</v>
      </c>
      <c r="D2130" s="25" t="s">
        <v>19</v>
      </c>
    </row>
    <row r="2131" spans="1:4">
      <c r="A2131" s="61">
        <v>45345</v>
      </c>
      <c r="B2131" s="36" t="s">
        <v>13352</v>
      </c>
      <c r="C2131" s="36" t="s">
        <v>13351</v>
      </c>
      <c r="D2131" s="36" t="s">
        <v>5</v>
      </c>
    </row>
    <row r="2132" spans="1:4">
      <c r="A2132" s="70">
        <v>45406</v>
      </c>
      <c r="B2132" s="25" t="s">
        <v>13354</v>
      </c>
      <c r="C2132" s="25" t="s">
        <v>13353</v>
      </c>
      <c r="D2132" s="25" t="s">
        <v>24</v>
      </c>
    </row>
    <row r="2133" spans="1:4">
      <c r="A2133" s="70">
        <v>45406</v>
      </c>
      <c r="B2133" s="25" t="s">
        <v>13356</v>
      </c>
      <c r="C2133" s="25" t="s">
        <v>13355</v>
      </c>
      <c r="D2133" s="25" t="s">
        <v>345</v>
      </c>
    </row>
    <row r="2134" spans="1:4">
      <c r="A2134" s="58">
        <v>45411</v>
      </c>
      <c r="B2134" s="34" t="s">
        <v>13358</v>
      </c>
      <c r="C2134" s="25" t="s">
        <v>13357</v>
      </c>
      <c r="D2134" s="25" t="s">
        <v>216</v>
      </c>
    </row>
    <row r="2135" spans="1:4">
      <c r="A2135" s="70">
        <v>45406</v>
      </c>
      <c r="B2135" s="25" t="s">
        <v>13360</v>
      </c>
      <c r="C2135" s="25" t="s">
        <v>13359</v>
      </c>
      <c r="D2135" s="25" t="s">
        <v>19</v>
      </c>
    </row>
    <row r="2136" spans="1:4">
      <c r="A2136" s="58">
        <v>45457</v>
      </c>
      <c r="B2136" s="34" t="s">
        <v>13362</v>
      </c>
      <c r="C2136" s="25" t="s">
        <v>13361</v>
      </c>
      <c r="D2136" s="25" t="s">
        <v>5</v>
      </c>
    </row>
    <row r="2137" spans="1:4">
      <c r="A2137" s="70">
        <v>45406</v>
      </c>
      <c r="B2137" s="25" t="s">
        <v>10969</v>
      </c>
      <c r="C2137" s="25" t="s">
        <v>13363</v>
      </c>
      <c r="D2137" s="25" t="s">
        <v>5</v>
      </c>
    </row>
    <row r="2138" spans="1:4">
      <c r="A2138" s="58">
        <v>45457</v>
      </c>
      <c r="B2138" s="34" t="s">
        <v>13365</v>
      </c>
      <c r="C2138" s="25" t="s">
        <v>13364</v>
      </c>
      <c r="D2138" s="25" t="s">
        <v>5</v>
      </c>
    </row>
    <row r="2139" spans="1:4">
      <c r="A2139" s="70">
        <v>45407</v>
      </c>
      <c r="B2139" s="25" t="s">
        <v>13367</v>
      </c>
      <c r="C2139" s="25" t="s">
        <v>13366</v>
      </c>
      <c r="D2139" s="25" t="s">
        <v>345</v>
      </c>
    </row>
    <row r="2140" spans="1:4">
      <c r="A2140" s="70">
        <v>45407</v>
      </c>
      <c r="B2140" s="25" t="s">
        <v>13369</v>
      </c>
      <c r="C2140" s="25" t="s">
        <v>13368</v>
      </c>
      <c r="D2140" s="25" t="s">
        <v>345</v>
      </c>
    </row>
    <row r="2141" spans="1:4">
      <c r="A2141" s="70">
        <v>45407</v>
      </c>
      <c r="B2141" s="25" t="s">
        <v>10969</v>
      </c>
      <c r="C2141" s="25" t="s">
        <v>13370</v>
      </c>
      <c r="D2141" s="25" t="s">
        <v>345</v>
      </c>
    </row>
    <row r="2142" spans="1:4">
      <c r="A2142" s="70">
        <v>45407</v>
      </c>
      <c r="B2142" s="25" t="s">
        <v>13372</v>
      </c>
      <c r="C2142" s="25" t="s">
        <v>13371</v>
      </c>
      <c r="D2142" s="25" t="s">
        <v>74</v>
      </c>
    </row>
    <row r="2143" spans="1:4">
      <c r="A2143" s="70">
        <v>45407</v>
      </c>
      <c r="B2143" s="25" t="s">
        <v>10969</v>
      </c>
      <c r="C2143" s="25" t="s">
        <v>13373</v>
      </c>
      <c r="D2143" s="25" t="s">
        <v>345</v>
      </c>
    </row>
    <row r="2144" spans="1:4">
      <c r="A2144" s="70">
        <v>45407</v>
      </c>
      <c r="B2144" s="25" t="s">
        <v>13375</v>
      </c>
      <c r="C2144" s="25" t="s">
        <v>13374</v>
      </c>
      <c r="D2144" s="25" t="s">
        <v>29</v>
      </c>
    </row>
    <row r="2145" spans="1:4">
      <c r="A2145" s="70">
        <v>45408</v>
      </c>
      <c r="B2145" s="25" t="s">
        <v>13377</v>
      </c>
      <c r="C2145" s="25" t="s">
        <v>13376</v>
      </c>
      <c r="D2145" s="25" t="s">
        <v>81</v>
      </c>
    </row>
    <row r="2146" spans="1:4">
      <c r="A2146" s="58">
        <v>45457</v>
      </c>
      <c r="B2146" s="34" t="s">
        <v>13379</v>
      </c>
      <c r="C2146" s="25" t="s">
        <v>13378</v>
      </c>
      <c r="D2146" s="25" t="s">
        <v>5</v>
      </c>
    </row>
    <row r="2147" spans="1:4">
      <c r="A2147" s="70">
        <v>45408</v>
      </c>
      <c r="B2147" s="25" t="s">
        <v>13381</v>
      </c>
      <c r="C2147" s="25" t="s">
        <v>13380</v>
      </c>
      <c r="D2147" s="25" t="s">
        <v>74</v>
      </c>
    </row>
    <row r="2148" spans="1:4">
      <c r="A2148" s="70">
        <v>45408</v>
      </c>
      <c r="B2148" s="25" t="s">
        <v>10969</v>
      </c>
      <c r="C2148" s="25" t="s">
        <v>13382</v>
      </c>
      <c r="D2148" s="25" t="s">
        <v>345</v>
      </c>
    </row>
    <row r="2149" spans="1:4">
      <c r="A2149" s="70">
        <v>45408</v>
      </c>
      <c r="B2149" s="25" t="s">
        <v>10969</v>
      </c>
      <c r="C2149" s="25" t="s">
        <v>13383</v>
      </c>
      <c r="D2149" s="25" t="s">
        <v>345</v>
      </c>
    </row>
    <row r="2150" spans="1:4">
      <c r="A2150" s="70">
        <v>45408</v>
      </c>
      <c r="B2150" s="25" t="s">
        <v>13385</v>
      </c>
      <c r="C2150" s="25" t="s">
        <v>13384</v>
      </c>
      <c r="D2150" s="25" t="s">
        <v>510</v>
      </c>
    </row>
    <row r="2151" spans="1:4">
      <c r="A2151" s="70">
        <v>45409</v>
      </c>
      <c r="B2151" s="25" t="s">
        <v>13387</v>
      </c>
      <c r="C2151" s="25" t="s">
        <v>13386</v>
      </c>
      <c r="D2151" s="25" t="s">
        <v>345</v>
      </c>
    </row>
    <row r="2152" spans="1:4">
      <c r="A2152" s="70">
        <v>45409</v>
      </c>
      <c r="B2152" s="25" t="s">
        <v>13389</v>
      </c>
      <c r="C2152" s="25" t="s">
        <v>13388</v>
      </c>
      <c r="D2152" s="25" t="s">
        <v>345</v>
      </c>
    </row>
    <row r="2153" spans="1:4">
      <c r="A2153" s="58">
        <v>45458</v>
      </c>
      <c r="B2153" s="34" t="s">
        <v>13391</v>
      </c>
      <c r="C2153" s="25" t="s">
        <v>13390</v>
      </c>
      <c r="D2153" s="25" t="s">
        <v>216</v>
      </c>
    </row>
    <row r="2154" spans="1:4">
      <c r="A2154" s="70">
        <v>45411</v>
      </c>
      <c r="B2154" s="25" t="s">
        <v>13393</v>
      </c>
      <c r="C2154" s="25" t="s">
        <v>13392</v>
      </c>
      <c r="D2154" s="25" t="s">
        <v>345</v>
      </c>
    </row>
    <row r="2155" spans="1:4">
      <c r="A2155" s="70">
        <v>45411</v>
      </c>
      <c r="B2155" s="25" t="s">
        <v>13395</v>
      </c>
      <c r="C2155" s="25" t="s">
        <v>13394</v>
      </c>
      <c r="D2155" s="25" t="s">
        <v>74</v>
      </c>
    </row>
    <row r="2156" spans="1:4">
      <c r="A2156" s="70">
        <v>45411</v>
      </c>
      <c r="B2156" s="25" t="s">
        <v>13397</v>
      </c>
      <c r="C2156" s="25" t="s">
        <v>13396</v>
      </c>
      <c r="D2156" s="25" t="s">
        <v>29</v>
      </c>
    </row>
    <row r="2157" spans="1:4">
      <c r="A2157" s="70">
        <v>45411</v>
      </c>
      <c r="B2157" s="25" t="s">
        <v>13399</v>
      </c>
      <c r="C2157" s="25" t="s">
        <v>13398</v>
      </c>
      <c r="D2157" s="25" t="s">
        <v>345</v>
      </c>
    </row>
    <row r="2158" spans="1:4">
      <c r="A2158" s="70">
        <v>45411</v>
      </c>
      <c r="B2158" s="25" t="s">
        <v>13401</v>
      </c>
      <c r="C2158" s="25" t="s">
        <v>13400</v>
      </c>
      <c r="D2158" s="25" t="s">
        <v>19</v>
      </c>
    </row>
    <row r="2159" spans="1:4">
      <c r="A2159" s="70">
        <v>45412</v>
      </c>
      <c r="B2159" s="25" t="s">
        <v>13403</v>
      </c>
      <c r="C2159" s="25" t="s">
        <v>13402</v>
      </c>
      <c r="D2159" s="25" t="s">
        <v>74</v>
      </c>
    </row>
    <row r="2160" spans="1:4">
      <c r="A2160" s="70">
        <v>45412</v>
      </c>
      <c r="B2160" s="25" t="s">
        <v>13403</v>
      </c>
      <c r="C2160" s="25" t="s">
        <v>13402</v>
      </c>
      <c r="D2160" s="25" t="s">
        <v>74</v>
      </c>
    </row>
    <row r="2161" spans="1:4">
      <c r="A2161" s="70">
        <v>45412</v>
      </c>
      <c r="B2161" s="25" t="s">
        <v>13405</v>
      </c>
      <c r="C2161" s="25" t="s">
        <v>13404</v>
      </c>
      <c r="D2161" s="25" t="s">
        <v>345</v>
      </c>
    </row>
    <row r="2162" spans="1:4">
      <c r="A2162" s="70">
        <v>45412</v>
      </c>
      <c r="B2162" s="25" t="s">
        <v>13407</v>
      </c>
      <c r="C2162" s="25" t="s">
        <v>13406</v>
      </c>
      <c r="D2162" s="25" t="s">
        <v>74</v>
      </c>
    </row>
    <row r="2163" spans="1:4">
      <c r="A2163" s="70">
        <v>45408</v>
      </c>
      <c r="B2163" s="25" t="s">
        <v>13408</v>
      </c>
      <c r="C2163" s="25" t="s">
        <v>13384</v>
      </c>
      <c r="D2163" s="25" t="s">
        <v>510</v>
      </c>
    </row>
    <row r="2164" spans="1:4">
      <c r="A2164" s="58">
        <v>45460</v>
      </c>
      <c r="B2164" s="34" t="s">
        <v>13410</v>
      </c>
      <c r="C2164" s="25" t="s">
        <v>13409</v>
      </c>
      <c r="D2164" s="25" t="s">
        <v>5</v>
      </c>
    </row>
    <row r="2165" spans="1:4">
      <c r="A2165" s="70">
        <v>45412</v>
      </c>
      <c r="B2165" s="25" t="s">
        <v>13412</v>
      </c>
      <c r="C2165" s="25" t="s">
        <v>13411</v>
      </c>
      <c r="D2165" s="25" t="s">
        <v>29</v>
      </c>
    </row>
    <row r="2166" spans="1:4">
      <c r="A2166" s="58">
        <v>45461</v>
      </c>
      <c r="B2166" s="34" t="s">
        <v>13414</v>
      </c>
      <c r="C2166" s="25" t="s">
        <v>13413</v>
      </c>
      <c r="D2166" s="25" t="s">
        <v>5</v>
      </c>
    </row>
    <row r="2167" spans="1:4">
      <c r="A2167" s="70">
        <v>45414</v>
      </c>
      <c r="B2167" s="25" t="s">
        <v>13416</v>
      </c>
      <c r="C2167" s="25" t="s">
        <v>13415</v>
      </c>
      <c r="D2167" s="25" t="s">
        <v>16</v>
      </c>
    </row>
    <row r="2168" spans="1:4">
      <c r="A2168" s="70">
        <v>45414</v>
      </c>
      <c r="B2168" s="25" t="s">
        <v>13417</v>
      </c>
      <c r="C2168" s="25" t="s">
        <v>11316</v>
      </c>
      <c r="D2168" s="25" t="s">
        <v>19</v>
      </c>
    </row>
    <row r="2169" spans="1:4">
      <c r="A2169" s="70">
        <v>45414</v>
      </c>
      <c r="B2169" s="25" t="s">
        <v>13419</v>
      </c>
      <c r="C2169" s="25" t="s">
        <v>13418</v>
      </c>
      <c r="D2169" s="25" t="s">
        <v>345</v>
      </c>
    </row>
    <row r="2170" spans="1:4">
      <c r="A2170" s="70">
        <v>45414</v>
      </c>
      <c r="B2170" s="25" t="s">
        <v>13421</v>
      </c>
      <c r="C2170" s="25" t="s">
        <v>13420</v>
      </c>
      <c r="D2170" s="25" t="s">
        <v>19</v>
      </c>
    </row>
    <row r="2171" spans="1:4">
      <c r="A2171" s="58">
        <v>45462</v>
      </c>
      <c r="B2171" s="34" t="s">
        <v>13423</v>
      </c>
      <c r="C2171" s="25" t="s">
        <v>13422</v>
      </c>
      <c r="D2171" s="25" t="s">
        <v>216</v>
      </c>
    </row>
    <row r="2172" spans="1:4">
      <c r="A2172" s="70">
        <v>45414</v>
      </c>
      <c r="B2172" s="25" t="s">
        <v>13425</v>
      </c>
      <c r="C2172" s="25" t="s">
        <v>13424</v>
      </c>
      <c r="D2172" s="25" t="s">
        <v>29</v>
      </c>
    </row>
    <row r="2173" spans="1:4">
      <c r="A2173" s="70">
        <v>45415</v>
      </c>
      <c r="B2173" s="25" t="s">
        <v>13427</v>
      </c>
      <c r="C2173" s="25" t="s">
        <v>13426</v>
      </c>
      <c r="D2173" s="25" t="s">
        <v>19</v>
      </c>
    </row>
    <row r="2174" spans="1:4">
      <c r="A2174" s="70">
        <v>45415</v>
      </c>
      <c r="B2174" s="25" t="s">
        <v>13429</v>
      </c>
      <c r="C2174" s="25" t="s">
        <v>13428</v>
      </c>
      <c r="D2174" s="25" t="s">
        <v>109</v>
      </c>
    </row>
    <row r="2175" spans="1:4">
      <c r="A2175" s="70">
        <v>45415</v>
      </c>
      <c r="B2175" s="25" t="s">
        <v>13431</v>
      </c>
      <c r="C2175" s="25" t="s">
        <v>13430</v>
      </c>
      <c r="D2175" s="25" t="s">
        <v>74</v>
      </c>
    </row>
    <row r="2176" spans="1:4">
      <c r="A2176" s="70">
        <v>45415</v>
      </c>
      <c r="B2176" s="25" t="s">
        <v>13433</v>
      </c>
      <c r="C2176" s="25" t="s">
        <v>13432</v>
      </c>
      <c r="D2176" s="25" t="s">
        <v>29</v>
      </c>
    </row>
    <row r="2177" spans="1:4">
      <c r="A2177" s="70">
        <v>45415</v>
      </c>
      <c r="B2177" s="25" t="s">
        <v>13435</v>
      </c>
      <c r="C2177" s="25" t="s">
        <v>13434</v>
      </c>
      <c r="D2177" s="25" t="s">
        <v>109</v>
      </c>
    </row>
    <row r="2178" spans="1:4">
      <c r="A2178" s="58">
        <v>45463</v>
      </c>
      <c r="B2178" s="34" t="s">
        <v>13437</v>
      </c>
      <c r="C2178" s="25" t="s">
        <v>13436</v>
      </c>
      <c r="D2178" s="25" t="s">
        <v>216</v>
      </c>
    </row>
    <row r="2179" spans="1:4">
      <c r="A2179" s="58">
        <v>45463</v>
      </c>
      <c r="B2179" s="34" t="s">
        <v>13439</v>
      </c>
      <c r="C2179" s="25" t="s">
        <v>13438</v>
      </c>
      <c r="D2179" s="25" t="s">
        <v>216</v>
      </c>
    </row>
    <row r="2180" spans="1:4">
      <c r="A2180" s="70">
        <v>45415</v>
      </c>
      <c r="B2180" s="25" t="s">
        <v>13440</v>
      </c>
      <c r="C2180" s="25" t="s">
        <v>11469</v>
      </c>
      <c r="D2180" s="25" t="s">
        <v>345</v>
      </c>
    </row>
    <row r="2181" spans="1:4">
      <c r="A2181" s="58">
        <v>45463</v>
      </c>
      <c r="B2181" s="34" t="s">
        <v>13442</v>
      </c>
      <c r="C2181" s="25" t="s">
        <v>13441</v>
      </c>
      <c r="D2181" s="25" t="s">
        <v>216</v>
      </c>
    </row>
    <row r="2182" spans="1:4">
      <c r="A2182" s="70">
        <v>45418</v>
      </c>
      <c r="B2182" s="25" t="s">
        <v>13444</v>
      </c>
      <c r="C2182" s="25" t="s">
        <v>13443</v>
      </c>
      <c r="D2182" s="25" t="s">
        <v>345</v>
      </c>
    </row>
    <row r="2183" spans="1:4">
      <c r="A2183" s="70">
        <v>45418</v>
      </c>
      <c r="B2183" s="25" t="s">
        <v>13445</v>
      </c>
      <c r="C2183" s="25" t="s">
        <v>11316</v>
      </c>
      <c r="D2183" s="25" t="s">
        <v>19</v>
      </c>
    </row>
    <row r="2184" spans="1:4">
      <c r="A2184" s="70">
        <v>45418</v>
      </c>
      <c r="B2184" s="25" t="s">
        <v>13447</v>
      </c>
      <c r="C2184" s="25" t="s">
        <v>13446</v>
      </c>
      <c r="D2184" s="25" t="s">
        <v>345</v>
      </c>
    </row>
    <row r="2185" spans="1:4">
      <c r="A2185" s="70">
        <v>45418</v>
      </c>
      <c r="B2185" s="25" t="s">
        <v>13449</v>
      </c>
      <c r="C2185" s="25" t="s">
        <v>13448</v>
      </c>
      <c r="D2185" s="25" t="s">
        <v>5</v>
      </c>
    </row>
    <row r="2186" spans="1:4">
      <c r="A2186" s="58">
        <v>45463</v>
      </c>
      <c r="B2186" s="34" t="s">
        <v>13451</v>
      </c>
      <c r="C2186" s="25" t="s">
        <v>13450</v>
      </c>
      <c r="D2186" s="25" t="s">
        <v>216</v>
      </c>
    </row>
    <row r="2187" spans="1:4">
      <c r="A2187" s="70">
        <v>45418</v>
      </c>
      <c r="B2187" s="25" t="s">
        <v>13453</v>
      </c>
      <c r="C2187" s="25" t="s">
        <v>13452</v>
      </c>
      <c r="D2187" s="25" t="s">
        <v>345</v>
      </c>
    </row>
    <row r="2188" spans="1:4">
      <c r="A2188" s="70">
        <v>45418</v>
      </c>
      <c r="B2188" s="25" t="s">
        <v>13455</v>
      </c>
      <c r="C2188" s="25" t="s">
        <v>13454</v>
      </c>
      <c r="D2188" s="25" t="s">
        <v>19</v>
      </c>
    </row>
    <row r="2189" spans="1:4">
      <c r="A2189" s="70">
        <v>45418</v>
      </c>
      <c r="B2189" s="25" t="s">
        <v>13457</v>
      </c>
      <c r="C2189" s="25" t="s">
        <v>13456</v>
      </c>
      <c r="D2189" s="25" t="s">
        <v>5</v>
      </c>
    </row>
    <row r="2190" spans="1:4">
      <c r="A2190" s="70">
        <v>45418</v>
      </c>
      <c r="B2190" s="25" t="s">
        <v>13459</v>
      </c>
      <c r="C2190" s="25" t="s">
        <v>13458</v>
      </c>
      <c r="D2190" s="25" t="s">
        <v>345</v>
      </c>
    </row>
    <row r="2191" spans="1:4">
      <c r="A2191" s="58">
        <v>45405</v>
      </c>
      <c r="B2191" s="34" t="s">
        <v>13460</v>
      </c>
      <c r="C2191" s="25" t="s">
        <v>13400</v>
      </c>
      <c r="D2191" s="25" t="s">
        <v>19</v>
      </c>
    </row>
    <row r="2192" spans="1:4">
      <c r="A2192" s="58">
        <v>45405</v>
      </c>
      <c r="B2192" s="34" t="s">
        <v>13462</v>
      </c>
      <c r="C2192" s="25" t="s">
        <v>13461</v>
      </c>
      <c r="D2192" s="25" t="s">
        <v>24</v>
      </c>
    </row>
    <row r="2193" spans="1:4">
      <c r="A2193" s="58">
        <v>45405</v>
      </c>
      <c r="B2193" s="34" t="s">
        <v>13464</v>
      </c>
      <c r="C2193" s="25" t="s">
        <v>13463</v>
      </c>
      <c r="D2193" s="25" t="s">
        <v>74</v>
      </c>
    </row>
    <row r="2194" spans="1:4">
      <c r="A2194" s="58">
        <v>45405</v>
      </c>
      <c r="B2194" s="34" t="s">
        <v>13466</v>
      </c>
      <c r="C2194" s="25" t="s">
        <v>13465</v>
      </c>
      <c r="D2194" s="25" t="s">
        <v>11</v>
      </c>
    </row>
    <row r="2195" spans="1:4">
      <c r="A2195" s="58">
        <v>45406</v>
      </c>
      <c r="B2195" s="34" t="s">
        <v>13468</v>
      </c>
      <c r="C2195" s="25" t="s">
        <v>13467</v>
      </c>
      <c r="D2195" s="25" t="s">
        <v>5</v>
      </c>
    </row>
    <row r="2196" spans="1:4">
      <c r="A2196" s="58">
        <v>45406</v>
      </c>
      <c r="B2196" s="34" t="s">
        <v>13470</v>
      </c>
      <c r="C2196" s="25" t="s">
        <v>13469</v>
      </c>
      <c r="D2196" s="25" t="s">
        <v>11</v>
      </c>
    </row>
    <row r="2197" spans="1:4">
      <c r="A2197" s="58">
        <v>45406</v>
      </c>
      <c r="B2197" s="34" t="s">
        <v>13472</v>
      </c>
      <c r="C2197" s="25" t="s">
        <v>13471</v>
      </c>
      <c r="D2197" s="25" t="s">
        <v>5</v>
      </c>
    </row>
    <row r="2198" spans="1:4">
      <c r="A2198" s="58">
        <v>45407</v>
      </c>
      <c r="B2198" s="34" t="s">
        <v>13474</v>
      </c>
      <c r="C2198" s="25" t="s">
        <v>13473</v>
      </c>
      <c r="D2198" s="25" t="s">
        <v>11</v>
      </c>
    </row>
    <row r="2199" spans="1:4">
      <c r="A2199" s="58">
        <v>45440</v>
      </c>
      <c r="B2199" s="34" t="s">
        <v>13476</v>
      </c>
      <c r="C2199" s="25" t="s">
        <v>13475</v>
      </c>
      <c r="D2199" s="25" t="s">
        <v>74</v>
      </c>
    </row>
    <row r="2200" spans="1:4">
      <c r="A2200" s="58">
        <v>45407</v>
      </c>
      <c r="B2200" s="34" t="s">
        <v>13478</v>
      </c>
      <c r="C2200" s="25" t="s">
        <v>13477</v>
      </c>
      <c r="D2200" s="25" t="s">
        <v>8</v>
      </c>
    </row>
    <row r="2201" spans="1:4">
      <c r="A2201" s="58">
        <v>45407</v>
      </c>
      <c r="B2201" s="34" t="s">
        <v>13480</v>
      </c>
      <c r="C2201" s="25" t="s">
        <v>13479</v>
      </c>
      <c r="D2201" s="25" t="s">
        <v>19</v>
      </c>
    </row>
    <row r="2202" spans="1:4">
      <c r="A2202" s="58">
        <v>45407</v>
      </c>
      <c r="B2202" s="34" t="s">
        <v>13482</v>
      </c>
      <c r="C2202" s="25" t="s">
        <v>13481</v>
      </c>
      <c r="D2202" s="25" t="s">
        <v>74</v>
      </c>
    </row>
    <row r="2203" spans="1:4">
      <c r="A2203" s="58">
        <v>45408</v>
      </c>
      <c r="B2203" s="34" t="s">
        <v>13484</v>
      </c>
      <c r="C2203" s="25" t="s">
        <v>13483</v>
      </c>
      <c r="D2203" s="25" t="s">
        <v>19</v>
      </c>
    </row>
    <row r="2204" spans="1:4">
      <c r="A2204" s="58">
        <v>45408</v>
      </c>
      <c r="B2204" s="34" t="s">
        <v>13486</v>
      </c>
      <c r="C2204" s="25" t="s">
        <v>13485</v>
      </c>
      <c r="D2204" s="25" t="s">
        <v>29</v>
      </c>
    </row>
    <row r="2205" spans="1:4">
      <c r="A2205" s="58">
        <v>45408</v>
      </c>
      <c r="B2205" s="34" t="s">
        <v>13488</v>
      </c>
      <c r="C2205" s="25" t="s">
        <v>13487</v>
      </c>
      <c r="D2205" s="25" t="s">
        <v>19</v>
      </c>
    </row>
    <row r="2206" spans="1:4">
      <c r="A2206" s="58">
        <v>45408</v>
      </c>
      <c r="B2206" s="34" t="s">
        <v>13490</v>
      </c>
      <c r="C2206" s="25" t="s">
        <v>13489</v>
      </c>
      <c r="D2206" s="25" t="s">
        <v>74</v>
      </c>
    </row>
    <row r="2207" spans="1:4">
      <c r="A2207" s="58">
        <v>45411</v>
      </c>
      <c r="B2207" s="34" t="s">
        <v>13492</v>
      </c>
      <c r="C2207" s="25" t="s">
        <v>13491</v>
      </c>
      <c r="D2207" s="25" t="s">
        <v>5</v>
      </c>
    </row>
    <row r="2208" spans="1:4">
      <c r="A2208" s="58">
        <v>45411</v>
      </c>
      <c r="B2208" s="34" t="s">
        <v>13494</v>
      </c>
      <c r="C2208" s="25" t="s">
        <v>13493</v>
      </c>
      <c r="D2208" s="25" t="s">
        <v>19</v>
      </c>
    </row>
    <row r="2209" spans="1:4">
      <c r="A2209" s="58">
        <v>45411</v>
      </c>
      <c r="B2209" s="34" t="s">
        <v>13496</v>
      </c>
      <c r="C2209" s="25" t="s">
        <v>13495</v>
      </c>
      <c r="D2209" s="25" t="s">
        <v>24</v>
      </c>
    </row>
    <row r="2210" spans="1:4">
      <c r="A2210" s="58">
        <v>45411</v>
      </c>
      <c r="B2210" s="34" t="s">
        <v>13498</v>
      </c>
      <c r="C2210" s="25" t="s">
        <v>13497</v>
      </c>
      <c r="D2210" s="25" t="s">
        <v>74</v>
      </c>
    </row>
    <row r="2211" spans="1:4">
      <c r="A2211" s="58">
        <v>45411</v>
      </c>
      <c r="B2211" s="34" t="s">
        <v>13499</v>
      </c>
      <c r="C2211" s="25" t="s">
        <v>12385</v>
      </c>
      <c r="D2211" s="25" t="s">
        <v>19</v>
      </c>
    </row>
    <row r="2212" spans="1:4">
      <c r="A2212" s="32">
        <v>45365</v>
      </c>
      <c r="B2212" s="42" t="s">
        <v>13501</v>
      </c>
      <c r="C2212" s="42" t="s">
        <v>13500</v>
      </c>
      <c r="D2212" s="42" t="s">
        <v>74</v>
      </c>
    </row>
    <row r="2213" spans="1:4">
      <c r="A2213" s="58">
        <v>45411</v>
      </c>
      <c r="B2213" s="34" t="s">
        <v>13503</v>
      </c>
      <c r="C2213" s="25" t="s">
        <v>13502</v>
      </c>
      <c r="D2213" s="25" t="s">
        <v>19</v>
      </c>
    </row>
    <row r="2214" spans="1:4">
      <c r="A2214" s="58">
        <v>45411</v>
      </c>
      <c r="B2214" s="34" t="s">
        <v>13505</v>
      </c>
      <c r="C2214" s="25" t="s">
        <v>13504</v>
      </c>
      <c r="D2214" s="25" t="s">
        <v>510</v>
      </c>
    </row>
    <row r="2215" spans="1:4">
      <c r="A2215" s="58">
        <v>45411</v>
      </c>
      <c r="B2215" s="34" t="s">
        <v>13507</v>
      </c>
      <c r="C2215" s="25" t="s">
        <v>13506</v>
      </c>
      <c r="D2215" s="25" t="s">
        <v>74</v>
      </c>
    </row>
    <row r="2216" spans="1:4">
      <c r="A2216" s="58">
        <v>45411</v>
      </c>
      <c r="B2216" s="34" t="s">
        <v>13509</v>
      </c>
      <c r="C2216" s="25" t="s">
        <v>13508</v>
      </c>
      <c r="D2216" s="25" t="s">
        <v>29</v>
      </c>
    </row>
    <row r="2217" spans="1:4">
      <c r="A2217" s="58">
        <v>45412</v>
      </c>
      <c r="B2217" s="34" t="s">
        <v>13511</v>
      </c>
      <c r="C2217" s="25" t="s">
        <v>13510</v>
      </c>
      <c r="D2217" s="25" t="s">
        <v>216</v>
      </c>
    </row>
    <row r="2218" spans="1:4">
      <c r="A2218" s="58">
        <v>45412</v>
      </c>
      <c r="B2218" s="34" t="s">
        <v>13513</v>
      </c>
      <c r="C2218" s="25" t="s">
        <v>13512</v>
      </c>
      <c r="D2218" s="25" t="s">
        <v>8</v>
      </c>
    </row>
    <row r="2219" spans="1:4">
      <c r="A2219" s="58">
        <v>45412</v>
      </c>
      <c r="B2219" s="34" t="s">
        <v>13515</v>
      </c>
      <c r="C2219" s="25" t="s">
        <v>13514</v>
      </c>
      <c r="D2219" s="25" t="s">
        <v>19</v>
      </c>
    </row>
    <row r="2220" spans="1:4">
      <c r="A2220" s="58">
        <v>45414</v>
      </c>
      <c r="B2220" s="34" t="s">
        <v>13517</v>
      </c>
      <c r="C2220" s="25" t="s">
        <v>13516</v>
      </c>
      <c r="D2220" s="25" t="s">
        <v>353</v>
      </c>
    </row>
    <row r="2221" spans="1:4">
      <c r="A2221" s="58">
        <v>45405</v>
      </c>
      <c r="B2221" s="34" t="s">
        <v>13519</v>
      </c>
      <c r="C2221" s="25" t="s">
        <v>13518</v>
      </c>
      <c r="D2221" s="25" t="s">
        <v>5</v>
      </c>
    </row>
    <row r="2222" spans="1:4">
      <c r="A2222" s="58">
        <v>45405</v>
      </c>
      <c r="B2222" s="34" t="s">
        <v>13520</v>
      </c>
      <c r="C2222" s="25" t="s">
        <v>11860</v>
      </c>
      <c r="D2222" s="25" t="s">
        <v>74</v>
      </c>
    </row>
    <row r="2223" spans="1:4">
      <c r="A2223" s="58">
        <v>45405</v>
      </c>
      <c r="B2223" s="34" t="s">
        <v>10969</v>
      </c>
      <c r="C2223" s="25" t="s">
        <v>13521</v>
      </c>
      <c r="D2223" s="25" t="s">
        <v>29</v>
      </c>
    </row>
    <row r="2224" spans="1:4">
      <c r="A2224" s="58">
        <v>45405</v>
      </c>
      <c r="B2224" s="34" t="s">
        <v>13523</v>
      </c>
      <c r="C2224" s="25" t="s">
        <v>13522</v>
      </c>
      <c r="D2224" s="25" t="s">
        <v>5</v>
      </c>
    </row>
    <row r="2225" spans="1:4">
      <c r="A2225" s="58">
        <v>45405</v>
      </c>
      <c r="B2225" s="34" t="s">
        <v>13525</v>
      </c>
      <c r="C2225" s="25" t="s">
        <v>13524</v>
      </c>
      <c r="D2225" s="25" t="s">
        <v>141</v>
      </c>
    </row>
    <row r="2226" spans="1:4">
      <c r="A2226" s="58">
        <v>45407</v>
      </c>
      <c r="B2226" s="34" t="s">
        <v>13527</v>
      </c>
      <c r="C2226" s="25" t="s">
        <v>13526</v>
      </c>
      <c r="D2226" s="25" t="s">
        <v>353</v>
      </c>
    </row>
    <row r="2227" spans="1:4">
      <c r="A2227" s="58">
        <v>45407</v>
      </c>
      <c r="B2227" s="34" t="s">
        <v>13529</v>
      </c>
      <c r="C2227" s="25" t="s">
        <v>13528</v>
      </c>
      <c r="D2227" s="25" t="s">
        <v>5</v>
      </c>
    </row>
    <row r="2228" spans="1:4">
      <c r="A2228" s="58">
        <v>45407</v>
      </c>
      <c r="B2228" s="34" t="s">
        <v>13531</v>
      </c>
      <c r="C2228" s="25" t="s">
        <v>13530</v>
      </c>
      <c r="D2228" s="25" t="s">
        <v>216</v>
      </c>
    </row>
    <row r="2229" spans="1:4">
      <c r="A2229" s="58">
        <v>45407</v>
      </c>
      <c r="B2229" s="34" t="s">
        <v>13531</v>
      </c>
      <c r="C2229" s="25" t="s">
        <v>13532</v>
      </c>
      <c r="D2229" s="25" t="s">
        <v>216</v>
      </c>
    </row>
    <row r="2230" spans="1:4">
      <c r="A2230" s="58">
        <v>45420</v>
      </c>
      <c r="B2230" s="34" t="s">
        <v>13534</v>
      </c>
      <c r="C2230" s="25" t="s">
        <v>13533</v>
      </c>
      <c r="D2230" s="25" t="s">
        <v>34</v>
      </c>
    </row>
    <row r="2231" spans="1:4">
      <c r="A2231" s="58">
        <v>45420</v>
      </c>
      <c r="B2231" s="34" t="s">
        <v>13536</v>
      </c>
      <c r="C2231" s="25" t="s">
        <v>13535</v>
      </c>
      <c r="D2231" s="25" t="s">
        <v>34</v>
      </c>
    </row>
    <row r="2232" spans="1:4">
      <c r="A2232" s="58">
        <v>45422</v>
      </c>
      <c r="B2232" s="34" t="s">
        <v>13538</v>
      </c>
      <c r="C2232" s="25" t="s">
        <v>13537</v>
      </c>
      <c r="D2232" s="25" t="s">
        <v>109</v>
      </c>
    </row>
    <row r="2233" spans="1:4">
      <c r="A2233" s="58">
        <v>45422</v>
      </c>
      <c r="B2233" s="34" t="s">
        <v>13540</v>
      </c>
      <c r="C2233" s="25" t="s">
        <v>13539</v>
      </c>
      <c r="D2233" s="25" t="s">
        <v>29</v>
      </c>
    </row>
    <row r="2234" spans="1:4">
      <c r="A2234" s="58">
        <v>45422</v>
      </c>
      <c r="B2234" s="34" t="s">
        <v>13540</v>
      </c>
      <c r="C2234" s="25" t="s">
        <v>13541</v>
      </c>
      <c r="D2234" s="25" t="s">
        <v>29</v>
      </c>
    </row>
    <row r="2235" spans="1:4">
      <c r="A2235" s="58">
        <v>45422</v>
      </c>
      <c r="B2235" s="34" t="s">
        <v>13543</v>
      </c>
      <c r="C2235" s="25" t="s">
        <v>13542</v>
      </c>
      <c r="D2235" s="25" t="s">
        <v>109</v>
      </c>
    </row>
    <row r="2236" spans="1:4">
      <c r="A2236" s="58">
        <v>45423</v>
      </c>
      <c r="B2236" s="34" t="s">
        <v>13545</v>
      </c>
      <c r="C2236" s="25" t="s">
        <v>13544</v>
      </c>
      <c r="D2236" s="25" t="s">
        <v>19</v>
      </c>
    </row>
    <row r="2237" spans="1:4">
      <c r="A2237" s="58">
        <v>45418</v>
      </c>
      <c r="B2237" s="34" t="s">
        <v>13546</v>
      </c>
      <c r="C2237" s="25" t="s">
        <v>11608</v>
      </c>
      <c r="D2237" s="25" t="s">
        <v>5</v>
      </c>
    </row>
    <row r="2238" spans="1:4">
      <c r="A2238" s="58">
        <v>45420</v>
      </c>
      <c r="B2238" s="34" t="s">
        <v>13548</v>
      </c>
      <c r="C2238" s="25" t="s">
        <v>13547</v>
      </c>
      <c r="D2238" s="25" t="s">
        <v>24</v>
      </c>
    </row>
    <row r="2239" spans="1:4">
      <c r="A2239" s="58">
        <v>45420</v>
      </c>
      <c r="B2239" s="34" t="s">
        <v>13550</v>
      </c>
      <c r="C2239" s="25" t="s">
        <v>13549</v>
      </c>
      <c r="D2239" s="25" t="s">
        <v>19</v>
      </c>
    </row>
    <row r="2240" spans="1:4">
      <c r="A2240" s="58">
        <v>45420</v>
      </c>
      <c r="B2240" s="34" t="s">
        <v>13552</v>
      </c>
      <c r="C2240" s="25" t="s">
        <v>13551</v>
      </c>
      <c r="D2240" s="25" t="s">
        <v>8</v>
      </c>
    </row>
    <row r="2241" spans="1:4">
      <c r="A2241" s="58">
        <v>45420</v>
      </c>
      <c r="B2241" s="34" t="s">
        <v>13554</v>
      </c>
      <c r="C2241" s="25" t="s">
        <v>13553</v>
      </c>
      <c r="D2241" s="25" t="s">
        <v>345</v>
      </c>
    </row>
    <row r="2242" spans="1:4">
      <c r="A2242" s="58">
        <v>45421</v>
      </c>
      <c r="B2242" s="34" t="s">
        <v>13556</v>
      </c>
      <c r="C2242" s="25" t="s">
        <v>13555</v>
      </c>
      <c r="D2242" s="25" t="s">
        <v>74</v>
      </c>
    </row>
    <row r="2243" spans="1:4">
      <c r="A2243" s="61">
        <v>45351</v>
      </c>
      <c r="B2243" s="36" t="s">
        <v>13558</v>
      </c>
      <c r="C2243" s="36" t="s">
        <v>13557</v>
      </c>
      <c r="D2243" s="36" t="s">
        <v>74</v>
      </c>
    </row>
    <row r="2244" spans="1:4">
      <c r="A2244" s="58">
        <v>45422</v>
      </c>
      <c r="B2244" s="34" t="s">
        <v>13560</v>
      </c>
      <c r="C2244" s="25" t="s">
        <v>13559</v>
      </c>
      <c r="D2244" s="25" t="s">
        <v>24</v>
      </c>
    </row>
    <row r="2245" spans="1:4">
      <c r="A2245" s="58">
        <v>45421</v>
      </c>
      <c r="B2245" s="34" t="s">
        <v>13562</v>
      </c>
      <c r="C2245" s="25" t="s">
        <v>13561</v>
      </c>
      <c r="D2245" s="25" t="s">
        <v>74</v>
      </c>
    </row>
    <row r="2246" spans="1:4">
      <c r="A2246" s="58">
        <v>45419</v>
      </c>
      <c r="B2246" s="34" t="s">
        <v>13564</v>
      </c>
      <c r="C2246" s="25" t="s">
        <v>13563</v>
      </c>
      <c r="D2246" s="25" t="s">
        <v>29</v>
      </c>
    </row>
    <row r="2247" spans="1:4">
      <c r="A2247" s="70">
        <v>45312</v>
      </c>
      <c r="B2247" s="25" t="s">
        <v>13566</v>
      </c>
      <c r="C2247" s="25" t="s">
        <v>13565</v>
      </c>
      <c r="D2247" s="25" t="s">
        <v>74</v>
      </c>
    </row>
    <row r="2248" spans="1:4">
      <c r="A2248" s="70">
        <v>45366</v>
      </c>
      <c r="B2248" s="34" t="s">
        <v>13568</v>
      </c>
      <c r="C2248" s="25" t="s">
        <v>13567</v>
      </c>
      <c r="D2248" s="25" t="s">
        <v>141</v>
      </c>
    </row>
    <row r="2249" spans="1:4">
      <c r="A2249" s="58">
        <v>45419</v>
      </c>
      <c r="B2249" s="34" t="s">
        <v>13570</v>
      </c>
      <c r="C2249" s="25" t="s">
        <v>13569</v>
      </c>
      <c r="D2249" s="25" t="s">
        <v>109</v>
      </c>
    </row>
    <row r="2250" spans="1:4">
      <c r="A2250" s="58">
        <v>45419</v>
      </c>
      <c r="B2250" s="34" t="s">
        <v>13572</v>
      </c>
      <c r="C2250" s="25" t="s">
        <v>13571</v>
      </c>
      <c r="D2250" s="25" t="s">
        <v>19</v>
      </c>
    </row>
    <row r="2251" spans="1:4">
      <c r="A2251" s="58">
        <v>45420</v>
      </c>
      <c r="B2251" s="34" t="s">
        <v>13574</v>
      </c>
      <c r="C2251" s="25" t="s">
        <v>13573</v>
      </c>
      <c r="D2251" s="25" t="s">
        <v>74</v>
      </c>
    </row>
    <row r="2252" spans="1:4">
      <c r="A2252" s="58">
        <v>45420</v>
      </c>
      <c r="B2252" s="34" t="s">
        <v>13576</v>
      </c>
      <c r="C2252" s="25" t="s">
        <v>13575</v>
      </c>
      <c r="D2252" s="25" t="s">
        <v>109</v>
      </c>
    </row>
    <row r="2253" spans="1:4">
      <c r="A2253" s="58">
        <v>45420</v>
      </c>
      <c r="B2253" s="34" t="s">
        <v>13578</v>
      </c>
      <c r="C2253" s="25" t="s">
        <v>13577</v>
      </c>
      <c r="D2253" s="25" t="s">
        <v>353</v>
      </c>
    </row>
    <row r="2254" spans="1:4">
      <c r="A2254" s="58">
        <v>45420</v>
      </c>
      <c r="B2254" s="34" t="s">
        <v>13580</v>
      </c>
      <c r="C2254" s="25" t="s">
        <v>13579</v>
      </c>
      <c r="D2254" s="25" t="s">
        <v>74</v>
      </c>
    </row>
    <row r="2255" spans="1:4">
      <c r="A2255" s="58">
        <v>45393</v>
      </c>
      <c r="B2255" s="25" t="s">
        <v>13582</v>
      </c>
      <c r="C2255" s="25" t="s">
        <v>13581</v>
      </c>
      <c r="D2255" s="25" t="s">
        <v>141</v>
      </c>
    </row>
    <row r="2256" spans="1:4">
      <c r="A2256" s="58">
        <v>45420</v>
      </c>
      <c r="B2256" s="34" t="s">
        <v>13584</v>
      </c>
      <c r="C2256" s="25" t="s">
        <v>13583</v>
      </c>
      <c r="D2256" s="25" t="s">
        <v>109</v>
      </c>
    </row>
    <row r="2257" spans="1:4">
      <c r="A2257" s="58">
        <v>45420</v>
      </c>
      <c r="B2257" s="34" t="s">
        <v>13586</v>
      </c>
      <c r="C2257" s="25" t="s">
        <v>13585</v>
      </c>
      <c r="D2257" s="25" t="s">
        <v>29</v>
      </c>
    </row>
    <row r="2258" spans="1:4">
      <c r="A2258" s="58">
        <v>45421</v>
      </c>
      <c r="B2258" s="34" t="s">
        <v>13587</v>
      </c>
      <c r="C2258" s="25" t="s">
        <v>91</v>
      </c>
      <c r="D2258" s="25" t="s">
        <v>81</v>
      </c>
    </row>
    <row r="2259" spans="1:4">
      <c r="A2259" s="61">
        <v>45315</v>
      </c>
      <c r="B2259" s="36" t="s">
        <v>13589</v>
      </c>
      <c r="C2259" s="36" t="s">
        <v>13588</v>
      </c>
      <c r="D2259" s="36" t="s">
        <v>141</v>
      </c>
    </row>
    <row r="2260" spans="1:4">
      <c r="A2260" s="58">
        <v>45421</v>
      </c>
      <c r="B2260" s="34" t="s">
        <v>13591</v>
      </c>
      <c r="C2260" s="25" t="s">
        <v>13590</v>
      </c>
      <c r="D2260" s="25" t="s">
        <v>11</v>
      </c>
    </row>
    <row r="2261" spans="1:4">
      <c r="A2261" s="58">
        <v>45421</v>
      </c>
      <c r="B2261" s="34" t="s">
        <v>13593</v>
      </c>
      <c r="C2261" s="25" t="s">
        <v>13592</v>
      </c>
      <c r="D2261" s="25" t="s">
        <v>74</v>
      </c>
    </row>
    <row r="2262" spans="1:4">
      <c r="A2262" s="58">
        <v>45421</v>
      </c>
      <c r="B2262" s="34" t="s">
        <v>13595</v>
      </c>
      <c r="C2262" s="25" t="s">
        <v>13594</v>
      </c>
      <c r="D2262" s="25" t="s">
        <v>19</v>
      </c>
    </row>
    <row r="2263" spans="1:4">
      <c r="A2263" s="58">
        <v>45412</v>
      </c>
      <c r="B2263" s="25" t="s">
        <v>13597</v>
      </c>
      <c r="C2263" s="25" t="s">
        <v>13596</v>
      </c>
      <c r="D2263" s="25" t="s">
        <v>141</v>
      </c>
    </row>
    <row r="2264" spans="1:4">
      <c r="A2264" s="58">
        <v>45421</v>
      </c>
      <c r="B2264" s="34" t="s">
        <v>13599</v>
      </c>
      <c r="C2264" s="25" t="s">
        <v>13598</v>
      </c>
      <c r="D2264" s="25" t="s">
        <v>29</v>
      </c>
    </row>
    <row r="2265" spans="1:4">
      <c r="A2265" s="58">
        <v>45421</v>
      </c>
      <c r="B2265" s="34" t="s">
        <v>13601</v>
      </c>
      <c r="C2265" s="25" t="s">
        <v>13600</v>
      </c>
      <c r="D2265" s="25" t="s">
        <v>11</v>
      </c>
    </row>
    <row r="2266" spans="1:4">
      <c r="A2266" s="58">
        <v>45422</v>
      </c>
      <c r="B2266" s="34" t="s">
        <v>13603</v>
      </c>
      <c r="C2266" s="25" t="s">
        <v>13602</v>
      </c>
      <c r="D2266" s="25" t="s">
        <v>345</v>
      </c>
    </row>
    <row r="2267" spans="1:4">
      <c r="A2267" s="58">
        <v>45422</v>
      </c>
      <c r="B2267" s="34" t="s">
        <v>13605</v>
      </c>
      <c r="C2267" s="25" t="s">
        <v>13604</v>
      </c>
      <c r="D2267" s="25" t="s">
        <v>74</v>
      </c>
    </row>
    <row r="2268" spans="1:4">
      <c r="A2268" s="58">
        <v>45412</v>
      </c>
      <c r="B2268" s="25" t="s">
        <v>13607</v>
      </c>
      <c r="C2268" s="25" t="s">
        <v>13606</v>
      </c>
      <c r="D2268" s="25" t="s">
        <v>141</v>
      </c>
    </row>
    <row r="2269" spans="1:4">
      <c r="A2269" s="58">
        <v>45422</v>
      </c>
      <c r="B2269" s="34" t="s">
        <v>13609</v>
      </c>
      <c r="C2269" s="25" t="s">
        <v>13608</v>
      </c>
      <c r="D2269" s="25" t="s">
        <v>109</v>
      </c>
    </row>
    <row r="2270" spans="1:4">
      <c r="A2270" s="58">
        <v>45422</v>
      </c>
      <c r="B2270" s="34" t="s">
        <v>13611</v>
      </c>
      <c r="C2270" s="25" t="s">
        <v>13610</v>
      </c>
      <c r="D2270" s="25" t="s">
        <v>109</v>
      </c>
    </row>
    <row r="2271" spans="1:4">
      <c r="A2271" s="32">
        <v>45364</v>
      </c>
      <c r="B2271" s="19" t="s">
        <v>13613</v>
      </c>
      <c r="C2271" s="19" t="s">
        <v>13612</v>
      </c>
      <c r="D2271" s="19" t="s">
        <v>109</v>
      </c>
    </row>
    <row r="2272" spans="1:4">
      <c r="A2272" s="58">
        <v>45422</v>
      </c>
      <c r="B2272" s="34" t="s">
        <v>13615</v>
      </c>
      <c r="C2272" s="25" t="s">
        <v>13614</v>
      </c>
      <c r="D2272" s="25" t="s">
        <v>353</v>
      </c>
    </row>
    <row r="2273" spans="1:4">
      <c r="A2273" s="58">
        <v>45424</v>
      </c>
      <c r="B2273" s="34" t="s">
        <v>13617</v>
      </c>
      <c r="C2273" s="25" t="s">
        <v>13616</v>
      </c>
      <c r="D2273" s="25" t="s">
        <v>16</v>
      </c>
    </row>
    <row r="2274" spans="1:4">
      <c r="A2274" s="58">
        <v>45424</v>
      </c>
      <c r="B2274" s="34" t="s">
        <v>13619</v>
      </c>
      <c r="C2274" s="25" t="s">
        <v>13618</v>
      </c>
      <c r="D2274" s="25" t="s">
        <v>24</v>
      </c>
    </row>
    <row r="2275" spans="1:4">
      <c r="A2275" s="58">
        <v>45420</v>
      </c>
      <c r="B2275" s="34" t="s">
        <v>13621</v>
      </c>
      <c r="C2275" s="25" t="s">
        <v>13620</v>
      </c>
      <c r="D2275" s="25" t="s">
        <v>74</v>
      </c>
    </row>
    <row r="2276" spans="1:4">
      <c r="A2276" s="58">
        <v>45420</v>
      </c>
      <c r="B2276" s="34" t="s">
        <v>13623</v>
      </c>
      <c r="C2276" s="25" t="s">
        <v>13622</v>
      </c>
      <c r="D2276" s="25" t="s">
        <v>109</v>
      </c>
    </row>
    <row r="2277" spans="1:4">
      <c r="A2277" s="32">
        <v>45359</v>
      </c>
      <c r="B2277" s="19" t="s">
        <v>13625</v>
      </c>
      <c r="C2277" s="19" t="s">
        <v>13624</v>
      </c>
      <c r="D2277" s="19" t="s">
        <v>109</v>
      </c>
    </row>
    <row r="2278" spans="1:4">
      <c r="A2278" s="58">
        <v>45421</v>
      </c>
      <c r="B2278" s="34" t="s">
        <v>13626</v>
      </c>
      <c r="C2278" s="25" t="s">
        <v>12969</v>
      </c>
      <c r="D2278" s="25" t="s">
        <v>109</v>
      </c>
    </row>
    <row r="2279" spans="1:4">
      <c r="A2279" s="70">
        <v>45415</v>
      </c>
      <c r="B2279" s="25" t="s">
        <v>13628</v>
      </c>
      <c r="C2279" s="25" t="s">
        <v>13627</v>
      </c>
      <c r="D2279" s="25" t="s">
        <v>109</v>
      </c>
    </row>
    <row r="2280" spans="1:4">
      <c r="A2280" s="58">
        <v>45427</v>
      </c>
      <c r="B2280" s="34" t="s">
        <v>13629</v>
      </c>
      <c r="C2280" s="25" t="s">
        <v>11181</v>
      </c>
      <c r="D2280" s="25" t="s">
        <v>109</v>
      </c>
    </row>
    <row r="2281" spans="1:4">
      <c r="A2281" s="58">
        <v>45461</v>
      </c>
      <c r="B2281" s="34" t="s">
        <v>13631</v>
      </c>
      <c r="C2281" s="25" t="s">
        <v>13630</v>
      </c>
      <c r="D2281" s="25" t="s">
        <v>109</v>
      </c>
    </row>
    <row r="2282" spans="1:4">
      <c r="A2282" s="58">
        <v>45421</v>
      </c>
      <c r="B2282" s="34" t="s">
        <v>13633</v>
      </c>
      <c r="C2282" s="25" t="s">
        <v>13632</v>
      </c>
      <c r="D2282" s="25" t="s">
        <v>74</v>
      </c>
    </row>
    <row r="2283" spans="1:4">
      <c r="A2283" s="58">
        <v>45421</v>
      </c>
      <c r="B2283" s="34" t="s">
        <v>13635</v>
      </c>
      <c r="C2283" s="25" t="s">
        <v>13634</v>
      </c>
      <c r="D2283" s="25" t="s">
        <v>74</v>
      </c>
    </row>
    <row r="2284" spans="1:4">
      <c r="A2284" s="58">
        <v>45422</v>
      </c>
      <c r="B2284" s="34" t="s">
        <v>13637</v>
      </c>
      <c r="C2284" s="25" t="s">
        <v>13636</v>
      </c>
      <c r="D2284" s="25" t="s">
        <v>34</v>
      </c>
    </row>
    <row r="2285" spans="1:4">
      <c r="A2285" s="58">
        <v>45422</v>
      </c>
      <c r="B2285" s="34" t="s">
        <v>13639</v>
      </c>
      <c r="C2285" s="25" t="s">
        <v>13638</v>
      </c>
      <c r="D2285" s="25" t="s">
        <v>29</v>
      </c>
    </row>
    <row r="2286" spans="1:4">
      <c r="A2286" s="58">
        <v>45422</v>
      </c>
      <c r="B2286" s="34" t="s">
        <v>13641</v>
      </c>
      <c r="C2286" s="25" t="s">
        <v>13640</v>
      </c>
      <c r="D2286" s="25" t="s">
        <v>5</v>
      </c>
    </row>
    <row r="2287" spans="1:4">
      <c r="A2287" s="58">
        <v>45422</v>
      </c>
      <c r="B2287" s="34" t="s">
        <v>13643</v>
      </c>
      <c r="C2287" s="25" t="s">
        <v>13642</v>
      </c>
      <c r="D2287" s="25" t="s">
        <v>5</v>
      </c>
    </row>
    <row r="2288" spans="1:4">
      <c r="A2288" s="58">
        <v>45422</v>
      </c>
      <c r="B2288" s="34" t="s">
        <v>13645</v>
      </c>
      <c r="C2288" s="25" t="s">
        <v>13644</v>
      </c>
      <c r="D2288" s="25" t="s">
        <v>8</v>
      </c>
    </row>
    <row r="2289" spans="1:4">
      <c r="A2289" s="58">
        <v>45422</v>
      </c>
      <c r="B2289" s="34" t="s">
        <v>13647</v>
      </c>
      <c r="C2289" s="25" t="s">
        <v>13646</v>
      </c>
      <c r="D2289" s="25" t="s">
        <v>11</v>
      </c>
    </row>
    <row r="2290" spans="1:4">
      <c r="A2290" s="58">
        <v>45422</v>
      </c>
      <c r="B2290" s="34" t="s">
        <v>13649</v>
      </c>
      <c r="C2290" s="25" t="s">
        <v>13648</v>
      </c>
      <c r="D2290" s="25" t="s">
        <v>34</v>
      </c>
    </row>
    <row r="2291" spans="1:4">
      <c r="A2291" s="58">
        <v>45422</v>
      </c>
      <c r="B2291" s="34" t="s">
        <v>13651</v>
      </c>
      <c r="C2291" s="25" t="s">
        <v>13650</v>
      </c>
      <c r="D2291" s="25" t="s">
        <v>11</v>
      </c>
    </row>
    <row r="2292" spans="1:4">
      <c r="A2292" s="58">
        <v>45423</v>
      </c>
      <c r="B2292" s="34" t="s">
        <v>13653</v>
      </c>
      <c r="C2292" s="25" t="s">
        <v>13652</v>
      </c>
      <c r="D2292" s="25" t="s">
        <v>216</v>
      </c>
    </row>
    <row r="2293" spans="1:4">
      <c r="A2293" s="58">
        <v>45423</v>
      </c>
      <c r="B2293" s="34" t="s">
        <v>13655</v>
      </c>
      <c r="C2293" s="25" t="s">
        <v>13654</v>
      </c>
      <c r="D2293" s="25" t="s">
        <v>216</v>
      </c>
    </row>
    <row r="2294" spans="1:4">
      <c r="A2294" s="58">
        <v>45413</v>
      </c>
      <c r="B2294" s="34" t="s">
        <v>13657</v>
      </c>
      <c r="C2294" s="25" t="s">
        <v>13656</v>
      </c>
      <c r="D2294" s="25" t="s">
        <v>141</v>
      </c>
    </row>
    <row r="2295" spans="1:4">
      <c r="A2295" s="58">
        <v>45413</v>
      </c>
      <c r="B2295" s="34" t="s">
        <v>13658</v>
      </c>
      <c r="C2295" s="25" t="s">
        <v>13596</v>
      </c>
      <c r="D2295" s="25" t="s">
        <v>141</v>
      </c>
    </row>
    <row r="2296" spans="1:4">
      <c r="A2296" s="58">
        <v>45414</v>
      </c>
      <c r="B2296" s="34" t="s">
        <v>13660</v>
      </c>
      <c r="C2296" s="25" t="s">
        <v>13659</v>
      </c>
      <c r="D2296" s="25" t="s">
        <v>11</v>
      </c>
    </row>
    <row r="2297" spans="1:4">
      <c r="A2297" s="58">
        <v>45414</v>
      </c>
      <c r="B2297" s="34" t="s">
        <v>13662</v>
      </c>
      <c r="C2297" s="25" t="s">
        <v>13661</v>
      </c>
      <c r="D2297" s="25" t="s">
        <v>11</v>
      </c>
    </row>
    <row r="2298" spans="1:4">
      <c r="A2298" s="58">
        <v>45414</v>
      </c>
      <c r="B2298" s="34" t="s">
        <v>13664</v>
      </c>
      <c r="C2298" s="25" t="s">
        <v>13663</v>
      </c>
      <c r="D2298" s="25" t="s">
        <v>345</v>
      </c>
    </row>
    <row r="2299" spans="1:4">
      <c r="A2299" s="58">
        <v>45414</v>
      </c>
      <c r="B2299" s="34" t="s">
        <v>13666</v>
      </c>
      <c r="C2299" s="25" t="s">
        <v>13665</v>
      </c>
      <c r="D2299" s="25" t="s">
        <v>8</v>
      </c>
    </row>
    <row r="2300" spans="1:4">
      <c r="A2300" s="58">
        <v>45414</v>
      </c>
      <c r="B2300" s="34" t="s">
        <v>13667</v>
      </c>
      <c r="C2300" s="25" t="s">
        <v>13665</v>
      </c>
      <c r="D2300" s="25" t="s">
        <v>8</v>
      </c>
    </row>
    <row r="2301" spans="1:4">
      <c r="A2301" s="58">
        <v>45415</v>
      </c>
      <c r="B2301" s="34" t="s">
        <v>13669</v>
      </c>
      <c r="C2301" s="25" t="s">
        <v>13668</v>
      </c>
      <c r="D2301" s="25" t="s">
        <v>11</v>
      </c>
    </row>
    <row r="2302" spans="1:4">
      <c r="A2302" s="58">
        <v>45415</v>
      </c>
      <c r="B2302" s="34" t="s">
        <v>13671</v>
      </c>
      <c r="C2302" s="25" t="s">
        <v>13670</v>
      </c>
      <c r="D2302" s="25" t="s">
        <v>164</v>
      </c>
    </row>
    <row r="2303" spans="1:4">
      <c r="A2303" s="58">
        <v>45415</v>
      </c>
      <c r="B2303" s="34" t="s">
        <v>13673</v>
      </c>
      <c r="C2303" s="25" t="s">
        <v>13672</v>
      </c>
      <c r="D2303" s="25" t="s">
        <v>8</v>
      </c>
    </row>
    <row r="2304" spans="1:4">
      <c r="A2304" s="58">
        <v>45415</v>
      </c>
      <c r="B2304" s="34" t="s">
        <v>13675</v>
      </c>
      <c r="C2304" s="25" t="s">
        <v>13674</v>
      </c>
      <c r="D2304" s="25" t="s">
        <v>8</v>
      </c>
    </row>
    <row r="2305" spans="1:4">
      <c r="A2305" s="58">
        <v>45415</v>
      </c>
      <c r="B2305" s="34" t="s">
        <v>13677</v>
      </c>
      <c r="C2305" s="25" t="s">
        <v>13676</v>
      </c>
      <c r="D2305" s="25" t="s">
        <v>74</v>
      </c>
    </row>
    <row r="2306" spans="1:4">
      <c r="A2306" s="58">
        <v>45415</v>
      </c>
      <c r="B2306" s="34" t="s">
        <v>13679</v>
      </c>
      <c r="C2306" s="25" t="s">
        <v>13678</v>
      </c>
      <c r="D2306" s="25" t="s">
        <v>11</v>
      </c>
    </row>
    <row r="2307" spans="1:4">
      <c r="A2307" s="58">
        <v>45415</v>
      </c>
      <c r="B2307" s="34" t="s">
        <v>13681</v>
      </c>
      <c r="C2307" s="25" t="s">
        <v>13680</v>
      </c>
      <c r="D2307" s="25" t="s">
        <v>11</v>
      </c>
    </row>
    <row r="2308" spans="1:4">
      <c r="A2308" s="58">
        <v>45416</v>
      </c>
      <c r="B2308" s="34" t="s">
        <v>13683</v>
      </c>
      <c r="C2308" s="25" t="s">
        <v>13682</v>
      </c>
      <c r="D2308" s="25" t="s">
        <v>34</v>
      </c>
    </row>
    <row r="2309" spans="1:4">
      <c r="A2309" s="58">
        <v>45418</v>
      </c>
      <c r="B2309" s="34" t="s">
        <v>13685</v>
      </c>
      <c r="C2309" s="25" t="s">
        <v>13684</v>
      </c>
      <c r="D2309" s="25" t="s">
        <v>24</v>
      </c>
    </row>
    <row r="2310" spans="1:4">
      <c r="A2310" s="58">
        <v>45418</v>
      </c>
      <c r="B2310" s="34" t="s">
        <v>13687</v>
      </c>
      <c r="C2310" s="25" t="s">
        <v>13686</v>
      </c>
      <c r="D2310" s="25" t="s">
        <v>24</v>
      </c>
    </row>
    <row r="2311" spans="1:4">
      <c r="A2311" s="58">
        <v>45418</v>
      </c>
      <c r="B2311" s="34" t="s">
        <v>13688</v>
      </c>
      <c r="C2311" s="25" t="s">
        <v>13684</v>
      </c>
      <c r="D2311" s="25" t="s">
        <v>24</v>
      </c>
    </row>
    <row r="2312" spans="1:4">
      <c r="A2312" s="58">
        <v>45418</v>
      </c>
      <c r="B2312" s="34" t="s">
        <v>13689</v>
      </c>
      <c r="C2312" s="25" t="s">
        <v>11576</v>
      </c>
      <c r="D2312" s="25" t="s">
        <v>74</v>
      </c>
    </row>
    <row r="2313" spans="1:4">
      <c r="A2313" s="58">
        <v>45418</v>
      </c>
      <c r="B2313" s="34" t="s">
        <v>13691</v>
      </c>
      <c r="C2313" s="25" t="s">
        <v>13690</v>
      </c>
      <c r="D2313" s="25" t="s">
        <v>74</v>
      </c>
    </row>
    <row r="2314" spans="1:4">
      <c r="A2314" s="58">
        <v>45419</v>
      </c>
      <c r="B2314" s="34" t="s">
        <v>13693</v>
      </c>
      <c r="C2314" s="25" t="s">
        <v>13692</v>
      </c>
      <c r="D2314" s="25" t="s">
        <v>164</v>
      </c>
    </row>
    <row r="2315" spans="1:4">
      <c r="A2315" s="58">
        <v>45421</v>
      </c>
      <c r="B2315" s="34" t="s">
        <v>13695</v>
      </c>
      <c r="C2315" s="25" t="s">
        <v>13694</v>
      </c>
      <c r="D2315" s="25" t="s">
        <v>11</v>
      </c>
    </row>
    <row r="2316" spans="1:4">
      <c r="A2316" s="58">
        <v>45421</v>
      </c>
      <c r="B2316" s="34" t="s">
        <v>13697</v>
      </c>
      <c r="C2316" s="25" t="s">
        <v>13696</v>
      </c>
      <c r="D2316" s="25" t="s">
        <v>19</v>
      </c>
    </row>
    <row r="2317" spans="1:4">
      <c r="A2317" s="58">
        <v>45421</v>
      </c>
      <c r="B2317" s="34" t="s">
        <v>13698</v>
      </c>
      <c r="C2317" s="25" t="s">
        <v>13590</v>
      </c>
      <c r="D2317" s="25" t="s">
        <v>11</v>
      </c>
    </row>
    <row r="2318" spans="1:4">
      <c r="A2318" s="58">
        <v>45421</v>
      </c>
      <c r="B2318" s="34" t="s">
        <v>13700</v>
      </c>
      <c r="C2318" s="25" t="s">
        <v>13699</v>
      </c>
      <c r="D2318" s="25" t="s">
        <v>8</v>
      </c>
    </row>
    <row r="2319" spans="1:4">
      <c r="A2319" s="58">
        <v>45421</v>
      </c>
      <c r="B2319" s="34" t="s">
        <v>13702</v>
      </c>
      <c r="C2319" s="25" t="s">
        <v>13701</v>
      </c>
      <c r="D2319" s="25" t="s">
        <v>34</v>
      </c>
    </row>
    <row r="2320" spans="1:4">
      <c r="A2320" s="58">
        <v>45421</v>
      </c>
      <c r="B2320" s="34" t="s">
        <v>13704</v>
      </c>
      <c r="C2320" s="25" t="s">
        <v>13703</v>
      </c>
      <c r="D2320" s="25" t="s">
        <v>34</v>
      </c>
    </row>
    <row r="2321" spans="1:4">
      <c r="A2321" s="58">
        <v>45421</v>
      </c>
      <c r="B2321" s="34" t="s">
        <v>13706</v>
      </c>
      <c r="C2321" s="25" t="s">
        <v>13705</v>
      </c>
      <c r="D2321" s="25" t="s">
        <v>34</v>
      </c>
    </row>
    <row r="2322" spans="1:4">
      <c r="A2322" s="58">
        <v>45422</v>
      </c>
      <c r="B2322" s="34" t="s">
        <v>13708</v>
      </c>
      <c r="C2322" s="25" t="s">
        <v>13707</v>
      </c>
      <c r="D2322" s="25" t="s">
        <v>24</v>
      </c>
    </row>
    <row r="2323" spans="1:4">
      <c r="A2323" s="58">
        <v>45422</v>
      </c>
      <c r="B2323" s="34" t="s">
        <v>13710</v>
      </c>
      <c r="C2323" s="25" t="s">
        <v>13709</v>
      </c>
      <c r="D2323" s="25" t="s">
        <v>24</v>
      </c>
    </row>
    <row r="2324" spans="1:4">
      <c r="A2324" s="58">
        <v>45423</v>
      </c>
      <c r="B2324" s="34" t="s">
        <v>13712</v>
      </c>
      <c r="C2324" s="25" t="s">
        <v>13711</v>
      </c>
      <c r="D2324" s="25" t="s">
        <v>11</v>
      </c>
    </row>
    <row r="2325" spans="1:4">
      <c r="A2325" s="58">
        <v>45423</v>
      </c>
      <c r="B2325" s="34" t="s">
        <v>13714</v>
      </c>
      <c r="C2325" s="25" t="s">
        <v>13713</v>
      </c>
      <c r="D2325" s="25" t="s">
        <v>11</v>
      </c>
    </row>
    <row r="2326" spans="1:4">
      <c r="A2326" s="58">
        <v>45446</v>
      </c>
      <c r="B2326" s="34" t="s">
        <v>13716</v>
      </c>
      <c r="C2326" s="25" t="s">
        <v>13715</v>
      </c>
      <c r="D2326" s="25" t="s">
        <v>109</v>
      </c>
    </row>
    <row r="2327" spans="1:4">
      <c r="A2327" s="58">
        <v>45425</v>
      </c>
      <c r="B2327" s="34" t="s">
        <v>13718</v>
      </c>
      <c r="C2327" s="25" t="s">
        <v>13717</v>
      </c>
      <c r="D2327" s="25" t="s">
        <v>74</v>
      </c>
    </row>
    <row r="2328" spans="1:4">
      <c r="A2328" s="58">
        <v>45425</v>
      </c>
      <c r="B2328" s="34" t="s">
        <v>13720</v>
      </c>
      <c r="C2328" s="25" t="s">
        <v>13719</v>
      </c>
      <c r="D2328" s="25" t="s">
        <v>11</v>
      </c>
    </row>
    <row r="2329" spans="1:4">
      <c r="A2329" s="58">
        <v>45425</v>
      </c>
      <c r="B2329" s="34" t="s">
        <v>13722</v>
      </c>
      <c r="C2329" s="25" t="s">
        <v>13721</v>
      </c>
      <c r="D2329" s="25" t="s">
        <v>141</v>
      </c>
    </row>
    <row r="2330" spans="1:4">
      <c r="A2330" s="58">
        <v>45426</v>
      </c>
      <c r="B2330" s="34" t="s">
        <v>13724</v>
      </c>
      <c r="C2330" s="25" t="s">
        <v>13723</v>
      </c>
      <c r="D2330" s="25" t="s">
        <v>11</v>
      </c>
    </row>
    <row r="2331" spans="1:4">
      <c r="A2331" s="58">
        <v>45426</v>
      </c>
      <c r="B2331" s="34" t="s">
        <v>13726</v>
      </c>
      <c r="C2331" s="25" t="s">
        <v>13725</v>
      </c>
      <c r="D2331" s="25" t="s">
        <v>29</v>
      </c>
    </row>
    <row r="2332" spans="1:4">
      <c r="A2332" s="32">
        <v>45378</v>
      </c>
      <c r="B2332" s="19" t="s">
        <v>13727</v>
      </c>
      <c r="C2332" s="19" t="s">
        <v>11877</v>
      </c>
      <c r="D2332" s="19" t="s">
        <v>109</v>
      </c>
    </row>
    <row r="2333" spans="1:4">
      <c r="A2333" s="58">
        <v>45426</v>
      </c>
      <c r="B2333" s="34" t="s">
        <v>13729</v>
      </c>
      <c r="C2333" s="25" t="s">
        <v>13728</v>
      </c>
      <c r="D2333" s="25" t="s">
        <v>109</v>
      </c>
    </row>
    <row r="2334" spans="1:4">
      <c r="A2334" s="58">
        <v>45427</v>
      </c>
      <c r="B2334" s="34" t="s">
        <v>13731</v>
      </c>
      <c r="C2334" s="25" t="s">
        <v>13730</v>
      </c>
      <c r="D2334" s="25" t="s">
        <v>8</v>
      </c>
    </row>
    <row r="2335" spans="1:4">
      <c r="A2335" s="58">
        <v>45429</v>
      </c>
      <c r="B2335" s="34" t="s">
        <v>13733</v>
      </c>
      <c r="C2335" s="25" t="s">
        <v>13732</v>
      </c>
      <c r="D2335" s="25" t="s">
        <v>16</v>
      </c>
    </row>
    <row r="2336" spans="1:4">
      <c r="A2336" s="58">
        <v>45429</v>
      </c>
      <c r="B2336" s="34" t="s">
        <v>13734</v>
      </c>
      <c r="C2336" s="25" t="s">
        <v>13728</v>
      </c>
      <c r="D2336" s="25" t="s">
        <v>109</v>
      </c>
    </row>
    <row r="2337" spans="1:4">
      <c r="A2337" s="58">
        <v>45430</v>
      </c>
      <c r="B2337" s="34" t="s">
        <v>13736</v>
      </c>
      <c r="C2337" s="25" t="s">
        <v>13735</v>
      </c>
      <c r="D2337" s="25" t="s">
        <v>5</v>
      </c>
    </row>
    <row r="2338" spans="1:4">
      <c r="A2338" s="61">
        <v>45348</v>
      </c>
      <c r="B2338" s="36" t="s">
        <v>11287</v>
      </c>
      <c r="C2338" s="36" t="s">
        <v>11286</v>
      </c>
      <c r="D2338" s="36" t="s">
        <v>109</v>
      </c>
    </row>
    <row r="2339" spans="1:4">
      <c r="A2339" s="58">
        <v>45435</v>
      </c>
      <c r="B2339" s="34" t="s">
        <v>13738</v>
      </c>
      <c r="C2339" s="25" t="s">
        <v>13737</v>
      </c>
      <c r="D2339" s="25" t="s">
        <v>16</v>
      </c>
    </row>
    <row r="2340" spans="1:4">
      <c r="A2340" s="58">
        <v>45426</v>
      </c>
      <c r="B2340" s="34" t="s">
        <v>13740</v>
      </c>
      <c r="C2340" s="25" t="s">
        <v>13739</v>
      </c>
      <c r="D2340" s="25" t="s">
        <v>5</v>
      </c>
    </row>
    <row r="2341" spans="1:4">
      <c r="A2341" s="58">
        <v>45426</v>
      </c>
      <c r="B2341" s="34" t="s">
        <v>13740</v>
      </c>
      <c r="C2341" s="25" t="s">
        <v>13739</v>
      </c>
      <c r="D2341" s="25" t="s">
        <v>5</v>
      </c>
    </row>
    <row r="2342" spans="1:4">
      <c r="A2342" s="58">
        <v>45426</v>
      </c>
      <c r="B2342" s="34" t="s">
        <v>13742</v>
      </c>
      <c r="C2342" s="25" t="s">
        <v>13741</v>
      </c>
      <c r="D2342" s="25" t="s">
        <v>5</v>
      </c>
    </row>
    <row r="2343" spans="1:4">
      <c r="A2343" s="58">
        <v>45426</v>
      </c>
      <c r="B2343" s="34" t="s">
        <v>13744</v>
      </c>
      <c r="C2343" s="25" t="s">
        <v>13743</v>
      </c>
      <c r="D2343" s="25" t="s">
        <v>5</v>
      </c>
    </row>
    <row r="2344" spans="1:4">
      <c r="A2344" s="61">
        <v>45350</v>
      </c>
      <c r="B2344" s="36" t="s">
        <v>13746</v>
      </c>
      <c r="C2344" s="36" t="s">
        <v>13745</v>
      </c>
      <c r="D2344" s="36" t="s">
        <v>109</v>
      </c>
    </row>
    <row r="2345" spans="1:4">
      <c r="A2345" s="58">
        <v>45429</v>
      </c>
      <c r="B2345" s="34" t="s">
        <v>13748</v>
      </c>
      <c r="C2345" s="25" t="s">
        <v>13747</v>
      </c>
      <c r="D2345" s="25" t="s">
        <v>164</v>
      </c>
    </row>
    <row r="2346" spans="1:4">
      <c r="A2346" s="58">
        <v>45429</v>
      </c>
      <c r="B2346" s="34" t="s">
        <v>13750</v>
      </c>
      <c r="C2346" s="25" t="s">
        <v>13749</v>
      </c>
      <c r="D2346" s="25" t="s">
        <v>164</v>
      </c>
    </row>
    <row r="2347" spans="1:4">
      <c r="A2347" s="58">
        <v>45429</v>
      </c>
      <c r="B2347" s="34" t="s">
        <v>13752</v>
      </c>
      <c r="C2347" s="25" t="s">
        <v>13751</v>
      </c>
      <c r="D2347" s="25" t="s">
        <v>164</v>
      </c>
    </row>
    <row r="2348" spans="1:4">
      <c r="A2348" s="58">
        <v>45430</v>
      </c>
      <c r="B2348" s="34" t="s">
        <v>13754</v>
      </c>
      <c r="C2348" s="25" t="s">
        <v>13753</v>
      </c>
      <c r="D2348" s="25" t="s">
        <v>34</v>
      </c>
    </row>
    <row r="2349" spans="1:4">
      <c r="A2349" s="58">
        <v>45430</v>
      </c>
      <c r="B2349" s="34" t="s">
        <v>13756</v>
      </c>
      <c r="C2349" s="25" t="s">
        <v>13755</v>
      </c>
      <c r="D2349" s="25" t="s">
        <v>34</v>
      </c>
    </row>
    <row r="2350" spans="1:4">
      <c r="A2350" s="58">
        <v>45431</v>
      </c>
      <c r="B2350" s="34" t="s">
        <v>13758</v>
      </c>
      <c r="C2350" s="25" t="s">
        <v>13757</v>
      </c>
      <c r="D2350" s="25" t="s">
        <v>19</v>
      </c>
    </row>
    <row r="2351" spans="1:4">
      <c r="A2351" s="58">
        <v>45425</v>
      </c>
      <c r="B2351" s="34" t="s">
        <v>13760</v>
      </c>
      <c r="C2351" s="25" t="s">
        <v>13759</v>
      </c>
      <c r="D2351" s="25" t="s">
        <v>353</v>
      </c>
    </row>
    <row r="2352" spans="1:4">
      <c r="A2352" s="58">
        <v>45426</v>
      </c>
      <c r="B2352" s="34" t="s">
        <v>13762</v>
      </c>
      <c r="C2352" s="25" t="s">
        <v>13761</v>
      </c>
      <c r="D2352" s="25" t="s">
        <v>164</v>
      </c>
    </row>
    <row r="2353" spans="1:4">
      <c r="A2353" s="58">
        <v>45426</v>
      </c>
      <c r="B2353" s="34" t="s">
        <v>13764</v>
      </c>
      <c r="C2353" s="25" t="s">
        <v>13763</v>
      </c>
      <c r="D2353" s="25" t="s">
        <v>5</v>
      </c>
    </row>
    <row r="2354" spans="1:4">
      <c r="A2354" s="58">
        <v>45426</v>
      </c>
      <c r="B2354" s="34" t="s">
        <v>13766</v>
      </c>
      <c r="C2354" s="25" t="s">
        <v>13765</v>
      </c>
      <c r="D2354" s="25" t="s">
        <v>109</v>
      </c>
    </row>
    <row r="2355" spans="1:4">
      <c r="A2355" s="58">
        <v>45426</v>
      </c>
      <c r="B2355" s="34" t="s">
        <v>13768</v>
      </c>
      <c r="C2355" s="25" t="s">
        <v>13767</v>
      </c>
      <c r="D2355" s="25" t="s">
        <v>5</v>
      </c>
    </row>
    <row r="2356" spans="1:4">
      <c r="A2356" s="58">
        <v>45427</v>
      </c>
      <c r="B2356" s="34" t="s">
        <v>13770</v>
      </c>
      <c r="C2356" s="25" t="s">
        <v>13769</v>
      </c>
      <c r="D2356" s="25" t="s">
        <v>74</v>
      </c>
    </row>
    <row r="2357" spans="1:4">
      <c r="A2357" s="58">
        <v>45427</v>
      </c>
      <c r="B2357" s="34" t="s">
        <v>13772</v>
      </c>
      <c r="C2357" s="25" t="s">
        <v>13771</v>
      </c>
      <c r="D2357" s="25" t="s">
        <v>5</v>
      </c>
    </row>
    <row r="2358" spans="1:4">
      <c r="A2358" s="58">
        <v>45427</v>
      </c>
      <c r="B2358" s="34" t="s">
        <v>13774</v>
      </c>
      <c r="C2358" s="25" t="s">
        <v>13773</v>
      </c>
      <c r="D2358" s="25" t="s">
        <v>5</v>
      </c>
    </row>
    <row r="2359" spans="1:4">
      <c r="A2359" s="58">
        <v>45427</v>
      </c>
      <c r="B2359" s="34" t="s">
        <v>13776</v>
      </c>
      <c r="C2359" s="25" t="s">
        <v>13775</v>
      </c>
      <c r="D2359" s="25" t="s">
        <v>74</v>
      </c>
    </row>
    <row r="2360" spans="1:4">
      <c r="A2360" s="58">
        <v>45429</v>
      </c>
      <c r="B2360" s="34" t="s">
        <v>13778</v>
      </c>
      <c r="C2360" s="25" t="s">
        <v>13777</v>
      </c>
      <c r="D2360" s="25" t="s">
        <v>5</v>
      </c>
    </row>
    <row r="2361" spans="1:4">
      <c r="A2361" s="58">
        <v>45429</v>
      </c>
      <c r="B2361" s="34" t="s">
        <v>13779</v>
      </c>
      <c r="C2361" s="25" t="s">
        <v>13777</v>
      </c>
      <c r="D2361" s="25" t="s">
        <v>5</v>
      </c>
    </row>
    <row r="2362" spans="1:4">
      <c r="A2362" s="58">
        <v>45429</v>
      </c>
      <c r="B2362" s="34" t="s">
        <v>13781</v>
      </c>
      <c r="C2362" s="25" t="s">
        <v>13780</v>
      </c>
      <c r="D2362" s="25" t="s">
        <v>5</v>
      </c>
    </row>
    <row r="2363" spans="1:4">
      <c r="A2363" s="58">
        <v>45435</v>
      </c>
      <c r="B2363" s="34" t="s">
        <v>13783</v>
      </c>
      <c r="C2363" s="25" t="s">
        <v>13782</v>
      </c>
      <c r="D2363" s="25" t="s">
        <v>5</v>
      </c>
    </row>
    <row r="2364" spans="1:4">
      <c r="A2364" s="61">
        <v>45351</v>
      </c>
      <c r="B2364" s="36" t="s">
        <v>13785</v>
      </c>
      <c r="C2364" s="36" t="s">
        <v>13784</v>
      </c>
      <c r="D2364" s="36" t="s">
        <v>109</v>
      </c>
    </row>
    <row r="2365" spans="1:4">
      <c r="A2365" s="58">
        <v>45425</v>
      </c>
      <c r="B2365" s="34" t="s">
        <v>13787</v>
      </c>
      <c r="C2365" s="25" t="s">
        <v>13786</v>
      </c>
      <c r="D2365" s="25" t="s">
        <v>16</v>
      </c>
    </row>
    <row r="2366" spans="1:4">
      <c r="A2366" s="58">
        <v>45425</v>
      </c>
      <c r="B2366" s="34" t="s">
        <v>13789</v>
      </c>
      <c r="C2366" s="25" t="s">
        <v>13788</v>
      </c>
      <c r="D2366" s="25" t="s">
        <v>29</v>
      </c>
    </row>
    <row r="2367" spans="1:4">
      <c r="A2367" s="61">
        <v>45351</v>
      </c>
      <c r="B2367" s="36" t="s">
        <v>13791</v>
      </c>
      <c r="C2367" s="36" t="s">
        <v>13790</v>
      </c>
      <c r="D2367" s="36" t="s">
        <v>109</v>
      </c>
    </row>
    <row r="2368" spans="1:4">
      <c r="A2368" s="58">
        <v>45425</v>
      </c>
      <c r="B2368" s="34" t="s">
        <v>13793</v>
      </c>
      <c r="C2368" s="25" t="s">
        <v>13792</v>
      </c>
      <c r="D2368" s="25" t="s">
        <v>29</v>
      </c>
    </row>
    <row r="2369" spans="1:4">
      <c r="A2369" s="58">
        <v>45425</v>
      </c>
      <c r="B2369" s="34" t="s">
        <v>13795</v>
      </c>
      <c r="C2369" s="25" t="s">
        <v>13794</v>
      </c>
      <c r="D2369" s="25" t="s">
        <v>16</v>
      </c>
    </row>
    <row r="2370" spans="1:4">
      <c r="A2370" s="58">
        <v>45425</v>
      </c>
      <c r="B2370" s="34" t="s">
        <v>13797</v>
      </c>
      <c r="C2370" s="25" t="s">
        <v>13796</v>
      </c>
      <c r="D2370" s="25" t="s">
        <v>29</v>
      </c>
    </row>
    <row r="2371" spans="1:4">
      <c r="A2371" s="58">
        <v>45425</v>
      </c>
      <c r="B2371" s="34" t="s">
        <v>13799</v>
      </c>
      <c r="C2371" s="25" t="s">
        <v>13798</v>
      </c>
      <c r="D2371" s="25" t="s">
        <v>29</v>
      </c>
    </row>
    <row r="2372" spans="1:4">
      <c r="A2372" s="61">
        <v>45352</v>
      </c>
      <c r="B2372" s="36" t="s">
        <v>13801</v>
      </c>
      <c r="C2372" s="36" t="s">
        <v>13800</v>
      </c>
      <c r="D2372" s="36" t="s">
        <v>109</v>
      </c>
    </row>
    <row r="2373" spans="1:4">
      <c r="A2373" s="58">
        <v>45425</v>
      </c>
      <c r="B2373" s="34" t="s">
        <v>13803</v>
      </c>
      <c r="C2373" s="25" t="s">
        <v>13802</v>
      </c>
      <c r="D2373" s="25" t="s">
        <v>19</v>
      </c>
    </row>
    <row r="2374" spans="1:4">
      <c r="A2374" s="58">
        <v>45426</v>
      </c>
      <c r="B2374" s="34" t="s">
        <v>13805</v>
      </c>
      <c r="C2374" s="25" t="s">
        <v>13804</v>
      </c>
      <c r="D2374" s="25" t="s">
        <v>29</v>
      </c>
    </row>
    <row r="2375" spans="1:4">
      <c r="A2375" s="58">
        <v>45426</v>
      </c>
      <c r="B2375" s="34" t="s">
        <v>13807</v>
      </c>
      <c r="C2375" s="25" t="s">
        <v>13806</v>
      </c>
      <c r="D2375" s="25" t="s">
        <v>19</v>
      </c>
    </row>
    <row r="2376" spans="1:4">
      <c r="A2376" s="58">
        <v>45426</v>
      </c>
      <c r="B2376" s="34" t="s">
        <v>13809</v>
      </c>
      <c r="C2376" s="25" t="s">
        <v>13808</v>
      </c>
      <c r="D2376" s="25" t="s">
        <v>74</v>
      </c>
    </row>
    <row r="2377" spans="1:4">
      <c r="A2377" s="58">
        <v>45426</v>
      </c>
      <c r="B2377" s="34" t="s">
        <v>13811</v>
      </c>
      <c r="C2377" s="25" t="s">
        <v>13810</v>
      </c>
      <c r="D2377" s="25" t="s">
        <v>345</v>
      </c>
    </row>
    <row r="2378" spans="1:4">
      <c r="A2378" s="32">
        <v>45355</v>
      </c>
      <c r="B2378" s="19" t="s">
        <v>13812</v>
      </c>
      <c r="C2378" s="19" t="s">
        <v>10310</v>
      </c>
      <c r="D2378" s="19" t="s">
        <v>109</v>
      </c>
    </row>
    <row r="2379" spans="1:4">
      <c r="A2379" s="58">
        <v>45426</v>
      </c>
      <c r="B2379" s="34" t="s">
        <v>13814</v>
      </c>
      <c r="C2379" s="25" t="s">
        <v>13813</v>
      </c>
      <c r="D2379" s="25" t="s">
        <v>345</v>
      </c>
    </row>
    <row r="2380" spans="1:4">
      <c r="A2380" s="58">
        <v>45427</v>
      </c>
      <c r="B2380" s="34" t="s">
        <v>13815</v>
      </c>
      <c r="C2380" s="25" t="s">
        <v>13400</v>
      </c>
      <c r="D2380" s="25" t="s">
        <v>19</v>
      </c>
    </row>
    <row r="2381" spans="1:4">
      <c r="A2381" s="32">
        <v>45363</v>
      </c>
      <c r="B2381" s="19" t="s">
        <v>10969</v>
      </c>
      <c r="C2381" s="19" t="s">
        <v>13816</v>
      </c>
      <c r="D2381" s="19" t="s">
        <v>109</v>
      </c>
    </row>
    <row r="2382" spans="1:4">
      <c r="A2382" s="58">
        <v>45427</v>
      </c>
      <c r="B2382" s="34" t="s">
        <v>13817</v>
      </c>
      <c r="C2382" s="25" t="s">
        <v>13400</v>
      </c>
      <c r="D2382" s="25" t="s">
        <v>19</v>
      </c>
    </row>
    <row r="2383" spans="1:4">
      <c r="A2383" s="58">
        <v>45427</v>
      </c>
      <c r="B2383" s="34" t="s">
        <v>13819</v>
      </c>
      <c r="C2383" s="25" t="s">
        <v>13818</v>
      </c>
      <c r="D2383" s="25" t="s">
        <v>510</v>
      </c>
    </row>
    <row r="2384" spans="1:4">
      <c r="A2384" s="58">
        <v>45427</v>
      </c>
      <c r="B2384" s="34" t="s">
        <v>13821</v>
      </c>
      <c r="C2384" s="25" t="s">
        <v>13820</v>
      </c>
      <c r="D2384" s="25" t="s">
        <v>11</v>
      </c>
    </row>
    <row r="2385" spans="1:4">
      <c r="A2385" s="58">
        <v>45427</v>
      </c>
      <c r="B2385" s="34" t="s">
        <v>13823</v>
      </c>
      <c r="C2385" s="25" t="s">
        <v>13822</v>
      </c>
      <c r="D2385" s="25" t="s">
        <v>109</v>
      </c>
    </row>
    <row r="2386" spans="1:4">
      <c r="A2386" s="58">
        <v>45427</v>
      </c>
      <c r="B2386" s="34" t="s">
        <v>13825</v>
      </c>
      <c r="C2386" s="25" t="s">
        <v>13824</v>
      </c>
      <c r="D2386" s="25" t="s">
        <v>510</v>
      </c>
    </row>
    <row r="2387" spans="1:4">
      <c r="A2387" s="58">
        <v>45427</v>
      </c>
      <c r="B2387" s="34" t="s">
        <v>13826</v>
      </c>
      <c r="C2387" s="25" t="s">
        <v>12709</v>
      </c>
      <c r="D2387" s="25" t="s">
        <v>109</v>
      </c>
    </row>
    <row r="2388" spans="1:4">
      <c r="A2388" s="58">
        <v>45429</v>
      </c>
      <c r="B2388" s="34" t="s">
        <v>13827</v>
      </c>
      <c r="C2388" s="25" t="s">
        <v>11604</v>
      </c>
      <c r="D2388" s="25" t="s">
        <v>74</v>
      </c>
    </row>
    <row r="2389" spans="1:4">
      <c r="A2389" s="58">
        <v>45429</v>
      </c>
      <c r="B2389" s="34" t="s">
        <v>13829</v>
      </c>
      <c r="C2389" s="25" t="s">
        <v>13828</v>
      </c>
      <c r="D2389" s="25" t="s">
        <v>74</v>
      </c>
    </row>
    <row r="2390" spans="1:4">
      <c r="A2390" s="58">
        <v>45429</v>
      </c>
      <c r="B2390" s="34" t="s">
        <v>13831</v>
      </c>
      <c r="C2390" s="25" t="s">
        <v>13830</v>
      </c>
      <c r="D2390" s="25" t="s">
        <v>345</v>
      </c>
    </row>
    <row r="2391" spans="1:4">
      <c r="A2391" s="58">
        <v>45429</v>
      </c>
      <c r="B2391" s="34" t="s">
        <v>13833</v>
      </c>
      <c r="C2391" s="25" t="s">
        <v>13832</v>
      </c>
      <c r="D2391" s="25" t="s">
        <v>29</v>
      </c>
    </row>
    <row r="2392" spans="1:4">
      <c r="A2392" s="58">
        <v>45429</v>
      </c>
      <c r="B2392" s="34" t="s">
        <v>13835</v>
      </c>
      <c r="C2392" s="25" t="s">
        <v>13834</v>
      </c>
      <c r="D2392" s="25" t="s">
        <v>74</v>
      </c>
    </row>
    <row r="2393" spans="1:4">
      <c r="A2393" s="58">
        <v>45429</v>
      </c>
      <c r="B2393" s="34" t="s">
        <v>13837</v>
      </c>
      <c r="C2393" s="25" t="s">
        <v>13836</v>
      </c>
      <c r="D2393" s="25" t="s">
        <v>345</v>
      </c>
    </row>
    <row r="2394" spans="1:4">
      <c r="A2394" s="58">
        <v>45429</v>
      </c>
      <c r="B2394" s="34" t="s">
        <v>13838</v>
      </c>
      <c r="C2394" s="25" t="s">
        <v>12756</v>
      </c>
      <c r="D2394" s="25" t="s">
        <v>345</v>
      </c>
    </row>
    <row r="2395" spans="1:4">
      <c r="A2395" s="58">
        <v>45429</v>
      </c>
      <c r="B2395" s="34" t="s">
        <v>13840</v>
      </c>
      <c r="C2395" s="25" t="s">
        <v>13839</v>
      </c>
      <c r="D2395" s="25" t="s">
        <v>29</v>
      </c>
    </row>
    <row r="2396" spans="1:4">
      <c r="A2396" s="58">
        <v>45429</v>
      </c>
      <c r="B2396" s="34" t="s">
        <v>13841</v>
      </c>
      <c r="C2396" s="25" t="s">
        <v>11121</v>
      </c>
      <c r="D2396" s="25" t="s">
        <v>29</v>
      </c>
    </row>
    <row r="2397" spans="1:4">
      <c r="A2397" s="58">
        <v>45430</v>
      </c>
      <c r="B2397" s="34" t="s">
        <v>13843</v>
      </c>
      <c r="C2397" s="25" t="s">
        <v>13842</v>
      </c>
      <c r="D2397" s="25" t="s">
        <v>29</v>
      </c>
    </row>
    <row r="2398" spans="1:4">
      <c r="A2398" s="58">
        <v>45430</v>
      </c>
      <c r="B2398" s="34" t="s">
        <v>13845</v>
      </c>
      <c r="C2398" s="25" t="s">
        <v>13844</v>
      </c>
      <c r="D2398" s="25" t="s">
        <v>74</v>
      </c>
    </row>
    <row r="2399" spans="1:4">
      <c r="A2399" s="58">
        <v>45430</v>
      </c>
      <c r="B2399" s="34" t="s">
        <v>13847</v>
      </c>
      <c r="C2399" s="25" t="s">
        <v>13846</v>
      </c>
      <c r="D2399" s="25" t="s">
        <v>109</v>
      </c>
    </row>
    <row r="2400" spans="1:4">
      <c r="A2400" s="58">
        <v>45434</v>
      </c>
      <c r="B2400" s="34" t="s">
        <v>13849</v>
      </c>
      <c r="C2400" s="25" t="s">
        <v>13848</v>
      </c>
      <c r="D2400" s="25" t="s">
        <v>345</v>
      </c>
    </row>
    <row r="2401" spans="1:4">
      <c r="A2401" s="58">
        <v>45434</v>
      </c>
      <c r="B2401" s="34" t="s">
        <v>13851</v>
      </c>
      <c r="C2401" s="25" t="s">
        <v>13850</v>
      </c>
      <c r="D2401" s="25" t="s">
        <v>109</v>
      </c>
    </row>
    <row r="2402" spans="1:4">
      <c r="A2402" s="58">
        <v>45434</v>
      </c>
      <c r="B2402" s="34" t="s">
        <v>13853</v>
      </c>
      <c r="C2402" s="25" t="s">
        <v>13852</v>
      </c>
      <c r="D2402" s="25" t="s">
        <v>74</v>
      </c>
    </row>
    <row r="2403" spans="1:4">
      <c r="A2403" s="58">
        <v>45434</v>
      </c>
      <c r="B2403" s="34" t="s">
        <v>13855</v>
      </c>
      <c r="C2403" s="25" t="s">
        <v>13854</v>
      </c>
      <c r="D2403" s="25" t="s">
        <v>109</v>
      </c>
    </row>
    <row r="2404" spans="1:4">
      <c r="A2404" s="58">
        <v>45436</v>
      </c>
      <c r="B2404" s="34" t="s">
        <v>13857</v>
      </c>
      <c r="C2404" s="25" t="s">
        <v>13856</v>
      </c>
      <c r="D2404" s="25" t="s">
        <v>109</v>
      </c>
    </row>
    <row r="2405" spans="1:4">
      <c r="A2405" s="58">
        <v>45434</v>
      </c>
      <c r="B2405" s="34" t="s">
        <v>13859</v>
      </c>
      <c r="C2405" s="25" t="s">
        <v>13858</v>
      </c>
      <c r="D2405" s="25" t="s">
        <v>5</v>
      </c>
    </row>
    <row r="2406" spans="1:4">
      <c r="A2406" s="58">
        <v>45434</v>
      </c>
      <c r="B2406" s="34" t="s">
        <v>13860</v>
      </c>
      <c r="C2406" s="25" t="s">
        <v>13858</v>
      </c>
      <c r="D2406" s="25" t="s">
        <v>5</v>
      </c>
    </row>
    <row r="2407" spans="1:4">
      <c r="A2407" s="58">
        <v>45434</v>
      </c>
      <c r="B2407" s="34" t="s">
        <v>13862</v>
      </c>
      <c r="C2407" s="25" t="s">
        <v>13861</v>
      </c>
      <c r="D2407" s="25" t="s">
        <v>74</v>
      </c>
    </row>
    <row r="2408" spans="1:4">
      <c r="A2408" s="58">
        <v>45435</v>
      </c>
      <c r="B2408" s="34" t="s">
        <v>13864</v>
      </c>
      <c r="C2408" s="25" t="s">
        <v>13863</v>
      </c>
      <c r="D2408" s="25" t="s">
        <v>74</v>
      </c>
    </row>
    <row r="2409" spans="1:4">
      <c r="A2409" s="58">
        <v>45435</v>
      </c>
      <c r="B2409" s="34" t="s">
        <v>13866</v>
      </c>
      <c r="C2409" s="25" t="s">
        <v>13865</v>
      </c>
      <c r="D2409" s="25" t="s">
        <v>74</v>
      </c>
    </row>
    <row r="2410" spans="1:4">
      <c r="A2410" s="58">
        <v>45440</v>
      </c>
      <c r="B2410" s="34" t="s">
        <v>13868</v>
      </c>
      <c r="C2410" s="25" t="s">
        <v>13867</v>
      </c>
      <c r="D2410" s="25" t="s">
        <v>109</v>
      </c>
    </row>
    <row r="2411" spans="1:4">
      <c r="A2411" s="61">
        <v>45362</v>
      </c>
      <c r="B2411" s="36" t="s">
        <v>13870</v>
      </c>
      <c r="C2411" s="36" t="s">
        <v>13869</v>
      </c>
      <c r="D2411" s="36" t="s">
        <v>24</v>
      </c>
    </row>
    <row r="2412" spans="1:4">
      <c r="A2412" s="58">
        <v>45425</v>
      </c>
      <c r="B2412" s="34" t="s">
        <v>13872</v>
      </c>
      <c r="C2412" s="25" t="s">
        <v>13871</v>
      </c>
      <c r="D2412" s="25" t="s">
        <v>353</v>
      </c>
    </row>
    <row r="2413" spans="1:4">
      <c r="A2413" s="58">
        <v>45425</v>
      </c>
      <c r="B2413" s="34" t="s">
        <v>13873</v>
      </c>
      <c r="C2413" s="25" t="s">
        <v>13871</v>
      </c>
      <c r="D2413" s="25" t="s">
        <v>353</v>
      </c>
    </row>
    <row r="2414" spans="1:4">
      <c r="A2414" s="58">
        <v>45425</v>
      </c>
      <c r="B2414" s="34" t="s">
        <v>13874</v>
      </c>
      <c r="C2414" s="25" t="s">
        <v>13871</v>
      </c>
      <c r="D2414" s="25" t="s">
        <v>353</v>
      </c>
    </row>
    <row r="2415" spans="1:4">
      <c r="A2415" s="58">
        <v>45425</v>
      </c>
      <c r="B2415" s="34" t="s">
        <v>13875</v>
      </c>
      <c r="C2415" s="25" t="s">
        <v>9862</v>
      </c>
      <c r="D2415" s="25" t="s">
        <v>353</v>
      </c>
    </row>
    <row r="2416" spans="1:4">
      <c r="A2416" s="58">
        <v>45425</v>
      </c>
      <c r="B2416" s="34" t="s">
        <v>10969</v>
      </c>
      <c r="C2416" s="25" t="s">
        <v>13876</v>
      </c>
      <c r="D2416" s="25" t="s">
        <v>109</v>
      </c>
    </row>
    <row r="2417" spans="1:4">
      <c r="A2417" s="58">
        <v>45425</v>
      </c>
      <c r="B2417" s="34" t="s">
        <v>10969</v>
      </c>
      <c r="C2417" s="25" t="s">
        <v>13876</v>
      </c>
      <c r="D2417" s="25" t="s">
        <v>109</v>
      </c>
    </row>
    <row r="2418" spans="1:4">
      <c r="A2418" s="58">
        <v>45426</v>
      </c>
      <c r="B2418" s="34" t="s">
        <v>10969</v>
      </c>
      <c r="C2418" s="25" t="s">
        <v>13877</v>
      </c>
      <c r="D2418" s="25" t="s">
        <v>29</v>
      </c>
    </row>
    <row r="2419" spans="1:4">
      <c r="A2419" s="58">
        <v>45426</v>
      </c>
      <c r="B2419" s="34" t="s">
        <v>10969</v>
      </c>
      <c r="C2419" s="25" t="s">
        <v>13878</v>
      </c>
      <c r="D2419" s="25" t="s">
        <v>29</v>
      </c>
    </row>
    <row r="2420" spans="1:4">
      <c r="A2420" s="58">
        <v>45427</v>
      </c>
      <c r="B2420" s="34" t="s">
        <v>13880</v>
      </c>
      <c r="C2420" s="25" t="s">
        <v>13879</v>
      </c>
      <c r="D2420" s="25" t="s">
        <v>29</v>
      </c>
    </row>
    <row r="2421" spans="1:4">
      <c r="A2421" s="58">
        <v>45427</v>
      </c>
      <c r="B2421" s="34" t="s">
        <v>10969</v>
      </c>
      <c r="C2421" s="25" t="s">
        <v>13881</v>
      </c>
      <c r="D2421" s="25" t="s">
        <v>109</v>
      </c>
    </row>
    <row r="2422" spans="1:4">
      <c r="A2422" s="58">
        <v>45427</v>
      </c>
      <c r="B2422" s="34" t="s">
        <v>13883</v>
      </c>
      <c r="C2422" s="25" t="s">
        <v>13882</v>
      </c>
      <c r="D2422" s="25" t="s">
        <v>5</v>
      </c>
    </row>
    <row r="2423" spans="1:4">
      <c r="A2423" s="58">
        <v>45427</v>
      </c>
      <c r="B2423" s="34" t="s">
        <v>13885</v>
      </c>
      <c r="C2423" s="25" t="s">
        <v>13884</v>
      </c>
      <c r="D2423" s="25" t="s">
        <v>34</v>
      </c>
    </row>
    <row r="2424" spans="1:4">
      <c r="A2424" s="58">
        <v>45428</v>
      </c>
      <c r="B2424" s="34" t="s">
        <v>13886</v>
      </c>
      <c r="C2424" s="25" t="s">
        <v>12382</v>
      </c>
      <c r="D2424" s="25" t="s">
        <v>353</v>
      </c>
    </row>
    <row r="2425" spans="1:4">
      <c r="A2425" s="58">
        <v>45428</v>
      </c>
      <c r="B2425" s="34" t="s">
        <v>13888</v>
      </c>
      <c r="C2425" s="25" t="s">
        <v>13887</v>
      </c>
      <c r="D2425" s="25" t="s">
        <v>353</v>
      </c>
    </row>
    <row r="2426" spans="1:4">
      <c r="A2426" s="58">
        <v>45428</v>
      </c>
      <c r="B2426" s="34" t="s">
        <v>13889</v>
      </c>
      <c r="C2426" s="25" t="s">
        <v>12382</v>
      </c>
      <c r="D2426" s="25" t="s">
        <v>353</v>
      </c>
    </row>
    <row r="2427" spans="1:4">
      <c r="A2427" s="58">
        <v>45429</v>
      </c>
      <c r="B2427" s="34" t="s">
        <v>13890</v>
      </c>
      <c r="C2427" s="25" t="s">
        <v>12392</v>
      </c>
      <c r="D2427" s="25" t="s">
        <v>353</v>
      </c>
    </row>
    <row r="2428" spans="1:4">
      <c r="A2428" s="58">
        <v>45435</v>
      </c>
      <c r="B2428" s="34" t="s">
        <v>13891</v>
      </c>
      <c r="C2428" s="25" t="s">
        <v>6703</v>
      </c>
      <c r="D2428" s="25" t="s">
        <v>74</v>
      </c>
    </row>
    <row r="2429" spans="1:4">
      <c r="A2429" s="58">
        <v>45421</v>
      </c>
      <c r="B2429" s="34" t="s">
        <v>13893</v>
      </c>
      <c r="C2429" s="25" t="s">
        <v>13892</v>
      </c>
      <c r="D2429" s="25" t="s">
        <v>24</v>
      </c>
    </row>
    <row r="2430" spans="1:4">
      <c r="A2430" s="58">
        <v>45435</v>
      </c>
      <c r="B2430" s="34" t="s">
        <v>13895</v>
      </c>
      <c r="C2430" s="25" t="s">
        <v>13894</v>
      </c>
      <c r="D2430" s="25" t="s">
        <v>24</v>
      </c>
    </row>
    <row r="2431" spans="1:4">
      <c r="A2431" s="32">
        <v>45370</v>
      </c>
      <c r="B2431" s="42" t="s">
        <v>13897</v>
      </c>
      <c r="C2431" s="42" t="s">
        <v>13896</v>
      </c>
      <c r="D2431" s="42" t="s">
        <v>8</v>
      </c>
    </row>
    <row r="2432" spans="1:4">
      <c r="A2432" s="58">
        <v>45435</v>
      </c>
      <c r="B2432" s="34" t="s">
        <v>13899</v>
      </c>
      <c r="C2432" s="25" t="s">
        <v>13898</v>
      </c>
      <c r="D2432" s="25" t="s">
        <v>74</v>
      </c>
    </row>
    <row r="2433" spans="1:4">
      <c r="A2433" s="32">
        <v>45385</v>
      </c>
      <c r="B2433" s="19" t="s">
        <v>13901</v>
      </c>
      <c r="C2433" s="19" t="s">
        <v>13900</v>
      </c>
      <c r="D2433" s="19" t="s">
        <v>8</v>
      </c>
    </row>
    <row r="2434" spans="1:4">
      <c r="A2434" s="58">
        <v>45436</v>
      </c>
      <c r="B2434" s="34" t="s">
        <v>13903</v>
      </c>
      <c r="C2434" s="25" t="s">
        <v>13902</v>
      </c>
      <c r="D2434" s="25" t="s">
        <v>345</v>
      </c>
    </row>
    <row r="2435" spans="1:4">
      <c r="A2435" s="58">
        <v>45401</v>
      </c>
      <c r="B2435" s="25" t="s">
        <v>13905</v>
      </c>
      <c r="C2435" s="25" t="s">
        <v>13904</v>
      </c>
      <c r="D2435" s="25" t="s">
        <v>8</v>
      </c>
    </row>
    <row r="2436" spans="1:4">
      <c r="A2436" s="58">
        <v>45393</v>
      </c>
      <c r="B2436" s="34" t="s">
        <v>13907</v>
      </c>
      <c r="C2436" s="25" t="s">
        <v>13906</v>
      </c>
      <c r="D2436" s="25" t="s">
        <v>8</v>
      </c>
    </row>
    <row r="2437" spans="1:4">
      <c r="A2437" s="58">
        <v>45436</v>
      </c>
      <c r="B2437" s="34" t="s">
        <v>13909</v>
      </c>
      <c r="C2437" s="25" t="s">
        <v>13908</v>
      </c>
      <c r="D2437" s="25" t="s">
        <v>164</v>
      </c>
    </row>
    <row r="2438" spans="1:4">
      <c r="A2438" s="58">
        <v>45437</v>
      </c>
      <c r="B2438" s="34" t="s">
        <v>13911</v>
      </c>
      <c r="C2438" s="25" t="s">
        <v>13910</v>
      </c>
      <c r="D2438" s="25" t="s">
        <v>81</v>
      </c>
    </row>
    <row r="2439" spans="1:4">
      <c r="A2439" s="58">
        <v>45437</v>
      </c>
      <c r="B2439" s="34" t="s">
        <v>13913</v>
      </c>
      <c r="C2439" s="25" t="s">
        <v>13912</v>
      </c>
      <c r="D2439" s="25" t="s">
        <v>81</v>
      </c>
    </row>
    <row r="2440" spans="1:4">
      <c r="A2440" s="58">
        <v>45439</v>
      </c>
      <c r="B2440" s="34" t="s">
        <v>13915</v>
      </c>
      <c r="C2440" s="25" t="s">
        <v>13914</v>
      </c>
      <c r="D2440" s="25" t="s">
        <v>29</v>
      </c>
    </row>
    <row r="2441" spans="1:4">
      <c r="A2441" s="58">
        <v>45439</v>
      </c>
      <c r="B2441" s="34" t="s">
        <v>13917</v>
      </c>
      <c r="C2441" s="25" t="s">
        <v>13916</v>
      </c>
      <c r="D2441" s="25" t="s">
        <v>216</v>
      </c>
    </row>
    <row r="2442" spans="1:4">
      <c r="A2442" s="58">
        <v>45439</v>
      </c>
      <c r="B2442" s="34" t="s">
        <v>13918</v>
      </c>
      <c r="C2442" s="25" t="s">
        <v>10985</v>
      </c>
      <c r="D2442" s="25" t="s">
        <v>216</v>
      </c>
    </row>
    <row r="2443" spans="1:4">
      <c r="A2443" s="58">
        <v>45439</v>
      </c>
      <c r="B2443" s="34" t="s">
        <v>13920</v>
      </c>
      <c r="C2443" s="25" t="s">
        <v>13919</v>
      </c>
      <c r="D2443" s="25" t="s">
        <v>29</v>
      </c>
    </row>
    <row r="2444" spans="1:4">
      <c r="A2444" s="61">
        <v>45349</v>
      </c>
      <c r="B2444" s="36" t="s">
        <v>13922</v>
      </c>
      <c r="C2444" s="36" t="s">
        <v>13921</v>
      </c>
      <c r="D2444" s="36" t="s">
        <v>8</v>
      </c>
    </row>
    <row r="2445" spans="1:4">
      <c r="A2445" s="58">
        <v>45407</v>
      </c>
      <c r="B2445" s="34" t="s">
        <v>13924</v>
      </c>
      <c r="C2445" s="25" t="s">
        <v>13923</v>
      </c>
      <c r="D2445" s="25" t="s">
        <v>8</v>
      </c>
    </row>
    <row r="2446" spans="1:4">
      <c r="A2446" s="58">
        <v>45440</v>
      </c>
      <c r="B2446" s="34" t="s">
        <v>13926</v>
      </c>
      <c r="C2446" s="25" t="s">
        <v>13925</v>
      </c>
      <c r="D2446" s="25" t="s">
        <v>74</v>
      </c>
    </row>
    <row r="2447" spans="1:4">
      <c r="A2447" s="58">
        <v>45435</v>
      </c>
      <c r="B2447" s="34" t="s">
        <v>13928</v>
      </c>
      <c r="C2447" s="25" t="s">
        <v>13927</v>
      </c>
      <c r="D2447" s="25" t="s">
        <v>29</v>
      </c>
    </row>
    <row r="2448" spans="1:4">
      <c r="A2448" s="58">
        <v>45435</v>
      </c>
      <c r="B2448" s="34" t="s">
        <v>13930</v>
      </c>
      <c r="C2448" s="25" t="s">
        <v>13929</v>
      </c>
      <c r="D2448" s="25" t="s">
        <v>29</v>
      </c>
    </row>
    <row r="2449" spans="1:4">
      <c r="A2449" s="58">
        <v>45435</v>
      </c>
      <c r="B2449" s="34" t="s">
        <v>13932</v>
      </c>
      <c r="C2449" s="25" t="s">
        <v>13931</v>
      </c>
      <c r="D2449" s="25" t="s">
        <v>345</v>
      </c>
    </row>
    <row r="2450" spans="1:4">
      <c r="A2450" s="58">
        <v>45437</v>
      </c>
      <c r="B2450" s="34" t="s">
        <v>13933</v>
      </c>
      <c r="C2450" s="25" t="s">
        <v>12676</v>
      </c>
      <c r="D2450" s="25" t="s">
        <v>141</v>
      </c>
    </row>
    <row r="2451" spans="1:4">
      <c r="A2451" s="58">
        <v>45438</v>
      </c>
      <c r="B2451" s="34" t="s">
        <v>13935</v>
      </c>
      <c r="C2451" s="25" t="s">
        <v>13934</v>
      </c>
      <c r="D2451" s="25" t="s">
        <v>34</v>
      </c>
    </row>
    <row r="2452" spans="1:4">
      <c r="A2452" s="58">
        <v>45438</v>
      </c>
      <c r="B2452" s="34" t="s">
        <v>13937</v>
      </c>
      <c r="C2452" s="25" t="s">
        <v>13936</v>
      </c>
      <c r="D2452" s="25" t="s">
        <v>141</v>
      </c>
    </row>
    <row r="2453" spans="1:4">
      <c r="A2453" s="58">
        <v>45435</v>
      </c>
      <c r="B2453" s="34" t="s">
        <v>13939</v>
      </c>
      <c r="C2453" s="25" t="s">
        <v>13938</v>
      </c>
      <c r="D2453" s="25" t="s">
        <v>5</v>
      </c>
    </row>
    <row r="2454" spans="1:4">
      <c r="A2454" s="58">
        <v>45435</v>
      </c>
      <c r="B2454" s="34" t="s">
        <v>13941</v>
      </c>
      <c r="C2454" s="25" t="s">
        <v>13940</v>
      </c>
      <c r="D2454" s="25" t="s">
        <v>5</v>
      </c>
    </row>
    <row r="2455" spans="1:4">
      <c r="A2455" s="58">
        <v>45436</v>
      </c>
      <c r="B2455" s="34" t="s">
        <v>13943</v>
      </c>
      <c r="C2455" s="25" t="s">
        <v>13942</v>
      </c>
      <c r="D2455" s="25" t="s">
        <v>74</v>
      </c>
    </row>
    <row r="2456" spans="1:4">
      <c r="A2456" s="58">
        <v>45436</v>
      </c>
      <c r="B2456" s="34" t="s">
        <v>13945</v>
      </c>
      <c r="C2456" s="25" t="s">
        <v>13944</v>
      </c>
      <c r="D2456" s="25" t="s">
        <v>74</v>
      </c>
    </row>
    <row r="2457" spans="1:4">
      <c r="A2457" s="58">
        <v>45439</v>
      </c>
      <c r="B2457" s="34" t="s">
        <v>13947</v>
      </c>
      <c r="C2457" s="25" t="s">
        <v>13946</v>
      </c>
      <c r="D2457" s="25" t="s">
        <v>5</v>
      </c>
    </row>
    <row r="2458" spans="1:4">
      <c r="A2458" s="58">
        <v>45439</v>
      </c>
      <c r="B2458" s="34" t="s">
        <v>13949</v>
      </c>
      <c r="C2458" s="25" t="s">
        <v>13948</v>
      </c>
      <c r="D2458" s="25" t="s">
        <v>5</v>
      </c>
    </row>
    <row r="2459" spans="1:4">
      <c r="A2459" s="58">
        <v>45440</v>
      </c>
      <c r="B2459" s="34" t="s">
        <v>13951</v>
      </c>
      <c r="C2459" s="25" t="s">
        <v>13950</v>
      </c>
      <c r="D2459" s="25" t="s">
        <v>34</v>
      </c>
    </row>
    <row r="2460" spans="1:4">
      <c r="A2460" s="61">
        <v>45362</v>
      </c>
      <c r="B2460" s="36" t="s">
        <v>13953</v>
      </c>
      <c r="C2460" s="36" t="s">
        <v>13952</v>
      </c>
      <c r="D2460" s="36" t="s">
        <v>353</v>
      </c>
    </row>
    <row r="2461" spans="1:4">
      <c r="A2461" s="58">
        <v>45435</v>
      </c>
      <c r="B2461" s="34" t="s">
        <v>13954</v>
      </c>
      <c r="C2461" s="25" t="s">
        <v>11576</v>
      </c>
      <c r="D2461" s="25" t="s">
        <v>74</v>
      </c>
    </row>
    <row r="2462" spans="1:4">
      <c r="A2462" s="58">
        <v>45435</v>
      </c>
      <c r="B2462" s="34" t="s">
        <v>13956</v>
      </c>
      <c r="C2462" s="25" t="s">
        <v>13955</v>
      </c>
      <c r="D2462" s="25" t="s">
        <v>29</v>
      </c>
    </row>
    <row r="2463" spans="1:4">
      <c r="A2463" s="58">
        <v>45436</v>
      </c>
      <c r="B2463" s="34" t="s">
        <v>13958</v>
      </c>
      <c r="C2463" s="25" t="s">
        <v>13957</v>
      </c>
      <c r="D2463" s="25" t="s">
        <v>74</v>
      </c>
    </row>
    <row r="2464" spans="1:4">
      <c r="A2464" s="70">
        <v>45391</v>
      </c>
      <c r="B2464" s="25" t="s">
        <v>13960</v>
      </c>
      <c r="C2464" s="25" t="s">
        <v>13959</v>
      </c>
      <c r="D2464" s="25" t="s">
        <v>353</v>
      </c>
    </row>
    <row r="2465" spans="1:4">
      <c r="A2465" s="58">
        <v>45436</v>
      </c>
      <c r="B2465" s="34" t="s">
        <v>13962</v>
      </c>
      <c r="C2465" s="25" t="s">
        <v>13961</v>
      </c>
      <c r="D2465" s="25" t="s">
        <v>74</v>
      </c>
    </row>
    <row r="2466" spans="1:4">
      <c r="A2466" s="70">
        <v>45411</v>
      </c>
      <c r="B2466" s="25" t="s">
        <v>13964</v>
      </c>
      <c r="C2466" s="25" t="s">
        <v>13963</v>
      </c>
      <c r="D2466" s="25" t="s">
        <v>353</v>
      </c>
    </row>
    <row r="2467" spans="1:4">
      <c r="A2467" s="58">
        <v>45436</v>
      </c>
      <c r="B2467" s="34" t="s">
        <v>13966</v>
      </c>
      <c r="C2467" s="25" t="s">
        <v>13965</v>
      </c>
      <c r="D2467" s="25" t="s">
        <v>109</v>
      </c>
    </row>
    <row r="2468" spans="1:4">
      <c r="A2468" s="58">
        <v>45436</v>
      </c>
      <c r="B2468" s="34" t="s">
        <v>13968</v>
      </c>
      <c r="C2468" s="25" t="s">
        <v>13967</v>
      </c>
      <c r="D2468" s="25" t="s">
        <v>109</v>
      </c>
    </row>
    <row r="2469" spans="1:4">
      <c r="A2469" s="58">
        <v>45437</v>
      </c>
      <c r="B2469" s="34" t="s">
        <v>13971</v>
      </c>
      <c r="C2469" s="25" t="s">
        <v>13969</v>
      </c>
      <c r="D2469" s="25" t="s">
        <v>13970</v>
      </c>
    </row>
    <row r="2470" spans="1:4">
      <c r="A2470" s="58">
        <v>45437</v>
      </c>
      <c r="B2470" s="34" t="s">
        <v>13972</v>
      </c>
      <c r="C2470" s="25" t="s">
        <v>13969</v>
      </c>
      <c r="D2470" s="25" t="s">
        <v>13970</v>
      </c>
    </row>
    <row r="2471" spans="1:4">
      <c r="A2471" s="58">
        <v>45437</v>
      </c>
      <c r="B2471" s="34" t="s">
        <v>13974</v>
      </c>
      <c r="C2471" s="25" t="s">
        <v>13973</v>
      </c>
      <c r="D2471" s="25" t="s">
        <v>13970</v>
      </c>
    </row>
    <row r="2472" spans="1:4">
      <c r="A2472" s="58">
        <v>45437</v>
      </c>
      <c r="B2472" s="34" t="s">
        <v>13976</v>
      </c>
      <c r="C2472" s="25" t="s">
        <v>13975</v>
      </c>
      <c r="D2472" s="25" t="s">
        <v>13970</v>
      </c>
    </row>
    <row r="2473" spans="1:4">
      <c r="A2473" s="58">
        <v>45437</v>
      </c>
      <c r="B2473" s="34" t="s">
        <v>13978</v>
      </c>
      <c r="C2473" s="25" t="s">
        <v>13977</v>
      </c>
      <c r="D2473" s="25" t="s">
        <v>13970</v>
      </c>
    </row>
    <row r="2474" spans="1:4">
      <c r="A2474" s="58">
        <v>45437</v>
      </c>
      <c r="B2474" s="34" t="s">
        <v>13980</v>
      </c>
      <c r="C2474" s="25" t="s">
        <v>13979</v>
      </c>
      <c r="D2474" s="25" t="s">
        <v>13970</v>
      </c>
    </row>
    <row r="2475" spans="1:4">
      <c r="A2475" s="58">
        <v>45437</v>
      </c>
      <c r="B2475" s="34" t="s">
        <v>13982</v>
      </c>
      <c r="C2475" s="25" t="s">
        <v>13981</v>
      </c>
      <c r="D2475" s="25" t="s">
        <v>13970</v>
      </c>
    </row>
    <row r="2476" spans="1:4">
      <c r="A2476" s="58">
        <v>45437</v>
      </c>
      <c r="B2476" s="34" t="s">
        <v>13984</v>
      </c>
      <c r="C2476" s="25" t="s">
        <v>13983</v>
      </c>
      <c r="D2476" s="25" t="s">
        <v>13970</v>
      </c>
    </row>
    <row r="2477" spans="1:4">
      <c r="A2477" s="58">
        <v>45437</v>
      </c>
      <c r="B2477" s="34" t="s">
        <v>13986</v>
      </c>
      <c r="C2477" s="25" t="s">
        <v>13985</v>
      </c>
      <c r="D2477" s="25" t="s">
        <v>13970</v>
      </c>
    </row>
    <row r="2478" spans="1:4">
      <c r="A2478" s="58">
        <v>45438</v>
      </c>
      <c r="B2478" s="34" t="s">
        <v>13988</v>
      </c>
      <c r="C2478" s="25" t="s">
        <v>13987</v>
      </c>
      <c r="D2478" s="25" t="s">
        <v>13970</v>
      </c>
    </row>
    <row r="2479" spans="1:4">
      <c r="A2479" s="58">
        <v>45438</v>
      </c>
      <c r="B2479" s="34" t="s">
        <v>13990</v>
      </c>
      <c r="C2479" s="25" t="s">
        <v>13989</v>
      </c>
      <c r="D2479" s="25" t="s">
        <v>13970</v>
      </c>
    </row>
    <row r="2480" spans="1:4">
      <c r="A2480" s="58">
        <v>45438</v>
      </c>
      <c r="B2480" s="34" t="s">
        <v>13992</v>
      </c>
      <c r="C2480" s="25" t="s">
        <v>13991</v>
      </c>
      <c r="D2480" s="25" t="s">
        <v>13970</v>
      </c>
    </row>
    <row r="2481" spans="1:4">
      <c r="A2481" s="58">
        <v>45438</v>
      </c>
      <c r="B2481" s="34" t="s">
        <v>13994</v>
      </c>
      <c r="C2481" s="25" t="s">
        <v>13993</v>
      </c>
      <c r="D2481" s="25" t="s">
        <v>13970</v>
      </c>
    </row>
    <row r="2482" spans="1:4">
      <c r="A2482" s="58">
        <v>45438</v>
      </c>
      <c r="B2482" s="34" t="s">
        <v>13996</v>
      </c>
      <c r="C2482" s="25" t="s">
        <v>13995</v>
      </c>
      <c r="D2482" s="25" t="s">
        <v>13970</v>
      </c>
    </row>
    <row r="2483" spans="1:4">
      <c r="A2483" s="58">
        <v>45438</v>
      </c>
      <c r="B2483" s="34" t="s">
        <v>13998</v>
      </c>
      <c r="C2483" s="25" t="s">
        <v>13997</v>
      </c>
      <c r="D2483" s="25" t="s">
        <v>13970</v>
      </c>
    </row>
    <row r="2484" spans="1:4">
      <c r="A2484" s="58">
        <v>45439</v>
      </c>
      <c r="B2484" s="34" t="s">
        <v>14000</v>
      </c>
      <c r="C2484" s="25" t="s">
        <v>13999</v>
      </c>
      <c r="D2484" s="25" t="s">
        <v>13970</v>
      </c>
    </row>
    <row r="2485" spans="1:4">
      <c r="A2485" s="58">
        <v>45439</v>
      </c>
      <c r="B2485" s="34" t="s">
        <v>14002</v>
      </c>
      <c r="C2485" s="25" t="s">
        <v>14001</v>
      </c>
      <c r="D2485" s="25" t="s">
        <v>13970</v>
      </c>
    </row>
    <row r="2486" spans="1:4">
      <c r="A2486" s="58">
        <v>45439</v>
      </c>
      <c r="B2486" s="34" t="s">
        <v>14004</v>
      </c>
      <c r="C2486" s="25" t="s">
        <v>14003</v>
      </c>
      <c r="D2486" s="25" t="s">
        <v>13970</v>
      </c>
    </row>
    <row r="2487" spans="1:4">
      <c r="A2487" s="58">
        <v>45439</v>
      </c>
      <c r="B2487" s="34" t="s">
        <v>14006</v>
      </c>
      <c r="C2487" s="25" t="s">
        <v>14005</v>
      </c>
      <c r="D2487" s="25" t="s">
        <v>13970</v>
      </c>
    </row>
    <row r="2488" spans="1:4">
      <c r="A2488" s="58">
        <v>45439</v>
      </c>
      <c r="B2488" s="34" t="s">
        <v>14008</v>
      </c>
      <c r="C2488" s="25" t="s">
        <v>14007</v>
      </c>
      <c r="D2488" s="25" t="s">
        <v>13970</v>
      </c>
    </row>
    <row r="2489" spans="1:4">
      <c r="A2489" s="58">
        <v>45439</v>
      </c>
      <c r="B2489" s="34" t="s">
        <v>14010</v>
      </c>
      <c r="C2489" s="25" t="s">
        <v>14009</v>
      </c>
      <c r="D2489" s="25" t="s">
        <v>13970</v>
      </c>
    </row>
    <row r="2490" spans="1:4">
      <c r="A2490" s="58">
        <v>45439</v>
      </c>
      <c r="B2490" s="34" t="s">
        <v>14012</v>
      </c>
      <c r="C2490" s="25" t="s">
        <v>14011</v>
      </c>
      <c r="D2490" s="25" t="s">
        <v>13970</v>
      </c>
    </row>
    <row r="2491" spans="1:4">
      <c r="A2491" s="58">
        <v>45439</v>
      </c>
      <c r="B2491" s="34" t="s">
        <v>14014</v>
      </c>
      <c r="C2491" s="25" t="s">
        <v>14013</v>
      </c>
      <c r="D2491" s="25" t="s">
        <v>13970</v>
      </c>
    </row>
    <row r="2492" spans="1:4">
      <c r="A2492" s="58">
        <v>45439</v>
      </c>
      <c r="B2492" s="34" t="s">
        <v>14016</v>
      </c>
      <c r="C2492" s="25" t="s">
        <v>14015</v>
      </c>
      <c r="D2492" s="25" t="s">
        <v>13970</v>
      </c>
    </row>
    <row r="2493" spans="1:4">
      <c r="A2493" s="58">
        <v>45439</v>
      </c>
      <c r="B2493" s="34" t="s">
        <v>14018</v>
      </c>
      <c r="C2493" s="25" t="s">
        <v>14017</v>
      </c>
      <c r="D2493" s="25" t="s">
        <v>13970</v>
      </c>
    </row>
    <row r="2494" spans="1:4">
      <c r="A2494" s="58">
        <v>45439</v>
      </c>
      <c r="B2494" s="34" t="s">
        <v>14020</v>
      </c>
      <c r="C2494" s="25" t="s">
        <v>14019</v>
      </c>
      <c r="D2494" s="25" t="s">
        <v>13970</v>
      </c>
    </row>
    <row r="2495" spans="1:4">
      <c r="A2495" s="58">
        <v>45439</v>
      </c>
      <c r="B2495" s="34" t="s">
        <v>14022</v>
      </c>
      <c r="C2495" s="25" t="s">
        <v>14021</v>
      </c>
      <c r="D2495" s="25" t="s">
        <v>13970</v>
      </c>
    </row>
    <row r="2496" spans="1:4">
      <c r="A2496" s="58">
        <v>45439</v>
      </c>
      <c r="B2496" s="34" t="s">
        <v>14024</v>
      </c>
      <c r="C2496" s="25" t="s">
        <v>14023</v>
      </c>
      <c r="D2496" s="25" t="s">
        <v>13970</v>
      </c>
    </row>
    <row r="2497" spans="1:4">
      <c r="A2497" s="58">
        <v>45439</v>
      </c>
      <c r="B2497" s="34" t="s">
        <v>14026</v>
      </c>
      <c r="C2497" s="25" t="s">
        <v>14025</v>
      </c>
      <c r="D2497" s="25" t="s">
        <v>13970</v>
      </c>
    </row>
    <row r="2498" spans="1:4">
      <c r="A2498" s="58">
        <v>45447</v>
      </c>
      <c r="B2498" s="34" t="s">
        <v>14028</v>
      </c>
      <c r="C2498" s="25" t="s">
        <v>14027</v>
      </c>
      <c r="D2498" s="25" t="s">
        <v>353</v>
      </c>
    </row>
    <row r="2499" spans="1:4">
      <c r="A2499" s="58">
        <v>45440</v>
      </c>
      <c r="B2499" s="34" t="s">
        <v>14030</v>
      </c>
      <c r="C2499" s="25" t="s">
        <v>14029</v>
      </c>
      <c r="D2499" s="25" t="s">
        <v>109</v>
      </c>
    </row>
    <row r="2500" spans="1:4">
      <c r="A2500" s="58">
        <v>45437</v>
      </c>
      <c r="B2500" s="34" t="s">
        <v>14031</v>
      </c>
      <c r="C2500" s="25" t="s">
        <v>13133</v>
      </c>
      <c r="D2500" s="25" t="s">
        <v>353</v>
      </c>
    </row>
    <row r="2501" spans="1:4">
      <c r="A2501" s="58">
        <v>45437</v>
      </c>
      <c r="B2501" s="34" t="s">
        <v>14032</v>
      </c>
      <c r="C2501" s="25" t="s">
        <v>13133</v>
      </c>
      <c r="D2501" s="25" t="s">
        <v>353</v>
      </c>
    </row>
    <row r="2502" spans="1:4">
      <c r="A2502" s="58">
        <v>45441</v>
      </c>
      <c r="B2502" s="34" t="s">
        <v>14034</v>
      </c>
      <c r="C2502" s="25" t="s">
        <v>14033</v>
      </c>
      <c r="D2502" s="25" t="s">
        <v>353</v>
      </c>
    </row>
    <row r="2503" spans="1:4">
      <c r="A2503" s="32">
        <v>45359</v>
      </c>
      <c r="B2503" s="19" t="s">
        <v>14036</v>
      </c>
      <c r="C2503" s="19" t="s">
        <v>14035</v>
      </c>
      <c r="D2503" s="19" t="s">
        <v>353</v>
      </c>
    </row>
    <row r="2504" spans="1:4">
      <c r="A2504" s="58">
        <v>45441</v>
      </c>
      <c r="B2504" s="34" t="s">
        <v>14038</v>
      </c>
      <c r="C2504" s="25" t="s">
        <v>14037</v>
      </c>
      <c r="D2504" s="25" t="s">
        <v>8</v>
      </c>
    </row>
    <row r="2505" spans="1:4">
      <c r="A2505" s="58">
        <v>45441</v>
      </c>
      <c r="B2505" s="34" t="s">
        <v>14040</v>
      </c>
      <c r="C2505" s="25" t="s">
        <v>14039</v>
      </c>
      <c r="D2505" s="25" t="s">
        <v>5</v>
      </c>
    </row>
    <row r="2506" spans="1:4">
      <c r="A2506" s="32">
        <v>45369</v>
      </c>
      <c r="B2506" s="42" t="s">
        <v>14042</v>
      </c>
      <c r="C2506" s="42" t="s">
        <v>14041</v>
      </c>
      <c r="D2506" s="42" t="s">
        <v>353</v>
      </c>
    </row>
    <row r="2507" spans="1:4">
      <c r="A2507" s="58">
        <v>45441</v>
      </c>
      <c r="B2507" s="34" t="s">
        <v>14044</v>
      </c>
      <c r="C2507" s="25" t="s">
        <v>14043</v>
      </c>
      <c r="D2507" s="25" t="s">
        <v>109</v>
      </c>
    </row>
    <row r="2508" spans="1:4">
      <c r="A2508" s="58">
        <v>45441</v>
      </c>
      <c r="B2508" s="34" t="s">
        <v>14046</v>
      </c>
      <c r="C2508" s="25" t="s">
        <v>14045</v>
      </c>
      <c r="D2508" s="25" t="s">
        <v>5</v>
      </c>
    </row>
    <row r="2509" spans="1:4">
      <c r="A2509" s="58">
        <v>45442</v>
      </c>
      <c r="B2509" s="34" t="s">
        <v>14048</v>
      </c>
      <c r="C2509" s="25" t="s">
        <v>14047</v>
      </c>
      <c r="D2509" s="25" t="s">
        <v>29</v>
      </c>
    </row>
    <row r="2510" spans="1:4">
      <c r="A2510" s="58">
        <v>45442</v>
      </c>
      <c r="B2510" s="34" t="s">
        <v>14050</v>
      </c>
      <c r="C2510" s="25" t="s">
        <v>14049</v>
      </c>
      <c r="D2510" s="25" t="s">
        <v>24</v>
      </c>
    </row>
    <row r="2511" spans="1:4">
      <c r="A2511" s="58">
        <v>45442</v>
      </c>
      <c r="B2511" s="34" t="s">
        <v>14052</v>
      </c>
      <c r="C2511" s="25" t="s">
        <v>14051</v>
      </c>
      <c r="D2511" s="25" t="s">
        <v>29</v>
      </c>
    </row>
    <row r="2512" spans="1:4">
      <c r="A2512" s="58">
        <v>45442</v>
      </c>
      <c r="B2512" s="34" t="s">
        <v>14054</v>
      </c>
      <c r="C2512" s="25" t="s">
        <v>14053</v>
      </c>
      <c r="D2512" s="25" t="s">
        <v>29</v>
      </c>
    </row>
    <row r="2513" spans="1:4">
      <c r="A2513" s="58">
        <v>45443</v>
      </c>
      <c r="B2513" s="34" t="s">
        <v>14055</v>
      </c>
      <c r="C2513" s="25" t="s">
        <v>12339</v>
      </c>
      <c r="D2513" s="25" t="s">
        <v>109</v>
      </c>
    </row>
    <row r="2514" spans="1:4">
      <c r="A2514" s="58">
        <v>45443</v>
      </c>
      <c r="B2514" s="34" t="s">
        <v>14057</v>
      </c>
      <c r="C2514" s="25" t="s">
        <v>14056</v>
      </c>
      <c r="D2514" s="25" t="s">
        <v>5</v>
      </c>
    </row>
    <row r="2515" spans="1:4">
      <c r="A2515" s="58">
        <v>45443</v>
      </c>
      <c r="B2515" s="34" t="s">
        <v>14059</v>
      </c>
      <c r="C2515" s="25" t="s">
        <v>14058</v>
      </c>
      <c r="D2515" s="25" t="s">
        <v>24</v>
      </c>
    </row>
    <row r="2516" spans="1:4">
      <c r="A2516" s="58">
        <v>45443</v>
      </c>
      <c r="B2516" s="34" t="s">
        <v>14060</v>
      </c>
      <c r="C2516" s="25" t="s">
        <v>14045</v>
      </c>
      <c r="D2516" s="25" t="s">
        <v>5</v>
      </c>
    </row>
    <row r="2517" spans="1:4">
      <c r="A2517" s="58">
        <v>45443</v>
      </c>
      <c r="B2517" s="34" t="s">
        <v>14062</v>
      </c>
      <c r="C2517" s="25" t="s">
        <v>14061</v>
      </c>
      <c r="D2517" s="25" t="s">
        <v>109</v>
      </c>
    </row>
    <row r="2518" spans="1:4">
      <c r="A2518" s="58">
        <v>45401</v>
      </c>
      <c r="B2518" s="25" t="s">
        <v>14064</v>
      </c>
      <c r="C2518" s="25" t="s">
        <v>14063</v>
      </c>
      <c r="D2518" s="25" t="s">
        <v>11</v>
      </c>
    </row>
    <row r="2519" spans="1:4">
      <c r="A2519" s="58">
        <v>45444</v>
      </c>
      <c r="B2519" s="34" t="s">
        <v>14066</v>
      </c>
      <c r="C2519" s="25" t="s">
        <v>14065</v>
      </c>
      <c r="D2519" s="25" t="s">
        <v>74</v>
      </c>
    </row>
    <row r="2520" spans="1:4">
      <c r="A2520" s="58">
        <v>45444</v>
      </c>
      <c r="B2520" s="34" t="s">
        <v>14067</v>
      </c>
      <c r="C2520" s="25" t="s">
        <v>11604</v>
      </c>
      <c r="D2520" s="25" t="s">
        <v>74</v>
      </c>
    </row>
    <row r="2521" spans="1:4">
      <c r="A2521" s="58">
        <v>45444</v>
      </c>
      <c r="B2521" s="34" t="s">
        <v>14068</v>
      </c>
      <c r="C2521" s="25" t="s">
        <v>6703</v>
      </c>
      <c r="D2521" s="25" t="s">
        <v>74</v>
      </c>
    </row>
    <row r="2522" spans="1:4">
      <c r="A2522" s="58">
        <v>45441</v>
      </c>
      <c r="B2522" s="34" t="s">
        <v>14070</v>
      </c>
      <c r="C2522" s="25" t="s">
        <v>14069</v>
      </c>
      <c r="D2522" s="25" t="s">
        <v>164</v>
      </c>
    </row>
    <row r="2523" spans="1:4">
      <c r="A2523" s="58">
        <v>45441</v>
      </c>
      <c r="B2523" s="34" t="s">
        <v>14072</v>
      </c>
      <c r="C2523" s="25" t="s">
        <v>14071</v>
      </c>
      <c r="D2523" s="25" t="s">
        <v>353</v>
      </c>
    </row>
    <row r="2524" spans="1:4">
      <c r="A2524" s="58">
        <v>45441</v>
      </c>
      <c r="B2524" s="34" t="s">
        <v>14074</v>
      </c>
      <c r="C2524" s="25" t="s">
        <v>14073</v>
      </c>
      <c r="D2524" s="25" t="s">
        <v>164</v>
      </c>
    </row>
    <row r="2525" spans="1:4">
      <c r="A2525" s="58">
        <v>45443</v>
      </c>
      <c r="B2525" s="34" t="s">
        <v>14076</v>
      </c>
      <c r="C2525" s="25" t="s">
        <v>14075</v>
      </c>
      <c r="D2525" s="25" t="s">
        <v>24</v>
      </c>
    </row>
    <row r="2526" spans="1:4">
      <c r="A2526" s="58">
        <v>45443</v>
      </c>
      <c r="B2526" s="34" t="s">
        <v>14077</v>
      </c>
      <c r="C2526" s="25" t="s">
        <v>13006</v>
      </c>
      <c r="D2526" s="25" t="s">
        <v>164</v>
      </c>
    </row>
    <row r="2527" spans="1:4">
      <c r="A2527" s="58">
        <v>45444</v>
      </c>
      <c r="B2527" s="34" t="s">
        <v>14078</v>
      </c>
      <c r="C2527" s="25" t="s">
        <v>13692</v>
      </c>
      <c r="D2527" s="25" t="s">
        <v>164</v>
      </c>
    </row>
    <row r="2528" spans="1:4">
      <c r="A2528" s="58">
        <v>45401</v>
      </c>
      <c r="B2528" s="25" t="s">
        <v>14080</v>
      </c>
      <c r="C2528" s="25" t="s">
        <v>14079</v>
      </c>
      <c r="D2528" s="25" t="s">
        <v>11</v>
      </c>
    </row>
    <row r="2529" spans="1:4">
      <c r="A2529" s="58">
        <v>45401</v>
      </c>
      <c r="B2529" s="25" t="s">
        <v>14082</v>
      </c>
      <c r="C2529" s="25" t="s">
        <v>14081</v>
      </c>
      <c r="D2529" s="25" t="s">
        <v>11</v>
      </c>
    </row>
    <row r="2530" spans="1:4">
      <c r="A2530" s="58">
        <v>45441</v>
      </c>
      <c r="B2530" s="34" t="s">
        <v>14084</v>
      </c>
      <c r="C2530" s="25" t="s">
        <v>14083</v>
      </c>
      <c r="D2530" s="25" t="s">
        <v>5</v>
      </c>
    </row>
    <row r="2531" spans="1:4">
      <c r="A2531" s="58">
        <v>45442</v>
      </c>
      <c r="B2531" s="34" t="s">
        <v>14086</v>
      </c>
      <c r="C2531" s="25" t="s">
        <v>14085</v>
      </c>
      <c r="D2531" s="25" t="s">
        <v>5</v>
      </c>
    </row>
    <row r="2532" spans="1:4">
      <c r="A2532" s="58">
        <v>45442</v>
      </c>
      <c r="B2532" s="34" t="s">
        <v>14088</v>
      </c>
      <c r="C2532" s="25" t="s">
        <v>14087</v>
      </c>
      <c r="D2532" s="25" t="s">
        <v>5</v>
      </c>
    </row>
    <row r="2533" spans="1:4">
      <c r="A2533" s="58">
        <v>45441</v>
      </c>
      <c r="B2533" s="34" t="s">
        <v>14090</v>
      </c>
      <c r="C2533" s="25" t="s">
        <v>14089</v>
      </c>
      <c r="D2533" s="25" t="s">
        <v>11</v>
      </c>
    </row>
    <row r="2534" spans="1:4">
      <c r="A2534" s="58">
        <v>45442</v>
      </c>
      <c r="B2534" s="34" t="s">
        <v>14092</v>
      </c>
      <c r="C2534" s="25" t="s">
        <v>14091</v>
      </c>
      <c r="D2534" s="25" t="s">
        <v>11</v>
      </c>
    </row>
    <row r="2535" spans="1:4">
      <c r="A2535" s="58">
        <v>45442</v>
      </c>
      <c r="B2535" s="34" t="s">
        <v>14094</v>
      </c>
      <c r="C2535" s="25" t="s">
        <v>14093</v>
      </c>
      <c r="D2535" s="25" t="s">
        <v>5</v>
      </c>
    </row>
    <row r="2536" spans="1:4">
      <c r="A2536" s="58">
        <v>45441</v>
      </c>
      <c r="B2536" s="34" t="s">
        <v>14096</v>
      </c>
      <c r="C2536" s="25" t="s">
        <v>14095</v>
      </c>
      <c r="D2536" s="25" t="s">
        <v>29</v>
      </c>
    </row>
    <row r="2537" spans="1:4">
      <c r="A2537" s="58">
        <v>45441</v>
      </c>
      <c r="B2537" s="34" t="s">
        <v>14098</v>
      </c>
      <c r="C2537" s="25" t="s">
        <v>14097</v>
      </c>
      <c r="D2537" s="25" t="s">
        <v>29</v>
      </c>
    </row>
    <row r="2538" spans="1:4">
      <c r="A2538" s="58">
        <v>45401</v>
      </c>
      <c r="B2538" s="25" t="s">
        <v>14082</v>
      </c>
      <c r="C2538" s="25" t="s">
        <v>14099</v>
      </c>
      <c r="D2538" s="25" t="s">
        <v>11</v>
      </c>
    </row>
    <row r="2539" spans="1:4">
      <c r="A2539" s="58">
        <v>45441</v>
      </c>
      <c r="B2539" s="34" t="s">
        <v>14101</v>
      </c>
      <c r="C2539" s="25" t="s">
        <v>14100</v>
      </c>
      <c r="D2539" s="25" t="s">
        <v>24</v>
      </c>
    </row>
    <row r="2540" spans="1:4">
      <c r="A2540" s="58">
        <v>45441</v>
      </c>
      <c r="B2540" s="34" t="s">
        <v>14103</v>
      </c>
      <c r="C2540" s="25" t="s">
        <v>14102</v>
      </c>
      <c r="D2540" s="25" t="s">
        <v>74</v>
      </c>
    </row>
    <row r="2541" spans="1:4">
      <c r="A2541" s="58">
        <v>45406</v>
      </c>
      <c r="B2541" s="25" t="s">
        <v>14104</v>
      </c>
      <c r="C2541" s="25" t="s">
        <v>14079</v>
      </c>
      <c r="D2541" s="25" t="s">
        <v>11</v>
      </c>
    </row>
    <row r="2542" spans="1:4">
      <c r="A2542" s="58">
        <v>45441</v>
      </c>
      <c r="B2542" s="34" t="s">
        <v>14106</v>
      </c>
      <c r="C2542" s="25" t="s">
        <v>14105</v>
      </c>
      <c r="D2542" s="25" t="s">
        <v>19</v>
      </c>
    </row>
    <row r="2543" spans="1:4">
      <c r="A2543" s="58">
        <v>45441</v>
      </c>
      <c r="B2543" s="34" t="s">
        <v>14108</v>
      </c>
      <c r="C2543" s="25" t="s">
        <v>14107</v>
      </c>
      <c r="D2543" s="25" t="s">
        <v>510</v>
      </c>
    </row>
    <row r="2544" spans="1:4">
      <c r="A2544" s="58">
        <v>45441</v>
      </c>
      <c r="B2544" s="34" t="s">
        <v>14110</v>
      </c>
      <c r="C2544" s="25" t="s">
        <v>14109</v>
      </c>
      <c r="D2544" s="25" t="s">
        <v>16</v>
      </c>
    </row>
    <row r="2545" spans="1:4">
      <c r="A2545" s="58">
        <v>45442</v>
      </c>
      <c r="B2545" s="34" t="s">
        <v>14112</v>
      </c>
      <c r="C2545" s="25" t="s">
        <v>14111</v>
      </c>
      <c r="D2545" s="25" t="s">
        <v>74</v>
      </c>
    </row>
    <row r="2546" spans="1:4">
      <c r="A2546" s="58">
        <v>45442</v>
      </c>
      <c r="B2546" s="34" t="s">
        <v>14114</v>
      </c>
      <c r="C2546" s="25" t="s">
        <v>14113</v>
      </c>
      <c r="D2546" s="25" t="s">
        <v>109</v>
      </c>
    </row>
    <row r="2547" spans="1:4">
      <c r="A2547" s="58">
        <v>45442</v>
      </c>
      <c r="B2547" s="34" t="s">
        <v>14116</v>
      </c>
      <c r="C2547" s="25" t="s">
        <v>14115</v>
      </c>
      <c r="D2547" s="25" t="s">
        <v>109</v>
      </c>
    </row>
    <row r="2548" spans="1:4">
      <c r="A2548" s="58">
        <v>45442</v>
      </c>
      <c r="B2548" s="34" t="s">
        <v>14118</v>
      </c>
      <c r="C2548" s="25" t="s">
        <v>14117</v>
      </c>
      <c r="D2548" s="25" t="s">
        <v>109</v>
      </c>
    </row>
    <row r="2549" spans="1:4">
      <c r="A2549" s="58">
        <v>45442</v>
      </c>
      <c r="B2549" s="34" t="s">
        <v>14120</v>
      </c>
      <c r="C2549" s="25" t="s">
        <v>14119</v>
      </c>
      <c r="D2549" s="25" t="s">
        <v>5</v>
      </c>
    </row>
    <row r="2550" spans="1:4">
      <c r="A2550" s="58">
        <v>45442</v>
      </c>
      <c r="B2550" s="34" t="s">
        <v>14122</v>
      </c>
      <c r="C2550" s="25" t="s">
        <v>14121</v>
      </c>
      <c r="D2550" s="25" t="s">
        <v>74</v>
      </c>
    </row>
    <row r="2551" spans="1:4">
      <c r="A2551" s="58">
        <v>45442</v>
      </c>
      <c r="B2551" s="34" t="s">
        <v>14124</v>
      </c>
      <c r="C2551" s="25" t="s">
        <v>14123</v>
      </c>
      <c r="D2551" s="25" t="s">
        <v>11</v>
      </c>
    </row>
    <row r="2552" spans="1:4">
      <c r="A2552" s="58">
        <v>45442</v>
      </c>
      <c r="B2552" s="34" t="s">
        <v>14126</v>
      </c>
      <c r="C2552" s="25" t="s">
        <v>14125</v>
      </c>
      <c r="D2552" s="25" t="s">
        <v>29</v>
      </c>
    </row>
    <row r="2553" spans="1:4">
      <c r="A2553" s="58">
        <v>45444</v>
      </c>
      <c r="B2553" s="34" t="s">
        <v>14128</v>
      </c>
      <c r="C2553" s="25" t="s">
        <v>14127</v>
      </c>
      <c r="D2553" s="25" t="s">
        <v>74</v>
      </c>
    </row>
    <row r="2554" spans="1:4">
      <c r="A2554" s="58">
        <v>45444</v>
      </c>
      <c r="B2554" s="34" t="s">
        <v>14130</v>
      </c>
      <c r="C2554" s="25" t="s">
        <v>14129</v>
      </c>
      <c r="D2554" s="25" t="s">
        <v>19</v>
      </c>
    </row>
    <row r="2555" spans="1:4">
      <c r="A2555" s="58">
        <v>45444</v>
      </c>
      <c r="B2555" s="34" t="s">
        <v>14132</v>
      </c>
      <c r="C2555" s="25" t="s">
        <v>14131</v>
      </c>
      <c r="D2555" s="25" t="s">
        <v>74</v>
      </c>
    </row>
    <row r="2556" spans="1:4">
      <c r="A2556" s="58">
        <v>45444</v>
      </c>
      <c r="B2556" s="34" t="s">
        <v>14134</v>
      </c>
      <c r="C2556" s="25" t="s">
        <v>14133</v>
      </c>
      <c r="D2556" s="25" t="s">
        <v>345</v>
      </c>
    </row>
    <row r="2557" spans="1:4">
      <c r="A2557" s="58">
        <v>45445</v>
      </c>
      <c r="B2557" s="34" t="s">
        <v>14136</v>
      </c>
      <c r="C2557" s="25" t="s">
        <v>14135</v>
      </c>
      <c r="D2557" s="25" t="s">
        <v>345</v>
      </c>
    </row>
    <row r="2558" spans="1:4">
      <c r="A2558" s="58">
        <v>45445</v>
      </c>
      <c r="B2558" s="34" t="s">
        <v>14138</v>
      </c>
      <c r="C2558" s="25" t="s">
        <v>14137</v>
      </c>
      <c r="D2558" s="25" t="s">
        <v>29</v>
      </c>
    </row>
    <row r="2559" spans="1:4">
      <c r="A2559" s="58">
        <v>45406</v>
      </c>
      <c r="B2559" s="25" t="s">
        <v>14140</v>
      </c>
      <c r="C2559" s="25" t="s">
        <v>14139</v>
      </c>
      <c r="D2559" s="25" t="s">
        <v>11</v>
      </c>
    </row>
    <row r="2560" spans="1:4">
      <c r="A2560" s="58">
        <v>45445</v>
      </c>
      <c r="B2560" s="34" t="s">
        <v>14142</v>
      </c>
      <c r="C2560" s="25" t="s">
        <v>14141</v>
      </c>
      <c r="D2560" s="25" t="s">
        <v>216</v>
      </c>
    </row>
    <row r="2561" spans="1:4">
      <c r="A2561" s="58">
        <v>45445</v>
      </c>
      <c r="B2561" s="34" t="s">
        <v>14144</v>
      </c>
      <c r="C2561" s="25" t="s">
        <v>14143</v>
      </c>
      <c r="D2561" s="25" t="s">
        <v>5</v>
      </c>
    </row>
    <row r="2562" spans="1:4">
      <c r="A2562" s="58">
        <v>45404</v>
      </c>
      <c r="B2562" s="25" t="s">
        <v>14146</v>
      </c>
      <c r="C2562" s="25" t="s">
        <v>14145</v>
      </c>
      <c r="D2562" s="25" t="s">
        <v>11</v>
      </c>
    </row>
    <row r="2563" spans="1:4">
      <c r="A2563" s="58">
        <v>45411</v>
      </c>
      <c r="B2563" s="25" t="s">
        <v>14147</v>
      </c>
      <c r="C2563" s="25" t="s">
        <v>14145</v>
      </c>
      <c r="D2563" s="25" t="s">
        <v>11</v>
      </c>
    </row>
    <row r="2564" spans="1:4">
      <c r="A2564" s="58">
        <v>45446</v>
      </c>
      <c r="B2564" s="34" t="s">
        <v>14149</v>
      </c>
      <c r="C2564" s="25" t="s">
        <v>14148</v>
      </c>
      <c r="D2564" s="25" t="s">
        <v>24</v>
      </c>
    </row>
    <row r="2565" spans="1:4">
      <c r="A2565" s="58">
        <v>45446</v>
      </c>
      <c r="B2565" s="34" t="s">
        <v>14151</v>
      </c>
      <c r="C2565" s="25" t="s">
        <v>14150</v>
      </c>
      <c r="D2565" s="25" t="s">
        <v>109</v>
      </c>
    </row>
    <row r="2566" spans="1:4">
      <c r="A2566" s="58">
        <v>45446</v>
      </c>
      <c r="B2566" s="34" t="s">
        <v>14153</v>
      </c>
      <c r="C2566" s="25" t="s">
        <v>14152</v>
      </c>
      <c r="D2566" s="25" t="s">
        <v>8</v>
      </c>
    </row>
    <row r="2567" spans="1:4">
      <c r="A2567" s="58">
        <v>45411</v>
      </c>
      <c r="B2567" s="25" t="s">
        <v>14155</v>
      </c>
      <c r="C2567" s="25" t="s">
        <v>14154</v>
      </c>
      <c r="D2567" s="25" t="s">
        <v>11</v>
      </c>
    </row>
    <row r="2568" spans="1:4">
      <c r="A2568" s="58">
        <v>45447</v>
      </c>
      <c r="B2568" s="34" t="s">
        <v>14157</v>
      </c>
      <c r="C2568" s="25" t="s">
        <v>14156</v>
      </c>
      <c r="D2568" s="25" t="s">
        <v>353</v>
      </c>
    </row>
    <row r="2569" spans="1:4">
      <c r="A2569" s="58">
        <v>45404</v>
      </c>
      <c r="B2569" s="25" t="s">
        <v>14146</v>
      </c>
      <c r="C2569" s="25" t="s">
        <v>14158</v>
      </c>
      <c r="D2569" s="25" t="s">
        <v>11</v>
      </c>
    </row>
    <row r="2570" spans="1:4">
      <c r="A2570" s="58">
        <v>45450</v>
      </c>
      <c r="B2570" s="34" t="s">
        <v>14160</v>
      </c>
      <c r="C2570" s="25" t="s">
        <v>14159</v>
      </c>
      <c r="D2570" s="25" t="s">
        <v>74</v>
      </c>
    </row>
    <row r="2571" spans="1:4">
      <c r="A2571" s="58">
        <v>45446</v>
      </c>
      <c r="B2571" s="34" t="s">
        <v>14162</v>
      </c>
      <c r="C2571" s="25" t="s">
        <v>14161</v>
      </c>
      <c r="D2571" s="25" t="s">
        <v>11</v>
      </c>
    </row>
    <row r="2572" spans="1:4">
      <c r="A2572" s="61">
        <v>45351</v>
      </c>
      <c r="B2572" s="36" t="s">
        <v>14164</v>
      </c>
      <c r="C2572" s="36" t="s">
        <v>14163</v>
      </c>
      <c r="D2572" s="36" t="s">
        <v>11</v>
      </c>
    </row>
    <row r="2573" spans="1:4">
      <c r="A2573" s="58">
        <v>45451</v>
      </c>
      <c r="B2573" s="34" t="s">
        <v>14166</v>
      </c>
      <c r="C2573" s="25" t="s">
        <v>14165</v>
      </c>
      <c r="D2573" s="25" t="s">
        <v>5</v>
      </c>
    </row>
    <row r="2574" spans="1:4">
      <c r="A2574" s="58">
        <v>45448</v>
      </c>
      <c r="B2574" s="34" t="s">
        <v>14168</v>
      </c>
      <c r="C2574" s="25" t="s">
        <v>14167</v>
      </c>
      <c r="D2574" s="25" t="s">
        <v>141</v>
      </c>
    </row>
    <row r="2575" spans="1:4">
      <c r="A2575" s="58">
        <v>45421</v>
      </c>
      <c r="B2575" s="34" t="s">
        <v>14170</v>
      </c>
      <c r="C2575" s="25" t="s">
        <v>14169</v>
      </c>
      <c r="D2575" s="25" t="s">
        <v>11</v>
      </c>
    </row>
    <row r="2576" spans="1:4">
      <c r="A2576" s="58">
        <v>45446</v>
      </c>
      <c r="B2576" s="34" t="s">
        <v>14172</v>
      </c>
      <c r="C2576" s="25" t="s">
        <v>14171</v>
      </c>
      <c r="D2576" s="25" t="s">
        <v>510</v>
      </c>
    </row>
    <row r="2577" spans="1:4">
      <c r="A2577" s="58">
        <v>45446</v>
      </c>
      <c r="B2577" s="34" t="s">
        <v>14173</v>
      </c>
      <c r="C2577" s="25" t="s">
        <v>11192</v>
      </c>
      <c r="D2577" s="25" t="s">
        <v>510</v>
      </c>
    </row>
    <row r="2578" spans="1:4">
      <c r="A2578" s="58">
        <v>45446</v>
      </c>
      <c r="B2578" s="34" t="s">
        <v>14175</v>
      </c>
      <c r="C2578" s="25" t="s">
        <v>14174</v>
      </c>
      <c r="D2578" s="25" t="s">
        <v>5</v>
      </c>
    </row>
    <row r="2579" spans="1:4">
      <c r="A2579" s="58">
        <v>45447</v>
      </c>
      <c r="B2579" s="34" t="s">
        <v>14177</v>
      </c>
      <c r="C2579" s="25" t="s">
        <v>14176</v>
      </c>
      <c r="D2579" s="25" t="s">
        <v>216</v>
      </c>
    </row>
    <row r="2580" spans="1:4">
      <c r="A2580" s="58">
        <v>45422</v>
      </c>
      <c r="B2580" s="34" t="s">
        <v>14179</v>
      </c>
      <c r="C2580" s="25" t="s">
        <v>14178</v>
      </c>
      <c r="D2580" s="25" t="s">
        <v>11</v>
      </c>
    </row>
    <row r="2581" spans="1:4">
      <c r="A2581" s="58">
        <v>45448</v>
      </c>
      <c r="B2581" s="34" t="s">
        <v>14181</v>
      </c>
      <c r="C2581" s="25" t="s">
        <v>14180</v>
      </c>
      <c r="D2581" s="25" t="s">
        <v>109</v>
      </c>
    </row>
    <row r="2582" spans="1:4">
      <c r="A2582" s="58">
        <v>45451</v>
      </c>
      <c r="B2582" s="34" t="s">
        <v>14183</v>
      </c>
      <c r="C2582" s="25" t="s">
        <v>14182</v>
      </c>
      <c r="D2582" s="25" t="s">
        <v>5</v>
      </c>
    </row>
    <row r="2583" spans="1:4">
      <c r="A2583" s="58">
        <v>45446</v>
      </c>
      <c r="B2583" s="34" t="s">
        <v>14184</v>
      </c>
      <c r="C2583" s="25" t="s">
        <v>11796</v>
      </c>
      <c r="D2583" s="25" t="s">
        <v>19</v>
      </c>
    </row>
    <row r="2584" spans="1:4">
      <c r="A2584" s="58">
        <v>45446</v>
      </c>
      <c r="B2584" s="34" t="s">
        <v>14186</v>
      </c>
      <c r="C2584" s="25" t="s">
        <v>14185</v>
      </c>
      <c r="D2584" s="25" t="s">
        <v>19</v>
      </c>
    </row>
    <row r="2585" spans="1:4">
      <c r="A2585" s="58">
        <v>45446</v>
      </c>
      <c r="B2585" s="34" t="s">
        <v>14188</v>
      </c>
      <c r="C2585" s="25" t="s">
        <v>14187</v>
      </c>
      <c r="D2585" s="25" t="s">
        <v>16</v>
      </c>
    </row>
    <row r="2586" spans="1:4">
      <c r="A2586" s="58">
        <v>45446</v>
      </c>
      <c r="B2586" s="34" t="s">
        <v>14190</v>
      </c>
      <c r="C2586" s="25" t="s">
        <v>14189</v>
      </c>
      <c r="D2586" s="25" t="s">
        <v>29</v>
      </c>
    </row>
    <row r="2587" spans="1:4">
      <c r="A2587" s="58">
        <v>45442</v>
      </c>
      <c r="B2587" s="34" t="s">
        <v>14192</v>
      </c>
      <c r="C2587" s="25" t="s">
        <v>14191</v>
      </c>
      <c r="D2587" s="25" t="s">
        <v>11</v>
      </c>
    </row>
    <row r="2588" spans="1:4">
      <c r="A2588" s="61">
        <v>45344</v>
      </c>
      <c r="B2588" s="36" t="s">
        <v>14194</v>
      </c>
      <c r="C2588" s="36" t="s">
        <v>14193</v>
      </c>
      <c r="D2588" s="36" t="s">
        <v>11</v>
      </c>
    </row>
    <row r="2589" spans="1:4">
      <c r="A2589" s="58">
        <v>45447</v>
      </c>
      <c r="B2589" s="34" t="s">
        <v>14196</v>
      </c>
      <c r="C2589" s="25" t="s">
        <v>14195</v>
      </c>
      <c r="D2589" s="25" t="s">
        <v>29</v>
      </c>
    </row>
    <row r="2590" spans="1:4">
      <c r="A2590" s="58">
        <v>45447</v>
      </c>
      <c r="B2590" s="34" t="s">
        <v>14198</v>
      </c>
      <c r="C2590" s="25" t="s">
        <v>14197</v>
      </c>
      <c r="D2590" s="25" t="s">
        <v>81</v>
      </c>
    </row>
    <row r="2591" spans="1:4">
      <c r="A2591" s="58">
        <v>45447</v>
      </c>
      <c r="B2591" s="34" t="s">
        <v>14200</v>
      </c>
      <c r="C2591" s="25" t="s">
        <v>14199</v>
      </c>
      <c r="D2591" s="25" t="s">
        <v>81</v>
      </c>
    </row>
    <row r="2592" spans="1:4">
      <c r="A2592" s="58">
        <v>45447</v>
      </c>
      <c r="B2592" s="34" t="s">
        <v>14202</v>
      </c>
      <c r="C2592" s="25" t="s">
        <v>14201</v>
      </c>
      <c r="D2592" s="25" t="s">
        <v>19</v>
      </c>
    </row>
    <row r="2593" spans="1:4">
      <c r="A2593" s="58">
        <v>45448</v>
      </c>
      <c r="B2593" s="34" t="s">
        <v>14204</v>
      </c>
      <c r="C2593" s="25" t="s">
        <v>14203</v>
      </c>
      <c r="D2593" s="25" t="s">
        <v>29</v>
      </c>
    </row>
    <row r="2594" spans="1:4">
      <c r="A2594" s="58">
        <v>45448</v>
      </c>
      <c r="B2594" s="34" t="s">
        <v>14206</v>
      </c>
      <c r="C2594" s="25" t="s">
        <v>14205</v>
      </c>
      <c r="D2594" s="25" t="s">
        <v>29</v>
      </c>
    </row>
    <row r="2595" spans="1:4">
      <c r="A2595" s="58">
        <v>45448</v>
      </c>
      <c r="B2595" s="34" t="s">
        <v>14208</v>
      </c>
      <c r="C2595" s="25" t="s">
        <v>14207</v>
      </c>
      <c r="D2595" s="25" t="s">
        <v>29</v>
      </c>
    </row>
    <row r="2596" spans="1:4">
      <c r="A2596" s="58">
        <v>45448</v>
      </c>
      <c r="B2596" s="34" t="s">
        <v>14210</v>
      </c>
      <c r="C2596" s="25" t="s">
        <v>14209</v>
      </c>
      <c r="D2596" s="25" t="s">
        <v>74</v>
      </c>
    </row>
    <row r="2597" spans="1:4">
      <c r="A2597" s="58">
        <v>45448</v>
      </c>
      <c r="B2597" s="34" t="s">
        <v>14212</v>
      </c>
      <c r="C2597" s="25" t="s">
        <v>14211</v>
      </c>
      <c r="D2597" s="25" t="s">
        <v>19</v>
      </c>
    </row>
    <row r="2598" spans="1:4">
      <c r="A2598" s="58">
        <v>45448</v>
      </c>
      <c r="B2598" s="34" t="s">
        <v>14214</v>
      </c>
      <c r="C2598" s="25" t="s">
        <v>14213</v>
      </c>
      <c r="D2598" s="25" t="s">
        <v>74</v>
      </c>
    </row>
    <row r="2599" spans="1:4">
      <c r="A2599" s="58">
        <v>45449</v>
      </c>
      <c r="B2599" s="34" t="s">
        <v>14216</v>
      </c>
      <c r="C2599" s="25" t="s">
        <v>14215</v>
      </c>
      <c r="D2599" s="25" t="s">
        <v>29</v>
      </c>
    </row>
    <row r="2600" spans="1:4">
      <c r="A2600" s="58">
        <v>45449</v>
      </c>
      <c r="B2600" s="34" t="s">
        <v>14217</v>
      </c>
      <c r="C2600" s="25" t="s">
        <v>14095</v>
      </c>
      <c r="D2600" s="25" t="s">
        <v>29</v>
      </c>
    </row>
    <row r="2601" spans="1:4">
      <c r="A2601" s="58">
        <v>45448</v>
      </c>
      <c r="B2601" s="34" t="s">
        <v>14219</v>
      </c>
      <c r="C2601" s="25" t="s">
        <v>14218</v>
      </c>
      <c r="D2601" s="25" t="s">
        <v>19</v>
      </c>
    </row>
    <row r="2602" spans="1:4">
      <c r="A2602" s="58">
        <v>45449</v>
      </c>
      <c r="B2602" s="34" t="s">
        <v>14221</v>
      </c>
      <c r="C2602" s="25" t="s">
        <v>14220</v>
      </c>
      <c r="D2602" s="25" t="s">
        <v>109</v>
      </c>
    </row>
    <row r="2603" spans="1:4">
      <c r="A2603" s="58">
        <v>45449</v>
      </c>
      <c r="B2603" s="34" t="s">
        <v>14223</v>
      </c>
      <c r="C2603" s="25" t="s">
        <v>14222</v>
      </c>
      <c r="D2603" s="25" t="s">
        <v>29</v>
      </c>
    </row>
    <row r="2604" spans="1:4">
      <c r="A2604" s="58">
        <v>45449</v>
      </c>
      <c r="B2604" s="34" t="s">
        <v>14225</v>
      </c>
      <c r="C2604" s="25" t="s">
        <v>14224</v>
      </c>
      <c r="D2604" s="25" t="s">
        <v>109</v>
      </c>
    </row>
    <row r="2605" spans="1:4">
      <c r="A2605" s="58">
        <v>45449</v>
      </c>
      <c r="B2605" s="34" t="s">
        <v>14227</v>
      </c>
      <c r="C2605" s="25" t="s">
        <v>14226</v>
      </c>
      <c r="D2605" s="25" t="s">
        <v>24</v>
      </c>
    </row>
    <row r="2606" spans="1:4">
      <c r="A2606" s="58">
        <v>45449</v>
      </c>
      <c r="B2606" s="34" t="s">
        <v>14229</v>
      </c>
      <c r="C2606" s="25" t="s">
        <v>14228</v>
      </c>
      <c r="D2606" s="25" t="s">
        <v>29</v>
      </c>
    </row>
    <row r="2607" spans="1:4">
      <c r="A2607" s="58">
        <v>45450</v>
      </c>
      <c r="B2607" s="34" t="s">
        <v>14230</v>
      </c>
      <c r="C2607" s="25" t="s">
        <v>13634</v>
      </c>
      <c r="D2607" s="25" t="s">
        <v>74</v>
      </c>
    </row>
    <row r="2608" spans="1:4">
      <c r="A2608" s="58">
        <v>45450</v>
      </c>
      <c r="B2608" s="34" t="s">
        <v>14232</v>
      </c>
      <c r="C2608" s="25" t="s">
        <v>14231</v>
      </c>
      <c r="D2608" s="25" t="s">
        <v>5</v>
      </c>
    </row>
    <row r="2609" spans="1:4">
      <c r="A2609" s="58">
        <v>45450</v>
      </c>
      <c r="B2609" s="34" t="s">
        <v>14234</v>
      </c>
      <c r="C2609" s="25" t="s">
        <v>14233</v>
      </c>
      <c r="D2609" s="25" t="s">
        <v>29</v>
      </c>
    </row>
    <row r="2610" spans="1:4">
      <c r="A2610" s="58">
        <v>45450</v>
      </c>
      <c r="B2610" s="34" t="s">
        <v>14236</v>
      </c>
      <c r="C2610" s="25" t="s">
        <v>14235</v>
      </c>
      <c r="D2610" s="25" t="s">
        <v>345</v>
      </c>
    </row>
    <row r="2611" spans="1:4">
      <c r="A2611" s="58">
        <v>45450</v>
      </c>
      <c r="B2611" s="34" t="s">
        <v>14210</v>
      </c>
      <c r="C2611" s="25" t="s">
        <v>14237</v>
      </c>
      <c r="D2611" s="25" t="s">
        <v>345</v>
      </c>
    </row>
    <row r="2612" spans="1:4">
      <c r="A2612" s="58">
        <v>45450</v>
      </c>
      <c r="B2612" s="34" t="s">
        <v>14239</v>
      </c>
      <c r="C2612" s="25" t="s">
        <v>14238</v>
      </c>
      <c r="D2612" s="25" t="s">
        <v>29</v>
      </c>
    </row>
    <row r="2613" spans="1:4">
      <c r="A2613" s="58">
        <v>45450</v>
      </c>
      <c r="B2613" s="34" t="s">
        <v>14241</v>
      </c>
      <c r="C2613" s="25" t="s">
        <v>14240</v>
      </c>
      <c r="D2613" s="25" t="s">
        <v>74</v>
      </c>
    </row>
    <row r="2614" spans="1:4">
      <c r="A2614" s="58">
        <v>45450</v>
      </c>
      <c r="B2614" s="34" t="s">
        <v>14243</v>
      </c>
      <c r="C2614" s="25" t="s">
        <v>14242</v>
      </c>
      <c r="D2614" s="25" t="s">
        <v>29</v>
      </c>
    </row>
    <row r="2615" spans="1:4">
      <c r="A2615" s="58">
        <v>45450</v>
      </c>
      <c r="B2615" s="34" t="s">
        <v>14210</v>
      </c>
      <c r="C2615" s="25" t="s">
        <v>14244</v>
      </c>
      <c r="D2615" s="25" t="s">
        <v>345</v>
      </c>
    </row>
    <row r="2616" spans="1:4">
      <c r="A2616" s="58">
        <v>45404</v>
      </c>
      <c r="B2616" s="25" t="s">
        <v>14146</v>
      </c>
      <c r="C2616" s="25" t="s">
        <v>14245</v>
      </c>
      <c r="D2616" s="25" t="s">
        <v>11</v>
      </c>
    </row>
    <row r="2617" spans="1:4">
      <c r="A2617" s="58">
        <v>45450</v>
      </c>
      <c r="B2617" s="34" t="s">
        <v>14247</v>
      </c>
      <c r="C2617" s="25" t="s">
        <v>14246</v>
      </c>
      <c r="D2617" s="25" t="s">
        <v>5</v>
      </c>
    </row>
    <row r="2618" spans="1:4">
      <c r="A2618" s="58">
        <v>45450</v>
      </c>
      <c r="B2618" s="34" t="s">
        <v>14249</v>
      </c>
      <c r="C2618" s="25" t="s">
        <v>14248</v>
      </c>
      <c r="D2618" s="25" t="s">
        <v>353</v>
      </c>
    </row>
    <row r="2619" spans="1:4">
      <c r="A2619" s="58">
        <v>45451</v>
      </c>
      <c r="B2619" s="34" t="s">
        <v>14251</v>
      </c>
      <c r="C2619" s="25" t="s">
        <v>14250</v>
      </c>
      <c r="D2619" s="25" t="s">
        <v>353</v>
      </c>
    </row>
    <row r="2620" spans="1:4">
      <c r="A2620" s="58">
        <v>45451</v>
      </c>
      <c r="B2620" s="34" t="s">
        <v>14253</v>
      </c>
      <c r="C2620" s="25" t="s">
        <v>14252</v>
      </c>
      <c r="D2620" s="25" t="s">
        <v>353</v>
      </c>
    </row>
    <row r="2621" spans="1:4">
      <c r="A2621" s="58">
        <v>45453</v>
      </c>
      <c r="B2621" s="34" t="s">
        <v>14254</v>
      </c>
      <c r="C2621" s="25" t="s">
        <v>12252</v>
      </c>
      <c r="D2621" s="25" t="s">
        <v>74</v>
      </c>
    </row>
    <row r="2622" spans="1:4">
      <c r="A2622" s="58">
        <v>45453</v>
      </c>
      <c r="B2622" s="34" t="s">
        <v>14256</v>
      </c>
      <c r="C2622" s="25" t="s">
        <v>14255</v>
      </c>
      <c r="D2622" s="25" t="s">
        <v>74</v>
      </c>
    </row>
    <row r="2623" spans="1:4">
      <c r="A2623" s="58">
        <v>45454</v>
      </c>
      <c r="B2623" s="34" t="s">
        <v>14258</v>
      </c>
      <c r="C2623" s="25" t="s">
        <v>14257</v>
      </c>
      <c r="D2623" s="25" t="s">
        <v>5</v>
      </c>
    </row>
    <row r="2624" spans="1:4">
      <c r="A2624" s="58">
        <v>45454</v>
      </c>
      <c r="B2624" s="34" t="s">
        <v>14260</v>
      </c>
      <c r="C2624" s="25" t="s">
        <v>14259</v>
      </c>
      <c r="D2624" s="25" t="s">
        <v>5</v>
      </c>
    </row>
    <row r="2625" spans="1:4">
      <c r="A2625" s="58">
        <v>45454</v>
      </c>
      <c r="B2625" s="34" t="s">
        <v>14262</v>
      </c>
      <c r="C2625" s="25" t="s">
        <v>14261</v>
      </c>
      <c r="D2625" s="25" t="s">
        <v>5</v>
      </c>
    </row>
    <row r="2626" spans="1:4">
      <c r="A2626" s="58">
        <v>45454</v>
      </c>
      <c r="B2626" s="34" t="s">
        <v>14264</v>
      </c>
      <c r="C2626" s="25" t="s">
        <v>14263</v>
      </c>
      <c r="D2626" s="25" t="s">
        <v>5</v>
      </c>
    </row>
    <row r="2627" spans="1:4">
      <c r="A2627" s="58">
        <v>45411</v>
      </c>
      <c r="B2627" s="25" t="s">
        <v>14147</v>
      </c>
      <c r="C2627" s="25" t="s">
        <v>14265</v>
      </c>
      <c r="D2627" s="25" t="s">
        <v>11</v>
      </c>
    </row>
    <row r="2628" spans="1:4">
      <c r="A2628" s="58">
        <v>45455</v>
      </c>
      <c r="B2628" s="34" t="s">
        <v>14267</v>
      </c>
      <c r="C2628" s="25" t="s">
        <v>14266</v>
      </c>
      <c r="D2628" s="25" t="s">
        <v>29</v>
      </c>
    </row>
    <row r="2629" spans="1:4">
      <c r="A2629" s="58">
        <v>45423</v>
      </c>
      <c r="B2629" s="34" t="s">
        <v>14268</v>
      </c>
      <c r="C2629" s="25" t="s">
        <v>13713</v>
      </c>
      <c r="D2629" s="25" t="s">
        <v>11</v>
      </c>
    </row>
    <row r="2630" spans="1:4">
      <c r="A2630" s="58">
        <v>45458</v>
      </c>
      <c r="B2630" s="34" t="s">
        <v>14270</v>
      </c>
      <c r="C2630" s="25" t="s">
        <v>14269</v>
      </c>
      <c r="D2630" s="25" t="s">
        <v>5</v>
      </c>
    </row>
    <row r="2631" spans="1:4">
      <c r="A2631" s="58">
        <v>45458</v>
      </c>
      <c r="B2631" s="34" t="s">
        <v>14272</v>
      </c>
      <c r="C2631" s="25" t="s">
        <v>14271</v>
      </c>
      <c r="D2631" s="25" t="s">
        <v>5</v>
      </c>
    </row>
    <row r="2632" spans="1:4">
      <c r="A2632" s="58">
        <v>45459</v>
      </c>
      <c r="B2632" s="34" t="s">
        <v>14274</v>
      </c>
      <c r="C2632" s="25" t="s">
        <v>14273</v>
      </c>
      <c r="D2632" s="25" t="s">
        <v>24</v>
      </c>
    </row>
    <row r="2633" spans="1:4">
      <c r="A2633" s="58">
        <v>45459</v>
      </c>
      <c r="B2633" s="34" t="s">
        <v>14276</v>
      </c>
      <c r="C2633" s="25" t="s">
        <v>14275</v>
      </c>
      <c r="D2633" s="25" t="s">
        <v>11</v>
      </c>
    </row>
    <row r="2634" spans="1:4">
      <c r="A2634" s="58">
        <v>45459</v>
      </c>
      <c r="B2634" s="34" t="s">
        <v>14278</v>
      </c>
      <c r="C2634" s="25" t="s">
        <v>14277</v>
      </c>
      <c r="D2634" s="25" t="s">
        <v>24</v>
      </c>
    </row>
    <row r="2635" spans="1:4">
      <c r="A2635" s="58">
        <v>45462</v>
      </c>
      <c r="B2635" s="34" t="s">
        <v>14280</v>
      </c>
      <c r="C2635" s="25" t="s">
        <v>14279</v>
      </c>
      <c r="D2635" s="25" t="s">
        <v>81</v>
      </c>
    </row>
    <row r="2636" spans="1:4">
      <c r="A2636" s="58">
        <v>45462</v>
      </c>
      <c r="B2636" s="34" t="s">
        <v>14281</v>
      </c>
      <c r="C2636" s="25" t="s">
        <v>321</v>
      </c>
      <c r="D2636" s="25" t="s">
        <v>81</v>
      </c>
    </row>
    <row r="2637" spans="1:4">
      <c r="A2637" s="58">
        <v>45462</v>
      </c>
      <c r="B2637" s="34" t="s">
        <v>14283</v>
      </c>
      <c r="C2637" s="25" t="s">
        <v>14282</v>
      </c>
      <c r="D2637" s="25" t="s">
        <v>29</v>
      </c>
    </row>
    <row r="2638" spans="1:4">
      <c r="A2638" s="58">
        <v>45462</v>
      </c>
      <c r="B2638" s="34" t="s">
        <v>14284</v>
      </c>
      <c r="C2638" s="25" t="s">
        <v>85</v>
      </c>
      <c r="D2638" s="25" t="s">
        <v>81</v>
      </c>
    </row>
    <row r="2639" spans="1:4">
      <c r="A2639" s="58">
        <v>45462</v>
      </c>
      <c r="B2639" s="34" t="s">
        <v>14286</v>
      </c>
      <c r="C2639" s="25" t="s">
        <v>14285</v>
      </c>
      <c r="D2639" s="25" t="s">
        <v>29</v>
      </c>
    </row>
    <row r="2640" spans="1:4">
      <c r="A2640" s="58">
        <v>45462</v>
      </c>
      <c r="B2640" s="34" t="s">
        <v>14288</v>
      </c>
      <c r="C2640" s="25" t="s">
        <v>14287</v>
      </c>
      <c r="D2640" s="25" t="s">
        <v>81</v>
      </c>
    </row>
    <row r="2641" spans="1:4">
      <c r="A2641" s="58">
        <v>45462</v>
      </c>
      <c r="B2641" s="34" t="s">
        <v>14290</v>
      </c>
      <c r="C2641" s="25" t="s">
        <v>14289</v>
      </c>
      <c r="D2641" s="25" t="s">
        <v>19</v>
      </c>
    </row>
    <row r="2642" spans="1:4">
      <c r="A2642" s="58">
        <v>45463</v>
      </c>
      <c r="B2642" s="34" t="s">
        <v>14292</v>
      </c>
      <c r="C2642" s="25" t="s">
        <v>14291</v>
      </c>
      <c r="D2642" s="25" t="s">
        <v>5</v>
      </c>
    </row>
    <row r="2643" spans="1:4">
      <c r="A2643" s="58">
        <v>45458</v>
      </c>
      <c r="B2643" s="34" t="s">
        <v>14294</v>
      </c>
      <c r="C2643" s="25" t="s">
        <v>14293</v>
      </c>
      <c r="D2643" s="25" t="s">
        <v>29</v>
      </c>
    </row>
    <row r="2644" spans="1:4">
      <c r="A2644" s="58">
        <v>45460</v>
      </c>
      <c r="B2644" s="34" t="s">
        <v>14296</v>
      </c>
      <c r="C2644" s="25" t="s">
        <v>14295</v>
      </c>
      <c r="D2644" s="25" t="s">
        <v>353</v>
      </c>
    </row>
    <row r="2645" spans="1:4">
      <c r="A2645" s="58">
        <v>45461</v>
      </c>
      <c r="B2645" s="34" t="s">
        <v>14298</v>
      </c>
      <c r="C2645" s="25" t="s">
        <v>14297</v>
      </c>
      <c r="D2645" s="25" t="s">
        <v>353</v>
      </c>
    </row>
    <row r="2646" spans="1:4">
      <c r="A2646" s="58">
        <v>45461</v>
      </c>
      <c r="B2646" s="34" t="s">
        <v>14300</v>
      </c>
      <c r="C2646" s="25" t="s">
        <v>14299</v>
      </c>
      <c r="D2646" s="25" t="s">
        <v>16</v>
      </c>
    </row>
    <row r="2647" spans="1:4">
      <c r="A2647" s="58">
        <v>45461</v>
      </c>
      <c r="B2647" s="34" t="s">
        <v>14301</v>
      </c>
      <c r="C2647" s="25" t="s">
        <v>14299</v>
      </c>
      <c r="D2647" s="25" t="s">
        <v>16</v>
      </c>
    </row>
    <row r="2648" spans="1:4">
      <c r="A2648" s="58">
        <v>45461</v>
      </c>
      <c r="B2648" s="34" t="s">
        <v>14303</v>
      </c>
      <c r="C2648" s="25" t="s">
        <v>14302</v>
      </c>
      <c r="D2648" s="25" t="s">
        <v>5</v>
      </c>
    </row>
    <row r="2649" spans="1:4">
      <c r="A2649" s="58">
        <v>45461</v>
      </c>
      <c r="B2649" s="34" t="s">
        <v>14305</v>
      </c>
      <c r="C2649" s="25" t="s">
        <v>14304</v>
      </c>
      <c r="D2649" s="25" t="s">
        <v>5</v>
      </c>
    </row>
    <row r="2650" spans="1:4">
      <c r="A2650" s="58">
        <v>45462</v>
      </c>
      <c r="B2650" s="34" t="s">
        <v>14306</v>
      </c>
      <c r="C2650" s="25" t="s">
        <v>13743</v>
      </c>
      <c r="D2650" s="25" t="s">
        <v>5</v>
      </c>
    </row>
    <row r="2651" spans="1:4">
      <c r="A2651" s="58">
        <v>45462</v>
      </c>
      <c r="B2651" s="34" t="s">
        <v>14306</v>
      </c>
      <c r="C2651" s="25" t="s">
        <v>14307</v>
      </c>
      <c r="D2651" s="25" t="s">
        <v>74</v>
      </c>
    </row>
    <row r="2652" spans="1:4">
      <c r="A2652" s="58">
        <v>45462</v>
      </c>
      <c r="B2652" s="34" t="s">
        <v>14309</v>
      </c>
      <c r="C2652" s="25" t="s">
        <v>14308</v>
      </c>
      <c r="D2652" s="25" t="s">
        <v>8</v>
      </c>
    </row>
    <row r="2653" spans="1:4">
      <c r="A2653" s="58">
        <v>45462</v>
      </c>
      <c r="B2653" s="34" t="s">
        <v>14310</v>
      </c>
      <c r="C2653" s="25" t="s">
        <v>14308</v>
      </c>
      <c r="D2653" s="25" t="s">
        <v>8</v>
      </c>
    </row>
    <row r="2654" spans="1:4">
      <c r="A2654" s="58">
        <v>45458</v>
      </c>
      <c r="B2654" s="34" t="s">
        <v>14312</v>
      </c>
      <c r="C2654" s="25" t="s">
        <v>14311</v>
      </c>
      <c r="D2654" s="25" t="s">
        <v>74</v>
      </c>
    </row>
    <row r="2655" spans="1:4">
      <c r="A2655" s="58">
        <v>45458</v>
      </c>
      <c r="B2655" s="34" t="s">
        <v>14313</v>
      </c>
      <c r="C2655" s="25" t="s">
        <v>13948</v>
      </c>
      <c r="D2655" s="25" t="s">
        <v>5</v>
      </c>
    </row>
    <row r="2656" spans="1:4">
      <c r="A2656" s="58">
        <v>45462</v>
      </c>
      <c r="B2656" s="34" t="s">
        <v>14315</v>
      </c>
      <c r="C2656" s="25" t="s">
        <v>14314</v>
      </c>
      <c r="D2656" s="25" t="s">
        <v>5</v>
      </c>
    </row>
    <row r="2657" spans="1:4">
      <c r="A2657" s="58">
        <v>45462</v>
      </c>
      <c r="B2657" s="34" t="s">
        <v>14317</v>
      </c>
      <c r="C2657" s="25" t="s">
        <v>14316</v>
      </c>
      <c r="D2657" s="25" t="s">
        <v>5</v>
      </c>
    </row>
    <row r="2658" spans="1:4">
      <c r="A2658" s="58">
        <v>45461</v>
      </c>
      <c r="B2658" s="34" t="s">
        <v>14319</v>
      </c>
      <c r="C2658" s="25" t="s">
        <v>14318</v>
      </c>
      <c r="D2658" s="25" t="s">
        <v>345</v>
      </c>
    </row>
    <row r="2659" spans="1:4">
      <c r="A2659" s="58">
        <v>45427</v>
      </c>
      <c r="B2659" s="34" t="s">
        <v>14321</v>
      </c>
      <c r="C2659" s="25" t="s">
        <v>14320</v>
      </c>
      <c r="D2659" s="25" t="s">
        <v>11</v>
      </c>
    </row>
    <row r="2660" spans="1:4">
      <c r="A2660" s="58">
        <v>45453</v>
      </c>
      <c r="B2660" s="34" t="s">
        <v>14323</v>
      </c>
      <c r="C2660" s="25" t="s">
        <v>14322</v>
      </c>
      <c r="D2660" s="25" t="s">
        <v>345</v>
      </c>
    </row>
    <row r="2661" spans="1:4">
      <c r="A2661" s="58">
        <v>45453</v>
      </c>
      <c r="B2661" s="34" t="s">
        <v>14325</v>
      </c>
      <c r="C2661" s="25" t="s">
        <v>14324</v>
      </c>
      <c r="D2661" s="25" t="s">
        <v>19</v>
      </c>
    </row>
    <row r="2662" spans="1:4">
      <c r="A2662" s="58">
        <v>45453</v>
      </c>
      <c r="B2662" s="34" t="s">
        <v>14327</v>
      </c>
      <c r="C2662" s="25" t="s">
        <v>14326</v>
      </c>
      <c r="D2662" s="25" t="s">
        <v>29</v>
      </c>
    </row>
    <row r="2663" spans="1:4">
      <c r="A2663" s="58">
        <v>45453</v>
      </c>
      <c r="B2663" s="34" t="s">
        <v>14329</v>
      </c>
      <c r="C2663" s="25" t="s">
        <v>14328</v>
      </c>
      <c r="D2663" s="25" t="s">
        <v>19</v>
      </c>
    </row>
    <row r="2664" spans="1:4">
      <c r="A2664" s="58">
        <v>45454</v>
      </c>
      <c r="B2664" s="34" t="s">
        <v>14331</v>
      </c>
      <c r="C2664" s="25" t="s">
        <v>14330</v>
      </c>
      <c r="D2664" s="25" t="s">
        <v>19</v>
      </c>
    </row>
    <row r="2665" spans="1:4">
      <c r="A2665" s="58">
        <v>45454</v>
      </c>
      <c r="B2665" s="34" t="s">
        <v>14333</v>
      </c>
      <c r="C2665" s="25" t="s">
        <v>14332</v>
      </c>
      <c r="D2665" s="25" t="s">
        <v>29</v>
      </c>
    </row>
    <row r="2666" spans="1:4">
      <c r="A2666" s="58">
        <v>45454</v>
      </c>
      <c r="B2666" s="34" t="s">
        <v>14335</v>
      </c>
      <c r="C2666" s="25" t="s">
        <v>14334</v>
      </c>
      <c r="D2666" s="25" t="s">
        <v>29</v>
      </c>
    </row>
    <row r="2667" spans="1:4">
      <c r="A2667" s="58">
        <v>45454</v>
      </c>
      <c r="B2667" s="34" t="s">
        <v>14337</v>
      </c>
      <c r="C2667" s="25" t="s">
        <v>14336</v>
      </c>
      <c r="D2667" s="25" t="s">
        <v>345</v>
      </c>
    </row>
    <row r="2668" spans="1:4">
      <c r="A2668" s="58">
        <v>45454</v>
      </c>
      <c r="B2668" s="34" t="s">
        <v>14339</v>
      </c>
      <c r="C2668" s="25" t="s">
        <v>14338</v>
      </c>
      <c r="D2668" s="25" t="s">
        <v>29</v>
      </c>
    </row>
    <row r="2669" spans="1:4">
      <c r="A2669" s="58">
        <v>45454</v>
      </c>
      <c r="B2669" s="34" t="s">
        <v>14340</v>
      </c>
      <c r="C2669" s="25" t="s">
        <v>14235</v>
      </c>
      <c r="D2669" s="25" t="s">
        <v>345</v>
      </c>
    </row>
    <row r="2670" spans="1:4">
      <c r="A2670" s="58">
        <v>45455</v>
      </c>
      <c r="B2670" s="34" t="s">
        <v>14342</v>
      </c>
      <c r="C2670" s="25" t="s">
        <v>14341</v>
      </c>
      <c r="D2670" s="25" t="s">
        <v>19</v>
      </c>
    </row>
    <row r="2671" spans="1:4">
      <c r="A2671" s="58">
        <v>45455</v>
      </c>
      <c r="B2671" s="34" t="s">
        <v>14344</v>
      </c>
      <c r="C2671" s="25" t="s">
        <v>14343</v>
      </c>
      <c r="D2671" s="25" t="s">
        <v>24</v>
      </c>
    </row>
    <row r="2672" spans="1:4">
      <c r="A2672" s="58">
        <v>45457</v>
      </c>
      <c r="B2672" s="34" t="s">
        <v>14346</v>
      </c>
      <c r="C2672" s="25" t="s">
        <v>14345</v>
      </c>
      <c r="D2672" s="25" t="s">
        <v>16</v>
      </c>
    </row>
    <row r="2673" spans="1:4">
      <c r="A2673" s="58">
        <v>45457</v>
      </c>
      <c r="B2673" s="34" t="s">
        <v>14348</v>
      </c>
      <c r="C2673" s="25" t="s">
        <v>14347</v>
      </c>
      <c r="D2673" s="25" t="s">
        <v>24</v>
      </c>
    </row>
    <row r="2674" spans="1:4">
      <c r="A2674" s="58">
        <v>45457</v>
      </c>
      <c r="B2674" s="34" t="s">
        <v>14350</v>
      </c>
      <c r="C2674" s="25" t="s">
        <v>14349</v>
      </c>
      <c r="D2674" s="25" t="s">
        <v>109</v>
      </c>
    </row>
    <row r="2675" spans="1:4">
      <c r="A2675" s="58">
        <v>45457</v>
      </c>
      <c r="B2675" s="34" t="s">
        <v>14351</v>
      </c>
      <c r="C2675" s="25" t="s">
        <v>12339</v>
      </c>
      <c r="D2675" s="25" t="s">
        <v>109</v>
      </c>
    </row>
    <row r="2676" spans="1:4">
      <c r="A2676" s="58">
        <v>45457</v>
      </c>
      <c r="B2676" s="34" t="s">
        <v>14352</v>
      </c>
      <c r="C2676" s="25" t="s">
        <v>12855</v>
      </c>
      <c r="D2676" s="25" t="s">
        <v>29</v>
      </c>
    </row>
    <row r="2677" spans="1:4">
      <c r="A2677" s="58">
        <v>45457</v>
      </c>
      <c r="B2677" s="34" t="s">
        <v>14354</v>
      </c>
      <c r="C2677" s="25" t="s">
        <v>14353</v>
      </c>
      <c r="D2677" s="25" t="s">
        <v>11</v>
      </c>
    </row>
    <row r="2678" spans="1:4">
      <c r="A2678" s="58">
        <v>45457</v>
      </c>
      <c r="B2678" s="34" t="s">
        <v>14356</v>
      </c>
      <c r="C2678" s="25" t="s">
        <v>14355</v>
      </c>
      <c r="D2678" s="25" t="s">
        <v>29</v>
      </c>
    </row>
    <row r="2679" spans="1:4">
      <c r="A2679" s="58">
        <v>45460</v>
      </c>
      <c r="B2679" s="34" t="s">
        <v>14358</v>
      </c>
      <c r="C2679" s="25" t="s">
        <v>14357</v>
      </c>
      <c r="D2679" s="25" t="s">
        <v>29</v>
      </c>
    </row>
    <row r="2680" spans="1:4">
      <c r="A2680" s="58">
        <v>45460</v>
      </c>
      <c r="B2680" s="34" t="s">
        <v>14360</v>
      </c>
      <c r="C2680" s="25" t="s">
        <v>14359</v>
      </c>
      <c r="D2680" s="25" t="s">
        <v>29</v>
      </c>
    </row>
    <row r="2681" spans="1:4">
      <c r="A2681" s="58">
        <v>45461</v>
      </c>
      <c r="B2681" s="34" t="s">
        <v>14362</v>
      </c>
      <c r="C2681" s="25" t="s">
        <v>14361</v>
      </c>
      <c r="D2681" s="25" t="s">
        <v>29</v>
      </c>
    </row>
    <row r="2682" spans="1:4">
      <c r="A2682" s="58">
        <v>45461</v>
      </c>
      <c r="B2682" s="34" t="s">
        <v>14364</v>
      </c>
      <c r="C2682" s="25" t="s">
        <v>14363</v>
      </c>
      <c r="D2682" s="25" t="s">
        <v>109</v>
      </c>
    </row>
    <row r="2683" spans="1:4">
      <c r="A2683" s="58">
        <v>45461</v>
      </c>
      <c r="B2683" s="34" t="s">
        <v>14366</v>
      </c>
      <c r="C2683" s="25" t="s">
        <v>14365</v>
      </c>
      <c r="D2683" s="25" t="s">
        <v>29</v>
      </c>
    </row>
    <row r="2684" spans="1:4">
      <c r="A2684" s="58">
        <v>45462</v>
      </c>
      <c r="B2684" s="34" t="s">
        <v>14369</v>
      </c>
      <c r="C2684" s="25" t="s">
        <v>14367</v>
      </c>
      <c r="D2684" s="25" t="s">
        <v>14368</v>
      </c>
    </row>
    <row r="2685" spans="1:4">
      <c r="A2685" s="58">
        <v>45462</v>
      </c>
      <c r="B2685" s="34" t="s">
        <v>14371</v>
      </c>
      <c r="C2685" s="25" t="s">
        <v>14370</v>
      </c>
      <c r="D2685" s="25" t="s">
        <v>14368</v>
      </c>
    </row>
    <row r="2686" spans="1:4">
      <c r="A2686" s="58">
        <v>45462</v>
      </c>
      <c r="B2686" s="34" t="s">
        <v>14373</v>
      </c>
      <c r="C2686" s="25" t="s">
        <v>14372</v>
      </c>
      <c r="D2686" s="25" t="s">
        <v>14368</v>
      </c>
    </row>
    <row r="2687" spans="1:4">
      <c r="A2687" s="58">
        <v>45462</v>
      </c>
      <c r="B2687" s="34" t="s">
        <v>14375</v>
      </c>
      <c r="C2687" s="25" t="s">
        <v>14374</v>
      </c>
      <c r="D2687" s="25" t="s">
        <v>14368</v>
      </c>
    </row>
    <row r="2688" spans="1:4">
      <c r="A2688" s="58">
        <v>45462</v>
      </c>
      <c r="B2688" s="34" t="s">
        <v>14377</v>
      </c>
      <c r="C2688" s="25" t="s">
        <v>14376</v>
      </c>
      <c r="D2688" s="25" t="s">
        <v>14368</v>
      </c>
    </row>
    <row r="2689" spans="1:4">
      <c r="A2689" s="58">
        <v>45462</v>
      </c>
      <c r="B2689" s="34" t="s">
        <v>14379</v>
      </c>
      <c r="C2689" s="25" t="s">
        <v>14378</v>
      </c>
      <c r="D2689" s="25" t="s">
        <v>14368</v>
      </c>
    </row>
    <row r="2690" spans="1:4">
      <c r="A2690" s="58">
        <v>45462</v>
      </c>
      <c r="B2690" s="34" t="s">
        <v>14381</v>
      </c>
      <c r="C2690" s="25" t="s">
        <v>14380</v>
      </c>
      <c r="D2690" s="25" t="s">
        <v>14368</v>
      </c>
    </row>
    <row r="2691" spans="1:4">
      <c r="A2691" s="58">
        <v>45462</v>
      </c>
      <c r="B2691" s="34" t="s">
        <v>14383</v>
      </c>
      <c r="C2691" s="25" t="s">
        <v>14382</v>
      </c>
      <c r="D2691" s="25" t="s">
        <v>14368</v>
      </c>
    </row>
    <row r="2692" spans="1:4">
      <c r="A2692" s="58">
        <v>45463</v>
      </c>
      <c r="B2692" s="34" t="s">
        <v>14385</v>
      </c>
      <c r="C2692" s="25" t="s">
        <v>14384</v>
      </c>
      <c r="D2692" s="25" t="s">
        <v>14368</v>
      </c>
    </row>
    <row r="2693" spans="1:4">
      <c r="A2693" s="58">
        <v>45463</v>
      </c>
      <c r="B2693" s="34" t="s">
        <v>14385</v>
      </c>
      <c r="C2693" s="25" t="s">
        <v>14384</v>
      </c>
      <c r="D2693" s="25" t="s">
        <v>14368</v>
      </c>
    </row>
    <row r="2694" spans="1:4">
      <c r="A2694" s="58">
        <v>45463</v>
      </c>
      <c r="B2694" s="34" t="s">
        <v>14387</v>
      </c>
      <c r="C2694" s="25" t="s">
        <v>14386</v>
      </c>
      <c r="D2694" s="25" t="s">
        <v>14368</v>
      </c>
    </row>
    <row r="2695" spans="1:4">
      <c r="A2695" s="58">
        <v>45463</v>
      </c>
      <c r="B2695" s="34" t="s">
        <v>14389</v>
      </c>
      <c r="C2695" s="25" t="s">
        <v>14388</v>
      </c>
      <c r="D2695" s="25" t="s">
        <v>14368</v>
      </c>
    </row>
    <row r="2696" spans="1:4">
      <c r="A2696" s="58">
        <v>45463</v>
      </c>
      <c r="B2696" s="34" t="s">
        <v>14391</v>
      </c>
      <c r="C2696" s="25" t="s">
        <v>14390</v>
      </c>
      <c r="D2696" s="25" t="s">
        <v>14368</v>
      </c>
    </row>
    <row r="2697" spans="1:4">
      <c r="A2697" s="58">
        <v>45463</v>
      </c>
      <c r="B2697" s="34" t="s">
        <v>14393</v>
      </c>
      <c r="C2697" s="25" t="s">
        <v>14392</v>
      </c>
      <c r="D2697" s="25" t="s">
        <v>14368</v>
      </c>
    </row>
    <row r="2698" spans="1:4">
      <c r="A2698" s="58">
        <v>45464</v>
      </c>
      <c r="B2698" s="34" t="s">
        <v>14395</v>
      </c>
      <c r="C2698" s="25" t="s">
        <v>14394</v>
      </c>
      <c r="D2698" s="25" t="s">
        <v>14368</v>
      </c>
    </row>
    <row r="2699" spans="1:4">
      <c r="A2699" s="58">
        <v>45464</v>
      </c>
      <c r="B2699" s="34" t="s">
        <v>14397</v>
      </c>
      <c r="C2699" s="25" t="s">
        <v>14396</v>
      </c>
      <c r="D2699" s="25" t="s">
        <v>14368</v>
      </c>
    </row>
    <row r="2700" spans="1:4">
      <c r="A2700" s="58">
        <v>45464</v>
      </c>
      <c r="B2700" s="34" t="s">
        <v>14399</v>
      </c>
      <c r="C2700" s="25" t="s">
        <v>14398</v>
      </c>
      <c r="D2700" s="25" t="s">
        <v>14368</v>
      </c>
    </row>
    <row r="2701" spans="1:4">
      <c r="A2701" s="58">
        <v>45464</v>
      </c>
      <c r="B2701" s="34" t="s">
        <v>14401</v>
      </c>
      <c r="C2701" s="25" t="s">
        <v>14400</v>
      </c>
      <c r="D2701" s="25" t="s">
        <v>14368</v>
      </c>
    </row>
    <row r="2702" spans="1:4">
      <c r="A2702" s="58">
        <v>45464</v>
      </c>
      <c r="B2702" s="34" t="s">
        <v>14403</v>
      </c>
      <c r="C2702" s="25" t="s">
        <v>14402</v>
      </c>
      <c r="D2702" s="25" t="s">
        <v>14368</v>
      </c>
    </row>
    <row r="2703" spans="1:4">
      <c r="A2703" s="58">
        <v>45464</v>
      </c>
      <c r="B2703" s="34" t="s">
        <v>14404</v>
      </c>
      <c r="C2703" s="25" t="s">
        <v>14402</v>
      </c>
      <c r="D2703" s="25" t="s">
        <v>14368</v>
      </c>
    </row>
    <row r="2704" spans="1:4">
      <c r="A2704" s="58">
        <v>45464</v>
      </c>
      <c r="B2704" s="34" t="s">
        <v>14406</v>
      </c>
      <c r="C2704" s="25" t="s">
        <v>14405</v>
      </c>
      <c r="D2704" s="25" t="s">
        <v>14368</v>
      </c>
    </row>
    <row r="2705" spans="1:4">
      <c r="A2705" s="58">
        <v>45464</v>
      </c>
      <c r="B2705" s="34" t="s">
        <v>14407</v>
      </c>
      <c r="C2705" s="25" t="s">
        <v>14370</v>
      </c>
      <c r="D2705" s="25" t="s">
        <v>14368</v>
      </c>
    </row>
    <row r="2706" spans="1:4">
      <c r="A2706" s="58">
        <v>45464</v>
      </c>
      <c r="B2706" s="34" t="s">
        <v>14409</v>
      </c>
      <c r="C2706" s="25" t="s">
        <v>14408</v>
      </c>
      <c r="D2706" s="25" t="s">
        <v>14368</v>
      </c>
    </row>
    <row r="2707" spans="1:4">
      <c r="A2707" s="58">
        <v>45464</v>
      </c>
      <c r="B2707" s="34" t="s">
        <v>14410</v>
      </c>
      <c r="C2707" s="25" t="s">
        <v>14408</v>
      </c>
      <c r="D2707" s="25" t="s">
        <v>14368</v>
      </c>
    </row>
    <row r="2708" spans="1:4">
      <c r="A2708" s="58">
        <v>45464</v>
      </c>
      <c r="B2708" s="34" t="s">
        <v>14412</v>
      </c>
      <c r="C2708" s="25" t="s">
        <v>14411</v>
      </c>
      <c r="D2708" s="25" t="s">
        <v>14368</v>
      </c>
    </row>
    <row r="2709" spans="1:4">
      <c r="A2709" s="58">
        <v>45464</v>
      </c>
      <c r="B2709" s="34" t="s">
        <v>14413</v>
      </c>
      <c r="C2709" s="25" t="s">
        <v>14411</v>
      </c>
      <c r="D2709" s="25" t="s">
        <v>14368</v>
      </c>
    </row>
    <row r="2710" spans="1:4">
      <c r="A2710" s="58">
        <v>45464</v>
      </c>
      <c r="B2710" s="34" t="s">
        <v>14415</v>
      </c>
      <c r="C2710" s="25" t="s">
        <v>14414</v>
      </c>
      <c r="D2710" s="25" t="s">
        <v>14368</v>
      </c>
    </row>
    <row r="2711" spans="1:4">
      <c r="A2711" s="58">
        <v>45464</v>
      </c>
      <c r="B2711" s="34" t="s">
        <v>14417</v>
      </c>
      <c r="C2711" s="25" t="s">
        <v>14416</v>
      </c>
      <c r="D2711" s="25" t="s">
        <v>14368</v>
      </c>
    </row>
    <row r="2712" spans="1:4">
      <c r="A2712" s="58">
        <v>45464</v>
      </c>
      <c r="B2712" s="34" t="s">
        <v>14418</v>
      </c>
      <c r="C2712" s="25" t="s">
        <v>14370</v>
      </c>
      <c r="D2712" s="25" t="s">
        <v>14368</v>
      </c>
    </row>
    <row r="2713" spans="1:4">
      <c r="A2713" s="58">
        <v>45464</v>
      </c>
      <c r="B2713" s="34" t="s">
        <v>14418</v>
      </c>
      <c r="C2713" s="25" t="s">
        <v>14405</v>
      </c>
      <c r="D2713" s="25" t="s">
        <v>14368</v>
      </c>
    </row>
    <row r="2714" spans="1:4">
      <c r="A2714" s="58">
        <v>45464</v>
      </c>
      <c r="B2714" s="34" t="s">
        <v>14420</v>
      </c>
      <c r="C2714" s="25" t="s">
        <v>14419</v>
      </c>
      <c r="D2714" s="25" t="s">
        <v>14368</v>
      </c>
    </row>
    <row r="2715" spans="1:4">
      <c r="A2715" s="58">
        <v>45464</v>
      </c>
      <c r="B2715" s="34" t="s">
        <v>14422</v>
      </c>
      <c r="C2715" s="25" t="s">
        <v>14421</v>
      </c>
      <c r="D2715" s="25" t="s">
        <v>14368</v>
      </c>
    </row>
    <row r="2716" spans="1:4">
      <c r="A2716" s="58">
        <v>45464</v>
      </c>
      <c r="B2716" s="34" t="s">
        <v>14424</v>
      </c>
      <c r="C2716" s="25" t="s">
        <v>14423</v>
      </c>
      <c r="D2716" s="25" t="s">
        <v>14368</v>
      </c>
    </row>
    <row r="2717" spans="1:4">
      <c r="A2717" s="58">
        <v>45464</v>
      </c>
      <c r="B2717" s="34" t="s">
        <v>14426</v>
      </c>
      <c r="C2717" s="25" t="s">
        <v>14425</v>
      </c>
      <c r="D2717" s="25" t="s">
        <v>14368</v>
      </c>
    </row>
    <row r="2718" spans="1:4">
      <c r="A2718" s="58">
        <v>45465</v>
      </c>
      <c r="B2718" s="34" t="s">
        <v>14428</v>
      </c>
      <c r="C2718" s="25" t="s">
        <v>14427</v>
      </c>
      <c r="D2718" s="25" t="s">
        <v>14368</v>
      </c>
    </row>
    <row r="2719" spans="1:4">
      <c r="A2719" s="58">
        <v>45465</v>
      </c>
      <c r="B2719" s="34" t="s">
        <v>14430</v>
      </c>
      <c r="C2719" s="25" t="s">
        <v>14429</v>
      </c>
      <c r="D2719" s="25" t="s">
        <v>14368</v>
      </c>
    </row>
    <row r="2720" spans="1:4">
      <c r="A2720" s="58">
        <v>45465</v>
      </c>
      <c r="B2720" s="34" t="s">
        <v>14432</v>
      </c>
      <c r="C2720" s="25" t="s">
        <v>14431</v>
      </c>
      <c r="D2720" s="25" t="s">
        <v>14368</v>
      </c>
    </row>
    <row r="2721" spans="1:4">
      <c r="A2721" s="58">
        <v>45465</v>
      </c>
      <c r="B2721" s="34" t="s">
        <v>14434</v>
      </c>
      <c r="C2721" s="25" t="s">
        <v>14433</v>
      </c>
      <c r="D2721" s="25" t="s">
        <v>14368</v>
      </c>
    </row>
    <row r="2722" spans="1:4">
      <c r="A2722" s="58">
        <v>45465</v>
      </c>
      <c r="B2722" s="34" t="s">
        <v>14435</v>
      </c>
      <c r="C2722" s="25" t="s">
        <v>14433</v>
      </c>
      <c r="D2722" s="25" t="s">
        <v>14368</v>
      </c>
    </row>
    <row r="2723" spans="1:4">
      <c r="A2723" s="58">
        <v>45465</v>
      </c>
      <c r="B2723" s="34" t="s">
        <v>14437</v>
      </c>
      <c r="C2723" s="25" t="s">
        <v>14436</v>
      </c>
      <c r="D2723" s="25" t="s">
        <v>14368</v>
      </c>
    </row>
    <row r="2724" spans="1:4">
      <c r="A2724" s="58">
        <v>45465</v>
      </c>
      <c r="B2724" s="34" t="s">
        <v>14439</v>
      </c>
      <c r="C2724" s="25" t="s">
        <v>14438</v>
      </c>
      <c r="D2724" s="25" t="s">
        <v>14368</v>
      </c>
    </row>
    <row r="2725" spans="1:4">
      <c r="A2725" s="58">
        <v>45465</v>
      </c>
      <c r="B2725" s="34" t="s">
        <v>14441</v>
      </c>
      <c r="C2725" s="25" t="s">
        <v>14440</v>
      </c>
      <c r="D2725" s="25" t="s">
        <v>14368</v>
      </c>
    </row>
    <row r="2726" spans="1:4">
      <c r="A2726" s="58">
        <v>45466</v>
      </c>
      <c r="B2726" s="34" t="s">
        <v>14443</v>
      </c>
      <c r="C2726" s="25" t="s">
        <v>14442</v>
      </c>
      <c r="D2726" s="25" t="s">
        <v>14368</v>
      </c>
    </row>
    <row r="2727" spans="1:4">
      <c r="A2727" s="58">
        <v>45466</v>
      </c>
      <c r="B2727" s="34" t="s">
        <v>14445</v>
      </c>
      <c r="C2727" s="25" t="s">
        <v>14444</v>
      </c>
      <c r="D2727" s="25" t="s">
        <v>14368</v>
      </c>
    </row>
    <row r="2728" spans="1:4">
      <c r="A2728" s="58">
        <v>45462</v>
      </c>
      <c r="B2728" s="34" t="s">
        <v>14447</v>
      </c>
      <c r="C2728" s="25" t="s">
        <v>14446</v>
      </c>
      <c r="D2728" s="25" t="s">
        <v>594</v>
      </c>
    </row>
    <row r="2729" spans="1:4">
      <c r="A2729" s="58">
        <v>45462</v>
      </c>
      <c r="B2729" s="34" t="s">
        <v>14449</v>
      </c>
      <c r="C2729" s="25" t="s">
        <v>14448</v>
      </c>
      <c r="D2729" s="25" t="s">
        <v>353</v>
      </c>
    </row>
    <row r="2730" spans="1:4">
      <c r="A2730" s="58">
        <v>45462</v>
      </c>
      <c r="B2730" s="34" t="s">
        <v>14451</v>
      </c>
      <c r="C2730" s="25" t="s">
        <v>14450</v>
      </c>
      <c r="D2730" s="25" t="s">
        <v>594</v>
      </c>
    </row>
    <row r="2731" spans="1:4">
      <c r="A2731" s="58">
        <v>45457</v>
      </c>
      <c r="B2731" s="34" t="s">
        <v>14453</v>
      </c>
      <c r="C2731" s="25" t="s">
        <v>14452</v>
      </c>
      <c r="D2731" s="25" t="s">
        <v>5</v>
      </c>
    </row>
    <row r="2732" spans="1:4">
      <c r="A2732" s="58">
        <v>45404</v>
      </c>
      <c r="B2732" s="34" t="s">
        <v>14454</v>
      </c>
      <c r="C2732" s="25" t="s">
        <v>12172</v>
      </c>
      <c r="D2732" s="25" t="s">
        <v>510</v>
      </c>
    </row>
    <row r="2733" spans="1:4">
      <c r="A2733" s="58">
        <v>45457</v>
      </c>
      <c r="B2733" s="34" t="s">
        <v>14456</v>
      </c>
      <c r="C2733" s="25" t="s">
        <v>14455</v>
      </c>
      <c r="D2733" s="25" t="s">
        <v>109</v>
      </c>
    </row>
    <row r="2734" spans="1:4">
      <c r="A2734" s="70">
        <v>45406</v>
      </c>
      <c r="B2734" s="25" t="s">
        <v>14458</v>
      </c>
      <c r="C2734" s="25" t="s">
        <v>14457</v>
      </c>
      <c r="D2734" s="25" t="s">
        <v>510</v>
      </c>
    </row>
    <row r="2735" spans="1:4">
      <c r="A2735" s="70">
        <v>45406</v>
      </c>
      <c r="B2735" s="25" t="s">
        <v>14460</v>
      </c>
      <c r="C2735" s="25" t="s">
        <v>14459</v>
      </c>
      <c r="D2735" s="25" t="s">
        <v>510</v>
      </c>
    </row>
    <row r="2736" spans="1:4">
      <c r="A2736" s="58">
        <v>45457</v>
      </c>
      <c r="B2736" s="34" t="s">
        <v>14462</v>
      </c>
      <c r="C2736" s="25" t="s">
        <v>14461</v>
      </c>
      <c r="D2736" s="25" t="s">
        <v>5</v>
      </c>
    </row>
    <row r="2737" spans="1:4">
      <c r="A2737" s="58">
        <v>45457</v>
      </c>
      <c r="B2737" s="34" t="s">
        <v>14464</v>
      </c>
      <c r="C2737" s="25" t="s">
        <v>14463</v>
      </c>
      <c r="D2737" s="25" t="s">
        <v>16</v>
      </c>
    </row>
    <row r="2738" spans="1:4">
      <c r="A2738" s="58">
        <v>45457</v>
      </c>
      <c r="B2738" s="34" t="s">
        <v>14466</v>
      </c>
      <c r="C2738" s="25" t="s">
        <v>14465</v>
      </c>
      <c r="D2738" s="25" t="s">
        <v>5</v>
      </c>
    </row>
    <row r="2739" spans="1:4">
      <c r="A2739" s="58">
        <v>45457</v>
      </c>
      <c r="B2739" s="34" t="s">
        <v>14468</v>
      </c>
      <c r="C2739" s="25" t="s">
        <v>14467</v>
      </c>
      <c r="D2739" s="25" t="s">
        <v>5</v>
      </c>
    </row>
    <row r="2740" spans="1:4">
      <c r="A2740" s="58">
        <v>45457</v>
      </c>
      <c r="B2740" s="34" t="s">
        <v>14470</v>
      </c>
      <c r="C2740" s="25" t="s">
        <v>14469</v>
      </c>
      <c r="D2740" s="25" t="s">
        <v>5</v>
      </c>
    </row>
    <row r="2741" spans="1:4">
      <c r="A2741" s="58">
        <v>45457</v>
      </c>
      <c r="B2741" s="34" t="s">
        <v>14472</v>
      </c>
      <c r="C2741" s="25" t="s">
        <v>14471</v>
      </c>
      <c r="D2741" s="25" t="s">
        <v>5</v>
      </c>
    </row>
    <row r="2742" spans="1:4">
      <c r="A2742" s="58">
        <v>45457</v>
      </c>
      <c r="B2742" s="34" t="s">
        <v>14474</v>
      </c>
      <c r="C2742" s="25" t="s">
        <v>14473</v>
      </c>
      <c r="D2742" s="25" t="s">
        <v>5</v>
      </c>
    </row>
    <row r="2743" spans="1:4">
      <c r="A2743" s="58">
        <v>45458</v>
      </c>
      <c r="B2743" s="34" t="s">
        <v>14476</v>
      </c>
      <c r="C2743" s="25" t="s">
        <v>14475</v>
      </c>
      <c r="D2743" s="25" t="s">
        <v>216</v>
      </c>
    </row>
    <row r="2744" spans="1:4">
      <c r="A2744" s="58">
        <v>45458</v>
      </c>
      <c r="B2744" s="34" t="s">
        <v>14477</v>
      </c>
      <c r="C2744" s="25" t="s">
        <v>14475</v>
      </c>
      <c r="D2744" s="25" t="s">
        <v>216</v>
      </c>
    </row>
    <row r="2745" spans="1:4">
      <c r="A2745" s="58">
        <v>45458</v>
      </c>
      <c r="B2745" s="34" t="s">
        <v>14479</v>
      </c>
      <c r="C2745" s="25" t="s">
        <v>14478</v>
      </c>
      <c r="D2745" s="25" t="s">
        <v>216</v>
      </c>
    </row>
    <row r="2746" spans="1:4">
      <c r="A2746" s="58">
        <v>45458</v>
      </c>
      <c r="B2746" s="34" t="s">
        <v>14481</v>
      </c>
      <c r="C2746" s="25" t="s">
        <v>14480</v>
      </c>
      <c r="D2746" s="25" t="s">
        <v>216</v>
      </c>
    </row>
    <row r="2747" spans="1:4">
      <c r="A2747" s="58">
        <v>45458</v>
      </c>
      <c r="B2747" s="34" t="s">
        <v>14483</v>
      </c>
      <c r="C2747" s="25" t="s">
        <v>14482</v>
      </c>
      <c r="D2747" s="25" t="s">
        <v>216</v>
      </c>
    </row>
    <row r="2748" spans="1:4">
      <c r="A2748" s="70">
        <v>45408</v>
      </c>
      <c r="B2748" s="25" t="s">
        <v>14484</v>
      </c>
      <c r="C2748" s="25" t="s">
        <v>13384</v>
      </c>
      <c r="D2748" s="25" t="s">
        <v>510</v>
      </c>
    </row>
    <row r="2749" spans="1:4">
      <c r="A2749" s="58">
        <v>45441</v>
      </c>
      <c r="B2749" s="34" t="s">
        <v>10969</v>
      </c>
      <c r="C2749" s="25" t="s">
        <v>14485</v>
      </c>
      <c r="D2749" s="25" t="s">
        <v>510</v>
      </c>
    </row>
    <row r="2750" spans="1:4">
      <c r="A2750" s="58">
        <v>45460</v>
      </c>
      <c r="B2750" s="34" t="s">
        <v>14487</v>
      </c>
      <c r="C2750" s="25" t="s">
        <v>14486</v>
      </c>
      <c r="D2750" s="25" t="s">
        <v>164</v>
      </c>
    </row>
    <row r="2751" spans="1:4">
      <c r="A2751" s="58">
        <v>45460</v>
      </c>
      <c r="B2751" s="34" t="s">
        <v>14489</v>
      </c>
      <c r="C2751" s="25" t="s">
        <v>14488</v>
      </c>
      <c r="D2751" s="25" t="s">
        <v>16</v>
      </c>
    </row>
    <row r="2752" spans="1:4">
      <c r="A2752" s="58">
        <v>45460</v>
      </c>
      <c r="B2752" s="34" t="s">
        <v>14491</v>
      </c>
      <c r="C2752" s="25" t="s">
        <v>14490</v>
      </c>
      <c r="D2752" s="25" t="s">
        <v>510</v>
      </c>
    </row>
    <row r="2753" spans="1:4">
      <c r="A2753" s="58">
        <v>45461</v>
      </c>
      <c r="B2753" s="34" t="s">
        <v>14493</v>
      </c>
      <c r="C2753" s="25" t="s">
        <v>14492</v>
      </c>
      <c r="D2753" s="25" t="s">
        <v>164</v>
      </c>
    </row>
    <row r="2754" spans="1:4">
      <c r="A2754" s="58">
        <v>45461</v>
      </c>
      <c r="B2754" s="34" t="s">
        <v>14495</v>
      </c>
      <c r="C2754" s="25" t="s">
        <v>14494</v>
      </c>
      <c r="D2754" s="25" t="s">
        <v>8</v>
      </c>
    </row>
    <row r="2755" spans="1:4">
      <c r="A2755" s="58">
        <v>45442</v>
      </c>
      <c r="B2755" s="34" t="s">
        <v>14497</v>
      </c>
      <c r="C2755" s="25" t="s">
        <v>14496</v>
      </c>
      <c r="D2755" s="25" t="s">
        <v>19</v>
      </c>
    </row>
    <row r="2756" spans="1:4">
      <c r="A2756" s="58">
        <v>45462</v>
      </c>
      <c r="B2756" s="34" t="s">
        <v>14499</v>
      </c>
      <c r="C2756" s="25" t="s">
        <v>14498</v>
      </c>
      <c r="D2756" s="25" t="s">
        <v>5</v>
      </c>
    </row>
    <row r="2757" spans="1:4">
      <c r="A2757" s="58">
        <v>45462</v>
      </c>
      <c r="B2757" s="34" t="s">
        <v>14501</v>
      </c>
      <c r="C2757" s="25" t="s">
        <v>14500</v>
      </c>
      <c r="D2757" s="25" t="s">
        <v>5</v>
      </c>
    </row>
    <row r="2758" spans="1:4">
      <c r="A2758" s="58">
        <v>45462</v>
      </c>
      <c r="B2758" s="34" t="s">
        <v>14503</v>
      </c>
      <c r="C2758" s="25" t="s">
        <v>14502</v>
      </c>
      <c r="D2758" s="25" t="s">
        <v>216</v>
      </c>
    </row>
    <row r="2759" spans="1:4">
      <c r="A2759" s="58">
        <v>45462</v>
      </c>
      <c r="B2759" s="34" t="s">
        <v>14505</v>
      </c>
      <c r="C2759" s="25" t="s">
        <v>14504</v>
      </c>
      <c r="D2759" s="25" t="s">
        <v>216</v>
      </c>
    </row>
    <row r="2760" spans="1:4">
      <c r="A2760" s="32">
        <v>45369</v>
      </c>
      <c r="B2760" s="42" t="s">
        <v>14507</v>
      </c>
      <c r="C2760" s="42" t="s">
        <v>14506</v>
      </c>
      <c r="D2760" s="42" t="s">
        <v>16</v>
      </c>
    </row>
    <row r="2761" spans="1:4">
      <c r="A2761" s="58">
        <v>45462</v>
      </c>
      <c r="B2761" s="34" t="s">
        <v>14509</v>
      </c>
      <c r="C2761" s="25" t="s">
        <v>14508</v>
      </c>
      <c r="D2761" s="25" t="s">
        <v>216</v>
      </c>
    </row>
    <row r="2762" spans="1:4">
      <c r="A2762" s="58">
        <v>45462</v>
      </c>
      <c r="B2762" s="34" t="s">
        <v>14511</v>
      </c>
      <c r="C2762" s="25" t="s">
        <v>14510</v>
      </c>
      <c r="D2762" s="25" t="s">
        <v>11</v>
      </c>
    </row>
    <row r="2763" spans="1:4">
      <c r="A2763" s="58">
        <v>45462</v>
      </c>
      <c r="B2763" s="34" t="s">
        <v>14512</v>
      </c>
      <c r="C2763" s="25" t="s">
        <v>14510</v>
      </c>
      <c r="D2763" s="25" t="s">
        <v>11</v>
      </c>
    </row>
    <row r="2764" spans="1:4">
      <c r="A2764" s="58">
        <v>45463</v>
      </c>
      <c r="B2764" s="34" t="s">
        <v>14513</v>
      </c>
      <c r="C2764" s="25" t="s">
        <v>11510</v>
      </c>
      <c r="D2764" s="25" t="s">
        <v>5</v>
      </c>
    </row>
    <row r="2765" spans="1:4">
      <c r="A2765" s="61">
        <v>45363</v>
      </c>
      <c r="B2765" s="36" t="s">
        <v>14515</v>
      </c>
      <c r="C2765" s="36" t="s">
        <v>14514</v>
      </c>
      <c r="D2765" s="36" t="s">
        <v>16</v>
      </c>
    </row>
    <row r="2766" spans="1:4">
      <c r="A2766" s="58">
        <v>45463</v>
      </c>
      <c r="B2766" s="34" t="s">
        <v>14517</v>
      </c>
      <c r="C2766" s="25" t="s">
        <v>14516</v>
      </c>
      <c r="D2766" s="25" t="s">
        <v>109</v>
      </c>
    </row>
    <row r="2767" spans="1:4">
      <c r="A2767" s="32">
        <v>45377</v>
      </c>
      <c r="B2767" s="19" t="s">
        <v>14519</v>
      </c>
      <c r="C2767" s="19" t="s">
        <v>14518</v>
      </c>
      <c r="D2767" s="19" t="s">
        <v>16</v>
      </c>
    </row>
    <row r="2768" spans="1:4">
      <c r="A2768" s="58">
        <v>45463</v>
      </c>
      <c r="B2768" s="34" t="s">
        <v>14520</v>
      </c>
      <c r="C2768" s="25" t="s">
        <v>11190</v>
      </c>
      <c r="D2768" s="25" t="s">
        <v>216</v>
      </c>
    </row>
    <row r="2769" spans="1:4">
      <c r="A2769" s="58">
        <v>45445</v>
      </c>
      <c r="B2769" s="34" t="s">
        <v>14522</v>
      </c>
      <c r="C2769" s="25" t="s">
        <v>14521</v>
      </c>
      <c r="D2769" s="25" t="s">
        <v>16</v>
      </c>
    </row>
    <row r="2770" spans="1:4">
      <c r="A2770" s="58">
        <v>45463</v>
      </c>
      <c r="B2770" s="34" t="s">
        <v>14524</v>
      </c>
      <c r="C2770" s="25" t="s">
        <v>14523</v>
      </c>
      <c r="D2770" s="25" t="s">
        <v>216</v>
      </c>
    </row>
    <row r="2771" spans="1:4">
      <c r="A2771" s="58">
        <v>45442</v>
      </c>
      <c r="B2771" s="34" t="s">
        <v>14526</v>
      </c>
      <c r="C2771" s="25" t="s">
        <v>14525</v>
      </c>
      <c r="D2771" s="25" t="s">
        <v>16</v>
      </c>
    </row>
    <row r="2772" spans="1:4">
      <c r="A2772" s="58">
        <v>45467</v>
      </c>
      <c r="B2772" s="34" t="s">
        <v>14528</v>
      </c>
      <c r="C2772" s="25" t="s">
        <v>14527</v>
      </c>
      <c r="D2772" s="25" t="s">
        <v>109</v>
      </c>
    </row>
    <row r="2773" spans="1:4">
      <c r="A2773" s="58">
        <v>45467</v>
      </c>
      <c r="B2773" s="34" t="s">
        <v>14530</v>
      </c>
      <c r="C2773" s="25" t="s">
        <v>14529</v>
      </c>
      <c r="D2773" s="25" t="s">
        <v>345</v>
      </c>
    </row>
    <row r="2774" spans="1:4">
      <c r="A2774" s="58">
        <v>45467</v>
      </c>
      <c r="B2774" s="34" t="s">
        <v>14531</v>
      </c>
      <c r="C2774" s="25" t="s">
        <v>14529</v>
      </c>
      <c r="D2774" s="25" t="s">
        <v>345</v>
      </c>
    </row>
    <row r="2775" spans="1:4">
      <c r="A2775" s="58">
        <v>45468</v>
      </c>
      <c r="B2775" s="34" t="s">
        <v>14533</v>
      </c>
      <c r="C2775" s="25" t="s">
        <v>14532</v>
      </c>
      <c r="D2775" s="25" t="s">
        <v>5</v>
      </c>
    </row>
    <row r="2776" spans="1:4">
      <c r="A2776" s="58">
        <v>45468</v>
      </c>
      <c r="B2776" s="34" t="s">
        <v>14535</v>
      </c>
      <c r="C2776" s="25" t="s">
        <v>14534</v>
      </c>
      <c r="D2776" s="25" t="s">
        <v>5</v>
      </c>
    </row>
    <row r="2777" spans="1:4">
      <c r="A2777" s="58">
        <v>45468</v>
      </c>
      <c r="B2777" s="34" t="s">
        <v>14537</v>
      </c>
      <c r="C2777" s="25" t="s">
        <v>14536</v>
      </c>
      <c r="D2777" s="25" t="s">
        <v>16</v>
      </c>
    </row>
    <row r="2778" spans="1:4">
      <c r="A2778" s="58">
        <v>45469</v>
      </c>
      <c r="B2778" s="34" t="s">
        <v>14539</v>
      </c>
      <c r="C2778" s="25" t="s">
        <v>14538</v>
      </c>
      <c r="D2778" s="25" t="s">
        <v>109</v>
      </c>
    </row>
    <row r="2779" spans="1:4">
      <c r="A2779" s="58">
        <v>45469</v>
      </c>
      <c r="B2779" s="34" t="s">
        <v>14541</v>
      </c>
      <c r="C2779" s="25" t="s">
        <v>14540</v>
      </c>
      <c r="D2779" s="25" t="s">
        <v>29</v>
      </c>
    </row>
    <row r="2780" spans="1:4">
      <c r="A2780" s="58">
        <v>45469</v>
      </c>
      <c r="B2780" s="34" t="s">
        <v>14543</v>
      </c>
      <c r="C2780" s="25" t="s">
        <v>14542</v>
      </c>
      <c r="D2780" s="25" t="s">
        <v>74</v>
      </c>
    </row>
    <row r="2781" spans="1:4">
      <c r="A2781" s="58">
        <v>45469</v>
      </c>
      <c r="B2781" s="34" t="s">
        <v>14545</v>
      </c>
      <c r="C2781" s="25" t="s">
        <v>14544</v>
      </c>
      <c r="D2781" s="25" t="s">
        <v>29</v>
      </c>
    </row>
    <row r="2782" spans="1:4">
      <c r="A2782" s="58">
        <v>45470</v>
      </c>
      <c r="B2782" s="34" t="s">
        <v>14547</v>
      </c>
      <c r="C2782" s="25" t="s">
        <v>14546</v>
      </c>
      <c r="D2782" s="25" t="s">
        <v>74</v>
      </c>
    </row>
    <row r="2783" spans="1:4">
      <c r="A2783" s="58">
        <v>45470</v>
      </c>
      <c r="B2783" s="34" t="s">
        <v>14549</v>
      </c>
      <c r="C2783" s="25" t="s">
        <v>14548</v>
      </c>
      <c r="D2783" s="25" t="s">
        <v>74</v>
      </c>
    </row>
    <row r="2784" spans="1:4">
      <c r="A2784" s="58">
        <v>45470</v>
      </c>
      <c r="B2784" s="34" t="s">
        <v>14551</v>
      </c>
      <c r="C2784" s="25" t="s">
        <v>14550</v>
      </c>
      <c r="D2784" s="25" t="s">
        <v>74</v>
      </c>
    </row>
    <row r="2785" spans="1:4">
      <c r="A2785" s="58">
        <v>45470</v>
      </c>
      <c r="B2785" s="34" t="s">
        <v>14553</v>
      </c>
      <c r="C2785" s="25" t="s">
        <v>14552</v>
      </c>
      <c r="D2785" s="25" t="s">
        <v>74</v>
      </c>
    </row>
    <row r="2786" spans="1:4">
      <c r="A2786" s="58">
        <v>45470</v>
      </c>
      <c r="B2786" s="34" t="s">
        <v>14555</v>
      </c>
      <c r="C2786" s="25" t="s">
        <v>14554</v>
      </c>
      <c r="D2786" s="25" t="s">
        <v>74</v>
      </c>
    </row>
    <row r="2787" spans="1:4">
      <c r="A2787" s="58">
        <v>45470</v>
      </c>
      <c r="B2787" s="34" t="s">
        <v>14557</v>
      </c>
      <c r="C2787" s="25" t="s">
        <v>14556</v>
      </c>
      <c r="D2787" s="25" t="s">
        <v>74</v>
      </c>
    </row>
    <row r="2788" spans="1:4">
      <c r="A2788" s="58">
        <v>45471</v>
      </c>
      <c r="B2788" s="34" t="s">
        <v>14559</v>
      </c>
      <c r="C2788" s="25" t="s">
        <v>14558</v>
      </c>
      <c r="D2788" s="25" t="s">
        <v>345</v>
      </c>
    </row>
    <row r="2789" spans="1:4">
      <c r="A2789" s="58">
        <v>45472</v>
      </c>
      <c r="B2789" s="34" t="s">
        <v>14561</v>
      </c>
      <c r="C2789" s="25" t="s">
        <v>14560</v>
      </c>
      <c r="D2789" s="25" t="s">
        <v>29</v>
      </c>
    </row>
    <row r="2790" spans="1:4">
      <c r="A2790" s="58">
        <v>45472</v>
      </c>
      <c r="B2790" s="34" t="s">
        <v>14563</v>
      </c>
      <c r="C2790" s="25" t="s">
        <v>14562</v>
      </c>
      <c r="D2790" s="25" t="s">
        <v>5</v>
      </c>
    </row>
    <row r="2791" spans="1:4">
      <c r="A2791" s="58">
        <v>45472</v>
      </c>
      <c r="B2791" s="34" t="s">
        <v>14564</v>
      </c>
      <c r="C2791" s="25" t="s">
        <v>14259</v>
      </c>
      <c r="D2791" s="25" t="s">
        <v>5</v>
      </c>
    </row>
    <row r="2792" spans="1:4">
      <c r="A2792" s="58">
        <v>45472</v>
      </c>
      <c r="B2792" s="34" t="s">
        <v>14566</v>
      </c>
      <c r="C2792" s="25" t="s">
        <v>14565</v>
      </c>
      <c r="D2792" s="25" t="s">
        <v>29</v>
      </c>
    </row>
    <row r="2793" spans="1:4">
      <c r="A2793" s="58">
        <v>45472</v>
      </c>
      <c r="B2793" s="34" t="s">
        <v>14567</v>
      </c>
      <c r="C2793" s="25" t="s">
        <v>14259</v>
      </c>
      <c r="D2793" s="25" t="s">
        <v>5</v>
      </c>
    </row>
    <row r="2794" spans="1:4">
      <c r="A2794" s="58">
        <v>45473</v>
      </c>
      <c r="B2794" s="34" t="s">
        <v>14569</v>
      </c>
      <c r="C2794" s="25" t="s">
        <v>14568</v>
      </c>
      <c r="D2794" s="25" t="s">
        <v>5</v>
      </c>
    </row>
    <row r="2795" spans="1:4">
      <c r="A2795" s="58">
        <v>45470</v>
      </c>
      <c r="B2795" s="34" t="s">
        <v>14571</v>
      </c>
      <c r="C2795" s="25" t="s">
        <v>14570</v>
      </c>
      <c r="D2795" s="25" t="s">
        <v>164</v>
      </c>
    </row>
    <row r="2796" spans="1:4">
      <c r="A2796" s="58">
        <v>45472</v>
      </c>
      <c r="B2796" s="34" t="s">
        <v>14573</v>
      </c>
      <c r="C2796" s="25" t="s">
        <v>14572</v>
      </c>
      <c r="D2796" s="25" t="s">
        <v>8</v>
      </c>
    </row>
    <row r="2797" spans="1:4">
      <c r="A2797" s="58">
        <v>45468</v>
      </c>
      <c r="B2797" s="34" t="s">
        <v>14575</v>
      </c>
      <c r="C2797" s="25" t="s">
        <v>14574</v>
      </c>
      <c r="D2797" s="25" t="s">
        <v>29</v>
      </c>
    </row>
    <row r="2798" spans="1:4">
      <c r="A2798" s="58">
        <v>45469</v>
      </c>
      <c r="B2798" s="34" t="s">
        <v>14577</v>
      </c>
      <c r="C2798" s="25" t="s">
        <v>14576</v>
      </c>
      <c r="D2798" s="25" t="s">
        <v>5</v>
      </c>
    </row>
    <row r="2799" spans="1:4">
      <c r="A2799" s="58">
        <v>45471</v>
      </c>
      <c r="B2799" s="34" t="s">
        <v>14579</v>
      </c>
      <c r="C2799" s="25" t="s">
        <v>14578</v>
      </c>
      <c r="D2799" s="25" t="s">
        <v>109</v>
      </c>
    </row>
    <row r="2800" spans="1:4">
      <c r="A2800" s="58">
        <v>45467</v>
      </c>
      <c r="B2800" s="34" t="s">
        <v>14581</v>
      </c>
      <c r="C2800" s="25" t="s">
        <v>14580</v>
      </c>
      <c r="D2800" s="25" t="s">
        <v>74</v>
      </c>
    </row>
    <row r="2801" spans="1:4">
      <c r="A2801" s="58">
        <v>45467</v>
      </c>
      <c r="B2801" s="34" t="s">
        <v>14583</v>
      </c>
      <c r="C2801" s="25" t="s">
        <v>14582</v>
      </c>
      <c r="D2801" s="25" t="s">
        <v>594</v>
      </c>
    </row>
    <row r="2802" spans="1:4">
      <c r="A2802" s="58">
        <v>45467</v>
      </c>
      <c r="B2802" s="34" t="s">
        <v>14585</v>
      </c>
      <c r="C2802" s="25" t="s">
        <v>14584</v>
      </c>
      <c r="D2802" s="25" t="s">
        <v>29</v>
      </c>
    </row>
    <row r="2803" spans="1:4">
      <c r="A2803" s="58">
        <v>45468</v>
      </c>
      <c r="B2803" s="34" t="s">
        <v>14587</v>
      </c>
      <c r="C2803" s="25" t="s">
        <v>14586</v>
      </c>
      <c r="D2803" s="25" t="s">
        <v>14368</v>
      </c>
    </row>
    <row r="2804" spans="1:4">
      <c r="A2804" s="58">
        <v>45468</v>
      </c>
      <c r="B2804" s="34" t="s">
        <v>14589</v>
      </c>
      <c r="C2804" s="25" t="s">
        <v>14588</v>
      </c>
      <c r="D2804" s="25" t="s">
        <v>109</v>
      </c>
    </row>
    <row r="2805" spans="1:4">
      <c r="A2805" s="58">
        <v>45468</v>
      </c>
      <c r="B2805" s="34" t="s">
        <v>14591</v>
      </c>
      <c r="C2805" s="25" t="s">
        <v>14590</v>
      </c>
      <c r="D2805" s="25" t="s">
        <v>109</v>
      </c>
    </row>
    <row r="2806" spans="1:4">
      <c r="A2806" s="58">
        <v>45468</v>
      </c>
      <c r="B2806" s="34" t="s">
        <v>14593</v>
      </c>
      <c r="C2806" s="25" t="s">
        <v>14592</v>
      </c>
      <c r="D2806" s="25" t="s">
        <v>345</v>
      </c>
    </row>
    <row r="2807" spans="1:4">
      <c r="A2807" s="58">
        <v>45468</v>
      </c>
      <c r="B2807" s="34" t="s">
        <v>14595</v>
      </c>
      <c r="C2807" s="25" t="s">
        <v>14594</v>
      </c>
      <c r="D2807" s="25" t="s">
        <v>74</v>
      </c>
    </row>
    <row r="2808" spans="1:4">
      <c r="A2808" s="58">
        <v>45468</v>
      </c>
      <c r="B2808" s="34" t="s">
        <v>14597</v>
      </c>
      <c r="C2808" s="25" t="s">
        <v>14596</v>
      </c>
      <c r="D2808" s="25" t="s">
        <v>29</v>
      </c>
    </row>
    <row r="2809" spans="1:4">
      <c r="A2809" s="58">
        <v>45468</v>
      </c>
      <c r="B2809" s="34" t="s">
        <v>14599</v>
      </c>
      <c r="C2809" s="25" t="s">
        <v>14598</v>
      </c>
      <c r="D2809" s="25" t="s">
        <v>345</v>
      </c>
    </row>
    <row r="2810" spans="1:4">
      <c r="A2810" s="58">
        <v>45467</v>
      </c>
      <c r="B2810" s="34" t="s">
        <v>14601</v>
      </c>
      <c r="C2810" s="25" t="s">
        <v>14600</v>
      </c>
      <c r="D2810" s="25" t="s">
        <v>109</v>
      </c>
    </row>
    <row r="2811" spans="1:4">
      <c r="A2811" s="58">
        <v>45467</v>
      </c>
      <c r="B2811" s="34" t="s">
        <v>14603</v>
      </c>
      <c r="C2811" s="25" t="s">
        <v>14602</v>
      </c>
      <c r="D2811" s="25" t="s">
        <v>109</v>
      </c>
    </row>
    <row r="2812" spans="1:4">
      <c r="A2812" s="58">
        <v>45467</v>
      </c>
      <c r="B2812" s="34" t="s">
        <v>14605</v>
      </c>
      <c r="C2812" s="25" t="s">
        <v>14604</v>
      </c>
      <c r="D2812" s="25" t="s">
        <v>74</v>
      </c>
    </row>
    <row r="2813" spans="1:4">
      <c r="A2813" s="58">
        <v>45467</v>
      </c>
      <c r="B2813" s="34" t="s">
        <v>14607</v>
      </c>
      <c r="C2813" s="25" t="s">
        <v>14606</v>
      </c>
      <c r="D2813" s="25" t="s">
        <v>109</v>
      </c>
    </row>
    <row r="2814" spans="1:4">
      <c r="A2814" s="58">
        <v>45467</v>
      </c>
      <c r="B2814" s="34" t="s">
        <v>14609</v>
      </c>
      <c r="C2814" s="25" t="s">
        <v>14608</v>
      </c>
      <c r="D2814" s="25" t="s">
        <v>24</v>
      </c>
    </row>
    <row r="2815" spans="1:4">
      <c r="A2815" s="58">
        <v>45467</v>
      </c>
      <c r="B2815" s="34" t="s">
        <v>14611</v>
      </c>
      <c r="C2815" s="25" t="s">
        <v>14610</v>
      </c>
      <c r="D2815" s="25" t="s">
        <v>8</v>
      </c>
    </row>
    <row r="2816" spans="1:4">
      <c r="A2816" s="58">
        <v>45467</v>
      </c>
      <c r="B2816" s="34" t="s">
        <v>14613</v>
      </c>
      <c r="C2816" s="25" t="s">
        <v>14612</v>
      </c>
      <c r="D2816" s="25" t="s">
        <v>74</v>
      </c>
    </row>
    <row r="2817" spans="1:4">
      <c r="A2817" s="58">
        <v>45468</v>
      </c>
      <c r="B2817" s="34" t="s">
        <v>14615</v>
      </c>
      <c r="C2817" s="25" t="s">
        <v>14614</v>
      </c>
      <c r="D2817" s="25" t="s">
        <v>29</v>
      </c>
    </row>
    <row r="2818" spans="1:4">
      <c r="A2818" s="58">
        <v>45468</v>
      </c>
      <c r="B2818" s="34" t="s">
        <v>14617</v>
      </c>
      <c r="C2818" s="25" t="s">
        <v>14616</v>
      </c>
      <c r="D2818" s="25" t="s">
        <v>29</v>
      </c>
    </row>
    <row r="2819" spans="1:4">
      <c r="A2819" s="58">
        <v>45468</v>
      </c>
      <c r="B2819" s="34" t="s">
        <v>14619</v>
      </c>
      <c r="C2819" s="25" t="s">
        <v>14618</v>
      </c>
      <c r="D2819" s="25" t="s">
        <v>74</v>
      </c>
    </row>
    <row r="2820" spans="1:4">
      <c r="A2820" s="58">
        <v>45467</v>
      </c>
      <c r="B2820" s="34" t="s">
        <v>14621</v>
      </c>
      <c r="C2820" s="25" t="s">
        <v>14620</v>
      </c>
      <c r="D2820" s="25" t="s">
        <v>8</v>
      </c>
    </row>
    <row r="2821" spans="1:4">
      <c r="A2821" s="58">
        <v>45468</v>
      </c>
      <c r="B2821" s="34" t="s">
        <v>14623</v>
      </c>
      <c r="C2821" s="25" t="s">
        <v>14622</v>
      </c>
      <c r="D2821" s="25" t="s">
        <v>74</v>
      </c>
    </row>
    <row r="2822" spans="1:4">
      <c r="A2822" s="58">
        <v>45468</v>
      </c>
      <c r="B2822" s="34" t="s">
        <v>14625</v>
      </c>
      <c r="C2822" s="25" t="s">
        <v>14624</v>
      </c>
      <c r="D2822" s="25" t="s">
        <v>24</v>
      </c>
    </row>
    <row r="2823" spans="1:4">
      <c r="A2823" s="58">
        <v>45468</v>
      </c>
      <c r="B2823" s="34" t="s">
        <v>14627</v>
      </c>
      <c r="C2823" s="25" t="s">
        <v>14626</v>
      </c>
      <c r="D2823" s="25" t="s">
        <v>5</v>
      </c>
    </row>
    <row r="2824" spans="1:4">
      <c r="A2824" s="58">
        <v>45469</v>
      </c>
      <c r="B2824" s="34" t="s">
        <v>10969</v>
      </c>
      <c r="C2824" s="25" t="s">
        <v>14628</v>
      </c>
      <c r="D2824" s="25" t="s">
        <v>11</v>
      </c>
    </row>
    <row r="2825" spans="1:4">
      <c r="A2825" s="58">
        <v>45469</v>
      </c>
      <c r="B2825" s="34" t="s">
        <v>14630</v>
      </c>
      <c r="C2825" s="25" t="s">
        <v>14629</v>
      </c>
      <c r="D2825" s="25" t="s">
        <v>24</v>
      </c>
    </row>
    <row r="2826" spans="1:4">
      <c r="A2826" s="58">
        <v>45469</v>
      </c>
      <c r="B2826" s="34" t="s">
        <v>14632</v>
      </c>
      <c r="C2826" s="25" t="s">
        <v>14631</v>
      </c>
      <c r="D2826" s="25" t="s">
        <v>594</v>
      </c>
    </row>
    <row r="2827" spans="1:4">
      <c r="A2827" s="58">
        <v>45469</v>
      </c>
      <c r="B2827" s="34" t="s">
        <v>14634</v>
      </c>
      <c r="C2827" s="25" t="s">
        <v>14633</v>
      </c>
      <c r="D2827" s="25" t="s">
        <v>11</v>
      </c>
    </row>
    <row r="2828" spans="1:4">
      <c r="A2828" s="58">
        <v>45470</v>
      </c>
      <c r="B2828" s="34" t="s">
        <v>10969</v>
      </c>
      <c r="C2828" s="25" t="s">
        <v>14635</v>
      </c>
      <c r="D2828" s="25" t="s">
        <v>24</v>
      </c>
    </row>
    <row r="2829" spans="1:4">
      <c r="A2829" s="58">
        <v>45470</v>
      </c>
      <c r="B2829" s="34" t="s">
        <v>14637</v>
      </c>
      <c r="C2829" s="25" t="s">
        <v>14636</v>
      </c>
      <c r="D2829" s="25" t="s">
        <v>24</v>
      </c>
    </row>
    <row r="2830" spans="1:4">
      <c r="A2830" s="58">
        <v>45471</v>
      </c>
      <c r="B2830" s="34" t="s">
        <v>14639</v>
      </c>
      <c r="C2830" s="25" t="s">
        <v>14638</v>
      </c>
      <c r="D2830" s="25" t="s">
        <v>5</v>
      </c>
    </row>
    <row r="2831" spans="1:4">
      <c r="A2831" s="58">
        <v>45471</v>
      </c>
      <c r="B2831" s="34" t="s">
        <v>14641</v>
      </c>
      <c r="C2831" s="25" t="s">
        <v>14640</v>
      </c>
      <c r="D2831" s="25" t="s">
        <v>29</v>
      </c>
    </row>
    <row r="2832" spans="1:4">
      <c r="A2832" s="58">
        <v>45471</v>
      </c>
      <c r="B2832" s="34" t="s">
        <v>14643</v>
      </c>
      <c r="C2832" s="25" t="s">
        <v>14642</v>
      </c>
      <c r="D2832" s="25" t="s">
        <v>24</v>
      </c>
    </row>
    <row r="2833" spans="1:4">
      <c r="A2833" s="58">
        <v>45467</v>
      </c>
      <c r="B2833" s="34" t="s">
        <v>14645</v>
      </c>
      <c r="C2833" s="25" t="s">
        <v>14644</v>
      </c>
      <c r="D2833" s="25" t="s">
        <v>109</v>
      </c>
    </row>
    <row r="2834" spans="1:4">
      <c r="A2834" s="58">
        <v>45467</v>
      </c>
      <c r="B2834" s="34" t="s">
        <v>14646</v>
      </c>
      <c r="C2834" s="25" t="s">
        <v>11796</v>
      </c>
      <c r="D2834" s="25" t="s">
        <v>19</v>
      </c>
    </row>
    <row r="2835" spans="1:4">
      <c r="A2835" s="58">
        <v>45467</v>
      </c>
      <c r="B2835" s="34" t="s">
        <v>14648</v>
      </c>
      <c r="C2835" s="25" t="s">
        <v>14647</v>
      </c>
      <c r="D2835" s="25" t="s">
        <v>109</v>
      </c>
    </row>
    <row r="2836" spans="1:4">
      <c r="A2836" s="58">
        <v>45467</v>
      </c>
      <c r="B2836" s="34" t="s">
        <v>14650</v>
      </c>
      <c r="C2836" s="25" t="s">
        <v>14649</v>
      </c>
      <c r="D2836" s="25" t="s">
        <v>29</v>
      </c>
    </row>
    <row r="2837" spans="1:4">
      <c r="A2837" s="58">
        <v>45469</v>
      </c>
      <c r="B2837" s="34" t="s">
        <v>14652</v>
      </c>
      <c r="C2837" s="25" t="s">
        <v>14651</v>
      </c>
      <c r="D2837" s="25" t="s">
        <v>5</v>
      </c>
    </row>
    <row r="2838" spans="1:4">
      <c r="A2838" s="58">
        <v>45469</v>
      </c>
      <c r="B2838" s="34" t="s">
        <v>14654</v>
      </c>
      <c r="C2838" s="25" t="s">
        <v>14653</v>
      </c>
      <c r="D2838" s="25" t="s">
        <v>11</v>
      </c>
    </row>
    <row r="2839" spans="1:4">
      <c r="A2839" s="58">
        <v>45470</v>
      </c>
      <c r="B2839" s="34" t="s">
        <v>14656</v>
      </c>
      <c r="C2839" s="25" t="s">
        <v>14655</v>
      </c>
      <c r="D2839" s="25" t="s">
        <v>24</v>
      </c>
    </row>
    <row r="2840" spans="1:4">
      <c r="A2840" s="58">
        <v>45470</v>
      </c>
      <c r="B2840" s="34" t="s">
        <v>14658</v>
      </c>
      <c r="C2840" s="25" t="s">
        <v>14657</v>
      </c>
      <c r="D2840" s="25" t="s">
        <v>74</v>
      </c>
    </row>
    <row r="2841" spans="1:4">
      <c r="A2841" s="58">
        <v>45470</v>
      </c>
      <c r="B2841" s="34" t="s">
        <v>10969</v>
      </c>
      <c r="C2841" s="25" t="s">
        <v>14659</v>
      </c>
      <c r="D2841" s="25" t="s">
        <v>19</v>
      </c>
    </row>
    <row r="2842" spans="1:4">
      <c r="A2842" s="58">
        <v>45470</v>
      </c>
      <c r="B2842" s="34" t="s">
        <v>14661</v>
      </c>
      <c r="C2842" s="25" t="s">
        <v>14660</v>
      </c>
      <c r="D2842" s="25" t="s">
        <v>74</v>
      </c>
    </row>
    <row r="2843" spans="1:4">
      <c r="A2843" s="58">
        <v>45470</v>
      </c>
      <c r="B2843" s="34" t="s">
        <v>10969</v>
      </c>
      <c r="C2843" s="25" t="s">
        <v>14662</v>
      </c>
      <c r="D2843" s="25" t="s">
        <v>109</v>
      </c>
    </row>
    <row r="2844" spans="1:4">
      <c r="A2844" s="58">
        <v>45470</v>
      </c>
      <c r="B2844" s="34" t="s">
        <v>11384</v>
      </c>
      <c r="C2844" s="25" t="s">
        <v>14663</v>
      </c>
      <c r="D2844" s="25" t="s">
        <v>5</v>
      </c>
    </row>
    <row r="2845" spans="1:4">
      <c r="A2845" s="58">
        <v>45470</v>
      </c>
      <c r="B2845" s="34" t="s">
        <v>10969</v>
      </c>
      <c r="C2845" s="25" t="s">
        <v>14664</v>
      </c>
      <c r="D2845" s="25" t="s">
        <v>5</v>
      </c>
    </row>
    <row r="2846" spans="1:4">
      <c r="A2846" s="58">
        <v>45470</v>
      </c>
      <c r="B2846" s="34" t="s">
        <v>11419</v>
      </c>
      <c r="C2846" s="25" t="s">
        <v>9450</v>
      </c>
      <c r="D2846" s="25" t="s">
        <v>5</v>
      </c>
    </row>
    <row r="2847" spans="1:4">
      <c r="A2847" s="58">
        <v>45470</v>
      </c>
      <c r="B2847" s="34" t="s">
        <v>10969</v>
      </c>
      <c r="C2847" s="25" t="s">
        <v>14659</v>
      </c>
      <c r="D2847" s="25" t="s">
        <v>19</v>
      </c>
    </row>
    <row r="2848" spans="1:4">
      <c r="A2848" s="58">
        <v>45470</v>
      </c>
      <c r="B2848" s="34" t="s">
        <v>10969</v>
      </c>
      <c r="C2848" s="25" t="s">
        <v>14665</v>
      </c>
      <c r="D2848" s="25" t="s">
        <v>109</v>
      </c>
    </row>
    <row r="2849" spans="1:4">
      <c r="A2849" s="58">
        <v>45471</v>
      </c>
      <c r="B2849" s="34" t="s">
        <v>14667</v>
      </c>
      <c r="C2849" s="25" t="s">
        <v>14666</v>
      </c>
      <c r="D2849" s="25" t="s">
        <v>29</v>
      </c>
    </row>
    <row r="2850" spans="1:4">
      <c r="A2850" s="58">
        <v>45471</v>
      </c>
      <c r="B2850" s="34" t="s">
        <v>14669</v>
      </c>
      <c r="C2850" s="25" t="s">
        <v>14668</v>
      </c>
      <c r="D2850" s="25" t="s">
        <v>11</v>
      </c>
    </row>
    <row r="2851" spans="1:4">
      <c r="A2851" s="58">
        <v>45471</v>
      </c>
      <c r="B2851" s="34" t="s">
        <v>14671</v>
      </c>
      <c r="C2851" s="25" t="s">
        <v>14670</v>
      </c>
      <c r="D2851" s="25" t="s">
        <v>29</v>
      </c>
    </row>
    <row r="2852" spans="1:4">
      <c r="A2852" s="58">
        <v>45471</v>
      </c>
      <c r="B2852" s="34" t="s">
        <v>14673</v>
      </c>
      <c r="C2852" s="25" t="s">
        <v>14672</v>
      </c>
      <c r="D2852" s="25" t="s">
        <v>5</v>
      </c>
    </row>
    <row r="2853" spans="1:4">
      <c r="A2853" s="58">
        <v>45471</v>
      </c>
      <c r="B2853" s="34" t="s">
        <v>14675</v>
      </c>
      <c r="C2853" s="25" t="s">
        <v>14674</v>
      </c>
      <c r="D2853" s="25" t="s">
        <v>5</v>
      </c>
    </row>
    <row r="2854" spans="1:4">
      <c r="A2854" s="58">
        <v>45471</v>
      </c>
      <c r="B2854" s="34" t="s">
        <v>14677</v>
      </c>
      <c r="C2854" s="25" t="s">
        <v>14676</v>
      </c>
      <c r="D2854" s="25" t="s">
        <v>5</v>
      </c>
    </row>
    <row r="2855" spans="1:4">
      <c r="A2855" s="58">
        <v>45471</v>
      </c>
      <c r="B2855" s="34" t="s">
        <v>14679</v>
      </c>
      <c r="C2855" s="25" t="s">
        <v>14678</v>
      </c>
      <c r="D2855" s="25" t="s">
        <v>216</v>
      </c>
    </row>
    <row r="2856" spans="1:4">
      <c r="A2856" s="58">
        <v>45471</v>
      </c>
      <c r="B2856" s="34" t="s">
        <v>14681</v>
      </c>
      <c r="C2856" s="25" t="s">
        <v>14680</v>
      </c>
      <c r="D2856" s="25" t="s">
        <v>5</v>
      </c>
    </row>
    <row r="2857" spans="1:4">
      <c r="A2857" s="58">
        <v>45471</v>
      </c>
      <c r="B2857" s="34" t="s">
        <v>14683</v>
      </c>
      <c r="C2857" s="25" t="s">
        <v>14682</v>
      </c>
      <c r="D2857" s="25" t="s">
        <v>216</v>
      </c>
    </row>
    <row r="2858" spans="1:4">
      <c r="A2858" s="58">
        <v>45471</v>
      </c>
      <c r="B2858" s="34" t="s">
        <v>14685</v>
      </c>
      <c r="C2858" s="25" t="s">
        <v>14684</v>
      </c>
      <c r="D2858" s="25" t="s">
        <v>34</v>
      </c>
    </row>
    <row r="2859" spans="1:4">
      <c r="A2859" s="58">
        <v>45472</v>
      </c>
      <c r="B2859" s="34" t="s">
        <v>14687</v>
      </c>
      <c r="C2859" s="25" t="s">
        <v>14686</v>
      </c>
      <c r="D2859" s="25" t="s">
        <v>164</v>
      </c>
    </row>
    <row r="2860" spans="1:4">
      <c r="A2860" s="58">
        <v>45472</v>
      </c>
      <c r="B2860" s="34" t="s">
        <v>14689</v>
      </c>
      <c r="C2860" s="25" t="s">
        <v>14688</v>
      </c>
      <c r="D2860" s="25" t="s">
        <v>5</v>
      </c>
    </row>
    <row r="2861" spans="1:4">
      <c r="A2861" s="58">
        <v>45472</v>
      </c>
      <c r="B2861" s="34" t="s">
        <v>14691</v>
      </c>
      <c r="C2861" s="25" t="s">
        <v>14690</v>
      </c>
      <c r="D2861" s="25" t="s">
        <v>5</v>
      </c>
    </row>
    <row r="2862" spans="1:4">
      <c r="A2862" s="58">
        <v>45472</v>
      </c>
      <c r="B2862" s="34" t="s">
        <v>14693</v>
      </c>
      <c r="C2862" s="25" t="s">
        <v>14692</v>
      </c>
      <c r="D2862" s="25" t="s">
        <v>11</v>
      </c>
    </row>
    <row r="2863" spans="1:4">
      <c r="A2863" s="58">
        <v>45472</v>
      </c>
      <c r="B2863" s="34" t="s">
        <v>14695</v>
      </c>
      <c r="C2863" s="25" t="s">
        <v>14694</v>
      </c>
      <c r="D2863" s="25" t="s">
        <v>11</v>
      </c>
    </row>
    <row r="2864" spans="1:4">
      <c r="A2864" s="58">
        <v>45472</v>
      </c>
      <c r="B2864" s="34" t="s">
        <v>14696</v>
      </c>
      <c r="C2864" s="25" t="s">
        <v>14694</v>
      </c>
      <c r="D2864" s="25" t="s">
        <v>11</v>
      </c>
    </row>
    <row r="2865" spans="1:4">
      <c r="A2865" s="58">
        <v>45472</v>
      </c>
      <c r="B2865" s="34" t="s">
        <v>14698</v>
      </c>
      <c r="C2865" s="25" t="s">
        <v>14697</v>
      </c>
      <c r="D2865" s="25" t="s">
        <v>11</v>
      </c>
    </row>
    <row r="2866" spans="1:4">
      <c r="A2866" s="58">
        <v>45472</v>
      </c>
      <c r="B2866" s="34" t="s">
        <v>14700</v>
      </c>
      <c r="C2866" s="25" t="s">
        <v>14699</v>
      </c>
      <c r="D2866" s="25" t="s">
        <v>11</v>
      </c>
    </row>
    <row r="2867" spans="1:4">
      <c r="A2867" s="58">
        <v>45472</v>
      </c>
      <c r="B2867" s="34" t="s">
        <v>14702</v>
      </c>
      <c r="C2867" s="25" t="s">
        <v>14701</v>
      </c>
      <c r="D2867" s="25" t="s">
        <v>11</v>
      </c>
    </row>
    <row r="2868" spans="1:4">
      <c r="A2868" s="58">
        <v>45472</v>
      </c>
      <c r="B2868" s="34" t="s">
        <v>14704</v>
      </c>
      <c r="C2868" s="25" t="s">
        <v>14703</v>
      </c>
      <c r="D2868" s="25" t="s">
        <v>11</v>
      </c>
    </row>
    <row r="2869" spans="1:4">
      <c r="A2869" s="58">
        <v>45474</v>
      </c>
      <c r="B2869" s="34" t="s">
        <v>14706</v>
      </c>
      <c r="C2869" s="25" t="s">
        <v>14705</v>
      </c>
      <c r="D2869" s="25" t="s">
        <v>5</v>
      </c>
    </row>
    <row r="2870" spans="1:4">
      <c r="A2870" s="58">
        <v>45475</v>
      </c>
      <c r="B2870" s="34" t="s">
        <v>14708</v>
      </c>
      <c r="C2870" s="25" t="s">
        <v>14707</v>
      </c>
      <c r="D2870" s="25" t="s">
        <v>216</v>
      </c>
    </row>
    <row r="2871" spans="1:4">
      <c r="A2871" s="58">
        <v>45477</v>
      </c>
      <c r="B2871" s="34" t="s">
        <v>14710</v>
      </c>
      <c r="C2871" s="25" t="s">
        <v>14709</v>
      </c>
      <c r="D2871" s="25" t="s">
        <v>81</v>
      </c>
    </row>
    <row r="2872" spans="1:4">
      <c r="A2872" s="58">
        <v>45477</v>
      </c>
      <c r="B2872" s="34" t="s">
        <v>14712</v>
      </c>
      <c r="C2872" s="25" t="s">
        <v>14711</v>
      </c>
      <c r="D2872" s="25" t="s">
        <v>353</v>
      </c>
    </row>
    <row r="2873" spans="1:4">
      <c r="A2873" s="58">
        <v>45477</v>
      </c>
      <c r="B2873" s="34" t="s">
        <v>14714</v>
      </c>
      <c r="C2873" s="25" t="s">
        <v>14713</v>
      </c>
      <c r="D2873" s="25" t="s">
        <v>81</v>
      </c>
    </row>
    <row r="2874" spans="1:4">
      <c r="A2874" s="58">
        <v>45477</v>
      </c>
      <c r="B2874" s="34" t="s">
        <v>14716</v>
      </c>
      <c r="C2874" s="25" t="s">
        <v>14715</v>
      </c>
      <c r="D2874" s="25" t="s">
        <v>81</v>
      </c>
    </row>
    <row r="2875" spans="1:4">
      <c r="A2875" s="58">
        <v>45478</v>
      </c>
      <c r="B2875" s="34" t="s">
        <v>14718</v>
      </c>
      <c r="C2875" s="25" t="s">
        <v>14717</v>
      </c>
      <c r="D2875" s="25" t="s">
        <v>11</v>
      </c>
    </row>
    <row r="2876" spans="1:4">
      <c r="A2876" s="58">
        <v>45479</v>
      </c>
      <c r="B2876" s="34" t="s">
        <v>14720</v>
      </c>
      <c r="C2876" s="25" t="s">
        <v>14719</v>
      </c>
      <c r="D2876" s="25" t="s">
        <v>29</v>
      </c>
    </row>
    <row r="2877" spans="1:4">
      <c r="A2877" s="58">
        <v>45475</v>
      </c>
      <c r="B2877" s="34" t="s">
        <v>14722</v>
      </c>
      <c r="C2877" s="25" t="s">
        <v>14721</v>
      </c>
      <c r="D2877" s="25" t="s">
        <v>109</v>
      </c>
    </row>
    <row r="2878" spans="1:4">
      <c r="A2878" s="58">
        <v>45475</v>
      </c>
      <c r="B2878" s="34" t="s">
        <v>14724</v>
      </c>
      <c r="C2878" s="25" t="s">
        <v>14723</v>
      </c>
      <c r="D2878" s="25" t="s">
        <v>74</v>
      </c>
    </row>
    <row r="2879" spans="1:4">
      <c r="A2879" s="58">
        <v>45475</v>
      </c>
      <c r="B2879" s="34" t="s">
        <v>14726</v>
      </c>
      <c r="C2879" s="25" t="s">
        <v>14725</v>
      </c>
      <c r="D2879" s="25" t="s">
        <v>74</v>
      </c>
    </row>
    <row r="2880" spans="1:4">
      <c r="A2880" s="58">
        <v>45476</v>
      </c>
      <c r="B2880" s="34" t="s">
        <v>14728</v>
      </c>
      <c r="C2880" s="25" t="s">
        <v>14727</v>
      </c>
      <c r="D2880" s="25" t="s">
        <v>24</v>
      </c>
    </row>
    <row r="2881" spans="1:4">
      <c r="A2881" s="58">
        <v>45476</v>
      </c>
      <c r="B2881" s="34" t="s">
        <v>14730</v>
      </c>
      <c r="C2881" s="25" t="s">
        <v>14729</v>
      </c>
      <c r="D2881" s="25" t="s">
        <v>74</v>
      </c>
    </row>
    <row r="2882" spans="1:4">
      <c r="A2882" s="58">
        <v>45476</v>
      </c>
      <c r="B2882" s="34" t="s">
        <v>14732</v>
      </c>
      <c r="C2882" s="25" t="s">
        <v>14731</v>
      </c>
      <c r="D2882" s="25" t="s">
        <v>74</v>
      </c>
    </row>
    <row r="2883" spans="1:4">
      <c r="A2883" s="58">
        <v>45477</v>
      </c>
      <c r="B2883" s="34" t="s">
        <v>14734</v>
      </c>
      <c r="C2883" s="25" t="s">
        <v>14733</v>
      </c>
      <c r="D2883" s="25" t="s">
        <v>24</v>
      </c>
    </row>
    <row r="2884" spans="1:4">
      <c r="A2884" s="58">
        <v>45477</v>
      </c>
      <c r="B2884" s="34" t="s">
        <v>14736</v>
      </c>
      <c r="C2884" s="25" t="s">
        <v>14735</v>
      </c>
      <c r="D2884" s="25" t="s">
        <v>141</v>
      </c>
    </row>
    <row r="2885" spans="1:4">
      <c r="A2885" s="58">
        <v>45478</v>
      </c>
      <c r="B2885" s="34" t="s">
        <v>14738</v>
      </c>
      <c r="C2885" s="25" t="s">
        <v>14737</v>
      </c>
      <c r="D2885" s="25" t="s">
        <v>74</v>
      </c>
    </row>
    <row r="2886" spans="1:4">
      <c r="A2886" s="58">
        <v>45478</v>
      </c>
      <c r="B2886" s="34" t="s">
        <v>14740</v>
      </c>
      <c r="C2886" s="25" t="s">
        <v>14739</v>
      </c>
      <c r="D2886" s="25" t="s">
        <v>164</v>
      </c>
    </row>
    <row r="2887" spans="1:4">
      <c r="A2887" s="58">
        <v>45478</v>
      </c>
      <c r="B2887" s="34" t="s">
        <v>14742</v>
      </c>
      <c r="C2887" s="25" t="s">
        <v>14741</v>
      </c>
      <c r="D2887" s="25" t="s">
        <v>74</v>
      </c>
    </row>
    <row r="2888" spans="1:4">
      <c r="A2888" s="58">
        <v>45478</v>
      </c>
      <c r="B2888" s="34" t="s">
        <v>14744</v>
      </c>
      <c r="C2888" s="25" t="s">
        <v>14743</v>
      </c>
      <c r="D2888" s="25" t="s">
        <v>164</v>
      </c>
    </row>
    <row r="2889" spans="1:4">
      <c r="A2889" s="58">
        <v>45479</v>
      </c>
      <c r="B2889" s="34" t="s">
        <v>14746</v>
      </c>
      <c r="C2889" s="25" t="s">
        <v>14745</v>
      </c>
      <c r="D2889" s="25" t="s">
        <v>74</v>
      </c>
    </row>
    <row r="2890" spans="1:4">
      <c r="A2890" s="58">
        <v>45479</v>
      </c>
      <c r="B2890" s="34" t="s">
        <v>14748</v>
      </c>
      <c r="C2890" s="25" t="s">
        <v>14747</v>
      </c>
      <c r="D2890" s="25" t="s">
        <v>74</v>
      </c>
    </row>
    <row r="2891" spans="1:4">
      <c r="A2891" s="58">
        <v>45474</v>
      </c>
      <c r="B2891" s="34" t="s">
        <v>14749</v>
      </c>
      <c r="C2891" s="25" t="s">
        <v>12652</v>
      </c>
      <c r="D2891" s="25" t="s">
        <v>5</v>
      </c>
    </row>
    <row r="2892" spans="1:4">
      <c r="A2892" s="58">
        <v>45476</v>
      </c>
      <c r="B2892" s="34" t="s">
        <v>14751</v>
      </c>
      <c r="C2892" s="25" t="s">
        <v>14750</v>
      </c>
      <c r="D2892" s="25" t="s">
        <v>510</v>
      </c>
    </row>
    <row r="2893" spans="1:4">
      <c r="A2893" s="58">
        <v>45477</v>
      </c>
      <c r="B2893" s="34" t="s">
        <v>14753</v>
      </c>
      <c r="C2893" s="25" t="s">
        <v>14752</v>
      </c>
      <c r="D2893" s="25" t="s">
        <v>109</v>
      </c>
    </row>
    <row r="2894" spans="1:4">
      <c r="A2894" s="58">
        <v>45474</v>
      </c>
      <c r="B2894" s="34" t="s">
        <v>14755</v>
      </c>
      <c r="C2894" s="25" t="s">
        <v>14754</v>
      </c>
      <c r="D2894" s="25" t="s">
        <v>29</v>
      </c>
    </row>
    <row r="2895" spans="1:4">
      <c r="A2895" s="58">
        <v>45475</v>
      </c>
      <c r="B2895" s="34" t="s">
        <v>14757</v>
      </c>
      <c r="C2895" s="25" t="s">
        <v>14756</v>
      </c>
      <c r="D2895" s="25" t="s">
        <v>16</v>
      </c>
    </row>
    <row r="2896" spans="1:4">
      <c r="A2896" s="58">
        <v>45478</v>
      </c>
      <c r="B2896" s="34" t="s">
        <v>14759</v>
      </c>
      <c r="C2896" s="25" t="s">
        <v>14758</v>
      </c>
      <c r="D2896" s="25" t="s">
        <v>109</v>
      </c>
    </row>
    <row r="2897" spans="1:4">
      <c r="A2897" s="58">
        <v>45478</v>
      </c>
      <c r="B2897" s="34" t="s">
        <v>14761</v>
      </c>
      <c r="C2897" s="25" t="s">
        <v>14760</v>
      </c>
      <c r="D2897" s="25" t="s">
        <v>29</v>
      </c>
    </row>
    <row r="2898" spans="1:4">
      <c r="A2898" s="58">
        <v>45474</v>
      </c>
      <c r="B2898" s="34" t="s">
        <v>14763</v>
      </c>
      <c r="C2898" s="25" t="s">
        <v>14762</v>
      </c>
      <c r="D2898" s="25" t="s">
        <v>11</v>
      </c>
    </row>
    <row r="2899" spans="1:4">
      <c r="A2899" s="58">
        <v>45474</v>
      </c>
      <c r="B2899" s="34" t="s">
        <v>14765</v>
      </c>
      <c r="C2899" s="25" t="s">
        <v>14764</v>
      </c>
      <c r="D2899" s="25" t="s">
        <v>8</v>
      </c>
    </row>
    <row r="2900" spans="1:4">
      <c r="A2900" s="58">
        <v>45474</v>
      </c>
      <c r="B2900" s="34" t="s">
        <v>14767</v>
      </c>
      <c r="C2900" s="25" t="s">
        <v>14766</v>
      </c>
      <c r="D2900" s="25" t="s">
        <v>11</v>
      </c>
    </row>
    <row r="2901" spans="1:4">
      <c r="A2901" s="58">
        <v>45474</v>
      </c>
      <c r="B2901" s="34" t="s">
        <v>14768</v>
      </c>
      <c r="C2901" s="25" t="s">
        <v>12689</v>
      </c>
      <c r="D2901" s="25" t="s">
        <v>16</v>
      </c>
    </row>
    <row r="2902" spans="1:4">
      <c r="A2902" s="58">
        <v>45475</v>
      </c>
      <c r="B2902" s="34" t="s">
        <v>14770</v>
      </c>
      <c r="C2902" s="25" t="s">
        <v>14769</v>
      </c>
      <c r="D2902" s="25" t="s">
        <v>16</v>
      </c>
    </row>
    <row r="2903" spans="1:4">
      <c r="A2903" s="58">
        <v>45475</v>
      </c>
      <c r="B2903" s="34" t="s">
        <v>14772</v>
      </c>
      <c r="C2903" s="25" t="s">
        <v>14771</v>
      </c>
      <c r="D2903" s="25" t="s">
        <v>24</v>
      </c>
    </row>
    <row r="2904" spans="1:4">
      <c r="A2904" s="58">
        <v>45475</v>
      </c>
      <c r="B2904" s="34" t="s">
        <v>14773</v>
      </c>
      <c r="C2904" s="25" t="s">
        <v>12689</v>
      </c>
      <c r="D2904" s="25" t="s">
        <v>16</v>
      </c>
    </row>
    <row r="2905" spans="1:4">
      <c r="A2905" s="58">
        <v>45476</v>
      </c>
      <c r="B2905" s="34" t="s">
        <v>14775</v>
      </c>
      <c r="C2905" s="25" t="s">
        <v>14774</v>
      </c>
      <c r="D2905" s="25" t="s">
        <v>24</v>
      </c>
    </row>
    <row r="2906" spans="1:4">
      <c r="A2906" s="58">
        <v>45476</v>
      </c>
      <c r="B2906" s="34" t="s">
        <v>14777</v>
      </c>
      <c r="C2906" s="25" t="s">
        <v>14776</v>
      </c>
      <c r="D2906" s="25" t="s">
        <v>74</v>
      </c>
    </row>
    <row r="2907" spans="1:4">
      <c r="A2907" s="58">
        <v>45476</v>
      </c>
      <c r="B2907" s="34" t="s">
        <v>14779</v>
      </c>
      <c r="C2907" s="25" t="s">
        <v>14778</v>
      </c>
      <c r="D2907" s="25" t="s">
        <v>74</v>
      </c>
    </row>
    <row r="2908" spans="1:4">
      <c r="A2908" s="58">
        <v>45476</v>
      </c>
      <c r="B2908" s="34" t="s">
        <v>14781</v>
      </c>
      <c r="C2908" s="25" t="s">
        <v>14780</v>
      </c>
      <c r="D2908" s="25" t="s">
        <v>24</v>
      </c>
    </row>
    <row r="2909" spans="1:4">
      <c r="A2909" s="58">
        <v>45476</v>
      </c>
      <c r="B2909" s="34" t="s">
        <v>14783</v>
      </c>
      <c r="C2909" s="25" t="s">
        <v>14782</v>
      </c>
      <c r="D2909" s="25" t="s">
        <v>353</v>
      </c>
    </row>
    <row r="2910" spans="1:4">
      <c r="A2910" s="58">
        <v>45476</v>
      </c>
      <c r="B2910" s="34" t="s">
        <v>14785</v>
      </c>
      <c r="C2910" s="25" t="s">
        <v>14784</v>
      </c>
      <c r="D2910" s="25" t="s">
        <v>24</v>
      </c>
    </row>
    <row r="2911" spans="1:4">
      <c r="A2911" s="58">
        <v>45477</v>
      </c>
      <c r="B2911" s="34" t="s">
        <v>14787</v>
      </c>
      <c r="C2911" s="25" t="s">
        <v>14786</v>
      </c>
      <c r="D2911" s="25" t="s">
        <v>81</v>
      </c>
    </row>
    <row r="2912" spans="1:4">
      <c r="A2912" s="58">
        <v>45477</v>
      </c>
      <c r="B2912" s="34" t="s">
        <v>14789</v>
      </c>
      <c r="C2912" s="25" t="s">
        <v>14788</v>
      </c>
      <c r="D2912" s="25" t="s">
        <v>510</v>
      </c>
    </row>
    <row r="2913" spans="1:4">
      <c r="A2913" s="58">
        <v>45477</v>
      </c>
      <c r="B2913" s="34" t="s">
        <v>14791</v>
      </c>
      <c r="C2913" s="25" t="s">
        <v>14790</v>
      </c>
      <c r="D2913" s="25" t="s">
        <v>5</v>
      </c>
    </row>
    <row r="2914" spans="1:4">
      <c r="A2914" s="58">
        <v>45477</v>
      </c>
      <c r="B2914" s="34" t="s">
        <v>14793</v>
      </c>
      <c r="C2914" s="25" t="s">
        <v>14792</v>
      </c>
      <c r="D2914" s="25" t="s">
        <v>34</v>
      </c>
    </row>
    <row r="2915" spans="1:4">
      <c r="A2915" s="58">
        <v>45478</v>
      </c>
      <c r="B2915" s="34" t="s">
        <v>14795</v>
      </c>
      <c r="C2915" s="25" t="s">
        <v>14794</v>
      </c>
      <c r="D2915" s="25" t="s">
        <v>594</v>
      </c>
    </row>
    <row r="2916" spans="1:4">
      <c r="A2916" s="58">
        <v>45478</v>
      </c>
      <c r="B2916" s="34" t="s">
        <v>14797</v>
      </c>
      <c r="C2916" s="25" t="s">
        <v>14796</v>
      </c>
      <c r="D2916" s="25" t="s">
        <v>24</v>
      </c>
    </row>
    <row r="2917" spans="1:4">
      <c r="A2917" s="58">
        <v>45478</v>
      </c>
      <c r="B2917" s="34" t="s">
        <v>14799</v>
      </c>
      <c r="C2917" s="25" t="s">
        <v>14798</v>
      </c>
      <c r="D2917" s="25" t="s">
        <v>345</v>
      </c>
    </row>
    <row r="2918" spans="1:4">
      <c r="A2918" s="58">
        <v>45478</v>
      </c>
      <c r="B2918" s="34" t="s">
        <v>14801</v>
      </c>
      <c r="C2918" s="25" t="s">
        <v>14800</v>
      </c>
      <c r="D2918" s="25" t="s">
        <v>11</v>
      </c>
    </row>
    <row r="2919" spans="1:4">
      <c r="A2919" s="58">
        <v>45478</v>
      </c>
      <c r="B2919" s="34" t="s">
        <v>14803</v>
      </c>
      <c r="C2919" s="25" t="s">
        <v>14802</v>
      </c>
      <c r="D2919" s="25" t="s">
        <v>24</v>
      </c>
    </row>
    <row r="2920" spans="1:4">
      <c r="A2920" s="58">
        <v>45478</v>
      </c>
      <c r="B2920" s="34" t="s">
        <v>14805</v>
      </c>
      <c r="C2920" s="25" t="s">
        <v>14804</v>
      </c>
      <c r="D2920" s="25" t="s">
        <v>345</v>
      </c>
    </row>
    <row r="2921" spans="1:4">
      <c r="A2921" s="58">
        <v>45474</v>
      </c>
      <c r="B2921" s="34" t="s">
        <v>14807</v>
      </c>
      <c r="C2921" s="25" t="s">
        <v>14806</v>
      </c>
      <c r="D2921" s="25" t="s">
        <v>81</v>
      </c>
    </row>
    <row r="2922" spans="1:4">
      <c r="A2922" s="58">
        <v>45474</v>
      </c>
      <c r="B2922" s="34" t="s">
        <v>14809</v>
      </c>
      <c r="C2922" s="25" t="s">
        <v>14808</v>
      </c>
      <c r="D2922" s="25" t="s">
        <v>5</v>
      </c>
    </row>
    <row r="2923" spans="1:4">
      <c r="A2923" s="58">
        <v>45474</v>
      </c>
      <c r="B2923" s="34" t="s">
        <v>14810</v>
      </c>
      <c r="C2923" s="25" t="s">
        <v>14808</v>
      </c>
      <c r="D2923" s="25" t="s">
        <v>5</v>
      </c>
    </row>
    <row r="2924" spans="1:4">
      <c r="A2924" s="58">
        <v>45474</v>
      </c>
      <c r="B2924" s="34" t="s">
        <v>14811</v>
      </c>
      <c r="C2924" s="25" t="s">
        <v>14808</v>
      </c>
      <c r="D2924" s="25" t="s">
        <v>5</v>
      </c>
    </row>
    <row r="2925" spans="1:4">
      <c r="A2925" s="58">
        <v>45474</v>
      </c>
      <c r="B2925" s="34" t="s">
        <v>14813</v>
      </c>
      <c r="C2925" s="25" t="s">
        <v>14812</v>
      </c>
      <c r="D2925" s="25" t="s">
        <v>5</v>
      </c>
    </row>
    <row r="2926" spans="1:4">
      <c r="A2926" s="58">
        <v>45474</v>
      </c>
      <c r="B2926" s="34" t="s">
        <v>14815</v>
      </c>
      <c r="C2926" s="25" t="s">
        <v>14814</v>
      </c>
      <c r="D2926" s="25" t="s">
        <v>5</v>
      </c>
    </row>
    <row r="2927" spans="1:4">
      <c r="A2927" s="58">
        <v>45474</v>
      </c>
      <c r="B2927" s="34" t="s">
        <v>14817</v>
      </c>
      <c r="C2927" s="25" t="s">
        <v>14816</v>
      </c>
      <c r="D2927" s="25" t="s">
        <v>5</v>
      </c>
    </row>
    <row r="2928" spans="1:4">
      <c r="A2928" s="58">
        <v>45475</v>
      </c>
      <c r="B2928" s="34" t="s">
        <v>14819</v>
      </c>
      <c r="C2928" s="25" t="s">
        <v>14818</v>
      </c>
      <c r="D2928" s="25" t="s">
        <v>109</v>
      </c>
    </row>
    <row r="2929" spans="1:4">
      <c r="A2929" s="58">
        <v>45475</v>
      </c>
      <c r="B2929" s="34" t="s">
        <v>14821</v>
      </c>
      <c r="C2929" s="25" t="s">
        <v>14820</v>
      </c>
      <c r="D2929" s="25" t="s">
        <v>5</v>
      </c>
    </row>
    <row r="2930" spans="1:4">
      <c r="A2930" s="58">
        <v>45475</v>
      </c>
      <c r="B2930" s="34" t="s">
        <v>14823</v>
      </c>
      <c r="C2930" s="25" t="s">
        <v>14822</v>
      </c>
      <c r="D2930" s="25" t="s">
        <v>5</v>
      </c>
    </row>
    <row r="2931" spans="1:4">
      <c r="A2931" s="58">
        <v>45475</v>
      </c>
      <c r="B2931" s="34" t="s">
        <v>14825</v>
      </c>
      <c r="C2931" s="25" t="s">
        <v>14824</v>
      </c>
      <c r="D2931" s="25" t="s">
        <v>5</v>
      </c>
    </row>
    <row r="2932" spans="1:4">
      <c r="A2932" s="58">
        <v>45475</v>
      </c>
      <c r="B2932" s="34" t="s">
        <v>14827</v>
      </c>
      <c r="C2932" s="25" t="s">
        <v>14826</v>
      </c>
      <c r="D2932" s="25" t="s">
        <v>24</v>
      </c>
    </row>
    <row r="2933" spans="1:4">
      <c r="A2933" s="58">
        <v>45475</v>
      </c>
      <c r="B2933" s="34" t="s">
        <v>10969</v>
      </c>
      <c r="C2933" s="25" t="s">
        <v>14820</v>
      </c>
      <c r="D2933" s="25" t="s">
        <v>5</v>
      </c>
    </row>
    <row r="2934" spans="1:4">
      <c r="A2934" s="58">
        <v>45475</v>
      </c>
      <c r="B2934" s="34" t="s">
        <v>14829</v>
      </c>
      <c r="C2934" s="25" t="s">
        <v>14828</v>
      </c>
      <c r="D2934" s="25" t="s">
        <v>216</v>
      </c>
    </row>
    <row r="2935" spans="1:4">
      <c r="A2935" s="58">
        <v>45475</v>
      </c>
      <c r="B2935" s="34" t="s">
        <v>13173</v>
      </c>
      <c r="C2935" s="25" t="s">
        <v>14830</v>
      </c>
      <c r="D2935" s="25" t="s">
        <v>5</v>
      </c>
    </row>
    <row r="2936" spans="1:4">
      <c r="A2936" s="58">
        <v>45475</v>
      </c>
      <c r="B2936" s="34" t="s">
        <v>14832</v>
      </c>
      <c r="C2936" s="25" t="s">
        <v>14831</v>
      </c>
      <c r="D2936" s="25" t="s">
        <v>34</v>
      </c>
    </row>
    <row r="2937" spans="1:4">
      <c r="A2937" s="58">
        <v>45476</v>
      </c>
      <c r="B2937" s="34" t="s">
        <v>10969</v>
      </c>
      <c r="C2937" s="25" t="s">
        <v>14833</v>
      </c>
      <c r="D2937" s="25" t="s">
        <v>109</v>
      </c>
    </row>
    <row r="2938" spans="1:4">
      <c r="A2938" s="58">
        <v>45476</v>
      </c>
      <c r="B2938" s="34" t="s">
        <v>14835</v>
      </c>
      <c r="C2938" s="25" t="s">
        <v>14834</v>
      </c>
      <c r="D2938" s="25" t="s">
        <v>345</v>
      </c>
    </row>
    <row r="2939" spans="1:4">
      <c r="A2939" s="58">
        <v>45476</v>
      </c>
      <c r="B2939" s="34" t="s">
        <v>14836</v>
      </c>
      <c r="C2939" s="25" t="s">
        <v>436</v>
      </c>
      <c r="D2939" s="25" t="s">
        <v>216</v>
      </c>
    </row>
    <row r="2940" spans="1:4">
      <c r="A2940" s="58">
        <v>45476</v>
      </c>
      <c r="B2940" s="34" t="s">
        <v>11384</v>
      </c>
      <c r="C2940" s="25" t="s">
        <v>10022</v>
      </c>
      <c r="D2940" s="25" t="s">
        <v>5</v>
      </c>
    </row>
    <row r="2941" spans="1:4">
      <c r="A2941" s="58">
        <v>45476</v>
      </c>
      <c r="B2941" s="34" t="s">
        <v>14832</v>
      </c>
      <c r="C2941" s="25" t="s">
        <v>14837</v>
      </c>
      <c r="D2941" s="25" t="s">
        <v>34</v>
      </c>
    </row>
    <row r="2942" spans="1:4">
      <c r="A2942" s="58">
        <v>45477</v>
      </c>
      <c r="B2942" s="34" t="s">
        <v>10969</v>
      </c>
      <c r="C2942" s="25" t="s">
        <v>13590</v>
      </c>
      <c r="D2942" s="25" t="s">
        <v>109</v>
      </c>
    </row>
    <row r="2943" spans="1:4">
      <c r="A2943" s="58">
        <v>45477</v>
      </c>
      <c r="B2943" s="34" t="s">
        <v>14839</v>
      </c>
      <c r="C2943" s="25" t="s">
        <v>14838</v>
      </c>
      <c r="D2943" s="25" t="s">
        <v>5</v>
      </c>
    </row>
    <row r="2944" spans="1:4">
      <c r="A2944" s="58">
        <v>45477</v>
      </c>
      <c r="B2944" s="34" t="s">
        <v>10969</v>
      </c>
      <c r="C2944" s="25" t="s">
        <v>14840</v>
      </c>
      <c r="D2944" s="25" t="s">
        <v>109</v>
      </c>
    </row>
    <row r="2945" spans="1:4">
      <c r="A2945" s="58">
        <v>45477</v>
      </c>
      <c r="B2945" s="34" t="s">
        <v>14842</v>
      </c>
      <c r="C2945" s="25" t="s">
        <v>14841</v>
      </c>
      <c r="D2945" s="25" t="s">
        <v>11</v>
      </c>
    </row>
    <row r="2946" spans="1:4">
      <c r="A2946" s="58">
        <v>45477</v>
      </c>
      <c r="B2946" s="34" t="s">
        <v>10969</v>
      </c>
      <c r="C2946" s="25" t="s">
        <v>14843</v>
      </c>
      <c r="D2946" s="25" t="s">
        <v>109</v>
      </c>
    </row>
    <row r="2947" spans="1:4">
      <c r="A2947" s="58">
        <v>45478</v>
      </c>
      <c r="B2947" s="34" t="s">
        <v>10969</v>
      </c>
      <c r="C2947" s="25" t="s">
        <v>14844</v>
      </c>
      <c r="D2947" s="25" t="s">
        <v>109</v>
      </c>
    </row>
    <row r="2948" spans="1:4">
      <c r="A2948" s="58">
        <v>45478</v>
      </c>
      <c r="B2948" s="34" t="s">
        <v>14846</v>
      </c>
      <c r="C2948" s="25" t="s">
        <v>14845</v>
      </c>
      <c r="D2948" s="25" t="s">
        <v>74</v>
      </c>
    </row>
    <row r="2949" spans="1:4">
      <c r="A2949" s="58">
        <v>45478</v>
      </c>
      <c r="B2949" s="34" t="s">
        <v>10969</v>
      </c>
      <c r="C2949" s="25" t="s">
        <v>14847</v>
      </c>
      <c r="D2949" s="25" t="s">
        <v>109</v>
      </c>
    </row>
    <row r="2950" spans="1:4">
      <c r="A2950" s="58">
        <v>45481</v>
      </c>
      <c r="B2950" s="34" t="s">
        <v>14849</v>
      </c>
      <c r="C2950" s="25" t="s">
        <v>14848</v>
      </c>
      <c r="D2950" s="25" t="s">
        <v>24</v>
      </c>
    </row>
    <row r="2951" spans="1:4">
      <c r="A2951" s="58">
        <v>45481</v>
      </c>
      <c r="B2951" s="34" t="s">
        <v>14851</v>
      </c>
      <c r="C2951" s="25" t="s">
        <v>14850</v>
      </c>
      <c r="D2951" s="25" t="s">
        <v>109</v>
      </c>
    </row>
    <row r="2952" spans="1:4">
      <c r="A2952" s="58">
        <v>45481</v>
      </c>
      <c r="B2952" s="34" t="s">
        <v>14853</v>
      </c>
      <c r="C2952" s="25" t="s">
        <v>14852</v>
      </c>
      <c r="D2952" s="25" t="s">
        <v>24</v>
      </c>
    </row>
    <row r="2953" spans="1:4">
      <c r="A2953" s="58">
        <v>45481</v>
      </c>
      <c r="B2953" s="34" t="s">
        <v>14855</v>
      </c>
      <c r="C2953" s="25" t="s">
        <v>14854</v>
      </c>
      <c r="D2953" s="25" t="s">
        <v>109</v>
      </c>
    </row>
    <row r="2954" spans="1:4">
      <c r="A2954" s="58">
        <v>45482</v>
      </c>
      <c r="B2954" s="34" t="s">
        <v>14857</v>
      </c>
      <c r="C2954" s="25" t="s">
        <v>14856</v>
      </c>
      <c r="D2954" s="25" t="s">
        <v>34</v>
      </c>
    </row>
    <row r="2955" spans="1:4">
      <c r="A2955" s="58">
        <v>45482</v>
      </c>
      <c r="B2955" s="34" t="s">
        <v>14859</v>
      </c>
      <c r="C2955" s="25" t="s">
        <v>14858</v>
      </c>
      <c r="D2955" s="25" t="s">
        <v>74</v>
      </c>
    </row>
    <row r="2956" spans="1:4">
      <c r="A2956" s="58">
        <v>45482</v>
      </c>
      <c r="B2956" s="34" t="s">
        <v>14861</v>
      </c>
      <c r="C2956" s="25" t="s">
        <v>14860</v>
      </c>
      <c r="D2956" s="25" t="s">
        <v>24</v>
      </c>
    </row>
    <row r="2957" spans="1:4">
      <c r="A2957" s="58">
        <v>45482</v>
      </c>
      <c r="B2957" s="34" t="s">
        <v>14863</v>
      </c>
      <c r="C2957" s="25" t="s">
        <v>14862</v>
      </c>
      <c r="D2957" s="25" t="s">
        <v>594</v>
      </c>
    </row>
    <row r="2958" spans="1:4">
      <c r="A2958" s="58">
        <v>45482</v>
      </c>
      <c r="B2958" s="34" t="s">
        <v>14865</v>
      </c>
      <c r="C2958" s="25" t="s">
        <v>14864</v>
      </c>
      <c r="D2958" s="25" t="s">
        <v>16</v>
      </c>
    </row>
    <row r="2959" spans="1:4">
      <c r="A2959" s="58">
        <v>45484</v>
      </c>
      <c r="B2959" s="34" t="s">
        <v>14866</v>
      </c>
      <c r="C2959" s="25" t="s">
        <v>14856</v>
      </c>
      <c r="D2959" s="25" t="s">
        <v>34</v>
      </c>
    </row>
    <row r="2960" spans="1:4">
      <c r="A2960" s="58">
        <v>45484</v>
      </c>
      <c r="B2960" s="34" t="s">
        <v>14868</v>
      </c>
      <c r="C2960" s="25" t="s">
        <v>14867</v>
      </c>
      <c r="D2960" s="25" t="s">
        <v>109</v>
      </c>
    </row>
    <row r="2961" spans="1:4">
      <c r="A2961" s="58">
        <v>45484</v>
      </c>
      <c r="B2961" s="34" t="s">
        <v>14870</v>
      </c>
      <c r="C2961" s="25" t="s">
        <v>14869</v>
      </c>
      <c r="D2961" s="25" t="s">
        <v>109</v>
      </c>
    </row>
    <row r="2962" spans="1:4">
      <c r="A2962" s="58">
        <v>45484</v>
      </c>
      <c r="B2962" s="34" t="s">
        <v>14871</v>
      </c>
      <c r="C2962" s="25" t="s">
        <v>14856</v>
      </c>
      <c r="D2962" s="25" t="s">
        <v>34</v>
      </c>
    </row>
    <row r="2963" spans="1:4">
      <c r="A2963" s="58">
        <v>45485</v>
      </c>
      <c r="B2963" s="34" t="s">
        <v>14873</v>
      </c>
      <c r="C2963" s="25" t="s">
        <v>14872</v>
      </c>
      <c r="D2963" s="25" t="s">
        <v>11</v>
      </c>
    </row>
    <row r="2964" spans="1:4">
      <c r="A2964" s="58">
        <v>45485</v>
      </c>
      <c r="B2964" s="34" t="s">
        <v>14875</v>
      </c>
      <c r="C2964" s="25" t="s">
        <v>14874</v>
      </c>
      <c r="D2964" s="25" t="s">
        <v>5</v>
      </c>
    </row>
    <row r="2965" spans="1:4">
      <c r="A2965" s="58">
        <v>45485</v>
      </c>
      <c r="B2965" s="34" t="s">
        <v>14877</v>
      </c>
      <c r="C2965" s="25" t="s">
        <v>14876</v>
      </c>
      <c r="D2965" s="25" t="s">
        <v>216</v>
      </c>
    </row>
    <row r="2966" spans="1:4">
      <c r="A2966" s="58">
        <v>45486</v>
      </c>
      <c r="B2966" s="34" t="s">
        <v>14879</v>
      </c>
      <c r="C2966" s="25" t="s">
        <v>14878</v>
      </c>
      <c r="D2966" s="25" t="s">
        <v>74</v>
      </c>
    </row>
    <row r="2967" spans="1:4">
      <c r="A2967" s="58">
        <v>45486</v>
      </c>
      <c r="B2967" s="34" t="s">
        <v>14881</v>
      </c>
      <c r="C2967" s="25" t="s">
        <v>14880</v>
      </c>
      <c r="D2967" s="25" t="s">
        <v>74</v>
      </c>
    </row>
    <row r="2968" spans="1:4">
      <c r="A2968" s="58">
        <v>45489</v>
      </c>
      <c r="B2968" s="34" t="s">
        <v>14883</v>
      </c>
      <c r="C2968" s="25" t="s">
        <v>14882</v>
      </c>
      <c r="D2968" s="25" t="s">
        <v>74</v>
      </c>
    </row>
    <row r="2969" spans="1:4">
      <c r="A2969" s="58">
        <v>45490</v>
      </c>
      <c r="B2969" s="34" t="s">
        <v>14885</v>
      </c>
      <c r="C2969" s="25" t="s">
        <v>14884</v>
      </c>
      <c r="D2969" s="25" t="s">
        <v>5</v>
      </c>
    </row>
    <row r="2970" spans="1:4">
      <c r="A2970" s="58">
        <v>45490</v>
      </c>
      <c r="B2970" s="34" t="s">
        <v>14887</v>
      </c>
      <c r="C2970" s="25" t="s">
        <v>14886</v>
      </c>
      <c r="D2970" s="25" t="s">
        <v>74</v>
      </c>
    </row>
    <row r="2971" spans="1:4">
      <c r="A2971" s="58">
        <v>45490</v>
      </c>
      <c r="B2971" s="34" t="s">
        <v>14889</v>
      </c>
      <c r="C2971" s="25" t="s">
        <v>14888</v>
      </c>
      <c r="D2971" s="25" t="s">
        <v>5</v>
      </c>
    </row>
    <row r="2972" spans="1:4">
      <c r="A2972" s="58">
        <v>45490</v>
      </c>
      <c r="B2972" s="34" t="s">
        <v>14891</v>
      </c>
      <c r="C2972" s="25" t="s">
        <v>14890</v>
      </c>
      <c r="D2972" s="25" t="s">
        <v>510</v>
      </c>
    </row>
    <row r="2973" spans="1:4">
      <c r="A2973" s="58">
        <v>45484</v>
      </c>
      <c r="B2973" s="34" t="s">
        <v>14893</v>
      </c>
      <c r="C2973" s="25" t="s">
        <v>14892</v>
      </c>
      <c r="D2973" s="25" t="s">
        <v>8</v>
      </c>
    </row>
    <row r="2974" spans="1:4">
      <c r="A2974" s="58">
        <v>45484</v>
      </c>
      <c r="B2974" s="34" t="s">
        <v>14895</v>
      </c>
      <c r="C2974" s="25" t="s">
        <v>14894</v>
      </c>
      <c r="D2974" s="25" t="s">
        <v>8</v>
      </c>
    </row>
    <row r="2975" spans="1:4">
      <c r="A2975" s="58">
        <v>45484</v>
      </c>
      <c r="B2975" s="34" t="s">
        <v>14896</v>
      </c>
      <c r="C2975" s="25" t="s">
        <v>14892</v>
      </c>
      <c r="D2975" s="25" t="s">
        <v>8</v>
      </c>
    </row>
    <row r="2976" spans="1:4">
      <c r="A2976" s="58">
        <v>45484</v>
      </c>
      <c r="B2976" s="34" t="s">
        <v>14897</v>
      </c>
      <c r="C2976" s="25" t="s">
        <v>14892</v>
      </c>
      <c r="D2976" s="25" t="s">
        <v>8</v>
      </c>
    </row>
    <row r="2977" spans="1:4">
      <c r="A2977" s="58">
        <v>45484</v>
      </c>
      <c r="B2977" s="34" t="s">
        <v>14899</v>
      </c>
      <c r="C2977" s="25" t="s">
        <v>14898</v>
      </c>
      <c r="D2977" s="25" t="s">
        <v>141</v>
      </c>
    </row>
    <row r="2978" spans="1:4">
      <c r="A2978" s="58">
        <v>45484</v>
      </c>
      <c r="B2978" s="34" t="s">
        <v>14901</v>
      </c>
      <c r="C2978" s="25" t="s">
        <v>14900</v>
      </c>
      <c r="D2978" s="25" t="s">
        <v>141</v>
      </c>
    </row>
    <row r="2979" spans="1:4">
      <c r="A2979" s="58">
        <v>45488</v>
      </c>
      <c r="B2979" s="34" t="s">
        <v>14903</v>
      </c>
      <c r="C2979" s="25" t="s">
        <v>14902</v>
      </c>
      <c r="D2979" s="25" t="s">
        <v>74</v>
      </c>
    </row>
    <row r="2980" spans="1:4">
      <c r="A2980" s="58">
        <v>45488</v>
      </c>
      <c r="B2980" s="34" t="s">
        <v>14905</v>
      </c>
      <c r="C2980" s="25" t="s">
        <v>14904</v>
      </c>
      <c r="D2980" s="25" t="s">
        <v>24</v>
      </c>
    </row>
    <row r="2981" spans="1:4">
      <c r="A2981" s="58">
        <v>45488</v>
      </c>
      <c r="B2981" s="34" t="s">
        <v>14907</v>
      </c>
      <c r="C2981" s="25" t="s">
        <v>14906</v>
      </c>
      <c r="D2981" s="25" t="s">
        <v>24</v>
      </c>
    </row>
    <row r="2982" spans="1:4">
      <c r="A2982" s="58">
        <v>45488</v>
      </c>
      <c r="B2982" s="34" t="s">
        <v>14909</v>
      </c>
      <c r="C2982" s="25" t="s">
        <v>14908</v>
      </c>
      <c r="D2982" s="25" t="s">
        <v>74</v>
      </c>
    </row>
    <row r="2983" spans="1:4">
      <c r="A2983" s="58">
        <v>45482</v>
      </c>
      <c r="B2983" s="34" t="s">
        <v>14911</v>
      </c>
      <c r="C2983" s="25" t="s">
        <v>14910</v>
      </c>
      <c r="D2983" s="25" t="s">
        <v>29</v>
      </c>
    </row>
    <row r="2984" spans="1:4">
      <c r="A2984" s="58">
        <v>45482</v>
      </c>
      <c r="B2984" s="34" t="s">
        <v>14913</v>
      </c>
      <c r="C2984" s="25" t="s">
        <v>14912</v>
      </c>
      <c r="D2984" s="25" t="s">
        <v>29</v>
      </c>
    </row>
    <row r="2985" spans="1:4">
      <c r="A2985" s="58">
        <v>45482</v>
      </c>
      <c r="B2985" s="34" t="s">
        <v>14915</v>
      </c>
      <c r="C2985" s="25" t="s">
        <v>14914</v>
      </c>
      <c r="D2985" s="25" t="s">
        <v>29</v>
      </c>
    </row>
    <row r="2986" spans="1:4">
      <c r="A2986" s="58">
        <v>45484</v>
      </c>
      <c r="B2986" s="34" t="s">
        <v>14917</v>
      </c>
      <c r="C2986" s="25" t="s">
        <v>14916</v>
      </c>
      <c r="D2986" s="25" t="s">
        <v>5</v>
      </c>
    </row>
    <row r="2987" spans="1:4">
      <c r="A2987" s="58">
        <v>45485</v>
      </c>
      <c r="B2987" s="34" t="s">
        <v>14919</v>
      </c>
      <c r="C2987" s="25" t="s">
        <v>14918</v>
      </c>
      <c r="D2987" s="25" t="s">
        <v>81</v>
      </c>
    </row>
    <row r="2988" spans="1:4">
      <c r="A2988" s="58">
        <v>45485</v>
      </c>
      <c r="B2988" s="34" t="s">
        <v>14920</v>
      </c>
      <c r="C2988" s="25" t="s">
        <v>14918</v>
      </c>
      <c r="D2988" s="25" t="s">
        <v>81</v>
      </c>
    </row>
    <row r="2989" spans="1:4">
      <c r="A2989" s="58">
        <v>45485</v>
      </c>
      <c r="B2989" s="34" t="s">
        <v>14922</v>
      </c>
      <c r="C2989" s="25" t="s">
        <v>14921</v>
      </c>
      <c r="D2989" s="25" t="s">
        <v>81</v>
      </c>
    </row>
    <row r="2990" spans="1:4">
      <c r="A2990" s="58">
        <v>45490</v>
      </c>
      <c r="B2990" s="34" t="s">
        <v>14924</v>
      </c>
      <c r="C2990" s="25" t="s">
        <v>14923</v>
      </c>
      <c r="D2990" s="25" t="s">
        <v>353</v>
      </c>
    </row>
    <row r="2991" spans="1:4">
      <c r="A2991" s="58">
        <v>45490</v>
      </c>
      <c r="B2991" s="34" t="s">
        <v>14926</v>
      </c>
      <c r="C2991" s="25" t="s">
        <v>14925</v>
      </c>
      <c r="D2991" s="25" t="s">
        <v>29</v>
      </c>
    </row>
    <row r="2992" spans="1:4">
      <c r="A2992" s="58">
        <v>45490</v>
      </c>
      <c r="B2992" s="34" t="s">
        <v>14928</v>
      </c>
      <c r="C2992" s="25" t="s">
        <v>14927</v>
      </c>
      <c r="D2992" s="25" t="s">
        <v>353</v>
      </c>
    </row>
    <row r="2993" spans="1:4">
      <c r="A2993" s="58">
        <v>45490</v>
      </c>
      <c r="B2993" s="34" t="s">
        <v>14930</v>
      </c>
      <c r="C2993" s="25" t="s">
        <v>14929</v>
      </c>
      <c r="D2993" s="25" t="s">
        <v>29</v>
      </c>
    </row>
    <row r="2994" spans="1:4">
      <c r="A2994" s="58">
        <v>45490</v>
      </c>
      <c r="B2994" s="34" t="s">
        <v>14932</v>
      </c>
      <c r="C2994" s="25" t="s">
        <v>14931</v>
      </c>
      <c r="D2994" s="25" t="s">
        <v>353</v>
      </c>
    </row>
    <row r="2995" spans="1:4">
      <c r="A2995" s="58">
        <v>45481</v>
      </c>
      <c r="B2995" s="34" t="s">
        <v>14934</v>
      </c>
      <c r="C2995" s="25" t="s">
        <v>14933</v>
      </c>
      <c r="D2995" s="25" t="s">
        <v>24</v>
      </c>
    </row>
    <row r="2996" spans="1:4">
      <c r="A2996" s="58">
        <v>45481</v>
      </c>
      <c r="B2996" s="34" t="s">
        <v>14936</v>
      </c>
      <c r="C2996" s="25" t="s">
        <v>14935</v>
      </c>
      <c r="D2996" s="25" t="s">
        <v>29</v>
      </c>
    </row>
    <row r="2997" spans="1:4">
      <c r="A2997" s="58">
        <v>45484</v>
      </c>
      <c r="B2997" s="34" t="s">
        <v>14938</v>
      </c>
      <c r="C2997" s="25" t="s">
        <v>14937</v>
      </c>
      <c r="D2997" s="25" t="s">
        <v>29</v>
      </c>
    </row>
    <row r="2998" spans="1:4">
      <c r="A2998" s="58">
        <v>45485</v>
      </c>
      <c r="B2998" s="34" t="s">
        <v>14940</v>
      </c>
      <c r="C2998" s="25" t="s">
        <v>14939</v>
      </c>
      <c r="D2998" s="25" t="s">
        <v>24</v>
      </c>
    </row>
    <row r="2999" spans="1:4">
      <c r="A2999" s="58">
        <v>45485</v>
      </c>
      <c r="B2999" s="34" t="s">
        <v>14942</v>
      </c>
      <c r="C2999" s="25" t="s">
        <v>14941</v>
      </c>
      <c r="D2999" s="25" t="s">
        <v>24</v>
      </c>
    </row>
    <row r="3000" spans="1:4">
      <c r="A3000" s="58">
        <v>45490</v>
      </c>
      <c r="B3000" s="34" t="s">
        <v>14944</v>
      </c>
      <c r="C3000" s="25" t="s">
        <v>14943</v>
      </c>
      <c r="D3000" s="25" t="s">
        <v>74</v>
      </c>
    </row>
    <row r="3001" spans="1:4">
      <c r="A3001" s="58">
        <v>45482</v>
      </c>
      <c r="B3001" s="34" t="s">
        <v>14947</v>
      </c>
      <c r="C3001" s="25" t="s">
        <v>14945</v>
      </c>
      <c r="D3001" s="25" t="s">
        <v>14946</v>
      </c>
    </row>
    <row r="3002" spans="1:4">
      <c r="A3002" s="58">
        <v>45482</v>
      </c>
      <c r="B3002" s="34" t="s">
        <v>14949</v>
      </c>
      <c r="C3002" s="25" t="s">
        <v>14948</v>
      </c>
      <c r="D3002" s="25" t="s">
        <v>14946</v>
      </c>
    </row>
    <row r="3003" spans="1:4">
      <c r="A3003" s="58">
        <v>45482</v>
      </c>
      <c r="B3003" s="34" t="s">
        <v>14951</v>
      </c>
      <c r="C3003" s="25" t="s">
        <v>14950</v>
      </c>
      <c r="D3003" s="25" t="s">
        <v>14946</v>
      </c>
    </row>
    <row r="3004" spans="1:4">
      <c r="A3004" s="58">
        <v>45482</v>
      </c>
      <c r="B3004" s="34" t="s">
        <v>14953</v>
      </c>
      <c r="C3004" s="25" t="s">
        <v>14952</v>
      </c>
      <c r="D3004" s="25" t="s">
        <v>14946</v>
      </c>
    </row>
    <row r="3005" spans="1:4">
      <c r="A3005" s="58">
        <v>45482</v>
      </c>
      <c r="B3005" s="34" t="s">
        <v>14955</v>
      </c>
      <c r="C3005" s="25" t="s">
        <v>14954</v>
      </c>
      <c r="D3005" s="25" t="s">
        <v>14946</v>
      </c>
    </row>
    <row r="3006" spans="1:4">
      <c r="A3006" s="58">
        <v>45482</v>
      </c>
      <c r="B3006" s="34" t="s">
        <v>14957</v>
      </c>
      <c r="C3006" s="25" t="s">
        <v>14956</v>
      </c>
      <c r="D3006" s="25" t="s">
        <v>14946</v>
      </c>
    </row>
    <row r="3007" spans="1:4">
      <c r="A3007" s="58">
        <v>45482</v>
      </c>
      <c r="B3007" s="34" t="s">
        <v>14959</v>
      </c>
      <c r="C3007" s="25" t="s">
        <v>14958</v>
      </c>
      <c r="D3007" s="25" t="s">
        <v>14946</v>
      </c>
    </row>
    <row r="3008" spans="1:4">
      <c r="A3008" s="58">
        <v>45482</v>
      </c>
      <c r="B3008" s="34" t="s">
        <v>14961</v>
      </c>
      <c r="C3008" s="25" t="s">
        <v>14960</v>
      </c>
      <c r="D3008" s="25" t="s">
        <v>14946</v>
      </c>
    </row>
    <row r="3009" spans="1:4">
      <c r="A3009" s="58">
        <v>45482</v>
      </c>
      <c r="B3009" s="34" t="s">
        <v>14963</v>
      </c>
      <c r="C3009" s="25" t="s">
        <v>14962</v>
      </c>
      <c r="D3009" s="25" t="s">
        <v>14946</v>
      </c>
    </row>
    <row r="3010" spans="1:4">
      <c r="A3010" s="58">
        <v>45482</v>
      </c>
      <c r="B3010" s="34" t="s">
        <v>14965</v>
      </c>
      <c r="C3010" s="25" t="s">
        <v>14964</v>
      </c>
      <c r="D3010" s="25" t="s">
        <v>14946</v>
      </c>
    </row>
    <row r="3011" spans="1:4">
      <c r="A3011" s="58">
        <v>45482</v>
      </c>
      <c r="B3011" s="34" t="s">
        <v>14967</v>
      </c>
      <c r="C3011" s="25" t="s">
        <v>14966</v>
      </c>
      <c r="D3011" s="25" t="s">
        <v>14946</v>
      </c>
    </row>
    <row r="3012" spans="1:4">
      <c r="A3012" s="58">
        <v>45483</v>
      </c>
      <c r="B3012" s="34" t="s">
        <v>14969</v>
      </c>
      <c r="C3012" s="25" t="s">
        <v>14968</v>
      </c>
      <c r="D3012" s="25" t="s">
        <v>14946</v>
      </c>
    </row>
    <row r="3013" spans="1:4">
      <c r="A3013" s="58">
        <v>45483</v>
      </c>
      <c r="B3013" s="34" t="s">
        <v>14971</v>
      </c>
      <c r="C3013" s="25" t="s">
        <v>14970</v>
      </c>
      <c r="D3013" s="25" t="s">
        <v>14946</v>
      </c>
    </row>
    <row r="3014" spans="1:4">
      <c r="A3014" s="58">
        <v>45483</v>
      </c>
      <c r="B3014" s="34" t="s">
        <v>14973</v>
      </c>
      <c r="C3014" s="25" t="s">
        <v>14972</v>
      </c>
      <c r="D3014" s="25" t="s">
        <v>14946</v>
      </c>
    </row>
    <row r="3015" spans="1:4">
      <c r="A3015" s="58">
        <v>45483</v>
      </c>
      <c r="B3015" s="34" t="s">
        <v>14975</v>
      </c>
      <c r="C3015" s="25" t="s">
        <v>14974</v>
      </c>
      <c r="D3015" s="25" t="s">
        <v>14946</v>
      </c>
    </row>
    <row r="3016" spans="1:4">
      <c r="A3016" s="58">
        <v>45483</v>
      </c>
      <c r="B3016" s="34" t="s">
        <v>14977</v>
      </c>
      <c r="C3016" s="25" t="s">
        <v>14976</v>
      </c>
      <c r="D3016" s="25" t="s">
        <v>14946</v>
      </c>
    </row>
    <row r="3017" spans="1:4">
      <c r="A3017" s="58">
        <v>45483</v>
      </c>
      <c r="B3017" s="34" t="s">
        <v>14979</v>
      </c>
      <c r="C3017" s="25" t="s">
        <v>14978</v>
      </c>
      <c r="D3017" s="25" t="s">
        <v>14946</v>
      </c>
    </row>
    <row r="3018" spans="1:4">
      <c r="A3018" s="58">
        <v>45483</v>
      </c>
      <c r="B3018" s="34" t="s">
        <v>14981</v>
      </c>
      <c r="C3018" s="25" t="s">
        <v>14980</v>
      </c>
      <c r="D3018" s="25" t="s">
        <v>14946</v>
      </c>
    </row>
    <row r="3019" spans="1:4">
      <c r="A3019" s="58">
        <v>45483</v>
      </c>
      <c r="B3019" s="34" t="s">
        <v>14983</v>
      </c>
      <c r="C3019" s="25" t="s">
        <v>14982</v>
      </c>
      <c r="D3019" s="25" t="s">
        <v>14946</v>
      </c>
    </row>
    <row r="3020" spans="1:4">
      <c r="A3020" s="58">
        <v>45483</v>
      </c>
      <c r="B3020" s="34" t="s">
        <v>14985</v>
      </c>
      <c r="C3020" s="25" t="s">
        <v>14984</v>
      </c>
      <c r="D3020" s="25" t="s">
        <v>14946</v>
      </c>
    </row>
    <row r="3021" spans="1:4">
      <c r="A3021" s="58">
        <v>45483</v>
      </c>
      <c r="B3021" s="34" t="s">
        <v>14987</v>
      </c>
      <c r="C3021" s="25" t="s">
        <v>14986</v>
      </c>
      <c r="D3021" s="25" t="s">
        <v>14946</v>
      </c>
    </row>
    <row r="3022" spans="1:4">
      <c r="A3022" s="58">
        <v>45484</v>
      </c>
      <c r="B3022" s="34" t="s">
        <v>14989</v>
      </c>
      <c r="C3022" s="25" t="s">
        <v>14988</v>
      </c>
      <c r="D3022" s="25" t="s">
        <v>14946</v>
      </c>
    </row>
    <row r="3023" spans="1:4">
      <c r="A3023" s="58">
        <v>45484</v>
      </c>
      <c r="B3023" s="34" t="s">
        <v>14991</v>
      </c>
      <c r="C3023" s="25" t="s">
        <v>14990</v>
      </c>
      <c r="D3023" s="25" t="s">
        <v>14946</v>
      </c>
    </row>
    <row r="3024" spans="1:4">
      <c r="A3024" s="58">
        <v>45484</v>
      </c>
      <c r="B3024" s="34" t="s">
        <v>14993</v>
      </c>
      <c r="C3024" s="25" t="s">
        <v>14992</v>
      </c>
      <c r="D3024" s="25" t="s">
        <v>14946</v>
      </c>
    </row>
    <row r="3025" spans="1:4">
      <c r="A3025" s="58">
        <v>45484</v>
      </c>
      <c r="B3025" s="34" t="s">
        <v>14995</v>
      </c>
      <c r="C3025" s="25" t="s">
        <v>14994</v>
      </c>
      <c r="D3025" s="25" t="s">
        <v>14946</v>
      </c>
    </row>
    <row r="3026" spans="1:4">
      <c r="A3026" s="58">
        <v>45484</v>
      </c>
      <c r="B3026" s="34" t="s">
        <v>14997</v>
      </c>
      <c r="C3026" s="25" t="s">
        <v>14996</v>
      </c>
      <c r="D3026" s="25" t="s">
        <v>14946</v>
      </c>
    </row>
    <row r="3027" spans="1:4">
      <c r="A3027" s="58">
        <v>45484</v>
      </c>
      <c r="B3027" s="34" t="s">
        <v>14999</v>
      </c>
      <c r="C3027" s="25" t="s">
        <v>14998</v>
      </c>
      <c r="D3027" s="25" t="s">
        <v>14946</v>
      </c>
    </row>
    <row r="3028" spans="1:4">
      <c r="A3028" s="58">
        <v>45484</v>
      </c>
      <c r="B3028" s="34" t="s">
        <v>15001</v>
      </c>
      <c r="C3028" s="25" t="s">
        <v>15000</v>
      </c>
      <c r="D3028" s="25" t="s">
        <v>14946</v>
      </c>
    </row>
    <row r="3029" spans="1:4">
      <c r="A3029" s="58">
        <v>45484</v>
      </c>
      <c r="B3029" s="34" t="s">
        <v>15003</v>
      </c>
      <c r="C3029" s="25" t="s">
        <v>15002</v>
      </c>
      <c r="D3029" s="25" t="s">
        <v>14946</v>
      </c>
    </row>
    <row r="3030" spans="1:4">
      <c r="A3030" s="58">
        <v>45484</v>
      </c>
      <c r="B3030" s="34" t="s">
        <v>15005</v>
      </c>
      <c r="C3030" s="25" t="s">
        <v>15004</v>
      </c>
      <c r="D3030" s="25" t="s">
        <v>14946</v>
      </c>
    </row>
    <row r="3031" spans="1:4">
      <c r="A3031" s="58">
        <v>45484</v>
      </c>
      <c r="B3031" s="34" t="s">
        <v>15007</v>
      </c>
      <c r="C3031" s="25" t="s">
        <v>15006</v>
      </c>
      <c r="D3031" s="25" t="s">
        <v>14946</v>
      </c>
    </row>
    <row r="3032" spans="1:4">
      <c r="A3032" s="58">
        <v>45481</v>
      </c>
      <c r="B3032" s="34" t="s">
        <v>15009</v>
      </c>
      <c r="C3032" s="25" t="s">
        <v>15008</v>
      </c>
      <c r="D3032" s="25" t="s">
        <v>164</v>
      </c>
    </row>
    <row r="3033" spans="1:4">
      <c r="A3033" s="58">
        <v>45481</v>
      </c>
      <c r="B3033" s="34" t="s">
        <v>15011</v>
      </c>
      <c r="C3033" s="25" t="s">
        <v>15010</v>
      </c>
      <c r="D3033" s="25" t="s">
        <v>29</v>
      </c>
    </row>
    <row r="3034" spans="1:4">
      <c r="A3034" s="58">
        <v>45481</v>
      </c>
      <c r="B3034" s="34" t="s">
        <v>15013</v>
      </c>
      <c r="C3034" s="25" t="s">
        <v>15012</v>
      </c>
      <c r="D3034" s="25" t="s">
        <v>74</v>
      </c>
    </row>
    <row r="3035" spans="1:4">
      <c r="A3035" s="58">
        <v>45481</v>
      </c>
      <c r="B3035" s="34" t="s">
        <v>15015</v>
      </c>
      <c r="C3035" s="25" t="s">
        <v>15014</v>
      </c>
      <c r="D3035" s="25" t="s">
        <v>5</v>
      </c>
    </row>
    <row r="3036" spans="1:4">
      <c r="A3036" s="58">
        <v>45481</v>
      </c>
      <c r="B3036" s="34" t="s">
        <v>15017</v>
      </c>
      <c r="C3036" s="25" t="s">
        <v>15016</v>
      </c>
      <c r="D3036" s="25" t="s">
        <v>353</v>
      </c>
    </row>
    <row r="3037" spans="1:4">
      <c r="A3037" s="58">
        <v>45482</v>
      </c>
      <c r="B3037" s="34" t="s">
        <v>15019</v>
      </c>
      <c r="C3037" s="25" t="s">
        <v>15018</v>
      </c>
      <c r="D3037" s="25" t="s">
        <v>510</v>
      </c>
    </row>
    <row r="3038" spans="1:4">
      <c r="A3038" s="58">
        <v>45482</v>
      </c>
      <c r="B3038" s="34" t="s">
        <v>15021</v>
      </c>
      <c r="C3038" s="25" t="s">
        <v>15020</v>
      </c>
      <c r="D3038" s="25" t="s">
        <v>24</v>
      </c>
    </row>
    <row r="3039" spans="1:4">
      <c r="A3039" s="58">
        <v>45484</v>
      </c>
      <c r="B3039" s="34" t="s">
        <v>15023</v>
      </c>
      <c r="C3039" s="25" t="s">
        <v>15022</v>
      </c>
      <c r="D3039" s="25" t="s">
        <v>164</v>
      </c>
    </row>
    <row r="3040" spans="1:4">
      <c r="A3040" s="58">
        <v>45484</v>
      </c>
      <c r="B3040" s="34" t="s">
        <v>15025</v>
      </c>
      <c r="C3040" s="25" t="s">
        <v>15024</v>
      </c>
      <c r="D3040" s="25" t="s">
        <v>345</v>
      </c>
    </row>
    <row r="3041" spans="1:4">
      <c r="A3041" s="58">
        <v>45485</v>
      </c>
      <c r="B3041" s="34" t="s">
        <v>15027</v>
      </c>
      <c r="C3041" s="25" t="s">
        <v>15026</v>
      </c>
      <c r="D3041" s="25" t="s">
        <v>5</v>
      </c>
    </row>
    <row r="3042" spans="1:4">
      <c r="A3042" s="58">
        <v>45485</v>
      </c>
      <c r="B3042" s="34" t="s">
        <v>15029</v>
      </c>
      <c r="C3042" s="25" t="s">
        <v>15028</v>
      </c>
      <c r="D3042" s="25" t="s">
        <v>11</v>
      </c>
    </row>
    <row r="3043" spans="1:4">
      <c r="A3043" s="58">
        <v>45485</v>
      </c>
      <c r="B3043" s="34" t="s">
        <v>15031</v>
      </c>
      <c r="C3043" s="25" t="s">
        <v>15030</v>
      </c>
      <c r="D3043" s="25" t="s">
        <v>594</v>
      </c>
    </row>
    <row r="3044" spans="1:4">
      <c r="A3044" s="58">
        <v>45488</v>
      </c>
      <c r="B3044" s="34" t="s">
        <v>15033</v>
      </c>
      <c r="C3044" s="25" t="s">
        <v>15032</v>
      </c>
      <c r="D3044" s="25" t="s">
        <v>11</v>
      </c>
    </row>
    <row r="3045" spans="1:4">
      <c r="A3045" s="58">
        <v>45490</v>
      </c>
      <c r="B3045" s="34" t="s">
        <v>15035</v>
      </c>
      <c r="C3045" s="25" t="s">
        <v>15034</v>
      </c>
      <c r="D3045" s="25" t="s">
        <v>74</v>
      </c>
    </row>
    <row r="3046" spans="1:4">
      <c r="A3046" s="58">
        <v>45490</v>
      </c>
      <c r="B3046" s="34" t="s">
        <v>15037</v>
      </c>
      <c r="C3046" s="25" t="s">
        <v>15036</v>
      </c>
      <c r="D3046" s="25" t="s">
        <v>34</v>
      </c>
    </row>
    <row r="3047" spans="1:4">
      <c r="A3047" s="58">
        <v>45481</v>
      </c>
      <c r="B3047" s="34" t="s">
        <v>10969</v>
      </c>
      <c r="C3047" s="25" t="s">
        <v>15038</v>
      </c>
      <c r="D3047" s="25" t="s">
        <v>29</v>
      </c>
    </row>
    <row r="3048" spans="1:4">
      <c r="A3048" s="58">
        <v>45482</v>
      </c>
      <c r="B3048" s="34" t="s">
        <v>15040</v>
      </c>
      <c r="C3048" s="25" t="s">
        <v>15039</v>
      </c>
      <c r="D3048" s="25" t="s">
        <v>5</v>
      </c>
    </row>
    <row r="3049" spans="1:4">
      <c r="A3049" s="58">
        <v>45482</v>
      </c>
      <c r="B3049" s="34" t="s">
        <v>15042</v>
      </c>
      <c r="C3049" s="25" t="s">
        <v>15041</v>
      </c>
      <c r="D3049" s="25" t="s">
        <v>345</v>
      </c>
    </row>
    <row r="3050" spans="1:4">
      <c r="A3050" s="58">
        <v>45482</v>
      </c>
      <c r="B3050" s="34" t="s">
        <v>15044</v>
      </c>
      <c r="C3050" s="25" t="s">
        <v>15043</v>
      </c>
      <c r="D3050" s="25" t="s">
        <v>5</v>
      </c>
    </row>
    <row r="3051" spans="1:4">
      <c r="A3051" s="58">
        <v>45484</v>
      </c>
      <c r="B3051" s="34" t="s">
        <v>15046</v>
      </c>
      <c r="C3051" s="25" t="s">
        <v>15045</v>
      </c>
      <c r="D3051" s="25" t="s">
        <v>74</v>
      </c>
    </row>
    <row r="3052" spans="1:4">
      <c r="A3052" s="58">
        <v>45484</v>
      </c>
      <c r="B3052" s="34" t="s">
        <v>15048</v>
      </c>
      <c r="C3052" s="25" t="s">
        <v>15047</v>
      </c>
      <c r="D3052" s="25" t="s">
        <v>5</v>
      </c>
    </row>
    <row r="3053" spans="1:4">
      <c r="A3053" s="58">
        <v>45484</v>
      </c>
      <c r="B3053" s="34" t="s">
        <v>15050</v>
      </c>
      <c r="C3053" s="25" t="s">
        <v>15049</v>
      </c>
      <c r="D3053" s="25" t="s">
        <v>5</v>
      </c>
    </row>
    <row r="3054" spans="1:4">
      <c r="A3054" s="58">
        <v>45484</v>
      </c>
      <c r="B3054" s="34" t="s">
        <v>15052</v>
      </c>
      <c r="C3054" s="25" t="s">
        <v>15051</v>
      </c>
      <c r="D3054" s="25" t="s">
        <v>74</v>
      </c>
    </row>
    <row r="3055" spans="1:4">
      <c r="A3055" s="58">
        <v>45484</v>
      </c>
      <c r="B3055" s="34" t="s">
        <v>10969</v>
      </c>
      <c r="C3055" s="25" t="s">
        <v>15053</v>
      </c>
      <c r="D3055" s="25" t="s">
        <v>109</v>
      </c>
    </row>
    <row r="3056" spans="1:4">
      <c r="A3056" s="58">
        <v>45484</v>
      </c>
      <c r="B3056" s="34" t="s">
        <v>15055</v>
      </c>
      <c r="C3056" s="25" t="s">
        <v>15054</v>
      </c>
      <c r="D3056" s="25" t="s">
        <v>5</v>
      </c>
    </row>
    <row r="3057" spans="1:4">
      <c r="A3057" s="58">
        <v>45484</v>
      </c>
      <c r="B3057" s="34" t="s">
        <v>10969</v>
      </c>
      <c r="C3057" s="25" t="s">
        <v>15056</v>
      </c>
      <c r="D3057" s="25" t="s">
        <v>109</v>
      </c>
    </row>
    <row r="3058" spans="1:4">
      <c r="A3058" s="58">
        <v>45485</v>
      </c>
      <c r="B3058" s="34" t="s">
        <v>10969</v>
      </c>
      <c r="C3058" s="25" t="s">
        <v>15057</v>
      </c>
      <c r="D3058" s="25" t="s">
        <v>109</v>
      </c>
    </row>
    <row r="3059" spans="1:4">
      <c r="A3059" s="58">
        <v>45485</v>
      </c>
      <c r="B3059" s="34" t="s">
        <v>15059</v>
      </c>
      <c r="C3059" s="25" t="s">
        <v>15058</v>
      </c>
      <c r="D3059" s="25" t="s">
        <v>74</v>
      </c>
    </row>
    <row r="3060" spans="1:4">
      <c r="A3060" s="58">
        <v>45485</v>
      </c>
      <c r="B3060" s="34" t="s">
        <v>10969</v>
      </c>
      <c r="C3060" s="25" t="s">
        <v>15060</v>
      </c>
      <c r="D3060" s="25" t="s">
        <v>109</v>
      </c>
    </row>
    <row r="3061" spans="1:4">
      <c r="A3061" s="58">
        <v>45485</v>
      </c>
      <c r="B3061" s="34" t="s">
        <v>15062</v>
      </c>
      <c r="C3061" s="25" t="s">
        <v>15061</v>
      </c>
      <c r="D3061" s="25" t="s">
        <v>74</v>
      </c>
    </row>
    <row r="3062" spans="1:4">
      <c r="A3062" s="58">
        <v>45485</v>
      </c>
      <c r="B3062" s="34" t="s">
        <v>10969</v>
      </c>
      <c r="C3062" s="25" t="s">
        <v>15063</v>
      </c>
      <c r="D3062" s="25" t="s">
        <v>109</v>
      </c>
    </row>
    <row r="3063" spans="1:4">
      <c r="A3063" s="58">
        <v>45486</v>
      </c>
      <c r="B3063" s="34" t="s">
        <v>10969</v>
      </c>
      <c r="C3063" s="25" t="s">
        <v>15064</v>
      </c>
      <c r="D3063" s="25" t="s">
        <v>29</v>
      </c>
    </row>
    <row r="3064" spans="1:4">
      <c r="A3064" s="58">
        <v>45488</v>
      </c>
      <c r="B3064" s="34" t="s">
        <v>15066</v>
      </c>
      <c r="C3064" s="25" t="s">
        <v>15065</v>
      </c>
      <c r="D3064" s="25" t="s">
        <v>345</v>
      </c>
    </row>
    <row r="3065" spans="1:4">
      <c r="A3065" s="58">
        <v>45490</v>
      </c>
      <c r="B3065" s="34" t="s">
        <v>10969</v>
      </c>
      <c r="C3065" s="25" t="s">
        <v>15067</v>
      </c>
      <c r="D3065" s="25" t="s">
        <v>109</v>
      </c>
    </row>
    <row r="3066" spans="1:4">
      <c r="A3066" s="58">
        <v>45490</v>
      </c>
      <c r="B3066" s="34" t="s">
        <v>10969</v>
      </c>
      <c r="C3066" s="25" t="s">
        <v>15068</v>
      </c>
      <c r="D3066" s="25" t="s">
        <v>109</v>
      </c>
    </row>
    <row r="3067" spans="1:4">
      <c r="A3067" s="58">
        <v>45490</v>
      </c>
      <c r="B3067" s="34" t="s">
        <v>15070</v>
      </c>
      <c r="C3067" s="25" t="s">
        <v>15069</v>
      </c>
      <c r="D3067" s="25" t="s">
        <v>510</v>
      </c>
    </row>
    <row r="3068" spans="1:4">
      <c r="A3068" s="58">
        <v>45490</v>
      </c>
      <c r="B3068" s="34" t="s">
        <v>10969</v>
      </c>
      <c r="C3068" s="25" t="s">
        <v>15071</v>
      </c>
      <c r="D3068" s="25" t="s">
        <v>109</v>
      </c>
    </row>
    <row r="3069" spans="1:4">
      <c r="A3069" s="58">
        <v>45492</v>
      </c>
      <c r="B3069" s="34" t="s">
        <v>15073</v>
      </c>
      <c r="C3069" s="25" t="s">
        <v>15072</v>
      </c>
      <c r="D3069" s="25" t="s">
        <v>29</v>
      </c>
    </row>
    <row r="3070" spans="1:4">
      <c r="A3070" s="58">
        <v>45493</v>
      </c>
      <c r="B3070" s="34" t="s">
        <v>15075</v>
      </c>
      <c r="C3070" s="25" t="s">
        <v>15074</v>
      </c>
      <c r="D3070" s="25" t="s">
        <v>81</v>
      </c>
    </row>
    <row r="3071" spans="1:4">
      <c r="A3071" s="58">
        <v>45493</v>
      </c>
      <c r="B3071" s="34" t="s">
        <v>15076</v>
      </c>
      <c r="C3071" s="25" t="s">
        <v>83</v>
      </c>
      <c r="D3071" s="25" t="s">
        <v>81</v>
      </c>
    </row>
    <row r="3072" spans="1:4">
      <c r="A3072" s="58">
        <v>45493</v>
      </c>
      <c r="B3072" s="34" t="s">
        <v>15078</v>
      </c>
      <c r="C3072" s="25" t="s">
        <v>15077</v>
      </c>
      <c r="D3072" s="25" t="s">
        <v>81</v>
      </c>
    </row>
    <row r="3073" spans="1:4">
      <c r="A3073" s="58">
        <v>45495</v>
      </c>
      <c r="B3073" s="34" t="s">
        <v>15080</v>
      </c>
      <c r="C3073" s="25" t="s">
        <v>15079</v>
      </c>
      <c r="D3073" s="25" t="s">
        <v>29</v>
      </c>
    </row>
    <row r="3074" spans="1:4">
      <c r="A3074" s="58">
        <v>45495</v>
      </c>
      <c r="B3074" s="34" t="s">
        <v>15082</v>
      </c>
      <c r="C3074" s="25" t="s">
        <v>15081</v>
      </c>
      <c r="D3074" s="25" t="s">
        <v>345</v>
      </c>
    </row>
    <row r="3075" spans="1:4">
      <c r="A3075" s="58">
        <v>45495</v>
      </c>
      <c r="B3075" s="34" t="s">
        <v>15084</v>
      </c>
      <c r="C3075" s="25" t="s">
        <v>15083</v>
      </c>
      <c r="D3075" s="25" t="s">
        <v>5</v>
      </c>
    </row>
    <row r="3076" spans="1:4">
      <c r="A3076" s="58">
        <v>45496</v>
      </c>
      <c r="B3076" s="34" t="s">
        <v>15086</v>
      </c>
      <c r="C3076" s="25" t="s">
        <v>15085</v>
      </c>
      <c r="D3076" s="25" t="s">
        <v>74</v>
      </c>
    </row>
    <row r="3077" spans="1:4">
      <c r="A3077" s="58">
        <v>45496</v>
      </c>
      <c r="B3077" s="25" t="s">
        <v>15088</v>
      </c>
      <c r="C3077" s="25" t="s">
        <v>15087</v>
      </c>
      <c r="D3077" s="25" t="s">
        <v>8</v>
      </c>
    </row>
    <row r="3078" spans="1:4">
      <c r="A3078" s="58">
        <v>45497</v>
      </c>
      <c r="B3078" s="34" t="s">
        <v>15090</v>
      </c>
      <c r="C3078" s="25" t="s">
        <v>15089</v>
      </c>
      <c r="D3078" s="25" t="s">
        <v>74</v>
      </c>
    </row>
    <row r="3079" spans="1:4">
      <c r="A3079" s="58">
        <v>45497</v>
      </c>
      <c r="B3079" s="34" t="s">
        <v>15092</v>
      </c>
      <c r="C3079" s="25" t="s">
        <v>15091</v>
      </c>
      <c r="D3079" s="25" t="s">
        <v>34</v>
      </c>
    </row>
    <row r="3080" spans="1:4">
      <c r="A3080" s="58">
        <v>45497</v>
      </c>
      <c r="B3080" s="34" t="s">
        <v>15094</v>
      </c>
      <c r="C3080" s="25" t="s">
        <v>15093</v>
      </c>
      <c r="D3080" s="25" t="s">
        <v>24</v>
      </c>
    </row>
    <row r="3081" spans="1:4">
      <c r="A3081" s="58">
        <v>45498</v>
      </c>
      <c r="B3081" s="34" t="s">
        <v>15096</v>
      </c>
      <c r="C3081" s="25" t="s">
        <v>15095</v>
      </c>
      <c r="D3081" s="25" t="s">
        <v>34</v>
      </c>
    </row>
    <row r="3082" spans="1:4">
      <c r="A3082" s="58">
        <v>45491</v>
      </c>
      <c r="B3082" s="34" t="s">
        <v>15098</v>
      </c>
      <c r="C3082" s="25" t="s">
        <v>15097</v>
      </c>
      <c r="D3082" s="25" t="s">
        <v>109</v>
      </c>
    </row>
    <row r="3083" spans="1:4">
      <c r="A3083" s="58">
        <v>45491</v>
      </c>
      <c r="B3083" s="34" t="s">
        <v>15100</v>
      </c>
      <c r="C3083" s="25" t="s">
        <v>15099</v>
      </c>
      <c r="D3083" s="25" t="s">
        <v>345</v>
      </c>
    </row>
    <row r="3084" spans="1:4">
      <c r="A3084" s="58">
        <v>45491</v>
      </c>
      <c r="B3084" s="34" t="s">
        <v>15101</v>
      </c>
      <c r="C3084" s="25" t="s">
        <v>14723</v>
      </c>
      <c r="D3084" s="25" t="s">
        <v>74</v>
      </c>
    </row>
    <row r="3085" spans="1:4">
      <c r="A3085" s="58">
        <v>45492</v>
      </c>
      <c r="B3085" s="34" t="s">
        <v>15103</v>
      </c>
      <c r="C3085" s="25" t="s">
        <v>15102</v>
      </c>
      <c r="D3085" s="25" t="s">
        <v>16</v>
      </c>
    </row>
    <row r="3086" spans="1:4">
      <c r="A3086" s="58">
        <v>45492</v>
      </c>
      <c r="B3086" s="34" t="s">
        <v>15105</v>
      </c>
      <c r="C3086" s="25" t="s">
        <v>15104</v>
      </c>
      <c r="D3086" s="25" t="s">
        <v>16</v>
      </c>
    </row>
    <row r="3087" spans="1:4">
      <c r="A3087" s="58">
        <v>45492</v>
      </c>
      <c r="B3087" s="34" t="s">
        <v>15106</v>
      </c>
      <c r="C3087" s="25" t="s">
        <v>15104</v>
      </c>
      <c r="D3087" s="25" t="s">
        <v>16</v>
      </c>
    </row>
    <row r="3088" spans="1:4">
      <c r="A3088" s="58">
        <v>45492</v>
      </c>
      <c r="B3088" s="34" t="s">
        <v>15108</v>
      </c>
      <c r="C3088" s="25" t="s">
        <v>15107</v>
      </c>
      <c r="D3088" s="25" t="s">
        <v>16</v>
      </c>
    </row>
    <row r="3089" spans="1:4">
      <c r="A3089" s="58">
        <v>45492</v>
      </c>
      <c r="B3089" s="34" t="s">
        <v>15109</v>
      </c>
      <c r="C3089" s="25" t="s">
        <v>15107</v>
      </c>
      <c r="D3089" s="25" t="s">
        <v>16</v>
      </c>
    </row>
    <row r="3090" spans="1:4">
      <c r="A3090" s="58">
        <v>45492</v>
      </c>
      <c r="B3090" s="34" t="s">
        <v>15110</v>
      </c>
      <c r="C3090" s="25" t="s">
        <v>15107</v>
      </c>
      <c r="D3090" s="25" t="s">
        <v>16</v>
      </c>
    </row>
    <row r="3091" spans="1:4">
      <c r="A3091" s="58">
        <v>45492</v>
      </c>
      <c r="B3091" s="34" t="s">
        <v>15112</v>
      </c>
      <c r="C3091" s="25" t="s">
        <v>15111</v>
      </c>
      <c r="D3091" s="25" t="s">
        <v>74</v>
      </c>
    </row>
    <row r="3092" spans="1:4">
      <c r="A3092" s="58">
        <v>45493</v>
      </c>
      <c r="B3092" s="34" t="s">
        <v>15114</v>
      </c>
      <c r="C3092" s="25" t="s">
        <v>15113</v>
      </c>
      <c r="D3092" s="25" t="s">
        <v>34</v>
      </c>
    </row>
    <row r="3093" spans="1:4">
      <c r="A3093" s="58">
        <v>45493</v>
      </c>
      <c r="B3093" s="34" t="s">
        <v>15116</v>
      </c>
      <c r="C3093" s="25" t="s">
        <v>15115</v>
      </c>
      <c r="D3093" s="25" t="s">
        <v>34</v>
      </c>
    </row>
    <row r="3094" spans="1:4">
      <c r="A3094" s="58">
        <v>45495</v>
      </c>
      <c r="B3094" s="34" t="s">
        <v>15118</v>
      </c>
      <c r="C3094" s="25" t="s">
        <v>15117</v>
      </c>
      <c r="D3094" s="25" t="s">
        <v>74</v>
      </c>
    </row>
    <row r="3095" spans="1:4">
      <c r="A3095" s="58">
        <v>45495</v>
      </c>
      <c r="B3095" s="34" t="s">
        <v>15120</v>
      </c>
      <c r="C3095" s="25" t="s">
        <v>15119</v>
      </c>
      <c r="D3095" s="25" t="s">
        <v>74</v>
      </c>
    </row>
    <row r="3096" spans="1:4">
      <c r="A3096" s="58">
        <v>45495</v>
      </c>
      <c r="B3096" s="34" t="s">
        <v>15122</v>
      </c>
      <c r="C3096" s="25" t="s">
        <v>15121</v>
      </c>
      <c r="D3096" s="25" t="s">
        <v>74</v>
      </c>
    </row>
    <row r="3097" spans="1:4">
      <c r="A3097" s="58">
        <v>45495</v>
      </c>
      <c r="B3097" s="34" t="s">
        <v>15124</v>
      </c>
      <c r="C3097" s="25" t="s">
        <v>15123</v>
      </c>
      <c r="D3097" s="25" t="s">
        <v>74</v>
      </c>
    </row>
    <row r="3098" spans="1:4">
      <c r="A3098" s="58">
        <v>45497</v>
      </c>
      <c r="B3098" s="34" t="s">
        <v>15126</v>
      </c>
      <c r="C3098" s="25" t="s">
        <v>15125</v>
      </c>
      <c r="D3098" s="25" t="s">
        <v>74</v>
      </c>
    </row>
    <row r="3099" spans="1:4">
      <c r="A3099" s="58">
        <v>45497</v>
      </c>
      <c r="B3099" s="34" t="s">
        <v>15126</v>
      </c>
      <c r="C3099" s="25" t="s">
        <v>15127</v>
      </c>
      <c r="D3099" s="25" t="s">
        <v>74</v>
      </c>
    </row>
    <row r="3100" spans="1:4">
      <c r="A3100" s="58">
        <v>45490</v>
      </c>
      <c r="B3100" s="34" t="s">
        <v>15129</v>
      </c>
      <c r="C3100" s="25" t="s">
        <v>15128</v>
      </c>
      <c r="D3100" s="25" t="s">
        <v>29</v>
      </c>
    </row>
    <row r="3101" spans="1:4">
      <c r="A3101" s="58">
        <v>45492</v>
      </c>
      <c r="B3101" s="34" t="s">
        <v>15131</v>
      </c>
      <c r="C3101" s="25" t="s">
        <v>15130</v>
      </c>
      <c r="D3101" s="25" t="s">
        <v>109</v>
      </c>
    </row>
    <row r="3102" spans="1:4">
      <c r="A3102" s="58">
        <v>45492</v>
      </c>
      <c r="B3102" s="34" t="s">
        <v>15133</v>
      </c>
      <c r="C3102" s="25" t="s">
        <v>15132</v>
      </c>
      <c r="D3102" s="25" t="s">
        <v>29</v>
      </c>
    </row>
    <row r="3103" spans="1:4">
      <c r="A3103" s="58">
        <v>45492</v>
      </c>
      <c r="B3103" s="34" t="s">
        <v>15135</v>
      </c>
      <c r="C3103" s="25" t="s">
        <v>15134</v>
      </c>
      <c r="D3103" s="25" t="s">
        <v>29</v>
      </c>
    </row>
    <row r="3104" spans="1:4">
      <c r="A3104" s="58">
        <v>45492</v>
      </c>
      <c r="B3104" s="34" t="s">
        <v>15136</v>
      </c>
      <c r="C3104" s="25" t="s">
        <v>15130</v>
      </c>
      <c r="D3104" s="25" t="s">
        <v>109</v>
      </c>
    </row>
    <row r="3105" spans="1:4">
      <c r="A3105" s="58">
        <v>45495</v>
      </c>
      <c r="B3105" s="34" t="s">
        <v>15138</v>
      </c>
      <c r="C3105" s="25" t="s">
        <v>15137</v>
      </c>
      <c r="D3105" s="25" t="s">
        <v>345</v>
      </c>
    </row>
    <row r="3106" spans="1:4">
      <c r="A3106" s="58">
        <v>45495</v>
      </c>
      <c r="B3106" s="34" t="s">
        <v>15140</v>
      </c>
      <c r="C3106" s="25" t="s">
        <v>15139</v>
      </c>
      <c r="D3106" s="25" t="s">
        <v>345</v>
      </c>
    </row>
    <row r="3107" spans="1:4">
      <c r="A3107" s="58">
        <v>45496</v>
      </c>
      <c r="B3107" s="34" t="s">
        <v>15142</v>
      </c>
      <c r="C3107" s="25" t="s">
        <v>15141</v>
      </c>
      <c r="D3107" s="25" t="s">
        <v>5</v>
      </c>
    </row>
    <row r="3108" spans="1:4">
      <c r="A3108" s="58">
        <v>45496</v>
      </c>
      <c r="B3108" s="34" t="s">
        <v>15144</v>
      </c>
      <c r="C3108" s="25" t="s">
        <v>15143</v>
      </c>
      <c r="D3108" s="25" t="s">
        <v>5</v>
      </c>
    </row>
    <row r="3109" spans="1:4">
      <c r="A3109" s="58">
        <v>45497</v>
      </c>
      <c r="B3109" s="34" t="s">
        <v>15146</v>
      </c>
      <c r="C3109" s="25" t="s">
        <v>15145</v>
      </c>
      <c r="D3109" s="25" t="s">
        <v>5</v>
      </c>
    </row>
    <row r="3110" spans="1:4">
      <c r="A3110" s="58">
        <v>45497</v>
      </c>
      <c r="B3110" s="34" t="s">
        <v>15148</v>
      </c>
      <c r="C3110" s="25" t="s">
        <v>15147</v>
      </c>
      <c r="D3110" s="25" t="s">
        <v>5</v>
      </c>
    </row>
    <row r="3111" spans="1:4">
      <c r="A3111" s="58">
        <v>45491</v>
      </c>
      <c r="B3111" s="34" t="s">
        <v>15150</v>
      </c>
      <c r="C3111" s="25" t="s">
        <v>15149</v>
      </c>
      <c r="D3111" s="25" t="s">
        <v>29</v>
      </c>
    </row>
    <row r="3112" spans="1:4">
      <c r="A3112" s="58">
        <v>45492</v>
      </c>
      <c r="B3112" s="34" t="s">
        <v>15152</v>
      </c>
      <c r="C3112" s="25" t="s">
        <v>15151</v>
      </c>
      <c r="D3112" s="25" t="s">
        <v>5</v>
      </c>
    </row>
    <row r="3113" spans="1:4">
      <c r="A3113" s="58">
        <v>45496</v>
      </c>
      <c r="B3113" s="34" t="s">
        <v>15154</v>
      </c>
      <c r="C3113" s="25" t="s">
        <v>15153</v>
      </c>
      <c r="D3113" s="25" t="s">
        <v>14368</v>
      </c>
    </row>
    <row r="3114" spans="1:4">
      <c r="A3114" s="58">
        <v>45496</v>
      </c>
      <c r="B3114" s="34" t="s">
        <v>15156</v>
      </c>
      <c r="C3114" s="25" t="s">
        <v>15155</v>
      </c>
      <c r="D3114" s="25" t="s">
        <v>14368</v>
      </c>
    </row>
    <row r="3115" spans="1:4">
      <c r="A3115" s="58">
        <v>45496</v>
      </c>
      <c r="B3115" s="34" t="s">
        <v>15158</v>
      </c>
      <c r="C3115" s="25" t="s">
        <v>15157</v>
      </c>
      <c r="D3115" s="25" t="s">
        <v>14368</v>
      </c>
    </row>
    <row r="3116" spans="1:4">
      <c r="A3116" s="58">
        <v>45496</v>
      </c>
      <c r="B3116" s="34" t="s">
        <v>15160</v>
      </c>
      <c r="C3116" s="25" t="s">
        <v>15159</v>
      </c>
      <c r="D3116" s="25" t="s">
        <v>14368</v>
      </c>
    </row>
    <row r="3117" spans="1:4">
      <c r="A3117" s="58">
        <v>45496</v>
      </c>
      <c r="B3117" s="34" t="s">
        <v>15162</v>
      </c>
      <c r="C3117" s="25" t="s">
        <v>15161</v>
      </c>
      <c r="D3117" s="25" t="s">
        <v>14368</v>
      </c>
    </row>
    <row r="3118" spans="1:4">
      <c r="A3118" s="58">
        <v>45496</v>
      </c>
      <c r="B3118" s="34" t="s">
        <v>15164</v>
      </c>
      <c r="C3118" s="25" t="s">
        <v>15163</v>
      </c>
      <c r="D3118" s="25" t="s">
        <v>14368</v>
      </c>
    </row>
    <row r="3119" spans="1:4">
      <c r="A3119" s="58">
        <v>45496</v>
      </c>
      <c r="B3119" s="34" t="s">
        <v>15166</v>
      </c>
      <c r="C3119" s="25" t="s">
        <v>15165</v>
      </c>
      <c r="D3119" s="25" t="s">
        <v>14368</v>
      </c>
    </row>
    <row r="3120" spans="1:4">
      <c r="A3120" s="58">
        <v>45497</v>
      </c>
      <c r="B3120" s="34" t="s">
        <v>15168</v>
      </c>
      <c r="C3120" s="25" t="s">
        <v>15167</v>
      </c>
      <c r="D3120" s="25" t="s">
        <v>14368</v>
      </c>
    </row>
    <row r="3121" spans="1:4">
      <c r="A3121" s="58">
        <v>45497</v>
      </c>
      <c r="B3121" s="34" t="s">
        <v>15170</v>
      </c>
      <c r="C3121" s="25" t="s">
        <v>15169</v>
      </c>
      <c r="D3121" s="25" t="s">
        <v>14368</v>
      </c>
    </row>
    <row r="3122" spans="1:4">
      <c r="A3122" s="58">
        <v>45497</v>
      </c>
      <c r="B3122" s="34" t="s">
        <v>15172</v>
      </c>
      <c r="C3122" s="25" t="s">
        <v>15171</v>
      </c>
      <c r="D3122" s="25" t="s">
        <v>14368</v>
      </c>
    </row>
    <row r="3123" spans="1:4">
      <c r="A3123" s="58">
        <v>45497</v>
      </c>
      <c r="B3123" s="34" t="s">
        <v>15173</v>
      </c>
      <c r="C3123" s="25" t="s">
        <v>15167</v>
      </c>
      <c r="D3123" s="25" t="s">
        <v>14368</v>
      </c>
    </row>
    <row r="3124" spans="1:4">
      <c r="A3124" s="58">
        <v>45497</v>
      </c>
      <c r="B3124" s="34" t="s">
        <v>15175</v>
      </c>
      <c r="C3124" s="25" t="s">
        <v>15174</v>
      </c>
      <c r="D3124" s="25" t="s">
        <v>14368</v>
      </c>
    </row>
    <row r="3125" spans="1:4">
      <c r="A3125" s="58">
        <v>45497</v>
      </c>
      <c r="B3125" s="34" t="s">
        <v>15177</v>
      </c>
      <c r="C3125" s="25" t="s">
        <v>15176</v>
      </c>
      <c r="D3125" s="25" t="s">
        <v>14368</v>
      </c>
    </row>
    <row r="3126" spans="1:4">
      <c r="A3126" s="58">
        <v>45497</v>
      </c>
      <c r="B3126" s="34" t="s">
        <v>15179</v>
      </c>
      <c r="C3126" s="25" t="s">
        <v>15178</v>
      </c>
      <c r="D3126" s="25" t="s">
        <v>14368</v>
      </c>
    </row>
    <row r="3127" spans="1:4">
      <c r="A3127" s="58">
        <v>45497</v>
      </c>
      <c r="B3127" s="34" t="s">
        <v>15181</v>
      </c>
      <c r="C3127" s="25" t="s">
        <v>15180</v>
      </c>
      <c r="D3127" s="25" t="s">
        <v>14368</v>
      </c>
    </row>
    <row r="3128" spans="1:4">
      <c r="A3128" s="58">
        <v>45497</v>
      </c>
      <c r="B3128" s="34" t="s">
        <v>15183</v>
      </c>
      <c r="C3128" s="25" t="s">
        <v>15182</v>
      </c>
      <c r="D3128" s="25" t="s">
        <v>14368</v>
      </c>
    </row>
    <row r="3129" spans="1:4">
      <c r="A3129" s="58">
        <v>45491</v>
      </c>
      <c r="B3129" s="34" t="s">
        <v>15185</v>
      </c>
      <c r="C3129" s="25" t="s">
        <v>15184</v>
      </c>
      <c r="D3129" s="25" t="s">
        <v>11</v>
      </c>
    </row>
    <row r="3130" spans="1:4">
      <c r="A3130" s="58">
        <v>45491</v>
      </c>
      <c r="B3130" s="25" t="s">
        <v>15187</v>
      </c>
      <c r="C3130" s="25" t="s">
        <v>15186</v>
      </c>
      <c r="D3130" s="25" t="s">
        <v>29</v>
      </c>
    </row>
    <row r="3131" spans="1:4">
      <c r="A3131" s="58">
        <v>45491</v>
      </c>
      <c r="B3131" s="25" t="s">
        <v>15189</v>
      </c>
      <c r="C3131" s="25" t="s">
        <v>15188</v>
      </c>
      <c r="D3131" s="25" t="s">
        <v>29</v>
      </c>
    </row>
    <row r="3132" spans="1:4">
      <c r="A3132" s="58">
        <v>45492</v>
      </c>
      <c r="B3132" s="34" t="s">
        <v>10969</v>
      </c>
      <c r="C3132" s="25" t="s">
        <v>15190</v>
      </c>
      <c r="D3132" s="25" t="s">
        <v>16</v>
      </c>
    </row>
    <row r="3133" spans="1:4">
      <c r="A3133" s="58">
        <v>45493</v>
      </c>
      <c r="B3133" s="25" t="s">
        <v>15192</v>
      </c>
      <c r="C3133" s="25" t="s">
        <v>15191</v>
      </c>
      <c r="D3133" s="25" t="s">
        <v>109</v>
      </c>
    </row>
    <row r="3134" spans="1:4">
      <c r="A3134" s="58">
        <v>45493</v>
      </c>
      <c r="B3134" s="25" t="s">
        <v>15194</v>
      </c>
      <c r="C3134" s="25" t="s">
        <v>15193</v>
      </c>
      <c r="D3134" s="25" t="s">
        <v>109</v>
      </c>
    </row>
    <row r="3135" spans="1:4">
      <c r="A3135" s="58">
        <v>45493</v>
      </c>
      <c r="B3135" s="25" t="s">
        <v>15196</v>
      </c>
      <c r="C3135" s="25" t="s">
        <v>15195</v>
      </c>
      <c r="D3135" s="25" t="s">
        <v>29</v>
      </c>
    </row>
    <row r="3136" spans="1:4">
      <c r="A3136" s="58">
        <v>45493</v>
      </c>
      <c r="B3136" s="25" t="s">
        <v>15198</v>
      </c>
      <c r="C3136" s="25" t="s">
        <v>15197</v>
      </c>
      <c r="D3136" s="25" t="s">
        <v>29</v>
      </c>
    </row>
    <row r="3137" spans="1:4">
      <c r="A3137" s="58">
        <v>45493</v>
      </c>
      <c r="B3137" s="25" t="s">
        <v>15200</v>
      </c>
      <c r="C3137" s="25" t="s">
        <v>15199</v>
      </c>
      <c r="D3137" s="25" t="s">
        <v>24</v>
      </c>
    </row>
    <row r="3138" spans="1:4">
      <c r="A3138" s="58">
        <v>45493</v>
      </c>
      <c r="B3138" s="25" t="s">
        <v>15202</v>
      </c>
      <c r="C3138" s="25" t="s">
        <v>15201</v>
      </c>
      <c r="D3138" s="25" t="s">
        <v>16</v>
      </c>
    </row>
    <row r="3139" spans="1:4">
      <c r="A3139" s="58">
        <v>45495</v>
      </c>
      <c r="B3139" s="25" t="s">
        <v>15204</v>
      </c>
      <c r="C3139" s="25" t="s">
        <v>15203</v>
      </c>
      <c r="D3139" s="25" t="s">
        <v>109</v>
      </c>
    </row>
    <row r="3140" spans="1:4">
      <c r="A3140" s="58">
        <v>45495</v>
      </c>
      <c r="B3140" s="25" t="s">
        <v>15206</v>
      </c>
      <c r="C3140" s="25" t="s">
        <v>15205</v>
      </c>
      <c r="D3140" s="25" t="s">
        <v>594</v>
      </c>
    </row>
    <row r="3141" spans="1:4">
      <c r="A3141" s="58">
        <v>45495</v>
      </c>
      <c r="B3141" s="34" t="s">
        <v>15208</v>
      </c>
      <c r="C3141" s="25" t="s">
        <v>15207</v>
      </c>
      <c r="D3141" s="25" t="s">
        <v>345</v>
      </c>
    </row>
    <row r="3142" spans="1:4">
      <c r="A3142" s="58">
        <v>45495</v>
      </c>
      <c r="B3142" s="34" t="s">
        <v>15210</v>
      </c>
      <c r="C3142" s="25" t="s">
        <v>15209</v>
      </c>
      <c r="D3142" s="25" t="s">
        <v>74</v>
      </c>
    </row>
    <row r="3143" spans="1:4">
      <c r="A3143" s="58">
        <v>45496</v>
      </c>
      <c r="B3143" s="34" t="s">
        <v>15212</v>
      </c>
      <c r="C3143" s="25" t="s">
        <v>15211</v>
      </c>
      <c r="D3143" s="25" t="s">
        <v>34</v>
      </c>
    </row>
    <row r="3144" spans="1:4">
      <c r="A3144" s="58">
        <v>45496</v>
      </c>
      <c r="B3144" s="34" t="s">
        <v>15214</v>
      </c>
      <c r="C3144" s="25" t="s">
        <v>15213</v>
      </c>
      <c r="D3144" s="25" t="s">
        <v>34</v>
      </c>
    </row>
    <row r="3145" spans="1:4">
      <c r="A3145" s="58">
        <v>45496</v>
      </c>
      <c r="B3145" s="25" t="s">
        <v>15216</v>
      </c>
      <c r="C3145" s="25" t="s">
        <v>15215</v>
      </c>
      <c r="D3145" s="25" t="s">
        <v>5</v>
      </c>
    </row>
    <row r="3146" spans="1:4">
      <c r="A3146" s="58">
        <v>45497</v>
      </c>
      <c r="B3146" s="34" t="s">
        <v>15218</v>
      </c>
      <c r="C3146" s="25" t="s">
        <v>15217</v>
      </c>
      <c r="D3146" s="25" t="s">
        <v>29</v>
      </c>
    </row>
    <row r="3147" spans="1:4">
      <c r="A3147" s="58">
        <v>45497</v>
      </c>
      <c r="B3147" s="25" t="s">
        <v>15220</v>
      </c>
      <c r="C3147" s="25" t="s">
        <v>15219</v>
      </c>
      <c r="D3147" s="25" t="s">
        <v>29</v>
      </c>
    </row>
    <row r="3148" spans="1:4">
      <c r="A3148" s="58">
        <v>45497</v>
      </c>
      <c r="B3148" s="34" t="s">
        <v>15222</v>
      </c>
      <c r="C3148" s="25" t="s">
        <v>15221</v>
      </c>
      <c r="D3148" s="25" t="s">
        <v>16</v>
      </c>
    </row>
    <row r="3149" spans="1:4">
      <c r="A3149" s="58">
        <v>45491</v>
      </c>
      <c r="B3149" s="25" t="s">
        <v>15224</v>
      </c>
      <c r="C3149" s="25" t="s">
        <v>15223</v>
      </c>
      <c r="D3149" s="25" t="s">
        <v>8</v>
      </c>
    </row>
    <row r="3150" spans="1:4">
      <c r="A3150" s="58">
        <v>45491</v>
      </c>
      <c r="B3150" s="34" t="s">
        <v>10969</v>
      </c>
      <c r="C3150" s="25" t="s">
        <v>15225</v>
      </c>
      <c r="D3150" s="25" t="s">
        <v>109</v>
      </c>
    </row>
    <row r="3151" spans="1:4">
      <c r="A3151" s="58">
        <v>45491</v>
      </c>
      <c r="B3151" s="34" t="s">
        <v>10969</v>
      </c>
      <c r="C3151" s="25" t="s">
        <v>15226</v>
      </c>
      <c r="D3151" s="25" t="s">
        <v>109</v>
      </c>
    </row>
    <row r="3152" spans="1:4">
      <c r="A3152" s="58">
        <v>45491</v>
      </c>
      <c r="B3152" s="25" t="s">
        <v>15228</v>
      </c>
      <c r="C3152" s="25" t="s">
        <v>15227</v>
      </c>
      <c r="D3152" s="25" t="s">
        <v>109</v>
      </c>
    </row>
    <row r="3153" spans="1:4">
      <c r="A3153" s="58">
        <v>45492</v>
      </c>
      <c r="B3153" s="34" t="s">
        <v>15230</v>
      </c>
      <c r="C3153" s="25" t="s">
        <v>15229</v>
      </c>
      <c r="D3153" s="25" t="s">
        <v>5</v>
      </c>
    </row>
    <row r="3154" spans="1:4">
      <c r="A3154" s="58">
        <v>45492</v>
      </c>
      <c r="B3154" s="25" t="s">
        <v>10969</v>
      </c>
      <c r="C3154" s="25" t="s">
        <v>15231</v>
      </c>
      <c r="D3154" s="25" t="s">
        <v>109</v>
      </c>
    </row>
    <row r="3155" spans="1:4">
      <c r="A3155" s="58">
        <v>45492</v>
      </c>
      <c r="B3155" s="34" t="s">
        <v>15233</v>
      </c>
      <c r="C3155" s="25" t="s">
        <v>15232</v>
      </c>
      <c r="D3155" s="25" t="s">
        <v>5</v>
      </c>
    </row>
    <row r="3156" spans="1:4">
      <c r="A3156" s="58">
        <v>45492</v>
      </c>
      <c r="B3156" s="25" t="s">
        <v>15235</v>
      </c>
      <c r="C3156" s="25" t="s">
        <v>15234</v>
      </c>
      <c r="D3156" s="25" t="s">
        <v>141</v>
      </c>
    </row>
    <row r="3157" spans="1:4">
      <c r="A3157" s="58">
        <v>45492</v>
      </c>
      <c r="B3157" s="25" t="s">
        <v>15237</v>
      </c>
      <c r="C3157" s="25" t="s">
        <v>15236</v>
      </c>
      <c r="D3157" s="25" t="s">
        <v>5</v>
      </c>
    </row>
    <row r="3158" spans="1:4">
      <c r="A3158" s="58">
        <v>45492</v>
      </c>
      <c r="B3158" s="34" t="s">
        <v>15239</v>
      </c>
      <c r="C3158" s="25" t="s">
        <v>15238</v>
      </c>
      <c r="D3158" s="25" t="s">
        <v>5</v>
      </c>
    </row>
    <row r="3159" spans="1:4">
      <c r="A3159" s="58">
        <v>45493</v>
      </c>
      <c r="B3159" s="25" t="s">
        <v>15241</v>
      </c>
      <c r="C3159" s="25" t="s">
        <v>15240</v>
      </c>
      <c r="D3159" s="25" t="s">
        <v>74</v>
      </c>
    </row>
    <row r="3160" spans="1:4">
      <c r="A3160" s="58">
        <v>45495</v>
      </c>
      <c r="B3160" s="34" t="s">
        <v>15243</v>
      </c>
      <c r="C3160" s="25" t="s">
        <v>15242</v>
      </c>
      <c r="D3160" s="25" t="s">
        <v>5</v>
      </c>
    </row>
    <row r="3161" spans="1:4">
      <c r="A3161" s="58">
        <v>45495</v>
      </c>
      <c r="B3161" s="34" t="s">
        <v>15245</v>
      </c>
      <c r="C3161" s="25" t="s">
        <v>15244</v>
      </c>
      <c r="D3161" s="25" t="s">
        <v>5</v>
      </c>
    </row>
    <row r="3162" spans="1:4">
      <c r="A3162" s="58">
        <v>45495</v>
      </c>
      <c r="B3162" s="34" t="s">
        <v>15247</v>
      </c>
      <c r="C3162" s="25" t="s">
        <v>15246</v>
      </c>
      <c r="D3162" s="25" t="s">
        <v>5</v>
      </c>
    </row>
    <row r="3163" spans="1:4">
      <c r="A3163" s="58">
        <v>45496</v>
      </c>
      <c r="B3163" s="34" t="s">
        <v>10969</v>
      </c>
      <c r="C3163" s="25" t="s">
        <v>15248</v>
      </c>
      <c r="D3163" s="25" t="s">
        <v>109</v>
      </c>
    </row>
    <row r="3164" spans="1:4">
      <c r="A3164" s="58">
        <v>45496</v>
      </c>
      <c r="B3164" s="34" t="s">
        <v>10969</v>
      </c>
      <c r="C3164" s="25" t="s">
        <v>15249</v>
      </c>
      <c r="D3164" s="25" t="s">
        <v>109</v>
      </c>
    </row>
    <row r="3165" spans="1:4">
      <c r="A3165" s="58">
        <v>45496</v>
      </c>
      <c r="B3165" s="25" t="s">
        <v>15251</v>
      </c>
      <c r="C3165" s="25" t="s">
        <v>15250</v>
      </c>
      <c r="D3165" s="25" t="s">
        <v>16</v>
      </c>
    </row>
    <row r="3166" spans="1:4">
      <c r="A3166" s="58">
        <v>45496</v>
      </c>
      <c r="B3166" s="34" t="s">
        <v>10969</v>
      </c>
      <c r="C3166" s="25" t="s">
        <v>15252</v>
      </c>
      <c r="D3166" s="25" t="s">
        <v>109</v>
      </c>
    </row>
    <row r="3167" spans="1:4">
      <c r="A3167" s="58">
        <v>45497</v>
      </c>
      <c r="B3167" s="25" t="s">
        <v>15254</v>
      </c>
      <c r="C3167" s="25" t="s">
        <v>15253</v>
      </c>
      <c r="D3167" s="25" t="s">
        <v>594</v>
      </c>
    </row>
    <row r="3168" spans="1:4">
      <c r="A3168" s="58">
        <v>45497</v>
      </c>
      <c r="B3168" s="25" t="s">
        <v>10969</v>
      </c>
      <c r="C3168" s="25" t="s">
        <v>15255</v>
      </c>
      <c r="D3168" s="25" t="s">
        <v>109</v>
      </c>
    </row>
    <row r="3169" spans="1:4">
      <c r="A3169" s="58">
        <v>45497</v>
      </c>
      <c r="B3169" s="25" t="s">
        <v>15257</v>
      </c>
      <c r="C3169" s="25" t="s">
        <v>15256</v>
      </c>
      <c r="D3169" s="25" t="s">
        <v>74</v>
      </c>
    </row>
    <row r="3170" spans="1:4">
      <c r="A3170" s="58">
        <v>45497</v>
      </c>
      <c r="B3170" s="25" t="s">
        <v>15259</v>
      </c>
      <c r="C3170" s="25" t="s">
        <v>15258</v>
      </c>
      <c r="D3170" s="25" t="s">
        <v>74</v>
      </c>
    </row>
    <row r="3171" spans="1:4">
      <c r="A3171" s="58">
        <v>45497</v>
      </c>
      <c r="B3171" s="34" t="s">
        <v>15261</v>
      </c>
      <c r="C3171" s="25" t="s">
        <v>15260</v>
      </c>
      <c r="D3171" s="25" t="s">
        <v>74</v>
      </c>
    </row>
    <row r="3172" spans="1:4">
      <c r="A3172" s="58">
        <v>45497</v>
      </c>
      <c r="B3172" s="34" t="s">
        <v>15263</v>
      </c>
      <c r="C3172" s="25" t="s">
        <v>15262</v>
      </c>
      <c r="D3172" s="25" t="s">
        <v>74</v>
      </c>
    </row>
    <row r="3173" spans="1:4">
      <c r="A3173" s="58">
        <v>45499</v>
      </c>
      <c r="B3173" s="34" t="s">
        <v>15265</v>
      </c>
      <c r="C3173" s="25" t="s">
        <v>15264</v>
      </c>
      <c r="D3173" s="25" t="s">
        <v>109</v>
      </c>
    </row>
    <row r="3174" spans="1:4">
      <c r="A3174" s="58">
        <v>45499</v>
      </c>
      <c r="B3174" s="34" t="s">
        <v>15267</v>
      </c>
      <c r="C3174" s="25" t="s">
        <v>15266</v>
      </c>
      <c r="D3174" s="25" t="s">
        <v>164</v>
      </c>
    </row>
    <row r="3175" spans="1:4">
      <c r="A3175" s="58">
        <v>45499</v>
      </c>
      <c r="B3175" s="34" t="s">
        <v>15269</v>
      </c>
      <c r="C3175" s="25" t="s">
        <v>15268</v>
      </c>
      <c r="D3175" s="25" t="s">
        <v>109</v>
      </c>
    </row>
    <row r="3176" spans="1:4">
      <c r="A3176" s="58">
        <v>45499</v>
      </c>
      <c r="B3176" s="34" t="s">
        <v>15271</v>
      </c>
      <c r="C3176" s="25" t="s">
        <v>15270</v>
      </c>
      <c r="D3176" s="25" t="s">
        <v>345</v>
      </c>
    </row>
    <row r="3177" spans="1:4">
      <c r="A3177" s="58">
        <v>45499</v>
      </c>
      <c r="B3177" s="34" t="s">
        <v>15272</v>
      </c>
      <c r="C3177" s="25" t="s">
        <v>14723</v>
      </c>
      <c r="D3177" s="25" t="s">
        <v>74</v>
      </c>
    </row>
    <row r="3178" spans="1:4">
      <c r="A3178" s="58">
        <v>45498</v>
      </c>
      <c r="B3178" s="34" t="s">
        <v>15273</v>
      </c>
      <c r="C3178" s="25" t="s">
        <v>11869</v>
      </c>
      <c r="D3178" s="25" t="s">
        <v>74</v>
      </c>
    </row>
    <row r="3179" spans="1:4">
      <c r="A3179" s="58">
        <v>45498</v>
      </c>
      <c r="B3179" s="34" t="s">
        <v>15275</v>
      </c>
      <c r="C3179" s="25" t="s">
        <v>15274</v>
      </c>
      <c r="D3179" s="25" t="s">
        <v>345</v>
      </c>
    </row>
    <row r="3180" spans="1:4">
      <c r="A3180" s="58">
        <v>45498</v>
      </c>
      <c r="B3180" s="34" t="s">
        <v>15277</v>
      </c>
      <c r="C3180" s="25" t="s">
        <v>15276</v>
      </c>
      <c r="D3180" s="25" t="s">
        <v>19</v>
      </c>
    </row>
    <row r="3181" spans="1:4">
      <c r="A3181" s="58">
        <v>45498</v>
      </c>
      <c r="B3181" s="34" t="s">
        <v>15279</v>
      </c>
      <c r="C3181" s="25" t="s">
        <v>15278</v>
      </c>
      <c r="D3181" s="25" t="s">
        <v>74</v>
      </c>
    </row>
    <row r="3182" spans="1:4">
      <c r="A3182" s="58">
        <v>45498</v>
      </c>
      <c r="B3182" s="34" t="s">
        <v>15281</v>
      </c>
      <c r="C3182" s="34" t="s">
        <v>15280</v>
      </c>
      <c r="D3182" s="25" t="s">
        <v>19</v>
      </c>
    </row>
    <row r="3183" spans="1:4">
      <c r="A3183" s="58">
        <v>45498</v>
      </c>
      <c r="B3183" s="34" t="s">
        <v>15283</v>
      </c>
      <c r="C3183" s="34" t="s">
        <v>15282</v>
      </c>
      <c r="D3183" s="25" t="s">
        <v>19</v>
      </c>
    </row>
    <row r="3184" spans="1:4">
      <c r="A3184" s="58">
        <v>45498</v>
      </c>
      <c r="B3184" s="34" t="s">
        <v>15285</v>
      </c>
      <c r="C3184" s="25" t="s">
        <v>15284</v>
      </c>
      <c r="D3184" s="25" t="s">
        <v>14368</v>
      </c>
    </row>
    <row r="3185" spans="1:4">
      <c r="A3185" s="58">
        <v>45496</v>
      </c>
      <c r="B3185" s="34" t="s">
        <v>15158</v>
      </c>
      <c r="C3185" s="25" t="s">
        <v>15286</v>
      </c>
      <c r="D3185" s="25" t="s">
        <v>14368</v>
      </c>
    </row>
    <row r="3186" spans="1:4">
      <c r="A3186" s="58">
        <v>45498</v>
      </c>
      <c r="B3186" s="34" t="s">
        <v>15288</v>
      </c>
      <c r="C3186" s="25" t="s">
        <v>15287</v>
      </c>
      <c r="D3186" s="25" t="s">
        <v>14368</v>
      </c>
    </row>
    <row r="3187" spans="1:4">
      <c r="A3187" s="58">
        <v>45498</v>
      </c>
      <c r="B3187" s="34" t="s">
        <v>15290</v>
      </c>
      <c r="C3187" s="25" t="s">
        <v>15289</v>
      </c>
      <c r="D3187" s="25" t="s">
        <v>29</v>
      </c>
    </row>
    <row r="3188" spans="1:4">
      <c r="A3188" s="58">
        <v>45499</v>
      </c>
      <c r="B3188" s="34" t="s">
        <v>15292</v>
      </c>
      <c r="C3188" s="25" t="s">
        <v>15291</v>
      </c>
      <c r="D3188" s="25" t="s">
        <v>34</v>
      </c>
    </row>
    <row r="3189" spans="1:4">
      <c r="A3189" s="58">
        <v>45499</v>
      </c>
      <c r="B3189" s="34" t="s">
        <v>15294</v>
      </c>
      <c r="C3189" s="25" t="s">
        <v>15293</v>
      </c>
      <c r="D3189" s="25" t="s">
        <v>164</v>
      </c>
    </row>
    <row r="3190" spans="1:4">
      <c r="A3190" s="58">
        <v>45499</v>
      </c>
      <c r="B3190" s="34" t="s">
        <v>15296</v>
      </c>
      <c r="C3190" s="25" t="s">
        <v>15295</v>
      </c>
      <c r="D3190" s="25" t="s">
        <v>109</v>
      </c>
    </row>
    <row r="3191" spans="1:4">
      <c r="A3191" s="58">
        <v>45499</v>
      </c>
      <c r="B3191" s="34" t="s">
        <v>15298</v>
      </c>
      <c r="C3191" s="25" t="s">
        <v>15297</v>
      </c>
      <c r="D3191" s="25" t="s">
        <v>74</v>
      </c>
    </row>
    <row r="3192" spans="1:4">
      <c r="A3192" s="58">
        <v>45498</v>
      </c>
      <c r="B3192" s="34" t="s">
        <v>15300</v>
      </c>
      <c r="C3192" s="25" t="s">
        <v>15299</v>
      </c>
      <c r="D3192" s="34" t="s">
        <v>109</v>
      </c>
    </row>
    <row r="3193" spans="1:4">
      <c r="A3193" s="58">
        <v>45498</v>
      </c>
      <c r="B3193" s="34" t="s">
        <v>15302</v>
      </c>
      <c r="C3193" s="25" t="s">
        <v>15301</v>
      </c>
      <c r="D3193" s="34" t="s">
        <v>34</v>
      </c>
    </row>
    <row r="3194" spans="1:4">
      <c r="A3194" s="58">
        <v>45498</v>
      </c>
      <c r="B3194" s="34" t="s">
        <v>15304</v>
      </c>
      <c r="C3194" s="25" t="s">
        <v>15303</v>
      </c>
      <c r="D3194" s="34" t="s">
        <v>109</v>
      </c>
    </row>
    <row r="3195" spans="1:4">
      <c r="A3195" s="58">
        <v>45498</v>
      </c>
      <c r="B3195" s="34" t="s">
        <v>15306</v>
      </c>
      <c r="C3195" s="25" t="s">
        <v>15305</v>
      </c>
      <c r="D3195" s="34" t="s">
        <v>109</v>
      </c>
    </row>
    <row r="3196" spans="1:4">
      <c r="A3196" s="58">
        <v>45498</v>
      </c>
      <c r="B3196" s="34" t="s">
        <v>15308</v>
      </c>
      <c r="C3196" s="25" t="s">
        <v>15307</v>
      </c>
      <c r="D3196" s="34" t="s">
        <v>34</v>
      </c>
    </row>
    <row r="3197" spans="1:4">
      <c r="A3197" s="58">
        <v>45498</v>
      </c>
      <c r="B3197" s="34" t="s">
        <v>15310</v>
      </c>
      <c r="C3197" s="25" t="s">
        <v>15309</v>
      </c>
      <c r="D3197" s="34" t="s">
        <v>109</v>
      </c>
    </row>
    <row r="3198" spans="1:4">
      <c r="A3198" s="58">
        <v>45498</v>
      </c>
      <c r="B3198" s="34" t="s">
        <v>15312</v>
      </c>
      <c r="C3198" s="25" t="s">
        <v>15311</v>
      </c>
      <c r="D3198" s="34" t="s">
        <v>34</v>
      </c>
    </row>
    <row r="3199" spans="1:4">
      <c r="A3199" s="58">
        <v>45499</v>
      </c>
      <c r="B3199" s="34" t="s">
        <v>15314</v>
      </c>
      <c r="C3199" s="25" t="s">
        <v>15313</v>
      </c>
      <c r="D3199" s="34" t="s">
        <v>34</v>
      </c>
    </row>
    <row r="3200" spans="1:4">
      <c r="A3200" s="58">
        <v>45499</v>
      </c>
      <c r="B3200" s="34" t="s">
        <v>10969</v>
      </c>
      <c r="C3200" s="25" t="s">
        <v>15315</v>
      </c>
      <c r="D3200" s="34" t="s">
        <v>109</v>
      </c>
    </row>
    <row r="3201" spans="1:4">
      <c r="A3201" s="58">
        <v>45499</v>
      </c>
      <c r="B3201" s="34" t="s">
        <v>15317</v>
      </c>
      <c r="C3201" s="25" t="s">
        <v>15316</v>
      </c>
      <c r="D3201" s="34" t="s">
        <v>24</v>
      </c>
    </row>
    <row r="3202" spans="1:4">
      <c r="A3202" s="58">
        <v>45499</v>
      </c>
      <c r="B3202" s="34" t="s">
        <v>15319</v>
      </c>
      <c r="C3202" s="25" t="s">
        <v>15318</v>
      </c>
      <c r="D3202" s="34" t="s">
        <v>216</v>
      </c>
    </row>
    <row r="3203" spans="1:4">
      <c r="A3203" s="58">
        <v>45499</v>
      </c>
      <c r="B3203" s="34" t="s">
        <v>10969</v>
      </c>
      <c r="C3203" s="25" t="s">
        <v>15320</v>
      </c>
      <c r="D3203" s="34" t="s">
        <v>29</v>
      </c>
    </row>
    <row r="3204" spans="1:4">
      <c r="A3204" s="58">
        <v>45499</v>
      </c>
      <c r="B3204" s="34" t="s">
        <v>15314</v>
      </c>
      <c r="C3204" s="25" t="s">
        <v>15321</v>
      </c>
      <c r="D3204" s="34" t="s">
        <v>34</v>
      </c>
    </row>
    <row r="3205" spans="1:4">
      <c r="A3205" s="58">
        <v>45500</v>
      </c>
      <c r="B3205" s="34" t="s">
        <v>15323</v>
      </c>
      <c r="C3205" s="25" t="s">
        <v>15322</v>
      </c>
      <c r="D3205" s="34" t="s">
        <v>5</v>
      </c>
    </row>
    <row r="3206" spans="1:4">
      <c r="A3206" s="58">
        <v>45500</v>
      </c>
      <c r="B3206" s="34" t="s">
        <v>15325</v>
      </c>
      <c r="C3206" s="25" t="s">
        <v>15324</v>
      </c>
      <c r="D3206" s="34" t="s">
        <v>216</v>
      </c>
    </row>
    <row r="3207" spans="1:4">
      <c r="A3207" s="58">
        <v>45500</v>
      </c>
      <c r="B3207" s="34" t="s">
        <v>15327</v>
      </c>
      <c r="C3207" s="25" t="s">
        <v>15326</v>
      </c>
      <c r="D3207" s="34" t="s">
        <v>5</v>
      </c>
    </row>
    <row r="3208" spans="1:4">
      <c r="A3208" s="58">
        <v>45502</v>
      </c>
      <c r="B3208" s="34" t="s">
        <v>15329</v>
      </c>
      <c r="C3208" s="25" t="s">
        <v>15328</v>
      </c>
      <c r="D3208" s="34" t="s">
        <v>74</v>
      </c>
    </row>
    <row r="3209" spans="1:4">
      <c r="A3209" s="58">
        <v>45502</v>
      </c>
      <c r="B3209" s="34" t="s">
        <v>15331</v>
      </c>
      <c r="C3209" s="25" t="s">
        <v>15330</v>
      </c>
      <c r="D3209" s="34" t="s">
        <v>29</v>
      </c>
    </row>
    <row r="3210" spans="1:4">
      <c r="A3210" s="58">
        <v>45502</v>
      </c>
      <c r="B3210" s="34" t="s">
        <v>15333</v>
      </c>
      <c r="C3210" s="25" t="s">
        <v>15332</v>
      </c>
      <c r="D3210" s="34" t="s">
        <v>74</v>
      </c>
    </row>
    <row r="3211" spans="1:4">
      <c r="A3211" s="58">
        <v>45502</v>
      </c>
      <c r="B3211" s="34" t="s">
        <v>15335</v>
      </c>
      <c r="C3211" s="25" t="s">
        <v>15334</v>
      </c>
      <c r="D3211" s="34" t="s">
        <v>74</v>
      </c>
    </row>
    <row r="3212" spans="1:4">
      <c r="A3212" s="58">
        <v>45503</v>
      </c>
      <c r="B3212" s="34" t="s">
        <v>15337</v>
      </c>
      <c r="C3212" s="25" t="s">
        <v>15336</v>
      </c>
      <c r="D3212" s="34" t="s">
        <v>74</v>
      </c>
    </row>
    <row r="3213" spans="1:4">
      <c r="A3213" s="58">
        <v>45503</v>
      </c>
      <c r="B3213" s="34" t="s">
        <v>15339</v>
      </c>
      <c r="C3213" s="25" t="s">
        <v>15338</v>
      </c>
      <c r="D3213" s="34" t="s">
        <v>74</v>
      </c>
    </row>
    <row r="3214" spans="1:4">
      <c r="A3214" s="58">
        <v>45505</v>
      </c>
      <c r="B3214" s="34" t="s">
        <v>15341</v>
      </c>
      <c r="C3214" s="25" t="s">
        <v>15340</v>
      </c>
      <c r="D3214" s="34" t="s">
        <v>16</v>
      </c>
    </row>
    <row r="3215" spans="1:4">
      <c r="A3215" s="58">
        <v>45505</v>
      </c>
      <c r="B3215" s="34" t="s">
        <v>15343</v>
      </c>
      <c r="C3215" s="25" t="s">
        <v>15342</v>
      </c>
      <c r="D3215" s="34" t="s">
        <v>16</v>
      </c>
    </row>
    <row r="3216" spans="1:4">
      <c r="A3216" s="58">
        <v>45505</v>
      </c>
      <c r="B3216" s="34" t="s">
        <v>15345</v>
      </c>
      <c r="C3216" s="25" t="s">
        <v>15344</v>
      </c>
      <c r="D3216" s="34" t="s">
        <v>29</v>
      </c>
    </row>
    <row r="3217" spans="1:4">
      <c r="A3217" s="58">
        <v>45505</v>
      </c>
      <c r="B3217" s="34" t="s">
        <v>15347</v>
      </c>
      <c r="C3217" s="25" t="s">
        <v>15346</v>
      </c>
      <c r="D3217" s="34" t="s">
        <v>29</v>
      </c>
    </row>
    <row r="3218" spans="1:4">
      <c r="A3218" s="58">
        <v>45505</v>
      </c>
      <c r="B3218" s="34" t="s">
        <v>15349</v>
      </c>
      <c r="C3218" s="25" t="s">
        <v>15348</v>
      </c>
      <c r="D3218" s="34" t="s">
        <v>24</v>
      </c>
    </row>
    <row r="3219" spans="1:4">
      <c r="A3219" s="58">
        <v>45505</v>
      </c>
      <c r="B3219" s="34" t="s">
        <v>15351</v>
      </c>
      <c r="C3219" s="25" t="s">
        <v>15350</v>
      </c>
      <c r="D3219" s="34" t="s">
        <v>353</v>
      </c>
    </row>
    <row r="3220" spans="1:4">
      <c r="A3220" s="58">
        <v>45506</v>
      </c>
      <c r="B3220" s="34" t="s">
        <v>15353</v>
      </c>
      <c r="C3220" s="25" t="s">
        <v>15352</v>
      </c>
      <c r="D3220" s="34" t="s">
        <v>164</v>
      </c>
    </row>
    <row r="3221" spans="1:4">
      <c r="A3221" s="58">
        <v>45502</v>
      </c>
      <c r="B3221" s="34" t="s">
        <v>15355</v>
      </c>
      <c r="C3221" s="25" t="s">
        <v>15354</v>
      </c>
      <c r="D3221" s="34" t="s">
        <v>34</v>
      </c>
    </row>
    <row r="3222" spans="1:4">
      <c r="A3222" s="58">
        <v>45504</v>
      </c>
      <c r="B3222" s="34" t="s">
        <v>15357</v>
      </c>
      <c r="C3222" s="25" t="s">
        <v>15356</v>
      </c>
      <c r="D3222" s="34" t="s">
        <v>109</v>
      </c>
    </row>
    <row r="3223" spans="1:4">
      <c r="A3223" s="58">
        <v>45502</v>
      </c>
      <c r="B3223" s="34" t="s">
        <v>15359</v>
      </c>
      <c r="C3223" s="25" t="s">
        <v>15358</v>
      </c>
      <c r="D3223" s="34" t="s">
        <v>5</v>
      </c>
    </row>
    <row r="3224" spans="1:4">
      <c r="A3224" s="58">
        <v>45502</v>
      </c>
      <c r="B3224" s="34" t="s">
        <v>15361</v>
      </c>
      <c r="C3224" s="25" t="s">
        <v>15360</v>
      </c>
      <c r="D3224" s="34" t="s">
        <v>5</v>
      </c>
    </row>
    <row r="3225" spans="1:4">
      <c r="A3225" s="58">
        <v>45503</v>
      </c>
      <c r="B3225" s="34" t="s">
        <v>15363</v>
      </c>
      <c r="C3225" s="25" t="s">
        <v>15362</v>
      </c>
      <c r="D3225" s="34" t="s">
        <v>29</v>
      </c>
    </row>
    <row r="3226" spans="1:4">
      <c r="A3226" s="58">
        <v>45504</v>
      </c>
      <c r="B3226" s="34" t="s">
        <v>15365</v>
      </c>
      <c r="C3226" s="25" t="s">
        <v>15364</v>
      </c>
      <c r="D3226" s="34" t="s">
        <v>5</v>
      </c>
    </row>
    <row r="3227" spans="1:4">
      <c r="A3227" s="58">
        <v>45504</v>
      </c>
      <c r="B3227" s="34" t="s">
        <v>15366</v>
      </c>
      <c r="C3227" s="25" t="s">
        <v>13767</v>
      </c>
      <c r="D3227" s="34" t="s">
        <v>5</v>
      </c>
    </row>
    <row r="3228" spans="1:4">
      <c r="A3228" s="58">
        <v>45504</v>
      </c>
      <c r="B3228" s="34" t="s">
        <v>15368</v>
      </c>
      <c r="C3228" s="25" t="s">
        <v>15367</v>
      </c>
      <c r="D3228" s="34" t="s">
        <v>11</v>
      </c>
    </row>
    <row r="3229" spans="1:4">
      <c r="A3229" s="58">
        <v>45502</v>
      </c>
      <c r="B3229" s="34" t="s">
        <v>15370</v>
      </c>
      <c r="C3229" s="25" t="s">
        <v>15369</v>
      </c>
      <c r="D3229" s="34" t="s">
        <v>594</v>
      </c>
    </row>
    <row r="3230" spans="1:4">
      <c r="A3230" s="58">
        <v>45502</v>
      </c>
      <c r="B3230" s="34" t="s">
        <v>15372</v>
      </c>
      <c r="C3230" s="25" t="s">
        <v>15371</v>
      </c>
      <c r="D3230" s="34" t="s">
        <v>29</v>
      </c>
    </row>
    <row r="3231" spans="1:4">
      <c r="A3231" s="58">
        <v>45502</v>
      </c>
      <c r="B3231" s="34" t="s">
        <v>15372</v>
      </c>
      <c r="C3231" s="25" t="s">
        <v>15371</v>
      </c>
      <c r="D3231" s="34" t="s">
        <v>29</v>
      </c>
    </row>
    <row r="3232" spans="1:4">
      <c r="A3232" s="58">
        <v>45502</v>
      </c>
      <c r="B3232" s="34" t="s">
        <v>15373</v>
      </c>
      <c r="C3232" s="25" t="s">
        <v>14582</v>
      </c>
      <c r="D3232" s="34" t="s">
        <v>74</v>
      </c>
    </row>
    <row r="3233" spans="1:4">
      <c r="A3233" s="58">
        <v>45502</v>
      </c>
      <c r="B3233" s="34" t="s">
        <v>15374</v>
      </c>
      <c r="C3233" s="25" t="s">
        <v>598</v>
      </c>
      <c r="D3233" s="34" t="s">
        <v>74</v>
      </c>
    </row>
    <row r="3234" spans="1:4">
      <c r="A3234" s="58">
        <v>45502</v>
      </c>
      <c r="B3234" s="34" t="s">
        <v>15376</v>
      </c>
      <c r="C3234" s="25" t="s">
        <v>15375</v>
      </c>
      <c r="D3234" s="34" t="s">
        <v>510</v>
      </c>
    </row>
    <row r="3235" spans="1:4">
      <c r="A3235" s="58">
        <v>45502</v>
      </c>
      <c r="B3235" s="34" t="s">
        <v>15378</v>
      </c>
      <c r="C3235" s="25" t="s">
        <v>15377</v>
      </c>
      <c r="D3235" s="34" t="s">
        <v>510</v>
      </c>
    </row>
    <row r="3236" spans="1:4">
      <c r="A3236" s="58">
        <v>45503</v>
      </c>
      <c r="B3236" s="34" t="s">
        <v>15380</v>
      </c>
      <c r="C3236" s="25" t="s">
        <v>15379</v>
      </c>
      <c r="D3236" s="34" t="s">
        <v>29</v>
      </c>
    </row>
    <row r="3237" spans="1:4">
      <c r="A3237" s="58">
        <v>45503</v>
      </c>
      <c r="B3237" s="34" t="s">
        <v>15382</v>
      </c>
      <c r="C3237" s="25" t="s">
        <v>15381</v>
      </c>
      <c r="D3237" s="34" t="s">
        <v>5</v>
      </c>
    </row>
    <row r="3238" spans="1:4">
      <c r="A3238" s="58">
        <v>45503</v>
      </c>
      <c r="B3238" s="34" t="s">
        <v>15384</v>
      </c>
      <c r="C3238" s="25" t="s">
        <v>15383</v>
      </c>
      <c r="D3238" s="34" t="s">
        <v>29</v>
      </c>
    </row>
    <row r="3239" spans="1:4">
      <c r="A3239" s="58">
        <v>45503</v>
      </c>
      <c r="B3239" s="34" t="s">
        <v>15386</v>
      </c>
      <c r="C3239" s="25" t="s">
        <v>15385</v>
      </c>
      <c r="D3239" s="34" t="s">
        <v>109</v>
      </c>
    </row>
    <row r="3240" spans="1:4">
      <c r="A3240" s="58">
        <v>45503</v>
      </c>
      <c r="B3240" s="34" t="s">
        <v>15388</v>
      </c>
      <c r="C3240" s="25" t="s">
        <v>15387</v>
      </c>
      <c r="D3240" s="34" t="s">
        <v>8</v>
      </c>
    </row>
    <row r="3241" spans="1:4">
      <c r="A3241" s="58">
        <v>45503</v>
      </c>
      <c r="B3241" s="34" t="s">
        <v>15388</v>
      </c>
      <c r="C3241" s="25" t="s">
        <v>15387</v>
      </c>
      <c r="D3241" s="34" t="s">
        <v>8</v>
      </c>
    </row>
    <row r="3242" spans="1:4">
      <c r="A3242" s="58">
        <v>45503</v>
      </c>
      <c r="B3242" s="34" t="s">
        <v>15390</v>
      </c>
      <c r="C3242" s="25" t="s">
        <v>15389</v>
      </c>
      <c r="D3242" s="34" t="s">
        <v>29</v>
      </c>
    </row>
    <row r="3243" spans="1:4">
      <c r="A3243" s="58">
        <v>45503</v>
      </c>
      <c r="B3243" s="34" t="s">
        <v>15392</v>
      </c>
      <c r="C3243" s="25" t="s">
        <v>15391</v>
      </c>
      <c r="D3243" s="34" t="s">
        <v>109</v>
      </c>
    </row>
    <row r="3244" spans="1:4">
      <c r="A3244" s="58">
        <v>45503</v>
      </c>
      <c r="B3244" s="34" t="s">
        <v>15394</v>
      </c>
      <c r="C3244" s="25" t="s">
        <v>15393</v>
      </c>
      <c r="D3244" s="34" t="s">
        <v>8</v>
      </c>
    </row>
    <row r="3245" spans="1:4">
      <c r="A3245" s="58">
        <v>45503</v>
      </c>
      <c r="B3245" s="34" t="s">
        <v>15396</v>
      </c>
      <c r="C3245" s="25" t="s">
        <v>15395</v>
      </c>
      <c r="D3245" s="34" t="s">
        <v>109</v>
      </c>
    </row>
    <row r="3246" spans="1:4">
      <c r="A3246" s="58">
        <v>45503</v>
      </c>
      <c r="B3246" s="34" t="s">
        <v>15398</v>
      </c>
      <c r="C3246" s="25" t="s">
        <v>15397</v>
      </c>
      <c r="D3246" s="34" t="s">
        <v>109</v>
      </c>
    </row>
    <row r="3247" spans="1:4">
      <c r="A3247" s="58">
        <v>45504</v>
      </c>
      <c r="B3247" s="34" t="s">
        <v>15400</v>
      </c>
      <c r="C3247" s="25" t="s">
        <v>15399</v>
      </c>
      <c r="D3247" s="34" t="s">
        <v>74</v>
      </c>
    </row>
    <row r="3248" spans="1:4">
      <c r="A3248" s="58">
        <v>45504</v>
      </c>
      <c r="B3248" s="34" t="s">
        <v>15402</v>
      </c>
      <c r="C3248" s="25" t="s">
        <v>15401</v>
      </c>
      <c r="D3248" s="34" t="s">
        <v>74</v>
      </c>
    </row>
    <row r="3249" spans="1:4">
      <c r="A3249" s="58">
        <v>45504</v>
      </c>
      <c r="B3249" s="34" t="s">
        <v>15404</v>
      </c>
      <c r="C3249" s="25" t="s">
        <v>15403</v>
      </c>
      <c r="D3249" s="34" t="s">
        <v>74</v>
      </c>
    </row>
    <row r="3250" spans="1:4">
      <c r="A3250" s="58">
        <v>45504</v>
      </c>
      <c r="B3250" s="34" t="s">
        <v>15405</v>
      </c>
      <c r="C3250" s="25" t="s">
        <v>15403</v>
      </c>
      <c r="D3250" s="34" t="s">
        <v>74</v>
      </c>
    </row>
    <row r="3251" spans="1:4">
      <c r="A3251" s="58">
        <v>45504</v>
      </c>
      <c r="B3251" s="34" t="s">
        <v>15407</v>
      </c>
      <c r="C3251" s="25" t="s">
        <v>15406</v>
      </c>
      <c r="D3251" s="34" t="s">
        <v>74</v>
      </c>
    </row>
    <row r="3252" spans="1:4">
      <c r="A3252" s="58">
        <v>45504</v>
      </c>
      <c r="B3252" s="34" t="s">
        <v>15409</v>
      </c>
      <c r="C3252" s="25" t="s">
        <v>15408</v>
      </c>
      <c r="D3252" s="34" t="s">
        <v>29</v>
      </c>
    </row>
    <row r="3253" spans="1:4">
      <c r="A3253" s="58">
        <v>45504</v>
      </c>
      <c r="B3253" s="34" t="s">
        <v>15411</v>
      </c>
      <c r="C3253" s="25" t="s">
        <v>15410</v>
      </c>
      <c r="D3253" s="34" t="s">
        <v>109</v>
      </c>
    </row>
    <row r="3254" spans="1:4">
      <c r="A3254" s="58">
        <v>45504</v>
      </c>
      <c r="B3254" s="34" t="s">
        <v>15413</v>
      </c>
      <c r="C3254" s="25" t="s">
        <v>15412</v>
      </c>
      <c r="D3254" s="34" t="s">
        <v>29</v>
      </c>
    </row>
    <row r="3255" spans="1:4">
      <c r="A3255" s="58">
        <v>45504</v>
      </c>
      <c r="B3255" s="34" t="s">
        <v>15413</v>
      </c>
      <c r="C3255" s="25" t="s">
        <v>15414</v>
      </c>
      <c r="D3255" s="34" t="s">
        <v>29</v>
      </c>
    </row>
    <row r="3256" spans="1:4">
      <c r="A3256" s="58">
        <v>45504</v>
      </c>
      <c r="B3256" s="34" t="s">
        <v>15415</v>
      </c>
      <c r="C3256" s="25" t="s">
        <v>955</v>
      </c>
      <c r="D3256" s="34" t="s">
        <v>74</v>
      </c>
    </row>
    <row r="3257" spans="1:4">
      <c r="A3257" s="58">
        <v>45504</v>
      </c>
      <c r="B3257" s="34" t="s">
        <v>15417</v>
      </c>
      <c r="C3257" s="25" t="s">
        <v>15416</v>
      </c>
      <c r="D3257" s="34" t="s">
        <v>109</v>
      </c>
    </row>
    <row r="3258" spans="1:4">
      <c r="A3258" s="58">
        <v>45504</v>
      </c>
      <c r="B3258" s="34" t="s">
        <v>15419</v>
      </c>
      <c r="C3258" s="25" t="s">
        <v>15418</v>
      </c>
      <c r="D3258" s="34" t="s">
        <v>74</v>
      </c>
    </row>
    <row r="3259" spans="1:4">
      <c r="A3259" s="58">
        <v>45504</v>
      </c>
      <c r="B3259" s="34" t="s">
        <v>15421</v>
      </c>
      <c r="C3259" s="25" t="s">
        <v>15420</v>
      </c>
      <c r="D3259" s="34" t="s">
        <v>74</v>
      </c>
    </row>
    <row r="3260" spans="1:4">
      <c r="A3260" s="58">
        <v>45505</v>
      </c>
      <c r="B3260" s="34" t="s">
        <v>15423</v>
      </c>
      <c r="C3260" s="25" t="s">
        <v>15422</v>
      </c>
      <c r="D3260" s="34" t="s">
        <v>8</v>
      </c>
    </row>
    <row r="3261" spans="1:4">
      <c r="A3261" s="58">
        <v>45505</v>
      </c>
      <c r="B3261" s="34" t="s">
        <v>15425</v>
      </c>
      <c r="C3261" s="25" t="s">
        <v>15424</v>
      </c>
      <c r="D3261" s="34" t="s">
        <v>29</v>
      </c>
    </row>
    <row r="3262" spans="1:4">
      <c r="A3262" s="58">
        <v>45505</v>
      </c>
      <c r="B3262" s="34" t="s">
        <v>15427</v>
      </c>
      <c r="C3262" s="25" t="s">
        <v>15426</v>
      </c>
      <c r="D3262" s="34" t="s">
        <v>19</v>
      </c>
    </row>
    <row r="3263" spans="1:4">
      <c r="A3263" s="58">
        <v>45506</v>
      </c>
      <c r="B3263" s="34" t="s">
        <v>15429</v>
      </c>
      <c r="C3263" s="25" t="s">
        <v>15428</v>
      </c>
      <c r="D3263" s="34" t="s">
        <v>74</v>
      </c>
    </row>
    <row r="3264" spans="1:4">
      <c r="A3264" s="58">
        <v>45506</v>
      </c>
      <c r="B3264" s="34" t="s">
        <v>15431</v>
      </c>
      <c r="C3264" s="25" t="s">
        <v>15430</v>
      </c>
      <c r="D3264" s="34" t="s">
        <v>74</v>
      </c>
    </row>
    <row r="3265" spans="1:4">
      <c r="A3265" s="58">
        <v>45502</v>
      </c>
      <c r="B3265" s="34" t="s">
        <v>15433</v>
      </c>
      <c r="C3265" s="25" t="s">
        <v>15432</v>
      </c>
      <c r="D3265" s="34" t="s">
        <v>5</v>
      </c>
    </row>
    <row r="3266" spans="1:4">
      <c r="A3266" s="58">
        <v>45502</v>
      </c>
      <c r="B3266" s="34" t="s">
        <v>15435</v>
      </c>
      <c r="C3266" s="25" t="s">
        <v>15434</v>
      </c>
      <c r="D3266" s="34" t="s">
        <v>5</v>
      </c>
    </row>
    <row r="3267" spans="1:4">
      <c r="A3267" s="58">
        <v>45502</v>
      </c>
      <c r="B3267" s="34" t="s">
        <v>15437</v>
      </c>
      <c r="C3267" s="25" t="s">
        <v>15436</v>
      </c>
      <c r="D3267" s="34" t="s">
        <v>141</v>
      </c>
    </row>
    <row r="3268" spans="1:4">
      <c r="A3268" s="58">
        <v>45502</v>
      </c>
      <c r="B3268" s="34" t="s">
        <v>15439</v>
      </c>
      <c r="C3268" s="25" t="s">
        <v>15438</v>
      </c>
      <c r="D3268" s="34" t="s">
        <v>24</v>
      </c>
    </row>
    <row r="3269" spans="1:4">
      <c r="A3269" s="58">
        <v>45503</v>
      </c>
      <c r="B3269" s="34" t="s">
        <v>15441</v>
      </c>
      <c r="C3269" s="25" t="s">
        <v>15440</v>
      </c>
      <c r="D3269" s="34" t="s">
        <v>29</v>
      </c>
    </row>
    <row r="3270" spans="1:4">
      <c r="A3270" s="58">
        <v>45503</v>
      </c>
      <c r="B3270" s="34" t="s">
        <v>15443</v>
      </c>
      <c r="C3270" s="25" t="s">
        <v>15442</v>
      </c>
      <c r="D3270" s="34" t="s">
        <v>74</v>
      </c>
    </row>
    <row r="3271" spans="1:4">
      <c r="A3271" s="58">
        <v>45503</v>
      </c>
      <c r="B3271" s="34" t="s">
        <v>15445</v>
      </c>
      <c r="C3271" s="25" t="s">
        <v>15444</v>
      </c>
      <c r="D3271" s="34" t="s">
        <v>594</v>
      </c>
    </row>
    <row r="3272" spans="1:4">
      <c r="A3272" s="58">
        <v>45503</v>
      </c>
      <c r="B3272" s="34" t="s">
        <v>15447</v>
      </c>
      <c r="C3272" s="25" t="s">
        <v>15446</v>
      </c>
      <c r="D3272" s="34" t="s">
        <v>594</v>
      </c>
    </row>
    <row r="3273" spans="1:4">
      <c r="A3273" s="58">
        <v>45503</v>
      </c>
      <c r="B3273" s="34" t="s">
        <v>15449</v>
      </c>
      <c r="C3273" s="25" t="s">
        <v>15448</v>
      </c>
      <c r="D3273" s="34" t="s">
        <v>29</v>
      </c>
    </row>
    <row r="3274" spans="1:4">
      <c r="A3274" s="58">
        <v>45504</v>
      </c>
      <c r="B3274" s="34" t="s">
        <v>15451</v>
      </c>
      <c r="C3274" s="25" t="s">
        <v>15450</v>
      </c>
      <c r="D3274" s="34" t="s">
        <v>74</v>
      </c>
    </row>
    <row r="3275" spans="1:4">
      <c r="A3275" s="58">
        <v>45504</v>
      </c>
      <c r="B3275" s="34" t="s">
        <v>15453</v>
      </c>
      <c r="C3275" s="25" t="s">
        <v>15452</v>
      </c>
      <c r="D3275" s="34" t="s">
        <v>216</v>
      </c>
    </row>
    <row r="3276" spans="1:4">
      <c r="A3276" s="58">
        <v>45504</v>
      </c>
      <c r="B3276" s="34" t="s">
        <v>15455</v>
      </c>
      <c r="C3276" s="25" t="s">
        <v>15454</v>
      </c>
      <c r="D3276" s="34" t="s">
        <v>74</v>
      </c>
    </row>
    <row r="3277" spans="1:4">
      <c r="A3277" s="58">
        <v>45504</v>
      </c>
      <c r="B3277" s="34" t="s">
        <v>15457</v>
      </c>
      <c r="C3277" s="25" t="s">
        <v>15456</v>
      </c>
      <c r="D3277" s="34" t="s">
        <v>5</v>
      </c>
    </row>
    <row r="3278" spans="1:4">
      <c r="A3278" s="58">
        <v>45505</v>
      </c>
      <c r="B3278" s="34" t="s">
        <v>15459</v>
      </c>
      <c r="C3278" s="25" t="s">
        <v>15458</v>
      </c>
      <c r="D3278" s="34" t="s">
        <v>5</v>
      </c>
    </row>
    <row r="3279" spans="1:4">
      <c r="A3279" s="58">
        <v>45505</v>
      </c>
      <c r="B3279" s="34" t="s">
        <v>15461</v>
      </c>
      <c r="C3279" s="25" t="s">
        <v>15460</v>
      </c>
      <c r="D3279" s="34" t="s">
        <v>29</v>
      </c>
    </row>
    <row r="3280" spans="1:4">
      <c r="A3280" s="58">
        <v>45505</v>
      </c>
      <c r="B3280" s="34" t="s">
        <v>15463</v>
      </c>
      <c r="C3280" s="25" t="s">
        <v>15462</v>
      </c>
      <c r="D3280" s="34" t="s">
        <v>29</v>
      </c>
    </row>
    <row r="3281" spans="1:4">
      <c r="A3281" s="58">
        <v>45505</v>
      </c>
      <c r="B3281" s="34" t="s">
        <v>15465</v>
      </c>
      <c r="C3281" s="25" t="s">
        <v>15464</v>
      </c>
      <c r="D3281" s="34" t="s">
        <v>8</v>
      </c>
    </row>
    <row r="3282" spans="1:4">
      <c r="A3282" s="58">
        <v>45503</v>
      </c>
      <c r="B3282" s="34" t="s">
        <v>10969</v>
      </c>
      <c r="C3282" s="25" t="s">
        <v>15466</v>
      </c>
      <c r="D3282" s="34" t="s">
        <v>109</v>
      </c>
    </row>
    <row r="3283" spans="1:4">
      <c r="A3283" s="58">
        <v>45503</v>
      </c>
      <c r="B3283" s="34" t="s">
        <v>15468</v>
      </c>
      <c r="C3283" s="25" t="s">
        <v>15467</v>
      </c>
      <c r="D3283" s="34" t="s">
        <v>8</v>
      </c>
    </row>
    <row r="3284" spans="1:4">
      <c r="A3284" s="58">
        <v>45503</v>
      </c>
      <c r="B3284" s="34" t="s">
        <v>10969</v>
      </c>
      <c r="C3284" s="25" t="s">
        <v>15469</v>
      </c>
      <c r="D3284" s="34" t="s">
        <v>109</v>
      </c>
    </row>
    <row r="3285" spans="1:4">
      <c r="A3285" s="58">
        <v>45503</v>
      </c>
      <c r="B3285" s="34" t="s">
        <v>15471</v>
      </c>
      <c r="C3285" s="25" t="s">
        <v>15470</v>
      </c>
      <c r="D3285" s="34" t="s">
        <v>5</v>
      </c>
    </row>
    <row r="3286" spans="1:4">
      <c r="A3286" s="58">
        <v>45503</v>
      </c>
      <c r="B3286" s="34" t="s">
        <v>15473</v>
      </c>
      <c r="C3286" s="25" t="s">
        <v>15472</v>
      </c>
      <c r="D3286" s="34" t="s">
        <v>5</v>
      </c>
    </row>
    <row r="3287" spans="1:4">
      <c r="A3287" s="58">
        <v>45504</v>
      </c>
      <c r="B3287" s="34" t="s">
        <v>10969</v>
      </c>
      <c r="C3287" s="25" t="s">
        <v>15474</v>
      </c>
      <c r="D3287" s="34" t="s">
        <v>29</v>
      </c>
    </row>
    <row r="3288" spans="1:4">
      <c r="A3288" s="58">
        <v>45504</v>
      </c>
      <c r="B3288" s="34" t="s">
        <v>15476</v>
      </c>
      <c r="C3288" s="25" t="s">
        <v>15475</v>
      </c>
      <c r="D3288" s="34" t="s">
        <v>74</v>
      </c>
    </row>
    <row r="3289" spans="1:4">
      <c r="A3289" s="58">
        <v>45504</v>
      </c>
      <c r="B3289" s="34" t="s">
        <v>15478</v>
      </c>
      <c r="C3289" s="25" t="s">
        <v>15477</v>
      </c>
      <c r="D3289" s="34" t="s">
        <v>5</v>
      </c>
    </row>
    <row r="3290" spans="1:4">
      <c r="A3290" s="58">
        <v>45504</v>
      </c>
      <c r="B3290" s="34" t="s">
        <v>10969</v>
      </c>
      <c r="C3290" s="25" t="s">
        <v>15479</v>
      </c>
      <c r="D3290" s="34" t="s">
        <v>29</v>
      </c>
    </row>
    <row r="3291" spans="1:4">
      <c r="A3291" s="58">
        <v>45504</v>
      </c>
      <c r="B3291" s="34" t="s">
        <v>10969</v>
      </c>
      <c r="C3291" s="25" t="s">
        <v>15480</v>
      </c>
      <c r="D3291" s="34" t="s">
        <v>109</v>
      </c>
    </row>
    <row r="3292" spans="1:4">
      <c r="A3292" s="58">
        <v>45504</v>
      </c>
      <c r="B3292" s="34" t="s">
        <v>15482</v>
      </c>
      <c r="C3292" s="25" t="s">
        <v>15481</v>
      </c>
      <c r="D3292" s="34" t="s">
        <v>74</v>
      </c>
    </row>
    <row r="3293" spans="1:4">
      <c r="A3293" s="58">
        <v>45505</v>
      </c>
      <c r="B3293" s="34" t="s">
        <v>10969</v>
      </c>
      <c r="C3293" s="25" t="s">
        <v>15483</v>
      </c>
      <c r="D3293" s="34" t="s">
        <v>109</v>
      </c>
    </row>
    <row r="3294" spans="1:4">
      <c r="A3294" s="58">
        <v>45511</v>
      </c>
      <c r="B3294" s="33" t="s">
        <v>15485</v>
      </c>
      <c r="C3294" s="30" t="s">
        <v>15484</v>
      </c>
      <c r="D3294" s="33" t="s">
        <v>34</v>
      </c>
    </row>
    <row r="3295" spans="1:4">
      <c r="A3295" s="58">
        <v>45511</v>
      </c>
      <c r="B3295" s="33" t="s">
        <v>15487</v>
      </c>
      <c r="C3295" s="30" t="s">
        <v>15486</v>
      </c>
      <c r="D3295" s="33" t="s">
        <v>24</v>
      </c>
    </row>
    <row r="3296" spans="1:4">
      <c r="A3296" s="58">
        <v>45511</v>
      </c>
      <c r="B3296" s="33" t="s">
        <v>15489</v>
      </c>
      <c r="C3296" s="30" t="s">
        <v>15488</v>
      </c>
      <c r="D3296" s="33" t="s">
        <v>29</v>
      </c>
    </row>
    <row r="3297" spans="1:4">
      <c r="A3297" s="58">
        <v>45512</v>
      </c>
      <c r="B3297" s="33" t="s">
        <v>15491</v>
      </c>
      <c r="C3297" s="30" t="s">
        <v>15490</v>
      </c>
      <c r="D3297" s="33" t="s">
        <v>29</v>
      </c>
    </row>
    <row r="3298" spans="1:4">
      <c r="A3298" s="58">
        <v>45512</v>
      </c>
      <c r="B3298" s="33" t="s">
        <v>15493</v>
      </c>
      <c r="C3298" s="30" t="s">
        <v>15492</v>
      </c>
      <c r="D3298" s="33" t="s">
        <v>29</v>
      </c>
    </row>
    <row r="3299" spans="1:4">
      <c r="A3299" s="58">
        <v>45513</v>
      </c>
      <c r="B3299" s="33" t="s">
        <v>15495</v>
      </c>
      <c r="C3299" s="30" t="s">
        <v>15494</v>
      </c>
      <c r="D3299" s="33" t="s">
        <v>24</v>
      </c>
    </row>
    <row r="3300" spans="1:4">
      <c r="A3300" s="58">
        <v>45513</v>
      </c>
      <c r="B3300" s="33" t="s">
        <v>15497</v>
      </c>
      <c r="C3300" s="30" t="s">
        <v>15496</v>
      </c>
      <c r="D3300" s="33" t="s">
        <v>8</v>
      </c>
    </row>
    <row r="3301" spans="1:4">
      <c r="A3301" s="58">
        <v>45516</v>
      </c>
      <c r="B3301" s="33" t="s">
        <v>15499</v>
      </c>
      <c r="C3301" s="30" t="s">
        <v>15498</v>
      </c>
      <c r="D3301" s="33" t="s">
        <v>34</v>
      </c>
    </row>
    <row r="3302" spans="1:4">
      <c r="A3302" s="58">
        <v>45516</v>
      </c>
      <c r="B3302" s="33" t="s">
        <v>15501</v>
      </c>
      <c r="C3302" s="30" t="s">
        <v>15500</v>
      </c>
      <c r="D3302" s="33" t="s">
        <v>29</v>
      </c>
    </row>
    <row r="3303" spans="1:4">
      <c r="A3303" s="58">
        <v>45517</v>
      </c>
      <c r="B3303" s="33" t="s">
        <v>15503</v>
      </c>
      <c r="C3303" s="30" t="s">
        <v>15502</v>
      </c>
      <c r="D3303" s="33" t="s">
        <v>29</v>
      </c>
    </row>
    <row r="3304" spans="1:4">
      <c r="A3304" s="58">
        <v>45518</v>
      </c>
      <c r="B3304" s="33" t="s">
        <v>15505</v>
      </c>
      <c r="C3304" s="30" t="s">
        <v>15504</v>
      </c>
      <c r="D3304" s="33" t="s">
        <v>29</v>
      </c>
    </row>
    <row r="3305" spans="1:4">
      <c r="A3305" s="58">
        <v>45510</v>
      </c>
      <c r="B3305" s="33" t="s">
        <v>15507</v>
      </c>
      <c r="C3305" s="30" t="s">
        <v>15506</v>
      </c>
      <c r="D3305" s="33" t="s">
        <v>74</v>
      </c>
    </row>
    <row r="3306" spans="1:4">
      <c r="A3306" s="58">
        <v>45510</v>
      </c>
      <c r="B3306" s="33" t="s">
        <v>15507</v>
      </c>
      <c r="C3306" s="30" t="s">
        <v>15506</v>
      </c>
      <c r="D3306" s="33" t="s">
        <v>74</v>
      </c>
    </row>
    <row r="3307" spans="1:4">
      <c r="A3307" s="58">
        <v>45511</v>
      </c>
      <c r="B3307" s="33" t="s">
        <v>15509</v>
      </c>
      <c r="C3307" s="30" t="s">
        <v>15508</v>
      </c>
      <c r="D3307" s="33" t="s">
        <v>74</v>
      </c>
    </row>
    <row r="3308" spans="1:4">
      <c r="A3308" s="58">
        <v>45511</v>
      </c>
      <c r="B3308" s="33" t="s">
        <v>15511</v>
      </c>
      <c r="C3308" s="30" t="s">
        <v>15510</v>
      </c>
      <c r="D3308" s="33" t="s">
        <v>74</v>
      </c>
    </row>
    <row r="3309" spans="1:4">
      <c r="A3309" s="58">
        <v>45511</v>
      </c>
      <c r="B3309" s="33" t="s">
        <v>15513</v>
      </c>
      <c r="C3309" s="30" t="s">
        <v>15512</v>
      </c>
      <c r="D3309" s="33" t="s">
        <v>74</v>
      </c>
    </row>
    <row r="3310" spans="1:4">
      <c r="A3310" s="58">
        <v>45511</v>
      </c>
      <c r="B3310" s="33" t="s">
        <v>15515</v>
      </c>
      <c r="C3310" s="30" t="s">
        <v>15514</v>
      </c>
      <c r="D3310" s="33" t="s">
        <v>16</v>
      </c>
    </row>
    <row r="3311" spans="1:4">
      <c r="A3311" s="58">
        <v>45512</v>
      </c>
      <c r="B3311" s="33" t="s">
        <v>15517</v>
      </c>
      <c r="C3311" s="30" t="s">
        <v>15516</v>
      </c>
      <c r="D3311" s="33" t="s">
        <v>353</v>
      </c>
    </row>
    <row r="3312" spans="1:4">
      <c r="A3312" s="58">
        <v>45512</v>
      </c>
      <c r="B3312" s="33" t="s">
        <v>15519</v>
      </c>
      <c r="C3312" s="30" t="s">
        <v>15518</v>
      </c>
      <c r="D3312" s="33" t="s">
        <v>5</v>
      </c>
    </row>
    <row r="3313" spans="1:4">
      <c r="A3313" s="58">
        <v>45512</v>
      </c>
      <c r="B3313" s="33" t="s">
        <v>15521</v>
      </c>
      <c r="C3313" s="30" t="s">
        <v>15520</v>
      </c>
      <c r="D3313" s="33" t="s">
        <v>74</v>
      </c>
    </row>
    <row r="3314" spans="1:4">
      <c r="A3314" s="58">
        <v>45512</v>
      </c>
      <c r="B3314" s="33" t="s">
        <v>15523</v>
      </c>
      <c r="C3314" s="30" t="s">
        <v>15522</v>
      </c>
      <c r="D3314" s="33" t="s">
        <v>74</v>
      </c>
    </row>
    <row r="3315" spans="1:4">
      <c r="A3315" s="58">
        <v>45513</v>
      </c>
      <c r="B3315" s="33" t="s">
        <v>15525</v>
      </c>
      <c r="C3315" s="30" t="s">
        <v>15524</v>
      </c>
      <c r="D3315" s="33" t="s">
        <v>24</v>
      </c>
    </row>
    <row r="3316" spans="1:4">
      <c r="A3316" s="58">
        <v>45513</v>
      </c>
      <c r="B3316" s="33" t="s">
        <v>15527</v>
      </c>
      <c r="C3316" s="30" t="s">
        <v>15526</v>
      </c>
      <c r="D3316" s="33" t="s">
        <v>74</v>
      </c>
    </row>
    <row r="3317" spans="1:4">
      <c r="A3317" s="58">
        <v>45513</v>
      </c>
      <c r="B3317" s="33" t="s">
        <v>15529</v>
      </c>
      <c r="C3317" s="30" t="s">
        <v>15528</v>
      </c>
      <c r="D3317" s="33" t="s">
        <v>74</v>
      </c>
    </row>
    <row r="3318" spans="1:4">
      <c r="A3318" s="58">
        <v>45518</v>
      </c>
      <c r="B3318" s="33" t="s">
        <v>15531</v>
      </c>
      <c r="C3318" s="30" t="s">
        <v>15530</v>
      </c>
      <c r="D3318" s="33" t="s">
        <v>74</v>
      </c>
    </row>
    <row r="3319" spans="1:4">
      <c r="A3319" s="58">
        <v>45518</v>
      </c>
      <c r="B3319" s="33" t="s">
        <v>15533</v>
      </c>
      <c r="C3319" s="30" t="s">
        <v>15532</v>
      </c>
      <c r="D3319" s="33" t="s">
        <v>74</v>
      </c>
    </row>
    <row r="3320" spans="1:4">
      <c r="A3320" s="58">
        <v>45518</v>
      </c>
      <c r="B3320" s="33" t="s">
        <v>15535</v>
      </c>
      <c r="C3320" s="30" t="s">
        <v>15534</v>
      </c>
      <c r="D3320" s="33" t="s">
        <v>74</v>
      </c>
    </row>
    <row r="3321" spans="1:4">
      <c r="A3321" s="58">
        <v>45519</v>
      </c>
      <c r="B3321" s="33" t="s">
        <v>15537</v>
      </c>
      <c r="C3321" s="30" t="s">
        <v>15536</v>
      </c>
      <c r="D3321" s="33" t="s">
        <v>345</v>
      </c>
    </row>
    <row r="3322" spans="1:4">
      <c r="A3322" s="58">
        <v>45519</v>
      </c>
      <c r="B3322" s="33" t="s">
        <v>15539</v>
      </c>
      <c r="C3322" s="30" t="s">
        <v>15538</v>
      </c>
      <c r="D3322" s="33" t="s">
        <v>74</v>
      </c>
    </row>
    <row r="3323" spans="1:4">
      <c r="A3323" s="58">
        <v>45519</v>
      </c>
      <c r="B3323" s="33" t="s">
        <v>15541</v>
      </c>
      <c r="C3323" s="30" t="s">
        <v>15540</v>
      </c>
      <c r="D3323" s="33" t="s">
        <v>74</v>
      </c>
    </row>
    <row r="3324" spans="1:4">
      <c r="A3324" s="58">
        <v>45511</v>
      </c>
      <c r="B3324" s="34" t="s">
        <v>15543</v>
      </c>
      <c r="C3324" s="25" t="s">
        <v>15542</v>
      </c>
      <c r="D3324" s="34" t="s">
        <v>29</v>
      </c>
    </row>
    <row r="3325" spans="1:4">
      <c r="A3325" s="58">
        <v>45511</v>
      </c>
      <c r="B3325" s="34" t="s">
        <v>15545</v>
      </c>
      <c r="C3325" s="25" t="s">
        <v>15544</v>
      </c>
      <c r="D3325" s="34" t="s">
        <v>5</v>
      </c>
    </row>
    <row r="3326" spans="1:4">
      <c r="A3326" s="58">
        <v>45512</v>
      </c>
      <c r="B3326" s="34" t="s">
        <v>15547</v>
      </c>
      <c r="C3326" s="25" t="s">
        <v>15546</v>
      </c>
      <c r="D3326" s="34" t="s">
        <v>353</v>
      </c>
    </row>
    <row r="3327" spans="1:4">
      <c r="A3327" s="58">
        <v>45513</v>
      </c>
      <c r="B3327" s="34" t="s">
        <v>15549</v>
      </c>
      <c r="C3327" s="25" t="s">
        <v>15548</v>
      </c>
      <c r="D3327" s="34" t="s">
        <v>109</v>
      </c>
    </row>
    <row r="3328" spans="1:4">
      <c r="A3328" s="58">
        <v>45513</v>
      </c>
      <c r="B3328" s="34" t="s">
        <v>15551</v>
      </c>
      <c r="C3328" s="25" t="s">
        <v>15550</v>
      </c>
      <c r="D3328" s="34" t="s">
        <v>345</v>
      </c>
    </row>
    <row r="3329" spans="1:4">
      <c r="A3329" s="58">
        <v>45516</v>
      </c>
      <c r="B3329" s="34" t="s">
        <v>15553</v>
      </c>
      <c r="C3329" s="25" t="s">
        <v>15552</v>
      </c>
      <c r="D3329" s="34" t="s">
        <v>24</v>
      </c>
    </row>
    <row r="3330" spans="1:4">
      <c r="A3330" s="58">
        <v>45517</v>
      </c>
      <c r="B3330" s="34" t="s">
        <v>15555</v>
      </c>
      <c r="C3330" s="25" t="s">
        <v>15554</v>
      </c>
      <c r="D3330" s="34" t="s">
        <v>216</v>
      </c>
    </row>
    <row r="3331" spans="1:4">
      <c r="A3331" s="58">
        <v>45517</v>
      </c>
      <c r="B3331" s="34" t="s">
        <v>15557</v>
      </c>
      <c r="C3331" s="25" t="s">
        <v>15556</v>
      </c>
      <c r="D3331" s="34" t="s">
        <v>109</v>
      </c>
    </row>
    <row r="3332" spans="1:4">
      <c r="A3332" s="58">
        <v>45519</v>
      </c>
      <c r="B3332" s="34" t="s">
        <v>15559</v>
      </c>
      <c r="C3332" s="25" t="s">
        <v>15558</v>
      </c>
      <c r="D3332" s="34" t="s">
        <v>34</v>
      </c>
    </row>
    <row r="3333" spans="1:4">
      <c r="A3333" s="58">
        <v>45519</v>
      </c>
      <c r="B3333" s="34" t="s">
        <v>15561</v>
      </c>
      <c r="C3333" s="25" t="s">
        <v>15560</v>
      </c>
      <c r="D3333" s="34" t="s">
        <v>34</v>
      </c>
    </row>
    <row r="3334" spans="1:4">
      <c r="A3334" s="58">
        <v>45509</v>
      </c>
      <c r="B3334" s="34" t="s">
        <v>15563</v>
      </c>
      <c r="C3334" s="25" t="s">
        <v>15562</v>
      </c>
      <c r="D3334" s="34" t="s">
        <v>109</v>
      </c>
    </row>
    <row r="3335" spans="1:4">
      <c r="A3335" s="58">
        <v>45509</v>
      </c>
      <c r="B3335" s="34" t="s">
        <v>15565</v>
      </c>
      <c r="C3335" s="25" t="s">
        <v>15564</v>
      </c>
      <c r="D3335" s="34" t="s">
        <v>74</v>
      </c>
    </row>
    <row r="3336" spans="1:4">
      <c r="A3336" s="58">
        <v>45509</v>
      </c>
      <c r="B3336" s="34" t="s">
        <v>15567</v>
      </c>
      <c r="C3336" s="25" t="s">
        <v>15566</v>
      </c>
      <c r="D3336" s="34" t="s">
        <v>345</v>
      </c>
    </row>
    <row r="3337" spans="1:4">
      <c r="A3337" s="58">
        <v>45509</v>
      </c>
      <c r="B3337" s="34" t="s">
        <v>15568</v>
      </c>
      <c r="C3337" s="25" t="s">
        <v>174</v>
      </c>
      <c r="D3337" s="34" t="s">
        <v>74</v>
      </c>
    </row>
    <row r="3338" spans="1:4">
      <c r="A3338" s="58">
        <v>45509</v>
      </c>
      <c r="B3338" s="34" t="s">
        <v>15570</v>
      </c>
      <c r="C3338" s="25" t="s">
        <v>15569</v>
      </c>
      <c r="D3338" s="34" t="s">
        <v>345</v>
      </c>
    </row>
    <row r="3339" spans="1:4">
      <c r="A3339" s="58">
        <v>45510</v>
      </c>
      <c r="B3339" s="34" t="s">
        <v>15572</v>
      </c>
      <c r="C3339" s="25" t="s">
        <v>15571</v>
      </c>
      <c r="D3339" s="34" t="s">
        <v>345</v>
      </c>
    </row>
    <row r="3340" spans="1:4">
      <c r="A3340" s="58">
        <v>45510</v>
      </c>
      <c r="B3340" s="34" t="s">
        <v>15574</v>
      </c>
      <c r="C3340" s="25" t="s">
        <v>15573</v>
      </c>
      <c r="D3340" s="34" t="s">
        <v>594</v>
      </c>
    </row>
    <row r="3341" spans="1:4">
      <c r="A3341" s="58">
        <v>45510</v>
      </c>
      <c r="B3341" s="34" t="s">
        <v>15576</v>
      </c>
      <c r="C3341" s="25" t="s">
        <v>15575</v>
      </c>
      <c r="D3341" s="34" t="s">
        <v>345</v>
      </c>
    </row>
    <row r="3342" spans="1:4">
      <c r="A3342" s="58">
        <v>45511</v>
      </c>
      <c r="B3342" s="34" t="s">
        <v>15578</v>
      </c>
      <c r="C3342" s="25" t="s">
        <v>15577</v>
      </c>
      <c r="D3342" s="34" t="s">
        <v>81</v>
      </c>
    </row>
    <row r="3343" spans="1:4">
      <c r="A3343" s="58">
        <v>45511</v>
      </c>
      <c r="B3343" s="34" t="s">
        <v>15579</v>
      </c>
      <c r="C3343" s="25" t="s">
        <v>167</v>
      </c>
      <c r="D3343" s="34" t="s">
        <v>81</v>
      </c>
    </row>
    <row r="3344" spans="1:4">
      <c r="A3344" s="58">
        <v>45511</v>
      </c>
      <c r="B3344" s="34" t="s">
        <v>15581</v>
      </c>
      <c r="C3344" s="25" t="s">
        <v>15580</v>
      </c>
      <c r="D3344" s="34" t="s">
        <v>8</v>
      </c>
    </row>
    <row r="3345" spans="1:4">
      <c r="A3345" s="58">
        <v>45511</v>
      </c>
      <c r="B3345" s="34" t="s">
        <v>15583</v>
      </c>
      <c r="C3345" s="25" t="s">
        <v>15582</v>
      </c>
      <c r="D3345" s="34" t="s">
        <v>81</v>
      </c>
    </row>
    <row r="3346" spans="1:4">
      <c r="A3346" s="58">
        <v>45512</v>
      </c>
      <c r="B3346" s="34" t="s">
        <v>15585</v>
      </c>
      <c r="C3346" s="25" t="s">
        <v>15584</v>
      </c>
      <c r="D3346" s="34" t="s">
        <v>594</v>
      </c>
    </row>
    <row r="3347" spans="1:4">
      <c r="A3347" s="58">
        <v>45512</v>
      </c>
      <c r="B3347" s="34" t="s">
        <v>15587</v>
      </c>
      <c r="C3347" s="25" t="s">
        <v>15586</v>
      </c>
      <c r="D3347" s="34" t="s">
        <v>594</v>
      </c>
    </row>
    <row r="3348" spans="1:4">
      <c r="A3348" s="58">
        <v>45512</v>
      </c>
      <c r="B3348" s="34" t="s">
        <v>15589</v>
      </c>
      <c r="C3348" s="25" t="s">
        <v>15588</v>
      </c>
      <c r="D3348" s="34" t="s">
        <v>24</v>
      </c>
    </row>
    <row r="3349" spans="1:4">
      <c r="A3349" s="58">
        <v>45513</v>
      </c>
      <c r="B3349" s="34" t="s">
        <v>15591</v>
      </c>
      <c r="C3349" s="25" t="s">
        <v>15590</v>
      </c>
      <c r="D3349" s="34" t="s">
        <v>594</v>
      </c>
    </row>
    <row r="3350" spans="1:4">
      <c r="A3350" s="58">
        <v>45513</v>
      </c>
      <c r="B3350" s="34" t="s">
        <v>15593</v>
      </c>
      <c r="C3350" s="25" t="s">
        <v>15592</v>
      </c>
      <c r="D3350" s="34" t="s">
        <v>594</v>
      </c>
    </row>
    <row r="3351" spans="1:4">
      <c r="A3351" s="58">
        <v>45513</v>
      </c>
      <c r="B3351" s="34" t="s">
        <v>15595</v>
      </c>
      <c r="C3351" s="25" t="s">
        <v>15594</v>
      </c>
      <c r="D3351" s="34" t="s">
        <v>34</v>
      </c>
    </row>
    <row r="3352" spans="1:4">
      <c r="A3352" s="58">
        <v>45513</v>
      </c>
      <c r="B3352" s="34" t="s">
        <v>15597</v>
      </c>
      <c r="C3352" s="25" t="s">
        <v>15596</v>
      </c>
      <c r="D3352" s="34" t="s">
        <v>5</v>
      </c>
    </row>
    <row r="3353" spans="1:4">
      <c r="A3353" s="58">
        <v>45517</v>
      </c>
      <c r="B3353" s="34" t="s">
        <v>15599</v>
      </c>
      <c r="C3353" s="25" t="s">
        <v>15598</v>
      </c>
      <c r="D3353" s="34" t="s">
        <v>74</v>
      </c>
    </row>
    <row r="3354" spans="1:4">
      <c r="A3354" s="58">
        <v>45517</v>
      </c>
      <c r="B3354" s="34" t="s">
        <v>15601</v>
      </c>
      <c r="C3354" s="25" t="s">
        <v>15600</v>
      </c>
      <c r="D3354" s="34" t="s">
        <v>345</v>
      </c>
    </row>
    <row r="3355" spans="1:4">
      <c r="A3355" s="58">
        <v>45517</v>
      </c>
      <c r="B3355" s="34" t="s">
        <v>15603</v>
      </c>
      <c r="C3355" s="25" t="s">
        <v>15602</v>
      </c>
      <c r="D3355" s="34" t="s">
        <v>594</v>
      </c>
    </row>
    <row r="3356" spans="1:4">
      <c r="A3356" s="58">
        <v>45517</v>
      </c>
      <c r="B3356" s="34" t="s">
        <v>15605</v>
      </c>
      <c r="C3356" s="25" t="s">
        <v>15604</v>
      </c>
      <c r="D3356" s="34" t="s">
        <v>5</v>
      </c>
    </row>
    <row r="3357" spans="1:4">
      <c r="A3357" s="58">
        <v>45517</v>
      </c>
      <c r="B3357" s="34" t="s">
        <v>15607</v>
      </c>
      <c r="C3357" s="25" t="s">
        <v>15606</v>
      </c>
      <c r="D3357" s="34" t="s">
        <v>345</v>
      </c>
    </row>
    <row r="3358" spans="1:4">
      <c r="A3358" s="58">
        <v>45517</v>
      </c>
      <c r="B3358" s="34" t="s">
        <v>15609</v>
      </c>
      <c r="C3358" s="25" t="s">
        <v>15608</v>
      </c>
      <c r="D3358" s="34" t="s">
        <v>24</v>
      </c>
    </row>
    <row r="3359" spans="1:4">
      <c r="A3359" s="58">
        <v>45509</v>
      </c>
      <c r="B3359" s="34" t="s">
        <v>15611</v>
      </c>
      <c r="C3359" s="25" t="s">
        <v>15610</v>
      </c>
      <c r="D3359" s="34" t="s">
        <v>24</v>
      </c>
    </row>
    <row r="3360" spans="1:4">
      <c r="A3360" s="58">
        <v>45509</v>
      </c>
      <c r="B3360" s="34" t="s">
        <v>15613</v>
      </c>
      <c r="C3360" s="25" t="s">
        <v>15612</v>
      </c>
      <c r="D3360" s="34" t="s">
        <v>353</v>
      </c>
    </row>
    <row r="3361" spans="1:4">
      <c r="A3361" s="58">
        <v>45509</v>
      </c>
      <c r="B3361" s="34" t="s">
        <v>15615</v>
      </c>
      <c r="C3361" s="25" t="s">
        <v>15614</v>
      </c>
      <c r="D3361" s="34" t="s">
        <v>29</v>
      </c>
    </row>
    <row r="3362" spans="1:4">
      <c r="A3362" s="58">
        <v>45509</v>
      </c>
      <c r="B3362" s="34" t="s">
        <v>15617</v>
      </c>
      <c r="C3362" s="25" t="s">
        <v>15616</v>
      </c>
      <c r="D3362" s="34" t="s">
        <v>29</v>
      </c>
    </row>
    <row r="3363" spans="1:4">
      <c r="A3363" s="58">
        <v>45509</v>
      </c>
      <c r="B3363" s="34" t="s">
        <v>15619</v>
      </c>
      <c r="C3363" s="25" t="s">
        <v>15618</v>
      </c>
      <c r="D3363" s="34" t="s">
        <v>510</v>
      </c>
    </row>
    <row r="3364" spans="1:4">
      <c r="A3364" s="58">
        <v>45509</v>
      </c>
      <c r="B3364" s="34" t="s">
        <v>15621</v>
      </c>
      <c r="C3364" s="25" t="s">
        <v>15620</v>
      </c>
      <c r="D3364" s="34" t="s">
        <v>345</v>
      </c>
    </row>
    <row r="3365" spans="1:4">
      <c r="A3365" s="58">
        <v>45510</v>
      </c>
      <c r="B3365" s="34" t="s">
        <v>15623</v>
      </c>
      <c r="C3365" s="25" t="s">
        <v>15622</v>
      </c>
      <c r="D3365" s="34" t="s">
        <v>29</v>
      </c>
    </row>
    <row r="3366" spans="1:4">
      <c r="A3366" s="58">
        <v>45510</v>
      </c>
      <c r="B3366" s="34" t="s">
        <v>15625</v>
      </c>
      <c r="C3366" s="25" t="s">
        <v>15624</v>
      </c>
      <c r="D3366" s="34" t="s">
        <v>594</v>
      </c>
    </row>
    <row r="3367" spans="1:4">
      <c r="A3367" s="58">
        <v>45510</v>
      </c>
      <c r="B3367" s="34" t="s">
        <v>15627</v>
      </c>
      <c r="C3367" s="25" t="s">
        <v>15626</v>
      </c>
      <c r="D3367" s="34" t="s">
        <v>109</v>
      </c>
    </row>
    <row r="3368" spans="1:4">
      <c r="A3368" s="58">
        <v>45510</v>
      </c>
      <c r="B3368" s="34" t="s">
        <v>15629</v>
      </c>
      <c r="C3368" s="25" t="s">
        <v>15628</v>
      </c>
      <c r="D3368" s="34" t="s">
        <v>8</v>
      </c>
    </row>
    <row r="3369" spans="1:4">
      <c r="A3369" s="58">
        <v>45511</v>
      </c>
      <c r="B3369" s="34" t="s">
        <v>15631</v>
      </c>
      <c r="C3369" s="25" t="s">
        <v>15630</v>
      </c>
      <c r="D3369" s="34" t="s">
        <v>216</v>
      </c>
    </row>
    <row r="3370" spans="1:4">
      <c r="A3370" s="58">
        <v>45511</v>
      </c>
      <c r="B3370" s="34" t="s">
        <v>15633</v>
      </c>
      <c r="C3370" s="25" t="s">
        <v>15632</v>
      </c>
      <c r="D3370" s="34" t="s">
        <v>8</v>
      </c>
    </row>
    <row r="3371" spans="1:4">
      <c r="A3371" s="58">
        <v>45512</v>
      </c>
      <c r="B3371" s="34" t="s">
        <v>15635</v>
      </c>
      <c r="C3371" s="25" t="s">
        <v>15634</v>
      </c>
      <c r="D3371" s="34" t="s">
        <v>74</v>
      </c>
    </row>
    <row r="3372" spans="1:4">
      <c r="A3372" s="58">
        <v>45512</v>
      </c>
      <c r="B3372" s="34" t="s">
        <v>10969</v>
      </c>
      <c r="C3372" s="25" t="s">
        <v>15636</v>
      </c>
      <c r="D3372" s="34" t="s">
        <v>5</v>
      </c>
    </row>
    <row r="3373" spans="1:4">
      <c r="A3373" s="58">
        <v>45513</v>
      </c>
      <c r="B3373" s="34" t="s">
        <v>15638</v>
      </c>
      <c r="C3373" s="25" t="s">
        <v>15637</v>
      </c>
      <c r="D3373" s="34" t="s">
        <v>29</v>
      </c>
    </row>
    <row r="3374" spans="1:4">
      <c r="A3374" s="58">
        <v>45513</v>
      </c>
      <c r="B3374" s="34" t="s">
        <v>15640</v>
      </c>
      <c r="C3374" s="25" t="s">
        <v>15639</v>
      </c>
      <c r="D3374" s="34" t="s">
        <v>353</v>
      </c>
    </row>
    <row r="3375" spans="1:4">
      <c r="A3375" s="58">
        <v>45516</v>
      </c>
      <c r="B3375" s="34" t="s">
        <v>15642</v>
      </c>
      <c r="C3375" s="25" t="s">
        <v>15641</v>
      </c>
      <c r="D3375" s="34" t="s">
        <v>29</v>
      </c>
    </row>
    <row r="3376" spans="1:4">
      <c r="A3376" s="58">
        <v>45516</v>
      </c>
      <c r="B3376" s="34" t="s">
        <v>15644</v>
      </c>
      <c r="C3376" s="25" t="s">
        <v>15643</v>
      </c>
      <c r="D3376" s="34" t="s">
        <v>5</v>
      </c>
    </row>
    <row r="3377" spans="1:4">
      <c r="A3377" s="58">
        <v>45517</v>
      </c>
      <c r="B3377" s="34" t="s">
        <v>15646</v>
      </c>
      <c r="C3377" s="25" t="s">
        <v>15645</v>
      </c>
      <c r="D3377" s="34" t="s">
        <v>29</v>
      </c>
    </row>
    <row r="3378" spans="1:4">
      <c r="A3378" s="58">
        <v>45518</v>
      </c>
      <c r="B3378" s="34" t="s">
        <v>15648</v>
      </c>
      <c r="C3378" s="25" t="s">
        <v>15647</v>
      </c>
      <c r="D3378" s="34" t="s">
        <v>24</v>
      </c>
    </row>
    <row r="3379" spans="1:4">
      <c r="A3379" s="58">
        <v>45518</v>
      </c>
      <c r="B3379" s="34" t="s">
        <v>15649</v>
      </c>
      <c r="C3379" s="25" t="s">
        <v>15647</v>
      </c>
      <c r="D3379" s="34" t="s">
        <v>24</v>
      </c>
    </row>
    <row r="3380" spans="1:4">
      <c r="A3380" s="58">
        <v>45509</v>
      </c>
      <c r="B3380" s="34" t="s">
        <v>10969</v>
      </c>
      <c r="C3380" s="25" t="s">
        <v>15650</v>
      </c>
      <c r="D3380" s="34" t="s">
        <v>109</v>
      </c>
    </row>
    <row r="3381" spans="1:4">
      <c r="A3381" s="58">
        <v>45510</v>
      </c>
      <c r="B3381" s="34" t="s">
        <v>15652</v>
      </c>
      <c r="C3381" s="25" t="s">
        <v>15651</v>
      </c>
      <c r="D3381" s="34" t="s">
        <v>24</v>
      </c>
    </row>
    <row r="3382" spans="1:4">
      <c r="A3382" s="58">
        <v>45510</v>
      </c>
      <c r="B3382" s="34" t="s">
        <v>10969</v>
      </c>
      <c r="C3382" s="25" t="s">
        <v>15653</v>
      </c>
      <c r="D3382" s="34" t="s">
        <v>109</v>
      </c>
    </row>
    <row r="3383" spans="1:4">
      <c r="A3383" s="58">
        <v>45511</v>
      </c>
      <c r="B3383" s="34" t="s">
        <v>15655</v>
      </c>
      <c r="C3383" s="25" t="s">
        <v>15654</v>
      </c>
      <c r="D3383" s="34" t="s">
        <v>109</v>
      </c>
    </row>
    <row r="3384" spans="1:4">
      <c r="A3384" s="58">
        <v>45511</v>
      </c>
      <c r="B3384" s="34" t="s">
        <v>15657</v>
      </c>
      <c r="C3384" s="25" t="s">
        <v>15656</v>
      </c>
      <c r="D3384" s="34" t="s">
        <v>109</v>
      </c>
    </row>
    <row r="3385" spans="1:4">
      <c r="A3385" s="58">
        <v>45511</v>
      </c>
      <c r="B3385" s="34" t="s">
        <v>15659</v>
      </c>
      <c r="C3385" s="25" t="s">
        <v>15658</v>
      </c>
      <c r="D3385" s="34" t="s">
        <v>109</v>
      </c>
    </row>
    <row r="3386" spans="1:4">
      <c r="A3386" s="58">
        <v>45512</v>
      </c>
      <c r="B3386" s="34" t="s">
        <v>15661</v>
      </c>
      <c r="C3386" s="25" t="s">
        <v>15660</v>
      </c>
      <c r="D3386" s="34" t="s">
        <v>29</v>
      </c>
    </row>
    <row r="3387" spans="1:4">
      <c r="A3387" s="58">
        <v>45512</v>
      </c>
      <c r="B3387" s="34" t="s">
        <v>15663</v>
      </c>
      <c r="C3387" s="25" t="s">
        <v>15662</v>
      </c>
      <c r="D3387" s="34" t="s">
        <v>109</v>
      </c>
    </row>
    <row r="3388" spans="1:4">
      <c r="A3388" s="58">
        <v>45513</v>
      </c>
      <c r="B3388" s="34" t="s">
        <v>15665</v>
      </c>
      <c r="C3388" s="25" t="s">
        <v>15664</v>
      </c>
      <c r="D3388" s="34" t="s">
        <v>34</v>
      </c>
    </row>
    <row r="3389" spans="1:4">
      <c r="A3389" s="58">
        <v>45513</v>
      </c>
      <c r="B3389" s="34" t="s">
        <v>15667</v>
      </c>
      <c r="C3389" s="25" t="s">
        <v>15666</v>
      </c>
      <c r="D3389" s="34" t="s">
        <v>29</v>
      </c>
    </row>
    <row r="3390" spans="1:4">
      <c r="A3390" s="58">
        <v>45512</v>
      </c>
      <c r="B3390" s="34" t="s">
        <v>15669</v>
      </c>
      <c r="C3390" s="25" t="s">
        <v>15668</v>
      </c>
      <c r="D3390" s="34" t="s">
        <v>164</v>
      </c>
    </row>
    <row r="3391" spans="1:4">
      <c r="A3391" s="58">
        <v>45513</v>
      </c>
      <c r="B3391" s="34" t="s">
        <v>15671</v>
      </c>
      <c r="C3391" s="25" t="s">
        <v>15670</v>
      </c>
      <c r="D3391" s="34" t="s">
        <v>216</v>
      </c>
    </row>
    <row r="3392" spans="1:4">
      <c r="A3392" s="58">
        <v>45513</v>
      </c>
      <c r="B3392" s="34" t="s">
        <v>15673</v>
      </c>
      <c r="C3392" s="25" t="s">
        <v>15672</v>
      </c>
      <c r="D3392" s="34" t="s">
        <v>34</v>
      </c>
    </row>
    <row r="3393" spans="1:4">
      <c r="A3393" s="58">
        <v>45513</v>
      </c>
      <c r="B3393" s="34" t="s">
        <v>15675</v>
      </c>
      <c r="C3393" s="25" t="s">
        <v>15674</v>
      </c>
      <c r="D3393" s="34" t="s">
        <v>353</v>
      </c>
    </row>
    <row r="3394" spans="1:4">
      <c r="A3394" s="58">
        <v>45514</v>
      </c>
      <c r="B3394" s="34" t="s">
        <v>15677</v>
      </c>
      <c r="C3394" s="25" t="s">
        <v>15676</v>
      </c>
      <c r="D3394" s="34" t="s">
        <v>5</v>
      </c>
    </row>
    <row r="3395" spans="1:4">
      <c r="A3395" s="58">
        <v>45514</v>
      </c>
      <c r="B3395" s="34" t="s">
        <v>15679</v>
      </c>
      <c r="C3395" s="25" t="s">
        <v>15678</v>
      </c>
      <c r="D3395" s="34" t="s">
        <v>29</v>
      </c>
    </row>
    <row r="3396" spans="1:4">
      <c r="A3396" s="58">
        <v>45516</v>
      </c>
      <c r="B3396" s="34" t="s">
        <v>15681</v>
      </c>
      <c r="C3396" s="25" t="s">
        <v>15680</v>
      </c>
      <c r="D3396" s="34" t="s">
        <v>24</v>
      </c>
    </row>
    <row r="3397" spans="1:4">
      <c r="A3397" s="58">
        <v>45517</v>
      </c>
      <c r="B3397" s="34" t="s">
        <v>10969</v>
      </c>
      <c r="C3397" s="25" t="s">
        <v>15682</v>
      </c>
      <c r="D3397" s="34" t="s">
        <v>510</v>
      </c>
    </row>
    <row r="3398" spans="1:4">
      <c r="A3398" s="58">
        <v>45517</v>
      </c>
      <c r="B3398" s="34" t="s">
        <v>15684</v>
      </c>
      <c r="C3398" s="25" t="s">
        <v>15683</v>
      </c>
      <c r="D3398" s="34" t="s">
        <v>594</v>
      </c>
    </row>
    <row r="3399" spans="1:4">
      <c r="A3399" s="58">
        <v>45517</v>
      </c>
      <c r="B3399" s="34" t="s">
        <v>15686</v>
      </c>
      <c r="C3399" s="25" t="s">
        <v>15685</v>
      </c>
      <c r="D3399" s="34" t="s">
        <v>19</v>
      </c>
    </row>
    <row r="3400" spans="1:4">
      <c r="A3400" s="58">
        <v>45517</v>
      </c>
      <c r="B3400" s="34" t="s">
        <v>15688</v>
      </c>
      <c r="C3400" s="25" t="s">
        <v>15687</v>
      </c>
      <c r="D3400" s="34" t="s">
        <v>594</v>
      </c>
    </row>
    <row r="3401" spans="1:4">
      <c r="A3401" s="58">
        <v>45517</v>
      </c>
      <c r="B3401" s="34" t="s">
        <v>15689</v>
      </c>
      <c r="C3401" s="25" t="s">
        <v>10656</v>
      </c>
      <c r="D3401" s="34" t="s">
        <v>74</v>
      </c>
    </row>
    <row r="3402" spans="1:4">
      <c r="A3402" s="58">
        <v>45517</v>
      </c>
      <c r="B3402" s="34" t="s">
        <v>10969</v>
      </c>
      <c r="C3402" s="25" t="s">
        <v>15690</v>
      </c>
      <c r="D3402" s="34" t="s">
        <v>109</v>
      </c>
    </row>
    <row r="3403" spans="1:4">
      <c r="A3403" s="58">
        <v>45517</v>
      </c>
      <c r="B3403" s="34" t="s">
        <v>15692</v>
      </c>
      <c r="C3403" s="25" t="s">
        <v>15691</v>
      </c>
      <c r="D3403" s="34" t="s">
        <v>74</v>
      </c>
    </row>
    <row r="3404" spans="1:4">
      <c r="A3404" s="58">
        <v>45517</v>
      </c>
      <c r="B3404" s="34" t="s">
        <v>10969</v>
      </c>
      <c r="C3404" s="25" t="s">
        <v>10656</v>
      </c>
      <c r="D3404" s="34" t="s">
        <v>74</v>
      </c>
    </row>
    <row r="3405" spans="1:4">
      <c r="A3405" s="58">
        <v>45517</v>
      </c>
      <c r="B3405" s="34" t="s">
        <v>10969</v>
      </c>
      <c r="C3405" s="25" t="s">
        <v>15693</v>
      </c>
      <c r="D3405" s="34" t="s">
        <v>74</v>
      </c>
    </row>
    <row r="3406" spans="1:4">
      <c r="A3406" s="58">
        <v>45517</v>
      </c>
      <c r="B3406" s="34" t="s">
        <v>15695</v>
      </c>
      <c r="C3406" s="25" t="s">
        <v>15694</v>
      </c>
      <c r="D3406" s="34" t="s">
        <v>594</v>
      </c>
    </row>
    <row r="3407" spans="1:4">
      <c r="A3407" s="58">
        <v>45518</v>
      </c>
      <c r="B3407" s="34" t="s">
        <v>15697</v>
      </c>
      <c r="C3407" s="25" t="s">
        <v>15696</v>
      </c>
      <c r="D3407" s="34" t="s">
        <v>216</v>
      </c>
    </row>
    <row r="3408" spans="1:4">
      <c r="A3408" s="58">
        <v>45518</v>
      </c>
      <c r="B3408" s="34" t="s">
        <v>15699</v>
      </c>
      <c r="C3408" s="25" t="s">
        <v>15698</v>
      </c>
      <c r="D3408" s="34" t="s">
        <v>141</v>
      </c>
    </row>
    <row r="3409" spans="1:4">
      <c r="A3409" s="58">
        <v>45518</v>
      </c>
      <c r="B3409" s="34" t="s">
        <v>15701</v>
      </c>
      <c r="C3409" s="25" t="s">
        <v>15700</v>
      </c>
      <c r="D3409" s="34" t="s">
        <v>216</v>
      </c>
    </row>
    <row r="3410" spans="1:4">
      <c r="A3410" s="58">
        <v>45518</v>
      </c>
      <c r="B3410" s="34" t="s">
        <v>15703</v>
      </c>
      <c r="C3410" s="25" t="s">
        <v>15702</v>
      </c>
      <c r="D3410" s="34" t="s">
        <v>216</v>
      </c>
    </row>
    <row r="3411" spans="1:4">
      <c r="A3411" s="58">
        <v>45521</v>
      </c>
      <c r="B3411" s="50" t="s">
        <v>15704</v>
      </c>
      <c r="C3411" s="51" t="s">
        <v>83</v>
      </c>
      <c r="D3411" s="50" t="s">
        <v>81</v>
      </c>
    </row>
    <row r="3412" spans="1:4">
      <c r="A3412" s="58">
        <v>45521</v>
      </c>
      <c r="B3412" s="50" t="s">
        <v>15706</v>
      </c>
      <c r="C3412" s="51" t="s">
        <v>15705</v>
      </c>
      <c r="D3412" s="50" t="s">
        <v>594</v>
      </c>
    </row>
    <row r="3413" spans="1:4">
      <c r="A3413" s="58">
        <v>45523</v>
      </c>
      <c r="B3413" s="50" t="s">
        <v>15708</v>
      </c>
      <c r="C3413" s="51" t="s">
        <v>15707</v>
      </c>
      <c r="D3413" s="50" t="s">
        <v>29</v>
      </c>
    </row>
    <row r="3414" spans="1:4">
      <c r="A3414" s="58">
        <v>45524</v>
      </c>
      <c r="B3414" s="50" t="s">
        <v>15710</v>
      </c>
      <c r="C3414" s="51" t="s">
        <v>15709</v>
      </c>
      <c r="D3414" s="50" t="s">
        <v>5</v>
      </c>
    </row>
    <row r="3415" spans="1:4">
      <c r="A3415" s="58">
        <v>45524</v>
      </c>
      <c r="B3415" s="50" t="s">
        <v>15712</v>
      </c>
      <c r="C3415" s="51" t="s">
        <v>15711</v>
      </c>
      <c r="D3415" s="50" t="s">
        <v>74</v>
      </c>
    </row>
    <row r="3416" spans="1:4">
      <c r="A3416" s="58">
        <v>45524</v>
      </c>
      <c r="B3416" s="50" t="s">
        <v>15714</v>
      </c>
      <c r="C3416" s="51" t="s">
        <v>15713</v>
      </c>
      <c r="D3416" s="50" t="s">
        <v>5</v>
      </c>
    </row>
    <row r="3417" spans="1:4">
      <c r="A3417" s="58">
        <v>45525</v>
      </c>
      <c r="B3417" s="50" t="s">
        <v>15716</v>
      </c>
      <c r="C3417" s="51" t="s">
        <v>15715</v>
      </c>
      <c r="D3417" s="50" t="s">
        <v>510</v>
      </c>
    </row>
    <row r="3418" spans="1:4">
      <c r="A3418" s="58">
        <v>45525</v>
      </c>
      <c r="B3418" s="50" t="s">
        <v>15718</v>
      </c>
      <c r="C3418" s="51" t="s">
        <v>15717</v>
      </c>
      <c r="D3418" s="50" t="s">
        <v>34</v>
      </c>
    </row>
    <row r="3419" spans="1:4">
      <c r="A3419" s="58">
        <v>45527</v>
      </c>
      <c r="B3419" s="50" t="s">
        <v>15720</v>
      </c>
      <c r="C3419" s="51" t="s">
        <v>15719</v>
      </c>
      <c r="D3419" s="50" t="s">
        <v>34</v>
      </c>
    </row>
    <row r="3420" spans="1:4">
      <c r="A3420" s="58">
        <v>45527</v>
      </c>
      <c r="B3420" s="50" t="s">
        <v>15721</v>
      </c>
      <c r="C3420" s="51" t="s">
        <v>15504</v>
      </c>
      <c r="D3420" s="50" t="s">
        <v>29</v>
      </c>
    </row>
    <row r="3421" spans="1:4">
      <c r="A3421" s="58">
        <v>45527</v>
      </c>
      <c r="B3421" s="50" t="s">
        <v>15723</v>
      </c>
      <c r="C3421" s="51" t="s">
        <v>15722</v>
      </c>
      <c r="D3421" s="50" t="s">
        <v>24</v>
      </c>
    </row>
    <row r="3422" spans="1:4">
      <c r="A3422" s="58">
        <v>45527</v>
      </c>
      <c r="B3422" s="50" t="s">
        <v>15721</v>
      </c>
      <c r="C3422" s="51" t="s">
        <v>15724</v>
      </c>
      <c r="D3422" s="50" t="s">
        <v>29</v>
      </c>
    </row>
    <row r="3423" spans="1:4">
      <c r="A3423" s="58">
        <v>45531</v>
      </c>
      <c r="B3423" s="50" t="s">
        <v>15726</v>
      </c>
      <c r="C3423" s="51" t="s">
        <v>15725</v>
      </c>
      <c r="D3423" s="50" t="s">
        <v>5</v>
      </c>
    </row>
    <row r="3424" spans="1:4">
      <c r="A3424" s="58">
        <v>45531</v>
      </c>
      <c r="B3424" s="50" t="s">
        <v>15728</v>
      </c>
      <c r="C3424" s="51" t="s">
        <v>15727</v>
      </c>
      <c r="D3424" s="50" t="s">
        <v>29</v>
      </c>
    </row>
    <row r="3425" spans="1:4">
      <c r="A3425" s="58">
        <v>45531</v>
      </c>
      <c r="B3425" s="50" t="s">
        <v>15730</v>
      </c>
      <c r="C3425" s="51" t="s">
        <v>15729</v>
      </c>
      <c r="D3425" s="50" t="s">
        <v>216</v>
      </c>
    </row>
    <row r="3426" spans="1:4">
      <c r="A3426" s="58">
        <v>45531</v>
      </c>
      <c r="B3426" s="50" t="s">
        <v>15732</v>
      </c>
      <c r="C3426" s="51" t="s">
        <v>15731</v>
      </c>
      <c r="D3426" s="50" t="s">
        <v>216</v>
      </c>
    </row>
    <row r="3427" spans="1:4">
      <c r="A3427" s="58">
        <v>45521</v>
      </c>
      <c r="B3427" s="50" t="s">
        <v>15734</v>
      </c>
      <c r="C3427" s="51" t="s">
        <v>15733</v>
      </c>
      <c r="D3427" s="50" t="s">
        <v>5</v>
      </c>
    </row>
    <row r="3428" spans="1:4">
      <c r="A3428" s="58">
        <v>45521</v>
      </c>
      <c r="B3428" s="50" t="s">
        <v>15735</v>
      </c>
      <c r="C3428" s="51" t="s">
        <v>2856</v>
      </c>
      <c r="D3428" s="50" t="s">
        <v>5</v>
      </c>
    </row>
    <row r="3429" spans="1:4">
      <c r="A3429" s="58">
        <v>45521</v>
      </c>
      <c r="B3429" s="50" t="s">
        <v>15737</v>
      </c>
      <c r="C3429" s="51" t="s">
        <v>15736</v>
      </c>
      <c r="D3429" s="50" t="s">
        <v>74</v>
      </c>
    </row>
    <row r="3430" spans="1:4">
      <c r="A3430" s="58">
        <v>45521</v>
      </c>
      <c r="B3430" s="50" t="s">
        <v>15739</v>
      </c>
      <c r="C3430" s="51" t="s">
        <v>15738</v>
      </c>
      <c r="D3430" s="50" t="s">
        <v>74</v>
      </c>
    </row>
    <row r="3431" spans="1:4">
      <c r="A3431" s="58">
        <v>45521</v>
      </c>
      <c r="B3431" s="50" t="s">
        <v>15741</v>
      </c>
      <c r="C3431" s="51" t="s">
        <v>15740</v>
      </c>
      <c r="D3431" s="50" t="s">
        <v>141</v>
      </c>
    </row>
    <row r="3432" spans="1:4">
      <c r="A3432" s="58">
        <v>45521</v>
      </c>
      <c r="B3432" s="50" t="s">
        <v>15743</v>
      </c>
      <c r="C3432" s="51" t="s">
        <v>15742</v>
      </c>
      <c r="D3432" s="50" t="s">
        <v>141</v>
      </c>
    </row>
    <row r="3433" spans="1:4">
      <c r="A3433" s="58">
        <v>45522</v>
      </c>
      <c r="B3433" s="50" t="s">
        <v>15745</v>
      </c>
      <c r="C3433" s="51" t="s">
        <v>15744</v>
      </c>
      <c r="D3433" s="50" t="s">
        <v>74</v>
      </c>
    </row>
    <row r="3434" spans="1:4">
      <c r="A3434" s="58">
        <v>45522</v>
      </c>
      <c r="B3434" s="50" t="s">
        <v>15747</v>
      </c>
      <c r="C3434" s="51" t="s">
        <v>15746</v>
      </c>
      <c r="D3434" s="50" t="s">
        <v>74</v>
      </c>
    </row>
    <row r="3435" spans="1:4">
      <c r="A3435" s="58">
        <v>45523</v>
      </c>
      <c r="B3435" s="50" t="s">
        <v>15749</v>
      </c>
      <c r="C3435" s="51" t="s">
        <v>15748</v>
      </c>
      <c r="D3435" s="50" t="s">
        <v>19</v>
      </c>
    </row>
    <row r="3436" spans="1:4">
      <c r="A3436" s="58">
        <v>45523</v>
      </c>
      <c r="B3436" s="50" t="s">
        <v>15751</v>
      </c>
      <c r="C3436" s="51" t="s">
        <v>15750</v>
      </c>
      <c r="D3436" s="50" t="s">
        <v>345</v>
      </c>
    </row>
    <row r="3437" spans="1:4">
      <c r="A3437" s="58">
        <v>45523</v>
      </c>
      <c r="B3437" s="50" t="s">
        <v>15752</v>
      </c>
      <c r="C3437" s="51" t="s">
        <v>15750</v>
      </c>
      <c r="D3437" s="50" t="s">
        <v>345</v>
      </c>
    </row>
    <row r="3438" spans="1:4">
      <c r="A3438" s="58">
        <v>45526</v>
      </c>
      <c r="B3438" s="50" t="s">
        <v>15754</v>
      </c>
      <c r="C3438" s="51" t="s">
        <v>15753</v>
      </c>
      <c r="D3438" s="50" t="s">
        <v>24</v>
      </c>
    </row>
    <row r="3439" spans="1:4">
      <c r="A3439" s="58">
        <v>45527</v>
      </c>
      <c r="B3439" s="50" t="s">
        <v>15756</v>
      </c>
      <c r="C3439" s="51" t="s">
        <v>15755</v>
      </c>
      <c r="D3439" s="50" t="s">
        <v>141</v>
      </c>
    </row>
    <row r="3440" spans="1:4">
      <c r="A3440" s="58">
        <v>45523</v>
      </c>
      <c r="B3440" s="50" t="s">
        <v>15758</v>
      </c>
      <c r="C3440" s="51" t="s">
        <v>15757</v>
      </c>
      <c r="D3440" s="50" t="s">
        <v>29</v>
      </c>
    </row>
    <row r="3441" spans="1:4">
      <c r="A3441" s="58">
        <v>45523</v>
      </c>
      <c r="B3441" s="50" t="s">
        <v>15760</v>
      </c>
      <c r="C3441" s="51" t="s">
        <v>15759</v>
      </c>
      <c r="D3441" s="50" t="s">
        <v>510</v>
      </c>
    </row>
    <row r="3442" spans="1:4">
      <c r="A3442" s="58">
        <v>45526</v>
      </c>
      <c r="B3442" s="50" t="s">
        <v>15762</v>
      </c>
      <c r="C3442" s="51" t="s">
        <v>15761</v>
      </c>
      <c r="D3442" s="50" t="s">
        <v>109</v>
      </c>
    </row>
    <row r="3443" spans="1:4">
      <c r="A3443" s="58">
        <v>45526</v>
      </c>
      <c r="B3443" s="50" t="s">
        <v>15764</v>
      </c>
      <c r="C3443" s="51" t="s">
        <v>15763</v>
      </c>
      <c r="D3443" s="50" t="s">
        <v>345</v>
      </c>
    </row>
    <row r="3444" spans="1:4">
      <c r="A3444" s="58">
        <v>45526</v>
      </c>
      <c r="B3444" s="50" t="s">
        <v>15766</v>
      </c>
      <c r="C3444" s="51" t="s">
        <v>15765</v>
      </c>
      <c r="D3444" s="50" t="s">
        <v>109</v>
      </c>
    </row>
    <row r="3445" spans="1:4">
      <c r="A3445" s="58">
        <v>45530</v>
      </c>
      <c r="B3445" s="50" t="s">
        <v>15768</v>
      </c>
      <c r="C3445" s="51" t="s">
        <v>15767</v>
      </c>
      <c r="D3445" s="50" t="s">
        <v>109</v>
      </c>
    </row>
    <row r="3446" spans="1:4">
      <c r="A3446" s="58">
        <v>45530</v>
      </c>
      <c r="B3446" s="50" t="s">
        <v>15770</v>
      </c>
      <c r="C3446" s="51" t="s">
        <v>15769</v>
      </c>
      <c r="D3446" s="50" t="s">
        <v>29</v>
      </c>
    </row>
    <row r="3447" spans="1:4">
      <c r="A3447" s="58">
        <v>45531</v>
      </c>
      <c r="B3447" s="50" t="s">
        <v>15772</v>
      </c>
      <c r="C3447" s="51" t="s">
        <v>15771</v>
      </c>
      <c r="D3447" s="50" t="s">
        <v>353</v>
      </c>
    </row>
    <row r="3448" spans="1:4">
      <c r="A3448" s="58">
        <v>45531</v>
      </c>
      <c r="B3448" s="50" t="s">
        <v>15774</v>
      </c>
      <c r="C3448" s="51" t="s">
        <v>15773</v>
      </c>
      <c r="D3448" s="50" t="s">
        <v>81</v>
      </c>
    </row>
    <row r="3449" spans="1:4">
      <c r="A3449" s="58">
        <v>45531</v>
      </c>
      <c r="B3449" s="50" t="s">
        <v>15775</v>
      </c>
      <c r="C3449" s="51" t="s">
        <v>349</v>
      </c>
      <c r="D3449" s="50" t="s">
        <v>81</v>
      </c>
    </row>
    <row r="3450" spans="1:4">
      <c r="A3450" s="58">
        <v>45523</v>
      </c>
      <c r="B3450" s="50" t="s">
        <v>15777</v>
      </c>
      <c r="C3450" s="51" t="s">
        <v>15776</v>
      </c>
      <c r="D3450" s="50" t="s">
        <v>19</v>
      </c>
    </row>
    <row r="3451" spans="1:4">
      <c r="A3451" s="58">
        <v>45524</v>
      </c>
      <c r="B3451" s="50" t="s">
        <v>15779</v>
      </c>
      <c r="C3451" s="51" t="s">
        <v>15778</v>
      </c>
      <c r="D3451" s="50" t="s">
        <v>29</v>
      </c>
    </row>
    <row r="3452" spans="1:4">
      <c r="A3452" s="58">
        <v>45524</v>
      </c>
      <c r="B3452" s="50" t="s">
        <v>15781</v>
      </c>
      <c r="C3452" s="51" t="s">
        <v>15780</v>
      </c>
      <c r="D3452" s="50" t="s">
        <v>29</v>
      </c>
    </row>
    <row r="3453" spans="1:4">
      <c r="A3453" s="58">
        <v>45525</v>
      </c>
      <c r="B3453" s="50" t="s">
        <v>15783</v>
      </c>
      <c r="C3453" s="51" t="s">
        <v>15782</v>
      </c>
      <c r="D3453" s="50" t="s">
        <v>24</v>
      </c>
    </row>
    <row r="3454" spans="1:4">
      <c r="A3454" s="58">
        <v>45526</v>
      </c>
      <c r="B3454" s="50" t="s">
        <v>15785</v>
      </c>
      <c r="C3454" s="51" t="s">
        <v>15784</v>
      </c>
      <c r="D3454" s="50" t="s">
        <v>345</v>
      </c>
    </row>
    <row r="3455" spans="1:4">
      <c r="A3455" s="58">
        <v>45526</v>
      </c>
      <c r="B3455" s="50" t="s">
        <v>15787</v>
      </c>
      <c r="C3455" s="51" t="s">
        <v>15786</v>
      </c>
      <c r="D3455" s="50" t="s">
        <v>24</v>
      </c>
    </row>
    <row r="3456" spans="1:4">
      <c r="A3456" s="58">
        <v>45527</v>
      </c>
      <c r="B3456" s="50" t="s">
        <v>15789</v>
      </c>
      <c r="C3456" s="51" t="s">
        <v>15788</v>
      </c>
      <c r="D3456" s="50" t="s">
        <v>74</v>
      </c>
    </row>
    <row r="3457" spans="1:4">
      <c r="A3457" s="58">
        <v>45520</v>
      </c>
      <c r="B3457" s="50" t="s">
        <v>10969</v>
      </c>
      <c r="C3457" s="51" t="s">
        <v>15790</v>
      </c>
      <c r="D3457" s="50" t="s">
        <v>109</v>
      </c>
    </row>
    <row r="3458" spans="1:4">
      <c r="A3458" s="58">
        <v>45520</v>
      </c>
      <c r="B3458" s="50" t="s">
        <v>15792</v>
      </c>
      <c r="C3458" s="51" t="s">
        <v>15791</v>
      </c>
      <c r="D3458" s="50" t="s">
        <v>29</v>
      </c>
    </row>
    <row r="3459" spans="1:4">
      <c r="A3459" s="58">
        <v>45520</v>
      </c>
      <c r="B3459" s="50" t="s">
        <v>10969</v>
      </c>
      <c r="C3459" s="51" t="s">
        <v>15793</v>
      </c>
      <c r="D3459" s="50" t="s">
        <v>109</v>
      </c>
    </row>
    <row r="3460" spans="1:4">
      <c r="A3460" s="58">
        <v>45520</v>
      </c>
      <c r="B3460" s="50" t="s">
        <v>15795</v>
      </c>
      <c r="C3460" s="51" t="s">
        <v>15794</v>
      </c>
      <c r="D3460" s="50" t="s">
        <v>29</v>
      </c>
    </row>
    <row r="3461" spans="1:4">
      <c r="A3461" s="58">
        <v>45520</v>
      </c>
      <c r="B3461" s="50" t="s">
        <v>15797</v>
      </c>
      <c r="C3461" s="51" t="s">
        <v>15796</v>
      </c>
      <c r="D3461" s="50" t="s">
        <v>29</v>
      </c>
    </row>
    <row r="3462" spans="1:4">
      <c r="A3462" s="58">
        <v>45523</v>
      </c>
      <c r="B3462" s="50" t="s">
        <v>15799</v>
      </c>
      <c r="C3462" s="51" t="s">
        <v>15798</v>
      </c>
      <c r="D3462" s="50" t="s">
        <v>34</v>
      </c>
    </row>
    <row r="3463" spans="1:4">
      <c r="A3463" s="58">
        <v>45523</v>
      </c>
      <c r="B3463" s="50" t="s">
        <v>15801</v>
      </c>
      <c r="C3463" s="51" t="s">
        <v>15800</v>
      </c>
      <c r="D3463" s="50" t="s">
        <v>29</v>
      </c>
    </row>
    <row r="3464" spans="1:4">
      <c r="A3464" s="58">
        <v>45523</v>
      </c>
      <c r="B3464" s="50" t="s">
        <v>15803</v>
      </c>
      <c r="C3464" s="51" t="s">
        <v>15802</v>
      </c>
      <c r="D3464" s="50" t="s">
        <v>594</v>
      </c>
    </row>
    <row r="3465" spans="1:4">
      <c r="A3465" s="58">
        <v>45523</v>
      </c>
      <c r="B3465" s="50" t="s">
        <v>15805</v>
      </c>
      <c r="C3465" s="51" t="s">
        <v>15804</v>
      </c>
      <c r="D3465" s="50" t="s">
        <v>34</v>
      </c>
    </row>
    <row r="3466" spans="1:4">
      <c r="A3466" s="58">
        <v>45523</v>
      </c>
      <c r="B3466" s="50" t="s">
        <v>15807</v>
      </c>
      <c r="C3466" s="51" t="s">
        <v>15806</v>
      </c>
      <c r="D3466" s="50" t="s">
        <v>594</v>
      </c>
    </row>
    <row r="3467" spans="1:4">
      <c r="A3467" s="58">
        <v>45524</v>
      </c>
      <c r="B3467" s="50" t="s">
        <v>15809</v>
      </c>
      <c r="C3467" s="51" t="s">
        <v>15808</v>
      </c>
      <c r="D3467" s="50" t="s">
        <v>594</v>
      </c>
    </row>
    <row r="3468" spans="1:4">
      <c r="A3468" s="58">
        <v>45524</v>
      </c>
      <c r="B3468" s="50" t="s">
        <v>15811</v>
      </c>
      <c r="C3468" s="51" t="s">
        <v>15810</v>
      </c>
      <c r="D3468" s="50" t="s">
        <v>345</v>
      </c>
    </row>
    <row r="3469" spans="1:4">
      <c r="A3469" s="58">
        <v>45524</v>
      </c>
      <c r="B3469" s="50" t="s">
        <v>15813</v>
      </c>
      <c r="C3469" s="51" t="s">
        <v>15812</v>
      </c>
      <c r="D3469" s="50" t="s">
        <v>29</v>
      </c>
    </row>
    <row r="3470" spans="1:4">
      <c r="A3470" s="58">
        <v>45524</v>
      </c>
      <c r="B3470" s="50" t="s">
        <v>15815</v>
      </c>
      <c r="C3470" s="51" t="s">
        <v>15814</v>
      </c>
      <c r="D3470" s="50" t="s">
        <v>11</v>
      </c>
    </row>
    <row r="3471" spans="1:4">
      <c r="A3471" s="58">
        <v>45525</v>
      </c>
      <c r="B3471" s="50" t="s">
        <v>15817</v>
      </c>
      <c r="C3471" s="51" t="s">
        <v>15816</v>
      </c>
      <c r="D3471" s="50" t="s">
        <v>29</v>
      </c>
    </row>
    <row r="3472" spans="1:4">
      <c r="A3472" s="58">
        <v>45525</v>
      </c>
      <c r="B3472" s="50" t="s">
        <v>15819</v>
      </c>
      <c r="C3472" s="51" t="s">
        <v>15818</v>
      </c>
      <c r="D3472" s="50" t="s">
        <v>74</v>
      </c>
    </row>
    <row r="3473" spans="1:4">
      <c r="A3473" s="58">
        <v>45525</v>
      </c>
      <c r="B3473" s="50" t="s">
        <v>15819</v>
      </c>
      <c r="C3473" s="51" t="s">
        <v>15820</v>
      </c>
      <c r="D3473" s="50" t="s">
        <v>74</v>
      </c>
    </row>
    <row r="3474" spans="1:4">
      <c r="A3474" s="58">
        <v>45525</v>
      </c>
      <c r="B3474" s="50" t="s">
        <v>15822</v>
      </c>
      <c r="C3474" s="51" t="s">
        <v>15821</v>
      </c>
      <c r="D3474" s="50" t="s">
        <v>29</v>
      </c>
    </row>
    <row r="3475" spans="1:4">
      <c r="A3475" s="58">
        <v>45526</v>
      </c>
      <c r="B3475" s="50" t="s">
        <v>10969</v>
      </c>
      <c r="C3475" s="51" t="s">
        <v>15823</v>
      </c>
      <c r="D3475" s="50" t="s">
        <v>74</v>
      </c>
    </row>
    <row r="3476" spans="1:4">
      <c r="A3476" s="58">
        <v>45526</v>
      </c>
      <c r="B3476" s="50" t="s">
        <v>10969</v>
      </c>
      <c r="C3476" s="51" t="s">
        <v>15824</v>
      </c>
      <c r="D3476" s="50" t="s">
        <v>74</v>
      </c>
    </row>
    <row r="3477" spans="1:4">
      <c r="A3477" s="58">
        <v>45527</v>
      </c>
      <c r="B3477" s="50" t="s">
        <v>10969</v>
      </c>
      <c r="C3477" s="51" t="s">
        <v>15825</v>
      </c>
      <c r="D3477" s="50" t="s">
        <v>74</v>
      </c>
    </row>
    <row r="3478" spans="1:4">
      <c r="A3478" s="58">
        <v>45527</v>
      </c>
      <c r="B3478" s="50" t="s">
        <v>15827</v>
      </c>
      <c r="C3478" s="51" t="s">
        <v>15826</v>
      </c>
      <c r="D3478" s="50" t="s">
        <v>29</v>
      </c>
    </row>
    <row r="3479" spans="1:4">
      <c r="A3479" s="58">
        <v>45527</v>
      </c>
      <c r="B3479" s="50" t="s">
        <v>15829</v>
      </c>
      <c r="C3479" s="51" t="s">
        <v>15828</v>
      </c>
      <c r="D3479" s="50" t="s">
        <v>29</v>
      </c>
    </row>
    <row r="3480" spans="1:4">
      <c r="A3480" s="58">
        <v>45527</v>
      </c>
      <c r="B3480" s="50" t="s">
        <v>10969</v>
      </c>
      <c r="C3480" s="51" t="s">
        <v>15830</v>
      </c>
      <c r="D3480" s="50" t="s">
        <v>594</v>
      </c>
    </row>
    <row r="3481" spans="1:4">
      <c r="A3481" s="58">
        <v>45527</v>
      </c>
      <c r="B3481" s="50" t="s">
        <v>15832</v>
      </c>
      <c r="C3481" s="51" t="s">
        <v>15831</v>
      </c>
      <c r="D3481" s="50" t="s">
        <v>8</v>
      </c>
    </row>
    <row r="3482" spans="1:4">
      <c r="A3482" s="58">
        <v>45527</v>
      </c>
      <c r="B3482" s="50" t="s">
        <v>15834</v>
      </c>
      <c r="C3482" s="51" t="s">
        <v>15833</v>
      </c>
      <c r="D3482" s="50" t="s">
        <v>109</v>
      </c>
    </row>
    <row r="3483" spans="1:4">
      <c r="A3483" s="58">
        <v>45530</v>
      </c>
      <c r="B3483" s="50" t="s">
        <v>10969</v>
      </c>
      <c r="C3483" s="51" t="s">
        <v>15835</v>
      </c>
      <c r="D3483" s="50" t="s">
        <v>29</v>
      </c>
    </row>
    <row r="3484" spans="1:4">
      <c r="A3484" s="58">
        <v>45530</v>
      </c>
      <c r="B3484" s="50" t="s">
        <v>15837</v>
      </c>
      <c r="C3484" s="51" t="s">
        <v>15836</v>
      </c>
      <c r="D3484" s="50" t="s">
        <v>29</v>
      </c>
    </row>
    <row r="3485" spans="1:4">
      <c r="A3485" s="58">
        <v>45530</v>
      </c>
      <c r="B3485" s="50" t="s">
        <v>15839</v>
      </c>
      <c r="C3485" s="51" t="s">
        <v>15838</v>
      </c>
      <c r="D3485" s="50" t="s">
        <v>510</v>
      </c>
    </row>
    <row r="3486" spans="1:4">
      <c r="A3486" s="58">
        <v>45530</v>
      </c>
      <c r="B3486" s="50" t="s">
        <v>15841</v>
      </c>
      <c r="C3486" s="51" t="s">
        <v>15840</v>
      </c>
      <c r="D3486" s="50" t="s">
        <v>19</v>
      </c>
    </row>
    <row r="3487" spans="1:4">
      <c r="A3487" s="58">
        <v>45530</v>
      </c>
      <c r="B3487" s="50" t="s">
        <v>15843</v>
      </c>
      <c r="C3487" s="51" t="s">
        <v>15842</v>
      </c>
      <c r="D3487" s="50" t="s">
        <v>29</v>
      </c>
    </row>
    <row r="3488" spans="1:4">
      <c r="A3488" s="58">
        <v>45531</v>
      </c>
      <c r="B3488" s="50" t="s">
        <v>15845</v>
      </c>
      <c r="C3488" s="51" t="s">
        <v>15844</v>
      </c>
      <c r="D3488" s="50" t="s">
        <v>29</v>
      </c>
    </row>
    <row r="3489" spans="1:4">
      <c r="A3489" s="58">
        <v>45531</v>
      </c>
      <c r="B3489" s="50" t="s">
        <v>15847</v>
      </c>
      <c r="C3489" s="51" t="s">
        <v>15846</v>
      </c>
      <c r="D3489" s="50" t="s">
        <v>74</v>
      </c>
    </row>
    <row r="3490" spans="1:4">
      <c r="A3490" s="58">
        <v>45531</v>
      </c>
      <c r="B3490" s="50" t="s">
        <v>15849</v>
      </c>
      <c r="C3490" s="51" t="s">
        <v>15848</v>
      </c>
      <c r="D3490" s="50" t="s">
        <v>216</v>
      </c>
    </row>
    <row r="3491" spans="1:4">
      <c r="A3491" s="58">
        <v>45531</v>
      </c>
      <c r="B3491" s="50" t="s">
        <v>15851</v>
      </c>
      <c r="C3491" s="51" t="s">
        <v>15850</v>
      </c>
      <c r="D3491" s="50" t="s">
        <v>109</v>
      </c>
    </row>
    <row r="3492" spans="1:4">
      <c r="A3492" s="58">
        <v>45531</v>
      </c>
      <c r="B3492" s="50" t="s">
        <v>15853</v>
      </c>
      <c r="C3492" s="51" t="s">
        <v>15852</v>
      </c>
      <c r="D3492" s="50" t="s">
        <v>594</v>
      </c>
    </row>
    <row r="3493" spans="1:4">
      <c r="A3493" s="58">
        <v>45531</v>
      </c>
      <c r="B3493" s="50" t="s">
        <v>15855</v>
      </c>
      <c r="C3493" s="51" t="s">
        <v>15854</v>
      </c>
      <c r="D3493" s="50" t="s">
        <v>29</v>
      </c>
    </row>
    <row r="3494" spans="1:4">
      <c r="A3494" s="58">
        <v>45531</v>
      </c>
      <c r="B3494" s="50" t="s">
        <v>15857</v>
      </c>
      <c r="C3494" s="51" t="s">
        <v>15856</v>
      </c>
      <c r="D3494" s="50" t="s">
        <v>5</v>
      </c>
    </row>
    <row r="3495" spans="1:4">
      <c r="A3495" s="58">
        <v>45520</v>
      </c>
      <c r="B3495" s="50" t="s">
        <v>15859</v>
      </c>
      <c r="C3495" s="51" t="s">
        <v>15858</v>
      </c>
      <c r="D3495" s="50" t="s">
        <v>74</v>
      </c>
    </row>
    <row r="3496" spans="1:4">
      <c r="A3496" s="58">
        <v>45520</v>
      </c>
      <c r="B3496" s="50" t="s">
        <v>15861</v>
      </c>
      <c r="C3496" s="51" t="s">
        <v>15860</v>
      </c>
      <c r="D3496" s="50" t="s">
        <v>74</v>
      </c>
    </row>
    <row r="3497" spans="1:4">
      <c r="A3497" s="58">
        <v>45520</v>
      </c>
      <c r="B3497" s="50" t="s">
        <v>15863</v>
      </c>
      <c r="C3497" s="51" t="s">
        <v>15862</v>
      </c>
      <c r="D3497" s="50" t="s">
        <v>5</v>
      </c>
    </row>
    <row r="3498" spans="1:4">
      <c r="A3498" s="58">
        <v>45520</v>
      </c>
      <c r="B3498" s="50" t="s">
        <v>15865</v>
      </c>
      <c r="C3498" s="51" t="s">
        <v>15864</v>
      </c>
      <c r="D3498" s="50" t="s">
        <v>74</v>
      </c>
    </row>
    <row r="3499" spans="1:4">
      <c r="A3499" s="58">
        <v>45523</v>
      </c>
      <c r="B3499" s="50" t="s">
        <v>15867</v>
      </c>
      <c r="C3499" s="51" t="s">
        <v>15866</v>
      </c>
      <c r="D3499" s="50" t="s">
        <v>345</v>
      </c>
    </row>
    <row r="3500" spans="1:4">
      <c r="A3500" s="58">
        <v>45524</v>
      </c>
      <c r="B3500" s="50" t="s">
        <v>15869</v>
      </c>
      <c r="C3500" s="51" t="s">
        <v>15868</v>
      </c>
      <c r="D3500" s="50" t="s">
        <v>74</v>
      </c>
    </row>
    <row r="3501" spans="1:4">
      <c r="A3501" s="58">
        <v>45524</v>
      </c>
      <c r="B3501" s="50" t="s">
        <v>15871</v>
      </c>
      <c r="C3501" s="51" t="s">
        <v>15870</v>
      </c>
      <c r="D3501" s="50" t="s">
        <v>74</v>
      </c>
    </row>
    <row r="3502" spans="1:4">
      <c r="A3502" s="58">
        <v>45525</v>
      </c>
      <c r="B3502" s="50" t="s">
        <v>15873</v>
      </c>
      <c r="C3502" s="51" t="s">
        <v>15872</v>
      </c>
      <c r="D3502" s="50" t="s">
        <v>109</v>
      </c>
    </row>
    <row r="3503" spans="1:4">
      <c r="A3503" s="58">
        <v>45526</v>
      </c>
      <c r="B3503" s="50" t="s">
        <v>15875</v>
      </c>
      <c r="C3503" s="51" t="s">
        <v>15874</v>
      </c>
      <c r="D3503" s="50" t="s">
        <v>74</v>
      </c>
    </row>
    <row r="3504" spans="1:4">
      <c r="A3504" s="58">
        <v>45526</v>
      </c>
      <c r="B3504" s="50" t="s">
        <v>15877</v>
      </c>
      <c r="C3504" s="51" t="s">
        <v>15876</v>
      </c>
      <c r="D3504" s="50" t="s">
        <v>74</v>
      </c>
    </row>
    <row r="3505" spans="1:4">
      <c r="A3505" s="58">
        <v>45527</v>
      </c>
      <c r="B3505" s="50" t="s">
        <v>15879</v>
      </c>
      <c r="C3505" s="51" t="s">
        <v>15878</v>
      </c>
      <c r="D3505" s="50" t="s">
        <v>74</v>
      </c>
    </row>
    <row r="3506" spans="1:4">
      <c r="A3506" s="58">
        <v>45527</v>
      </c>
      <c r="B3506" s="50" t="s">
        <v>15881</v>
      </c>
      <c r="C3506" s="51" t="s">
        <v>15880</v>
      </c>
      <c r="D3506" s="50" t="s">
        <v>29</v>
      </c>
    </row>
    <row r="3507" spans="1:4">
      <c r="A3507" s="58">
        <v>45530</v>
      </c>
      <c r="B3507" s="50" t="s">
        <v>15883</v>
      </c>
      <c r="C3507" s="51" t="s">
        <v>15882</v>
      </c>
      <c r="D3507" s="50" t="s">
        <v>109</v>
      </c>
    </row>
    <row r="3508" spans="1:4">
      <c r="A3508" s="58">
        <v>45530</v>
      </c>
      <c r="B3508" s="50" t="s">
        <v>15885</v>
      </c>
      <c r="C3508" s="51" t="s">
        <v>15884</v>
      </c>
      <c r="D3508" s="50" t="s">
        <v>74</v>
      </c>
    </row>
    <row r="3509" spans="1:4">
      <c r="A3509" s="58">
        <v>45530</v>
      </c>
      <c r="B3509" s="50" t="s">
        <v>10969</v>
      </c>
      <c r="C3509" s="51" t="s">
        <v>15886</v>
      </c>
      <c r="D3509" s="50" t="s">
        <v>74</v>
      </c>
    </row>
    <row r="3510" spans="1:4">
      <c r="A3510" s="58">
        <v>45531</v>
      </c>
      <c r="B3510" s="50" t="s">
        <v>15888</v>
      </c>
      <c r="C3510" s="51" t="s">
        <v>15887</v>
      </c>
      <c r="D3510" s="50" t="s">
        <v>34</v>
      </c>
    </row>
    <row r="3511" spans="1:4">
      <c r="A3511" s="58">
        <v>45531</v>
      </c>
      <c r="B3511" s="50" t="s">
        <v>15890</v>
      </c>
      <c r="C3511" s="51" t="s">
        <v>15889</v>
      </c>
      <c r="D3511" s="50" t="s">
        <v>8</v>
      </c>
    </row>
    <row r="3512" spans="1:4">
      <c r="A3512" s="58">
        <v>45520</v>
      </c>
      <c r="B3512" s="50" t="s">
        <v>15892</v>
      </c>
      <c r="C3512" s="51" t="s">
        <v>15891</v>
      </c>
      <c r="D3512" s="50" t="s">
        <v>109</v>
      </c>
    </row>
    <row r="3513" spans="1:4">
      <c r="A3513" s="58">
        <v>45520</v>
      </c>
      <c r="B3513" s="50" t="s">
        <v>15894</v>
      </c>
      <c r="C3513" s="51" t="s">
        <v>15893</v>
      </c>
      <c r="D3513" s="50" t="s">
        <v>109</v>
      </c>
    </row>
    <row r="3514" spans="1:4">
      <c r="A3514" s="58">
        <v>45520</v>
      </c>
      <c r="B3514" s="50" t="s">
        <v>15896</v>
      </c>
      <c r="C3514" s="51" t="s">
        <v>15895</v>
      </c>
      <c r="D3514" s="50" t="s">
        <v>24</v>
      </c>
    </row>
    <row r="3515" spans="1:4">
      <c r="A3515" s="58">
        <v>45520</v>
      </c>
      <c r="B3515" s="50" t="s">
        <v>15898</v>
      </c>
      <c r="C3515" s="51" t="s">
        <v>15897</v>
      </c>
      <c r="D3515" s="50" t="s">
        <v>109</v>
      </c>
    </row>
    <row r="3516" spans="1:4">
      <c r="A3516" s="58">
        <v>45522</v>
      </c>
      <c r="B3516" s="50" t="s">
        <v>15900</v>
      </c>
      <c r="C3516" s="51" t="s">
        <v>15899</v>
      </c>
      <c r="D3516" s="50" t="s">
        <v>74</v>
      </c>
    </row>
    <row r="3517" spans="1:4">
      <c r="A3517" s="58">
        <v>45523</v>
      </c>
      <c r="B3517" s="50" t="s">
        <v>15902</v>
      </c>
      <c r="C3517" s="51" t="s">
        <v>15901</v>
      </c>
      <c r="D3517" s="50" t="s">
        <v>74</v>
      </c>
    </row>
    <row r="3518" spans="1:4">
      <c r="A3518" s="58">
        <v>45523</v>
      </c>
      <c r="B3518" s="50" t="s">
        <v>10969</v>
      </c>
      <c r="C3518" s="51" t="s">
        <v>15903</v>
      </c>
      <c r="D3518" s="50" t="s">
        <v>74</v>
      </c>
    </row>
    <row r="3519" spans="1:4">
      <c r="A3519" s="58">
        <v>45523</v>
      </c>
      <c r="B3519" s="50" t="s">
        <v>15905</v>
      </c>
      <c r="C3519" s="51" t="s">
        <v>15904</v>
      </c>
      <c r="D3519" s="50" t="s">
        <v>5</v>
      </c>
    </row>
    <row r="3520" spans="1:4">
      <c r="A3520" s="58">
        <v>45523</v>
      </c>
      <c r="B3520" s="50" t="s">
        <v>10969</v>
      </c>
      <c r="C3520" s="51" t="s">
        <v>15906</v>
      </c>
      <c r="D3520" s="50" t="s">
        <v>164</v>
      </c>
    </row>
    <row r="3521" spans="1:4">
      <c r="A3521" s="58">
        <v>45523</v>
      </c>
      <c r="B3521" s="50" t="s">
        <v>10969</v>
      </c>
      <c r="C3521" s="51" t="s">
        <v>15907</v>
      </c>
      <c r="D3521" s="50" t="s">
        <v>74</v>
      </c>
    </row>
    <row r="3522" spans="1:4">
      <c r="A3522" s="58">
        <v>45523</v>
      </c>
      <c r="B3522" s="50" t="s">
        <v>10969</v>
      </c>
      <c r="C3522" s="51" t="s">
        <v>15907</v>
      </c>
      <c r="D3522" s="50" t="s">
        <v>74</v>
      </c>
    </row>
    <row r="3523" spans="1:4">
      <c r="A3523" s="58">
        <v>45524</v>
      </c>
      <c r="B3523" s="50" t="s">
        <v>15909</v>
      </c>
      <c r="C3523" s="51" t="s">
        <v>15908</v>
      </c>
      <c r="D3523" s="50" t="s">
        <v>29</v>
      </c>
    </row>
    <row r="3524" spans="1:4">
      <c r="A3524" s="58">
        <v>45526</v>
      </c>
      <c r="B3524" s="50" t="s">
        <v>15911</v>
      </c>
      <c r="C3524" s="51" t="s">
        <v>15910</v>
      </c>
      <c r="D3524" s="50" t="s">
        <v>74</v>
      </c>
    </row>
    <row r="3525" spans="1:4">
      <c r="A3525" s="58">
        <v>45526</v>
      </c>
      <c r="B3525" s="50" t="s">
        <v>15913</v>
      </c>
      <c r="C3525" s="51" t="s">
        <v>15912</v>
      </c>
      <c r="D3525" s="50" t="s">
        <v>5</v>
      </c>
    </row>
    <row r="3526" spans="1:4">
      <c r="A3526" s="58">
        <v>45526</v>
      </c>
      <c r="B3526" s="50" t="s">
        <v>15914</v>
      </c>
      <c r="C3526" s="51" t="s">
        <v>8135</v>
      </c>
      <c r="D3526" s="50" t="s">
        <v>5</v>
      </c>
    </row>
    <row r="3527" spans="1:4">
      <c r="A3527" s="58">
        <v>45526</v>
      </c>
      <c r="B3527" s="50" t="s">
        <v>15915</v>
      </c>
      <c r="C3527" s="51" t="s">
        <v>8135</v>
      </c>
      <c r="D3527" s="50" t="s">
        <v>5</v>
      </c>
    </row>
    <row r="3528" spans="1:4">
      <c r="A3528" s="58">
        <v>45526</v>
      </c>
      <c r="B3528" s="50" t="s">
        <v>15917</v>
      </c>
      <c r="C3528" s="51" t="s">
        <v>15916</v>
      </c>
      <c r="D3528" s="50" t="s">
        <v>34</v>
      </c>
    </row>
    <row r="3529" spans="1:4">
      <c r="A3529" s="58">
        <v>45528</v>
      </c>
      <c r="B3529" s="50" t="s">
        <v>15919</v>
      </c>
      <c r="C3529" s="51" t="s">
        <v>15918</v>
      </c>
      <c r="D3529" s="50" t="s">
        <v>29</v>
      </c>
    </row>
    <row r="3530" spans="1:4">
      <c r="A3530" s="58">
        <v>45530</v>
      </c>
      <c r="B3530" s="50" t="s">
        <v>10969</v>
      </c>
      <c r="C3530" s="51" t="s">
        <v>15920</v>
      </c>
      <c r="D3530" s="50" t="s">
        <v>109</v>
      </c>
    </row>
    <row r="3531" spans="1:4">
      <c r="A3531" s="58">
        <v>45530</v>
      </c>
      <c r="B3531" s="50" t="s">
        <v>10969</v>
      </c>
      <c r="C3531" s="51" t="s">
        <v>15921</v>
      </c>
      <c r="D3531" s="50" t="s">
        <v>109</v>
      </c>
    </row>
    <row r="3532" spans="1:4">
      <c r="A3532" s="58">
        <v>45530</v>
      </c>
      <c r="B3532" s="50" t="s">
        <v>15923</v>
      </c>
      <c r="C3532" s="51" t="s">
        <v>15922</v>
      </c>
      <c r="D3532" s="50" t="s">
        <v>5</v>
      </c>
    </row>
    <row r="3533" spans="1:4">
      <c r="A3533" s="58">
        <v>45531</v>
      </c>
      <c r="B3533" s="50" t="s">
        <v>15924</v>
      </c>
      <c r="C3533" s="51" t="s">
        <v>9576</v>
      </c>
      <c r="D3533" s="50" t="s">
        <v>5</v>
      </c>
    </row>
    <row r="3534" spans="1:4">
      <c r="A3534" s="58">
        <v>45531</v>
      </c>
      <c r="B3534" s="50" t="s">
        <v>10969</v>
      </c>
      <c r="C3534" s="51" t="s">
        <v>15925</v>
      </c>
      <c r="D3534" s="50" t="s">
        <v>5</v>
      </c>
    </row>
    <row r="3535" spans="1:4">
      <c r="A3535" s="58">
        <v>45531</v>
      </c>
      <c r="B3535" s="50" t="s">
        <v>15927</v>
      </c>
      <c r="C3535" s="51" t="s">
        <v>15926</v>
      </c>
      <c r="D3535" s="50" t="s">
        <v>5</v>
      </c>
    </row>
    <row r="3536" spans="1:4">
      <c r="A3536" s="58">
        <v>45532</v>
      </c>
      <c r="B3536" s="50" t="s">
        <v>15929</v>
      </c>
      <c r="C3536" s="51" t="s">
        <v>15928</v>
      </c>
      <c r="D3536" s="50" t="s">
        <v>141</v>
      </c>
    </row>
    <row r="3537" spans="1:4">
      <c r="A3537" s="33" t="s">
        <v>15932</v>
      </c>
      <c r="B3537" s="51" t="s">
        <v>15931</v>
      </c>
      <c r="C3537" s="51" t="s">
        <v>15930</v>
      </c>
      <c r="D3537" s="51" t="s">
        <v>29</v>
      </c>
    </row>
    <row r="3538" spans="1:4">
      <c r="A3538" s="33" t="s">
        <v>15932</v>
      </c>
      <c r="B3538" s="51" t="s">
        <v>15934</v>
      </c>
      <c r="C3538" s="51" t="s">
        <v>15933</v>
      </c>
      <c r="D3538" s="51" t="s">
        <v>109</v>
      </c>
    </row>
    <row r="3539" spans="1:4">
      <c r="A3539" s="33" t="s">
        <v>15932</v>
      </c>
      <c r="B3539" s="51" t="s">
        <v>15936</v>
      </c>
      <c r="C3539" s="51" t="s">
        <v>15935</v>
      </c>
      <c r="D3539" s="51" t="s">
        <v>5</v>
      </c>
    </row>
    <row r="3540" spans="1:4">
      <c r="A3540" s="33" t="s">
        <v>15932</v>
      </c>
      <c r="B3540" s="51" t="s">
        <v>15938</v>
      </c>
      <c r="C3540" s="51" t="s">
        <v>15937</v>
      </c>
      <c r="D3540" s="51" t="s">
        <v>29</v>
      </c>
    </row>
    <row r="3541" spans="1:4">
      <c r="A3541" s="33" t="s">
        <v>15932</v>
      </c>
      <c r="B3541" s="51" t="s">
        <v>10969</v>
      </c>
      <c r="C3541" s="51" t="s">
        <v>15939</v>
      </c>
      <c r="D3541" s="51" t="s">
        <v>5</v>
      </c>
    </row>
    <row r="3542" spans="1:4">
      <c r="A3542" s="33" t="s">
        <v>15932</v>
      </c>
      <c r="B3542" s="51" t="s">
        <v>15941</v>
      </c>
      <c r="C3542" s="51" t="s">
        <v>15940</v>
      </c>
      <c r="D3542" s="51" t="s">
        <v>5</v>
      </c>
    </row>
    <row r="3543" spans="1:4">
      <c r="A3543" s="33" t="s">
        <v>15932</v>
      </c>
      <c r="B3543" s="51" t="s">
        <v>15942</v>
      </c>
      <c r="C3543" s="51" t="s">
        <v>15666</v>
      </c>
      <c r="D3543" s="51" t="s">
        <v>29</v>
      </c>
    </row>
    <row r="3544" spans="1:4">
      <c r="A3544" s="33" t="s">
        <v>15932</v>
      </c>
      <c r="B3544" s="51" t="s">
        <v>15944</v>
      </c>
      <c r="C3544" s="51" t="s">
        <v>15943</v>
      </c>
      <c r="D3544" s="51" t="s">
        <v>74</v>
      </c>
    </row>
    <row r="3545" spans="1:4">
      <c r="A3545" s="33" t="s">
        <v>15932</v>
      </c>
      <c r="B3545" s="51" t="s">
        <v>15946</v>
      </c>
      <c r="C3545" s="51" t="s">
        <v>15945</v>
      </c>
      <c r="D3545" s="51" t="s">
        <v>24</v>
      </c>
    </row>
    <row r="3546" spans="1:4">
      <c r="A3546" s="33" t="s">
        <v>15932</v>
      </c>
      <c r="B3546" s="51" t="s">
        <v>15947</v>
      </c>
      <c r="C3546" s="51" t="s">
        <v>15943</v>
      </c>
      <c r="D3546" s="51" t="s">
        <v>74</v>
      </c>
    </row>
    <row r="3547" spans="1:4">
      <c r="A3547" s="58" t="s">
        <v>15950</v>
      </c>
      <c r="B3547" s="50" t="s">
        <v>15949</v>
      </c>
      <c r="C3547" s="51" t="s">
        <v>15948</v>
      </c>
      <c r="D3547" s="50" t="s">
        <v>74</v>
      </c>
    </row>
    <row r="3548" spans="1:4">
      <c r="A3548" s="58" t="s">
        <v>15950</v>
      </c>
      <c r="B3548" s="50" t="s">
        <v>15952</v>
      </c>
      <c r="C3548" s="51" t="s">
        <v>15951</v>
      </c>
      <c r="D3548" s="50" t="s">
        <v>81</v>
      </c>
    </row>
    <row r="3549" spans="1:4">
      <c r="A3549" s="58">
        <v>45360</v>
      </c>
      <c r="B3549" s="50" t="s">
        <v>15954</v>
      </c>
      <c r="C3549" s="51" t="s">
        <v>15953</v>
      </c>
      <c r="D3549" s="50" t="s">
        <v>74</v>
      </c>
    </row>
    <row r="3550" spans="1:4">
      <c r="A3550" s="58">
        <v>45360</v>
      </c>
      <c r="B3550" s="50" t="s">
        <v>15956</v>
      </c>
      <c r="C3550" s="51" t="s">
        <v>15955</v>
      </c>
      <c r="D3550" s="50" t="s">
        <v>74</v>
      </c>
    </row>
    <row r="3551" spans="1:4">
      <c r="A3551" s="58">
        <v>45391</v>
      </c>
      <c r="B3551" s="50" t="s">
        <v>15958</v>
      </c>
      <c r="C3551" s="51" t="s">
        <v>15957</v>
      </c>
      <c r="D3551" s="50" t="s">
        <v>74</v>
      </c>
    </row>
    <row r="3552" spans="1:4">
      <c r="A3552" s="58">
        <v>45391</v>
      </c>
      <c r="B3552" s="50" t="s">
        <v>15960</v>
      </c>
      <c r="C3552" s="51" t="s">
        <v>15959</v>
      </c>
      <c r="D3552" s="50" t="s">
        <v>141</v>
      </c>
    </row>
    <row r="3553" spans="1:4">
      <c r="A3553" s="58">
        <v>45391</v>
      </c>
      <c r="B3553" s="50" t="s">
        <v>15962</v>
      </c>
      <c r="C3553" s="51" t="s">
        <v>15961</v>
      </c>
      <c r="D3553" s="50" t="s">
        <v>141</v>
      </c>
    </row>
    <row r="3554" spans="1:4">
      <c r="A3554" s="58">
        <v>45421</v>
      </c>
      <c r="B3554" s="50" t="s">
        <v>15963</v>
      </c>
      <c r="C3554" s="51" t="s">
        <v>5593</v>
      </c>
      <c r="D3554" s="50" t="s">
        <v>141</v>
      </c>
    </row>
    <row r="3555" spans="1:4">
      <c r="A3555" s="58">
        <v>45421</v>
      </c>
      <c r="B3555" s="50" t="s">
        <v>15965</v>
      </c>
      <c r="C3555" s="51" t="s">
        <v>15964</v>
      </c>
      <c r="D3555" s="50" t="s">
        <v>216</v>
      </c>
    </row>
    <row r="3556" spans="1:4">
      <c r="A3556" s="58">
        <v>45452</v>
      </c>
      <c r="B3556" s="50" t="s">
        <v>15967</v>
      </c>
      <c r="C3556" s="51" t="s">
        <v>15966</v>
      </c>
      <c r="D3556" s="50" t="s">
        <v>109</v>
      </c>
    </row>
    <row r="3557" spans="1:4">
      <c r="A3557" s="58">
        <v>45452</v>
      </c>
      <c r="B3557" s="50" t="s">
        <v>15969</v>
      </c>
      <c r="C3557" s="51" t="s">
        <v>15968</v>
      </c>
      <c r="D3557" s="50" t="s">
        <v>16</v>
      </c>
    </row>
    <row r="3558" spans="1:4">
      <c r="A3558" s="58">
        <v>45544</v>
      </c>
      <c r="B3558" s="50" t="s">
        <v>15971</v>
      </c>
      <c r="C3558" s="51" t="s">
        <v>15970</v>
      </c>
      <c r="D3558" s="50" t="s">
        <v>74</v>
      </c>
    </row>
    <row r="3559" spans="1:4">
      <c r="A3559" s="58">
        <v>45544</v>
      </c>
      <c r="B3559" s="50" t="s">
        <v>15973</v>
      </c>
      <c r="C3559" s="51" t="s">
        <v>15972</v>
      </c>
      <c r="D3559" s="50" t="s">
        <v>74</v>
      </c>
    </row>
    <row r="3560" spans="1:4">
      <c r="A3560" s="58" t="s">
        <v>15976</v>
      </c>
      <c r="B3560" s="50" t="s">
        <v>15975</v>
      </c>
      <c r="C3560" s="51" t="s">
        <v>15974</v>
      </c>
      <c r="D3560" s="50" t="s">
        <v>164</v>
      </c>
    </row>
    <row r="3561" spans="1:4">
      <c r="A3561" s="58" t="s">
        <v>15976</v>
      </c>
      <c r="B3561" s="50" t="s">
        <v>15978</v>
      </c>
      <c r="C3561" s="51" t="s">
        <v>15977</v>
      </c>
      <c r="D3561" s="50" t="s">
        <v>164</v>
      </c>
    </row>
    <row r="3562" spans="1:4">
      <c r="A3562" s="58">
        <v>45331</v>
      </c>
      <c r="B3562" s="50" t="s">
        <v>15980</v>
      </c>
      <c r="C3562" s="51" t="s">
        <v>15979</v>
      </c>
      <c r="D3562" s="50" t="s">
        <v>5</v>
      </c>
    </row>
    <row r="3563" spans="1:4">
      <c r="A3563" s="58">
        <v>45360</v>
      </c>
      <c r="B3563" s="50" t="s">
        <v>15981</v>
      </c>
      <c r="C3563" s="51" t="s">
        <v>15518</v>
      </c>
      <c r="D3563" s="50" t="s">
        <v>5</v>
      </c>
    </row>
    <row r="3564" spans="1:4">
      <c r="A3564" s="58">
        <v>45391</v>
      </c>
      <c r="B3564" s="50" t="s">
        <v>15983</v>
      </c>
      <c r="C3564" s="51" t="s">
        <v>15982</v>
      </c>
      <c r="D3564" s="50" t="s">
        <v>29</v>
      </c>
    </row>
    <row r="3565" spans="1:4">
      <c r="A3565" s="58">
        <v>45482</v>
      </c>
      <c r="B3565" s="50" t="s">
        <v>15985</v>
      </c>
      <c r="C3565" s="51" t="s">
        <v>15984</v>
      </c>
      <c r="D3565" s="50" t="s">
        <v>5</v>
      </c>
    </row>
    <row r="3566" spans="1:4">
      <c r="A3566" s="58">
        <v>45544</v>
      </c>
      <c r="B3566" s="50" t="s">
        <v>15987</v>
      </c>
      <c r="C3566" s="51" t="s">
        <v>15986</v>
      </c>
      <c r="D3566" s="50" t="s">
        <v>5</v>
      </c>
    </row>
    <row r="3567" spans="1:4">
      <c r="A3567" s="58">
        <v>45544</v>
      </c>
      <c r="B3567" s="50" t="s">
        <v>15989</v>
      </c>
      <c r="C3567" s="51" t="s">
        <v>15988</v>
      </c>
      <c r="D3567" s="50" t="s">
        <v>5</v>
      </c>
    </row>
    <row r="3568" spans="1:4">
      <c r="A3568" s="58" t="s">
        <v>15976</v>
      </c>
      <c r="B3568" s="50" t="s">
        <v>15991</v>
      </c>
      <c r="C3568" s="51" t="s">
        <v>15990</v>
      </c>
      <c r="D3568" s="50" t="s">
        <v>24</v>
      </c>
    </row>
    <row r="3569" spans="1:4">
      <c r="A3569" s="58" t="s">
        <v>15950</v>
      </c>
      <c r="B3569" s="50" t="s">
        <v>15993</v>
      </c>
      <c r="C3569" s="51" t="s">
        <v>15992</v>
      </c>
      <c r="D3569" s="50" t="s">
        <v>29</v>
      </c>
    </row>
    <row r="3570" spans="1:4">
      <c r="A3570" s="58" t="s">
        <v>15950</v>
      </c>
      <c r="B3570" s="50" t="s">
        <v>15995</v>
      </c>
      <c r="C3570" s="51" t="s">
        <v>15994</v>
      </c>
      <c r="D3570" s="50" t="s">
        <v>29</v>
      </c>
    </row>
    <row r="3571" spans="1:4">
      <c r="A3571" s="58">
        <v>45331</v>
      </c>
      <c r="B3571" s="50" t="s">
        <v>15997</v>
      </c>
      <c r="C3571" s="51" t="s">
        <v>15996</v>
      </c>
      <c r="D3571" s="50" t="s">
        <v>29</v>
      </c>
    </row>
    <row r="3572" spans="1:4">
      <c r="A3572" s="58">
        <v>45331</v>
      </c>
      <c r="B3572" s="50" t="s">
        <v>15998</v>
      </c>
      <c r="C3572" s="51" t="s">
        <v>15994</v>
      </c>
      <c r="D3572" s="50" t="s">
        <v>29</v>
      </c>
    </row>
    <row r="3573" spans="1:4">
      <c r="A3573" s="58">
        <v>45360</v>
      </c>
      <c r="B3573" s="50" t="s">
        <v>16000</v>
      </c>
      <c r="C3573" s="51" t="s">
        <v>15999</v>
      </c>
      <c r="D3573" s="50" t="s">
        <v>5</v>
      </c>
    </row>
    <row r="3574" spans="1:4">
      <c r="A3574" s="58">
        <v>45421</v>
      </c>
      <c r="B3574" s="50" t="s">
        <v>16002</v>
      </c>
      <c r="C3574" s="51" t="s">
        <v>16001</v>
      </c>
      <c r="D3574" s="50" t="s">
        <v>34</v>
      </c>
    </row>
    <row r="3575" spans="1:4">
      <c r="A3575" s="58">
        <v>45421</v>
      </c>
      <c r="B3575" s="50" t="s">
        <v>16004</v>
      </c>
      <c r="C3575" s="51" t="s">
        <v>16003</v>
      </c>
      <c r="D3575" s="50" t="s">
        <v>5</v>
      </c>
    </row>
    <row r="3576" spans="1:4">
      <c r="A3576" s="58">
        <v>45544</v>
      </c>
      <c r="B3576" s="50" t="s">
        <v>16006</v>
      </c>
      <c r="C3576" s="51" t="s">
        <v>16005</v>
      </c>
      <c r="D3576" s="50" t="s">
        <v>29</v>
      </c>
    </row>
    <row r="3577" spans="1:4">
      <c r="A3577" s="58">
        <v>45544</v>
      </c>
      <c r="B3577" s="50" t="s">
        <v>16008</v>
      </c>
      <c r="C3577" s="51" t="s">
        <v>16007</v>
      </c>
      <c r="D3577" s="50" t="s">
        <v>29</v>
      </c>
    </row>
    <row r="3578" spans="1:4">
      <c r="A3578" s="58">
        <v>45331</v>
      </c>
      <c r="B3578" s="50" t="s">
        <v>16010</v>
      </c>
      <c r="C3578" s="51" t="s">
        <v>16009</v>
      </c>
      <c r="D3578" s="50" t="s">
        <v>34</v>
      </c>
    </row>
    <row r="3579" spans="1:4">
      <c r="A3579" s="58">
        <v>45360</v>
      </c>
      <c r="B3579" s="50" t="s">
        <v>16012</v>
      </c>
      <c r="C3579" s="51" t="s">
        <v>16011</v>
      </c>
      <c r="D3579" s="50" t="s">
        <v>34</v>
      </c>
    </row>
    <row r="3580" spans="1:4">
      <c r="A3580" s="58">
        <v>45391</v>
      </c>
      <c r="B3580" s="50" t="s">
        <v>16014</v>
      </c>
      <c r="C3580" s="51" t="s">
        <v>16013</v>
      </c>
      <c r="D3580" s="50" t="s">
        <v>141</v>
      </c>
    </row>
    <row r="3581" spans="1:4">
      <c r="A3581" s="58">
        <v>45331</v>
      </c>
      <c r="B3581" s="50" t="s">
        <v>16016</v>
      </c>
      <c r="C3581" s="51" t="s">
        <v>16015</v>
      </c>
      <c r="D3581" s="50" t="s">
        <v>19</v>
      </c>
    </row>
    <row r="3582" spans="1:4">
      <c r="A3582" s="58">
        <v>45331</v>
      </c>
      <c r="B3582" s="50" t="s">
        <v>16018</v>
      </c>
      <c r="C3582" s="51" t="s">
        <v>16017</v>
      </c>
      <c r="D3582" s="50" t="s">
        <v>29</v>
      </c>
    </row>
    <row r="3583" spans="1:4">
      <c r="A3583" s="58">
        <v>45331</v>
      </c>
      <c r="B3583" s="50" t="s">
        <v>16020</v>
      </c>
      <c r="C3583" s="51" t="s">
        <v>16019</v>
      </c>
      <c r="D3583" s="50" t="s">
        <v>109</v>
      </c>
    </row>
    <row r="3584" spans="1:4">
      <c r="A3584" s="58">
        <v>45331</v>
      </c>
      <c r="B3584" s="50" t="s">
        <v>16022</v>
      </c>
      <c r="C3584" s="51" t="s">
        <v>16021</v>
      </c>
      <c r="D3584" s="50" t="s">
        <v>594</v>
      </c>
    </row>
    <row r="3585" spans="1:4">
      <c r="A3585" s="58">
        <v>45331</v>
      </c>
      <c r="B3585" s="50" t="s">
        <v>16024</v>
      </c>
      <c r="C3585" s="51" t="s">
        <v>16023</v>
      </c>
      <c r="D3585" s="50" t="s">
        <v>109</v>
      </c>
    </row>
    <row r="3586" spans="1:4">
      <c r="A3586" s="58">
        <v>45331</v>
      </c>
      <c r="B3586" s="50" t="s">
        <v>16026</v>
      </c>
      <c r="C3586" s="51" t="s">
        <v>16025</v>
      </c>
      <c r="D3586" s="50" t="s">
        <v>29</v>
      </c>
    </row>
    <row r="3587" spans="1:4">
      <c r="A3587" s="58">
        <v>45360</v>
      </c>
      <c r="B3587" s="50" t="s">
        <v>16028</v>
      </c>
      <c r="C3587" s="51" t="s">
        <v>16027</v>
      </c>
      <c r="D3587" s="50" t="s">
        <v>510</v>
      </c>
    </row>
    <row r="3588" spans="1:4">
      <c r="A3588" s="58">
        <v>45360</v>
      </c>
      <c r="B3588" s="50" t="s">
        <v>16030</v>
      </c>
      <c r="C3588" s="51" t="s">
        <v>16029</v>
      </c>
      <c r="D3588" s="50" t="s">
        <v>594</v>
      </c>
    </row>
    <row r="3589" spans="1:4">
      <c r="A3589" s="58">
        <v>45360</v>
      </c>
      <c r="B3589" s="50" t="s">
        <v>16031</v>
      </c>
      <c r="C3589" s="51" t="s">
        <v>16027</v>
      </c>
      <c r="D3589" s="50" t="s">
        <v>510</v>
      </c>
    </row>
    <row r="3590" spans="1:4">
      <c r="A3590" s="58">
        <v>45360</v>
      </c>
      <c r="B3590" s="50" t="s">
        <v>16033</v>
      </c>
      <c r="C3590" s="51" t="s">
        <v>16032</v>
      </c>
      <c r="D3590" s="50" t="s">
        <v>216</v>
      </c>
    </row>
    <row r="3591" spans="1:4">
      <c r="A3591" s="58">
        <v>45391</v>
      </c>
      <c r="B3591" s="50" t="s">
        <v>16035</v>
      </c>
      <c r="C3591" s="51" t="s">
        <v>16034</v>
      </c>
      <c r="D3591" s="50" t="s">
        <v>81</v>
      </c>
    </row>
    <row r="3592" spans="1:4">
      <c r="A3592" s="58">
        <v>45391</v>
      </c>
      <c r="B3592" s="50" t="s">
        <v>16037</v>
      </c>
      <c r="C3592" s="51" t="s">
        <v>16036</v>
      </c>
      <c r="D3592" s="50" t="s">
        <v>5</v>
      </c>
    </row>
    <row r="3593" spans="1:4">
      <c r="A3593" s="58">
        <v>45391</v>
      </c>
      <c r="B3593" s="50" t="s">
        <v>16039</v>
      </c>
      <c r="C3593" s="51" t="s">
        <v>16038</v>
      </c>
      <c r="D3593" s="50" t="s">
        <v>74</v>
      </c>
    </row>
    <row r="3594" spans="1:4">
      <c r="A3594" s="58">
        <v>45391</v>
      </c>
      <c r="B3594" s="50" t="s">
        <v>16041</v>
      </c>
      <c r="C3594" s="51" t="s">
        <v>16040</v>
      </c>
      <c r="D3594" s="50" t="s">
        <v>5</v>
      </c>
    </row>
    <row r="3595" spans="1:4">
      <c r="A3595" s="58">
        <v>45391</v>
      </c>
      <c r="B3595" s="50" t="s">
        <v>16043</v>
      </c>
      <c r="C3595" s="51" t="s">
        <v>16042</v>
      </c>
      <c r="D3595" s="50" t="s">
        <v>5</v>
      </c>
    </row>
    <row r="3596" spans="1:4">
      <c r="A3596" s="58">
        <v>45421</v>
      </c>
      <c r="B3596" s="50" t="s">
        <v>16045</v>
      </c>
      <c r="C3596" s="51" t="s">
        <v>16044</v>
      </c>
      <c r="D3596" s="50" t="s">
        <v>141</v>
      </c>
    </row>
    <row r="3597" spans="1:4">
      <c r="A3597" s="58">
        <v>45421</v>
      </c>
      <c r="B3597" s="50" t="s">
        <v>16047</v>
      </c>
      <c r="C3597" s="51" t="s">
        <v>16046</v>
      </c>
      <c r="D3597" s="50" t="s">
        <v>141</v>
      </c>
    </row>
    <row r="3598" spans="1:4">
      <c r="A3598" s="58">
        <v>45421</v>
      </c>
      <c r="B3598" s="50" t="s">
        <v>16049</v>
      </c>
      <c r="C3598" s="51" t="s">
        <v>16048</v>
      </c>
      <c r="D3598" s="50" t="s">
        <v>141</v>
      </c>
    </row>
    <row r="3599" spans="1:4">
      <c r="A3599" s="58">
        <v>45421</v>
      </c>
      <c r="B3599" s="50" t="s">
        <v>16051</v>
      </c>
      <c r="C3599" s="51" t="s">
        <v>16050</v>
      </c>
      <c r="D3599" s="50" t="s">
        <v>141</v>
      </c>
    </row>
    <row r="3600" spans="1:4">
      <c r="A3600" s="58">
        <v>45421</v>
      </c>
      <c r="B3600" s="50" t="s">
        <v>16053</v>
      </c>
      <c r="C3600" s="51" t="s">
        <v>16052</v>
      </c>
      <c r="D3600" s="50" t="s">
        <v>141</v>
      </c>
    </row>
    <row r="3601" spans="1:4">
      <c r="A3601" s="58">
        <v>45421</v>
      </c>
      <c r="B3601" s="50" t="s">
        <v>16055</v>
      </c>
      <c r="C3601" s="51" t="s">
        <v>16054</v>
      </c>
      <c r="D3601" s="50" t="s">
        <v>34</v>
      </c>
    </row>
    <row r="3602" spans="1:4">
      <c r="A3602" s="58">
        <v>45452</v>
      </c>
      <c r="B3602" s="50" t="s">
        <v>16057</v>
      </c>
      <c r="C3602" s="51" t="s">
        <v>16056</v>
      </c>
      <c r="D3602" s="50" t="s">
        <v>29</v>
      </c>
    </row>
    <row r="3603" spans="1:4">
      <c r="A3603" s="58">
        <v>45452</v>
      </c>
      <c r="B3603" s="50" t="s">
        <v>16059</v>
      </c>
      <c r="C3603" s="51" t="s">
        <v>16058</v>
      </c>
      <c r="D3603" s="50" t="s">
        <v>109</v>
      </c>
    </row>
    <row r="3604" spans="1:4">
      <c r="A3604" s="58">
        <v>45452</v>
      </c>
      <c r="B3604" s="50" t="s">
        <v>16061</v>
      </c>
      <c r="C3604" s="51" t="s">
        <v>16060</v>
      </c>
      <c r="D3604" s="50" t="s">
        <v>109</v>
      </c>
    </row>
    <row r="3605" spans="1:4">
      <c r="A3605" s="58">
        <v>45452</v>
      </c>
      <c r="B3605" s="50" t="s">
        <v>16063</v>
      </c>
      <c r="C3605" s="51" t="s">
        <v>16062</v>
      </c>
      <c r="D3605" s="50" t="s">
        <v>29</v>
      </c>
    </row>
    <row r="3606" spans="1:4">
      <c r="A3606" s="58">
        <v>45452</v>
      </c>
      <c r="B3606" s="50" t="s">
        <v>16065</v>
      </c>
      <c r="C3606" s="51" t="s">
        <v>16064</v>
      </c>
      <c r="D3606" s="50" t="s">
        <v>109</v>
      </c>
    </row>
    <row r="3607" spans="1:4">
      <c r="A3607" s="58">
        <v>45544</v>
      </c>
      <c r="B3607" s="50" t="s">
        <v>16067</v>
      </c>
      <c r="C3607" s="51" t="s">
        <v>16066</v>
      </c>
      <c r="D3607" s="50" t="s">
        <v>11</v>
      </c>
    </row>
    <row r="3608" spans="1:4">
      <c r="A3608" s="58">
        <v>45544</v>
      </c>
      <c r="B3608" s="50" t="s">
        <v>16069</v>
      </c>
      <c r="C3608" s="51" t="s">
        <v>16068</v>
      </c>
      <c r="D3608" s="50" t="s">
        <v>164</v>
      </c>
    </row>
    <row r="3609" spans="1:4">
      <c r="A3609" s="58">
        <v>45544</v>
      </c>
      <c r="B3609" s="50" t="s">
        <v>16071</v>
      </c>
      <c r="C3609" s="51" t="s">
        <v>16070</v>
      </c>
      <c r="D3609" s="50" t="s">
        <v>5</v>
      </c>
    </row>
    <row r="3610" spans="1:4">
      <c r="A3610" s="58" t="s">
        <v>15976</v>
      </c>
      <c r="B3610" s="50" t="s">
        <v>16073</v>
      </c>
      <c r="C3610" s="51" t="s">
        <v>16072</v>
      </c>
      <c r="D3610" s="50" t="s">
        <v>29</v>
      </c>
    </row>
    <row r="3611" spans="1:4">
      <c r="A3611" s="58" t="s">
        <v>15976</v>
      </c>
      <c r="B3611" s="50" t="s">
        <v>16075</v>
      </c>
      <c r="C3611" s="51" t="s">
        <v>16074</v>
      </c>
      <c r="D3611" s="50" t="s">
        <v>29</v>
      </c>
    </row>
    <row r="3612" spans="1:4">
      <c r="A3612" s="58" t="s">
        <v>15976</v>
      </c>
      <c r="B3612" s="50" t="s">
        <v>16077</v>
      </c>
      <c r="C3612" s="51" t="s">
        <v>16076</v>
      </c>
      <c r="D3612" s="50" t="s">
        <v>74</v>
      </c>
    </row>
    <row r="3613" spans="1:4">
      <c r="A3613" s="58" t="s">
        <v>15950</v>
      </c>
      <c r="B3613" s="50" t="s">
        <v>16079</v>
      </c>
      <c r="C3613" s="51" t="s">
        <v>16078</v>
      </c>
      <c r="D3613" s="50" t="s">
        <v>24</v>
      </c>
    </row>
    <row r="3614" spans="1:4">
      <c r="A3614" s="58" t="s">
        <v>15950</v>
      </c>
      <c r="B3614" s="50" t="s">
        <v>16081</v>
      </c>
      <c r="C3614" s="51" t="s">
        <v>16080</v>
      </c>
      <c r="D3614" s="50" t="s">
        <v>5</v>
      </c>
    </row>
    <row r="3615" spans="1:4">
      <c r="A3615" s="58" t="s">
        <v>15950</v>
      </c>
      <c r="B3615" s="50" t="s">
        <v>16083</v>
      </c>
      <c r="C3615" s="51" t="s">
        <v>16082</v>
      </c>
      <c r="D3615" s="50" t="s">
        <v>8</v>
      </c>
    </row>
    <row r="3616" spans="1:4">
      <c r="A3616" s="58">
        <v>45331</v>
      </c>
      <c r="B3616" s="50" t="s">
        <v>16085</v>
      </c>
      <c r="C3616" s="51" t="s">
        <v>16084</v>
      </c>
      <c r="D3616" s="50" t="s">
        <v>141</v>
      </c>
    </row>
    <row r="3617" spans="1:4">
      <c r="A3617" s="58">
        <v>45331</v>
      </c>
      <c r="B3617" s="50" t="s">
        <v>16087</v>
      </c>
      <c r="C3617" s="51" t="s">
        <v>16086</v>
      </c>
      <c r="D3617" s="50" t="s">
        <v>74</v>
      </c>
    </row>
    <row r="3618" spans="1:4">
      <c r="A3618" s="58">
        <v>45331</v>
      </c>
      <c r="B3618" s="50" t="s">
        <v>16089</v>
      </c>
      <c r="C3618" s="51" t="s">
        <v>16088</v>
      </c>
      <c r="D3618" s="50" t="s">
        <v>345</v>
      </c>
    </row>
    <row r="3619" spans="1:4">
      <c r="A3619" s="58">
        <v>45360</v>
      </c>
      <c r="B3619" s="50" t="s">
        <v>16091</v>
      </c>
      <c r="C3619" s="51" t="s">
        <v>16090</v>
      </c>
      <c r="D3619" s="50" t="s">
        <v>34</v>
      </c>
    </row>
    <row r="3620" spans="1:4">
      <c r="A3620" s="58">
        <v>45360</v>
      </c>
      <c r="B3620" s="50" t="s">
        <v>16093</v>
      </c>
      <c r="C3620" s="51" t="s">
        <v>16092</v>
      </c>
      <c r="D3620" s="50" t="s">
        <v>24</v>
      </c>
    </row>
    <row r="3621" spans="1:4">
      <c r="A3621" s="58">
        <v>45360</v>
      </c>
      <c r="B3621" s="50" t="s">
        <v>16095</v>
      </c>
      <c r="C3621" s="51" t="s">
        <v>16094</v>
      </c>
      <c r="D3621" s="50" t="s">
        <v>109</v>
      </c>
    </row>
    <row r="3622" spans="1:4">
      <c r="A3622" s="58">
        <v>45391</v>
      </c>
      <c r="B3622" s="50" t="s">
        <v>16097</v>
      </c>
      <c r="C3622" s="51" t="s">
        <v>16096</v>
      </c>
      <c r="D3622" s="50" t="s">
        <v>141</v>
      </c>
    </row>
    <row r="3623" spans="1:4">
      <c r="A3623" s="58">
        <v>45391</v>
      </c>
      <c r="B3623" s="50" t="s">
        <v>10969</v>
      </c>
      <c r="C3623" s="51" t="s">
        <v>16098</v>
      </c>
      <c r="D3623" s="50" t="s">
        <v>8</v>
      </c>
    </row>
    <row r="3624" spans="1:4">
      <c r="A3624" s="58">
        <v>45391</v>
      </c>
      <c r="B3624" s="50" t="s">
        <v>16100</v>
      </c>
      <c r="C3624" s="51" t="s">
        <v>16099</v>
      </c>
      <c r="D3624" s="50" t="s">
        <v>141</v>
      </c>
    </row>
    <row r="3625" spans="1:4">
      <c r="A3625" s="58">
        <v>45391</v>
      </c>
      <c r="B3625" s="50" t="s">
        <v>16102</v>
      </c>
      <c r="C3625" s="51" t="s">
        <v>16101</v>
      </c>
      <c r="D3625" s="50" t="s">
        <v>141</v>
      </c>
    </row>
    <row r="3626" spans="1:4">
      <c r="A3626" s="58">
        <v>45391</v>
      </c>
      <c r="B3626" s="50" t="s">
        <v>16104</v>
      </c>
      <c r="C3626" s="51" t="s">
        <v>16103</v>
      </c>
      <c r="D3626" s="50" t="s">
        <v>16</v>
      </c>
    </row>
    <row r="3627" spans="1:4">
      <c r="A3627" s="58">
        <v>45421</v>
      </c>
      <c r="B3627" s="50" t="s">
        <v>16106</v>
      </c>
      <c r="C3627" s="51" t="s">
        <v>16105</v>
      </c>
      <c r="D3627" s="50" t="s">
        <v>141</v>
      </c>
    </row>
    <row r="3628" spans="1:4">
      <c r="A3628" s="58">
        <v>45452</v>
      </c>
      <c r="B3628" s="50" t="s">
        <v>16108</v>
      </c>
      <c r="C3628" s="51" t="s">
        <v>16107</v>
      </c>
      <c r="D3628" s="50" t="s">
        <v>345</v>
      </c>
    </row>
    <row r="3629" spans="1:4">
      <c r="A3629" s="58">
        <v>45452</v>
      </c>
      <c r="B3629" s="50" t="s">
        <v>16110</v>
      </c>
      <c r="C3629" s="51" t="s">
        <v>16109</v>
      </c>
      <c r="D3629" s="50" t="s">
        <v>74</v>
      </c>
    </row>
    <row r="3630" spans="1:4">
      <c r="A3630" s="58">
        <v>45452</v>
      </c>
      <c r="B3630" s="50" t="s">
        <v>16112</v>
      </c>
      <c r="C3630" s="51" t="s">
        <v>16111</v>
      </c>
      <c r="D3630" s="50" t="s">
        <v>34</v>
      </c>
    </row>
    <row r="3631" spans="1:4">
      <c r="A3631" s="58">
        <v>45452</v>
      </c>
      <c r="B3631" s="50" t="s">
        <v>16114</v>
      </c>
      <c r="C3631" s="51" t="s">
        <v>16113</v>
      </c>
      <c r="D3631" s="50" t="s">
        <v>29</v>
      </c>
    </row>
    <row r="3632" spans="1:4">
      <c r="A3632" s="58">
        <v>45544</v>
      </c>
      <c r="B3632" s="50" t="s">
        <v>16116</v>
      </c>
      <c r="C3632" s="51" t="s">
        <v>16115</v>
      </c>
      <c r="D3632" s="50" t="s">
        <v>29</v>
      </c>
    </row>
    <row r="3633" spans="1:4">
      <c r="A3633" s="58" t="s">
        <v>15976</v>
      </c>
      <c r="B3633" s="50" t="s">
        <v>16117</v>
      </c>
      <c r="C3633" s="51" t="s">
        <v>11359</v>
      </c>
      <c r="D3633" s="50" t="s">
        <v>5</v>
      </c>
    </row>
    <row r="3634" spans="1:4">
      <c r="A3634" s="58" t="s">
        <v>15976</v>
      </c>
      <c r="B3634" s="50" t="s">
        <v>16118</v>
      </c>
      <c r="C3634" s="51" t="s">
        <v>12833</v>
      </c>
      <c r="D3634" s="50" t="s">
        <v>5</v>
      </c>
    </row>
    <row r="3635" spans="1:4">
      <c r="A3635" s="58" t="s">
        <v>15976</v>
      </c>
      <c r="B3635" s="50" t="s">
        <v>16120</v>
      </c>
      <c r="C3635" s="51" t="s">
        <v>16119</v>
      </c>
      <c r="D3635" s="50" t="s">
        <v>5</v>
      </c>
    </row>
    <row r="3636" spans="1:4">
      <c r="A3636" s="58" t="s">
        <v>15976</v>
      </c>
      <c r="B3636" s="50" t="s">
        <v>16122</v>
      </c>
      <c r="C3636" s="51" t="s">
        <v>16121</v>
      </c>
      <c r="D3636" s="50" t="s">
        <v>109</v>
      </c>
    </row>
    <row r="3637" spans="1:4">
      <c r="A3637" s="58" t="s">
        <v>15976</v>
      </c>
      <c r="B3637" s="50" t="s">
        <v>16124</v>
      </c>
      <c r="C3637" s="51" t="s">
        <v>16123</v>
      </c>
      <c r="D3637" s="50" t="s">
        <v>5</v>
      </c>
    </row>
    <row r="3638" spans="1:4">
      <c r="A3638" s="58" t="s">
        <v>15950</v>
      </c>
      <c r="B3638" s="50" t="s">
        <v>16126</v>
      </c>
      <c r="C3638" s="51" t="s">
        <v>16125</v>
      </c>
      <c r="D3638" s="50" t="s">
        <v>109</v>
      </c>
    </row>
    <row r="3639" spans="1:4">
      <c r="A3639" s="58" t="s">
        <v>15950</v>
      </c>
      <c r="B3639" s="50" t="s">
        <v>16128</v>
      </c>
      <c r="C3639" s="51" t="s">
        <v>16127</v>
      </c>
      <c r="D3639" s="50" t="s">
        <v>141</v>
      </c>
    </row>
    <row r="3640" spans="1:4">
      <c r="A3640" s="58" t="s">
        <v>15950</v>
      </c>
      <c r="B3640" s="50" t="s">
        <v>16129</v>
      </c>
      <c r="C3640" s="51" t="s">
        <v>16121</v>
      </c>
      <c r="D3640" s="50" t="s">
        <v>109</v>
      </c>
    </row>
    <row r="3641" spans="1:4">
      <c r="A3641" s="58" t="s">
        <v>15950</v>
      </c>
      <c r="B3641" s="50" t="s">
        <v>16131</v>
      </c>
      <c r="C3641" s="51" t="s">
        <v>16130</v>
      </c>
      <c r="D3641" s="50" t="s">
        <v>5</v>
      </c>
    </row>
    <row r="3642" spans="1:4">
      <c r="A3642" s="58" t="s">
        <v>15950</v>
      </c>
      <c r="B3642" s="50" t="s">
        <v>10969</v>
      </c>
      <c r="C3642" s="51" t="s">
        <v>16132</v>
      </c>
      <c r="D3642" s="50" t="s">
        <v>109</v>
      </c>
    </row>
    <row r="3643" spans="1:4">
      <c r="A3643" s="58">
        <v>45360</v>
      </c>
      <c r="B3643" s="50" t="s">
        <v>16134</v>
      </c>
      <c r="C3643" s="51" t="s">
        <v>16133</v>
      </c>
      <c r="D3643" s="50" t="s">
        <v>29</v>
      </c>
    </row>
    <row r="3644" spans="1:4">
      <c r="A3644" s="58">
        <v>45360</v>
      </c>
      <c r="B3644" s="50" t="s">
        <v>16136</v>
      </c>
      <c r="C3644" s="51" t="s">
        <v>16135</v>
      </c>
      <c r="D3644" s="50" t="s">
        <v>216</v>
      </c>
    </row>
    <row r="3645" spans="1:4">
      <c r="A3645" s="58">
        <v>45360</v>
      </c>
      <c r="B3645" s="50" t="s">
        <v>16137</v>
      </c>
      <c r="C3645" s="51" t="s">
        <v>15242</v>
      </c>
      <c r="D3645" s="50" t="s">
        <v>5</v>
      </c>
    </row>
    <row r="3646" spans="1:4">
      <c r="A3646" s="58">
        <v>45360</v>
      </c>
      <c r="B3646" s="50" t="s">
        <v>16126</v>
      </c>
      <c r="C3646" s="51" t="s">
        <v>16138</v>
      </c>
      <c r="D3646" s="50" t="s">
        <v>109</v>
      </c>
    </row>
    <row r="3647" spans="1:4">
      <c r="A3647" s="58">
        <v>45360</v>
      </c>
      <c r="B3647" s="50" t="s">
        <v>16140</v>
      </c>
      <c r="C3647" s="51" t="s">
        <v>16139</v>
      </c>
      <c r="D3647" s="50" t="s">
        <v>5</v>
      </c>
    </row>
    <row r="3648" spans="1:4">
      <c r="A3648" s="58">
        <v>45360</v>
      </c>
      <c r="B3648" s="50" t="s">
        <v>16142</v>
      </c>
      <c r="C3648" s="51" t="s">
        <v>16141</v>
      </c>
      <c r="D3648" s="50" t="s">
        <v>5</v>
      </c>
    </row>
    <row r="3649" spans="1:4">
      <c r="A3649" s="58">
        <v>45360</v>
      </c>
      <c r="B3649" s="50" t="s">
        <v>16143</v>
      </c>
      <c r="C3649" s="51" t="s">
        <v>9442</v>
      </c>
      <c r="D3649" s="50" t="s">
        <v>5</v>
      </c>
    </row>
    <row r="3650" spans="1:4">
      <c r="A3650" s="58">
        <v>45391</v>
      </c>
      <c r="B3650" s="50" t="s">
        <v>16145</v>
      </c>
      <c r="C3650" s="51" t="s">
        <v>16144</v>
      </c>
      <c r="D3650" s="50" t="s">
        <v>74</v>
      </c>
    </row>
    <row r="3651" spans="1:4">
      <c r="A3651" s="58">
        <v>45391</v>
      </c>
      <c r="B3651" s="50" t="s">
        <v>10969</v>
      </c>
      <c r="C3651" s="51" t="s">
        <v>16146</v>
      </c>
      <c r="D3651" s="50" t="s">
        <v>5</v>
      </c>
    </row>
    <row r="3652" spans="1:4">
      <c r="A3652" s="58">
        <v>45391</v>
      </c>
      <c r="B3652" s="50" t="s">
        <v>16148</v>
      </c>
      <c r="C3652" s="51" t="s">
        <v>16147</v>
      </c>
      <c r="D3652" s="50" t="s">
        <v>5</v>
      </c>
    </row>
    <row r="3653" spans="1:4">
      <c r="A3653" s="58">
        <v>45391</v>
      </c>
      <c r="B3653" s="50" t="s">
        <v>16149</v>
      </c>
      <c r="C3653" s="51" t="s">
        <v>13054</v>
      </c>
      <c r="D3653" s="50" t="s">
        <v>5</v>
      </c>
    </row>
    <row r="3654" spans="1:4">
      <c r="A3654" s="58">
        <v>45391</v>
      </c>
      <c r="B3654" s="50" t="s">
        <v>16151</v>
      </c>
      <c r="C3654" s="51" t="s">
        <v>16150</v>
      </c>
      <c r="D3654" s="50" t="s">
        <v>5</v>
      </c>
    </row>
    <row r="3655" spans="1:4">
      <c r="A3655" s="58">
        <v>45421</v>
      </c>
      <c r="B3655" s="50" t="s">
        <v>10969</v>
      </c>
      <c r="C3655" s="51" t="s">
        <v>16152</v>
      </c>
      <c r="D3655" s="50" t="s">
        <v>5</v>
      </c>
    </row>
    <row r="3656" spans="1:4">
      <c r="A3656" s="58">
        <v>45421</v>
      </c>
      <c r="B3656" s="50" t="s">
        <v>16154</v>
      </c>
      <c r="C3656" s="51" t="s">
        <v>16153</v>
      </c>
      <c r="D3656" s="50" t="s">
        <v>109</v>
      </c>
    </row>
    <row r="3657" spans="1:4">
      <c r="A3657" s="58">
        <v>45421</v>
      </c>
      <c r="B3657" s="50" t="s">
        <v>16156</v>
      </c>
      <c r="C3657" s="51" t="s">
        <v>16155</v>
      </c>
      <c r="D3657" s="50" t="s">
        <v>109</v>
      </c>
    </row>
    <row r="3658" spans="1:4">
      <c r="A3658" s="58">
        <v>45421</v>
      </c>
      <c r="B3658" s="50" t="s">
        <v>16158</v>
      </c>
      <c r="C3658" s="51" t="s">
        <v>16157</v>
      </c>
      <c r="D3658" s="50" t="s">
        <v>34</v>
      </c>
    </row>
    <row r="3659" spans="1:4">
      <c r="A3659" s="58">
        <v>45421</v>
      </c>
      <c r="B3659" s="50" t="s">
        <v>15314</v>
      </c>
      <c r="C3659" s="51" t="s">
        <v>16159</v>
      </c>
      <c r="D3659" s="50" t="s">
        <v>34</v>
      </c>
    </row>
    <row r="3660" spans="1:4">
      <c r="A3660" s="58">
        <v>45635</v>
      </c>
      <c r="B3660" s="50" t="s">
        <v>16161</v>
      </c>
      <c r="C3660" s="51" t="s">
        <v>16160</v>
      </c>
      <c r="D3660" s="50" t="s">
        <v>594</v>
      </c>
    </row>
    <row r="3661" spans="1:4">
      <c r="A3661" s="58" t="s">
        <v>16164</v>
      </c>
      <c r="B3661" s="50" t="s">
        <v>16163</v>
      </c>
      <c r="C3661" s="51" t="s">
        <v>16162</v>
      </c>
      <c r="D3661" s="50" t="s">
        <v>5</v>
      </c>
    </row>
    <row r="3662" spans="1:4">
      <c r="A3662" s="58" t="s">
        <v>16164</v>
      </c>
      <c r="B3662" s="50" t="s">
        <v>16166</v>
      </c>
      <c r="C3662" s="51" t="s">
        <v>16165</v>
      </c>
      <c r="D3662" s="50" t="s">
        <v>5</v>
      </c>
    </row>
    <row r="3663" spans="1:4">
      <c r="A3663" s="58" t="s">
        <v>16169</v>
      </c>
      <c r="B3663" s="50" t="s">
        <v>16168</v>
      </c>
      <c r="C3663" s="51" t="s">
        <v>16167</v>
      </c>
      <c r="D3663" s="50" t="s">
        <v>5</v>
      </c>
    </row>
    <row r="3664" spans="1:4">
      <c r="A3664" s="58" t="s">
        <v>16169</v>
      </c>
      <c r="B3664" s="50" t="s">
        <v>16171</v>
      </c>
      <c r="C3664" s="51" t="s">
        <v>16170</v>
      </c>
      <c r="D3664" s="50" t="s">
        <v>5</v>
      </c>
    </row>
    <row r="3665" spans="1:4">
      <c r="A3665" s="58">
        <v>45574</v>
      </c>
      <c r="B3665" s="50" t="s">
        <v>16173</v>
      </c>
      <c r="C3665" s="51" t="s">
        <v>16172</v>
      </c>
      <c r="D3665" s="50" t="s">
        <v>5</v>
      </c>
    </row>
    <row r="3666" spans="1:4">
      <c r="A3666" s="58">
        <v>45605</v>
      </c>
      <c r="B3666" s="50" t="s">
        <v>16174</v>
      </c>
      <c r="C3666" s="51" t="s">
        <v>598</v>
      </c>
      <c r="D3666" s="50" t="s">
        <v>74</v>
      </c>
    </row>
    <row r="3667" spans="1:4">
      <c r="A3667" s="58">
        <v>45605</v>
      </c>
      <c r="B3667" s="50" t="s">
        <v>16176</v>
      </c>
      <c r="C3667" s="51" t="s">
        <v>16175</v>
      </c>
      <c r="D3667" s="50" t="s">
        <v>74</v>
      </c>
    </row>
    <row r="3668" spans="1:4">
      <c r="A3668" s="58">
        <v>45635</v>
      </c>
      <c r="B3668" s="50" t="s">
        <v>16178</v>
      </c>
      <c r="C3668" s="51" t="s">
        <v>16177</v>
      </c>
      <c r="D3668" s="50" t="s">
        <v>74</v>
      </c>
    </row>
    <row r="3669" spans="1:4">
      <c r="A3669" s="58" t="s">
        <v>16181</v>
      </c>
      <c r="B3669" s="50" t="s">
        <v>16180</v>
      </c>
      <c r="C3669" s="51" t="s">
        <v>16179</v>
      </c>
      <c r="D3669" s="50" t="s">
        <v>5</v>
      </c>
    </row>
    <row r="3670" spans="1:4">
      <c r="A3670" s="58" t="s">
        <v>16181</v>
      </c>
      <c r="B3670" s="50" t="s">
        <v>16183</v>
      </c>
      <c r="C3670" s="51" t="s">
        <v>16182</v>
      </c>
      <c r="D3670" s="50" t="s">
        <v>5</v>
      </c>
    </row>
    <row r="3671" spans="1:4">
      <c r="A3671" s="58" t="s">
        <v>16164</v>
      </c>
      <c r="B3671" s="50" t="s">
        <v>16185</v>
      </c>
      <c r="C3671" s="51" t="s">
        <v>16184</v>
      </c>
      <c r="D3671" s="50" t="s">
        <v>11</v>
      </c>
    </row>
    <row r="3672" spans="1:4">
      <c r="A3672" s="58">
        <v>45574</v>
      </c>
      <c r="B3672" s="50" t="s">
        <v>16187</v>
      </c>
      <c r="C3672" s="51" t="s">
        <v>16186</v>
      </c>
      <c r="D3672" s="50" t="s">
        <v>24</v>
      </c>
    </row>
    <row r="3673" spans="1:4">
      <c r="A3673" s="58">
        <v>45605</v>
      </c>
      <c r="B3673" s="50" t="s">
        <v>16189</v>
      </c>
      <c r="C3673" s="51" t="s">
        <v>16188</v>
      </c>
      <c r="D3673" s="50" t="s">
        <v>74</v>
      </c>
    </row>
    <row r="3674" spans="1:4">
      <c r="A3674" s="58">
        <v>45635</v>
      </c>
      <c r="B3674" s="50" t="s">
        <v>16191</v>
      </c>
      <c r="C3674" s="51" t="s">
        <v>16190</v>
      </c>
      <c r="D3674" s="50" t="s">
        <v>109</v>
      </c>
    </row>
    <row r="3675" spans="1:4">
      <c r="A3675" s="58" t="s">
        <v>16181</v>
      </c>
      <c r="B3675" s="50" t="s">
        <v>16193</v>
      </c>
      <c r="C3675" s="51" t="s">
        <v>16192</v>
      </c>
      <c r="D3675" s="50" t="s">
        <v>5</v>
      </c>
    </row>
    <row r="3676" spans="1:4">
      <c r="A3676" s="58">
        <v>45574</v>
      </c>
      <c r="B3676" s="50" t="s">
        <v>16195</v>
      </c>
      <c r="C3676" s="51" t="s">
        <v>16194</v>
      </c>
      <c r="D3676" s="50" t="s">
        <v>510</v>
      </c>
    </row>
    <row r="3677" spans="1:4">
      <c r="A3677" s="58">
        <v>45574</v>
      </c>
      <c r="B3677" s="50" t="s">
        <v>16197</v>
      </c>
      <c r="C3677" s="51" t="s">
        <v>16196</v>
      </c>
      <c r="D3677" s="50" t="s">
        <v>16</v>
      </c>
    </row>
    <row r="3678" spans="1:4">
      <c r="A3678" s="58">
        <v>45574</v>
      </c>
      <c r="B3678" s="50" t="s">
        <v>16199</v>
      </c>
      <c r="C3678" s="51" t="s">
        <v>16198</v>
      </c>
      <c r="D3678" s="50" t="s">
        <v>109</v>
      </c>
    </row>
    <row r="3679" spans="1:4">
      <c r="A3679" s="58">
        <v>45574</v>
      </c>
      <c r="B3679" s="50" t="s">
        <v>16201</v>
      </c>
      <c r="C3679" s="51" t="s">
        <v>16200</v>
      </c>
      <c r="D3679" s="50" t="s">
        <v>109</v>
      </c>
    </row>
    <row r="3680" spans="1:4">
      <c r="A3680" s="58">
        <v>45605</v>
      </c>
      <c r="B3680" s="50" t="s">
        <v>16203</v>
      </c>
      <c r="C3680" s="51" t="s">
        <v>16202</v>
      </c>
      <c r="D3680" s="50" t="s">
        <v>345</v>
      </c>
    </row>
    <row r="3681" spans="1:4">
      <c r="A3681" s="58">
        <v>45605</v>
      </c>
      <c r="B3681" s="50" t="s">
        <v>16205</v>
      </c>
      <c r="C3681" s="51" t="s">
        <v>16204</v>
      </c>
      <c r="D3681" s="50" t="s">
        <v>141</v>
      </c>
    </row>
    <row r="3682" spans="1:4">
      <c r="A3682" s="58">
        <v>45605</v>
      </c>
      <c r="B3682" s="50" t="s">
        <v>16207</v>
      </c>
      <c r="C3682" s="51" t="s">
        <v>16206</v>
      </c>
      <c r="D3682" s="50" t="s">
        <v>19</v>
      </c>
    </row>
    <row r="3683" spans="1:4">
      <c r="A3683" s="58">
        <v>45605</v>
      </c>
      <c r="B3683" s="50" t="s">
        <v>16209</v>
      </c>
      <c r="C3683" s="51" t="s">
        <v>16208</v>
      </c>
      <c r="D3683" s="50" t="s">
        <v>29</v>
      </c>
    </row>
    <row r="3684" spans="1:4">
      <c r="A3684" s="58">
        <v>45635</v>
      </c>
      <c r="B3684" s="50" t="s">
        <v>16211</v>
      </c>
      <c r="C3684" s="51" t="s">
        <v>16210</v>
      </c>
      <c r="D3684" s="50" t="s">
        <v>29</v>
      </c>
    </row>
    <row r="3685" spans="1:4">
      <c r="A3685" s="58">
        <v>45635</v>
      </c>
      <c r="B3685" s="50" t="s">
        <v>16212</v>
      </c>
      <c r="C3685" s="51" t="s">
        <v>16210</v>
      </c>
      <c r="D3685" s="50" t="s">
        <v>29</v>
      </c>
    </row>
    <row r="3686" spans="1:4">
      <c r="A3686" s="58">
        <v>45635</v>
      </c>
      <c r="B3686" s="50" t="s">
        <v>16214</v>
      </c>
      <c r="C3686" s="51" t="s">
        <v>16213</v>
      </c>
      <c r="D3686" s="50" t="s">
        <v>29</v>
      </c>
    </row>
    <row r="3687" spans="1:4">
      <c r="A3687" s="58" t="s">
        <v>16181</v>
      </c>
      <c r="B3687" s="50" t="s">
        <v>16216</v>
      </c>
      <c r="C3687" s="51" t="s">
        <v>16215</v>
      </c>
      <c r="D3687" s="50" t="s">
        <v>594</v>
      </c>
    </row>
    <row r="3688" spans="1:4">
      <c r="A3688" s="58" t="s">
        <v>16181</v>
      </c>
      <c r="B3688" s="50" t="s">
        <v>16218</v>
      </c>
      <c r="C3688" s="51" t="s">
        <v>16217</v>
      </c>
      <c r="D3688" s="50" t="s">
        <v>74</v>
      </c>
    </row>
    <row r="3689" spans="1:4">
      <c r="A3689" s="58" t="s">
        <v>16181</v>
      </c>
      <c r="B3689" s="50" t="s">
        <v>16220</v>
      </c>
      <c r="C3689" s="51" t="s">
        <v>16219</v>
      </c>
      <c r="D3689" s="50" t="s">
        <v>109</v>
      </c>
    </row>
    <row r="3690" spans="1:4">
      <c r="A3690" s="58">
        <v>45605</v>
      </c>
      <c r="B3690" s="50" t="s">
        <v>16222</v>
      </c>
      <c r="C3690" s="51" t="s">
        <v>16221</v>
      </c>
      <c r="D3690" s="50" t="s">
        <v>29</v>
      </c>
    </row>
    <row r="3691" spans="1:4">
      <c r="A3691" s="58">
        <v>45605</v>
      </c>
      <c r="B3691" s="50" t="s">
        <v>16224</v>
      </c>
      <c r="C3691" s="51" t="s">
        <v>16223</v>
      </c>
      <c r="D3691" s="50" t="s">
        <v>29</v>
      </c>
    </row>
    <row r="3692" spans="1:4">
      <c r="A3692" s="58" t="s">
        <v>16181</v>
      </c>
      <c r="B3692" s="50" t="s">
        <v>16226</v>
      </c>
      <c r="C3692" s="51" t="s">
        <v>16225</v>
      </c>
      <c r="D3692" s="50" t="s">
        <v>16</v>
      </c>
    </row>
    <row r="3693" spans="1:4">
      <c r="A3693" s="58">
        <v>45605</v>
      </c>
      <c r="B3693" s="50" t="s">
        <v>16228</v>
      </c>
      <c r="C3693" s="51" t="s">
        <v>16227</v>
      </c>
      <c r="D3693" s="50" t="s">
        <v>109</v>
      </c>
    </row>
    <row r="3694" spans="1:4">
      <c r="A3694" s="58">
        <v>45605</v>
      </c>
      <c r="B3694" s="50" t="s">
        <v>16230</v>
      </c>
      <c r="C3694" s="51" t="s">
        <v>16229</v>
      </c>
      <c r="D3694" s="50" t="s">
        <v>164</v>
      </c>
    </row>
    <row r="3695" spans="1:4">
      <c r="A3695" s="58">
        <v>45605</v>
      </c>
      <c r="B3695" s="50" t="s">
        <v>10969</v>
      </c>
      <c r="C3695" s="51" t="s">
        <v>15933</v>
      </c>
      <c r="D3695" s="50" t="s">
        <v>109</v>
      </c>
    </row>
    <row r="3696" spans="1:4">
      <c r="A3696" s="58">
        <v>45635</v>
      </c>
      <c r="B3696" s="50" t="s">
        <v>16232</v>
      </c>
      <c r="C3696" s="51" t="s">
        <v>16231</v>
      </c>
      <c r="D3696" s="50" t="s">
        <v>5</v>
      </c>
    </row>
    <row r="3697" spans="1:4">
      <c r="A3697" s="58">
        <v>45635</v>
      </c>
      <c r="B3697" s="50" t="s">
        <v>16234</v>
      </c>
      <c r="C3697" s="51" t="s">
        <v>16233</v>
      </c>
      <c r="D3697" s="50" t="s">
        <v>5</v>
      </c>
    </row>
    <row r="3698" spans="1:4">
      <c r="A3698" s="58">
        <v>45635</v>
      </c>
      <c r="B3698" s="50" t="s">
        <v>16236</v>
      </c>
      <c r="C3698" s="51" t="s">
        <v>16235</v>
      </c>
      <c r="D3698" s="50" t="s">
        <v>74</v>
      </c>
    </row>
    <row r="3699" spans="1:4">
      <c r="A3699" s="58" t="s">
        <v>16181</v>
      </c>
      <c r="B3699" s="50" t="s">
        <v>16238</v>
      </c>
      <c r="C3699" s="51" t="s">
        <v>16237</v>
      </c>
      <c r="D3699" s="50" t="s">
        <v>109</v>
      </c>
    </row>
    <row r="3700" spans="1:4">
      <c r="A3700" s="58" t="s">
        <v>16181</v>
      </c>
      <c r="B3700" s="50" t="s">
        <v>16240</v>
      </c>
      <c r="C3700" s="51" t="s">
        <v>16239</v>
      </c>
      <c r="D3700" s="50" t="s">
        <v>5</v>
      </c>
    </row>
    <row r="3701" spans="1:4">
      <c r="A3701" s="58" t="s">
        <v>16181</v>
      </c>
      <c r="B3701" s="50" t="s">
        <v>16242</v>
      </c>
      <c r="C3701" s="51" t="s">
        <v>16241</v>
      </c>
      <c r="D3701" s="50" t="s">
        <v>5</v>
      </c>
    </row>
    <row r="3702" spans="1:4">
      <c r="A3702" s="58" t="s">
        <v>16181</v>
      </c>
      <c r="B3702" s="50" t="s">
        <v>10969</v>
      </c>
      <c r="C3702" s="51" t="s">
        <v>16243</v>
      </c>
      <c r="D3702" s="50" t="s">
        <v>109</v>
      </c>
    </row>
    <row r="3703" spans="1:4">
      <c r="A3703" s="58" t="s">
        <v>16181</v>
      </c>
      <c r="B3703" s="50" t="s">
        <v>16245</v>
      </c>
      <c r="C3703" s="51" t="s">
        <v>16244</v>
      </c>
      <c r="D3703" s="50" t="s">
        <v>5</v>
      </c>
    </row>
    <row r="3704" spans="1:4">
      <c r="A3704" s="58" t="s">
        <v>16164</v>
      </c>
      <c r="B3704" s="50" t="s">
        <v>10969</v>
      </c>
      <c r="C3704" s="51" t="s">
        <v>16246</v>
      </c>
      <c r="D3704" s="50" t="s">
        <v>109</v>
      </c>
    </row>
    <row r="3705" spans="1:4">
      <c r="A3705" s="58" t="s">
        <v>16164</v>
      </c>
      <c r="B3705" s="50" t="s">
        <v>10969</v>
      </c>
      <c r="C3705" s="51" t="s">
        <v>16247</v>
      </c>
      <c r="D3705" s="50" t="s">
        <v>109</v>
      </c>
    </row>
    <row r="3706" spans="1:4">
      <c r="A3706" s="58" t="s">
        <v>16164</v>
      </c>
      <c r="B3706" s="50" t="s">
        <v>16249</v>
      </c>
      <c r="C3706" s="51" t="s">
        <v>16248</v>
      </c>
      <c r="D3706" s="50" t="s">
        <v>34</v>
      </c>
    </row>
    <row r="3707" spans="1:4">
      <c r="A3707" s="58" t="s">
        <v>16252</v>
      </c>
      <c r="B3707" s="50" t="s">
        <v>16251</v>
      </c>
      <c r="C3707" s="51" t="s">
        <v>16250</v>
      </c>
      <c r="D3707" s="50" t="s">
        <v>345</v>
      </c>
    </row>
    <row r="3708" spans="1:4">
      <c r="A3708" s="58" t="s">
        <v>16252</v>
      </c>
      <c r="B3708" s="50" t="s">
        <v>16254</v>
      </c>
      <c r="C3708" s="51" t="s">
        <v>16253</v>
      </c>
      <c r="D3708" s="50" t="s">
        <v>5</v>
      </c>
    </row>
    <row r="3709" spans="1:4">
      <c r="A3709" s="58" t="s">
        <v>16257</v>
      </c>
      <c r="B3709" s="50" t="s">
        <v>16256</v>
      </c>
      <c r="C3709" s="51" t="s">
        <v>16255</v>
      </c>
      <c r="D3709" s="50" t="s">
        <v>11</v>
      </c>
    </row>
    <row r="3710" spans="1:4">
      <c r="A3710" s="58" t="s">
        <v>16260</v>
      </c>
      <c r="B3710" s="50" t="s">
        <v>16259</v>
      </c>
      <c r="C3710" s="51" t="s">
        <v>16258</v>
      </c>
      <c r="D3710" s="50" t="s">
        <v>5</v>
      </c>
    </row>
    <row r="3711" spans="1:4">
      <c r="A3711" s="58" t="s">
        <v>16257</v>
      </c>
      <c r="B3711" s="50" t="s">
        <v>16262</v>
      </c>
      <c r="C3711" s="51" t="s">
        <v>16261</v>
      </c>
      <c r="D3711" s="50" t="s">
        <v>109</v>
      </c>
    </row>
    <row r="3712" spans="1:4">
      <c r="A3712" s="58" t="s">
        <v>16252</v>
      </c>
      <c r="B3712" s="50" t="s">
        <v>16264</v>
      </c>
      <c r="C3712" s="51" t="s">
        <v>16263</v>
      </c>
      <c r="D3712" s="50" t="s">
        <v>74</v>
      </c>
    </row>
    <row r="3713" spans="1:4">
      <c r="A3713" s="58" t="s">
        <v>16252</v>
      </c>
      <c r="B3713" s="50" t="s">
        <v>16265</v>
      </c>
      <c r="C3713" s="51" t="s">
        <v>16263</v>
      </c>
      <c r="D3713" s="50" t="s">
        <v>74</v>
      </c>
    </row>
    <row r="3714" spans="1:4">
      <c r="A3714" s="58" t="s">
        <v>16252</v>
      </c>
      <c r="B3714" s="50" t="s">
        <v>16267</v>
      </c>
      <c r="C3714" s="51" t="s">
        <v>16266</v>
      </c>
      <c r="D3714" s="50" t="s">
        <v>141</v>
      </c>
    </row>
    <row r="3715" spans="1:4">
      <c r="A3715" s="58" t="s">
        <v>16252</v>
      </c>
      <c r="B3715" s="50" t="s">
        <v>16268</v>
      </c>
      <c r="C3715" s="51" t="s">
        <v>16266</v>
      </c>
      <c r="D3715" s="50" t="s">
        <v>141</v>
      </c>
    </row>
    <row r="3716" spans="1:4">
      <c r="A3716" s="58" t="s">
        <v>16252</v>
      </c>
      <c r="B3716" s="50" t="s">
        <v>16270</v>
      </c>
      <c r="C3716" s="51" t="s">
        <v>16269</v>
      </c>
      <c r="D3716" s="50" t="s">
        <v>24</v>
      </c>
    </row>
    <row r="3717" spans="1:4">
      <c r="A3717" s="58" t="s">
        <v>16252</v>
      </c>
      <c r="B3717" s="50" t="s">
        <v>16272</v>
      </c>
      <c r="C3717" s="51" t="s">
        <v>16271</v>
      </c>
      <c r="D3717" s="50" t="s">
        <v>34</v>
      </c>
    </row>
    <row r="3718" spans="1:4">
      <c r="A3718" s="58" t="s">
        <v>16252</v>
      </c>
      <c r="B3718" s="50" t="s">
        <v>16274</v>
      </c>
      <c r="C3718" s="51" t="s">
        <v>16273</v>
      </c>
      <c r="D3718" s="50" t="s">
        <v>8</v>
      </c>
    </row>
    <row r="3719" spans="1:4">
      <c r="A3719" s="58" t="s">
        <v>16257</v>
      </c>
      <c r="B3719" s="50" t="s">
        <v>16276</v>
      </c>
      <c r="C3719" s="51" t="s">
        <v>16275</v>
      </c>
      <c r="D3719" s="50" t="s">
        <v>164</v>
      </c>
    </row>
    <row r="3720" spans="1:4">
      <c r="A3720" s="58" t="s">
        <v>16257</v>
      </c>
      <c r="B3720" s="50" t="s">
        <v>16278</v>
      </c>
      <c r="C3720" s="51" t="s">
        <v>16277</v>
      </c>
      <c r="D3720" s="50" t="s">
        <v>29</v>
      </c>
    </row>
    <row r="3721" spans="1:4">
      <c r="A3721" s="58" t="s">
        <v>16257</v>
      </c>
      <c r="B3721" s="50" t="s">
        <v>16279</v>
      </c>
      <c r="C3721" s="51" t="s">
        <v>16219</v>
      </c>
      <c r="D3721" s="50" t="s">
        <v>109</v>
      </c>
    </row>
    <row r="3722" spans="1:4">
      <c r="A3722" s="58" t="s">
        <v>16257</v>
      </c>
      <c r="B3722" s="50" t="s">
        <v>16281</v>
      </c>
      <c r="C3722" s="51" t="s">
        <v>16280</v>
      </c>
      <c r="D3722" s="50" t="s">
        <v>29</v>
      </c>
    </row>
    <row r="3723" spans="1:4">
      <c r="A3723" s="58" t="s">
        <v>16252</v>
      </c>
      <c r="B3723" s="50" t="s">
        <v>16283</v>
      </c>
      <c r="C3723" s="51" t="s">
        <v>16282</v>
      </c>
      <c r="D3723" s="50" t="s">
        <v>74</v>
      </c>
    </row>
    <row r="3724" spans="1:4">
      <c r="A3724" s="58" t="s">
        <v>16252</v>
      </c>
      <c r="B3724" s="50" t="s">
        <v>16285</v>
      </c>
      <c r="C3724" s="51" t="s">
        <v>16284</v>
      </c>
      <c r="D3724" s="50" t="s">
        <v>74</v>
      </c>
    </row>
    <row r="3725" spans="1:4">
      <c r="A3725" s="58" t="s">
        <v>16257</v>
      </c>
      <c r="B3725" s="50" t="s">
        <v>16287</v>
      </c>
      <c r="C3725" s="51" t="s">
        <v>16286</v>
      </c>
      <c r="D3725" s="50" t="s">
        <v>34</v>
      </c>
    </row>
    <row r="3726" spans="1:4">
      <c r="A3726" s="58" t="s">
        <v>16257</v>
      </c>
      <c r="B3726" s="50" t="s">
        <v>16289</v>
      </c>
      <c r="C3726" s="51" t="s">
        <v>16288</v>
      </c>
      <c r="D3726" s="50" t="s">
        <v>109</v>
      </c>
    </row>
    <row r="3727" spans="1:4">
      <c r="A3727" s="58" t="s">
        <v>16257</v>
      </c>
      <c r="B3727" s="50" t="s">
        <v>16291</v>
      </c>
      <c r="C3727" s="51" t="s">
        <v>16290</v>
      </c>
      <c r="D3727" s="50" t="s">
        <v>16</v>
      </c>
    </row>
    <row r="3728" spans="1:4">
      <c r="A3728" s="58" t="s">
        <v>16257</v>
      </c>
      <c r="B3728" s="50" t="s">
        <v>16293</v>
      </c>
      <c r="C3728" s="51" t="s">
        <v>16292</v>
      </c>
      <c r="D3728" s="50" t="s">
        <v>74</v>
      </c>
    </row>
    <row r="3729" spans="1:4">
      <c r="A3729" s="58" t="s">
        <v>16252</v>
      </c>
      <c r="B3729" s="50" t="s">
        <v>16295</v>
      </c>
      <c r="C3729" s="51" t="s">
        <v>16294</v>
      </c>
      <c r="D3729" s="50" t="s">
        <v>34</v>
      </c>
    </row>
    <row r="3730" spans="1:4">
      <c r="A3730" s="58" t="s">
        <v>16257</v>
      </c>
      <c r="B3730" s="50" t="s">
        <v>16297</v>
      </c>
      <c r="C3730" s="51" t="s">
        <v>16296</v>
      </c>
      <c r="D3730" s="50" t="s">
        <v>353</v>
      </c>
    </row>
    <row r="3731" spans="1:4">
      <c r="A3731" s="58" t="s">
        <v>16300</v>
      </c>
      <c r="B3731" s="50" t="s">
        <v>16299</v>
      </c>
      <c r="C3731" s="51" t="s">
        <v>16298</v>
      </c>
      <c r="D3731" s="50" t="s">
        <v>74</v>
      </c>
    </row>
    <row r="3732" spans="1:4">
      <c r="A3732" s="58" t="s">
        <v>16303</v>
      </c>
      <c r="B3732" s="50" t="s">
        <v>16302</v>
      </c>
      <c r="C3732" s="51" t="s">
        <v>16301</v>
      </c>
      <c r="D3732" s="50" t="s">
        <v>8</v>
      </c>
    </row>
    <row r="3733" spans="1:4">
      <c r="A3733" s="58" t="s">
        <v>16306</v>
      </c>
      <c r="B3733" s="50" t="s">
        <v>16305</v>
      </c>
      <c r="C3733" s="51" t="s">
        <v>16304</v>
      </c>
      <c r="D3733" s="50" t="s">
        <v>5</v>
      </c>
    </row>
    <row r="3734" spans="1:4">
      <c r="A3734" s="58" t="s">
        <v>16309</v>
      </c>
      <c r="B3734" s="50" t="s">
        <v>16308</v>
      </c>
      <c r="C3734" s="51" t="s">
        <v>16307</v>
      </c>
      <c r="D3734" s="50" t="s">
        <v>5</v>
      </c>
    </row>
    <row r="3735" spans="1:4">
      <c r="A3735" s="58" t="s">
        <v>16312</v>
      </c>
      <c r="B3735" s="50" t="s">
        <v>16311</v>
      </c>
      <c r="C3735" s="51" t="s">
        <v>16310</v>
      </c>
      <c r="D3735" s="50" t="s">
        <v>74</v>
      </c>
    </row>
    <row r="3736" spans="1:4">
      <c r="A3736" s="58" t="s">
        <v>16312</v>
      </c>
      <c r="B3736" s="50" t="s">
        <v>16314</v>
      </c>
      <c r="C3736" s="51" t="s">
        <v>16313</v>
      </c>
      <c r="D3736" s="50" t="s">
        <v>74</v>
      </c>
    </row>
    <row r="3737" spans="1:4">
      <c r="A3737" s="58" t="s">
        <v>16300</v>
      </c>
      <c r="B3737" s="50" t="s">
        <v>16316</v>
      </c>
      <c r="C3737" s="51" t="s">
        <v>16315</v>
      </c>
      <c r="D3737" s="50" t="s">
        <v>29</v>
      </c>
    </row>
    <row r="3738" spans="1:4">
      <c r="A3738" s="58" t="s">
        <v>16309</v>
      </c>
      <c r="B3738" s="50" t="s">
        <v>16318</v>
      </c>
      <c r="C3738" s="51" t="s">
        <v>16317</v>
      </c>
      <c r="D3738" s="50" t="s">
        <v>74</v>
      </c>
    </row>
    <row r="3739" spans="1:4">
      <c r="A3739" s="58" t="s">
        <v>16309</v>
      </c>
      <c r="B3739" s="50" t="s">
        <v>16320</v>
      </c>
      <c r="C3739" s="51" t="s">
        <v>16319</v>
      </c>
      <c r="D3739" s="50" t="s">
        <v>164</v>
      </c>
    </row>
    <row r="3740" spans="1:4">
      <c r="A3740" s="58" t="s">
        <v>16312</v>
      </c>
      <c r="B3740" s="50" t="s">
        <v>16322</v>
      </c>
      <c r="C3740" s="51" t="s">
        <v>16321</v>
      </c>
      <c r="D3740" s="50" t="s">
        <v>11</v>
      </c>
    </row>
    <row r="3741" spans="1:4">
      <c r="A3741" s="58" t="s">
        <v>16312</v>
      </c>
      <c r="B3741" s="50" t="s">
        <v>16324</v>
      </c>
      <c r="C3741" s="51" t="s">
        <v>16323</v>
      </c>
      <c r="D3741" s="50" t="s">
        <v>34</v>
      </c>
    </row>
    <row r="3742" spans="1:4">
      <c r="A3742" s="58" t="s">
        <v>16312</v>
      </c>
      <c r="B3742" s="50" t="s">
        <v>16326</v>
      </c>
      <c r="C3742" s="51" t="s">
        <v>16325</v>
      </c>
      <c r="D3742" s="50" t="s">
        <v>34</v>
      </c>
    </row>
    <row r="3743" spans="1:4">
      <c r="A3743" s="58" t="s">
        <v>16312</v>
      </c>
      <c r="B3743" s="50" t="s">
        <v>16327</v>
      </c>
      <c r="C3743" s="51" t="s">
        <v>16321</v>
      </c>
      <c r="D3743" s="50" t="s">
        <v>11</v>
      </c>
    </row>
    <row r="3744" spans="1:4">
      <c r="A3744" s="58" t="s">
        <v>16312</v>
      </c>
      <c r="B3744" s="50" t="s">
        <v>16329</v>
      </c>
      <c r="C3744" s="51" t="s">
        <v>16328</v>
      </c>
      <c r="D3744" s="50" t="s">
        <v>5</v>
      </c>
    </row>
    <row r="3745" spans="1:4">
      <c r="A3745" s="58" t="s">
        <v>16300</v>
      </c>
      <c r="B3745" s="50" t="s">
        <v>10969</v>
      </c>
      <c r="C3745" s="51" t="s">
        <v>16330</v>
      </c>
      <c r="D3745" s="50" t="s">
        <v>5</v>
      </c>
    </row>
    <row r="3746" spans="1:4">
      <c r="A3746" s="58" t="s">
        <v>16306</v>
      </c>
      <c r="B3746" s="50" t="s">
        <v>16332</v>
      </c>
      <c r="C3746" s="51" t="s">
        <v>16331</v>
      </c>
      <c r="D3746" s="50" t="s">
        <v>29</v>
      </c>
    </row>
    <row r="3747" spans="1:4">
      <c r="A3747" s="58" t="s">
        <v>16335</v>
      </c>
      <c r="B3747" s="50" t="s">
        <v>16334</v>
      </c>
      <c r="C3747" s="51" t="s">
        <v>16333</v>
      </c>
      <c r="D3747" s="50" t="s">
        <v>24</v>
      </c>
    </row>
    <row r="3748" spans="1:4">
      <c r="A3748" s="58" t="s">
        <v>16335</v>
      </c>
      <c r="B3748" s="50" t="s">
        <v>16337</v>
      </c>
      <c r="C3748" s="51" t="s">
        <v>16336</v>
      </c>
      <c r="D3748" s="50" t="s">
        <v>29</v>
      </c>
    </row>
    <row r="3749" spans="1:4">
      <c r="A3749" s="58" t="s">
        <v>16335</v>
      </c>
      <c r="B3749" s="50" t="s">
        <v>16339</v>
      </c>
      <c r="C3749" s="51" t="s">
        <v>16338</v>
      </c>
      <c r="D3749" s="50" t="s">
        <v>11</v>
      </c>
    </row>
    <row r="3750" spans="1:4">
      <c r="A3750" s="58" t="s">
        <v>16300</v>
      </c>
      <c r="B3750" s="50" t="s">
        <v>16341</v>
      </c>
      <c r="C3750" s="51" t="s">
        <v>16340</v>
      </c>
      <c r="D3750" s="50" t="s">
        <v>345</v>
      </c>
    </row>
    <row r="3751" spans="1:4">
      <c r="A3751" s="58" t="s">
        <v>16300</v>
      </c>
      <c r="B3751" s="50" t="s">
        <v>16343</v>
      </c>
      <c r="C3751" s="51" t="s">
        <v>16342</v>
      </c>
      <c r="D3751" s="50" t="s">
        <v>29</v>
      </c>
    </row>
    <row r="3752" spans="1:4">
      <c r="A3752" s="58" t="s">
        <v>16300</v>
      </c>
      <c r="B3752" s="50" t="s">
        <v>16345</v>
      </c>
      <c r="C3752" s="51" t="s">
        <v>16344</v>
      </c>
      <c r="D3752" s="50" t="s">
        <v>34</v>
      </c>
    </row>
    <row r="3753" spans="1:4">
      <c r="A3753" s="58" t="s">
        <v>16300</v>
      </c>
      <c r="B3753" s="50" t="s">
        <v>16347</v>
      </c>
      <c r="C3753" s="51" t="s">
        <v>16346</v>
      </c>
      <c r="D3753" s="50" t="s">
        <v>24</v>
      </c>
    </row>
    <row r="3754" spans="1:4">
      <c r="A3754" s="58" t="s">
        <v>16303</v>
      </c>
      <c r="B3754" s="50" t="s">
        <v>16349</v>
      </c>
      <c r="C3754" s="51" t="s">
        <v>16348</v>
      </c>
      <c r="D3754" s="50" t="s">
        <v>19</v>
      </c>
    </row>
    <row r="3755" spans="1:4">
      <c r="A3755" s="58" t="s">
        <v>16306</v>
      </c>
      <c r="B3755" s="50" t="s">
        <v>16351</v>
      </c>
      <c r="C3755" s="51" t="s">
        <v>16350</v>
      </c>
      <c r="D3755" s="50" t="s">
        <v>74</v>
      </c>
    </row>
    <row r="3756" spans="1:4">
      <c r="A3756" s="58" t="s">
        <v>16306</v>
      </c>
      <c r="B3756" s="50" t="s">
        <v>16353</v>
      </c>
      <c r="C3756" s="51" t="s">
        <v>16352</v>
      </c>
      <c r="D3756" s="50" t="s">
        <v>29</v>
      </c>
    </row>
    <row r="3757" spans="1:4">
      <c r="A3757" s="58" t="s">
        <v>16306</v>
      </c>
      <c r="B3757" s="50" t="s">
        <v>16355</v>
      </c>
      <c r="C3757" s="51" t="s">
        <v>16354</v>
      </c>
      <c r="D3757" s="50" t="s">
        <v>345</v>
      </c>
    </row>
    <row r="3758" spans="1:4">
      <c r="A3758" s="58" t="s">
        <v>16309</v>
      </c>
      <c r="B3758" s="50" t="s">
        <v>16357</v>
      </c>
      <c r="C3758" s="51" t="s">
        <v>16356</v>
      </c>
      <c r="D3758" s="50" t="s">
        <v>353</v>
      </c>
    </row>
    <row r="3759" spans="1:4">
      <c r="A3759" s="58" t="s">
        <v>16309</v>
      </c>
      <c r="B3759" s="50" t="s">
        <v>16359</v>
      </c>
      <c r="C3759" s="51" t="s">
        <v>16358</v>
      </c>
      <c r="D3759" s="50" t="s">
        <v>16</v>
      </c>
    </row>
    <row r="3760" spans="1:4">
      <c r="A3760" s="58" t="s">
        <v>16309</v>
      </c>
      <c r="B3760" s="50" t="s">
        <v>16361</v>
      </c>
      <c r="C3760" s="51" t="s">
        <v>16360</v>
      </c>
      <c r="D3760" s="50" t="s">
        <v>34</v>
      </c>
    </row>
    <row r="3761" spans="1:4">
      <c r="A3761" s="58" t="s">
        <v>16309</v>
      </c>
      <c r="B3761" s="50" t="s">
        <v>16363</v>
      </c>
      <c r="C3761" s="51" t="s">
        <v>16362</v>
      </c>
      <c r="D3761" s="50" t="s">
        <v>353</v>
      </c>
    </row>
    <row r="3762" spans="1:4">
      <c r="A3762" s="58" t="s">
        <v>16335</v>
      </c>
      <c r="B3762" s="50" t="s">
        <v>9621</v>
      </c>
      <c r="C3762" s="51" t="s">
        <v>4060</v>
      </c>
      <c r="D3762" s="50" t="s">
        <v>29</v>
      </c>
    </row>
    <row r="3763" spans="1:4">
      <c r="A3763" s="58" t="s">
        <v>16335</v>
      </c>
      <c r="B3763" s="50" t="s">
        <v>9623</v>
      </c>
      <c r="C3763" s="51" t="s">
        <v>16364</v>
      </c>
      <c r="D3763" s="50" t="s">
        <v>29</v>
      </c>
    </row>
    <row r="3764" spans="1:4">
      <c r="A3764" s="58" t="s">
        <v>16335</v>
      </c>
      <c r="B3764" s="50" t="s">
        <v>16366</v>
      </c>
      <c r="C3764" s="51" t="s">
        <v>16365</v>
      </c>
      <c r="D3764" s="50" t="s">
        <v>74</v>
      </c>
    </row>
    <row r="3765" spans="1:4">
      <c r="A3765" s="58" t="s">
        <v>16335</v>
      </c>
      <c r="B3765" s="50" t="s">
        <v>16368</v>
      </c>
      <c r="C3765" s="51" t="s">
        <v>16367</v>
      </c>
      <c r="D3765" s="50" t="s">
        <v>74</v>
      </c>
    </row>
    <row r="3766" spans="1:4">
      <c r="A3766" s="58" t="s">
        <v>16335</v>
      </c>
      <c r="B3766" s="50" t="s">
        <v>16370</v>
      </c>
      <c r="C3766" s="51" t="s">
        <v>16369</v>
      </c>
      <c r="D3766" s="50" t="s">
        <v>109</v>
      </c>
    </row>
    <row r="3767" spans="1:4">
      <c r="A3767" s="58" t="s">
        <v>16335</v>
      </c>
      <c r="B3767" s="50" t="s">
        <v>16372</v>
      </c>
      <c r="C3767" s="51" t="s">
        <v>16371</v>
      </c>
      <c r="D3767" s="50" t="s">
        <v>11</v>
      </c>
    </row>
    <row r="3768" spans="1:4">
      <c r="A3768" s="58" t="s">
        <v>16335</v>
      </c>
      <c r="B3768" s="50" t="s">
        <v>16374</v>
      </c>
      <c r="C3768" s="51" t="s">
        <v>16373</v>
      </c>
      <c r="D3768" s="50" t="s">
        <v>5</v>
      </c>
    </row>
    <row r="3769" spans="1:4">
      <c r="A3769" s="58" t="s">
        <v>16335</v>
      </c>
      <c r="B3769" s="50" t="s">
        <v>16375</v>
      </c>
      <c r="C3769" s="51" t="s">
        <v>10934</v>
      </c>
      <c r="D3769" s="50" t="s">
        <v>11</v>
      </c>
    </row>
    <row r="3770" spans="1:4">
      <c r="A3770" s="58" t="s">
        <v>16335</v>
      </c>
      <c r="B3770" s="50" t="s">
        <v>16377</v>
      </c>
      <c r="C3770" s="51" t="s">
        <v>16376</v>
      </c>
      <c r="D3770" s="50" t="s">
        <v>11</v>
      </c>
    </row>
    <row r="3771" spans="1:4">
      <c r="A3771" s="58" t="s">
        <v>16335</v>
      </c>
      <c r="B3771" s="50" t="s">
        <v>16377</v>
      </c>
      <c r="C3771" s="51" t="s">
        <v>16378</v>
      </c>
      <c r="D3771" s="50" t="s">
        <v>11</v>
      </c>
    </row>
    <row r="3772" spans="1:4">
      <c r="A3772" s="58" t="s">
        <v>16335</v>
      </c>
      <c r="B3772" s="50" t="s">
        <v>16380</v>
      </c>
      <c r="C3772" s="51" t="s">
        <v>16379</v>
      </c>
      <c r="D3772" s="50" t="s">
        <v>8</v>
      </c>
    </row>
    <row r="3773" spans="1:4">
      <c r="A3773" s="58" t="s">
        <v>16335</v>
      </c>
      <c r="B3773" s="50" t="s">
        <v>16381</v>
      </c>
      <c r="C3773" s="51" t="s">
        <v>13906</v>
      </c>
      <c r="D3773" s="50" t="s">
        <v>8</v>
      </c>
    </row>
    <row r="3774" spans="1:4">
      <c r="A3774" s="58" t="s">
        <v>16335</v>
      </c>
      <c r="B3774" s="50" t="s">
        <v>16383</v>
      </c>
      <c r="C3774" s="51" t="s">
        <v>16382</v>
      </c>
      <c r="D3774" s="50" t="s">
        <v>5</v>
      </c>
    </row>
    <row r="3775" spans="1:4">
      <c r="A3775" s="58" t="s">
        <v>16335</v>
      </c>
      <c r="B3775" s="50" t="s">
        <v>16385</v>
      </c>
      <c r="C3775" s="51" t="s">
        <v>16384</v>
      </c>
      <c r="D3775" s="50" t="s">
        <v>5</v>
      </c>
    </row>
    <row r="3776" spans="1:4">
      <c r="A3776" s="58" t="s">
        <v>16335</v>
      </c>
      <c r="B3776" s="50" t="s">
        <v>16387</v>
      </c>
      <c r="C3776" s="51" t="s">
        <v>16386</v>
      </c>
      <c r="D3776" s="50" t="s">
        <v>353</v>
      </c>
    </row>
    <row r="3777" spans="1:4">
      <c r="A3777" s="58" t="s">
        <v>16335</v>
      </c>
      <c r="B3777" s="50" t="s">
        <v>16389</v>
      </c>
      <c r="C3777" s="51" t="s">
        <v>16388</v>
      </c>
      <c r="D3777" s="50" t="s">
        <v>353</v>
      </c>
    </row>
    <row r="3778" spans="1:4">
      <c r="A3778" s="58" t="s">
        <v>16335</v>
      </c>
      <c r="B3778" s="50" t="s">
        <v>16389</v>
      </c>
      <c r="C3778" s="51" t="s">
        <v>16390</v>
      </c>
      <c r="D3778" s="50" t="s">
        <v>353</v>
      </c>
    </row>
    <row r="3779" spans="1:4">
      <c r="A3779" s="58" t="s">
        <v>16335</v>
      </c>
      <c r="B3779" s="50" t="s">
        <v>16392</v>
      </c>
      <c r="C3779" s="51" t="s">
        <v>16391</v>
      </c>
      <c r="D3779" s="50" t="s">
        <v>109</v>
      </c>
    </row>
    <row r="3780" spans="1:4">
      <c r="A3780" s="58" t="s">
        <v>16335</v>
      </c>
      <c r="B3780" s="50" t="s">
        <v>16394</v>
      </c>
      <c r="C3780" s="51" t="s">
        <v>16393</v>
      </c>
      <c r="D3780" s="50" t="s">
        <v>5</v>
      </c>
    </row>
    <row r="3781" spans="1:4">
      <c r="A3781" s="58" t="s">
        <v>16335</v>
      </c>
      <c r="B3781" s="50" t="s">
        <v>16396</v>
      </c>
      <c r="C3781" s="51" t="s">
        <v>16395</v>
      </c>
      <c r="D3781" s="50" t="s">
        <v>16</v>
      </c>
    </row>
    <row r="3782" spans="1:4">
      <c r="A3782" s="58" t="s">
        <v>16300</v>
      </c>
      <c r="B3782" s="50" t="s">
        <v>16398</v>
      </c>
      <c r="C3782" s="51" t="s">
        <v>16397</v>
      </c>
      <c r="D3782" s="50" t="s">
        <v>11</v>
      </c>
    </row>
    <row r="3783" spans="1:4">
      <c r="A3783" s="58" t="s">
        <v>16300</v>
      </c>
      <c r="B3783" s="50" t="s">
        <v>16400</v>
      </c>
      <c r="C3783" s="51" t="s">
        <v>16399</v>
      </c>
      <c r="D3783" s="50" t="s">
        <v>19</v>
      </c>
    </row>
    <row r="3784" spans="1:4">
      <c r="A3784" s="58" t="s">
        <v>16300</v>
      </c>
      <c r="B3784" s="50" t="s">
        <v>16402</v>
      </c>
      <c r="C3784" s="51" t="s">
        <v>16401</v>
      </c>
      <c r="D3784" s="50" t="s">
        <v>11</v>
      </c>
    </row>
    <row r="3785" spans="1:4">
      <c r="A3785" s="58" t="s">
        <v>16300</v>
      </c>
      <c r="B3785" s="50" t="s">
        <v>16404</v>
      </c>
      <c r="C3785" s="51" t="s">
        <v>16403</v>
      </c>
      <c r="D3785" s="50" t="s">
        <v>29</v>
      </c>
    </row>
    <row r="3786" spans="1:4">
      <c r="A3786" s="58" t="s">
        <v>16300</v>
      </c>
      <c r="B3786" s="50" t="s">
        <v>16406</v>
      </c>
      <c r="C3786" s="51" t="s">
        <v>16405</v>
      </c>
      <c r="D3786" s="50" t="s">
        <v>74</v>
      </c>
    </row>
    <row r="3787" spans="1:4">
      <c r="A3787" s="58" t="s">
        <v>16300</v>
      </c>
      <c r="B3787" s="50" t="s">
        <v>16408</v>
      </c>
      <c r="C3787" s="51" t="s">
        <v>16407</v>
      </c>
      <c r="D3787" s="50" t="s">
        <v>510</v>
      </c>
    </row>
    <row r="3788" spans="1:4">
      <c r="A3788" s="58" t="s">
        <v>16300</v>
      </c>
      <c r="B3788" s="50" t="s">
        <v>16410</v>
      </c>
      <c r="C3788" s="51" t="s">
        <v>16409</v>
      </c>
      <c r="D3788" s="50" t="s">
        <v>353</v>
      </c>
    </row>
    <row r="3789" spans="1:4">
      <c r="A3789" s="58" t="s">
        <v>16300</v>
      </c>
      <c r="B3789" s="50" t="s">
        <v>16412</v>
      </c>
      <c r="C3789" s="51" t="s">
        <v>16411</v>
      </c>
      <c r="D3789" s="50" t="s">
        <v>510</v>
      </c>
    </row>
    <row r="3790" spans="1:4">
      <c r="A3790" s="58" t="s">
        <v>16300</v>
      </c>
      <c r="B3790" s="50" t="s">
        <v>16414</v>
      </c>
      <c r="C3790" s="51" t="s">
        <v>16413</v>
      </c>
      <c r="D3790" s="50" t="s">
        <v>29</v>
      </c>
    </row>
    <row r="3791" spans="1:4">
      <c r="A3791" s="58" t="s">
        <v>16300</v>
      </c>
      <c r="B3791" s="50" t="s">
        <v>16416</v>
      </c>
      <c r="C3791" s="51" t="s">
        <v>16415</v>
      </c>
      <c r="D3791" s="50" t="s">
        <v>74</v>
      </c>
    </row>
    <row r="3792" spans="1:4">
      <c r="A3792" s="58" t="s">
        <v>16300</v>
      </c>
      <c r="B3792" s="50" t="s">
        <v>16418</v>
      </c>
      <c r="C3792" s="51" t="s">
        <v>16417</v>
      </c>
      <c r="D3792" s="50" t="s">
        <v>74</v>
      </c>
    </row>
    <row r="3793" spans="1:4">
      <c r="A3793" s="58" t="s">
        <v>16300</v>
      </c>
      <c r="B3793" s="50" t="s">
        <v>16419</v>
      </c>
      <c r="C3793" s="51" t="s">
        <v>16417</v>
      </c>
      <c r="D3793" s="50" t="s">
        <v>74</v>
      </c>
    </row>
    <row r="3794" spans="1:4">
      <c r="A3794" s="58" t="s">
        <v>16303</v>
      </c>
      <c r="B3794" s="50" t="s">
        <v>16421</v>
      </c>
      <c r="C3794" s="51" t="s">
        <v>16420</v>
      </c>
      <c r="D3794" s="50" t="s">
        <v>5</v>
      </c>
    </row>
    <row r="3795" spans="1:4">
      <c r="A3795" s="58" t="s">
        <v>16309</v>
      </c>
      <c r="B3795" s="50" t="s">
        <v>10969</v>
      </c>
      <c r="C3795" s="51" t="s">
        <v>16422</v>
      </c>
      <c r="D3795" s="50" t="s">
        <v>74</v>
      </c>
    </row>
    <row r="3796" spans="1:4">
      <c r="A3796" s="58" t="s">
        <v>16309</v>
      </c>
      <c r="B3796" s="50" t="s">
        <v>16423</v>
      </c>
      <c r="C3796" s="51" t="s">
        <v>16103</v>
      </c>
      <c r="D3796" s="50" t="s">
        <v>16</v>
      </c>
    </row>
    <row r="3797" spans="1:4">
      <c r="A3797" s="58" t="s">
        <v>16335</v>
      </c>
      <c r="B3797" s="50" t="s">
        <v>16425</v>
      </c>
      <c r="C3797" s="51" t="s">
        <v>16424</v>
      </c>
      <c r="D3797" s="50" t="s">
        <v>109</v>
      </c>
    </row>
    <row r="3798" spans="1:4">
      <c r="A3798" s="58" t="s">
        <v>16300</v>
      </c>
      <c r="B3798" s="50" t="s">
        <v>10969</v>
      </c>
      <c r="C3798" s="51" t="s">
        <v>16426</v>
      </c>
      <c r="D3798" s="50" t="s">
        <v>29</v>
      </c>
    </row>
    <row r="3799" spans="1:4">
      <c r="A3799" s="58" t="s">
        <v>16300</v>
      </c>
      <c r="B3799" s="50" t="s">
        <v>16428</v>
      </c>
      <c r="C3799" s="51" t="s">
        <v>16427</v>
      </c>
      <c r="D3799" s="50" t="s">
        <v>29</v>
      </c>
    </row>
    <row r="3800" spans="1:4">
      <c r="A3800" s="58" t="s">
        <v>16300</v>
      </c>
      <c r="B3800" s="50" t="s">
        <v>10969</v>
      </c>
      <c r="C3800" s="51" t="s">
        <v>16429</v>
      </c>
      <c r="D3800" s="50" t="s">
        <v>109</v>
      </c>
    </row>
    <row r="3801" spans="1:4">
      <c r="A3801" s="58" t="s">
        <v>16300</v>
      </c>
      <c r="B3801" s="50" t="s">
        <v>16431</v>
      </c>
      <c r="C3801" s="51" t="s">
        <v>16430</v>
      </c>
      <c r="D3801" s="50" t="s">
        <v>5</v>
      </c>
    </row>
    <row r="3802" spans="1:4">
      <c r="A3802" s="58" t="s">
        <v>16300</v>
      </c>
      <c r="B3802" s="50" t="s">
        <v>16432</v>
      </c>
      <c r="C3802" s="51" t="s">
        <v>16430</v>
      </c>
      <c r="D3802" s="50" t="s">
        <v>5</v>
      </c>
    </row>
    <row r="3803" spans="1:4">
      <c r="A3803" s="58" t="s">
        <v>16306</v>
      </c>
      <c r="B3803" s="50" t="s">
        <v>16434</v>
      </c>
      <c r="C3803" s="51" t="s">
        <v>16433</v>
      </c>
      <c r="D3803" s="50" t="s">
        <v>353</v>
      </c>
    </row>
    <row r="3804" spans="1:4">
      <c r="A3804" s="58" t="s">
        <v>16306</v>
      </c>
      <c r="B3804" s="50" t="s">
        <v>10969</v>
      </c>
      <c r="C3804" s="51" t="s">
        <v>16435</v>
      </c>
      <c r="D3804" s="50" t="s">
        <v>34</v>
      </c>
    </row>
    <row r="3805" spans="1:4">
      <c r="A3805" s="58">
        <v>45392</v>
      </c>
      <c r="B3805" s="50" t="s">
        <v>16437</v>
      </c>
      <c r="C3805" s="51" t="s">
        <v>16436</v>
      </c>
      <c r="D3805" s="50" t="s">
        <v>11</v>
      </c>
    </row>
    <row r="3806" spans="1:4">
      <c r="A3806" s="58">
        <v>45392</v>
      </c>
      <c r="B3806" s="50" t="s">
        <v>16438</v>
      </c>
      <c r="C3806" s="51" t="s">
        <v>16436</v>
      </c>
      <c r="D3806" s="50" t="s">
        <v>11</v>
      </c>
    </row>
    <row r="3807" spans="1:4">
      <c r="A3807" s="58">
        <v>45392</v>
      </c>
      <c r="B3807" s="50" t="s">
        <v>16440</v>
      </c>
      <c r="C3807" s="51" t="s">
        <v>16439</v>
      </c>
      <c r="D3807" s="50" t="s">
        <v>11</v>
      </c>
    </row>
    <row r="3808" spans="1:4">
      <c r="A3808" s="58" t="s">
        <v>16443</v>
      </c>
      <c r="B3808" s="50" t="s">
        <v>16442</v>
      </c>
      <c r="C3808" s="51" t="s">
        <v>16441</v>
      </c>
      <c r="D3808" s="50" t="s">
        <v>5</v>
      </c>
    </row>
    <row r="3809" spans="1:4">
      <c r="A3809" s="58">
        <v>45301</v>
      </c>
      <c r="B3809" s="50" t="s">
        <v>16445</v>
      </c>
      <c r="C3809" s="51" t="s">
        <v>16444</v>
      </c>
      <c r="D3809" s="50" t="s">
        <v>34</v>
      </c>
    </row>
    <row r="3810" spans="1:4">
      <c r="A3810" s="58">
        <v>45332</v>
      </c>
      <c r="B3810" s="50" t="s">
        <v>16447</v>
      </c>
      <c r="C3810" s="51" t="s">
        <v>16446</v>
      </c>
      <c r="D3810" s="50" t="s">
        <v>109</v>
      </c>
    </row>
    <row r="3811" spans="1:4">
      <c r="A3811" s="58">
        <v>45332</v>
      </c>
      <c r="B3811" s="50" t="s">
        <v>16449</v>
      </c>
      <c r="C3811" s="51" t="s">
        <v>16448</v>
      </c>
      <c r="D3811" s="50" t="s">
        <v>345</v>
      </c>
    </row>
    <row r="3812" spans="1:4">
      <c r="A3812" s="58">
        <v>45361</v>
      </c>
      <c r="B3812" s="50" t="s">
        <v>16450</v>
      </c>
      <c r="C3812" s="51" t="s">
        <v>16441</v>
      </c>
      <c r="D3812" s="50" t="s">
        <v>5</v>
      </c>
    </row>
    <row r="3813" spans="1:4">
      <c r="A3813" s="58">
        <v>45361</v>
      </c>
      <c r="B3813" s="50" t="s">
        <v>16452</v>
      </c>
      <c r="C3813" s="51" t="s">
        <v>16451</v>
      </c>
      <c r="D3813" s="50" t="s">
        <v>29</v>
      </c>
    </row>
    <row r="3814" spans="1:4">
      <c r="A3814" s="58" t="s">
        <v>16443</v>
      </c>
      <c r="B3814" s="50" t="s">
        <v>16454</v>
      </c>
      <c r="C3814" s="51" t="s">
        <v>16453</v>
      </c>
      <c r="D3814" s="50" t="s">
        <v>345</v>
      </c>
    </row>
    <row r="3815" spans="1:4">
      <c r="A3815" s="58" t="s">
        <v>16443</v>
      </c>
      <c r="B3815" s="50" t="s">
        <v>16456</v>
      </c>
      <c r="C3815" s="51" t="s">
        <v>16455</v>
      </c>
      <c r="D3815" s="50" t="s">
        <v>216</v>
      </c>
    </row>
    <row r="3816" spans="1:4">
      <c r="A3816" s="58" t="s">
        <v>16443</v>
      </c>
      <c r="B3816" s="50" t="s">
        <v>16458</v>
      </c>
      <c r="C3816" s="51" t="s">
        <v>16457</v>
      </c>
      <c r="D3816" s="50" t="s">
        <v>29</v>
      </c>
    </row>
    <row r="3817" spans="1:4">
      <c r="A3817" s="58" t="s">
        <v>16443</v>
      </c>
      <c r="B3817" s="50" t="s">
        <v>16460</v>
      </c>
      <c r="C3817" s="51" t="s">
        <v>16459</v>
      </c>
      <c r="D3817" s="50" t="s">
        <v>345</v>
      </c>
    </row>
    <row r="3818" spans="1:4">
      <c r="A3818" s="58" t="s">
        <v>16443</v>
      </c>
      <c r="B3818" s="50" t="s">
        <v>16462</v>
      </c>
      <c r="C3818" s="51" t="s">
        <v>16461</v>
      </c>
      <c r="D3818" s="50" t="s">
        <v>5</v>
      </c>
    </row>
    <row r="3819" spans="1:4">
      <c r="A3819" s="58" t="s">
        <v>16443</v>
      </c>
      <c r="B3819" s="50" t="s">
        <v>16464</v>
      </c>
      <c r="C3819" s="51" t="s">
        <v>16463</v>
      </c>
      <c r="D3819" s="50" t="s">
        <v>29</v>
      </c>
    </row>
    <row r="3820" spans="1:4">
      <c r="A3820" s="58">
        <v>45301</v>
      </c>
      <c r="B3820" s="50" t="s">
        <v>16466</v>
      </c>
      <c r="C3820" s="51" t="s">
        <v>16465</v>
      </c>
      <c r="D3820" s="50" t="s">
        <v>29</v>
      </c>
    </row>
    <row r="3821" spans="1:4">
      <c r="A3821" s="58">
        <v>45332</v>
      </c>
      <c r="B3821" s="50" t="s">
        <v>16468</v>
      </c>
      <c r="C3821" s="51" t="s">
        <v>16467</v>
      </c>
      <c r="D3821" s="50" t="s">
        <v>5</v>
      </c>
    </row>
    <row r="3822" spans="1:4">
      <c r="A3822" s="58">
        <v>45332</v>
      </c>
      <c r="B3822" s="50" t="s">
        <v>16470</v>
      </c>
      <c r="C3822" s="51" t="s">
        <v>16469</v>
      </c>
      <c r="D3822" s="50" t="s">
        <v>5</v>
      </c>
    </row>
    <row r="3823" spans="1:4">
      <c r="A3823" s="58">
        <v>45361</v>
      </c>
      <c r="B3823" s="50" t="s">
        <v>16472</v>
      </c>
      <c r="C3823" s="51" t="s">
        <v>16471</v>
      </c>
      <c r="D3823" s="50" t="s">
        <v>594</v>
      </c>
    </row>
    <row r="3824" spans="1:4">
      <c r="A3824" s="58">
        <v>45361</v>
      </c>
      <c r="B3824" s="50" t="s">
        <v>16474</v>
      </c>
      <c r="C3824" s="51" t="s">
        <v>16473</v>
      </c>
      <c r="D3824" s="50" t="s">
        <v>109</v>
      </c>
    </row>
    <row r="3825" spans="1:4">
      <c r="A3825" s="58">
        <v>45361</v>
      </c>
      <c r="B3825" s="50" t="s">
        <v>16476</v>
      </c>
      <c r="C3825" s="51" t="s">
        <v>16475</v>
      </c>
      <c r="D3825" s="50" t="s">
        <v>74</v>
      </c>
    </row>
    <row r="3826" spans="1:4">
      <c r="A3826" s="58">
        <v>45392</v>
      </c>
      <c r="B3826" s="50" t="s">
        <v>16478</v>
      </c>
      <c r="C3826" s="51" t="s">
        <v>16477</v>
      </c>
      <c r="D3826" s="50" t="s">
        <v>29</v>
      </c>
    </row>
    <row r="3827" spans="1:4">
      <c r="A3827" s="58">
        <v>45392</v>
      </c>
      <c r="B3827" s="50" t="s">
        <v>16480</v>
      </c>
      <c r="C3827" s="51" t="s">
        <v>16479</v>
      </c>
      <c r="D3827" s="50" t="s">
        <v>29</v>
      </c>
    </row>
    <row r="3828" spans="1:4">
      <c r="A3828" s="58" t="s">
        <v>16443</v>
      </c>
      <c r="B3828" s="50" t="s">
        <v>10969</v>
      </c>
      <c r="C3828" s="51" t="s">
        <v>16481</v>
      </c>
      <c r="D3828" s="50" t="s">
        <v>353</v>
      </c>
    </row>
    <row r="3829" spans="1:4">
      <c r="A3829" s="58">
        <v>45332</v>
      </c>
      <c r="B3829" s="50" t="s">
        <v>10969</v>
      </c>
      <c r="C3829" s="51" t="s">
        <v>16482</v>
      </c>
      <c r="D3829" s="50" t="s">
        <v>5</v>
      </c>
    </row>
    <row r="3830" spans="1:4">
      <c r="A3830" s="58">
        <v>45332</v>
      </c>
      <c r="B3830" s="50" t="s">
        <v>10969</v>
      </c>
      <c r="C3830" s="51" t="s">
        <v>16483</v>
      </c>
      <c r="D3830" s="50" t="s">
        <v>353</v>
      </c>
    </row>
    <row r="3831" spans="1:4">
      <c r="A3831" s="58">
        <v>45361</v>
      </c>
      <c r="B3831" s="50" t="s">
        <v>10969</v>
      </c>
      <c r="C3831" s="51" t="s">
        <v>16484</v>
      </c>
      <c r="D3831" s="50" t="s">
        <v>5</v>
      </c>
    </row>
    <row r="3832" spans="1:4">
      <c r="A3832" s="58">
        <v>45361</v>
      </c>
      <c r="B3832" s="50" t="s">
        <v>10969</v>
      </c>
      <c r="C3832" s="51" t="s">
        <v>16485</v>
      </c>
      <c r="D3832" s="50" t="s">
        <v>5</v>
      </c>
    </row>
    <row r="3833" spans="1:4">
      <c r="A3833" s="58">
        <v>45392</v>
      </c>
      <c r="B3833" s="50" t="s">
        <v>16487</v>
      </c>
      <c r="C3833" s="51" t="s">
        <v>16486</v>
      </c>
      <c r="D3833" s="50" t="s">
        <v>5</v>
      </c>
    </row>
    <row r="3834" spans="1:4">
      <c r="A3834" s="58">
        <v>45392</v>
      </c>
      <c r="B3834" s="50" t="s">
        <v>16489</v>
      </c>
      <c r="C3834" s="51" t="s">
        <v>16488</v>
      </c>
      <c r="D3834" s="50" t="s">
        <v>5</v>
      </c>
    </row>
    <row r="3835" spans="1:4">
      <c r="A3835" s="58">
        <v>45514</v>
      </c>
      <c r="B3835" s="50" t="s">
        <v>16491</v>
      </c>
      <c r="C3835" s="51" t="s">
        <v>16490</v>
      </c>
      <c r="D3835" s="50" t="s">
        <v>11</v>
      </c>
    </row>
    <row r="3836" spans="1:4">
      <c r="A3836" s="58">
        <v>45514</v>
      </c>
      <c r="B3836" s="50" t="s">
        <v>16493</v>
      </c>
      <c r="C3836" s="51" t="s">
        <v>16492</v>
      </c>
      <c r="D3836" s="50" t="s">
        <v>11</v>
      </c>
    </row>
    <row r="3837" spans="1:4">
      <c r="A3837" s="58">
        <v>45514</v>
      </c>
      <c r="B3837" s="50" t="s">
        <v>16495</v>
      </c>
      <c r="C3837" s="51" t="s">
        <v>16494</v>
      </c>
      <c r="D3837" s="50" t="s">
        <v>141</v>
      </c>
    </row>
    <row r="3838" spans="1:4">
      <c r="A3838" s="58">
        <v>45545</v>
      </c>
      <c r="B3838" s="50" t="s">
        <v>16497</v>
      </c>
      <c r="C3838" s="51" t="s">
        <v>16496</v>
      </c>
      <c r="D3838" s="50" t="s">
        <v>5</v>
      </c>
    </row>
    <row r="3839" spans="1:4">
      <c r="A3839" s="58">
        <v>45545</v>
      </c>
      <c r="B3839" s="50" t="s">
        <v>16499</v>
      </c>
      <c r="C3839" s="51" t="s">
        <v>16498</v>
      </c>
      <c r="D3839" s="50" t="s">
        <v>5</v>
      </c>
    </row>
    <row r="3840" spans="1:4">
      <c r="A3840" s="58">
        <v>45636</v>
      </c>
      <c r="B3840" s="50" t="s">
        <v>16501</v>
      </c>
      <c r="C3840" s="51" t="s">
        <v>16500</v>
      </c>
      <c r="D3840" s="50" t="s">
        <v>141</v>
      </c>
    </row>
    <row r="3841" spans="1:4">
      <c r="A3841" s="58">
        <v>45514</v>
      </c>
      <c r="B3841" s="50" t="s">
        <v>16503</v>
      </c>
      <c r="C3841" s="51" t="s">
        <v>16502</v>
      </c>
      <c r="D3841" s="50" t="s">
        <v>29</v>
      </c>
    </row>
    <row r="3842" spans="1:4">
      <c r="A3842" s="58">
        <v>45514</v>
      </c>
      <c r="B3842" s="50" t="s">
        <v>16505</v>
      </c>
      <c r="C3842" s="51" t="s">
        <v>16504</v>
      </c>
      <c r="D3842" s="50" t="s">
        <v>29</v>
      </c>
    </row>
    <row r="3843" spans="1:4">
      <c r="A3843" s="58">
        <v>45545</v>
      </c>
      <c r="B3843" s="50" t="s">
        <v>16507</v>
      </c>
      <c r="C3843" s="51" t="s">
        <v>16506</v>
      </c>
      <c r="D3843" s="50" t="s">
        <v>345</v>
      </c>
    </row>
    <row r="3844" spans="1:4">
      <c r="A3844" s="58">
        <v>45606</v>
      </c>
      <c r="B3844" s="50" t="s">
        <v>16509</v>
      </c>
      <c r="C3844" s="51" t="s">
        <v>16508</v>
      </c>
      <c r="D3844" s="50" t="s">
        <v>109</v>
      </c>
    </row>
    <row r="3845" spans="1:4">
      <c r="A3845" s="58">
        <v>45606</v>
      </c>
      <c r="B3845" s="50" t="s">
        <v>16511</v>
      </c>
      <c r="C3845" s="51" t="s">
        <v>16510</v>
      </c>
      <c r="D3845" s="50" t="s">
        <v>24</v>
      </c>
    </row>
    <row r="3846" spans="1:4">
      <c r="A3846" s="58">
        <v>45483</v>
      </c>
      <c r="B3846" s="50" t="s">
        <v>16513</v>
      </c>
      <c r="C3846" s="51" t="s">
        <v>16512</v>
      </c>
      <c r="D3846" s="50" t="s">
        <v>594</v>
      </c>
    </row>
    <row r="3847" spans="1:4">
      <c r="A3847" s="58">
        <v>45483</v>
      </c>
      <c r="B3847" s="50" t="s">
        <v>16515</v>
      </c>
      <c r="C3847" s="51" t="s">
        <v>16514</v>
      </c>
      <c r="D3847" s="50" t="s">
        <v>74</v>
      </c>
    </row>
    <row r="3848" spans="1:4">
      <c r="A3848" s="58">
        <v>45483</v>
      </c>
      <c r="B3848" s="50" t="s">
        <v>16517</v>
      </c>
      <c r="C3848" s="51" t="s">
        <v>16516</v>
      </c>
      <c r="D3848" s="50" t="s">
        <v>353</v>
      </c>
    </row>
    <row r="3849" spans="1:4">
      <c r="A3849" s="58">
        <v>45483</v>
      </c>
      <c r="B3849" s="50" t="s">
        <v>16519</v>
      </c>
      <c r="C3849" s="51" t="s">
        <v>16518</v>
      </c>
      <c r="D3849" s="50" t="s">
        <v>5</v>
      </c>
    </row>
    <row r="3850" spans="1:4">
      <c r="A3850" s="58">
        <v>45483</v>
      </c>
      <c r="B3850" s="50" t="s">
        <v>16521</v>
      </c>
      <c r="C3850" s="51" t="s">
        <v>16520</v>
      </c>
      <c r="D3850" s="50" t="s">
        <v>5</v>
      </c>
    </row>
    <row r="3851" spans="1:4">
      <c r="A3851" s="58">
        <v>45483</v>
      </c>
      <c r="B3851" s="50" t="s">
        <v>16523</v>
      </c>
      <c r="C3851" s="51" t="s">
        <v>16522</v>
      </c>
      <c r="D3851" s="50" t="s">
        <v>5</v>
      </c>
    </row>
    <row r="3852" spans="1:4">
      <c r="A3852" s="58">
        <v>45483</v>
      </c>
      <c r="B3852" s="50" t="s">
        <v>16525</v>
      </c>
      <c r="C3852" s="51" t="s">
        <v>16524</v>
      </c>
      <c r="D3852" s="50" t="s">
        <v>5</v>
      </c>
    </row>
    <row r="3853" spans="1:4">
      <c r="A3853" s="58">
        <v>45514</v>
      </c>
      <c r="B3853" s="50" t="s">
        <v>16527</v>
      </c>
      <c r="C3853" s="51" t="s">
        <v>16526</v>
      </c>
      <c r="D3853" s="50" t="s">
        <v>5</v>
      </c>
    </row>
    <row r="3854" spans="1:4">
      <c r="A3854" s="58">
        <v>45514</v>
      </c>
      <c r="B3854" s="50" t="s">
        <v>16529</v>
      </c>
      <c r="C3854" s="51" t="s">
        <v>16528</v>
      </c>
      <c r="D3854" s="50" t="s">
        <v>216</v>
      </c>
    </row>
    <row r="3855" spans="1:4">
      <c r="A3855" s="58">
        <v>45514</v>
      </c>
      <c r="B3855" s="50" t="s">
        <v>16531</v>
      </c>
      <c r="C3855" s="51" t="s">
        <v>16530</v>
      </c>
      <c r="D3855" s="50" t="s">
        <v>216</v>
      </c>
    </row>
    <row r="3856" spans="1:4">
      <c r="A3856" s="58">
        <v>45575</v>
      </c>
      <c r="B3856" s="50" t="s">
        <v>10969</v>
      </c>
      <c r="C3856" s="51" t="s">
        <v>16532</v>
      </c>
      <c r="D3856" s="50" t="s">
        <v>109</v>
      </c>
    </row>
    <row r="3857" spans="1:4">
      <c r="A3857" s="58">
        <v>45575</v>
      </c>
      <c r="B3857" s="50" t="s">
        <v>16534</v>
      </c>
      <c r="C3857" s="51" t="s">
        <v>16533</v>
      </c>
      <c r="D3857" s="50" t="s">
        <v>29</v>
      </c>
    </row>
    <row r="3858" spans="1:4">
      <c r="A3858" s="58">
        <v>45575</v>
      </c>
      <c r="B3858" s="50" t="s">
        <v>10969</v>
      </c>
      <c r="C3858" s="51" t="s">
        <v>16535</v>
      </c>
      <c r="D3858" s="50" t="s">
        <v>109</v>
      </c>
    </row>
    <row r="3859" spans="1:4">
      <c r="A3859" s="58">
        <v>45575</v>
      </c>
      <c r="B3859" s="50" t="s">
        <v>16537</v>
      </c>
      <c r="C3859" s="51" t="s">
        <v>16536</v>
      </c>
      <c r="D3859" s="50" t="s">
        <v>29</v>
      </c>
    </row>
    <row r="3860" spans="1:4">
      <c r="A3860" s="58">
        <v>45575</v>
      </c>
      <c r="B3860" s="50" t="s">
        <v>16538</v>
      </c>
      <c r="C3860" s="51" t="s">
        <v>16536</v>
      </c>
      <c r="D3860" s="50" t="s">
        <v>29</v>
      </c>
    </row>
    <row r="3861" spans="1:4">
      <c r="A3861" s="58">
        <v>45575</v>
      </c>
      <c r="B3861" s="50" t="s">
        <v>16540</v>
      </c>
      <c r="C3861" s="51" t="s">
        <v>16539</v>
      </c>
      <c r="D3861" s="50" t="s">
        <v>29</v>
      </c>
    </row>
    <row r="3862" spans="1:4">
      <c r="A3862" s="58">
        <v>45636</v>
      </c>
      <c r="B3862" s="50" t="s">
        <v>10969</v>
      </c>
      <c r="C3862" s="51" t="s">
        <v>16541</v>
      </c>
      <c r="D3862" s="50" t="s">
        <v>109</v>
      </c>
    </row>
    <row r="3863" spans="1:4">
      <c r="A3863" s="58">
        <v>45636</v>
      </c>
      <c r="B3863" s="50" t="s">
        <v>16542</v>
      </c>
      <c r="C3863" s="51" t="s">
        <v>14916</v>
      </c>
      <c r="D3863" s="50" t="s">
        <v>5</v>
      </c>
    </row>
    <row r="3864" spans="1:4">
      <c r="A3864" s="72">
        <v>45637</v>
      </c>
      <c r="B3864" s="50" t="s">
        <v>16544</v>
      </c>
      <c r="C3864" s="51" t="s">
        <v>16543</v>
      </c>
      <c r="D3864" s="51" t="s">
        <v>5</v>
      </c>
    </row>
    <row r="3865" spans="1:4">
      <c r="A3865" s="72">
        <v>45637</v>
      </c>
      <c r="B3865" s="50" t="s">
        <v>16545</v>
      </c>
      <c r="C3865" s="51" t="s">
        <v>10528</v>
      </c>
      <c r="D3865" s="51" t="s">
        <v>5</v>
      </c>
    </row>
    <row r="3866" spans="1:4">
      <c r="A3866" s="72">
        <v>45637</v>
      </c>
      <c r="B3866" s="50" t="s">
        <v>16547</v>
      </c>
      <c r="C3866" s="51" t="s">
        <v>16546</v>
      </c>
      <c r="D3866" s="51" t="s">
        <v>5</v>
      </c>
    </row>
    <row r="3867" spans="1:4">
      <c r="A3867" s="72">
        <v>45638</v>
      </c>
      <c r="B3867" s="50" t="s">
        <v>16549</v>
      </c>
      <c r="C3867" s="51" t="s">
        <v>16548</v>
      </c>
      <c r="D3867" s="51" t="s">
        <v>109</v>
      </c>
    </row>
    <row r="3868" spans="1:4">
      <c r="A3868" s="72">
        <v>45639</v>
      </c>
      <c r="B3868" s="50" t="s">
        <v>16551</v>
      </c>
      <c r="C3868" s="51" t="s">
        <v>16550</v>
      </c>
      <c r="D3868" s="51" t="s">
        <v>74</v>
      </c>
    </row>
    <row r="3869" spans="1:4">
      <c r="A3869" s="72">
        <v>45639</v>
      </c>
      <c r="B3869" s="50" t="s">
        <v>16551</v>
      </c>
      <c r="C3869" s="51" t="s">
        <v>16550</v>
      </c>
      <c r="D3869" s="51" t="s">
        <v>74</v>
      </c>
    </row>
    <row r="3870" spans="1:4">
      <c r="A3870" s="72">
        <v>45640</v>
      </c>
      <c r="B3870" s="50" t="s">
        <v>16553</v>
      </c>
      <c r="C3870" s="51" t="s">
        <v>16552</v>
      </c>
      <c r="D3870" s="51" t="s">
        <v>34</v>
      </c>
    </row>
    <row r="3871" spans="1:4">
      <c r="A3871" s="72">
        <v>45641</v>
      </c>
      <c r="B3871" s="50" t="s">
        <v>16555</v>
      </c>
      <c r="C3871" s="51" t="s">
        <v>16554</v>
      </c>
      <c r="D3871" s="51" t="s">
        <v>8</v>
      </c>
    </row>
    <row r="3872" spans="1:4">
      <c r="A3872" s="72">
        <v>45646</v>
      </c>
      <c r="B3872" s="50" t="s">
        <v>16557</v>
      </c>
      <c r="C3872" s="51" t="s">
        <v>16556</v>
      </c>
      <c r="D3872" s="51" t="s">
        <v>5</v>
      </c>
    </row>
    <row r="3873" spans="1:4">
      <c r="A3873" s="72">
        <v>45646</v>
      </c>
      <c r="B3873" s="50" t="s">
        <v>16559</v>
      </c>
      <c r="C3873" s="51" t="s">
        <v>16558</v>
      </c>
      <c r="D3873" s="51" t="s">
        <v>5</v>
      </c>
    </row>
    <row r="3874" spans="1:4">
      <c r="A3874" s="72">
        <v>45642</v>
      </c>
      <c r="B3874" s="50" t="s">
        <v>16561</v>
      </c>
      <c r="C3874" s="51" t="s">
        <v>16560</v>
      </c>
      <c r="D3874" s="51" t="s">
        <v>81</v>
      </c>
    </row>
    <row r="3875" spans="1:4">
      <c r="A3875" s="72">
        <v>45642</v>
      </c>
      <c r="B3875" s="50" t="s">
        <v>16563</v>
      </c>
      <c r="C3875" s="51" t="s">
        <v>16562</v>
      </c>
      <c r="D3875" s="51" t="s">
        <v>81</v>
      </c>
    </row>
    <row r="3876" spans="1:4">
      <c r="A3876" s="72">
        <v>45644</v>
      </c>
      <c r="B3876" s="50" t="s">
        <v>16565</v>
      </c>
      <c r="C3876" s="51" t="s">
        <v>16564</v>
      </c>
      <c r="D3876" s="51" t="s">
        <v>74</v>
      </c>
    </row>
    <row r="3877" spans="1:4">
      <c r="A3877" s="72">
        <v>45645</v>
      </c>
      <c r="B3877" s="50" t="s">
        <v>16567</v>
      </c>
      <c r="C3877" s="51" t="s">
        <v>16566</v>
      </c>
      <c r="D3877" s="51" t="s">
        <v>74</v>
      </c>
    </row>
    <row r="3878" spans="1:4">
      <c r="A3878" s="72">
        <v>45646</v>
      </c>
      <c r="B3878" s="50" t="s">
        <v>16569</v>
      </c>
      <c r="C3878" s="51" t="s">
        <v>16568</v>
      </c>
      <c r="D3878" s="51" t="s">
        <v>81</v>
      </c>
    </row>
    <row r="3879" spans="1:4">
      <c r="A3879" s="72">
        <v>45646</v>
      </c>
      <c r="B3879" s="50" t="s">
        <v>16571</v>
      </c>
      <c r="C3879" s="51" t="s">
        <v>16570</v>
      </c>
      <c r="D3879" s="51" t="s">
        <v>81</v>
      </c>
    </row>
    <row r="3880" spans="1:4">
      <c r="A3880" s="72">
        <v>45642</v>
      </c>
      <c r="B3880" s="50" t="s">
        <v>16573</v>
      </c>
      <c r="C3880" s="51" t="s">
        <v>16572</v>
      </c>
      <c r="D3880" s="51" t="s">
        <v>74</v>
      </c>
    </row>
    <row r="3881" spans="1:4">
      <c r="A3881" s="72">
        <v>45643</v>
      </c>
      <c r="B3881" s="50" t="s">
        <v>16575</v>
      </c>
      <c r="C3881" s="51" t="s">
        <v>16574</v>
      </c>
      <c r="D3881" s="51" t="s">
        <v>29</v>
      </c>
    </row>
    <row r="3882" spans="1:4">
      <c r="A3882" s="72">
        <v>45643</v>
      </c>
      <c r="B3882" s="50" t="s">
        <v>16577</v>
      </c>
      <c r="C3882" s="51" t="s">
        <v>16576</v>
      </c>
      <c r="D3882" s="51" t="s">
        <v>24</v>
      </c>
    </row>
    <row r="3883" spans="1:4">
      <c r="A3883" s="72">
        <v>45644</v>
      </c>
      <c r="B3883" s="50" t="s">
        <v>16579</v>
      </c>
      <c r="C3883" s="51" t="s">
        <v>16578</v>
      </c>
      <c r="D3883" s="51" t="s">
        <v>109</v>
      </c>
    </row>
    <row r="3884" spans="1:4">
      <c r="A3884" s="72">
        <v>45644</v>
      </c>
      <c r="B3884" s="50" t="s">
        <v>16581</v>
      </c>
      <c r="C3884" s="51" t="s">
        <v>16580</v>
      </c>
      <c r="D3884" s="51" t="s">
        <v>16</v>
      </c>
    </row>
    <row r="3885" spans="1:4">
      <c r="A3885" s="72">
        <v>45644</v>
      </c>
      <c r="B3885" s="50" t="s">
        <v>16583</v>
      </c>
      <c r="C3885" s="51" t="s">
        <v>16582</v>
      </c>
      <c r="D3885" s="51" t="s">
        <v>109</v>
      </c>
    </row>
    <row r="3886" spans="1:4">
      <c r="A3886" s="72">
        <v>45644</v>
      </c>
      <c r="B3886" s="50" t="s">
        <v>16585</v>
      </c>
      <c r="C3886" s="51" t="s">
        <v>16584</v>
      </c>
      <c r="D3886" s="51" t="s">
        <v>24</v>
      </c>
    </row>
    <row r="3887" spans="1:4">
      <c r="A3887" s="72">
        <v>45645</v>
      </c>
      <c r="B3887" s="50" t="s">
        <v>16587</v>
      </c>
      <c r="C3887" s="51" t="s">
        <v>16586</v>
      </c>
      <c r="D3887" s="51" t="s">
        <v>109</v>
      </c>
    </row>
    <row r="3888" spans="1:4">
      <c r="A3888" s="72">
        <v>45645</v>
      </c>
      <c r="B3888" s="50" t="s">
        <v>16589</v>
      </c>
      <c r="C3888" s="51" t="s">
        <v>16588</v>
      </c>
      <c r="D3888" s="51" t="s">
        <v>74</v>
      </c>
    </row>
    <row r="3889" spans="1:4">
      <c r="A3889" s="72">
        <v>45645</v>
      </c>
      <c r="B3889" s="50" t="s">
        <v>16591</v>
      </c>
      <c r="C3889" s="51" t="s">
        <v>16590</v>
      </c>
      <c r="D3889" s="51" t="s">
        <v>109</v>
      </c>
    </row>
    <row r="3890" spans="1:4">
      <c r="A3890" s="72">
        <v>45645</v>
      </c>
      <c r="B3890" s="50" t="s">
        <v>16593</v>
      </c>
      <c r="C3890" s="51" t="s">
        <v>16592</v>
      </c>
      <c r="D3890" s="51" t="s">
        <v>74</v>
      </c>
    </row>
    <row r="3891" spans="1:4">
      <c r="A3891" s="72">
        <v>45646</v>
      </c>
      <c r="B3891" s="50" t="s">
        <v>16595</v>
      </c>
      <c r="C3891" s="51" t="s">
        <v>16594</v>
      </c>
      <c r="D3891" s="51" t="s">
        <v>164</v>
      </c>
    </row>
    <row r="3892" spans="1:4">
      <c r="A3892" s="72">
        <v>45646</v>
      </c>
      <c r="B3892" s="50" t="s">
        <v>16597</v>
      </c>
      <c r="C3892" s="51" t="s">
        <v>16596</v>
      </c>
      <c r="D3892" s="51" t="s">
        <v>109</v>
      </c>
    </row>
    <row r="3893" spans="1:4">
      <c r="A3893" s="72">
        <v>45642</v>
      </c>
      <c r="B3893" s="50" t="s">
        <v>10969</v>
      </c>
      <c r="C3893" s="51" t="s">
        <v>16598</v>
      </c>
      <c r="D3893" s="51" t="s">
        <v>16</v>
      </c>
    </row>
    <row r="3894" spans="1:4">
      <c r="A3894" s="72">
        <v>45642</v>
      </c>
      <c r="B3894" s="50" t="s">
        <v>10969</v>
      </c>
      <c r="C3894" s="51" t="s">
        <v>16599</v>
      </c>
      <c r="D3894" s="51" t="s">
        <v>5</v>
      </c>
    </row>
    <row r="3895" spans="1:4">
      <c r="A3895" s="72">
        <v>45642</v>
      </c>
      <c r="B3895" s="50" t="s">
        <v>10969</v>
      </c>
      <c r="C3895" s="51" t="s">
        <v>16600</v>
      </c>
      <c r="D3895" s="51" t="s">
        <v>109</v>
      </c>
    </row>
    <row r="3896" spans="1:4">
      <c r="A3896" s="72">
        <v>45642</v>
      </c>
      <c r="B3896" s="50" t="s">
        <v>10969</v>
      </c>
      <c r="C3896" s="51" t="s">
        <v>16601</v>
      </c>
      <c r="D3896" s="51" t="s">
        <v>8</v>
      </c>
    </row>
    <row r="3897" spans="1:4">
      <c r="A3897" s="72">
        <v>45642</v>
      </c>
      <c r="B3897" s="50" t="s">
        <v>16603</v>
      </c>
      <c r="C3897" s="51" t="s">
        <v>16602</v>
      </c>
      <c r="D3897" s="51" t="s">
        <v>34</v>
      </c>
    </row>
    <row r="3898" spans="1:4">
      <c r="A3898" s="72">
        <v>45642</v>
      </c>
      <c r="B3898" s="50" t="s">
        <v>16605</v>
      </c>
      <c r="C3898" s="51" t="s">
        <v>16604</v>
      </c>
      <c r="D3898" s="51" t="s">
        <v>5</v>
      </c>
    </row>
    <row r="3899" spans="1:4">
      <c r="A3899" s="72">
        <v>45642</v>
      </c>
      <c r="B3899" s="50" t="s">
        <v>16607</v>
      </c>
      <c r="C3899" s="51" t="s">
        <v>16606</v>
      </c>
      <c r="D3899" s="51" t="s">
        <v>5</v>
      </c>
    </row>
    <row r="3900" spans="1:4">
      <c r="A3900" s="72">
        <v>45643</v>
      </c>
      <c r="B3900" s="50" t="s">
        <v>16609</v>
      </c>
      <c r="C3900" s="51" t="s">
        <v>16608</v>
      </c>
      <c r="D3900" s="51" t="s">
        <v>34</v>
      </c>
    </row>
    <row r="3901" spans="1:4">
      <c r="A3901" s="72">
        <v>45643</v>
      </c>
      <c r="B3901" s="50" t="s">
        <v>16611</v>
      </c>
      <c r="C3901" s="51" t="s">
        <v>16610</v>
      </c>
      <c r="D3901" s="51" t="s">
        <v>34</v>
      </c>
    </row>
    <row r="3902" spans="1:4">
      <c r="A3902" s="72">
        <v>45643</v>
      </c>
      <c r="B3902" s="50" t="s">
        <v>16612</v>
      </c>
      <c r="C3902" s="51" t="s">
        <v>16602</v>
      </c>
      <c r="D3902" s="51" t="s">
        <v>34</v>
      </c>
    </row>
    <row r="3903" spans="1:4">
      <c r="A3903" s="72">
        <v>45644</v>
      </c>
      <c r="B3903" s="50" t="s">
        <v>16614</v>
      </c>
      <c r="C3903" s="51" t="s">
        <v>16613</v>
      </c>
      <c r="D3903" s="51" t="s">
        <v>5</v>
      </c>
    </row>
    <row r="3904" spans="1:4">
      <c r="A3904" s="72">
        <v>45644</v>
      </c>
      <c r="B3904" s="50" t="s">
        <v>16616</v>
      </c>
      <c r="C3904" s="51" t="s">
        <v>16615</v>
      </c>
      <c r="D3904" s="51" t="s">
        <v>5</v>
      </c>
    </row>
    <row r="3905" spans="1:4">
      <c r="A3905" s="72">
        <v>45645</v>
      </c>
      <c r="B3905" s="50" t="s">
        <v>16618</v>
      </c>
      <c r="C3905" s="51" t="s">
        <v>16617</v>
      </c>
      <c r="D3905" s="51" t="s">
        <v>5</v>
      </c>
    </row>
    <row r="3906" spans="1:4">
      <c r="A3906" s="72">
        <v>45653</v>
      </c>
      <c r="B3906" s="50" t="s">
        <v>16620</v>
      </c>
      <c r="C3906" s="51" t="s">
        <v>16619</v>
      </c>
      <c r="D3906" s="51" t="s">
        <v>510</v>
      </c>
    </row>
    <row r="3907" spans="1:4">
      <c r="A3907" s="72">
        <v>45654</v>
      </c>
      <c r="B3907" s="50" t="s">
        <v>16622</v>
      </c>
      <c r="C3907" s="51" t="s">
        <v>16621</v>
      </c>
      <c r="D3907" s="51" t="s">
        <v>5</v>
      </c>
    </row>
    <row r="3908" spans="1:4">
      <c r="A3908" s="72">
        <v>45654</v>
      </c>
      <c r="B3908" s="50" t="s">
        <v>16624</v>
      </c>
      <c r="C3908" s="51" t="s">
        <v>16623</v>
      </c>
      <c r="D3908" s="51" t="s">
        <v>5</v>
      </c>
    </row>
    <row r="3909" spans="1:4">
      <c r="A3909" s="72">
        <v>45655</v>
      </c>
      <c r="B3909" s="50" t="s">
        <v>16625</v>
      </c>
      <c r="C3909" s="51" t="s">
        <v>14858</v>
      </c>
      <c r="D3909" s="51" t="s">
        <v>74</v>
      </c>
    </row>
    <row r="3910" spans="1:4">
      <c r="A3910" s="72">
        <v>45652</v>
      </c>
      <c r="B3910" s="50" t="s">
        <v>16627</v>
      </c>
      <c r="C3910" s="51" t="s">
        <v>16626</v>
      </c>
      <c r="D3910" s="51" t="s">
        <v>11</v>
      </c>
    </row>
    <row r="3911" spans="1:4">
      <c r="A3911" s="72">
        <v>45652</v>
      </c>
      <c r="B3911" s="50" t="s">
        <v>16629</v>
      </c>
      <c r="C3911" s="51" t="s">
        <v>16628</v>
      </c>
      <c r="D3911" s="51" t="s">
        <v>11</v>
      </c>
    </row>
    <row r="3912" spans="1:4">
      <c r="A3912" s="72">
        <v>45654</v>
      </c>
      <c r="B3912" s="50" t="s">
        <v>16631</v>
      </c>
      <c r="C3912" s="51" t="s">
        <v>16630</v>
      </c>
      <c r="D3912" s="51" t="s">
        <v>24</v>
      </c>
    </row>
    <row r="3913" spans="1:4">
      <c r="A3913" s="72">
        <v>45654</v>
      </c>
      <c r="B3913" s="50" t="s">
        <v>16633</v>
      </c>
      <c r="C3913" s="51" t="s">
        <v>16632</v>
      </c>
      <c r="D3913" s="51" t="s">
        <v>74</v>
      </c>
    </row>
    <row r="3914" spans="1:4">
      <c r="A3914" s="72">
        <v>45655</v>
      </c>
      <c r="B3914" s="50" t="s">
        <v>16635</v>
      </c>
      <c r="C3914" s="51" t="s">
        <v>16634</v>
      </c>
      <c r="D3914" s="51" t="s">
        <v>34</v>
      </c>
    </row>
    <row r="3915" spans="1:4">
      <c r="A3915" s="72">
        <v>45655</v>
      </c>
      <c r="B3915" s="50" t="s">
        <v>16637</v>
      </c>
      <c r="C3915" s="51" t="s">
        <v>16636</v>
      </c>
      <c r="D3915" s="51" t="s">
        <v>34</v>
      </c>
    </row>
    <row r="3916" spans="1:4">
      <c r="A3916" s="72">
        <v>45655</v>
      </c>
      <c r="B3916" s="50" t="s">
        <v>16639</v>
      </c>
      <c r="C3916" s="51" t="s">
        <v>16638</v>
      </c>
      <c r="D3916" s="51" t="s">
        <v>8</v>
      </c>
    </row>
    <row r="3917" spans="1:4">
      <c r="A3917" s="72">
        <v>45649</v>
      </c>
      <c r="B3917" s="50" t="s">
        <v>16641</v>
      </c>
      <c r="C3917" s="51" t="s">
        <v>16640</v>
      </c>
      <c r="D3917" s="51" t="s">
        <v>109</v>
      </c>
    </row>
    <row r="3918" spans="1:4">
      <c r="A3918" s="72">
        <v>45649</v>
      </c>
      <c r="B3918" s="50" t="s">
        <v>16643</v>
      </c>
      <c r="C3918" s="51" t="s">
        <v>16642</v>
      </c>
      <c r="D3918" s="51" t="s">
        <v>109</v>
      </c>
    </row>
    <row r="3919" spans="1:4">
      <c r="A3919" s="72">
        <v>45654</v>
      </c>
      <c r="B3919" s="50" t="s">
        <v>16645</v>
      </c>
      <c r="C3919" s="51" t="s">
        <v>16644</v>
      </c>
      <c r="D3919" s="51" t="s">
        <v>109</v>
      </c>
    </row>
    <row r="3920" spans="1:4">
      <c r="A3920" s="72">
        <v>45649</v>
      </c>
      <c r="B3920" s="50" t="s">
        <v>16647</v>
      </c>
      <c r="C3920" s="51" t="s">
        <v>16646</v>
      </c>
      <c r="D3920" s="51" t="s">
        <v>34</v>
      </c>
    </row>
    <row r="3921" spans="1:4">
      <c r="A3921" s="72">
        <v>45650</v>
      </c>
      <c r="B3921" s="50" t="s">
        <v>16649</v>
      </c>
      <c r="C3921" s="51" t="s">
        <v>16648</v>
      </c>
      <c r="D3921" s="51" t="s">
        <v>594</v>
      </c>
    </row>
    <row r="3922" spans="1:4">
      <c r="A3922" s="72">
        <v>45653</v>
      </c>
      <c r="B3922" s="50" t="s">
        <v>16651</v>
      </c>
      <c r="C3922" s="51" t="s">
        <v>16650</v>
      </c>
      <c r="D3922" s="51" t="s">
        <v>5</v>
      </c>
    </row>
    <row r="3923" spans="1:4">
      <c r="A3923" s="72">
        <v>45653</v>
      </c>
      <c r="B3923" s="50" t="s">
        <v>16653</v>
      </c>
      <c r="C3923" s="51" t="s">
        <v>16652</v>
      </c>
      <c r="D3923" s="51" t="s">
        <v>345</v>
      </c>
    </row>
    <row r="3924" spans="1:4">
      <c r="A3924" s="72">
        <v>45654</v>
      </c>
      <c r="B3924" s="50" t="s">
        <v>16655</v>
      </c>
      <c r="C3924" s="51" t="s">
        <v>16654</v>
      </c>
      <c r="D3924" s="51" t="s">
        <v>5</v>
      </c>
    </row>
    <row r="3925" spans="1:4">
      <c r="A3925" s="72">
        <v>45654</v>
      </c>
      <c r="B3925" s="50" t="s">
        <v>16657</v>
      </c>
      <c r="C3925" s="51" t="s">
        <v>16656</v>
      </c>
      <c r="D3925" s="51" t="s">
        <v>5</v>
      </c>
    </row>
    <row r="3926" spans="1:4">
      <c r="A3926" s="72">
        <v>45649</v>
      </c>
      <c r="B3926" s="50" t="s">
        <v>16659</v>
      </c>
      <c r="C3926" s="51" t="s">
        <v>16658</v>
      </c>
      <c r="D3926" s="51" t="s">
        <v>109</v>
      </c>
    </row>
    <row r="3927" spans="1:4">
      <c r="A3927" s="72">
        <v>45649</v>
      </c>
      <c r="B3927" s="50" t="s">
        <v>16661</v>
      </c>
      <c r="C3927" s="51" t="s">
        <v>16660</v>
      </c>
      <c r="D3927" s="51" t="s">
        <v>74</v>
      </c>
    </row>
    <row r="3928" spans="1:4">
      <c r="A3928" s="72">
        <v>45649</v>
      </c>
      <c r="B3928" s="50" t="s">
        <v>16663</v>
      </c>
      <c r="C3928" s="51" t="s">
        <v>16662</v>
      </c>
      <c r="D3928" s="51" t="s">
        <v>29</v>
      </c>
    </row>
    <row r="3929" spans="1:4">
      <c r="A3929" s="72">
        <v>45649</v>
      </c>
      <c r="B3929" s="50" t="s">
        <v>10969</v>
      </c>
      <c r="C3929" s="51" t="s">
        <v>16664</v>
      </c>
      <c r="D3929" s="51" t="s">
        <v>74</v>
      </c>
    </row>
    <row r="3930" spans="1:4">
      <c r="A3930" s="72">
        <v>45650</v>
      </c>
      <c r="B3930" s="50" t="s">
        <v>16666</v>
      </c>
      <c r="C3930" s="51" t="s">
        <v>16665</v>
      </c>
      <c r="D3930" s="51" t="s">
        <v>29</v>
      </c>
    </row>
    <row r="3931" spans="1:4">
      <c r="A3931" s="72">
        <v>45650</v>
      </c>
      <c r="B3931" s="50" t="s">
        <v>16668</v>
      </c>
      <c r="C3931" s="51" t="s">
        <v>16667</v>
      </c>
      <c r="D3931" s="51" t="s">
        <v>109</v>
      </c>
    </row>
    <row r="3932" spans="1:4">
      <c r="A3932" s="72">
        <v>45650</v>
      </c>
      <c r="B3932" s="50" t="s">
        <v>16670</v>
      </c>
      <c r="C3932" s="51" t="s">
        <v>16669</v>
      </c>
      <c r="D3932" s="51" t="s">
        <v>345</v>
      </c>
    </row>
    <row r="3933" spans="1:4">
      <c r="A3933" s="72">
        <v>45650</v>
      </c>
      <c r="B3933" s="50" t="s">
        <v>16672</v>
      </c>
      <c r="C3933" s="51" t="s">
        <v>16671</v>
      </c>
      <c r="D3933" s="51" t="s">
        <v>29</v>
      </c>
    </row>
    <row r="3934" spans="1:4">
      <c r="A3934" s="72">
        <v>45650</v>
      </c>
      <c r="B3934" s="50" t="s">
        <v>16674</v>
      </c>
      <c r="C3934" s="51" t="s">
        <v>16673</v>
      </c>
      <c r="D3934" s="51" t="s">
        <v>29</v>
      </c>
    </row>
    <row r="3935" spans="1:4">
      <c r="A3935" s="72">
        <v>45650</v>
      </c>
      <c r="B3935" s="50" t="s">
        <v>16676</v>
      </c>
      <c r="C3935" s="51" t="s">
        <v>16675</v>
      </c>
      <c r="D3935" s="51" t="s">
        <v>29</v>
      </c>
    </row>
    <row r="3936" spans="1:4">
      <c r="A3936" s="72">
        <v>45652</v>
      </c>
      <c r="B3936" s="50" t="s">
        <v>16678</v>
      </c>
      <c r="C3936" s="51" t="s">
        <v>16677</v>
      </c>
      <c r="D3936" s="51" t="s">
        <v>29</v>
      </c>
    </row>
    <row r="3937" spans="1:4">
      <c r="A3937" s="72">
        <v>45652</v>
      </c>
      <c r="B3937" s="50" t="s">
        <v>16680</v>
      </c>
      <c r="C3937" s="51" t="s">
        <v>16679</v>
      </c>
      <c r="D3937" s="51" t="s">
        <v>109</v>
      </c>
    </row>
    <row r="3938" spans="1:4">
      <c r="A3938" s="72">
        <v>45653</v>
      </c>
      <c r="B3938" s="50" t="s">
        <v>16682</v>
      </c>
      <c r="C3938" s="51" t="s">
        <v>16681</v>
      </c>
      <c r="D3938" s="51" t="s">
        <v>29</v>
      </c>
    </row>
    <row r="3939" spans="1:4">
      <c r="A3939" s="72">
        <v>45653</v>
      </c>
      <c r="B3939" s="50" t="s">
        <v>16684</v>
      </c>
      <c r="C3939" s="51" t="s">
        <v>16683</v>
      </c>
      <c r="D3939" s="51" t="s">
        <v>81</v>
      </c>
    </row>
    <row r="3940" spans="1:4">
      <c r="A3940" s="72">
        <v>45656</v>
      </c>
      <c r="B3940" s="50" t="s">
        <v>16686</v>
      </c>
      <c r="C3940" s="51" t="s">
        <v>16685</v>
      </c>
      <c r="D3940" s="51" t="s">
        <v>11</v>
      </c>
    </row>
    <row r="3941" spans="1:4">
      <c r="A3941" s="72">
        <v>45656</v>
      </c>
      <c r="B3941" s="50" t="s">
        <v>16687</v>
      </c>
      <c r="C3941" s="51" t="s">
        <v>4917</v>
      </c>
      <c r="D3941" s="51" t="s">
        <v>19</v>
      </c>
    </row>
    <row r="3942" spans="1:4">
      <c r="A3942" s="72">
        <v>45656</v>
      </c>
      <c r="B3942" s="50" t="s">
        <v>16689</v>
      </c>
      <c r="C3942" s="51" t="s">
        <v>16688</v>
      </c>
      <c r="D3942" s="51" t="s">
        <v>24</v>
      </c>
    </row>
    <row r="3943" spans="1:4">
      <c r="A3943" s="72">
        <v>45656</v>
      </c>
      <c r="B3943" s="50" t="s">
        <v>16691</v>
      </c>
      <c r="C3943" s="51" t="s">
        <v>16690</v>
      </c>
      <c r="D3943" s="51" t="s">
        <v>216</v>
      </c>
    </row>
    <row r="3944" spans="1:4">
      <c r="A3944" s="72">
        <v>45657</v>
      </c>
      <c r="B3944" s="50" t="s">
        <v>16693</v>
      </c>
      <c r="C3944" s="51" t="s">
        <v>16692</v>
      </c>
      <c r="D3944" s="51" t="s">
        <v>74</v>
      </c>
    </row>
    <row r="3945" spans="1:4">
      <c r="A3945" s="72">
        <v>45657</v>
      </c>
      <c r="B3945" s="50" t="s">
        <v>16695</v>
      </c>
      <c r="C3945" s="51" t="s">
        <v>16694</v>
      </c>
      <c r="D3945" s="51" t="s">
        <v>29</v>
      </c>
    </row>
    <row r="3946" spans="1:4">
      <c r="A3946" s="72">
        <v>45657</v>
      </c>
      <c r="B3946" s="50" t="s">
        <v>16697</v>
      </c>
      <c r="C3946" s="51" t="s">
        <v>16696</v>
      </c>
      <c r="D3946" s="51" t="s">
        <v>24</v>
      </c>
    </row>
    <row r="3947" spans="1:4">
      <c r="A3947" s="72">
        <v>45657</v>
      </c>
      <c r="B3947" s="50" t="s">
        <v>16699</v>
      </c>
      <c r="C3947" s="51" t="s">
        <v>16698</v>
      </c>
      <c r="D3947" s="51" t="s">
        <v>19</v>
      </c>
    </row>
    <row r="3948" spans="1:4">
      <c r="A3948" s="72">
        <v>45657</v>
      </c>
      <c r="B3948" s="50" t="s">
        <v>16701</v>
      </c>
      <c r="C3948" s="51" t="s">
        <v>16700</v>
      </c>
      <c r="D3948" s="51" t="s">
        <v>345</v>
      </c>
    </row>
    <row r="3949" spans="1:4">
      <c r="A3949" s="72">
        <v>45657</v>
      </c>
      <c r="B3949" s="50" t="s">
        <v>16703</v>
      </c>
      <c r="C3949" s="51" t="s">
        <v>16702</v>
      </c>
      <c r="D3949" s="51" t="s">
        <v>16</v>
      </c>
    </row>
    <row r="3950" spans="1:4">
      <c r="A3950" s="72">
        <v>45657</v>
      </c>
      <c r="B3950" s="50" t="s">
        <v>16705</v>
      </c>
      <c r="C3950" s="51" t="s">
        <v>16704</v>
      </c>
      <c r="D3950" s="51" t="s">
        <v>8</v>
      </c>
    </row>
    <row r="3951" spans="1:4">
      <c r="A3951" s="72">
        <v>45657</v>
      </c>
      <c r="B3951" s="50" t="s">
        <v>16707</v>
      </c>
      <c r="C3951" s="51" t="s">
        <v>16706</v>
      </c>
      <c r="D3951" s="51" t="s">
        <v>24</v>
      </c>
    </row>
    <row r="3952" spans="1:4">
      <c r="A3952" s="72">
        <v>45657</v>
      </c>
      <c r="B3952" s="50" t="s">
        <v>16709</v>
      </c>
      <c r="C3952" s="51" t="s">
        <v>16708</v>
      </c>
      <c r="D3952" s="51" t="s">
        <v>74</v>
      </c>
    </row>
    <row r="3953" spans="1:4">
      <c r="A3953" s="72">
        <v>45657</v>
      </c>
      <c r="B3953" s="50" t="s">
        <v>16711</v>
      </c>
      <c r="C3953" s="51" t="s">
        <v>16710</v>
      </c>
      <c r="D3953" s="51" t="s">
        <v>29</v>
      </c>
    </row>
    <row r="3954" spans="1:4">
      <c r="A3954" s="72">
        <v>45657</v>
      </c>
      <c r="B3954" s="50" t="s">
        <v>16712</v>
      </c>
      <c r="C3954" s="51" t="s">
        <v>16710</v>
      </c>
      <c r="D3954" s="51" t="s">
        <v>29</v>
      </c>
    </row>
    <row r="3955" spans="1:4">
      <c r="A3955" s="72">
        <v>45657</v>
      </c>
      <c r="B3955" s="50" t="s">
        <v>16714</v>
      </c>
      <c r="C3955" s="51" t="s">
        <v>16713</v>
      </c>
      <c r="D3955" s="51" t="s">
        <v>74</v>
      </c>
    </row>
    <row r="3956" spans="1:4">
      <c r="A3956" s="72">
        <v>45657</v>
      </c>
      <c r="B3956" s="50" t="s">
        <v>16716</v>
      </c>
      <c r="C3956" s="51" t="s">
        <v>16715</v>
      </c>
      <c r="D3956" s="51" t="s">
        <v>29</v>
      </c>
    </row>
    <row r="3957" spans="1:4">
      <c r="A3957" s="72">
        <v>45657</v>
      </c>
      <c r="B3957" s="50" t="s">
        <v>16717</v>
      </c>
      <c r="C3957" s="51" t="s">
        <v>16715</v>
      </c>
      <c r="D3957" s="51" t="s">
        <v>29</v>
      </c>
    </row>
    <row r="3958" spans="1:4">
      <c r="A3958" s="13"/>
      <c r="B3958" s="13"/>
      <c r="C3958" s="13"/>
      <c r="D3958" s="13"/>
    </row>
    <row r="3959" spans="1:4">
      <c r="A3959" s="13"/>
      <c r="B3959" s="13"/>
      <c r="C3959" s="13"/>
      <c r="D3959" s="13"/>
    </row>
    <row r="3960" spans="1:4">
      <c r="A3960" s="13"/>
      <c r="B3960" s="13"/>
      <c r="C3960" s="13"/>
      <c r="D3960" s="13"/>
    </row>
    <row r="3961" spans="1:4">
      <c r="A3961" s="13"/>
      <c r="B3961" s="13"/>
      <c r="C3961" s="13"/>
      <c r="D3961" s="13"/>
    </row>
    <row r="3962" spans="1:4">
      <c r="A3962" s="13"/>
      <c r="B3962" s="13"/>
      <c r="C3962" s="13"/>
      <c r="D3962" s="13"/>
    </row>
    <row r="3963" spans="1:4">
      <c r="A3963" s="13"/>
      <c r="B3963" s="13"/>
      <c r="C3963" s="13"/>
      <c r="D3963" s="13"/>
    </row>
    <row r="3964" spans="1:4">
      <c r="A3964" s="13"/>
      <c r="B3964" s="13"/>
      <c r="C3964" s="13"/>
      <c r="D3964" s="13"/>
    </row>
    <row r="3965" spans="1:4">
      <c r="A3965" s="13"/>
      <c r="B3965" s="13"/>
      <c r="C3965" s="13"/>
      <c r="D3965" s="13"/>
    </row>
    <row r="3966" spans="1:4">
      <c r="A3966" s="13"/>
      <c r="B3966" s="13"/>
      <c r="C3966" s="13"/>
      <c r="D3966" s="13"/>
    </row>
    <row r="3967" spans="1:4">
      <c r="A3967" s="13"/>
      <c r="B3967" s="13"/>
      <c r="C3967" s="13"/>
      <c r="D3967" s="13"/>
    </row>
    <row r="3968" spans="1:4">
      <c r="A3968" s="13"/>
      <c r="B3968" s="13"/>
      <c r="C3968" s="13"/>
      <c r="D3968" s="13"/>
    </row>
    <row r="3969" spans="1:4">
      <c r="A3969" s="13"/>
      <c r="B3969" s="13"/>
      <c r="C3969" s="13"/>
      <c r="D3969" s="13"/>
    </row>
    <row r="3970" spans="1:4">
      <c r="A3970" s="13"/>
      <c r="B3970" s="13"/>
      <c r="C3970" s="13"/>
      <c r="D3970" s="13"/>
    </row>
    <row r="3971" spans="1:4">
      <c r="A3971" s="13"/>
      <c r="B3971" s="13"/>
      <c r="C3971" s="13"/>
      <c r="D3971" s="13"/>
    </row>
    <row r="3972" spans="1:4">
      <c r="A3972" s="13"/>
      <c r="B3972" s="13"/>
      <c r="C3972" s="13"/>
      <c r="D3972" s="13"/>
    </row>
    <row r="3973" spans="1:4">
      <c r="A3973" s="13"/>
      <c r="B3973" s="13"/>
      <c r="C3973" s="13"/>
      <c r="D3973" s="13"/>
    </row>
    <row r="3974" spans="1:4">
      <c r="A3974" s="13"/>
      <c r="B3974" s="13"/>
      <c r="C3974" s="13"/>
      <c r="D3974" s="13"/>
    </row>
    <row r="3975" spans="1:4">
      <c r="A3975" s="13"/>
      <c r="B3975" s="13"/>
      <c r="C3975" s="13"/>
      <c r="D3975" s="13"/>
    </row>
    <row r="3976" spans="1:4">
      <c r="A3976" s="13"/>
      <c r="B3976" s="13"/>
      <c r="C3976" s="13"/>
      <c r="D3976" s="13"/>
    </row>
    <row r="3977" spans="1:4">
      <c r="A3977" s="13"/>
      <c r="B3977" s="13"/>
      <c r="C3977" s="13"/>
      <c r="D3977" s="13"/>
    </row>
    <row r="3978" spans="1:4">
      <c r="A3978" s="13"/>
      <c r="B3978" s="13"/>
      <c r="C3978" s="13"/>
      <c r="D3978" s="13"/>
    </row>
    <row r="3979" spans="1:4">
      <c r="A3979" s="13"/>
      <c r="B3979" s="13"/>
      <c r="C3979" s="13"/>
      <c r="D3979" s="13"/>
    </row>
    <row r="3980" spans="1:4">
      <c r="A3980" s="13"/>
      <c r="B3980" s="13"/>
      <c r="C3980" s="13"/>
      <c r="D3980" s="13"/>
    </row>
    <row r="3981" spans="1:4">
      <c r="A3981" s="13"/>
      <c r="B3981" s="13"/>
      <c r="C3981" s="13"/>
      <c r="D3981" s="13"/>
    </row>
    <row r="3982" spans="1:4">
      <c r="A3982" s="13"/>
      <c r="B3982" s="13"/>
      <c r="C3982" s="13"/>
      <c r="D3982" s="13"/>
    </row>
    <row r="3983" spans="1:4">
      <c r="A3983" s="13"/>
      <c r="B3983" s="13"/>
      <c r="C3983" s="13"/>
      <c r="D3983" s="13"/>
    </row>
    <row r="3984" spans="1:4">
      <c r="A3984" s="13"/>
      <c r="B3984" s="13"/>
      <c r="C3984" s="13"/>
      <c r="D3984" s="13"/>
    </row>
    <row r="3985" spans="1:4">
      <c r="A3985" s="13"/>
      <c r="B3985" s="13"/>
      <c r="C3985" s="13"/>
      <c r="D3985" s="13"/>
    </row>
    <row r="3986" spans="1:4">
      <c r="A3986" s="13"/>
      <c r="B3986" s="13"/>
      <c r="C3986" s="13"/>
      <c r="D3986" s="13"/>
    </row>
    <row r="3987" spans="1:4">
      <c r="A3987" s="13"/>
      <c r="B3987" s="13"/>
      <c r="C3987" s="13"/>
      <c r="D3987" s="13"/>
    </row>
    <row r="3988" spans="1:4">
      <c r="A3988" s="13"/>
      <c r="B3988" s="13"/>
      <c r="C3988" s="13"/>
      <c r="D3988" s="13"/>
    </row>
    <row r="3989" spans="1:4">
      <c r="A3989" s="13"/>
      <c r="B3989" s="13"/>
      <c r="C3989" s="13"/>
      <c r="D3989" s="13"/>
    </row>
    <row r="3990" spans="1:4">
      <c r="A3990" s="13"/>
      <c r="B3990" s="13"/>
      <c r="C3990" s="13"/>
      <c r="D3990" s="13"/>
    </row>
    <row r="3991" spans="1:4">
      <c r="A3991" s="13"/>
      <c r="B3991" s="13"/>
      <c r="C3991" s="13"/>
      <c r="D3991" s="13"/>
    </row>
    <row r="3992" spans="1:4">
      <c r="A3992" s="13"/>
      <c r="B3992" s="13"/>
      <c r="C3992" s="13"/>
      <c r="D3992" s="13"/>
    </row>
    <row r="3993" spans="1:4">
      <c r="A3993" s="13"/>
      <c r="B3993" s="13"/>
      <c r="C3993" s="13"/>
      <c r="D3993" s="13"/>
    </row>
    <row r="3994" spans="1:4">
      <c r="A3994" s="13"/>
      <c r="B3994" s="13"/>
      <c r="C3994" s="13"/>
      <c r="D3994" s="13"/>
    </row>
    <row r="3995" spans="1:4">
      <c r="A3995" s="13"/>
      <c r="B3995" s="13"/>
      <c r="C3995" s="13"/>
      <c r="D3995" s="13"/>
    </row>
    <row r="3996" spans="1:4">
      <c r="A3996" s="13"/>
      <c r="B3996" s="13"/>
      <c r="C3996" s="13"/>
      <c r="D3996" s="13"/>
    </row>
    <row r="3997" spans="1:4">
      <c r="A3997" s="13"/>
      <c r="B3997" s="13"/>
      <c r="C3997" s="13"/>
      <c r="D3997" s="13"/>
    </row>
    <row r="3998" spans="1:4">
      <c r="A3998" s="13"/>
      <c r="B3998" s="13"/>
      <c r="C3998" s="13"/>
      <c r="D3998" s="13"/>
    </row>
    <row r="3999" spans="1:4">
      <c r="A3999" s="13"/>
      <c r="B3999" s="13"/>
      <c r="C3999" s="13"/>
      <c r="D3999" s="13"/>
    </row>
    <row r="4000" spans="1:4">
      <c r="A4000" s="13"/>
      <c r="B4000" s="13"/>
      <c r="C4000" s="13"/>
      <c r="D4000" s="13"/>
    </row>
    <row r="4001" spans="1:4">
      <c r="A4001" s="13"/>
      <c r="B4001" s="13"/>
      <c r="C4001" s="13"/>
      <c r="D4001" s="13"/>
    </row>
    <row r="4002" spans="1:4">
      <c r="A4002" s="13"/>
      <c r="B4002" s="13"/>
      <c r="C4002" s="13"/>
      <c r="D4002" s="13"/>
    </row>
    <row r="4003" spans="1:4">
      <c r="A4003" s="13"/>
      <c r="B4003" s="13"/>
      <c r="C4003" s="13"/>
      <c r="D4003" s="13"/>
    </row>
    <row r="4004" spans="1:4">
      <c r="A4004" s="13"/>
      <c r="B4004" s="13"/>
      <c r="C4004" s="13"/>
      <c r="D4004" s="13"/>
    </row>
    <row r="4005" spans="1:4">
      <c r="A4005" s="13"/>
      <c r="B4005" s="13"/>
      <c r="C4005" s="13"/>
      <c r="D4005" s="13"/>
    </row>
    <row r="4006" spans="1:4">
      <c r="A4006" s="13"/>
      <c r="B4006" s="13"/>
      <c r="C4006" s="13"/>
      <c r="D4006" s="13"/>
    </row>
    <row r="4007" spans="1:4">
      <c r="A4007" s="13"/>
      <c r="B4007" s="13"/>
      <c r="C4007" s="13"/>
      <c r="D4007" s="13"/>
    </row>
    <row r="4008" spans="1:4">
      <c r="A4008" s="13"/>
      <c r="B4008" s="13"/>
      <c r="C4008" s="13"/>
      <c r="D4008" s="13"/>
    </row>
    <row r="4009" spans="1:4">
      <c r="A4009" s="13"/>
      <c r="B4009" s="13"/>
      <c r="C4009" s="13"/>
      <c r="D4009" s="13"/>
    </row>
    <row r="4010" spans="1:4">
      <c r="A4010" s="13"/>
      <c r="B4010" s="13"/>
      <c r="C4010" s="13"/>
      <c r="D4010" s="13"/>
    </row>
    <row r="4011" spans="1:4">
      <c r="A4011" s="13"/>
      <c r="B4011" s="13"/>
      <c r="C4011" s="13"/>
      <c r="D4011" s="13"/>
    </row>
    <row r="4012" spans="1:4">
      <c r="A4012" s="13"/>
      <c r="B4012" s="13"/>
      <c r="C4012" s="13"/>
      <c r="D4012" s="13"/>
    </row>
    <row r="4013" spans="1:4">
      <c r="A4013" s="13"/>
      <c r="B4013" s="13"/>
      <c r="C4013" s="13"/>
      <c r="D4013" s="13"/>
    </row>
    <row r="4014" spans="1:4">
      <c r="A4014" s="13"/>
      <c r="B4014" s="13"/>
      <c r="C4014" s="13"/>
      <c r="D4014" s="13"/>
    </row>
    <row r="4015" spans="1:4">
      <c r="A4015" s="13"/>
      <c r="B4015" s="13"/>
      <c r="C4015" s="13"/>
      <c r="D4015" s="13"/>
    </row>
    <row r="4016" spans="1:4">
      <c r="A4016" s="13"/>
      <c r="B4016" s="13"/>
      <c r="C4016" s="13"/>
      <c r="D4016" s="13"/>
    </row>
    <row r="4017" spans="1:4">
      <c r="A4017" s="13"/>
      <c r="B4017" s="13"/>
      <c r="C4017" s="13"/>
      <c r="D4017" s="13"/>
    </row>
    <row r="4018" spans="1:4">
      <c r="A4018" s="13"/>
      <c r="B4018" s="13"/>
      <c r="C4018" s="13"/>
      <c r="D4018" s="13"/>
    </row>
    <row r="4019" spans="1:4">
      <c r="A4019" s="13"/>
      <c r="B4019" s="13"/>
      <c r="C4019" s="13"/>
      <c r="D4019" s="13"/>
    </row>
    <row r="4020" spans="1:4">
      <c r="A4020" s="13"/>
      <c r="B4020" s="13"/>
      <c r="C4020" s="13"/>
      <c r="D4020" s="13"/>
    </row>
    <row r="4021" spans="1:4">
      <c r="A4021" s="13"/>
      <c r="B4021" s="13"/>
      <c r="C4021" s="13"/>
      <c r="D4021" s="13"/>
    </row>
    <row r="4022" spans="1:4">
      <c r="A4022" s="13"/>
      <c r="B4022" s="13"/>
      <c r="C4022" s="13"/>
      <c r="D4022" s="13"/>
    </row>
    <row r="4023" spans="1:4">
      <c r="A4023" s="13"/>
      <c r="B4023" s="13"/>
      <c r="C4023" s="13"/>
      <c r="D4023" s="13"/>
    </row>
    <row r="4024" spans="1:4">
      <c r="A4024" s="13"/>
      <c r="B4024" s="13"/>
      <c r="C4024" s="13"/>
      <c r="D4024" s="13"/>
    </row>
    <row r="4025" spans="1:4">
      <c r="A4025" s="13"/>
      <c r="B4025" s="13"/>
      <c r="C4025" s="13"/>
      <c r="D4025" s="13"/>
    </row>
    <row r="4026" spans="1:4">
      <c r="A4026" s="13"/>
      <c r="B4026" s="13"/>
      <c r="C4026" s="13"/>
      <c r="D4026" s="13"/>
    </row>
    <row r="4027" spans="1:4">
      <c r="A4027" s="13"/>
      <c r="B4027" s="13"/>
      <c r="C4027" s="13"/>
      <c r="D4027" s="13"/>
    </row>
    <row r="4028" spans="1:4">
      <c r="A4028" s="13"/>
      <c r="B4028" s="13"/>
      <c r="C4028" s="13"/>
      <c r="D4028" s="13"/>
    </row>
    <row r="4029" spans="1:4">
      <c r="A4029" s="13"/>
      <c r="B4029" s="13"/>
      <c r="C4029" s="13"/>
      <c r="D4029" s="13"/>
    </row>
    <row r="4030" spans="1:4">
      <c r="A4030" s="13"/>
      <c r="B4030" s="13"/>
      <c r="C4030" s="13"/>
      <c r="D4030" s="13"/>
    </row>
    <row r="4031" spans="1:4">
      <c r="A4031" s="13"/>
      <c r="B4031" s="13"/>
      <c r="C4031" s="13"/>
      <c r="D4031" s="13"/>
    </row>
    <row r="4032" spans="1:4">
      <c r="A4032" s="13"/>
      <c r="B4032" s="13"/>
      <c r="C4032" s="13"/>
      <c r="D4032" s="13"/>
    </row>
    <row r="4033" spans="1:4">
      <c r="A4033" s="13"/>
      <c r="B4033" s="13"/>
      <c r="C4033" s="13"/>
      <c r="D4033" s="13"/>
    </row>
    <row r="4034" spans="1:4">
      <c r="A4034" s="13"/>
      <c r="B4034" s="13"/>
      <c r="C4034" s="13"/>
      <c r="D4034" s="13"/>
    </row>
    <row r="4035" spans="1:4">
      <c r="A4035" s="13"/>
      <c r="B4035" s="13"/>
      <c r="C4035" s="13"/>
      <c r="D4035" s="13"/>
    </row>
    <row r="4036" spans="1:4">
      <c r="A4036" s="13"/>
      <c r="B4036" s="13"/>
      <c r="C4036" s="13"/>
      <c r="D4036" s="13"/>
    </row>
    <row r="4037" spans="1:4">
      <c r="A4037" s="13"/>
      <c r="B4037" s="13"/>
      <c r="C4037" s="13"/>
      <c r="D4037" s="13"/>
    </row>
    <row r="4038" spans="1:4">
      <c r="A4038" s="13"/>
      <c r="B4038" s="13"/>
      <c r="C4038" s="13"/>
      <c r="D4038" s="13"/>
    </row>
    <row r="4039" spans="1:4">
      <c r="A4039" s="13"/>
      <c r="B4039" s="13"/>
      <c r="C4039" s="13"/>
      <c r="D4039" s="13"/>
    </row>
    <row r="4040" spans="1:4">
      <c r="A4040" s="13"/>
      <c r="B4040" s="13"/>
      <c r="C4040" s="13"/>
      <c r="D4040" s="13"/>
    </row>
    <row r="4041" spans="1:4">
      <c r="A4041" s="13"/>
      <c r="B4041" s="13"/>
      <c r="C4041" s="13"/>
      <c r="D4041" s="13"/>
    </row>
    <row r="4042" spans="1:4">
      <c r="A4042" s="13"/>
      <c r="B4042" s="13"/>
      <c r="C4042" s="13"/>
      <c r="D4042" s="13"/>
    </row>
    <row r="4043" spans="1:4">
      <c r="A4043" s="13"/>
      <c r="B4043" s="13"/>
      <c r="C4043" s="13"/>
      <c r="D4043" s="13"/>
    </row>
    <row r="4044" spans="1:4">
      <c r="A4044" s="13"/>
      <c r="B4044" s="13"/>
      <c r="C4044" s="13"/>
      <c r="D4044" s="13"/>
    </row>
    <row r="4045" spans="1:4">
      <c r="A4045" s="13"/>
      <c r="B4045" s="13"/>
      <c r="C4045" s="13"/>
      <c r="D4045" s="13"/>
    </row>
    <row r="4046" spans="1:4">
      <c r="A4046" s="13"/>
      <c r="B4046" s="13"/>
      <c r="C4046" s="13"/>
      <c r="D4046" s="13"/>
    </row>
    <row r="4047" spans="1:4">
      <c r="A4047" s="13"/>
      <c r="B4047" s="13"/>
      <c r="C4047" s="13"/>
      <c r="D4047" s="13"/>
    </row>
    <row r="4048" spans="1:4">
      <c r="A4048" s="13"/>
      <c r="B4048" s="13"/>
      <c r="C4048" s="13"/>
      <c r="D4048" s="13"/>
    </row>
    <row r="4049" spans="1:4">
      <c r="A4049" s="13"/>
      <c r="B4049" s="13"/>
      <c r="C4049" s="13"/>
      <c r="D4049" s="13"/>
    </row>
    <row r="4050" spans="1:4">
      <c r="A4050" s="13"/>
      <c r="B4050" s="13"/>
      <c r="C4050" s="13"/>
      <c r="D4050" s="13"/>
    </row>
    <row r="4051" spans="1:4">
      <c r="A4051" s="13"/>
      <c r="B4051" s="13"/>
      <c r="C4051" s="13"/>
      <c r="D4051" s="13"/>
    </row>
    <row r="4052" spans="1:4">
      <c r="A4052" s="13"/>
      <c r="B4052" s="13"/>
      <c r="C4052" s="13"/>
      <c r="D4052" s="13"/>
    </row>
    <row r="4053" spans="1:4">
      <c r="A4053" s="13"/>
      <c r="B4053" s="13"/>
      <c r="C4053" s="13"/>
      <c r="D4053" s="13"/>
    </row>
    <row r="4054" spans="1:4">
      <c r="A4054" s="13"/>
      <c r="B4054" s="13"/>
      <c r="C4054" s="13"/>
      <c r="D4054" s="13"/>
    </row>
    <row r="4055" spans="1:4">
      <c r="A4055" s="13"/>
      <c r="B4055" s="13"/>
      <c r="C4055" s="13"/>
      <c r="D4055" s="13"/>
    </row>
    <row r="4056" spans="1:4">
      <c r="A4056" s="13"/>
      <c r="B4056" s="13"/>
      <c r="C4056" s="13"/>
      <c r="D4056" s="13"/>
    </row>
    <row r="4057" spans="1:4">
      <c r="A4057" s="13"/>
      <c r="B4057" s="13"/>
      <c r="C4057" s="13"/>
      <c r="D4057" s="13"/>
    </row>
    <row r="4058" spans="1:4">
      <c r="A4058" s="13"/>
      <c r="B4058" s="13"/>
      <c r="C4058" s="13"/>
      <c r="D4058" s="13"/>
    </row>
    <row r="4059" spans="1:4">
      <c r="A4059" s="13"/>
      <c r="B4059" s="13"/>
      <c r="C4059" s="13"/>
      <c r="D4059" s="13"/>
    </row>
    <row r="4060" spans="1:4">
      <c r="A4060" s="13"/>
      <c r="B4060" s="13"/>
      <c r="C4060" s="13"/>
      <c r="D4060" s="13"/>
    </row>
    <row r="4061" spans="1:4">
      <c r="A4061" s="13"/>
      <c r="B4061" s="13"/>
      <c r="C4061" s="13"/>
      <c r="D4061" s="13"/>
    </row>
    <row r="4062" spans="1:4">
      <c r="A4062" s="13"/>
      <c r="B4062" s="13"/>
      <c r="C4062" s="13"/>
      <c r="D4062" s="13"/>
    </row>
    <row r="4063" spans="1:4">
      <c r="A4063" s="13"/>
      <c r="B4063" s="13"/>
      <c r="C4063" s="13"/>
      <c r="D4063" s="13"/>
    </row>
    <row r="4064" spans="1:4">
      <c r="A4064" s="13"/>
      <c r="B4064" s="13"/>
      <c r="C4064" s="13"/>
      <c r="D4064" s="13"/>
    </row>
    <row r="4065" spans="1:4">
      <c r="A4065" s="13"/>
      <c r="B4065" s="13"/>
      <c r="C4065" s="13"/>
      <c r="D4065" s="13"/>
    </row>
    <row r="4066" spans="1:4">
      <c r="A4066" s="13"/>
      <c r="B4066" s="13"/>
      <c r="C4066" s="13"/>
      <c r="D4066" s="13"/>
    </row>
    <row r="4067" spans="1:4">
      <c r="A4067" s="13"/>
      <c r="B4067" s="13"/>
      <c r="C4067" s="13"/>
      <c r="D4067" s="13"/>
    </row>
    <row r="4068" spans="1:4">
      <c r="A4068" s="13"/>
      <c r="B4068" s="13"/>
      <c r="C4068" s="13"/>
      <c r="D4068" s="13"/>
    </row>
    <row r="4069" spans="1:4">
      <c r="A4069" s="13"/>
      <c r="B4069" s="13"/>
      <c r="C4069" s="13"/>
      <c r="D4069" s="13"/>
    </row>
    <row r="4070" spans="1:4">
      <c r="A4070" s="13"/>
      <c r="B4070" s="13"/>
      <c r="C4070" s="13"/>
      <c r="D4070" s="13"/>
    </row>
    <row r="4071" spans="1:4">
      <c r="A4071" s="13"/>
      <c r="B4071" s="13"/>
      <c r="C4071" s="13"/>
      <c r="D4071" s="13"/>
    </row>
    <row r="4072" spans="1:4">
      <c r="A4072" s="13"/>
      <c r="B4072" s="13"/>
      <c r="C4072" s="13"/>
      <c r="D4072" s="13"/>
    </row>
    <row r="4073" spans="1:4">
      <c r="A4073" s="13"/>
      <c r="B4073" s="13"/>
      <c r="C4073" s="13"/>
      <c r="D4073" s="13"/>
    </row>
    <row r="4074" spans="1:4">
      <c r="A4074" s="13"/>
      <c r="B4074" s="13"/>
      <c r="C4074" s="13"/>
      <c r="D4074" s="13"/>
    </row>
    <row r="4075" spans="1:4">
      <c r="A4075" s="13"/>
      <c r="B4075" s="13"/>
      <c r="C4075" s="13"/>
      <c r="D4075" s="13"/>
    </row>
    <row r="4076" spans="1:4">
      <c r="A4076" s="13"/>
      <c r="B4076" s="13"/>
      <c r="C4076" s="13"/>
      <c r="D4076" s="13"/>
    </row>
    <row r="4077" spans="1:4">
      <c r="A4077" s="13"/>
      <c r="B4077" s="13"/>
      <c r="C4077" s="13"/>
      <c r="D4077" s="13"/>
    </row>
    <row r="4078" spans="1:4">
      <c r="A4078" s="13"/>
      <c r="B4078" s="13"/>
      <c r="C4078" s="13"/>
      <c r="D4078" s="13"/>
    </row>
    <row r="4079" spans="1:4">
      <c r="A4079" s="13"/>
      <c r="B4079" s="13"/>
      <c r="C4079" s="13"/>
      <c r="D4079" s="13"/>
    </row>
    <row r="4080" spans="1:4">
      <c r="A4080" s="13"/>
      <c r="B4080" s="13"/>
      <c r="C4080" s="13"/>
      <c r="D4080" s="13"/>
    </row>
    <row r="4081" spans="1:4">
      <c r="A4081" s="13"/>
      <c r="B4081" s="13"/>
      <c r="C4081" s="13"/>
      <c r="D4081" s="13"/>
    </row>
    <row r="4082" spans="1:4">
      <c r="A4082" s="13"/>
      <c r="B4082" s="13"/>
      <c r="C4082" s="13"/>
      <c r="D4082" s="13"/>
    </row>
    <row r="4083" spans="1:4">
      <c r="A4083" s="13"/>
      <c r="B4083" s="13"/>
      <c r="C4083" s="13"/>
      <c r="D4083" s="13"/>
    </row>
    <row r="4084" spans="1:4">
      <c r="A4084" s="13"/>
      <c r="B4084" s="13"/>
      <c r="C4084" s="13"/>
      <c r="D4084" s="13"/>
    </row>
    <row r="4085" spans="1:4">
      <c r="A4085" s="13"/>
      <c r="B4085" s="13"/>
      <c r="C4085" s="13"/>
      <c r="D4085" s="13"/>
    </row>
    <row r="4086" spans="1:4">
      <c r="A4086" s="13"/>
      <c r="B4086" s="13"/>
      <c r="C4086" s="13"/>
      <c r="D4086" s="13"/>
    </row>
    <row r="4087" spans="1:4">
      <c r="A4087" s="13"/>
      <c r="B4087" s="13"/>
      <c r="C4087" s="13"/>
      <c r="D4087" s="13"/>
    </row>
    <row r="4088" spans="1:4">
      <c r="A4088" s="13"/>
      <c r="B4088" s="13"/>
      <c r="C4088" s="13"/>
      <c r="D4088" s="13"/>
    </row>
    <row r="4089" spans="1:4">
      <c r="A4089" s="13"/>
      <c r="B4089" s="13"/>
      <c r="C4089" s="13"/>
      <c r="D4089" s="13"/>
    </row>
    <row r="4090" spans="1:4">
      <c r="A4090" s="13"/>
      <c r="B4090" s="13"/>
      <c r="C4090" s="13"/>
      <c r="D4090" s="13"/>
    </row>
    <row r="4091" spans="1:4">
      <c r="A4091" s="13"/>
      <c r="B4091" s="13"/>
      <c r="C4091" s="13"/>
      <c r="D4091" s="13"/>
    </row>
    <row r="4092" spans="1:4">
      <c r="A4092" s="13"/>
      <c r="B4092" s="13"/>
      <c r="C4092" s="13"/>
      <c r="D4092" s="13"/>
    </row>
    <row r="4093" spans="1:4">
      <c r="A4093" s="13"/>
      <c r="B4093" s="13"/>
      <c r="C4093" s="13"/>
      <c r="D4093" s="13"/>
    </row>
    <row r="4094" spans="1:4">
      <c r="A4094" s="13"/>
      <c r="B4094" s="13"/>
      <c r="C4094" s="13"/>
      <c r="D4094" s="13"/>
    </row>
    <row r="4095" spans="1:4">
      <c r="A4095" s="13"/>
      <c r="B4095" s="13"/>
      <c r="C4095" s="13"/>
      <c r="D4095" s="13"/>
    </row>
    <row r="4096" spans="1:4">
      <c r="A4096" s="13"/>
      <c r="B4096" s="13"/>
      <c r="C4096" s="13"/>
      <c r="D4096" s="13"/>
    </row>
    <row r="4097" spans="1:4">
      <c r="A4097" s="13"/>
      <c r="B4097" s="13"/>
      <c r="C4097" s="13"/>
      <c r="D4097" s="13"/>
    </row>
    <row r="4098" spans="1:4">
      <c r="A4098" s="13"/>
      <c r="B4098" s="13"/>
      <c r="C4098" s="13"/>
      <c r="D4098" s="13"/>
    </row>
    <row r="4099" spans="1:4">
      <c r="A4099" s="13"/>
      <c r="B4099" s="13"/>
      <c r="C4099" s="13"/>
      <c r="D4099" s="13"/>
    </row>
    <row r="4100" spans="1:4">
      <c r="A4100" s="13"/>
      <c r="B4100" s="13"/>
      <c r="C4100" s="13"/>
      <c r="D4100" s="13"/>
    </row>
    <row r="4101" spans="1:4">
      <c r="A4101" s="13"/>
      <c r="B4101" s="13"/>
      <c r="C4101" s="13"/>
      <c r="D4101" s="13"/>
    </row>
    <row r="4102" spans="1:4">
      <c r="A4102" s="13"/>
      <c r="B4102" s="13"/>
      <c r="C4102" s="13"/>
      <c r="D4102" s="13"/>
    </row>
    <row r="4103" spans="1:4">
      <c r="A4103" s="13"/>
      <c r="B4103" s="13"/>
      <c r="C4103" s="13"/>
      <c r="D4103" s="13"/>
    </row>
    <row r="4104" spans="1:4">
      <c r="A4104" s="13"/>
      <c r="B4104" s="13"/>
      <c r="C4104" s="13"/>
      <c r="D4104" s="13"/>
    </row>
    <row r="4105" spans="1:4">
      <c r="A4105" s="13"/>
      <c r="B4105" s="13"/>
      <c r="C4105" s="13"/>
      <c r="D4105" s="13"/>
    </row>
    <row r="4106" spans="1:4">
      <c r="A4106" s="13"/>
      <c r="B4106" s="13"/>
      <c r="C4106" s="13"/>
      <c r="D4106" s="13"/>
    </row>
    <row r="4107" spans="1:4">
      <c r="A4107" s="13"/>
      <c r="B4107" s="13"/>
      <c r="C4107" s="13"/>
      <c r="D4107" s="13"/>
    </row>
    <row r="4108" spans="1:4">
      <c r="A4108" s="13"/>
      <c r="B4108" s="13"/>
      <c r="C4108" s="13"/>
      <c r="D4108" s="13"/>
    </row>
    <row r="4109" spans="1:4">
      <c r="A4109" s="13"/>
      <c r="B4109" s="13"/>
      <c r="C4109" s="13"/>
      <c r="D4109" s="13"/>
    </row>
    <row r="4110" spans="1:4">
      <c r="A4110" s="13"/>
      <c r="B4110" s="13"/>
      <c r="C4110" s="13"/>
      <c r="D4110" s="13"/>
    </row>
    <row r="4111" spans="1:4">
      <c r="A4111" s="13"/>
      <c r="B4111" s="13"/>
      <c r="C4111" s="13"/>
      <c r="D4111" s="13"/>
    </row>
    <row r="4112" spans="1:4">
      <c r="A4112" s="13"/>
      <c r="B4112" s="13"/>
      <c r="C4112" s="13"/>
      <c r="D4112" s="13"/>
    </row>
    <row r="4113" spans="1:4">
      <c r="A4113" s="13"/>
      <c r="B4113" s="13"/>
      <c r="C4113" s="13"/>
      <c r="D4113" s="13"/>
    </row>
    <row r="4114" spans="1:4">
      <c r="A4114" s="13"/>
      <c r="B4114" s="13"/>
      <c r="C4114" s="13"/>
      <c r="D4114" s="13"/>
    </row>
    <row r="4115" spans="1:4">
      <c r="A4115" s="13"/>
      <c r="B4115" s="13"/>
      <c r="C4115" s="13"/>
      <c r="D4115" s="13"/>
    </row>
    <row r="4116" spans="1:4">
      <c r="A4116" s="13"/>
      <c r="B4116" s="13"/>
      <c r="C4116" s="13"/>
      <c r="D4116" s="13"/>
    </row>
    <row r="4117" spans="1:4">
      <c r="A4117" s="13"/>
      <c r="B4117" s="13"/>
      <c r="C4117" s="13"/>
      <c r="D4117" s="13"/>
    </row>
    <row r="4118" spans="1:4">
      <c r="A4118" s="13"/>
      <c r="B4118" s="13"/>
      <c r="C4118" s="13"/>
      <c r="D4118" s="13"/>
    </row>
    <row r="4119" spans="1:4">
      <c r="A4119" s="13"/>
      <c r="B4119" s="13"/>
      <c r="C4119" s="13"/>
      <c r="D4119" s="13"/>
    </row>
    <row r="4120" spans="1:4">
      <c r="A4120" s="13"/>
      <c r="B4120" s="13"/>
      <c r="C4120" s="13"/>
      <c r="D4120" s="13"/>
    </row>
    <row r="4121" spans="1:4">
      <c r="A4121" s="13"/>
      <c r="B4121" s="13"/>
      <c r="C4121" s="13"/>
      <c r="D4121" s="13"/>
    </row>
    <row r="4122" spans="1:4">
      <c r="A4122" s="13"/>
      <c r="B4122" s="13"/>
      <c r="C4122" s="13"/>
      <c r="D4122" s="13"/>
    </row>
    <row r="4123" spans="1:4">
      <c r="A4123" s="13"/>
      <c r="B4123" s="13"/>
      <c r="C4123" s="13"/>
      <c r="D4123" s="13"/>
    </row>
    <row r="4124" spans="1:4">
      <c r="A4124" s="13"/>
      <c r="B4124" s="13"/>
      <c r="C4124" s="13"/>
      <c r="D4124" s="13"/>
    </row>
    <row r="4125" spans="1:4">
      <c r="A4125" s="13"/>
      <c r="B4125" s="13"/>
      <c r="C4125" s="13"/>
      <c r="D4125" s="13"/>
    </row>
    <row r="4126" spans="1:4">
      <c r="A4126" s="13"/>
      <c r="B4126" s="13"/>
      <c r="C4126" s="13"/>
      <c r="D4126" s="13"/>
    </row>
    <row r="4127" spans="1:4">
      <c r="A4127" s="13"/>
      <c r="B4127" s="13"/>
      <c r="C4127" s="13"/>
      <c r="D4127" s="13"/>
    </row>
    <row r="4128" spans="1:4">
      <c r="A4128" s="13"/>
      <c r="B4128" s="13"/>
      <c r="C4128" s="13"/>
      <c r="D4128" s="13"/>
    </row>
    <row r="4129" spans="1:4">
      <c r="A4129" s="13"/>
      <c r="B4129" s="13"/>
      <c r="C4129" s="13"/>
      <c r="D4129" s="13"/>
    </row>
    <row r="4130" spans="1:4">
      <c r="A4130" s="13"/>
      <c r="B4130" s="13"/>
      <c r="C4130" s="13"/>
      <c r="D4130" s="13"/>
    </row>
    <row r="4131" spans="1:4">
      <c r="A4131" s="13"/>
      <c r="B4131" s="13"/>
      <c r="C4131" s="13"/>
      <c r="D4131" s="13"/>
    </row>
    <row r="4132" spans="1:4">
      <c r="A4132" s="13"/>
      <c r="B4132" s="13"/>
      <c r="C4132" s="13"/>
      <c r="D4132" s="13"/>
    </row>
    <row r="4133" spans="1:4">
      <c r="A4133" s="13"/>
      <c r="B4133" s="13"/>
      <c r="C4133" s="13"/>
      <c r="D4133" s="13"/>
    </row>
    <row r="4134" spans="1:4">
      <c r="A4134" s="13"/>
      <c r="B4134" s="13"/>
      <c r="C4134" s="13"/>
      <c r="D4134" s="13"/>
    </row>
    <row r="4135" spans="1:4">
      <c r="A4135" s="13"/>
      <c r="B4135" s="13"/>
      <c r="C4135" s="13"/>
      <c r="D4135" s="13"/>
    </row>
    <row r="4136" spans="1:4">
      <c r="A4136" s="13"/>
      <c r="B4136" s="13"/>
      <c r="C4136" s="13"/>
      <c r="D4136" s="13"/>
    </row>
    <row r="4137" spans="1:4">
      <c r="A4137" s="13"/>
      <c r="B4137" s="13"/>
      <c r="C4137" s="13"/>
      <c r="D4137" s="13"/>
    </row>
    <row r="4138" spans="1:4">
      <c r="A4138" s="13"/>
      <c r="B4138" s="13"/>
      <c r="C4138" s="13"/>
      <c r="D4138" s="13"/>
    </row>
    <row r="4139" spans="1:4">
      <c r="A4139" s="13"/>
      <c r="B4139" s="13"/>
      <c r="C4139" s="13"/>
      <c r="D4139" s="13"/>
    </row>
    <row r="4140" spans="1:4">
      <c r="A4140" s="13"/>
      <c r="B4140" s="13"/>
      <c r="C4140" s="13"/>
      <c r="D4140" s="13"/>
    </row>
    <row r="4141" spans="1:4">
      <c r="A4141" s="13"/>
      <c r="B4141" s="13"/>
      <c r="C4141" s="13"/>
      <c r="D4141" s="13"/>
    </row>
    <row r="4142" spans="1:4">
      <c r="A4142" s="13"/>
      <c r="B4142" s="13"/>
      <c r="C4142" s="13"/>
      <c r="D4142" s="13"/>
    </row>
    <row r="4143" spans="1:4">
      <c r="A4143" s="13"/>
      <c r="B4143" s="13"/>
      <c r="C4143" s="13"/>
      <c r="D4143" s="13"/>
    </row>
    <row r="4144" spans="1:4">
      <c r="A4144" s="13"/>
      <c r="B4144" s="13"/>
      <c r="C4144" s="13"/>
      <c r="D4144" s="13"/>
    </row>
    <row r="4145" spans="1:4">
      <c r="A4145" s="13"/>
      <c r="B4145" s="13"/>
      <c r="C4145" s="13"/>
      <c r="D4145" s="13"/>
    </row>
    <row r="4146" spans="1:4">
      <c r="A4146" s="13"/>
      <c r="B4146" s="13"/>
      <c r="C4146" s="13"/>
      <c r="D4146" s="13"/>
    </row>
    <row r="4147" spans="1:4">
      <c r="A4147" s="13"/>
      <c r="B4147" s="13"/>
      <c r="C4147" s="13"/>
      <c r="D4147" s="13"/>
    </row>
    <row r="4148" spans="1:4">
      <c r="A4148" s="13"/>
      <c r="B4148" s="13"/>
      <c r="C4148" s="13"/>
      <c r="D4148" s="13"/>
    </row>
    <row r="4149" spans="1:4">
      <c r="A4149" s="13"/>
      <c r="B4149" s="13"/>
      <c r="C4149" s="13"/>
      <c r="D4149" s="13"/>
    </row>
    <row r="4150" spans="1:4">
      <c r="A4150" s="13"/>
      <c r="B4150" s="13"/>
      <c r="C4150" s="13"/>
      <c r="D4150" s="13"/>
    </row>
    <row r="4151" spans="1:4">
      <c r="A4151" s="13"/>
      <c r="B4151" s="13"/>
      <c r="C4151" s="13"/>
      <c r="D4151" s="13"/>
    </row>
    <row r="4152" spans="1:4">
      <c r="A4152" s="13"/>
      <c r="B4152" s="13"/>
      <c r="C4152" s="13"/>
      <c r="D4152" s="13"/>
    </row>
    <row r="4153" spans="1:4">
      <c r="A4153" s="13"/>
      <c r="B4153" s="13"/>
      <c r="C4153" s="13"/>
      <c r="D4153" s="13"/>
    </row>
    <row r="4154" spans="1:4">
      <c r="A4154" s="13"/>
      <c r="B4154" s="13"/>
      <c r="C4154" s="13"/>
      <c r="D4154" s="13"/>
    </row>
    <row r="4155" spans="1:4">
      <c r="A4155" s="13"/>
      <c r="B4155" s="13"/>
      <c r="C4155" s="13"/>
      <c r="D4155" s="13"/>
    </row>
    <row r="4156" spans="1:4">
      <c r="A4156" s="13"/>
      <c r="B4156" s="13"/>
      <c r="C4156" s="13"/>
      <c r="D4156" s="13"/>
    </row>
    <row r="4157" spans="1:4">
      <c r="A4157" s="13"/>
      <c r="B4157" s="13"/>
      <c r="C4157" s="13"/>
      <c r="D4157" s="13"/>
    </row>
    <row r="4158" spans="1:4">
      <c r="A4158" s="13"/>
      <c r="B4158" s="13"/>
      <c r="C4158" s="13"/>
      <c r="D4158" s="13"/>
    </row>
    <row r="4159" spans="1:4">
      <c r="A4159" s="13"/>
      <c r="B4159" s="13"/>
      <c r="C4159" s="13"/>
      <c r="D4159" s="13"/>
    </row>
    <row r="4160" spans="1:4">
      <c r="A4160" s="13"/>
      <c r="B4160" s="13"/>
      <c r="C4160" s="13"/>
      <c r="D4160" s="13"/>
    </row>
    <row r="4161" spans="1:4">
      <c r="A4161" s="13"/>
      <c r="B4161" s="13"/>
      <c r="C4161" s="13"/>
      <c r="D4161" s="13"/>
    </row>
    <row r="4162" spans="1:4">
      <c r="A4162" s="13"/>
      <c r="B4162" s="13"/>
      <c r="C4162" s="13"/>
      <c r="D4162" s="13"/>
    </row>
    <row r="4163" spans="1:4">
      <c r="A4163" s="13"/>
      <c r="B4163" s="13"/>
      <c r="C4163" s="13"/>
      <c r="D4163" s="13"/>
    </row>
    <row r="4164" spans="1:4">
      <c r="A4164" s="13"/>
      <c r="B4164" s="13"/>
      <c r="C4164" s="13"/>
      <c r="D4164" s="13"/>
    </row>
    <row r="4165" spans="1:4">
      <c r="A4165" s="13"/>
      <c r="B4165" s="13"/>
      <c r="C4165" s="13"/>
      <c r="D4165" s="13"/>
    </row>
    <row r="4166" spans="1:4">
      <c r="A4166" s="13"/>
      <c r="B4166" s="13"/>
      <c r="C4166" s="13"/>
      <c r="D4166" s="13"/>
    </row>
    <row r="4167" spans="1:4">
      <c r="A4167" s="13"/>
      <c r="B4167" s="13"/>
      <c r="C4167" s="13"/>
      <c r="D4167" s="13"/>
    </row>
    <row r="4168" spans="1:4">
      <c r="A4168" s="13"/>
      <c r="B4168" s="13"/>
      <c r="C4168" s="13"/>
      <c r="D4168" s="13"/>
    </row>
    <row r="4169" spans="1:4">
      <c r="A4169" s="13"/>
      <c r="B4169" s="13"/>
      <c r="C4169" s="13"/>
      <c r="D4169" s="13"/>
    </row>
    <row r="4170" spans="1:4">
      <c r="A4170" s="13"/>
      <c r="B4170" s="13"/>
      <c r="C4170" s="13"/>
      <c r="D4170" s="13"/>
    </row>
    <row r="4171" spans="1:4">
      <c r="A4171" s="13"/>
      <c r="B4171" s="13"/>
      <c r="C4171" s="13"/>
      <c r="D4171" s="13"/>
    </row>
    <row r="4172" spans="1:4">
      <c r="A4172" s="13"/>
      <c r="B4172" s="13"/>
      <c r="C4172" s="13"/>
      <c r="D4172" s="13"/>
    </row>
    <row r="4173" spans="1:4">
      <c r="A4173" s="13"/>
      <c r="B4173" s="13"/>
      <c r="C4173" s="13"/>
      <c r="D4173" s="13"/>
    </row>
    <row r="4174" spans="1:4">
      <c r="A4174" s="13"/>
      <c r="B4174" s="13"/>
      <c r="C4174" s="13"/>
      <c r="D4174" s="13"/>
    </row>
    <row r="4175" spans="1:4">
      <c r="A4175" s="13"/>
      <c r="B4175" s="13"/>
      <c r="C4175" s="13"/>
      <c r="D4175" s="13"/>
    </row>
    <row r="4176" spans="1:4">
      <c r="A4176" s="13"/>
      <c r="B4176" s="13"/>
      <c r="C4176" s="13"/>
      <c r="D4176" s="13"/>
    </row>
    <row r="4177" spans="1:4">
      <c r="A4177" s="13"/>
      <c r="B4177" s="13"/>
      <c r="C4177" s="13"/>
      <c r="D4177" s="13"/>
    </row>
    <row r="4178" spans="1:4">
      <c r="A4178" s="13"/>
      <c r="B4178" s="13"/>
      <c r="C4178" s="13"/>
      <c r="D4178" s="13"/>
    </row>
    <row r="4179" spans="1:4">
      <c r="A4179" s="13"/>
      <c r="B4179" s="13"/>
      <c r="C4179" s="13"/>
      <c r="D4179" s="13"/>
    </row>
    <row r="4180" spans="1:4">
      <c r="A4180" s="13"/>
      <c r="B4180" s="13"/>
      <c r="C4180" s="13"/>
      <c r="D4180" s="13"/>
    </row>
    <row r="4181" spans="1:4">
      <c r="A4181" s="13"/>
      <c r="B4181" s="13"/>
      <c r="C4181" s="13"/>
      <c r="D4181" s="13"/>
    </row>
    <row r="4182" spans="1:4">
      <c r="A4182" s="13"/>
      <c r="B4182" s="13"/>
      <c r="C4182" s="13"/>
      <c r="D4182" s="13"/>
    </row>
    <row r="4183" spans="1:4">
      <c r="A4183" s="13"/>
      <c r="B4183" s="13"/>
      <c r="C4183" s="13"/>
      <c r="D4183" s="13"/>
    </row>
    <row r="4184" spans="1:4">
      <c r="A4184" s="13"/>
      <c r="B4184" s="13"/>
      <c r="C4184" s="13"/>
      <c r="D4184" s="13"/>
    </row>
    <row r="4185" spans="1:4">
      <c r="A4185" s="13"/>
      <c r="B4185" s="13"/>
      <c r="C4185" s="13"/>
      <c r="D4185" s="13"/>
    </row>
    <row r="4186" spans="1:4">
      <c r="A4186" s="13"/>
      <c r="B4186" s="13"/>
      <c r="C4186" s="13"/>
      <c r="D4186" s="13"/>
    </row>
    <row r="4187" spans="1:4">
      <c r="A4187" s="13"/>
      <c r="B4187" s="13"/>
      <c r="C4187" s="13"/>
      <c r="D4187" s="13"/>
    </row>
    <row r="4188" spans="1:4">
      <c r="A4188" s="13"/>
      <c r="B4188" s="13"/>
      <c r="C4188" s="13"/>
      <c r="D4188" s="13"/>
    </row>
    <row r="4189" spans="1:4">
      <c r="A4189" s="13"/>
      <c r="B4189" s="13"/>
      <c r="C4189" s="13"/>
      <c r="D4189" s="13"/>
    </row>
    <row r="4190" spans="1:4">
      <c r="A4190" s="13"/>
      <c r="B4190" s="13"/>
      <c r="C4190" s="13"/>
      <c r="D4190" s="13"/>
    </row>
    <row r="4191" spans="1:4">
      <c r="A4191" s="13"/>
      <c r="B4191" s="13"/>
      <c r="C4191" s="13"/>
      <c r="D4191" s="13"/>
    </row>
    <row r="4192" spans="1:4">
      <c r="A4192" s="13"/>
      <c r="B4192" s="13"/>
      <c r="C4192" s="13"/>
      <c r="D4192" s="13"/>
    </row>
    <row r="4193" spans="1:4">
      <c r="A4193" s="13"/>
      <c r="B4193" s="13"/>
      <c r="C4193" s="13"/>
      <c r="D4193" s="13"/>
    </row>
    <row r="4194" spans="1:4">
      <c r="A4194" s="13"/>
      <c r="B4194" s="13"/>
      <c r="C4194" s="13"/>
      <c r="D4194" s="13"/>
    </row>
    <row r="4195" spans="1:4">
      <c r="A4195" s="13"/>
      <c r="B4195" s="13"/>
      <c r="C4195" s="13"/>
      <c r="D4195" s="13"/>
    </row>
    <row r="4196" spans="1:4">
      <c r="A4196" s="13"/>
      <c r="B4196" s="13"/>
      <c r="C4196" s="13"/>
      <c r="D4196" s="13"/>
    </row>
    <row r="4197" spans="1:4">
      <c r="A4197" s="13"/>
      <c r="B4197" s="13"/>
      <c r="C4197" s="13"/>
      <c r="D4197" s="13"/>
    </row>
    <row r="4198" spans="1:4">
      <c r="A4198" s="13"/>
      <c r="B4198" s="13"/>
      <c r="C4198" s="13"/>
      <c r="D4198" s="13"/>
    </row>
    <row r="4199" spans="1:4">
      <c r="A4199" s="13"/>
      <c r="B4199" s="13"/>
      <c r="C4199" s="13"/>
      <c r="D4199" s="13"/>
    </row>
    <row r="4200" spans="1:4">
      <c r="A4200" s="13"/>
      <c r="B4200" s="13"/>
      <c r="C4200" s="13"/>
      <c r="D4200" s="13"/>
    </row>
    <row r="4201" spans="1:4">
      <c r="A4201" s="13"/>
      <c r="B4201" s="13"/>
      <c r="C4201" s="13"/>
      <c r="D4201" s="13"/>
    </row>
    <row r="4202" spans="1:4">
      <c r="A4202" s="13"/>
      <c r="B4202" s="13"/>
      <c r="C4202" s="13"/>
      <c r="D4202" s="13"/>
    </row>
    <row r="4203" spans="1:4">
      <c r="A4203" s="13"/>
      <c r="B4203" s="13"/>
      <c r="C4203" s="13"/>
      <c r="D4203" s="13"/>
    </row>
    <row r="4204" spans="1:4">
      <c r="A4204" s="13"/>
      <c r="B4204" s="13"/>
      <c r="C4204" s="13"/>
      <c r="D4204" s="13"/>
    </row>
    <row r="4205" spans="1:4">
      <c r="A4205" s="13"/>
      <c r="B4205" s="13"/>
      <c r="C4205" s="13"/>
      <c r="D4205" s="13"/>
    </row>
    <row r="4206" spans="1:4">
      <c r="A4206" s="13"/>
      <c r="B4206" s="13"/>
      <c r="C4206" s="13"/>
      <c r="D4206" s="13"/>
    </row>
    <row r="4207" spans="1:4">
      <c r="A4207" s="13"/>
      <c r="B4207" s="13"/>
      <c r="C4207" s="13"/>
      <c r="D4207" s="13"/>
    </row>
    <row r="4208" spans="1:4">
      <c r="A4208" s="13"/>
      <c r="B4208" s="13"/>
      <c r="C4208" s="13"/>
      <c r="D4208" s="13"/>
    </row>
    <row r="4209" spans="1:4">
      <c r="A4209" s="13"/>
      <c r="B4209" s="13"/>
      <c r="C4209" s="13"/>
      <c r="D4209" s="13"/>
    </row>
    <row r="4210" spans="1:4">
      <c r="A4210" s="13"/>
      <c r="B4210" s="13"/>
      <c r="C4210" s="13"/>
      <c r="D4210" s="13"/>
    </row>
    <row r="4211" spans="1:4">
      <c r="A4211" s="13"/>
      <c r="B4211" s="13"/>
      <c r="C4211" s="13"/>
      <c r="D4211" s="13"/>
    </row>
    <row r="4212" spans="1:4">
      <c r="A4212" s="13"/>
      <c r="B4212" s="13"/>
      <c r="C4212" s="13"/>
      <c r="D4212" s="13"/>
    </row>
    <row r="4213" spans="1:4">
      <c r="A4213" s="13"/>
      <c r="B4213" s="13"/>
      <c r="C4213" s="13"/>
      <c r="D4213" s="13"/>
    </row>
    <row r="4214" spans="1:4">
      <c r="A4214" s="13"/>
      <c r="B4214" s="13"/>
      <c r="C4214" s="13"/>
      <c r="D4214" s="13"/>
    </row>
    <row r="4215" spans="1:4">
      <c r="A4215" s="13"/>
      <c r="B4215" s="13"/>
      <c r="C4215" s="13"/>
      <c r="D4215" s="13"/>
    </row>
    <row r="4216" spans="1:4">
      <c r="A4216" s="13"/>
      <c r="B4216" s="13"/>
      <c r="C4216" s="13"/>
      <c r="D4216" s="13"/>
    </row>
    <row r="4217" spans="1:4">
      <c r="A4217" s="13"/>
      <c r="B4217" s="13"/>
      <c r="C4217" s="13"/>
      <c r="D4217" s="13"/>
    </row>
    <row r="4218" spans="1:4">
      <c r="A4218" s="13"/>
      <c r="B4218" s="13"/>
      <c r="C4218" s="13"/>
      <c r="D4218" s="13"/>
    </row>
    <row r="4219" spans="1:4">
      <c r="A4219" s="13"/>
      <c r="B4219" s="13"/>
      <c r="C4219" s="13"/>
      <c r="D4219" s="13"/>
    </row>
    <row r="4220" spans="1:4">
      <c r="A4220" s="13"/>
      <c r="B4220" s="13"/>
      <c r="C4220" s="13"/>
      <c r="D4220" s="13"/>
    </row>
    <row r="4221" spans="1:4">
      <c r="A4221" s="13"/>
      <c r="B4221" s="13"/>
      <c r="C4221" s="13"/>
      <c r="D4221" s="13"/>
    </row>
    <row r="4222" spans="1:4">
      <c r="A4222" s="13"/>
      <c r="B4222" s="13"/>
      <c r="C4222" s="13"/>
      <c r="D4222" s="13"/>
    </row>
    <row r="4223" spans="1:4">
      <c r="A4223" s="13"/>
      <c r="B4223" s="13"/>
      <c r="C4223" s="13"/>
      <c r="D4223" s="13"/>
    </row>
    <row r="4224" spans="1:4">
      <c r="A4224" s="13"/>
      <c r="B4224" s="13"/>
      <c r="C4224" s="13"/>
      <c r="D4224" s="13"/>
    </row>
    <row r="4225" spans="1:4">
      <c r="A4225" s="13"/>
      <c r="B4225" s="13"/>
      <c r="C4225" s="13"/>
      <c r="D4225" s="13"/>
    </row>
    <row r="4226" spans="1:4">
      <c r="A4226" s="13"/>
      <c r="B4226" s="13"/>
      <c r="C4226" s="13"/>
      <c r="D4226" s="13"/>
    </row>
    <row r="4227" spans="1:4">
      <c r="A4227" s="13"/>
      <c r="B4227" s="13"/>
      <c r="C4227" s="13"/>
      <c r="D4227" s="13"/>
    </row>
    <row r="4228" spans="1:4">
      <c r="A4228" s="13"/>
      <c r="B4228" s="13"/>
      <c r="C4228" s="13"/>
      <c r="D4228" s="13"/>
    </row>
    <row r="4229" spans="1:4">
      <c r="A4229" s="13"/>
      <c r="B4229" s="13"/>
      <c r="C4229" s="13"/>
      <c r="D4229" s="13"/>
    </row>
    <row r="4230" spans="1:4">
      <c r="A4230" s="13"/>
      <c r="B4230" s="13"/>
      <c r="C4230" s="13"/>
      <c r="D4230" s="13"/>
    </row>
    <row r="4231" spans="1:4">
      <c r="A4231" s="13"/>
      <c r="B4231" s="13"/>
      <c r="C4231" s="13"/>
      <c r="D4231" s="13"/>
    </row>
    <row r="4232" spans="1:4">
      <c r="A4232" s="13"/>
      <c r="B4232" s="13"/>
      <c r="C4232" s="13"/>
      <c r="D4232" s="13"/>
    </row>
    <row r="4233" spans="1:4">
      <c r="A4233" s="13"/>
      <c r="B4233" s="13"/>
      <c r="C4233" s="13"/>
      <c r="D4233" s="13"/>
    </row>
    <row r="4234" spans="1:4">
      <c r="A4234" s="13"/>
      <c r="B4234" s="13"/>
      <c r="C4234" s="13"/>
      <c r="D4234" s="13"/>
    </row>
    <row r="4235" spans="1:4">
      <c r="A4235" s="13"/>
      <c r="B4235" s="13"/>
      <c r="C4235" s="13"/>
      <c r="D4235" s="13"/>
    </row>
    <row r="4236" spans="1:4">
      <c r="A4236" s="13"/>
      <c r="B4236" s="13"/>
      <c r="C4236" s="13"/>
      <c r="D4236" s="13"/>
    </row>
    <row r="4237" spans="1:4">
      <c r="A4237" s="13"/>
      <c r="B4237" s="13"/>
      <c r="C4237" s="13"/>
      <c r="D4237" s="13"/>
    </row>
    <row r="4238" spans="1:4">
      <c r="A4238" s="13"/>
      <c r="B4238" s="13"/>
      <c r="C4238" s="13"/>
      <c r="D4238" s="13"/>
    </row>
    <row r="4239" spans="1:4">
      <c r="A4239" s="13"/>
      <c r="B4239" s="13"/>
      <c r="C4239" s="13"/>
      <c r="D4239" s="13"/>
    </row>
    <row r="4240" spans="1:4">
      <c r="A4240" s="13"/>
      <c r="B4240" s="13"/>
      <c r="C4240" s="13"/>
      <c r="D4240" s="13"/>
    </row>
    <row r="4241" spans="1:4">
      <c r="A4241" s="13"/>
      <c r="B4241" s="13"/>
      <c r="C4241" s="13"/>
      <c r="D4241" s="13"/>
    </row>
    <row r="4242" spans="1:4">
      <c r="A4242" s="13"/>
      <c r="B4242" s="13"/>
      <c r="C4242" s="13"/>
      <c r="D4242" s="13"/>
    </row>
    <row r="4243" spans="1:4">
      <c r="A4243" s="13"/>
      <c r="B4243" s="13"/>
      <c r="C4243" s="13"/>
      <c r="D4243" s="13"/>
    </row>
    <row r="4244" spans="1:4">
      <c r="A4244" s="13"/>
      <c r="B4244" s="13"/>
      <c r="C4244" s="13"/>
      <c r="D4244" s="13"/>
    </row>
    <row r="4245" spans="1:4">
      <c r="A4245" s="13"/>
      <c r="B4245" s="13"/>
      <c r="C4245" s="13"/>
      <c r="D4245" s="13"/>
    </row>
    <row r="4246" spans="1:4">
      <c r="A4246" s="13"/>
      <c r="B4246" s="13"/>
      <c r="C4246" s="13"/>
      <c r="D4246" s="13"/>
    </row>
    <row r="4247" spans="1:4">
      <c r="A4247" s="13"/>
      <c r="B4247" s="13"/>
      <c r="C4247" s="13"/>
      <c r="D4247" s="13"/>
    </row>
    <row r="4248" spans="1:4">
      <c r="A4248" s="13"/>
      <c r="B4248" s="13"/>
      <c r="C4248" s="13"/>
      <c r="D4248" s="13"/>
    </row>
    <row r="4249" spans="1:4">
      <c r="A4249" s="13"/>
      <c r="B4249" s="13"/>
      <c r="C4249" s="13"/>
      <c r="D4249" s="13"/>
    </row>
    <row r="4250" spans="1:4">
      <c r="A4250" s="13"/>
      <c r="B4250" s="13"/>
      <c r="C4250" s="13"/>
      <c r="D4250" s="13"/>
    </row>
    <row r="4251" spans="1:4">
      <c r="A4251" s="13"/>
      <c r="B4251" s="13"/>
      <c r="C4251" s="13"/>
      <c r="D4251" s="13"/>
    </row>
    <row r="4252" spans="1:4">
      <c r="A4252" s="13"/>
      <c r="B4252" s="13"/>
      <c r="C4252" s="13"/>
      <c r="D4252" s="13"/>
    </row>
    <row r="4253" spans="1:4">
      <c r="A4253" s="13"/>
      <c r="B4253" s="13"/>
      <c r="C4253" s="13"/>
      <c r="D4253" s="13"/>
    </row>
    <row r="4254" spans="1:4">
      <c r="A4254" s="13"/>
      <c r="B4254" s="13"/>
      <c r="C4254" s="13"/>
      <c r="D4254" s="13"/>
    </row>
    <row r="4255" spans="1:4">
      <c r="A4255" s="13"/>
      <c r="B4255" s="13"/>
      <c r="C4255" s="13"/>
      <c r="D4255" s="13"/>
    </row>
    <row r="4256" spans="1:4">
      <c r="A4256" s="13"/>
      <c r="B4256" s="13"/>
      <c r="C4256" s="13"/>
      <c r="D4256" s="13"/>
    </row>
    <row r="4257" spans="1:4">
      <c r="A4257" s="13"/>
      <c r="B4257" s="13"/>
      <c r="C4257" s="13"/>
      <c r="D4257" s="13"/>
    </row>
    <row r="4258" spans="1:4">
      <c r="A4258" s="13"/>
      <c r="B4258" s="13"/>
      <c r="C4258" s="13"/>
      <c r="D4258" s="13"/>
    </row>
    <row r="4259" spans="1:4">
      <c r="A4259" s="13"/>
      <c r="B4259" s="13"/>
      <c r="C4259" s="13"/>
      <c r="D4259" s="13"/>
    </row>
    <row r="4260" spans="1:4">
      <c r="A4260" s="13"/>
      <c r="B4260" s="13"/>
      <c r="C4260" s="13"/>
      <c r="D4260" s="13"/>
    </row>
    <row r="4261" spans="1:4">
      <c r="A4261" s="13"/>
      <c r="B4261" s="13"/>
      <c r="C4261" s="13"/>
      <c r="D4261" s="13"/>
    </row>
    <row r="4262" spans="1:4">
      <c r="A4262" s="13"/>
      <c r="B4262" s="13"/>
      <c r="C4262" s="13"/>
      <c r="D4262" s="13"/>
    </row>
    <row r="4263" spans="1:4">
      <c r="A4263" s="13"/>
      <c r="B4263" s="13"/>
      <c r="C4263" s="13"/>
      <c r="D4263" s="13"/>
    </row>
    <row r="4264" spans="1:4">
      <c r="A4264" s="13"/>
      <c r="B4264" s="13"/>
      <c r="C4264" s="13"/>
      <c r="D4264" s="13"/>
    </row>
    <row r="4265" spans="1:4">
      <c r="A4265" s="13"/>
      <c r="B4265" s="13"/>
      <c r="C4265" s="13"/>
      <c r="D4265" s="13"/>
    </row>
    <row r="4266" spans="1:4">
      <c r="A4266" s="13"/>
      <c r="B4266" s="13"/>
      <c r="C4266" s="13"/>
      <c r="D4266" s="13"/>
    </row>
    <row r="4267" spans="1:4">
      <c r="A4267" s="13"/>
      <c r="B4267" s="13"/>
      <c r="C4267" s="13"/>
      <c r="D4267" s="13"/>
    </row>
    <row r="4268" spans="1:4">
      <c r="A4268" s="13"/>
      <c r="B4268" s="13"/>
      <c r="C4268" s="13"/>
      <c r="D4268" s="13"/>
    </row>
    <row r="4269" spans="1:4">
      <c r="A4269" s="13"/>
      <c r="B4269" s="13"/>
      <c r="C4269" s="13"/>
      <c r="D4269" s="13"/>
    </row>
    <row r="4270" spans="1:4">
      <c r="A4270" s="13"/>
      <c r="B4270" s="13"/>
      <c r="C4270" s="13"/>
      <c r="D4270" s="13"/>
    </row>
    <row r="4271" spans="1:4">
      <c r="A4271" s="13"/>
      <c r="B4271" s="13"/>
      <c r="C4271" s="13"/>
      <c r="D4271" s="13"/>
    </row>
    <row r="4272" spans="1:4">
      <c r="A4272" s="13"/>
      <c r="B4272" s="13"/>
      <c r="C4272" s="13"/>
      <c r="D4272" s="13"/>
    </row>
    <row r="4273" spans="1:4">
      <c r="A4273" s="13"/>
      <c r="B4273" s="13"/>
      <c r="C4273" s="13"/>
      <c r="D4273" s="13"/>
    </row>
    <row r="4274" spans="1:4">
      <c r="A4274" s="13"/>
      <c r="B4274" s="13"/>
      <c r="C4274" s="13"/>
      <c r="D4274" s="13"/>
    </row>
    <row r="4275" spans="1:4">
      <c r="A4275" s="13"/>
      <c r="B4275" s="13"/>
      <c r="C4275" s="13"/>
      <c r="D4275" s="13"/>
    </row>
    <row r="4276" spans="1:4">
      <c r="A4276" s="13"/>
      <c r="B4276" s="13"/>
      <c r="C4276" s="13"/>
      <c r="D4276" s="13"/>
    </row>
    <row r="4277" spans="1:4">
      <c r="A4277" s="13"/>
      <c r="B4277" s="13"/>
      <c r="C4277" s="13"/>
      <c r="D4277" s="13"/>
    </row>
    <row r="4278" spans="1:4">
      <c r="A4278" s="13"/>
      <c r="B4278" s="13"/>
      <c r="C4278" s="13"/>
      <c r="D4278" s="13"/>
    </row>
    <row r="4279" spans="1:4">
      <c r="A4279" s="13"/>
      <c r="B4279" s="13"/>
      <c r="C4279" s="13"/>
      <c r="D4279" s="13"/>
    </row>
    <row r="4280" spans="1:4">
      <c r="A4280" s="13"/>
      <c r="B4280" s="13"/>
      <c r="C4280" s="13"/>
      <c r="D4280" s="13"/>
    </row>
    <row r="4281" spans="1:4">
      <c r="A4281" s="13"/>
      <c r="B4281" s="13"/>
      <c r="C4281" s="13"/>
      <c r="D4281" s="13"/>
    </row>
    <row r="4282" spans="1:4">
      <c r="A4282" s="13"/>
      <c r="B4282" s="13"/>
      <c r="C4282" s="13"/>
      <c r="D4282" s="13"/>
    </row>
    <row r="4283" spans="1:4">
      <c r="A4283" s="13"/>
      <c r="B4283" s="13"/>
      <c r="C4283" s="13"/>
      <c r="D4283" s="13"/>
    </row>
    <row r="4284" spans="1:4">
      <c r="A4284" s="13"/>
      <c r="B4284" s="13"/>
      <c r="C4284" s="13"/>
      <c r="D4284" s="13"/>
    </row>
    <row r="4285" spans="1:4">
      <c r="A4285" s="13"/>
      <c r="B4285" s="13"/>
      <c r="C4285" s="13"/>
      <c r="D4285" s="13"/>
    </row>
    <row r="4286" spans="1:4">
      <c r="A4286" s="13"/>
      <c r="B4286" s="13"/>
      <c r="C4286" s="13"/>
      <c r="D4286" s="13"/>
    </row>
    <row r="4287" spans="1:4">
      <c r="A4287" s="13"/>
      <c r="B4287" s="13"/>
      <c r="C4287" s="13"/>
      <c r="D4287" s="13"/>
    </row>
    <row r="4288" spans="1:4">
      <c r="A4288" s="13"/>
      <c r="B4288" s="13"/>
      <c r="C4288" s="13"/>
      <c r="D4288" s="13"/>
    </row>
    <row r="4289" spans="1:4">
      <c r="A4289" s="13"/>
      <c r="B4289" s="13"/>
      <c r="C4289" s="13"/>
      <c r="D4289" s="13"/>
    </row>
    <row r="4290" spans="1:4">
      <c r="A4290" s="13"/>
      <c r="B4290" s="13"/>
      <c r="C4290" s="13"/>
      <c r="D4290" s="13"/>
    </row>
    <row r="4291" spans="1:4">
      <c r="A4291" s="13"/>
      <c r="B4291" s="13"/>
      <c r="C4291" s="13"/>
      <c r="D4291" s="13"/>
    </row>
    <row r="4292" spans="1:4">
      <c r="A4292" s="13"/>
      <c r="B4292" s="13"/>
      <c r="C4292" s="13"/>
      <c r="D4292" s="13"/>
    </row>
    <row r="4293" spans="1:4">
      <c r="A4293" s="13"/>
      <c r="B4293" s="13"/>
      <c r="C4293" s="13"/>
      <c r="D4293" s="13"/>
    </row>
    <row r="4294" spans="1:4">
      <c r="A4294" s="13"/>
      <c r="B4294" s="13"/>
      <c r="C4294" s="13"/>
      <c r="D4294" s="13"/>
    </row>
    <row r="4295" spans="1:4">
      <c r="A4295" s="13"/>
      <c r="B4295" s="13"/>
      <c r="C4295" s="13"/>
      <c r="D4295" s="13"/>
    </row>
    <row r="4296" spans="1:4">
      <c r="A4296" s="13"/>
      <c r="B4296" s="13"/>
      <c r="C4296" s="13"/>
      <c r="D4296" s="13"/>
    </row>
    <row r="4297" spans="1:4">
      <c r="A4297" s="13"/>
      <c r="B4297" s="13"/>
      <c r="C4297" s="13"/>
      <c r="D4297" s="13"/>
    </row>
    <row r="4298" spans="1:4">
      <c r="A4298" s="13"/>
      <c r="B4298" s="13"/>
      <c r="C4298" s="13"/>
      <c r="D4298" s="13"/>
    </row>
    <row r="4299" spans="1:4">
      <c r="A4299" s="13"/>
      <c r="B4299" s="13"/>
      <c r="C4299" s="13"/>
      <c r="D4299" s="13"/>
    </row>
    <row r="4300" spans="1:4">
      <c r="A4300" s="13"/>
      <c r="B4300" s="13"/>
      <c r="C4300" s="13"/>
      <c r="D4300" s="13"/>
    </row>
    <row r="4301" spans="1:4">
      <c r="A4301" s="13"/>
      <c r="B4301" s="13"/>
      <c r="C4301" s="13"/>
      <c r="D4301" s="13"/>
    </row>
    <row r="4302" spans="1:4">
      <c r="A4302" s="13"/>
      <c r="B4302" s="13"/>
      <c r="C4302" s="13"/>
      <c r="D4302" s="13"/>
    </row>
    <row r="4303" spans="1:4">
      <c r="A4303" s="13"/>
      <c r="B4303" s="13"/>
      <c r="C4303" s="13"/>
      <c r="D4303" s="13"/>
    </row>
    <row r="4304" spans="1:4">
      <c r="A4304" s="13"/>
      <c r="B4304" s="13"/>
      <c r="C4304" s="13"/>
      <c r="D4304" s="13"/>
    </row>
    <row r="4305" spans="1:4">
      <c r="A4305" s="13"/>
      <c r="B4305" s="13"/>
      <c r="C4305" s="13"/>
      <c r="D4305" s="13"/>
    </row>
    <row r="4306" spans="1:4">
      <c r="A4306" s="13"/>
      <c r="B4306" s="13"/>
      <c r="C4306" s="13"/>
      <c r="D4306" s="13"/>
    </row>
    <row r="4307" spans="1:4">
      <c r="A4307" s="13"/>
      <c r="B4307" s="13"/>
      <c r="C4307" s="13"/>
      <c r="D4307" s="13"/>
    </row>
    <row r="4308" spans="1:4">
      <c r="A4308" s="13"/>
      <c r="B4308" s="13"/>
      <c r="C4308" s="13"/>
      <c r="D4308" s="13"/>
    </row>
    <row r="4309" spans="1:4">
      <c r="A4309" s="13"/>
      <c r="B4309" s="13"/>
      <c r="C4309" s="13"/>
      <c r="D4309" s="13"/>
    </row>
    <row r="4310" spans="1:4">
      <c r="A4310" s="13"/>
      <c r="B4310" s="13"/>
      <c r="C4310" s="13"/>
      <c r="D4310" s="13"/>
    </row>
    <row r="4311" spans="1:4">
      <c r="A4311" s="13"/>
      <c r="B4311" s="13"/>
      <c r="C4311" s="13"/>
      <c r="D4311" s="13"/>
    </row>
    <row r="4312" spans="1:4">
      <c r="A4312" s="13"/>
      <c r="B4312" s="13"/>
      <c r="C4312" s="13"/>
      <c r="D4312" s="13"/>
    </row>
    <row r="4313" spans="1:4">
      <c r="A4313" s="13"/>
      <c r="B4313" s="13"/>
      <c r="C4313" s="13"/>
      <c r="D4313" s="13"/>
    </row>
    <row r="4314" spans="1:4">
      <c r="A4314" s="13"/>
      <c r="B4314" s="13"/>
      <c r="C4314" s="13"/>
      <c r="D4314" s="13"/>
    </row>
    <row r="4315" spans="1:4">
      <c r="A4315" s="13"/>
      <c r="B4315" s="13"/>
      <c r="C4315" s="13"/>
      <c r="D4315" s="13"/>
    </row>
    <row r="4316" spans="1:4">
      <c r="A4316" s="13"/>
      <c r="B4316" s="13"/>
      <c r="C4316" s="13"/>
      <c r="D4316" s="13"/>
    </row>
    <row r="4317" spans="1:4">
      <c r="A4317" s="13"/>
      <c r="B4317" s="13"/>
      <c r="C4317" s="13"/>
      <c r="D4317" s="13"/>
    </row>
    <row r="4318" spans="1:4">
      <c r="A4318" s="13"/>
      <c r="B4318" s="13"/>
      <c r="C4318" s="13"/>
      <c r="D4318" s="13"/>
    </row>
    <row r="4319" spans="1:4">
      <c r="A4319" s="13"/>
      <c r="B4319" s="13"/>
      <c r="C4319" s="13"/>
      <c r="D4319" s="13"/>
    </row>
    <row r="4320" spans="1:4">
      <c r="A4320" s="13"/>
      <c r="B4320" s="13"/>
      <c r="C4320" s="13"/>
      <c r="D4320" s="13"/>
    </row>
    <row r="4321" spans="1:4">
      <c r="A4321" s="13"/>
      <c r="B4321" s="13"/>
      <c r="C4321" s="13"/>
      <c r="D4321" s="13"/>
    </row>
    <row r="4322" spans="1:4">
      <c r="A4322" s="13"/>
      <c r="B4322" s="13"/>
      <c r="C4322" s="13"/>
      <c r="D4322" s="13"/>
    </row>
    <row r="4323" spans="1:4">
      <c r="A4323" s="13"/>
      <c r="B4323" s="13"/>
      <c r="C4323" s="13"/>
      <c r="D4323" s="13"/>
    </row>
    <row r="4324" spans="1:4">
      <c r="A4324" s="13"/>
      <c r="B4324" s="13"/>
      <c r="C4324" s="13"/>
      <c r="D4324" s="13"/>
    </row>
    <row r="4325" spans="1:4">
      <c r="A4325" s="13"/>
      <c r="B4325" s="13"/>
      <c r="C4325" s="13"/>
      <c r="D4325" s="13"/>
    </row>
    <row r="4326" spans="1:4">
      <c r="A4326" s="13"/>
      <c r="B4326" s="13"/>
      <c r="C4326" s="13"/>
      <c r="D4326" s="13"/>
    </row>
    <row r="4327" spans="1:4">
      <c r="A4327" s="13"/>
      <c r="B4327" s="13"/>
      <c r="C4327" s="13"/>
      <c r="D4327" s="13"/>
    </row>
    <row r="4328" spans="1:4">
      <c r="A4328" s="13"/>
      <c r="B4328" s="13"/>
      <c r="C4328" s="13"/>
      <c r="D4328" s="13"/>
    </row>
    <row r="4329" spans="1:4">
      <c r="A4329" s="13"/>
      <c r="B4329" s="13"/>
      <c r="C4329" s="13"/>
      <c r="D4329" s="13"/>
    </row>
    <row r="4330" spans="1:4">
      <c r="A4330" s="13"/>
      <c r="B4330" s="13"/>
      <c r="C4330" s="13"/>
      <c r="D4330" s="13"/>
    </row>
    <row r="4331" spans="1:4">
      <c r="A4331" s="13"/>
      <c r="B4331" s="13"/>
      <c r="C4331" s="13"/>
      <c r="D4331" s="13"/>
    </row>
    <row r="4332" spans="1:4">
      <c r="A4332" s="13"/>
      <c r="B4332" s="13"/>
      <c r="C4332" s="13"/>
      <c r="D4332" s="13"/>
    </row>
    <row r="4333" spans="1:4">
      <c r="A4333" s="13"/>
      <c r="B4333" s="13"/>
      <c r="C4333" s="13"/>
      <c r="D4333" s="13"/>
    </row>
    <row r="4334" spans="1:4">
      <c r="A4334" s="13"/>
      <c r="B4334" s="13"/>
      <c r="C4334" s="13"/>
      <c r="D4334" s="13"/>
    </row>
    <row r="4335" spans="1:4">
      <c r="A4335" s="13"/>
      <c r="B4335" s="13"/>
      <c r="C4335" s="13"/>
      <c r="D4335" s="13"/>
    </row>
    <row r="4336" spans="1:4">
      <c r="A4336" s="13"/>
      <c r="B4336" s="13"/>
      <c r="C4336" s="13"/>
      <c r="D4336" s="13"/>
    </row>
    <row r="4337" spans="1:4">
      <c r="A4337" s="13"/>
      <c r="B4337" s="13"/>
      <c r="C4337" s="13"/>
      <c r="D4337" s="13"/>
    </row>
    <row r="4338" spans="1:4">
      <c r="A4338" s="13"/>
      <c r="B4338" s="13"/>
      <c r="C4338" s="13"/>
      <c r="D4338" s="13"/>
    </row>
    <row r="4339" spans="1:4">
      <c r="A4339" s="13"/>
      <c r="B4339" s="13"/>
      <c r="C4339" s="13"/>
      <c r="D4339" s="13"/>
    </row>
    <row r="4340" spans="1:4">
      <c r="A4340" s="13"/>
      <c r="B4340" s="13"/>
      <c r="C4340" s="13"/>
      <c r="D4340" s="13"/>
    </row>
    <row r="4341" spans="1:4">
      <c r="A4341" s="13"/>
      <c r="B4341" s="13"/>
      <c r="C4341" s="13"/>
      <c r="D4341" s="13"/>
    </row>
    <row r="4342" spans="1:4">
      <c r="A4342" s="13"/>
      <c r="B4342" s="13"/>
      <c r="C4342" s="13"/>
      <c r="D4342" s="13"/>
    </row>
    <row r="4343" spans="1:4">
      <c r="A4343" s="13"/>
      <c r="B4343" s="13"/>
      <c r="C4343" s="13"/>
      <c r="D4343" s="13"/>
    </row>
    <row r="4344" spans="1:4">
      <c r="A4344" s="13"/>
      <c r="B4344" s="13"/>
      <c r="C4344" s="13"/>
      <c r="D4344" s="13"/>
    </row>
    <row r="4345" spans="1:4">
      <c r="A4345" s="13"/>
      <c r="B4345" s="13"/>
      <c r="C4345" s="13"/>
      <c r="D4345" s="13"/>
    </row>
    <row r="4346" spans="1:4">
      <c r="A4346" s="13"/>
      <c r="B4346" s="13"/>
      <c r="C4346" s="13"/>
      <c r="D4346" s="13"/>
    </row>
    <row r="4347" spans="1:4">
      <c r="A4347" s="13"/>
      <c r="B4347" s="13"/>
      <c r="C4347" s="13"/>
      <c r="D4347" s="13"/>
    </row>
    <row r="4348" spans="1:4">
      <c r="A4348" s="13"/>
      <c r="B4348" s="13"/>
      <c r="C4348" s="13"/>
      <c r="D4348" s="13"/>
    </row>
    <row r="4349" spans="1:4">
      <c r="A4349" s="13"/>
      <c r="B4349" s="13"/>
      <c r="C4349" s="13"/>
      <c r="D4349" s="13"/>
    </row>
    <row r="4350" spans="1:4">
      <c r="A4350" s="13"/>
      <c r="B4350" s="13"/>
      <c r="C4350" s="13"/>
      <c r="D4350" s="13"/>
    </row>
    <row r="4351" spans="1:4">
      <c r="A4351" s="13"/>
      <c r="B4351" s="13"/>
      <c r="C4351" s="13"/>
      <c r="D4351" s="13"/>
    </row>
    <row r="4352" spans="1:4">
      <c r="A4352" s="13"/>
      <c r="B4352" s="13"/>
      <c r="C4352" s="13"/>
      <c r="D4352" s="13"/>
    </row>
    <row r="4353" spans="1:4">
      <c r="A4353" s="13"/>
      <c r="B4353" s="13"/>
      <c r="C4353" s="13"/>
      <c r="D4353" s="13"/>
    </row>
    <row r="4354" spans="1:4">
      <c r="A4354" s="13"/>
      <c r="B4354" s="13"/>
      <c r="C4354" s="13"/>
      <c r="D4354" s="13"/>
    </row>
    <row r="4355" spans="1:4">
      <c r="A4355" s="13"/>
      <c r="B4355" s="13"/>
      <c r="C4355" s="13"/>
      <c r="D4355" s="13"/>
    </row>
    <row r="4356" spans="1:4">
      <c r="A4356" s="13"/>
      <c r="B4356" s="13"/>
      <c r="C4356" s="13"/>
      <c r="D4356" s="13"/>
    </row>
    <row r="4357" spans="1:4">
      <c r="A4357" s="13"/>
      <c r="B4357" s="13"/>
      <c r="C4357" s="13"/>
      <c r="D4357" s="13"/>
    </row>
    <row r="4358" spans="1:4">
      <c r="A4358" s="13"/>
      <c r="B4358" s="13"/>
      <c r="C4358" s="13"/>
      <c r="D4358" s="13"/>
    </row>
    <row r="4359" spans="1:4">
      <c r="A4359" s="13"/>
      <c r="B4359" s="13"/>
      <c r="C4359" s="13"/>
      <c r="D4359" s="13"/>
    </row>
    <row r="4360" spans="1:4">
      <c r="A4360" s="13"/>
      <c r="B4360" s="13"/>
      <c r="C4360" s="13"/>
      <c r="D4360" s="13"/>
    </row>
    <row r="4361" spans="1:4">
      <c r="A4361" s="13"/>
      <c r="B4361" s="13"/>
      <c r="C4361" s="13"/>
      <c r="D4361" s="13"/>
    </row>
    <row r="4362" spans="1:4">
      <c r="A4362" s="13"/>
      <c r="B4362" s="13"/>
      <c r="C4362" s="13"/>
      <c r="D4362" s="13"/>
    </row>
    <row r="4363" spans="1:4">
      <c r="A4363" s="13"/>
      <c r="B4363" s="13"/>
      <c r="C4363" s="13"/>
      <c r="D4363" s="13"/>
    </row>
    <row r="4364" spans="1:4">
      <c r="A4364" s="13"/>
      <c r="B4364" s="13"/>
      <c r="C4364" s="13"/>
      <c r="D4364" s="13"/>
    </row>
    <row r="4365" spans="1:4">
      <c r="A4365" s="13"/>
      <c r="B4365" s="13"/>
      <c r="C4365" s="13"/>
      <c r="D4365" s="13"/>
    </row>
    <row r="4366" spans="1:4">
      <c r="A4366" s="13"/>
      <c r="B4366" s="13"/>
      <c r="C4366" s="13"/>
      <c r="D4366" s="13"/>
    </row>
    <row r="4367" spans="1:4">
      <c r="A4367" s="13"/>
      <c r="B4367" s="13"/>
      <c r="C4367" s="13"/>
      <c r="D4367" s="13"/>
    </row>
    <row r="4368" spans="1:4">
      <c r="A4368" s="13"/>
      <c r="B4368" s="13"/>
      <c r="C4368" s="13"/>
      <c r="D4368" s="13"/>
    </row>
    <row r="4369" spans="1:4">
      <c r="A4369" s="13"/>
      <c r="B4369" s="13"/>
      <c r="C4369" s="13"/>
      <c r="D4369" s="13"/>
    </row>
    <row r="4370" spans="1:4">
      <c r="A4370" s="13"/>
      <c r="B4370" s="13"/>
      <c r="C4370" s="13"/>
      <c r="D4370" s="13"/>
    </row>
    <row r="4371" spans="1:4">
      <c r="A4371" s="13"/>
      <c r="B4371" s="13"/>
      <c r="C4371" s="13"/>
      <c r="D4371" s="13"/>
    </row>
    <row r="4372" spans="1:4">
      <c r="A4372" s="13"/>
      <c r="B4372" s="13"/>
      <c r="C4372" s="13"/>
      <c r="D4372" s="13"/>
    </row>
    <row r="4373" spans="1:4">
      <c r="A4373" s="13"/>
      <c r="B4373" s="13"/>
      <c r="C4373" s="13"/>
      <c r="D4373" s="13"/>
    </row>
    <row r="4374" spans="1:4">
      <c r="A4374" s="13"/>
      <c r="B4374" s="13"/>
      <c r="C4374" s="13"/>
      <c r="D4374" s="13"/>
    </row>
    <row r="4375" spans="1:4">
      <c r="A4375" s="13"/>
      <c r="B4375" s="13"/>
      <c r="C4375" s="13"/>
      <c r="D4375" s="13"/>
    </row>
    <row r="4376" spans="1:4">
      <c r="A4376" s="13"/>
      <c r="B4376" s="13"/>
      <c r="C4376" s="13"/>
      <c r="D4376" s="13"/>
    </row>
    <row r="4377" spans="1:4">
      <c r="A4377" s="13"/>
      <c r="B4377" s="13"/>
      <c r="C4377" s="13"/>
      <c r="D4377" s="13"/>
    </row>
    <row r="4378" spans="1:4">
      <c r="A4378" s="13"/>
      <c r="B4378" s="13"/>
      <c r="C4378" s="13"/>
      <c r="D4378" s="13"/>
    </row>
    <row r="4379" spans="1:4">
      <c r="A4379" s="13"/>
      <c r="B4379" s="13"/>
      <c r="C4379" s="13"/>
      <c r="D4379" s="13"/>
    </row>
    <row r="4380" spans="1:4">
      <c r="A4380" s="13"/>
      <c r="B4380" s="13"/>
      <c r="C4380" s="13"/>
      <c r="D4380" s="13"/>
    </row>
    <row r="4381" spans="1:4">
      <c r="A4381" s="13"/>
      <c r="B4381" s="13"/>
      <c r="C4381" s="13"/>
      <c r="D4381" s="13"/>
    </row>
    <row r="4382" spans="1:4">
      <c r="A4382" s="13"/>
      <c r="B4382" s="13"/>
      <c r="C4382" s="13"/>
      <c r="D4382" s="13"/>
    </row>
    <row r="4383" spans="1:4">
      <c r="A4383" s="13"/>
      <c r="B4383" s="13"/>
      <c r="C4383" s="13"/>
      <c r="D4383" s="13"/>
    </row>
    <row r="4384" spans="1:4">
      <c r="A4384" s="13"/>
      <c r="B4384" s="13"/>
      <c r="C4384" s="13"/>
      <c r="D4384" s="13"/>
    </row>
    <row r="4385" spans="1:4">
      <c r="A4385" s="13"/>
      <c r="B4385" s="13"/>
      <c r="C4385" s="13"/>
      <c r="D4385" s="13"/>
    </row>
    <row r="4386" spans="1:4">
      <c r="A4386" s="13"/>
      <c r="B4386" s="13"/>
      <c r="C4386" s="13"/>
      <c r="D4386" s="13"/>
    </row>
    <row r="4387" spans="1:4">
      <c r="A4387" s="13"/>
      <c r="B4387" s="13"/>
      <c r="C4387" s="13"/>
      <c r="D4387" s="13"/>
    </row>
    <row r="4388" spans="1:4">
      <c r="A4388" s="13"/>
      <c r="B4388" s="13"/>
      <c r="C4388" s="13"/>
      <c r="D4388" s="13"/>
    </row>
    <row r="4389" spans="1:4">
      <c r="A4389" s="13"/>
      <c r="B4389" s="13"/>
      <c r="C4389" s="13"/>
      <c r="D4389" s="13"/>
    </row>
    <row r="4390" spans="1:4">
      <c r="A4390" s="13"/>
      <c r="B4390" s="13"/>
      <c r="C4390" s="13"/>
      <c r="D4390" s="13"/>
    </row>
    <row r="4391" spans="1:4">
      <c r="A4391" s="13"/>
      <c r="B4391" s="13"/>
      <c r="C4391" s="13"/>
      <c r="D4391" s="13"/>
    </row>
    <row r="4392" spans="1:4">
      <c r="A4392" s="13"/>
      <c r="B4392" s="13"/>
      <c r="C4392" s="13"/>
      <c r="D4392" s="13"/>
    </row>
    <row r="4393" spans="1:4">
      <c r="A4393" s="13"/>
      <c r="B4393" s="13"/>
      <c r="C4393" s="13"/>
      <c r="D4393" s="13"/>
    </row>
    <row r="4394" spans="1:4">
      <c r="A4394" s="13"/>
      <c r="B4394" s="13"/>
      <c r="C4394" s="13"/>
      <c r="D4394" s="13"/>
    </row>
    <row r="4395" spans="1:4">
      <c r="A4395" s="13"/>
      <c r="B4395" s="13"/>
      <c r="C4395" s="13"/>
      <c r="D4395" s="13"/>
    </row>
    <row r="4396" spans="1:4">
      <c r="A4396" s="13"/>
      <c r="B4396" s="13"/>
      <c r="C4396" s="13"/>
      <c r="D4396" s="13"/>
    </row>
    <row r="4397" spans="1:4">
      <c r="A4397" s="13"/>
      <c r="B4397" s="13"/>
      <c r="C4397" s="13"/>
      <c r="D4397" s="13"/>
    </row>
    <row r="4398" spans="1:4">
      <c r="A4398" s="13"/>
      <c r="B4398" s="13"/>
      <c r="C4398" s="13"/>
      <c r="D4398" s="13"/>
    </row>
    <row r="4399" spans="1:4">
      <c r="A4399" s="13"/>
      <c r="B4399" s="13"/>
      <c r="C4399" s="13"/>
      <c r="D4399" s="13"/>
    </row>
    <row r="4400" spans="1:4">
      <c r="A4400" s="13"/>
      <c r="B4400" s="13"/>
      <c r="C4400" s="13"/>
      <c r="D4400" s="13"/>
    </row>
    <row r="4401" spans="1:4">
      <c r="A4401" s="13"/>
      <c r="B4401" s="13"/>
      <c r="C4401" s="13"/>
      <c r="D4401" s="13"/>
    </row>
    <row r="4402" spans="1:4">
      <c r="A4402" s="13"/>
      <c r="B4402" s="13"/>
      <c r="C4402" s="13"/>
      <c r="D4402" s="13"/>
    </row>
    <row r="4403" spans="1:4">
      <c r="A4403" s="13"/>
      <c r="B4403" s="13"/>
      <c r="C4403" s="13"/>
      <c r="D4403" s="13"/>
    </row>
    <row r="4404" spans="1:4">
      <c r="A4404" s="13"/>
      <c r="B4404" s="13"/>
      <c r="C4404" s="13"/>
      <c r="D4404" s="13"/>
    </row>
    <row r="4405" spans="1:4">
      <c r="A4405" s="13"/>
      <c r="B4405" s="13"/>
      <c r="C4405" s="13"/>
      <c r="D4405" s="13"/>
    </row>
    <row r="4406" spans="1:4">
      <c r="A4406" s="13"/>
      <c r="B4406" s="13"/>
      <c r="C4406" s="13"/>
      <c r="D4406" s="13"/>
    </row>
    <row r="4407" spans="1:4">
      <c r="A4407" s="13"/>
      <c r="B4407" s="13"/>
      <c r="C4407" s="13"/>
      <c r="D4407" s="13"/>
    </row>
    <row r="4408" spans="1:4">
      <c r="A4408" s="13"/>
      <c r="B4408" s="13"/>
      <c r="C4408" s="13"/>
      <c r="D4408" s="13"/>
    </row>
    <row r="4409" spans="1:4">
      <c r="A4409" s="13"/>
      <c r="B4409" s="13"/>
      <c r="C4409" s="13"/>
      <c r="D4409" s="13"/>
    </row>
    <row r="4410" spans="1:4">
      <c r="A4410" s="13"/>
      <c r="B4410" s="13"/>
      <c r="C4410" s="13"/>
      <c r="D4410" s="13"/>
    </row>
    <row r="4411" spans="1:4">
      <c r="A4411" s="13"/>
      <c r="B4411" s="13"/>
      <c r="C4411" s="13"/>
      <c r="D4411" s="13"/>
    </row>
    <row r="4412" spans="1:4">
      <c r="A4412" s="13"/>
      <c r="B4412" s="13"/>
      <c r="C4412" s="13"/>
      <c r="D4412" s="13"/>
    </row>
    <row r="4413" spans="1:4">
      <c r="A4413" s="13"/>
      <c r="B4413" s="13"/>
      <c r="C4413" s="13"/>
      <c r="D4413" s="13"/>
    </row>
    <row r="4414" spans="1:4">
      <c r="A4414" s="13"/>
      <c r="B4414" s="13"/>
      <c r="C4414" s="13"/>
      <c r="D4414" s="13"/>
    </row>
    <row r="4415" spans="1:4">
      <c r="A4415" s="13"/>
      <c r="B4415" s="13"/>
      <c r="C4415" s="13"/>
      <c r="D4415" s="13"/>
    </row>
    <row r="4416" spans="1:4">
      <c r="A4416" s="13"/>
      <c r="B4416" s="13"/>
      <c r="C4416" s="13"/>
      <c r="D4416" s="13"/>
    </row>
    <row r="4417" spans="1:4">
      <c r="A4417" s="13"/>
      <c r="B4417" s="13"/>
      <c r="C4417" s="13"/>
      <c r="D4417" s="13"/>
    </row>
    <row r="4418" spans="1:4">
      <c r="A4418" s="13"/>
      <c r="B4418" s="13"/>
      <c r="C4418" s="13"/>
      <c r="D4418" s="13"/>
    </row>
    <row r="4419" spans="1:4">
      <c r="A4419" s="13"/>
      <c r="B4419" s="13"/>
      <c r="C4419" s="13"/>
      <c r="D4419" s="13"/>
    </row>
    <row r="4420" spans="1:4">
      <c r="A4420" s="13"/>
      <c r="B4420" s="13"/>
      <c r="C4420" s="13"/>
      <c r="D4420" s="13"/>
    </row>
    <row r="4421" spans="1:4">
      <c r="A4421" s="13"/>
      <c r="B4421" s="13"/>
      <c r="C4421" s="13"/>
      <c r="D4421" s="13"/>
    </row>
    <row r="4422" spans="1:4">
      <c r="A4422" s="13"/>
      <c r="B4422" s="13"/>
      <c r="C4422" s="13"/>
      <c r="D4422" s="13"/>
    </row>
    <row r="4423" spans="1:4">
      <c r="A4423" s="13"/>
      <c r="B4423" s="13"/>
      <c r="C4423" s="13"/>
      <c r="D4423" s="13"/>
    </row>
    <row r="4424" spans="1:4">
      <c r="A4424" s="13"/>
      <c r="B4424" s="13"/>
      <c r="C4424" s="13"/>
      <c r="D4424" s="13"/>
    </row>
    <row r="4425" spans="1:4">
      <c r="A4425" s="13"/>
      <c r="B4425" s="13"/>
      <c r="C4425" s="13"/>
      <c r="D4425" s="13"/>
    </row>
    <row r="4426" spans="1:4">
      <c r="A4426" s="13"/>
      <c r="B4426" s="13"/>
      <c r="C4426" s="13"/>
      <c r="D4426" s="13"/>
    </row>
    <row r="4427" spans="1:4">
      <c r="A4427" s="13"/>
      <c r="B4427" s="13"/>
      <c r="C4427" s="13"/>
      <c r="D4427" s="13"/>
    </row>
    <row r="4428" spans="1:4">
      <c r="A4428" s="13"/>
      <c r="B4428" s="13"/>
      <c r="C4428" s="13"/>
      <c r="D4428" s="13"/>
    </row>
    <row r="4429" spans="1:4">
      <c r="A4429" s="13"/>
      <c r="B4429" s="13"/>
      <c r="C4429" s="13"/>
      <c r="D4429" s="13"/>
    </row>
    <row r="4430" spans="1:4">
      <c r="A4430" s="13"/>
      <c r="B4430" s="13"/>
      <c r="C4430" s="13"/>
      <c r="D4430" s="13"/>
    </row>
    <row r="4431" spans="1:4">
      <c r="A4431" s="13"/>
      <c r="B4431" s="13"/>
      <c r="C4431" s="13"/>
      <c r="D4431" s="13"/>
    </row>
    <row r="4432" spans="1:4">
      <c r="A4432" s="13"/>
      <c r="B4432" s="13"/>
      <c r="C4432" s="13"/>
      <c r="D4432" s="13"/>
    </row>
    <row r="4433" spans="1:4">
      <c r="A4433" s="13"/>
      <c r="B4433" s="13"/>
      <c r="C4433" s="13"/>
      <c r="D4433" s="13"/>
    </row>
    <row r="4434" spans="1:4">
      <c r="A4434" s="13"/>
      <c r="B4434" s="13"/>
      <c r="C4434" s="13"/>
      <c r="D4434" s="13"/>
    </row>
    <row r="4435" spans="1:4">
      <c r="A4435" s="13"/>
      <c r="B4435" s="13"/>
      <c r="C4435" s="13"/>
      <c r="D4435" s="13"/>
    </row>
    <row r="4436" spans="1:4">
      <c r="A4436" s="13"/>
      <c r="B4436" s="13"/>
      <c r="C4436" s="13"/>
      <c r="D4436" s="13"/>
    </row>
    <row r="4437" spans="1:4">
      <c r="A4437" s="13"/>
      <c r="B4437" s="13"/>
      <c r="C4437" s="13"/>
      <c r="D4437" s="13"/>
    </row>
    <row r="4438" spans="1:4">
      <c r="A4438" s="13"/>
      <c r="B4438" s="13"/>
      <c r="C4438" s="13"/>
      <c r="D4438" s="13"/>
    </row>
    <row r="4439" spans="1:4">
      <c r="A4439" s="13"/>
      <c r="B4439" s="13"/>
      <c r="C4439" s="13"/>
      <c r="D4439" s="13"/>
    </row>
    <row r="4440" spans="1:4">
      <c r="A4440" s="13"/>
      <c r="B4440" s="13"/>
      <c r="C4440" s="13"/>
      <c r="D4440" s="13"/>
    </row>
    <row r="4441" spans="1:4">
      <c r="A4441" s="13"/>
      <c r="B4441" s="13"/>
      <c r="C4441" s="13"/>
      <c r="D4441" s="13"/>
    </row>
    <row r="4442" spans="1:4">
      <c r="A4442" s="13"/>
      <c r="B4442" s="13"/>
      <c r="C4442" s="13"/>
      <c r="D4442" s="13"/>
    </row>
    <row r="4443" spans="1:4">
      <c r="A4443" s="13"/>
      <c r="B4443" s="13"/>
      <c r="C4443" s="13"/>
      <c r="D4443" s="13"/>
    </row>
    <row r="4444" spans="1:4">
      <c r="A4444" s="13"/>
      <c r="B4444" s="13"/>
      <c r="C4444" s="13"/>
      <c r="D4444" s="13"/>
    </row>
    <row r="4445" spans="1:4">
      <c r="A4445" s="13"/>
      <c r="B4445" s="13"/>
      <c r="C4445" s="13"/>
      <c r="D4445" s="13"/>
    </row>
    <row r="4446" spans="1:4">
      <c r="A4446" s="13"/>
      <c r="B4446" s="13"/>
      <c r="C4446" s="13"/>
      <c r="D4446" s="13"/>
    </row>
    <row r="4447" spans="1:4">
      <c r="A4447" s="13"/>
      <c r="B4447" s="13"/>
      <c r="C4447" s="13"/>
      <c r="D4447" s="13"/>
    </row>
    <row r="4448" spans="1:4">
      <c r="A4448" s="13"/>
      <c r="B4448" s="13"/>
      <c r="C4448" s="13"/>
      <c r="D4448" s="13"/>
    </row>
    <row r="4449" spans="1:4">
      <c r="A4449" s="13"/>
      <c r="B4449" s="13"/>
      <c r="C4449" s="13"/>
      <c r="D4449" s="13"/>
    </row>
    <row r="4450" spans="1:4">
      <c r="A4450" s="13"/>
      <c r="B4450" s="13"/>
      <c r="C4450" s="13"/>
      <c r="D4450" s="13"/>
    </row>
    <row r="4451" spans="1:4">
      <c r="A4451" s="13"/>
      <c r="B4451" s="13"/>
      <c r="C4451" s="13"/>
      <c r="D4451" s="13"/>
    </row>
    <row r="4452" spans="1:4">
      <c r="A4452" s="13"/>
      <c r="B4452" s="13"/>
      <c r="C4452" s="13"/>
      <c r="D4452" s="13"/>
    </row>
    <row r="4453" spans="1:4">
      <c r="A4453" s="13"/>
      <c r="B4453" s="13"/>
      <c r="C4453" s="13"/>
      <c r="D4453" s="13"/>
    </row>
    <row r="4454" spans="1:4">
      <c r="A4454" s="13"/>
      <c r="B4454" s="13"/>
      <c r="C4454" s="13"/>
      <c r="D4454" s="13"/>
    </row>
    <row r="4455" spans="1:4">
      <c r="A4455" s="13"/>
      <c r="B4455" s="13"/>
      <c r="C4455" s="13"/>
      <c r="D4455" s="13"/>
    </row>
    <row r="4456" spans="1:4">
      <c r="A4456" s="13"/>
      <c r="B4456" s="13"/>
      <c r="C4456" s="13"/>
      <c r="D4456" s="13"/>
    </row>
    <row r="4457" spans="1:4">
      <c r="A4457" s="13"/>
      <c r="B4457" s="13"/>
      <c r="C4457" s="13"/>
      <c r="D4457" s="13"/>
    </row>
    <row r="4458" spans="1:4">
      <c r="A4458" s="13"/>
      <c r="B4458" s="13"/>
      <c r="C4458" s="13"/>
      <c r="D4458" s="13"/>
    </row>
    <row r="4459" spans="1:4">
      <c r="A4459" s="13"/>
      <c r="B4459" s="13"/>
      <c r="C4459" s="13"/>
      <c r="D4459" s="13"/>
    </row>
    <row r="4460" spans="1:4">
      <c r="A4460" s="13"/>
      <c r="B4460" s="13"/>
      <c r="C4460" s="13"/>
      <c r="D4460" s="13"/>
    </row>
    <row r="4461" spans="1:4">
      <c r="A4461" s="13"/>
      <c r="B4461" s="13"/>
      <c r="C4461" s="13"/>
      <c r="D4461" s="13"/>
    </row>
    <row r="4462" spans="1:4">
      <c r="A4462" s="13"/>
      <c r="B4462" s="13"/>
      <c r="C4462" s="13"/>
      <c r="D4462" s="13"/>
    </row>
    <row r="4463" spans="1:4">
      <c r="A4463" s="13"/>
      <c r="B4463" s="13"/>
      <c r="C4463" s="13"/>
      <c r="D4463" s="13"/>
    </row>
    <row r="4464" spans="1:4">
      <c r="A4464" s="13"/>
      <c r="B4464" s="13"/>
      <c r="C4464" s="13"/>
      <c r="D4464" s="13"/>
    </row>
    <row r="4465" spans="1:4">
      <c r="A4465" s="13"/>
      <c r="B4465" s="13"/>
      <c r="C4465" s="13"/>
      <c r="D4465" s="13"/>
    </row>
    <row r="4466" spans="1:4">
      <c r="A4466" s="13"/>
      <c r="B4466" s="13"/>
      <c r="C4466" s="13"/>
      <c r="D4466" s="13"/>
    </row>
    <row r="4467" spans="1:4">
      <c r="A4467" s="13"/>
      <c r="B4467" s="13"/>
      <c r="C4467" s="13"/>
      <c r="D4467" s="13"/>
    </row>
    <row r="4468" spans="1:4">
      <c r="A4468" s="13"/>
      <c r="B4468" s="13"/>
      <c r="C4468" s="13"/>
      <c r="D4468" s="13"/>
    </row>
    <row r="4469" spans="1:4">
      <c r="A4469" s="13"/>
      <c r="B4469" s="13"/>
      <c r="C4469" s="13"/>
      <c r="D4469" s="13"/>
    </row>
    <row r="4470" spans="1:4">
      <c r="A4470" s="13"/>
      <c r="B4470" s="13"/>
      <c r="C4470" s="13"/>
      <c r="D4470" s="13"/>
    </row>
    <row r="4471" spans="1:4">
      <c r="A4471" s="13"/>
      <c r="B4471" s="13"/>
      <c r="C4471" s="13"/>
      <c r="D4471" s="13"/>
    </row>
    <row r="4472" spans="1:4">
      <c r="A4472" s="13"/>
      <c r="B4472" s="13"/>
      <c r="C4472" s="13"/>
      <c r="D4472" s="13"/>
    </row>
    <row r="4473" spans="1:4">
      <c r="A4473" s="13"/>
      <c r="B4473" s="13"/>
      <c r="C4473" s="13"/>
      <c r="D4473" s="13"/>
    </row>
    <row r="4474" spans="1:4">
      <c r="A4474" s="13"/>
      <c r="B4474" s="13"/>
      <c r="C4474" s="13"/>
      <c r="D4474" s="13"/>
    </row>
    <row r="4475" spans="1:4">
      <c r="A4475" s="13"/>
      <c r="B4475" s="13"/>
      <c r="C4475" s="13"/>
      <c r="D4475" s="13"/>
    </row>
    <row r="4476" spans="1:4">
      <c r="A4476" s="13"/>
      <c r="B4476" s="13"/>
      <c r="C4476" s="13"/>
      <c r="D4476" s="13"/>
    </row>
    <row r="4477" spans="1:4">
      <c r="A4477" s="13"/>
      <c r="B4477" s="13"/>
      <c r="C4477" s="13"/>
      <c r="D4477" s="13"/>
    </row>
    <row r="4478" spans="1:4">
      <c r="A4478" s="13"/>
      <c r="B4478" s="13"/>
      <c r="C4478" s="13"/>
      <c r="D4478" s="13"/>
    </row>
    <row r="4479" spans="1:4">
      <c r="A4479" s="13"/>
      <c r="B4479" s="13"/>
      <c r="C4479" s="13"/>
      <c r="D4479" s="13"/>
    </row>
    <row r="4480" spans="1:4">
      <c r="A4480" s="13"/>
      <c r="B4480" s="13"/>
      <c r="C4480" s="13"/>
      <c r="D4480" s="13"/>
    </row>
    <row r="4481" spans="1:4">
      <c r="A4481" s="13"/>
      <c r="B4481" s="13"/>
      <c r="C4481" s="13"/>
      <c r="D4481" s="13"/>
    </row>
    <row r="4482" spans="1:4">
      <c r="A4482" s="13"/>
      <c r="B4482" s="13"/>
      <c r="C4482" s="13"/>
      <c r="D4482" s="13"/>
    </row>
    <row r="4483" spans="1:4">
      <c r="A4483" s="13"/>
      <c r="B4483" s="13"/>
      <c r="C4483" s="13"/>
      <c r="D4483" s="13"/>
    </row>
    <row r="4484" spans="1:4">
      <c r="A4484" s="13"/>
      <c r="B4484" s="13"/>
      <c r="C4484" s="13"/>
      <c r="D4484" s="13"/>
    </row>
    <row r="4485" spans="1:4">
      <c r="A4485" s="13"/>
      <c r="B4485" s="13"/>
      <c r="C4485" s="13"/>
      <c r="D4485" s="13"/>
    </row>
    <row r="4486" spans="1:4">
      <c r="A4486" s="13"/>
      <c r="B4486" s="13"/>
      <c r="C4486" s="13"/>
      <c r="D4486" s="13"/>
    </row>
    <row r="4487" spans="1:4">
      <c r="A4487" s="13"/>
      <c r="B4487" s="13"/>
      <c r="C4487" s="13"/>
      <c r="D4487" s="13"/>
    </row>
    <row r="4488" spans="1:4">
      <c r="A4488" s="13"/>
      <c r="B4488" s="13"/>
      <c r="C4488" s="13"/>
      <c r="D4488" s="13"/>
    </row>
    <row r="4489" spans="1:4">
      <c r="A4489" s="13"/>
      <c r="B4489" s="13"/>
      <c r="C4489" s="13"/>
      <c r="D4489" s="13"/>
    </row>
    <row r="4490" spans="1:4">
      <c r="A4490" s="13"/>
      <c r="B4490" s="13"/>
      <c r="C4490" s="13"/>
      <c r="D4490" s="13"/>
    </row>
    <row r="4491" spans="1:4">
      <c r="A4491" s="13"/>
      <c r="B4491" s="13"/>
      <c r="C4491" s="13"/>
      <c r="D4491" s="13"/>
    </row>
    <row r="4492" spans="1:4">
      <c r="A4492" s="13"/>
      <c r="B4492" s="13"/>
      <c r="C4492" s="13"/>
      <c r="D4492" s="13"/>
    </row>
    <row r="4493" spans="1:4">
      <c r="A4493" s="13"/>
      <c r="B4493" s="13"/>
      <c r="C4493" s="13"/>
      <c r="D4493" s="13"/>
    </row>
    <row r="4494" spans="1:4">
      <c r="A4494" s="13"/>
      <c r="B4494" s="13"/>
      <c r="C4494" s="13"/>
      <c r="D4494" s="13"/>
    </row>
    <row r="4495" spans="1:4">
      <c r="A4495" s="13"/>
      <c r="B4495" s="13"/>
      <c r="C4495" s="13"/>
      <c r="D4495" s="13"/>
    </row>
    <row r="4496" spans="1:4">
      <c r="A4496" s="13"/>
      <c r="B4496" s="13"/>
      <c r="C4496" s="13"/>
      <c r="D4496" s="13"/>
    </row>
    <row r="4497" spans="1:4">
      <c r="A4497" s="13"/>
      <c r="B4497" s="13"/>
      <c r="C4497" s="13"/>
      <c r="D4497" s="13"/>
    </row>
    <row r="4498" spans="1:4">
      <c r="A4498" s="13"/>
      <c r="B4498" s="13"/>
      <c r="C4498" s="13"/>
      <c r="D4498" s="13"/>
    </row>
    <row r="4499" spans="1:4">
      <c r="A4499" s="13"/>
      <c r="B4499" s="13"/>
      <c r="C4499" s="13"/>
      <c r="D4499" s="13"/>
    </row>
    <row r="4500" spans="1:4">
      <c r="A4500" s="13"/>
      <c r="B4500" s="13"/>
      <c r="C4500" s="13"/>
      <c r="D4500" s="13"/>
    </row>
    <row r="4501" spans="1:4">
      <c r="A4501" s="13"/>
      <c r="B4501" s="13"/>
      <c r="C4501" s="13"/>
      <c r="D4501" s="13"/>
    </row>
    <row r="4502" spans="1:4">
      <c r="A4502" s="13"/>
      <c r="B4502" s="13"/>
      <c r="C4502" s="13"/>
      <c r="D4502" s="13"/>
    </row>
    <row r="4503" spans="1:4">
      <c r="A4503" s="13"/>
      <c r="B4503" s="13"/>
      <c r="C4503" s="13"/>
      <c r="D4503" s="13"/>
    </row>
    <row r="4504" spans="1:4">
      <c r="A4504" s="13"/>
      <c r="B4504" s="13"/>
      <c r="C4504" s="13"/>
      <c r="D4504" s="13"/>
    </row>
    <row r="4505" spans="1:4">
      <c r="A4505" s="13"/>
      <c r="B4505" s="13"/>
      <c r="C4505" s="13"/>
      <c r="D4505" s="13"/>
    </row>
    <row r="4506" spans="1:4">
      <c r="A4506" s="13"/>
      <c r="B4506" s="13"/>
      <c r="C4506" s="13"/>
      <c r="D4506" s="13"/>
    </row>
    <row r="4507" spans="1:4">
      <c r="A4507" s="13"/>
      <c r="B4507" s="13"/>
      <c r="C4507" s="13"/>
      <c r="D4507" s="13"/>
    </row>
    <row r="4508" spans="1:4">
      <c r="A4508" s="13"/>
      <c r="B4508" s="13"/>
      <c r="C4508" s="13"/>
      <c r="D4508" s="13"/>
    </row>
    <row r="4509" spans="1:4">
      <c r="A4509" s="13"/>
      <c r="B4509" s="13"/>
      <c r="C4509" s="13"/>
      <c r="D4509" s="13"/>
    </row>
    <row r="4510" spans="1:4">
      <c r="A4510" s="13"/>
      <c r="B4510" s="13"/>
      <c r="C4510" s="13"/>
      <c r="D4510" s="13"/>
    </row>
    <row r="4511" spans="1:4">
      <c r="A4511" s="13"/>
      <c r="B4511" s="13"/>
      <c r="C4511" s="13"/>
      <c r="D4511" s="13"/>
    </row>
    <row r="4512" spans="1:4">
      <c r="A4512" s="13"/>
      <c r="B4512" s="13"/>
      <c r="C4512" s="13"/>
      <c r="D4512" s="13"/>
    </row>
    <row r="4513" spans="1:4">
      <c r="A4513" s="13"/>
      <c r="B4513" s="13"/>
      <c r="C4513" s="13"/>
      <c r="D4513" s="13"/>
    </row>
    <row r="4514" spans="1:4">
      <c r="A4514" s="13"/>
      <c r="B4514" s="13"/>
      <c r="C4514" s="13"/>
      <c r="D4514" s="13"/>
    </row>
    <row r="4515" spans="1:4">
      <c r="A4515" s="13"/>
      <c r="B4515" s="13"/>
      <c r="C4515" s="13"/>
      <c r="D4515" s="13"/>
    </row>
    <row r="4516" spans="1:4">
      <c r="A4516" s="13"/>
      <c r="B4516" s="13"/>
      <c r="C4516" s="13"/>
      <c r="D4516" s="13"/>
    </row>
    <row r="4517" spans="1:4">
      <c r="A4517" s="13"/>
      <c r="B4517" s="13"/>
      <c r="C4517" s="13"/>
      <c r="D4517" s="13"/>
    </row>
    <row r="4518" spans="1:4">
      <c r="A4518" s="13"/>
      <c r="B4518" s="13"/>
      <c r="C4518" s="13"/>
      <c r="D4518" s="13"/>
    </row>
    <row r="4519" spans="1:4">
      <c r="A4519" s="13"/>
      <c r="B4519" s="13"/>
      <c r="C4519" s="13"/>
      <c r="D4519" s="13"/>
    </row>
    <row r="4520" spans="1:4">
      <c r="A4520" s="13"/>
      <c r="B4520" s="13"/>
      <c r="C4520" s="13"/>
      <c r="D4520" s="13"/>
    </row>
    <row r="4521" spans="1:4">
      <c r="A4521" s="13"/>
      <c r="B4521" s="13"/>
      <c r="C4521" s="13"/>
      <c r="D4521" s="13"/>
    </row>
    <row r="4522" spans="1:4">
      <c r="A4522" s="13"/>
      <c r="B4522" s="13"/>
      <c r="C4522" s="13"/>
      <c r="D4522" s="13"/>
    </row>
    <row r="4523" spans="1:4">
      <c r="A4523" s="13"/>
      <c r="B4523" s="13"/>
      <c r="C4523" s="13"/>
      <c r="D4523" s="13"/>
    </row>
    <row r="4524" spans="1:4">
      <c r="A4524" s="13"/>
      <c r="B4524" s="13"/>
      <c r="C4524" s="13"/>
      <c r="D4524" s="13"/>
    </row>
    <row r="4525" spans="1:4">
      <c r="A4525" s="13"/>
      <c r="B4525" s="13"/>
      <c r="C4525" s="13"/>
      <c r="D4525" s="13"/>
    </row>
    <row r="4526" spans="1:4">
      <c r="A4526" s="13"/>
      <c r="B4526" s="13"/>
      <c r="C4526" s="13"/>
      <c r="D4526" s="13"/>
    </row>
    <row r="4527" spans="1:4">
      <c r="A4527" s="13"/>
      <c r="B4527" s="13"/>
      <c r="C4527" s="13"/>
      <c r="D4527" s="13"/>
    </row>
    <row r="4528" spans="1:4">
      <c r="A4528" s="13"/>
      <c r="B4528" s="13"/>
      <c r="C4528" s="13"/>
      <c r="D4528" s="13"/>
    </row>
    <row r="4529" spans="1:4">
      <c r="A4529" s="13"/>
      <c r="B4529" s="13"/>
      <c r="C4529" s="13"/>
      <c r="D4529" s="13"/>
    </row>
    <row r="4530" spans="1:4">
      <c r="A4530" s="13"/>
      <c r="B4530" s="13"/>
      <c r="C4530" s="13"/>
      <c r="D4530" s="13"/>
    </row>
    <row r="4531" spans="1:4">
      <c r="A4531" s="13"/>
      <c r="B4531" s="13"/>
      <c r="C4531" s="13"/>
      <c r="D4531" s="13"/>
    </row>
    <row r="4532" spans="1:4">
      <c r="A4532" s="13"/>
      <c r="B4532" s="13"/>
      <c r="C4532" s="13"/>
      <c r="D4532" s="13"/>
    </row>
    <row r="4533" spans="1:4">
      <c r="A4533" s="13"/>
      <c r="B4533" s="13"/>
      <c r="C4533" s="13"/>
      <c r="D4533" s="13"/>
    </row>
    <row r="4534" spans="1:4">
      <c r="A4534" s="13"/>
      <c r="B4534" s="13"/>
      <c r="C4534" s="13"/>
      <c r="D4534" s="13"/>
    </row>
    <row r="4535" spans="1:4">
      <c r="A4535" s="13"/>
      <c r="B4535" s="13"/>
      <c r="C4535" s="13"/>
      <c r="D4535" s="13"/>
    </row>
    <row r="4536" spans="1:4">
      <c r="A4536" s="13"/>
      <c r="B4536" s="13"/>
      <c r="C4536" s="13"/>
      <c r="D4536" s="13"/>
    </row>
    <row r="4537" spans="1:4">
      <c r="A4537" s="13"/>
      <c r="B4537" s="13"/>
      <c r="C4537" s="13"/>
      <c r="D4537" s="13"/>
    </row>
    <row r="4538" spans="1:4">
      <c r="A4538" s="13"/>
      <c r="B4538" s="13"/>
      <c r="C4538" s="13"/>
      <c r="D4538" s="13"/>
    </row>
    <row r="4539" spans="1:4">
      <c r="A4539" s="13"/>
      <c r="B4539" s="13"/>
      <c r="C4539" s="13"/>
      <c r="D4539" s="13"/>
    </row>
    <row r="4540" spans="1:4">
      <c r="A4540" s="13"/>
      <c r="B4540" s="13"/>
      <c r="C4540" s="13"/>
      <c r="D4540" s="13"/>
    </row>
    <row r="4541" spans="1:4">
      <c r="A4541" s="13"/>
      <c r="B4541" s="13"/>
      <c r="C4541" s="13"/>
      <c r="D4541" s="13"/>
    </row>
    <row r="4542" spans="1:4">
      <c r="A4542" s="13"/>
      <c r="B4542" s="13"/>
      <c r="C4542" s="13"/>
      <c r="D4542" s="13"/>
    </row>
    <row r="4543" spans="1:4">
      <c r="A4543" s="13"/>
      <c r="B4543" s="13"/>
      <c r="C4543" s="13"/>
      <c r="D4543" s="13"/>
    </row>
    <row r="4544" spans="1:4">
      <c r="A4544" s="13"/>
      <c r="B4544" s="13"/>
      <c r="C4544" s="13"/>
      <c r="D4544" s="13"/>
    </row>
    <row r="4545" spans="1:4">
      <c r="A4545" s="13"/>
      <c r="B4545" s="13"/>
      <c r="C4545" s="13"/>
      <c r="D4545" s="13"/>
    </row>
    <row r="4546" spans="1:4">
      <c r="A4546" s="13"/>
      <c r="B4546" s="13"/>
      <c r="C4546" s="13"/>
      <c r="D4546" s="13"/>
    </row>
    <row r="4547" spans="1:4">
      <c r="A4547" s="13"/>
      <c r="B4547" s="13"/>
      <c r="C4547" s="13"/>
      <c r="D4547" s="13"/>
    </row>
    <row r="4548" spans="1:4">
      <c r="A4548" s="13"/>
      <c r="B4548" s="13"/>
      <c r="C4548" s="13"/>
      <c r="D4548" s="13"/>
    </row>
    <row r="4549" spans="1:4">
      <c r="A4549" s="13"/>
      <c r="B4549" s="13"/>
      <c r="C4549" s="13"/>
      <c r="D4549" s="13"/>
    </row>
    <row r="4550" spans="1:4">
      <c r="A4550" s="13"/>
      <c r="B4550" s="13"/>
      <c r="C4550" s="13"/>
      <c r="D4550" s="13"/>
    </row>
    <row r="4551" spans="1:4">
      <c r="A4551" s="13"/>
      <c r="B4551" s="13"/>
      <c r="C4551" s="13"/>
      <c r="D4551" s="13"/>
    </row>
    <row r="4552" spans="1:4">
      <c r="A4552" s="13"/>
      <c r="B4552" s="13"/>
      <c r="C4552" s="13"/>
      <c r="D4552" s="13"/>
    </row>
    <row r="4553" spans="1:4">
      <c r="A4553" s="13"/>
      <c r="B4553" s="13"/>
      <c r="C4553" s="13"/>
      <c r="D4553" s="13"/>
    </row>
    <row r="4554" spans="1:4">
      <c r="A4554" s="13"/>
      <c r="B4554" s="13"/>
      <c r="C4554" s="13"/>
      <c r="D4554" s="13"/>
    </row>
    <row r="4555" spans="1:4">
      <c r="A4555" s="13"/>
      <c r="B4555" s="13"/>
      <c r="C4555" s="13"/>
      <c r="D4555" s="13"/>
    </row>
    <row r="4556" spans="1:4">
      <c r="A4556" s="13"/>
      <c r="B4556" s="13"/>
      <c r="C4556" s="13"/>
      <c r="D4556" s="13"/>
    </row>
    <row r="4557" spans="1:4">
      <c r="A4557" s="13"/>
      <c r="B4557" s="13"/>
      <c r="C4557" s="13"/>
      <c r="D4557" s="13"/>
    </row>
    <row r="4558" spans="1:4">
      <c r="A4558" s="13"/>
      <c r="B4558" s="13"/>
      <c r="C4558" s="13"/>
      <c r="D4558" s="13"/>
    </row>
    <row r="4559" spans="1:4">
      <c r="A4559" s="13"/>
      <c r="B4559" s="13"/>
      <c r="C4559" s="13"/>
      <c r="D4559" s="13"/>
    </row>
    <row r="4560" spans="1:4">
      <c r="A4560" s="13"/>
      <c r="B4560" s="13"/>
      <c r="C4560" s="13"/>
      <c r="D4560" s="13"/>
    </row>
    <row r="4561" spans="1:4">
      <c r="A4561" s="13"/>
      <c r="B4561" s="13"/>
      <c r="C4561" s="13"/>
      <c r="D4561" s="13"/>
    </row>
    <row r="4562" spans="1:4">
      <c r="A4562" s="13"/>
      <c r="B4562" s="13"/>
      <c r="C4562" s="13"/>
      <c r="D4562" s="13"/>
    </row>
    <row r="4563" spans="1:4">
      <c r="A4563" s="13"/>
      <c r="B4563" s="13"/>
      <c r="C4563" s="13"/>
      <c r="D4563" s="13"/>
    </row>
    <row r="4564" spans="1:4">
      <c r="A4564" s="13"/>
      <c r="B4564" s="13"/>
      <c r="C4564" s="13"/>
      <c r="D4564" s="13"/>
    </row>
    <row r="4565" spans="1:4">
      <c r="A4565" s="13"/>
      <c r="B4565" s="13"/>
      <c r="C4565" s="13"/>
      <c r="D4565" s="13"/>
    </row>
    <row r="4566" spans="1:4">
      <c r="A4566" s="13"/>
      <c r="B4566" s="13"/>
      <c r="C4566" s="13"/>
      <c r="D4566" s="13"/>
    </row>
    <row r="4567" spans="1:4">
      <c r="A4567" s="13"/>
      <c r="B4567" s="13"/>
      <c r="C4567" s="13"/>
      <c r="D4567" s="13"/>
    </row>
    <row r="4568" spans="1:4">
      <c r="A4568" s="13"/>
      <c r="B4568" s="13"/>
      <c r="C4568" s="13"/>
      <c r="D4568" s="13"/>
    </row>
    <row r="4569" spans="1:4">
      <c r="A4569" s="13"/>
      <c r="B4569" s="13"/>
      <c r="C4569" s="13"/>
      <c r="D4569" s="13"/>
    </row>
    <row r="4570" spans="1:4">
      <c r="A4570" s="13"/>
      <c r="B4570" s="13"/>
      <c r="C4570" s="13"/>
      <c r="D4570" s="13"/>
    </row>
    <row r="4571" spans="1:4">
      <c r="A4571" s="13"/>
      <c r="B4571" s="13"/>
      <c r="C4571" s="13"/>
      <c r="D4571" s="13"/>
    </row>
    <row r="4572" spans="1:4">
      <c r="A4572" s="13"/>
      <c r="B4572" s="13"/>
      <c r="C4572" s="13"/>
      <c r="D4572" s="13"/>
    </row>
    <row r="4573" spans="1:4">
      <c r="A4573" s="13"/>
      <c r="B4573" s="13"/>
      <c r="C4573" s="13"/>
      <c r="D4573" s="13"/>
    </row>
    <row r="4574" spans="1:4">
      <c r="A4574" s="13"/>
      <c r="B4574" s="13"/>
      <c r="C4574" s="13"/>
      <c r="D4574" s="13"/>
    </row>
    <row r="4575" spans="1:4">
      <c r="A4575" s="13"/>
      <c r="B4575" s="13"/>
      <c r="C4575" s="13"/>
      <c r="D4575" s="13"/>
    </row>
    <row r="4576" spans="1:4">
      <c r="A4576" s="13"/>
      <c r="B4576" s="13"/>
      <c r="C4576" s="13"/>
      <c r="D4576" s="13"/>
    </row>
    <row r="4577" spans="1:4">
      <c r="A4577" s="13"/>
      <c r="B4577" s="13"/>
      <c r="C4577" s="13"/>
      <c r="D4577" s="13"/>
    </row>
    <row r="4578" spans="1:4">
      <c r="A4578" s="13"/>
      <c r="B4578" s="13"/>
      <c r="C4578" s="13"/>
      <c r="D4578" s="13"/>
    </row>
    <row r="4579" spans="1:4">
      <c r="A4579" s="13"/>
      <c r="B4579" s="13"/>
      <c r="C4579" s="13"/>
      <c r="D4579" s="13"/>
    </row>
    <row r="4580" spans="1:4">
      <c r="A4580" s="13"/>
      <c r="B4580" s="13"/>
      <c r="C4580" s="13"/>
      <c r="D4580" s="13"/>
    </row>
    <row r="4581" spans="1:4">
      <c r="A4581" s="13"/>
      <c r="B4581" s="13"/>
      <c r="C4581" s="13"/>
      <c r="D4581" s="13"/>
    </row>
    <row r="4582" spans="1:4">
      <c r="A4582" s="13"/>
      <c r="B4582" s="13"/>
      <c r="C4582" s="13"/>
      <c r="D4582" s="13"/>
    </row>
    <row r="4583" spans="1:4">
      <c r="A4583" s="13"/>
      <c r="B4583" s="13"/>
      <c r="C4583" s="13"/>
      <c r="D4583" s="13"/>
    </row>
    <row r="4584" spans="1:4">
      <c r="A4584" s="13"/>
      <c r="B4584" s="13"/>
      <c r="C4584" s="13"/>
      <c r="D4584" s="13"/>
    </row>
    <row r="4585" spans="1:4">
      <c r="A4585" s="13"/>
      <c r="B4585" s="13"/>
      <c r="C4585" s="13"/>
      <c r="D4585" s="13"/>
    </row>
    <row r="4586" spans="1:4">
      <c r="A4586" s="13"/>
      <c r="B4586" s="13"/>
      <c r="C4586" s="13"/>
      <c r="D4586" s="13"/>
    </row>
    <row r="4587" spans="1:4">
      <c r="A4587" s="13"/>
      <c r="B4587" s="13"/>
      <c r="C4587" s="13"/>
      <c r="D4587" s="13"/>
    </row>
    <row r="4588" spans="1:4">
      <c r="A4588" s="13"/>
      <c r="B4588" s="13"/>
      <c r="C4588" s="13"/>
      <c r="D4588" s="13"/>
    </row>
    <row r="4589" spans="1:4">
      <c r="A4589" s="13"/>
      <c r="B4589" s="13"/>
      <c r="C4589" s="13"/>
      <c r="D4589" s="13"/>
    </row>
    <row r="4590" spans="1:4">
      <c r="A4590" s="13"/>
      <c r="B4590" s="13"/>
      <c r="C4590" s="13"/>
      <c r="D4590" s="13"/>
    </row>
    <row r="4591" spans="1:4">
      <c r="A4591" s="13"/>
      <c r="B4591" s="13"/>
      <c r="C4591" s="13"/>
      <c r="D4591" s="13"/>
    </row>
    <row r="4592" spans="1:4">
      <c r="A4592" s="13"/>
      <c r="B4592" s="13"/>
      <c r="C4592" s="13"/>
      <c r="D4592" s="13"/>
    </row>
    <row r="4593" spans="1:4">
      <c r="A4593" s="13"/>
      <c r="B4593" s="13"/>
      <c r="C4593" s="13"/>
      <c r="D4593" s="13"/>
    </row>
    <row r="4594" spans="1:4">
      <c r="A4594" s="13"/>
      <c r="B4594" s="13"/>
      <c r="C4594" s="13"/>
      <c r="D4594" s="13"/>
    </row>
    <row r="4595" spans="1:4">
      <c r="A4595" s="13"/>
      <c r="B4595" s="13"/>
      <c r="C4595" s="13"/>
      <c r="D4595" s="13"/>
    </row>
    <row r="4596" spans="1:4">
      <c r="A4596" s="13"/>
      <c r="B4596" s="13"/>
      <c r="C4596" s="13"/>
      <c r="D4596" s="13"/>
    </row>
    <row r="4597" spans="1:4">
      <c r="A4597" s="13"/>
      <c r="B4597" s="13"/>
      <c r="C4597" s="13"/>
      <c r="D4597" s="13"/>
    </row>
    <row r="4598" spans="1:4">
      <c r="A4598" s="13"/>
      <c r="B4598" s="13"/>
      <c r="C4598" s="13"/>
      <c r="D4598" s="13"/>
    </row>
    <row r="4599" spans="1:4">
      <c r="A4599" s="13"/>
      <c r="B4599" s="13"/>
      <c r="C4599" s="13"/>
      <c r="D4599" s="13"/>
    </row>
    <row r="4600" spans="1:4">
      <c r="A4600" s="13"/>
      <c r="B4600" s="13"/>
      <c r="C4600" s="13"/>
      <c r="D4600" s="13"/>
    </row>
    <row r="4601" spans="1:4">
      <c r="A4601" s="13"/>
      <c r="B4601" s="13"/>
      <c r="C4601" s="13"/>
      <c r="D4601" s="13"/>
    </row>
    <row r="4602" spans="1:4">
      <c r="A4602" s="13"/>
      <c r="B4602" s="13"/>
      <c r="C4602" s="13"/>
      <c r="D4602" s="13"/>
    </row>
    <row r="4603" spans="1:4">
      <c r="A4603" s="13"/>
      <c r="B4603" s="13"/>
      <c r="C4603" s="13"/>
      <c r="D4603" s="13"/>
    </row>
    <row r="4604" spans="1:4">
      <c r="A4604" s="13"/>
      <c r="B4604" s="13"/>
      <c r="C4604" s="13"/>
      <c r="D4604" s="13"/>
    </row>
    <row r="4605" spans="1:4">
      <c r="A4605" s="13"/>
      <c r="B4605" s="13"/>
      <c r="C4605" s="13"/>
      <c r="D4605" s="13"/>
    </row>
    <row r="4606" spans="1:4">
      <c r="A4606" s="13"/>
      <c r="B4606" s="13"/>
      <c r="C4606" s="13"/>
      <c r="D4606" s="13"/>
    </row>
    <row r="4607" spans="1:4">
      <c r="A4607" s="13"/>
      <c r="B4607" s="13"/>
      <c r="C4607" s="13"/>
      <c r="D4607" s="13"/>
    </row>
    <row r="4608" spans="1:4">
      <c r="A4608" s="13"/>
      <c r="B4608" s="13"/>
      <c r="C4608" s="13"/>
      <c r="D4608" s="13"/>
    </row>
    <row r="4609" spans="1:4">
      <c r="A4609" s="13"/>
      <c r="B4609" s="13"/>
      <c r="C4609" s="13"/>
      <c r="D4609" s="13"/>
    </row>
    <row r="4610" spans="1:4">
      <c r="A4610" s="13"/>
      <c r="B4610" s="13"/>
      <c r="C4610" s="13"/>
      <c r="D4610" s="13"/>
    </row>
    <row r="4611" spans="1:4">
      <c r="A4611" s="13"/>
      <c r="B4611" s="13"/>
      <c r="C4611" s="13"/>
      <c r="D4611" s="13"/>
    </row>
    <row r="4612" spans="1:4">
      <c r="A4612" s="13"/>
      <c r="B4612" s="13"/>
      <c r="C4612" s="13"/>
      <c r="D4612" s="13"/>
    </row>
    <row r="4613" spans="1:4">
      <c r="A4613" s="13"/>
      <c r="B4613" s="13"/>
      <c r="C4613" s="13"/>
      <c r="D4613" s="13"/>
    </row>
    <row r="4614" spans="1:4">
      <c r="A4614" s="13"/>
      <c r="B4614" s="13"/>
      <c r="C4614" s="13"/>
      <c r="D4614" s="13"/>
    </row>
    <row r="4615" spans="1:4">
      <c r="A4615" s="13"/>
      <c r="B4615" s="13"/>
      <c r="C4615" s="13"/>
      <c r="D4615" s="13"/>
    </row>
    <row r="4616" spans="1:4">
      <c r="A4616" s="13"/>
      <c r="B4616" s="13"/>
      <c r="C4616" s="13"/>
      <c r="D4616" s="13"/>
    </row>
    <row r="4617" spans="1:4">
      <c r="A4617" s="13"/>
      <c r="B4617" s="13"/>
      <c r="C4617" s="13"/>
      <c r="D4617" s="13"/>
    </row>
    <row r="4618" spans="1:4">
      <c r="A4618" s="13"/>
      <c r="B4618" s="13"/>
      <c r="C4618" s="13"/>
      <c r="D4618" s="13"/>
    </row>
    <row r="4619" spans="1:4">
      <c r="A4619" s="13"/>
      <c r="B4619" s="13"/>
      <c r="C4619" s="13"/>
      <c r="D4619" s="13"/>
    </row>
    <row r="4620" spans="1:4">
      <c r="A4620" s="13"/>
      <c r="B4620" s="13"/>
      <c r="C4620" s="13"/>
      <c r="D4620" s="13"/>
    </row>
    <row r="4621" spans="1:4">
      <c r="A4621" s="13"/>
      <c r="B4621" s="13"/>
      <c r="C4621" s="13"/>
      <c r="D4621" s="13"/>
    </row>
    <row r="4622" spans="1:4">
      <c r="A4622" s="13"/>
      <c r="B4622" s="13"/>
      <c r="C4622" s="13"/>
      <c r="D4622" s="13"/>
    </row>
    <row r="4623" spans="1:4">
      <c r="A4623" s="13"/>
      <c r="B4623" s="13"/>
      <c r="C4623" s="13"/>
      <c r="D4623" s="13"/>
    </row>
    <row r="4624" spans="1:4">
      <c r="A4624" s="13"/>
      <c r="B4624" s="13"/>
      <c r="C4624" s="13"/>
      <c r="D4624" s="13"/>
    </row>
    <row r="4625" spans="1:4">
      <c r="A4625" s="13"/>
      <c r="B4625" s="13"/>
      <c r="C4625" s="13"/>
      <c r="D4625" s="13"/>
    </row>
    <row r="4626" spans="1:4">
      <c r="A4626" s="13"/>
      <c r="B4626" s="13"/>
      <c r="C4626" s="13"/>
      <c r="D4626" s="13"/>
    </row>
    <row r="4627" spans="1:4">
      <c r="A4627" s="13"/>
      <c r="B4627" s="13"/>
      <c r="C4627" s="13"/>
      <c r="D4627" s="13"/>
    </row>
    <row r="4628" spans="1:4">
      <c r="A4628" s="13"/>
      <c r="B4628" s="13"/>
      <c r="C4628" s="13"/>
      <c r="D4628" s="13"/>
    </row>
    <row r="4629" spans="1:4">
      <c r="A4629" s="13"/>
      <c r="B4629" s="13"/>
      <c r="C4629" s="13"/>
      <c r="D4629" s="13"/>
    </row>
    <row r="4630" spans="1:4">
      <c r="A4630" s="13"/>
      <c r="B4630" s="13"/>
      <c r="C4630" s="13"/>
      <c r="D4630" s="13"/>
    </row>
    <row r="4631" spans="1:4">
      <c r="A4631" s="13"/>
      <c r="B4631" s="13"/>
      <c r="C4631" s="13"/>
      <c r="D4631" s="13"/>
    </row>
    <row r="4632" spans="1:4">
      <c r="A4632" s="13"/>
      <c r="B4632" s="13"/>
      <c r="C4632" s="13"/>
      <c r="D4632" s="13"/>
    </row>
    <row r="4633" spans="1:4">
      <c r="A4633" s="13"/>
      <c r="B4633" s="13"/>
      <c r="C4633" s="13"/>
      <c r="D4633" s="13"/>
    </row>
    <row r="4634" spans="1:4">
      <c r="A4634" s="13"/>
      <c r="B4634" s="13"/>
      <c r="C4634" s="13"/>
      <c r="D4634" s="13"/>
    </row>
    <row r="4635" spans="1:4">
      <c r="A4635" s="13"/>
      <c r="B4635" s="13"/>
      <c r="C4635" s="13"/>
      <c r="D4635" s="13"/>
    </row>
    <row r="4636" spans="1:4">
      <c r="A4636" s="13"/>
      <c r="B4636" s="13"/>
      <c r="C4636" s="13"/>
      <c r="D4636" s="13"/>
    </row>
    <row r="4637" spans="1:4">
      <c r="A4637" s="13"/>
      <c r="B4637" s="13"/>
      <c r="C4637" s="13"/>
      <c r="D4637" s="13"/>
    </row>
    <row r="4638" spans="1:4">
      <c r="A4638" s="13"/>
      <c r="B4638" s="13"/>
      <c r="C4638" s="13"/>
      <c r="D4638" s="13"/>
    </row>
    <row r="4639" spans="1:4">
      <c r="A4639" s="13"/>
      <c r="B4639" s="13"/>
      <c r="C4639" s="13"/>
      <c r="D4639" s="13"/>
    </row>
    <row r="4640" spans="1:4">
      <c r="A4640" s="13"/>
      <c r="B4640" s="13"/>
      <c r="C4640" s="13"/>
      <c r="D4640" s="13"/>
    </row>
    <row r="4641" spans="1:4">
      <c r="A4641" s="13"/>
      <c r="B4641" s="13"/>
      <c r="C4641" s="13"/>
      <c r="D4641" s="13"/>
    </row>
    <row r="4642" spans="1:4">
      <c r="A4642" s="13"/>
      <c r="B4642" s="13"/>
      <c r="C4642" s="13"/>
      <c r="D4642" s="13"/>
    </row>
    <row r="4643" spans="1:4">
      <c r="A4643" s="13"/>
      <c r="B4643" s="13"/>
      <c r="C4643" s="13"/>
      <c r="D4643" s="13"/>
    </row>
    <row r="4644" spans="1:4">
      <c r="A4644" s="13"/>
      <c r="B4644" s="13"/>
      <c r="C4644" s="13"/>
      <c r="D4644" s="13"/>
    </row>
    <row r="4645" spans="1:4">
      <c r="A4645" s="13"/>
      <c r="B4645" s="13"/>
      <c r="C4645" s="13"/>
      <c r="D4645" s="13"/>
    </row>
    <row r="4646" spans="1:4">
      <c r="A4646" s="13"/>
      <c r="B4646" s="13"/>
      <c r="C4646" s="13"/>
      <c r="D4646" s="13"/>
    </row>
    <row r="4647" spans="1:4">
      <c r="A4647" s="13"/>
      <c r="B4647" s="13"/>
      <c r="C4647" s="13"/>
      <c r="D4647" s="13"/>
    </row>
    <row r="4648" spans="1:4">
      <c r="A4648" s="13"/>
      <c r="B4648" s="13"/>
      <c r="C4648" s="13"/>
      <c r="D4648" s="13"/>
    </row>
    <row r="4649" spans="1:4">
      <c r="A4649" s="13"/>
      <c r="B4649" s="13"/>
      <c r="C4649" s="13"/>
      <c r="D4649" s="13"/>
    </row>
    <row r="4650" spans="1:4">
      <c r="A4650" s="13"/>
      <c r="B4650" s="13"/>
      <c r="C4650" s="13"/>
      <c r="D4650" s="13"/>
    </row>
    <row r="4651" spans="1:4">
      <c r="A4651" s="13"/>
      <c r="B4651" s="13"/>
      <c r="C4651" s="13"/>
      <c r="D4651" s="13"/>
    </row>
    <row r="4652" spans="1:4">
      <c r="A4652" s="13"/>
      <c r="B4652" s="13"/>
      <c r="C4652" s="13"/>
      <c r="D4652" s="13"/>
    </row>
    <row r="4653" spans="1:4">
      <c r="A4653" s="13"/>
      <c r="B4653" s="13"/>
      <c r="C4653" s="13"/>
      <c r="D4653" s="13"/>
    </row>
    <row r="4654" spans="1:4">
      <c r="A4654" s="13"/>
      <c r="B4654" s="13"/>
      <c r="C4654" s="13"/>
      <c r="D4654" s="13"/>
    </row>
    <row r="4655" spans="1:4">
      <c r="A4655" s="13"/>
      <c r="B4655" s="13"/>
      <c r="C4655" s="13"/>
      <c r="D4655" s="13"/>
    </row>
    <row r="4656" spans="1:4">
      <c r="A4656" s="13"/>
      <c r="B4656" s="13"/>
      <c r="C4656" s="13"/>
      <c r="D4656" s="13"/>
    </row>
    <row r="4657" spans="1:4">
      <c r="A4657" s="13"/>
      <c r="B4657" s="13"/>
      <c r="C4657" s="13"/>
      <c r="D4657" s="13"/>
    </row>
    <row r="4658" spans="1:4">
      <c r="A4658" s="13"/>
      <c r="B4658" s="13"/>
      <c r="C4658" s="13"/>
      <c r="D4658" s="13"/>
    </row>
    <row r="4659" spans="1:4">
      <c r="A4659" s="13"/>
      <c r="B4659" s="13"/>
      <c r="C4659" s="13"/>
      <c r="D4659" s="13"/>
    </row>
    <row r="4660" spans="1:4">
      <c r="A4660" s="13"/>
      <c r="B4660" s="13"/>
      <c r="C4660" s="13"/>
      <c r="D4660" s="13"/>
    </row>
    <row r="4661" spans="1:4">
      <c r="A4661" s="13"/>
      <c r="B4661" s="13"/>
      <c r="C4661" s="13"/>
      <c r="D4661" s="13"/>
    </row>
    <row r="4662" spans="1:4">
      <c r="A4662" s="13"/>
      <c r="B4662" s="13"/>
      <c r="C4662" s="13"/>
      <c r="D4662" s="13"/>
    </row>
    <row r="4663" spans="1:4">
      <c r="A4663" s="13"/>
      <c r="B4663" s="13"/>
      <c r="C4663" s="13"/>
      <c r="D4663" s="13"/>
    </row>
    <row r="4664" spans="1:4">
      <c r="A4664" s="13"/>
      <c r="B4664" s="13"/>
      <c r="C4664" s="13"/>
      <c r="D4664" s="13"/>
    </row>
    <row r="4665" spans="1:4">
      <c r="A4665" s="13"/>
      <c r="B4665" s="13"/>
      <c r="C4665" s="13"/>
      <c r="D4665" s="13"/>
    </row>
    <row r="4666" spans="1:4">
      <c r="A4666" s="13"/>
      <c r="B4666" s="13"/>
      <c r="C4666" s="13"/>
      <c r="D4666" s="13"/>
    </row>
    <row r="4667" spans="1:4">
      <c r="A4667" s="13"/>
      <c r="B4667" s="13"/>
      <c r="C4667" s="13"/>
      <c r="D4667" s="13"/>
    </row>
    <row r="4668" spans="1:4">
      <c r="A4668" s="13"/>
      <c r="B4668" s="13"/>
      <c r="C4668" s="13"/>
      <c r="D4668" s="13"/>
    </row>
    <row r="4669" spans="1:4">
      <c r="A4669" s="13"/>
      <c r="B4669" s="13"/>
      <c r="C4669" s="13"/>
      <c r="D4669" s="13"/>
    </row>
    <row r="4670" spans="1:4">
      <c r="A4670" s="13"/>
      <c r="B4670" s="13"/>
      <c r="C4670" s="13"/>
      <c r="D4670" s="13"/>
    </row>
    <row r="4671" spans="1:4">
      <c r="A4671" s="13"/>
      <c r="B4671" s="13"/>
      <c r="C4671" s="13"/>
      <c r="D4671" s="13"/>
    </row>
    <row r="4672" spans="1:4">
      <c r="A4672" s="13"/>
      <c r="B4672" s="13"/>
      <c r="C4672" s="13"/>
      <c r="D4672" s="13"/>
    </row>
    <row r="4673" spans="1:4">
      <c r="A4673" s="13"/>
      <c r="B4673" s="13"/>
      <c r="C4673" s="13"/>
      <c r="D4673" s="13"/>
    </row>
    <row r="4674" spans="1:4">
      <c r="A4674" s="13"/>
      <c r="B4674" s="13"/>
      <c r="C4674" s="13"/>
      <c r="D4674" s="13"/>
    </row>
    <row r="4675" spans="1:4">
      <c r="A4675" s="13"/>
      <c r="B4675" s="13"/>
      <c r="C4675" s="13"/>
      <c r="D4675" s="13"/>
    </row>
    <row r="4676" spans="1:4">
      <c r="A4676" s="13"/>
      <c r="B4676" s="13"/>
      <c r="C4676" s="13"/>
      <c r="D4676" s="13"/>
    </row>
    <row r="4677" spans="1:4">
      <c r="A4677" s="13"/>
      <c r="B4677" s="13"/>
      <c r="C4677" s="13"/>
      <c r="D4677" s="13"/>
    </row>
    <row r="4678" spans="1:4">
      <c r="A4678" s="13"/>
      <c r="B4678" s="13"/>
      <c r="C4678" s="13"/>
      <c r="D4678" s="13"/>
    </row>
    <row r="4679" spans="1:4">
      <c r="A4679" s="13"/>
      <c r="B4679" s="13"/>
      <c r="C4679" s="13"/>
      <c r="D4679" s="13"/>
    </row>
    <row r="4680" spans="1:4">
      <c r="A4680" s="13"/>
      <c r="B4680" s="13"/>
      <c r="C4680" s="13"/>
      <c r="D4680" s="13"/>
    </row>
    <row r="4681" spans="1:4">
      <c r="A4681" s="13"/>
      <c r="B4681" s="13"/>
      <c r="C4681" s="13"/>
      <c r="D4681" s="13"/>
    </row>
    <row r="4682" spans="1:4">
      <c r="A4682" s="13"/>
      <c r="B4682" s="13"/>
      <c r="C4682" s="13"/>
      <c r="D4682" s="13"/>
    </row>
    <row r="4683" spans="1:4">
      <c r="A4683" s="13"/>
      <c r="B4683" s="13"/>
      <c r="C4683" s="13"/>
      <c r="D4683" s="13"/>
    </row>
    <row r="4684" spans="1:4">
      <c r="A4684" s="13"/>
      <c r="B4684" s="13"/>
      <c r="C4684" s="13"/>
      <c r="D4684" s="13"/>
    </row>
    <row r="4685" spans="1:4">
      <c r="A4685" s="13"/>
      <c r="B4685" s="13"/>
      <c r="C4685" s="13"/>
      <c r="D4685" s="13"/>
    </row>
    <row r="4686" spans="1:4">
      <c r="A4686" s="13"/>
      <c r="B4686" s="13"/>
      <c r="C4686" s="13"/>
      <c r="D4686" s="13"/>
    </row>
    <row r="4687" spans="1:4">
      <c r="A4687" s="13"/>
      <c r="B4687" s="13"/>
      <c r="C4687" s="13"/>
      <c r="D4687" s="13"/>
    </row>
    <row r="4688" spans="1:4">
      <c r="A4688" s="13"/>
      <c r="B4688" s="13"/>
      <c r="C4688" s="13"/>
      <c r="D4688" s="13"/>
    </row>
    <row r="4689" spans="1:4">
      <c r="A4689" s="13"/>
      <c r="B4689" s="13"/>
      <c r="C4689" s="13"/>
      <c r="D4689" s="13"/>
    </row>
    <row r="4690" spans="1:4">
      <c r="A4690" s="13"/>
      <c r="B4690" s="13"/>
      <c r="C4690" s="13"/>
      <c r="D4690" s="13"/>
    </row>
    <row r="4691" spans="1:4">
      <c r="A4691" s="13"/>
      <c r="B4691" s="13"/>
      <c r="C4691" s="13"/>
      <c r="D4691" s="13"/>
    </row>
    <row r="4692" spans="1:4">
      <c r="A4692" s="13"/>
      <c r="B4692" s="13"/>
      <c r="C4692" s="13"/>
      <c r="D4692" s="13"/>
    </row>
    <row r="4693" spans="1:4">
      <c r="A4693" s="13"/>
      <c r="B4693" s="13"/>
      <c r="C4693" s="13"/>
      <c r="D4693" s="13"/>
    </row>
    <row r="4694" spans="1:4">
      <c r="A4694" s="13"/>
      <c r="B4694" s="13"/>
      <c r="C4694" s="13"/>
      <c r="D4694" s="13"/>
    </row>
    <row r="4695" spans="1:4">
      <c r="A4695" s="13"/>
      <c r="B4695" s="13"/>
      <c r="C4695" s="13"/>
      <c r="D4695" s="13"/>
    </row>
    <row r="4696" spans="1:4">
      <c r="A4696" s="13"/>
      <c r="B4696" s="13"/>
      <c r="C4696" s="13"/>
      <c r="D4696" s="13"/>
    </row>
    <row r="4697" spans="1:4">
      <c r="A4697" s="13"/>
      <c r="B4697" s="13"/>
      <c r="C4697" s="13"/>
      <c r="D4697" s="13"/>
    </row>
    <row r="4698" spans="1:4">
      <c r="A4698" s="13"/>
      <c r="B4698" s="13"/>
      <c r="C4698" s="13"/>
      <c r="D4698" s="13"/>
    </row>
    <row r="4699" spans="1:4">
      <c r="A4699" s="13"/>
      <c r="B4699" s="13"/>
      <c r="C4699" s="13"/>
      <c r="D4699" s="13"/>
    </row>
    <row r="4700" spans="1:4">
      <c r="A4700" s="13"/>
      <c r="B4700" s="13"/>
      <c r="C4700" s="13"/>
      <c r="D4700" s="13"/>
    </row>
    <row r="4701" spans="1:4">
      <c r="A4701" s="13"/>
      <c r="B4701" s="13"/>
      <c r="C4701" s="13"/>
      <c r="D4701" s="13"/>
    </row>
    <row r="4702" spans="1:4">
      <c r="A4702" s="13"/>
      <c r="B4702" s="13"/>
      <c r="C4702" s="13"/>
      <c r="D4702" s="13"/>
    </row>
    <row r="4703" spans="1:4">
      <c r="A4703" s="13"/>
      <c r="B4703" s="13"/>
      <c r="C4703" s="13"/>
      <c r="D4703" s="13"/>
    </row>
    <row r="4704" spans="1:4">
      <c r="A4704" s="13"/>
      <c r="B4704" s="13"/>
      <c r="C4704" s="13"/>
      <c r="D4704" s="13"/>
    </row>
    <row r="4705" spans="1:4">
      <c r="A4705" s="13"/>
      <c r="B4705" s="13"/>
      <c r="C4705" s="13"/>
      <c r="D4705" s="13"/>
    </row>
    <row r="4706" spans="1:4">
      <c r="A4706" s="13"/>
      <c r="B4706" s="13"/>
      <c r="C4706" s="13"/>
      <c r="D4706" s="13"/>
    </row>
    <row r="4707" spans="1:4">
      <c r="A4707" s="13"/>
      <c r="B4707" s="13"/>
      <c r="C4707" s="13"/>
      <c r="D4707" s="13"/>
    </row>
    <row r="4708" spans="1:4">
      <c r="A4708" s="13"/>
      <c r="B4708" s="13"/>
      <c r="C4708" s="13"/>
      <c r="D4708" s="13"/>
    </row>
    <row r="4709" spans="1:4">
      <c r="A4709" s="13"/>
      <c r="B4709" s="13"/>
      <c r="C4709" s="13"/>
      <c r="D4709" s="13"/>
    </row>
    <row r="4710" spans="1:4">
      <c r="A4710" s="13"/>
      <c r="B4710" s="13"/>
      <c r="C4710" s="13"/>
      <c r="D4710" s="13"/>
    </row>
    <row r="4711" spans="1:4">
      <c r="A4711" s="13"/>
      <c r="B4711" s="13"/>
      <c r="C4711" s="13"/>
      <c r="D4711" s="13"/>
    </row>
    <row r="4712" spans="1:4">
      <c r="A4712" s="13"/>
      <c r="B4712" s="13"/>
      <c r="C4712" s="13"/>
      <c r="D4712" s="13"/>
    </row>
    <row r="4713" spans="1:4">
      <c r="A4713" s="13"/>
      <c r="B4713" s="13"/>
      <c r="C4713" s="13"/>
      <c r="D4713" s="13"/>
    </row>
    <row r="4714" spans="1:4">
      <c r="A4714" s="13"/>
      <c r="B4714" s="13"/>
      <c r="C4714" s="13"/>
      <c r="D4714" s="13"/>
    </row>
    <row r="4715" spans="1:4">
      <c r="A4715" s="13"/>
      <c r="B4715" s="13"/>
      <c r="C4715" s="13"/>
      <c r="D4715" s="13"/>
    </row>
    <row r="4716" spans="1:4">
      <c r="A4716" s="13"/>
      <c r="B4716" s="13"/>
      <c r="C4716" s="13"/>
      <c r="D4716" s="13"/>
    </row>
    <row r="4717" spans="1:4">
      <c r="A4717" s="13"/>
      <c r="B4717" s="13"/>
      <c r="C4717" s="13"/>
      <c r="D4717" s="13"/>
    </row>
    <row r="4718" spans="1:4">
      <c r="A4718" s="13"/>
      <c r="B4718" s="13"/>
      <c r="C4718" s="13"/>
      <c r="D4718" s="13"/>
    </row>
    <row r="4719" spans="1:4">
      <c r="A4719" s="13"/>
      <c r="B4719" s="13"/>
      <c r="C4719" s="13"/>
      <c r="D4719" s="13"/>
    </row>
    <row r="4720" spans="1:4">
      <c r="A4720" s="13"/>
      <c r="B4720" s="13"/>
      <c r="C4720" s="13"/>
      <c r="D4720" s="13"/>
    </row>
    <row r="4721" spans="1:4">
      <c r="A4721" s="13"/>
      <c r="B4721" s="13"/>
      <c r="C4721" s="13"/>
      <c r="D4721" s="13"/>
    </row>
    <row r="4722" spans="1:4">
      <c r="A4722" s="13"/>
      <c r="B4722" s="13"/>
      <c r="C4722" s="13"/>
      <c r="D4722" s="13"/>
    </row>
    <row r="4723" spans="1:4">
      <c r="A4723" s="13"/>
      <c r="B4723" s="13"/>
      <c r="C4723" s="13"/>
      <c r="D4723" s="13"/>
    </row>
    <row r="4724" spans="1:4">
      <c r="A4724" s="13"/>
      <c r="B4724" s="13"/>
      <c r="C4724" s="13"/>
      <c r="D4724" s="13"/>
    </row>
    <row r="4725" spans="1:4">
      <c r="A4725" s="13"/>
      <c r="B4725" s="13"/>
      <c r="C4725" s="13"/>
      <c r="D4725" s="13"/>
    </row>
    <row r="4726" spans="1:4">
      <c r="A4726" s="13"/>
      <c r="B4726" s="13"/>
      <c r="C4726" s="13"/>
      <c r="D4726" s="13"/>
    </row>
    <row r="4727" spans="1:4">
      <c r="A4727" s="13"/>
      <c r="B4727" s="13"/>
      <c r="C4727" s="13"/>
      <c r="D4727" s="13"/>
    </row>
    <row r="4728" spans="1:4">
      <c r="A4728" s="13"/>
      <c r="B4728" s="13"/>
      <c r="C4728" s="13"/>
      <c r="D4728" s="13"/>
    </row>
    <row r="4729" spans="1:4">
      <c r="A4729" s="13"/>
      <c r="B4729" s="13"/>
      <c r="C4729" s="13"/>
      <c r="D4729" s="13"/>
    </row>
    <row r="4730" spans="1:4">
      <c r="A4730" s="13"/>
      <c r="B4730" s="13"/>
      <c r="C4730" s="13"/>
      <c r="D4730" s="13"/>
    </row>
    <row r="4731" spans="1:4">
      <c r="A4731" s="13"/>
      <c r="B4731" s="13"/>
      <c r="C4731" s="13"/>
      <c r="D4731" s="13"/>
    </row>
    <row r="4732" spans="1:4">
      <c r="A4732" s="13"/>
      <c r="B4732" s="13"/>
      <c r="C4732" s="13"/>
      <c r="D4732" s="13"/>
    </row>
    <row r="4733" spans="1:4">
      <c r="A4733" s="13"/>
      <c r="B4733" s="13"/>
      <c r="C4733" s="13"/>
      <c r="D4733" s="13"/>
    </row>
    <row r="4734" spans="1:4">
      <c r="A4734" s="13"/>
      <c r="B4734" s="13"/>
      <c r="C4734" s="13"/>
      <c r="D4734" s="13"/>
    </row>
    <row r="4735" spans="1:4">
      <c r="A4735" s="13"/>
      <c r="B4735" s="13"/>
      <c r="C4735" s="13"/>
      <c r="D4735" s="13"/>
    </row>
    <row r="4736" spans="1:4">
      <c r="A4736" s="13"/>
      <c r="B4736" s="13"/>
      <c r="C4736" s="13"/>
      <c r="D4736" s="13"/>
    </row>
    <row r="4737" spans="1:4">
      <c r="A4737" s="13"/>
      <c r="B4737" s="13"/>
      <c r="C4737" s="13"/>
      <c r="D4737" s="13"/>
    </row>
    <row r="4738" spans="1:4">
      <c r="A4738" s="13"/>
      <c r="B4738" s="13"/>
      <c r="C4738" s="13"/>
      <c r="D4738" s="13"/>
    </row>
    <row r="4739" spans="1:4">
      <c r="A4739" s="13"/>
      <c r="B4739" s="13"/>
      <c r="C4739" s="13"/>
      <c r="D4739" s="13"/>
    </row>
    <row r="4740" spans="1:4">
      <c r="A4740" s="13"/>
      <c r="B4740" s="13"/>
      <c r="C4740" s="13"/>
      <c r="D4740" s="13"/>
    </row>
    <row r="4741" spans="1:4">
      <c r="A4741" s="13"/>
      <c r="B4741" s="13"/>
      <c r="C4741" s="13"/>
      <c r="D4741" s="13"/>
    </row>
    <row r="4742" spans="1:4">
      <c r="A4742" s="13"/>
      <c r="B4742" s="13"/>
      <c r="C4742" s="13"/>
      <c r="D4742" s="13"/>
    </row>
    <row r="4743" spans="1:4">
      <c r="A4743" s="13"/>
      <c r="B4743" s="13"/>
      <c r="C4743" s="13"/>
      <c r="D4743" s="13"/>
    </row>
    <row r="4744" spans="1:4">
      <c r="A4744" s="13"/>
      <c r="B4744" s="13"/>
      <c r="C4744" s="13"/>
      <c r="D4744" s="13"/>
    </row>
    <row r="4745" spans="1:4">
      <c r="A4745" s="13"/>
      <c r="B4745" s="13"/>
      <c r="C4745" s="13"/>
      <c r="D4745" s="13"/>
    </row>
    <row r="4746" spans="1:4">
      <c r="A4746" s="13"/>
      <c r="B4746" s="13"/>
      <c r="C4746" s="13"/>
      <c r="D4746" s="13"/>
    </row>
    <row r="4747" spans="1:4">
      <c r="A4747" s="13"/>
      <c r="B4747" s="13"/>
      <c r="C4747" s="13"/>
      <c r="D4747" s="13"/>
    </row>
    <row r="4748" spans="1:4">
      <c r="A4748" s="13"/>
      <c r="B4748" s="13"/>
      <c r="C4748" s="13"/>
      <c r="D4748" s="13"/>
    </row>
    <row r="4749" spans="1:4">
      <c r="A4749" s="13"/>
      <c r="B4749" s="13"/>
      <c r="C4749" s="13"/>
      <c r="D4749" s="13"/>
    </row>
    <row r="4750" spans="1:4">
      <c r="A4750" s="13"/>
      <c r="B4750" s="13"/>
      <c r="C4750" s="13"/>
      <c r="D4750" s="13"/>
    </row>
    <row r="4751" spans="1:4">
      <c r="A4751" s="13"/>
      <c r="B4751" s="13"/>
      <c r="C4751" s="13"/>
      <c r="D4751" s="13"/>
    </row>
    <row r="4752" spans="1:4">
      <c r="A4752" s="13"/>
      <c r="B4752" s="13"/>
      <c r="C4752" s="13"/>
      <c r="D4752" s="13"/>
    </row>
    <row r="4753" spans="1:4">
      <c r="A4753" s="13"/>
      <c r="B4753" s="13"/>
      <c r="C4753" s="13"/>
      <c r="D4753" s="13"/>
    </row>
    <row r="4754" spans="1:4">
      <c r="A4754" s="13"/>
      <c r="B4754" s="13"/>
      <c r="C4754" s="13"/>
      <c r="D4754" s="13"/>
    </row>
    <row r="4755" spans="1:4">
      <c r="A4755" s="13"/>
      <c r="B4755" s="13"/>
      <c r="C4755" s="13"/>
      <c r="D4755" s="13"/>
    </row>
    <row r="4756" spans="1:4">
      <c r="A4756" s="13"/>
      <c r="B4756" s="13"/>
      <c r="C4756" s="13"/>
      <c r="D4756" s="13"/>
    </row>
    <row r="4757" spans="1:4">
      <c r="A4757" s="13"/>
      <c r="B4757" s="13"/>
      <c r="C4757" s="13"/>
      <c r="D4757" s="13"/>
    </row>
    <row r="4758" spans="1:4">
      <c r="A4758" s="13"/>
      <c r="B4758" s="13"/>
      <c r="C4758" s="13"/>
      <c r="D4758" s="13"/>
    </row>
    <row r="4759" spans="1:4">
      <c r="A4759" s="13"/>
      <c r="B4759" s="13"/>
      <c r="C4759" s="13"/>
      <c r="D4759" s="13"/>
    </row>
    <row r="4760" spans="1:4">
      <c r="A4760" s="13"/>
      <c r="B4760" s="13"/>
      <c r="C4760" s="13"/>
      <c r="D4760" s="13"/>
    </row>
    <row r="4761" spans="1:4">
      <c r="A4761" s="13"/>
      <c r="B4761" s="13"/>
      <c r="C4761" s="13"/>
      <c r="D4761" s="13"/>
    </row>
    <row r="4762" spans="1:4">
      <c r="A4762" s="13"/>
      <c r="B4762" s="13"/>
      <c r="C4762" s="13"/>
      <c r="D4762" s="13"/>
    </row>
    <row r="4763" spans="1:4">
      <c r="A4763" s="13"/>
      <c r="B4763" s="13"/>
      <c r="C4763" s="13"/>
      <c r="D4763" s="13"/>
    </row>
    <row r="4764" spans="1:4">
      <c r="A4764" s="13"/>
      <c r="B4764" s="13"/>
      <c r="C4764" s="13"/>
      <c r="D4764" s="13"/>
    </row>
    <row r="4765" spans="1:4">
      <c r="A4765" s="13"/>
      <c r="B4765" s="13"/>
      <c r="C4765" s="13"/>
      <c r="D4765" s="13"/>
    </row>
    <row r="4766" spans="1:4">
      <c r="A4766" s="13"/>
      <c r="B4766" s="13"/>
      <c r="C4766" s="13"/>
      <c r="D4766" s="13"/>
    </row>
    <row r="4767" spans="1:4">
      <c r="A4767" s="13"/>
      <c r="B4767" s="13"/>
      <c r="C4767" s="13"/>
      <c r="D4767" s="13"/>
    </row>
    <row r="4768" spans="1:4">
      <c r="A4768" s="13"/>
      <c r="B4768" s="13"/>
      <c r="C4768" s="13"/>
      <c r="D4768" s="13"/>
    </row>
    <row r="4769" spans="1:4">
      <c r="A4769" s="13"/>
      <c r="B4769" s="13"/>
      <c r="C4769" s="13"/>
      <c r="D4769" s="13"/>
    </row>
    <row r="4770" spans="1:4">
      <c r="A4770" s="13"/>
      <c r="B4770" s="13"/>
      <c r="C4770" s="13"/>
      <c r="D4770" s="13"/>
    </row>
    <row r="4771" spans="1:4">
      <c r="A4771" s="13"/>
      <c r="B4771" s="13"/>
      <c r="C4771" s="13"/>
      <c r="D4771" s="13"/>
    </row>
    <row r="4772" spans="1:4">
      <c r="A4772" s="13"/>
      <c r="B4772" s="13"/>
      <c r="C4772" s="13"/>
      <c r="D4772" s="13"/>
    </row>
    <row r="4773" spans="1:4">
      <c r="A4773" s="13"/>
      <c r="B4773" s="13"/>
      <c r="C4773" s="13"/>
      <c r="D4773" s="13"/>
    </row>
    <row r="4774" spans="1:4">
      <c r="A4774" s="13"/>
      <c r="B4774" s="13"/>
      <c r="C4774" s="13"/>
      <c r="D4774" s="13"/>
    </row>
    <row r="4775" spans="1:4">
      <c r="A4775" s="13"/>
      <c r="B4775" s="13"/>
      <c r="C4775" s="13"/>
      <c r="D4775" s="13"/>
    </row>
    <row r="4776" spans="1:4">
      <c r="A4776" s="13"/>
      <c r="B4776" s="13"/>
      <c r="C4776" s="13"/>
      <c r="D4776" s="13"/>
    </row>
    <row r="4777" spans="1:4">
      <c r="A4777" s="13"/>
      <c r="B4777" s="13"/>
      <c r="C4777" s="13"/>
      <c r="D4777" s="13"/>
    </row>
    <row r="4778" spans="1:4">
      <c r="A4778" s="13"/>
      <c r="B4778" s="13"/>
      <c r="C4778" s="13"/>
      <c r="D4778" s="13"/>
    </row>
    <row r="4779" spans="1:4">
      <c r="A4779" s="13"/>
      <c r="B4779" s="13"/>
      <c r="C4779" s="13"/>
      <c r="D4779" s="13"/>
    </row>
    <row r="4780" spans="1:4">
      <c r="A4780" s="13"/>
      <c r="B4780" s="13"/>
      <c r="C4780" s="13"/>
      <c r="D4780" s="13"/>
    </row>
    <row r="4781" spans="1:4">
      <c r="A4781" s="13"/>
      <c r="B4781" s="13"/>
      <c r="C4781" s="13"/>
      <c r="D4781" s="13"/>
    </row>
    <row r="4782" spans="1:4">
      <c r="A4782" s="13"/>
      <c r="B4782" s="13"/>
      <c r="C4782" s="13"/>
      <c r="D4782" s="13"/>
    </row>
    <row r="4783" spans="1:4">
      <c r="A4783" s="13"/>
      <c r="B4783" s="13"/>
      <c r="C4783" s="13"/>
      <c r="D4783" s="13"/>
    </row>
    <row r="4784" spans="1:4">
      <c r="A4784" s="13"/>
      <c r="B4784" s="13"/>
      <c r="C4784" s="13"/>
      <c r="D4784" s="13"/>
    </row>
    <row r="4785" spans="1:4">
      <c r="A4785" s="13"/>
      <c r="B4785" s="13"/>
      <c r="C4785" s="13"/>
      <c r="D4785" s="13"/>
    </row>
    <row r="4786" spans="1:4">
      <c r="A4786" s="13"/>
      <c r="B4786" s="13"/>
      <c r="C4786" s="13"/>
      <c r="D4786" s="13"/>
    </row>
    <row r="4787" spans="1:4">
      <c r="A4787" s="13"/>
      <c r="B4787" s="13"/>
      <c r="C4787" s="13"/>
      <c r="D4787" s="13"/>
    </row>
    <row r="4788" spans="1:4">
      <c r="A4788" s="13"/>
      <c r="B4788" s="13"/>
      <c r="C4788" s="13"/>
      <c r="D4788" s="13"/>
    </row>
    <row r="4789" spans="1:4">
      <c r="A4789" s="13"/>
      <c r="B4789" s="13"/>
      <c r="C4789" s="13"/>
      <c r="D4789" s="13"/>
    </row>
    <row r="4790" spans="1:4">
      <c r="A4790" s="13"/>
      <c r="B4790" s="13"/>
      <c r="C4790" s="13"/>
      <c r="D4790" s="13"/>
    </row>
    <row r="4791" spans="1:4">
      <c r="A4791" s="13"/>
      <c r="B4791" s="13"/>
      <c r="C4791" s="13"/>
      <c r="D4791" s="13"/>
    </row>
    <row r="4792" spans="1:4">
      <c r="A4792" s="13"/>
      <c r="B4792" s="13"/>
      <c r="C4792" s="13"/>
      <c r="D4792" s="13"/>
    </row>
    <row r="4793" spans="1:4">
      <c r="A4793" s="13"/>
      <c r="B4793" s="13"/>
      <c r="C4793" s="13"/>
      <c r="D4793" s="13"/>
    </row>
    <row r="4794" spans="1:4">
      <c r="A4794" s="13"/>
      <c r="B4794" s="13"/>
      <c r="C4794" s="13"/>
      <c r="D4794" s="13"/>
    </row>
    <row r="4795" spans="1:4">
      <c r="A4795" s="13"/>
      <c r="B4795" s="13"/>
      <c r="C4795" s="13"/>
      <c r="D4795" s="13"/>
    </row>
    <row r="4796" spans="1:4">
      <c r="A4796" s="13"/>
      <c r="B4796" s="13"/>
      <c r="C4796" s="13"/>
      <c r="D4796" s="13"/>
    </row>
    <row r="4797" spans="1:4">
      <c r="A4797" s="13"/>
      <c r="B4797" s="13"/>
      <c r="C4797" s="13"/>
      <c r="D4797" s="13"/>
    </row>
    <row r="4798" spans="1:4">
      <c r="A4798" s="13"/>
      <c r="B4798" s="13"/>
      <c r="C4798" s="13"/>
      <c r="D4798" s="13"/>
    </row>
    <row r="4799" spans="1:4">
      <c r="A4799" s="13"/>
      <c r="B4799" s="13"/>
      <c r="C4799" s="13"/>
      <c r="D4799" s="13"/>
    </row>
    <row r="4800" spans="1:4">
      <c r="A4800" s="13"/>
      <c r="B4800" s="13"/>
      <c r="C4800" s="13"/>
      <c r="D4800" s="13"/>
    </row>
    <row r="4801" spans="1:4">
      <c r="A4801" s="13"/>
      <c r="B4801" s="13"/>
      <c r="C4801" s="13"/>
      <c r="D4801" s="13"/>
    </row>
    <row r="4802" spans="1:4">
      <c r="A4802" s="13"/>
      <c r="B4802" s="13"/>
      <c r="C4802" s="13"/>
      <c r="D4802" s="13"/>
    </row>
    <row r="4803" spans="1:4">
      <c r="A4803" s="13"/>
      <c r="B4803" s="13"/>
      <c r="C4803" s="13"/>
      <c r="D4803" s="13"/>
    </row>
    <row r="4804" spans="1:4">
      <c r="A4804" s="13"/>
      <c r="B4804" s="13"/>
      <c r="C4804" s="13"/>
      <c r="D4804" s="13"/>
    </row>
    <row r="4805" spans="1:4">
      <c r="A4805" s="13"/>
      <c r="B4805" s="13"/>
      <c r="C4805" s="13"/>
      <c r="D4805" s="13"/>
    </row>
    <row r="4806" spans="1:4">
      <c r="A4806" s="13"/>
      <c r="B4806" s="13"/>
      <c r="C4806" s="13"/>
      <c r="D4806" s="13"/>
    </row>
    <row r="4807" spans="1:4">
      <c r="A4807" s="13"/>
      <c r="B4807" s="13"/>
      <c r="C4807" s="13"/>
      <c r="D4807" s="13"/>
    </row>
    <row r="4808" spans="1:4">
      <c r="A4808" s="13"/>
      <c r="B4808" s="13"/>
      <c r="C4808" s="13"/>
      <c r="D4808" s="13"/>
    </row>
    <row r="4809" spans="1:4">
      <c r="A4809" s="13"/>
      <c r="B4809" s="13"/>
      <c r="C4809" s="13"/>
      <c r="D4809" s="13"/>
    </row>
    <row r="4810" spans="1:4">
      <c r="A4810" s="13"/>
      <c r="B4810" s="13"/>
      <c r="C4810" s="13"/>
      <c r="D4810" s="13"/>
    </row>
    <row r="4811" spans="1:4">
      <c r="A4811" s="13"/>
      <c r="B4811" s="13"/>
      <c r="C4811" s="13"/>
      <c r="D4811" s="13"/>
    </row>
    <row r="4812" spans="1:4">
      <c r="A4812" s="13"/>
      <c r="B4812" s="13"/>
      <c r="C4812" s="13"/>
      <c r="D4812" s="13"/>
    </row>
    <row r="4813" spans="1:4">
      <c r="A4813" s="13"/>
      <c r="B4813" s="13"/>
      <c r="C4813" s="13"/>
      <c r="D4813" s="13"/>
    </row>
    <row r="4814" spans="1:4">
      <c r="A4814" s="13"/>
      <c r="B4814" s="13"/>
      <c r="C4814" s="13"/>
      <c r="D4814" s="13"/>
    </row>
    <row r="4815" spans="1:4">
      <c r="A4815" s="13"/>
      <c r="B4815" s="13"/>
      <c r="C4815" s="13"/>
      <c r="D4815" s="13"/>
    </row>
    <row r="4816" spans="1:4">
      <c r="A4816" s="13"/>
      <c r="B4816" s="13"/>
      <c r="C4816" s="13"/>
      <c r="D4816" s="13"/>
    </row>
    <row r="4817" spans="1:4">
      <c r="A4817" s="13"/>
      <c r="B4817" s="13"/>
      <c r="C4817" s="13"/>
      <c r="D4817" s="13"/>
    </row>
    <row r="4818" spans="1:4">
      <c r="A4818" s="13"/>
      <c r="B4818" s="13"/>
      <c r="C4818" s="13"/>
      <c r="D4818" s="13"/>
    </row>
    <row r="4819" spans="1:4">
      <c r="A4819" s="13"/>
      <c r="B4819" s="13"/>
      <c r="C4819" s="13"/>
      <c r="D4819" s="13"/>
    </row>
    <row r="4820" spans="1:4">
      <c r="A4820" s="13"/>
      <c r="B4820" s="13"/>
      <c r="C4820" s="13"/>
      <c r="D4820" s="13"/>
    </row>
    <row r="4821" spans="1:4">
      <c r="A4821" s="13"/>
      <c r="B4821" s="13"/>
      <c r="C4821" s="13"/>
      <c r="D4821" s="13"/>
    </row>
    <row r="4822" spans="1:4">
      <c r="A4822" s="13"/>
      <c r="B4822" s="13"/>
      <c r="C4822" s="13"/>
      <c r="D4822" s="13"/>
    </row>
    <row r="4823" spans="1:4">
      <c r="A4823" s="13"/>
      <c r="B4823" s="13"/>
      <c r="C4823" s="13"/>
      <c r="D4823" s="13"/>
    </row>
    <row r="4824" spans="1:4">
      <c r="A4824" s="13"/>
      <c r="B4824" s="13"/>
      <c r="C4824" s="13"/>
      <c r="D4824" s="13"/>
    </row>
    <row r="4825" spans="1:4">
      <c r="A4825" s="13"/>
      <c r="B4825" s="13"/>
      <c r="C4825" s="13"/>
      <c r="D4825" s="13"/>
    </row>
    <row r="4826" spans="1:4">
      <c r="A4826" s="13"/>
      <c r="B4826" s="13"/>
      <c r="C4826" s="13"/>
      <c r="D4826" s="13"/>
    </row>
    <row r="4827" spans="1:4">
      <c r="A4827" s="13"/>
      <c r="B4827" s="13"/>
      <c r="C4827" s="13"/>
      <c r="D4827" s="13"/>
    </row>
    <row r="4828" spans="1:4">
      <c r="A4828" s="13"/>
      <c r="B4828" s="13"/>
      <c r="C4828" s="13"/>
      <c r="D4828" s="13"/>
    </row>
    <row r="4829" spans="1:4">
      <c r="A4829" s="13"/>
      <c r="B4829" s="13"/>
      <c r="C4829" s="13"/>
      <c r="D4829" s="13"/>
    </row>
    <row r="4830" spans="1:4">
      <c r="A4830" s="13"/>
      <c r="B4830" s="13"/>
      <c r="C4830" s="13"/>
      <c r="D4830" s="13"/>
    </row>
    <row r="4831" spans="1:4">
      <c r="A4831" s="13"/>
      <c r="B4831" s="13"/>
      <c r="C4831" s="13"/>
      <c r="D4831" s="13"/>
    </row>
    <row r="4832" spans="1:4">
      <c r="A4832" s="13"/>
      <c r="B4832" s="13"/>
      <c r="C4832" s="13"/>
      <c r="D4832" s="13"/>
    </row>
    <row r="4833" spans="1:4">
      <c r="A4833" s="13"/>
      <c r="B4833" s="13"/>
      <c r="C4833" s="13"/>
      <c r="D4833" s="13"/>
    </row>
    <row r="4834" spans="1:4">
      <c r="A4834" s="13"/>
      <c r="B4834" s="13"/>
      <c r="C4834" s="13"/>
      <c r="D4834" s="13"/>
    </row>
    <row r="4835" spans="1:4">
      <c r="A4835" s="13"/>
      <c r="B4835" s="13"/>
      <c r="C4835" s="13"/>
      <c r="D4835" s="13"/>
    </row>
    <row r="4836" spans="1:4">
      <c r="A4836" s="13"/>
      <c r="B4836" s="13"/>
      <c r="C4836" s="13"/>
      <c r="D4836" s="13"/>
    </row>
    <row r="4837" spans="1:4">
      <c r="A4837" s="13"/>
      <c r="B4837" s="13"/>
      <c r="C4837" s="13"/>
      <c r="D4837" s="13"/>
    </row>
    <row r="4838" spans="1:4">
      <c r="A4838" s="13"/>
      <c r="B4838" s="13"/>
      <c r="C4838" s="13"/>
      <c r="D4838" s="13"/>
    </row>
    <row r="4839" spans="1:4">
      <c r="A4839" s="13"/>
      <c r="B4839" s="13"/>
      <c r="C4839" s="13"/>
      <c r="D4839" s="13"/>
    </row>
    <row r="4840" spans="1:4">
      <c r="A4840" s="13"/>
      <c r="B4840" s="13"/>
      <c r="C4840" s="13"/>
      <c r="D4840" s="13"/>
    </row>
    <row r="4841" spans="1:4">
      <c r="A4841" s="13"/>
      <c r="B4841" s="13"/>
      <c r="C4841" s="13"/>
      <c r="D4841" s="13"/>
    </row>
    <row r="4842" spans="1:4">
      <c r="A4842" s="13"/>
      <c r="B4842" s="13"/>
      <c r="C4842" s="13"/>
      <c r="D4842" s="13"/>
    </row>
    <row r="4843" spans="1:4">
      <c r="A4843" s="13"/>
      <c r="B4843" s="13"/>
      <c r="C4843" s="13"/>
      <c r="D4843" s="13"/>
    </row>
    <row r="4844" spans="1:4">
      <c r="A4844" s="13"/>
      <c r="B4844" s="13"/>
      <c r="C4844" s="13"/>
      <c r="D4844" s="13"/>
    </row>
    <row r="4845" spans="1:4">
      <c r="A4845" s="13"/>
      <c r="B4845" s="13"/>
      <c r="C4845" s="13"/>
      <c r="D4845" s="13"/>
    </row>
    <row r="4846" spans="1:4">
      <c r="A4846" s="13"/>
      <c r="B4846" s="13"/>
      <c r="C4846" s="13"/>
      <c r="D4846" s="13"/>
    </row>
    <row r="4847" spans="1:4">
      <c r="A4847" s="13"/>
      <c r="B4847" s="13"/>
      <c r="C4847" s="13"/>
      <c r="D4847" s="13"/>
    </row>
    <row r="4848" spans="1:4">
      <c r="A4848" s="13"/>
      <c r="B4848" s="13"/>
      <c r="C4848" s="13"/>
      <c r="D4848" s="13"/>
    </row>
    <row r="4849" spans="1:4">
      <c r="A4849" s="13"/>
      <c r="B4849" s="13"/>
      <c r="C4849" s="13"/>
      <c r="D4849" s="13"/>
    </row>
    <row r="4850" spans="1:4">
      <c r="A4850" s="13"/>
      <c r="B4850" s="13"/>
      <c r="C4850" s="13"/>
      <c r="D4850" s="13"/>
    </row>
    <row r="4851" spans="1:4">
      <c r="A4851" s="13"/>
      <c r="B4851" s="13"/>
      <c r="C4851" s="13"/>
      <c r="D4851" s="13"/>
    </row>
    <row r="4852" spans="1:4">
      <c r="A4852" s="13"/>
      <c r="B4852" s="13"/>
      <c r="C4852" s="13"/>
      <c r="D4852" s="13"/>
    </row>
    <row r="4853" spans="1:4">
      <c r="A4853" s="13"/>
      <c r="B4853" s="13"/>
      <c r="C4853" s="13"/>
      <c r="D4853" s="13"/>
    </row>
    <row r="4854" spans="1:4">
      <c r="A4854" s="13"/>
      <c r="B4854" s="13"/>
      <c r="C4854" s="13"/>
      <c r="D4854" s="13"/>
    </row>
    <row r="4855" spans="1:4">
      <c r="A4855" s="13"/>
      <c r="B4855" s="13"/>
      <c r="C4855" s="13"/>
      <c r="D4855" s="13"/>
    </row>
    <row r="4856" spans="1:4">
      <c r="A4856" s="13"/>
      <c r="B4856" s="13"/>
      <c r="C4856" s="13"/>
      <c r="D4856" s="13"/>
    </row>
    <row r="4857" spans="1:4">
      <c r="A4857" s="13"/>
      <c r="B4857" s="13"/>
      <c r="C4857" s="13"/>
      <c r="D4857" s="13"/>
    </row>
    <row r="4858" spans="1:4">
      <c r="A4858" s="13"/>
      <c r="B4858" s="13"/>
      <c r="C4858" s="13"/>
      <c r="D4858" s="13"/>
    </row>
    <row r="4859" spans="1:4">
      <c r="A4859" s="13"/>
      <c r="B4859" s="13"/>
      <c r="C4859" s="13"/>
      <c r="D4859" s="13"/>
    </row>
    <row r="4860" spans="1:4">
      <c r="A4860" s="13"/>
      <c r="B4860" s="13"/>
      <c r="C4860" s="13"/>
      <c r="D4860" s="13"/>
    </row>
    <row r="4861" spans="1:4">
      <c r="A4861" s="13"/>
      <c r="B4861" s="13"/>
      <c r="C4861" s="13"/>
      <c r="D4861" s="13"/>
    </row>
    <row r="4862" spans="1:4">
      <c r="A4862" s="13"/>
      <c r="B4862" s="13"/>
      <c r="C4862" s="13"/>
      <c r="D4862" s="13"/>
    </row>
    <row r="4863" spans="1:4">
      <c r="A4863" s="13"/>
      <c r="B4863" s="13"/>
      <c r="C4863" s="13"/>
      <c r="D4863" s="13"/>
    </row>
    <row r="4864" spans="1:4">
      <c r="A4864" s="13"/>
      <c r="B4864" s="13"/>
      <c r="C4864" s="13"/>
      <c r="D4864" s="13"/>
    </row>
    <row r="4865" spans="1:4">
      <c r="A4865" s="13"/>
      <c r="B4865" s="13"/>
      <c r="C4865" s="13"/>
      <c r="D4865" s="13"/>
    </row>
    <row r="4866" spans="1:4">
      <c r="A4866" s="13"/>
      <c r="B4866" s="13"/>
      <c r="C4866" s="13"/>
      <c r="D4866" s="13"/>
    </row>
    <row r="4867" spans="1:4">
      <c r="A4867" s="13"/>
      <c r="B4867" s="13"/>
      <c r="C4867" s="13"/>
      <c r="D4867" s="13"/>
    </row>
    <row r="4868" spans="1:4">
      <c r="A4868" s="13"/>
      <c r="B4868" s="13"/>
      <c r="C4868" s="13"/>
      <c r="D4868" s="13"/>
    </row>
    <row r="4869" spans="1:4">
      <c r="A4869" s="13"/>
      <c r="B4869" s="13"/>
      <c r="C4869" s="13"/>
      <c r="D4869" s="13"/>
    </row>
    <row r="4870" spans="1:4">
      <c r="A4870" s="13"/>
      <c r="B4870" s="13"/>
      <c r="C4870" s="13"/>
      <c r="D4870" s="13"/>
    </row>
    <row r="4871" spans="1:4">
      <c r="A4871" s="13"/>
      <c r="B4871" s="13"/>
      <c r="C4871" s="13"/>
      <c r="D4871" s="13"/>
    </row>
    <row r="4872" spans="1:4">
      <c r="A4872" s="13"/>
      <c r="B4872" s="13"/>
      <c r="C4872" s="13"/>
      <c r="D4872" s="13"/>
    </row>
    <row r="4873" spans="1:4">
      <c r="A4873" s="13"/>
      <c r="B4873" s="13"/>
      <c r="C4873" s="13"/>
      <c r="D4873" s="13"/>
    </row>
    <row r="4874" spans="1:4">
      <c r="A4874" s="13"/>
      <c r="B4874" s="13"/>
      <c r="C4874" s="13"/>
      <c r="D4874" s="13"/>
    </row>
    <row r="4875" spans="1:4">
      <c r="A4875" s="13"/>
      <c r="B4875" s="13"/>
      <c r="C4875" s="13"/>
      <c r="D4875" s="13"/>
    </row>
    <row r="4876" spans="1:4">
      <c r="A4876" s="13"/>
      <c r="B4876" s="13"/>
      <c r="C4876" s="13"/>
      <c r="D4876" s="13"/>
    </row>
    <row r="4877" spans="1:4">
      <c r="A4877" s="13"/>
      <c r="B4877" s="13"/>
      <c r="C4877" s="13"/>
      <c r="D4877" s="13"/>
    </row>
    <row r="4878" spans="1:4">
      <c r="A4878" s="13"/>
      <c r="B4878" s="13"/>
      <c r="C4878" s="13"/>
      <c r="D4878" s="13"/>
    </row>
    <row r="4879" spans="1:4">
      <c r="A4879" s="13"/>
      <c r="B4879" s="13"/>
      <c r="C4879" s="13"/>
      <c r="D4879" s="13"/>
    </row>
    <row r="4880" spans="1:4">
      <c r="A4880" s="13"/>
      <c r="B4880" s="13"/>
      <c r="C4880" s="13"/>
      <c r="D4880" s="13"/>
    </row>
    <row r="4881" spans="1:4">
      <c r="A4881" s="13"/>
      <c r="B4881" s="13"/>
      <c r="C4881" s="13"/>
      <c r="D4881" s="13"/>
    </row>
    <row r="4882" spans="1:4">
      <c r="A4882" s="13"/>
      <c r="B4882" s="13"/>
      <c r="C4882" s="13"/>
      <c r="D4882" s="13"/>
    </row>
    <row r="4883" spans="1:4">
      <c r="A4883" s="13"/>
      <c r="B4883" s="13"/>
      <c r="C4883" s="13"/>
      <c r="D4883" s="13"/>
    </row>
    <row r="4884" spans="1:4">
      <c r="A4884" s="13"/>
      <c r="B4884" s="13"/>
      <c r="C4884" s="13"/>
      <c r="D4884" s="13"/>
    </row>
    <row r="4885" spans="1:4">
      <c r="A4885" s="13"/>
      <c r="B4885" s="13"/>
      <c r="C4885" s="13"/>
      <c r="D4885" s="13"/>
    </row>
    <row r="4886" spans="1:4">
      <c r="A4886" s="13"/>
      <c r="B4886" s="13"/>
      <c r="C4886" s="13"/>
      <c r="D4886" s="13"/>
    </row>
    <row r="4887" spans="1:4">
      <c r="A4887" s="13"/>
      <c r="B4887" s="13"/>
      <c r="C4887" s="13"/>
      <c r="D4887" s="13"/>
    </row>
    <row r="4888" spans="1:4">
      <c r="A4888" s="13"/>
      <c r="B4888" s="13"/>
      <c r="C4888" s="13"/>
      <c r="D4888" s="13"/>
    </row>
    <row r="4889" spans="1:4">
      <c r="A4889" s="13"/>
      <c r="B4889" s="13"/>
      <c r="C4889" s="13"/>
      <c r="D4889" s="13"/>
    </row>
    <row r="4890" spans="1:4">
      <c r="A4890" s="13"/>
      <c r="B4890" s="13"/>
      <c r="C4890" s="13"/>
      <c r="D4890" s="13"/>
    </row>
    <row r="4891" spans="1:4">
      <c r="A4891" s="13"/>
      <c r="B4891" s="13"/>
      <c r="C4891" s="13"/>
      <c r="D4891" s="13"/>
    </row>
    <row r="4892" spans="1:4">
      <c r="A4892" s="13"/>
      <c r="B4892" s="13"/>
      <c r="C4892" s="13"/>
      <c r="D4892" s="13"/>
    </row>
    <row r="4893" spans="1:4">
      <c r="A4893" s="13"/>
      <c r="B4893" s="13"/>
      <c r="C4893" s="13"/>
      <c r="D4893" s="13"/>
    </row>
    <row r="4894" spans="1:4">
      <c r="A4894" s="13"/>
      <c r="B4894" s="13"/>
      <c r="C4894" s="13"/>
      <c r="D4894" s="13"/>
    </row>
    <row r="4895" spans="1:4">
      <c r="A4895" s="13"/>
      <c r="B4895" s="13"/>
      <c r="C4895" s="13"/>
      <c r="D4895" s="13"/>
    </row>
    <row r="4896" spans="1:4">
      <c r="A4896" s="13"/>
      <c r="B4896" s="13"/>
      <c r="C4896" s="13"/>
      <c r="D4896" s="13"/>
    </row>
    <row r="4897" spans="1:4">
      <c r="A4897" s="13"/>
      <c r="B4897" s="13"/>
      <c r="C4897" s="13"/>
      <c r="D4897" s="13"/>
    </row>
    <row r="4898" spans="1:4">
      <c r="A4898" s="13"/>
      <c r="B4898" s="13"/>
      <c r="C4898" s="13"/>
      <c r="D4898" s="13"/>
    </row>
    <row r="4899" spans="1:4">
      <c r="A4899" s="13"/>
      <c r="B4899" s="13"/>
      <c r="C4899" s="13"/>
      <c r="D4899" s="13"/>
    </row>
    <row r="4900" spans="1:4">
      <c r="A4900" s="13"/>
      <c r="B4900" s="13"/>
      <c r="C4900" s="13"/>
      <c r="D4900" s="13"/>
    </row>
    <row r="4901" spans="1:4">
      <c r="A4901" s="13"/>
      <c r="B4901" s="13"/>
      <c r="C4901" s="13"/>
      <c r="D4901" s="13"/>
    </row>
    <row r="4902" spans="1:4">
      <c r="A4902" s="13"/>
      <c r="B4902" s="13"/>
      <c r="C4902" s="13"/>
      <c r="D4902" s="13"/>
    </row>
    <row r="4903" spans="1:4">
      <c r="A4903" s="13"/>
      <c r="B4903" s="13"/>
      <c r="C4903" s="13"/>
      <c r="D4903" s="13"/>
    </row>
    <row r="4904" spans="1:4">
      <c r="A4904" s="13"/>
      <c r="B4904" s="13"/>
      <c r="C4904" s="13"/>
      <c r="D4904" s="13"/>
    </row>
    <row r="4905" spans="1:4">
      <c r="A4905" s="13"/>
      <c r="B4905" s="13"/>
      <c r="C4905" s="13"/>
      <c r="D4905" s="13"/>
    </row>
    <row r="4906" spans="1:4">
      <c r="A4906" s="13"/>
      <c r="B4906" s="13"/>
      <c r="C4906" s="13"/>
      <c r="D4906" s="13"/>
    </row>
    <row r="4907" spans="1:4">
      <c r="A4907" s="13"/>
      <c r="B4907" s="13"/>
      <c r="C4907" s="13"/>
      <c r="D4907" s="13"/>
    </row>
    <row r="4908" spans="1:4">
      <c r="A4908" s="13"/>
      <c r="B4908" s="13"/>
      <c r="C4908" s="13"/>
      <c r="D4908" s="13"/>
    </row>
    <row r="4909" spans="1:4">
      <c r="A4909" s="13"/>
      <c r="B4909" s="13"/>
      <c r="C4909" s="13"/>
      <c r="D4909" s="13"/>
    </row>
    <row r="4910" spans="1:4">
      <c r="A4910" s="13"/>
      <c r="B4910" s="13"/>
      <c r="C4910" s="13"/>
      <c r="D4910" s="13"/>
    </row>
    <row r="4911" spans="1:4">
      <c r="A4911" s="13"/>
      <c r="B4911" s="13"/>
      <c r="C4911" s="13"/>
      <c r="D4911" s="13"/>
    </row>
    <row r="4912" spans="1:4">
      <c r="A4912" s="13"/>
      <c r="B4912" s="13"/>
      <c r="C4912" s="13"/>
      <c r="D4912" s="13"/>
    </row>
    <row r="4913" spans="1:4">
      <c r="A4913" s="13"/>
      <c r="B4913" s="13"/>
      <c r="C4913" s="13"/>
      <c r="D4913" s="13"/>
    </row>
    <row r="4914" spans="1:4">
      <c r="A4914" s="13"/>
      <c r="B4914" s="13"/>
      <c r="C4914" s="13"/>
      <c r="D4914" s="13"/>
    </row>
    <row r="4915" spans="1:4">
      <c r="A4915" s="13"/>
      <c r="B4915" s="13"/>
      <c r="C4915" s="13"/>
      <c r="D4915" s="13"/>
    </row>
    <row r="4916" spans="1:4">
      <c r="A4916" s="13"/>
      <c r="B4916" s="13"/>
      <c r="C4916" s="13"/>
      <c r="D4916" s="13"/>
    </row>
    <row r="4917" spans="1:4">
      <c r="A4917" s="13"/>
      <c r="B4917" s="13"/>
      <c r="C4917" s="13"/>
      <c r="D4917" s="13"/>
    </row>
    <row r="4918" spans="1:4">
      <c r="A4918" s="13"/>
      <c r="B4918" s="13"/>
      <c r="C4918" s="13"/>
      <c r="D4918" s="13"/>
    </row>
    <row r="4919" spans="1:4">
      <c r="A4919" s="13"/>
      <c r="B4919" s="13"/>
      <c r="C4919" s="13"/>
      <c r="D4919" s="13"/>
    </row>
    <row r="4920" spans="1:4">
      <c r="A4920" s="13"/>
      <c r="B4920" s="13"/>
      <c r="C4920" s="13"/>
      <c r="D4920" s="13"/>
    </row>
    <row r="4921" spans="1:4">
      <c r="A4921" s="13"/>
      <c r="B4921" s="13"/>
      <c r="C4921" s="13"/>
      <c r="D4921" s="13"/>
    </row>
    <row r="4922" spans="1:4">
      <c r="A4922" s="13"/>
      <c r="B4922" s="13"/>
      <c r="C4922" s="13"/>
      <c r="D4922" s="13"/>
    </row>
    <row r="4923" spans="1:4">
      <c r="A4923" s="13"/>
      <c r="B4923" s="13"/>
      <c r="C4923" s="13"/>
      <c r="D4923" s="13"/>
    </row>
    <row r="4924" spans="1:4">
      <c r="A4924" s="13"/>
      <c r="B4924" s="13"/>
      <c r="C4924" s="13"/>
      <c r="D4924" s="13"/>
    </row>
    <row r="4925" spans="1:4">
      <c r="A4925" s="13"/>
      <c r="B4925" s="13"/>
      <c r="C4925" s="13"/>
      <c r="D4925" s="13"/>
    </row>
    <row r="4926" spans="1:4">
      <c r="A4926" s="13"/>
      <c r="B4926" s="13"/>
      <c r="C4926" s="13"/>
      <c r="D4926" s="13"/>
    </row>
    <row r="4927" spans="1:4">
      <c r="A4927" s="13"/>
      <c r="B4927" s="13"/>
      <c r="C4927" s="13"/>
      <c r="D4927" s="13"/>
    </row>
    <row r="4928" spans="1:4">
      <c r="A4928" s="13"/>
      <c r="B4928" s="13"/>
      <c r="C4928" s="13"/>
      <c r="D4928" s="13"/>
    </row>
    <row r="4929" spans="1:4">
      <c r="A4929" s="13"/>
      <c r="B4929" s="13"/>
      <c r="C4929" s="13"/>
      <c r="D4929" s="13"/>
    </row>
    <row r="4930" spans="1:4">
      <c r="A4930" s="13"/>
      <c r="B4930" s="13"/>
      <c r="C4930" s="13"/>
      <c r="D4930" s="13"/>
    </row>
    <row r="4931" spans="1:4">
      <c r="A4931" s="13"/>
      <c r="B4931" s="13"/>
      <c r="C4931" s="13"/>
      <c r="D4931" s="13"/>
    </row>
    <row r="4932" spans="1:4">
      <c r="A4932" s="13"/>
      <c r="B4932" s="13"/>
      <c r="C4932" s="13"/>
      <c r="D4932" s="13"/>
    </row>
    <row r="4933" spans="1:4">
      <c r="A4933" s="13"/>
      <c r="B4933" s="13"/>
      <c r="C4933" s="13"/>
      <c r="D4933" s="13"/>
    </row>
    <row r="4934" spans="1:4">
      <c r="A4934" s="13"/>
      <c r="B4934" s="13"/>
      <c r="C4934" s="13"/>
      <c r="D4934" s="13"/>
    </row>
    <row r="4935" spans="1:4">
      <c r="A4935" s="13"/>
      <c r="B4935" s="13"/>
      <c r="C4935" s="13"/>
      <c r="D4935" s="13"/>
    </row>
    <row r="4936" spans="1:4">
      <c r="A4936" s="13"/>
      <c r="B4936" s="13"/>
      <c r="C4936" s="13"/>
      <c r="D4936" s="13"/>
    </row>
    <row r="4937" spans="1:4">
      <c r="A4937" s="13"/>
      <c r="B4937" s="13"/>
      <c r="C4937" s="13"/>
      <c r="D4937" s="13"/>
    </row>
    <row r="4938" spans="1:4">
      <c r="A4938" s="13"/>
      <c r="B4938" s="13"/>
      <c r="C4938" s="13"/>
      <c r="D4938" s="13"/>
    </row>
    <row r="4939" spans="1:4">
      <c r="A4939" s="13"/>
      <c r="B4939" s="13"/>
      <c r="C4939" s="13"/>
      <c r="D4939" s="13"/>
    </row>
    <row r="4940" spans="1:4">
      <c r="A4940" s="13"/>
      <c r="B4940" s="13"/>
      <c r="C4940" s="13"/>
      <c r="D4940" s="13"/>
    </row>
    <row r="4941" spans="1:4">
      <c r="A4941" s="13"/>
      <c r="B4941" s="13"/>
      <c r="C4941" s="13"/>
      <c r="D4941" s="13"/>
    </row>
    <row r="4942" spans="1:4">
      <c r="A4942" s="13"/>
      <c r="B4942" s="13"/>
      <c r="C4942" s="13"/>
      <c r="D4942" s="13"/>
    </row>
    <row r="4943" spans="1:4">
      <c r="A4943" s="13"/>
      <c r="B4943" s="13"/>
      <c r="C4943" s="13"/>
      <c r="D4943" s="13"/>
    </row>
    <row r="4944" spans="1:4">
      <c r="A4944" s="13"/>
      <c r="B4944" s="13"/>
      <c r="C4944" s="13"/>
      <c r="D4944" s="13"/>
    </row>
    <row r="4945" spans="1:4">
      <c r="A4945" s="13"/>
      <c r="B4945" s="13"/>
      <c r="C4945" s="13"/>
      <c r="D4945" s="13"/>
    </row>
    <row r="4946" spans="1:4">
      <c r="A4946" s="13"/>
      <c r="B4946" s="13"/>
      <c r="C4946" s="13"/>
      <c r="D4946" s="13"/>
    </row>
    <row r="4947" spans="1:4">
      <c r="A4947" s="13"/>
      <c r="B4947" s="13"/>
      <c r="C4947" s="13"/>
      <c r="D4947" s="13"/>
    </row>
    <row r="4948" spans="1:4">
      <c r="A4948" s="13"/>
      <c r="B4948" s="13"/>
      <c r="C4948" s="13"/>
      <c r="D4948" s="13"/>
    </row>
    <row r="4949" spans="1:4">
      <c r="A4949" s="13"/>
      <c r="B4949" s="13"/>
      <c r="C4949" s="13"/>
      <c r="D4949" s="13"/>
    </row>
    <row r="4950" spans="1:4">
      <c r="A4950" s="13"/>
      <c r="B4950" s="13"/>
      <c r="C4950" s="13"/>
      <c r="D4950" s="13"/>
    </row>
    <row r="4951" spans="1:4">
      <c r="A4951" s="13"/>
      <c r="B4951" s="13"/>
      <c r="C4951" s="13"/>
      <c r="D4951" s="13"/>
    </row>
    <row r="4952" spans="1:4">
      <c r="A4952" s="13"/>
      <c r="B4952" s="13"/>
      <c r="C4952" s="13"/>
      <c r="D4952" s="13"/>
    </row>
    <row r="4953" spans="1:4">
      <c r="A4953" s="13"/>
      <c r="B4953" s="13"/>
      <c r="C4953" s="13"/>
      <c r="D4953" s="13"/>
    </row>
    <row r="4954" spans="1:4">
      <c r="A4954" s="13"/>
      <c r="B4954" s="13"/>
      <c r="C4954" s="13"/>
      <c r="D4954" s="13"/>
    </row>
    <row r="4955" spans="1:4">
      <c r="A4955" s="13"/>
      <c r="B4955" s="13"/>
      <c r="C4955" s="13"/>
      <c r="D4955" s="13"/>
    </row>
    <row r="4956" spans="1:4">
      <c r="A4956" s="13"/>
      <c r="B4956" s="13"/>
      <c r="C4956" s="13"/>
      <c r="D4956" s="13"/>
    </row>
    <row r="4957" spans="1:4">
      <c r="A4957" s="13"/>
      <c r="B4957" s="13"/>
      <c r="C4957" s="13"/>
      <c r="D4957" s="13"/>
    </row>
    <row r="4958" spans="1:4">
      <c r="A4958" s="13"/>
      <c r="B4958" s="13"/>
      <c r="C4958" s="13"/>
      <c r="D4958" s="13"/>
    </row>
    <row r="4959" spans="1:4">
      <c r="A4959" s="13"/>
      <c r="B4959" s="13"/>
      <c r="C4959" s="13"/>
      <c r="D4959" s="13"/>
    </row>
    <row r="4960" spans="1:4">
      <c r="A4960" s="13"/>
      <c r="B4960" s="13"/>
      <c r="C4960" s="13"/>
      <c r="D4960" s="13"/>
    </row>
    <row r="4961" spans="1:4">
      <c r="A4961" s="13"/>
      <c r="B4961" s="13"/>
      <c r="C4961" s="13"/>
      <c r="D4961" s="13"/>
    </row>
    <row r="4962" spans="1:4">
      <c r="A4962" s="13"/>
      <c r="B4962" s="13"/>
      <c r="C4962" s="13"/>
      <c r="D4962" s="13"/>
    </row>
    <row r="4963" spans="1:4">
      <c r="A4963" s="13"/>
      <c r="B4963" s="13"/>
      <c r="C4963" s="13"/>
      <c r="D4963" s="13"/>
    </row>
    <row r="4964" spans="1:4">
      <c r="A4964" s="13"/>
      <c r="B4964" s="13"/>
      <c r="C4964" s="13"/>
      <c r="D4964" s="13"/>
    </row>
    <row r="4965" spans="1:4">
      <c r="A4965" s="13"/>
      <c r="B4965" s="13"/>
      <c r="C4965" s="13"/>
      <c r="D4965" s="13"/>
    </row>
    <row r="4966" spans="1:4">
      <c r="A4966" s="13"/>
      <c r="B4966" s="13"/>
      <c r="C4966" s="13"/>
      <c r="D4966" s="13"/>
    </row>
    <row r="4967" spans="1:4">
      <c r="A4967" s="13"/>
      <c r="B4967" s="13"/>
      <c r="C4967" s="13"/>
      <c r="D4967" s="13"/>
    </row>
    <row r="4968" spans="1:4">
      <c r="A4968" s="13"/>
      <c r="B4968" s="13"/>
      <c r="C4968" s="13"/>
      <c r="D4968" s="13"/>
    </row>
    <row r="4969" spans="1:4">
      <c r="A4969" s="13"/>
      <c r="B4969" s="13"/>
      <c r="C4969" s="13"/>
      <c r="D4969" s="13"/>
    </row>
    <row r="4970" spans="1:4">
      <c r="A4970" s="13"/>
      <c r="B4970" s="13"/>
      <c r="C4970" s="13"/>
      <c r="D4970" s="13"/>
    </row>
    <row r="4971" spans="1:4">
      <c r="A4971" s="13"/>
      <c r="B4971" s="13"/>
      <c r="C4971" s="13"/>
      <c r="D4971" s="13"/>
    </row>
    <row r="4972" spans="1:4">
      <c r="A4972" s="13"/>
      <c r="B4972" s="13"/>
      <c r="C4972" s="13"/>
      <c r="D4972" s="13"/>
    </row>
    <row r="4973" spans="1:4">
      <c r="A4973" s="13"/>
      <c r="B4973" s="13"/>
      <c r="C4973" s="13"/>
      <c r="D4973" s="13"/>
    </row>
    <row r="4974" spans="1:4">
      <c r="A4974" s="13"/>
      <c r="B4974" s="13"/>
      <c r="C4974" s="13"/>
      <c r="D4974" s="13"/>
    </row>
    <row r="4975" spans="1:4">
      <c r="A4975" s="13"/>
      <c r="B4975" s="13"/>
      <c r="C4975" s="13"/>
      <c r="D4975" s="13"/>
    </row>
    <row r="4976" spans="1:4">
      <c r="A4976" s="13"/>
      <c r="B4976" s="13"/>
      <c r="C4976" s="13"/>
      <c r="D4976" s="13"/>
    </row>
    <row r="4977" spans="1:4">
      <c r="A4977" s="13"/>
      <c r="B4977" s="13"/>
      <c r="C4977" s="13"/>
      <c r="D4977" s="13"/>
    </row>
    <row r="4978" spans="1:4">
      <c r="A4978" s="13"/>
      <c r="B4978" s="13"/>
      <c r="C4978" s="13"/>
      <c r="D4978" s="13"/>
    </row>
    <row r="4979" spans="1:4">
      <c r="A4979" s="13"/>
      <c r="B4979" s="13"/>
      <c r="C4979" s="13"/>
      <c r="D4979" s="13"/>
    </row>
    <row r="4980" spans="1:4">
      <c r="A4980" s="13"/>
      <c r="B4980" s="13"/>
      <c r="C4980" s="13"/>
      <c r="D4980" s="13"/>
    </row>
    <row r="4981" spans="1:4">
      <c r="A4981" s="13"/>
      <c r="B4981" s="13"/>
      <c r="C4981" s="13"/>
      <c r="D4981" s="13"/>
    </row>
    <row r="4982" spans="1:4">
      <c r="A4982" s="13"/>
      <c r="B4982" s="13"/>
      <c r="C4982" s="13"/>
      <c r="D4982" s="13"/>
    </row>
    <row r="4983" spans="1:4">
      <c r="A4983" s="13"/>
      <c r="B4983" s="13"/>
      <c r="C4983" s="13"/>
      <c r="D4983" s="13"/>
    </row>
    <row r="4984" spans="1:4">
      <c r="A4984" s="13"/>
      <c r="B4984" s="13"/>
      <c r="C4984" s="13"/>
      <c r="D4984" s="13"/>
    </row>
    <row r="4985" spans="1:4">
      <c r="A4985" s="13"/>
      <c r="B4985" s="13"/>
      <c r="C4985" s="13"/>
      <c r="D4985" s="13"/>
    </row>
    <row r="4986" spans="1:4">
      <c r="A4986" s="13"/>
      <c r="B4986" s="13"/>
      <c r="C4986" s="13"/>
      <c r="D4986" s="13"/>
    </row>
    <row r="4987" spans="1:4">
      <c r="A4987" s="13"/>
      <c r="B4987" s="13"/>
      <c r="C4987" s="13"/>
      <c r="D4987" s="13"/>
    </row>
    <row r="4988" spans="1:4">
      <c r="A4988" s="13"/>
      <c r="B4988" s="13"/>
      <c r="C4988" s="13"/>
      <c r="D4988" s="13"/>
    </row>
    <row r="4989" spans="1:4">
      <c r="A4989" s="13"/>
      <c r="B4989" s="13"/>
      <c r="C4989" s="13"/>
      <c r="D4989" s="13"/>
    </row>
    <row r="4990" spans="1:4">
      <c r="A4990" s="13"/>
      <c r="B4990" s="13"/>
      <c r="C4990" s="13"/>
      <c r="D4990" s="13"/>
    </row>
    <row r="4991" spans="1:4">
      <c r="A4991" s="13"/>
      <c r="B4991" s="13"/>
      <c r="C4991" s="13"/>
      <c r="D4991" s="13"/>
    </row>
    <row r="4992" spans="1:4">
      <c r="A4992" s="13"/>
      <c r="B4992" s="13"/>
      <c r="C4992" s="13"/>
      <c r="D4992" s="13"/>
    </row>
    <row r="4993" spans="1:4">
      <c r="A4993" s="13"/>
      <c r="B4993" s="13"/>
      <c r="C4993" s="13"/>
      <c r="D4993" s="13"/>
    </row>
    <row r="4994" spans="1:4">
      <c r="A4994" s="13"/>
      <c r="B4994" s="13"/>
      <c r="C4994" s="13"/>
      <c r="D4994" s="13"/>
    </row>
    <row r="4995" spans="1:4">
      <c r="A4995" s="13"/>
      <c r="B4995" s="13"/>
      <c r="C4995" s="13"/>
      <c r="D4995" s="13"/>
    </row>
    <row r="4996" spans="1:4">
      <c r="A4996" s="13"/>
      <c r="B4996" s="13"/>
      <c r="C4996" s="13"/>
      <c r="D4996" s="13"/>
    </row>
    <row r="4997" spans="1:4">
      <c r="A4997" s="13"/>
      <c r="B4997" s="13"/>
      <c r="C4997" s="13"/>
      <c r="D4997" s="13"/>
    </row>
    <row r="4998" spans="1:4">
      <c r="A4998" s="13"/>
      <c r="B4998" s="13"/>
      <c r="C4998" s="13"/>
      <c r="D4998" s="13"/>
    </row>
    <row r="4999" spans="1:4">
      <c r="A4999" s="13"/>
      <c r="B4999" s="13"/>
      <c r="C4999" s="13"/>
      <c r="D4999" s="13"/>
    </row>
    <row r="5000" spans="1:4">
      <c r="A5000" s="13"/>
      <c r="B5000" s="13"/>
      <c r="C5000" s="13"/>
      <c r="D5000" s="13"/>
    </row>
    <row r="5001" spans="1:4">
      <c r="A5001" s="13"/>
      <c r="B5001" s="13"/>
      <c r="C5001" s="13"/>
      <c r="D5001" s="13"/>
    </row>
    <row r="5002" spans="1:4">
      <c r="A5002" s="13"/>
      <c r="B5002" s="13"/>
      <c r="C5002" s="13"/>
      <c r="D5002" s="13"/>
    </row>
    <row r="5003" spans="1:4">
      <c r="A5003" s="13"/>
      <c r="B5003" s="13"/>
      <c r="C5003" s="13"/>
      <c r="D5003" s="13"/>
    </row>
    <row r="5004" spans="1:4">
      <c r="A5004" s="13"/>
      <c r="B5004" s="13"/>
      <c r="C5004" s="13"/>
      <c r="D5004" s="13"/>
    </row>
    <row r="5005" spans="1:4">
      <c r="A5005" s="13"/>
      <c r="B5005" s="13"/>
      <c r="C5005" s="13"/>
      <c r="D5005" s="13"/>
    </row>
    <row r="5006" spans="1:4">
      <c r="A5006" s="13"/>
      <c r="B5006" s="13"/>
      <c r="C5006" s="13"/>
      <c r="D5006" s="13"/>
    </row>
    <row r="5007" spans="1:4">
      <c r="A5007" s="13"/>
      <c r="B5007" s="13"/>
      <c r="C5007" s="13"/>
      <c r="D5007" s="13"/>
    </row>
    <row r="5008" spans="1:4">
      <c r="A5008" s="13"/>
      <c r="B5008" s="13"/>
      <c r="C5008" s="13"/>
      <c r="D5008" s="13"/>
    </row>
    <row r="5009" spans="1:4">
      <c r="A5009" s="13"/>
      <c r="B5009" s="13"/>
      <c r="C5009" s="13"/>
      <c r="D5009" s="13"/>
    </row>
    <row r="5010" spans="1:4">
      <c r="A5010" s="13"/>
      <c r="B5010" s="13"/>
      <c r="C5010" s="13"/>
      <c r="D5010" s="13"/>
    </row>
    <row r="5011" spans="1:4">
      <c r="A5011" s="13"/>
      <c r="B5011" s="13"/>
      <c r="C5011" s="13"/>
      <c r="D5011" s="13"/>
    </row>
    <row r="5012" spans="1:4">
      <c r="A5012" s="13"/>
      <c r="B5012" s="13"/>
      <c r="C5012" s="13"/>
      <c r="D5012" s="13"/>
    </row>
    <row r="5013" spans="1:4">
      <c r="A5013" s="13"/>
      <c r="B5013" s="13"/>
      <c r="C5013" s="13"/>
      <c r="D5013" s="13"/>
    </row>
    <row r="5014" spans="1:4">
      <c r="A5014" s="13"/>
      <c r="B5014" s="13"/>
      <c r="C5014" s="13"/>
      <c r="D5014" s="13"/>
    </row>
    <row r="5015" spans="1:4">
      <c r="A5015" s="13"/>
      <c r="B5015" s="13"/>
      <c r="C5015" s="13"/>
      <c r="D5015" s="13"/>
    </row>
    <row r="5016" spans="1:4">
      <c r="A5016" s="13"/>
      <c r="B5016" s="13"/>
      <c r="C5016" s="13"/>
      <c r="D5016" s="13"/>
    </row>
    <row r="5017" spans="1:4">
      <c r="A5017" s="13"/>
      <c r="B5017" s="13"/>
      <c r="C5017" s="13"/>
      <c r="D5017" s="13"/>
    </row>
    <row r="5018" spans="1:4">
      <c r="A5018" s="13"/>
      <c r="B5018" s="13"/>
      <c r="C5018" s="13"/>
      <c r="D5018" s="13"/>
    </row>
    <row r="5019" spans="1:4">
      <c r="A5019" s="13"/>
      <c r="B5019" s="13"/>
      <c r="C5019" s="13"/>
      <c r="D5019" s="13"/>
    </row>
    <row r="5020" spans="1:4">
      <c r="A5020" s="13"/>
      <c r="B5020" s="13"/>
      <c r="C5020" s="13"/>
      <c r="D5020" s="13"/>
    </row>
    <row r="5021" spans="1:4">
      <c r="A5021" s="13"/>
      <c r="B5021" s="13"/>
      <c r="C5021" s="13"/>
      <c r="D5021" s="13"/>
    </row>
    <row r="5022" spans="1:4">
      <c r="A5022" s="13"/>
      <c r="B5022" s="13"/>
      <c r="C5022" s="13"/>
      <c r="D5022" s="13"/>
    </row>
    <row r="5023" spans="1:4">
      <c r="A5023" s="13"/>
      <c r="B5023" s="13"/>
      <c r="C5023" s="13"/>
      <c r="D5023" s="13"/>
    </row>
    <row r="5024" spans="1:4">
      <c r="A5024" s="13"/>
      <c r="B5024" s="13"/>
      <c r="C5024" s="13"/>
      <c r="D5024" s="13"/>
    </row>
    <row r="5025" spans="1:4">
      <c r="A5025" s="13"/>
      <c r="B5025" s="13"/>
      <c r="C5025" s="13"/>
      <c r="D5025" s="13"/>
    </row>
    <row r="5026" spans="1:4">
      <c r="A5026" s="13"/>
      <c r="B5026" s="13"/>
      <c r="C5026" s="13"/>
      <c r="D5026" s="13"/>
    </row>
    <row r="5027" spans="1:4">
      <c r="A5027" s="13"/>
      <c r="B5027" s="13"/>
      <c r="C5027" s="13"/>
      <c r="D5027" s="13"/>
    </row>
    <row r="5028" spans="1:4">
      <c r="A5028" s="13"/>
      <c r="B5028" s="13"/>
      <c r="C5028" s="13"/>
      <c r="D5028" s="13"/>
    </row>
    <row r="5029" spans="1:4">
      <c r="A5029" s="13"/>
      <c r="B5029" s="13"/>
      <c r="C5029" s="13"/>
      <c r="D5029" s="13"/>
    </row>
    <row r="5030" spans="1:4">
      <c r="A5030" s="13"/>
      <c r="B5030" s="13"/>
      <c r="C5030" s="13"/>
      <c r="D5030" s="13"/>
    </row>
    <row r="5031" spans="1:4">
      <c r="A5031" s="13"/>
      <c r="B5031" s="13"/>
      <c r="C5031" s="13"/>
      <c r="D5031" s="13"/>
    </row>
    <row r="5032" spans="1:4">
      <c r="A5032" s="13"/>
      <c r="B5032" s="13"/>
      <c r="C5032" s="13"/>
      <c r="D5032" s="13"/>
    </row>
    <row r="5033" spans="1:4">
      <c r="A5033" s="13"/>
      <c r="B5033" s="13"/>
      <c r="C5033" s="13"/>
      <c r="D5033" s="13"/>
    </row>
    <row r="5034" spans="1:4">
      <c r="A5034" s="13"/>
      <c r="B5034" s="13"/>
      <c r="C5034" s="13"/>
      <c r="D5034" s="13"/>
    </row>
    <row r="5035" spans="1:4">
      <c r="A5035" s="13"/>
      <c r="B5035" s="13"/>
      <c r="C5035" s="13"/>
      <c r="D5035" s="13"/>
    </row>
    <row r="5036" spans="1:4">
      <c r="A5036" s="13"/>
      <c r="B5036" s="13"/>
      <c r="C5036" s="13"/>
      <c r="D5036" s="13"/>
    </row>
    <row r="5037" spans="1:4">
      <c r="A5037" s="13"/>
      <c r="B5037" s="13"/>
      <c r="C5037" s="13"/>
      <c r="D5037" s="13"/>
    </row>
    <row r="5038" spans="1:4">
      <c r="A5038" s="13"/>
      <c r="B5038" s="13"/>
      <c r="C5038" s="13"/>
      <c r="D5038" s="13"/>
    </row>
    <row r="5039" spans="1:4">
      <c r="A5039" s="13"/>
      <c r="B5039" s="13"/>
      <c r="C5039" s="13"/>
      <c r="D5039" s="13"/>
    </row>
    <row r="5040" spans="1:4">
      <c r="A5040" s="13"/>
      <c r="B5040" s="13"/>
      <c r="C5040" s="13"/>
      <c r="D5040" s="13"/>
    </row>
    <row r="5041" spans="1:4">
      <c r="A5041" s="13"/>
      <c r="B5041" s="13"/>
      <c r="C5041" s="13"/>
      <c r="D5041" s="13"/>
    </row>
    <row r="5042" spans="1:4">
      <c r="A5042" s="13"/>
      <c r="B5042" s="13"/>
      <c r="C5042" s="13"/>
      <c r="D5042" s="13"/>
    </row>
    <row r="5043" spans="1:4">
      <c r="A5043" s="13"/>
      <c r="B5043" s="13"/>
      <c r="C5043" s="13"/>
      <c r="D5043" s="13"/>
    </row>
    <row r="5044" spans="1:4">
      <c r="A5044" s="13"/>
      <c r="B5044" s="13"/>
      <c r="C5044" s="13"/>
      <c r="D5044" s="13"/>
    </row>
    <row r="5045" spans="1:4">
      <c r="A5045" s="13"/>
      <c r="B5045" s="13"/>
      <c r="C5045" s="13"/>
      <c r="D5045" s="13"/>
    </row>
    <row r="5046" spans="1:4">
      <c r="A5046" s="13"/>
      <c r="B5046" s="13"/>
      <c r="C5046" s="13"/>
      <c r="D5046" s="13"/>
    </row>
    <row r="5047" spans="1:4">
      <c r="A5047" s="13"/>
      <c r="B5047" s="13"/>
      <c r="C5047" s="13"/>
      <c r="D5047" s="13"/>
    </row>
    <row r="5048" spans="1:4">
      <c r="A5048" s="13"/>
      <c r="B5048" s="13"/>
      <c r="C5048" s="13"/>
      <c r="D5048" s="13"/>
    </row>
    <row r="5049" spans="1:4">
      <c r="A5049" s="13"/>
      <c r="B5049" s="13"/>
      <c r="C5049" s="13"/>
      <c r="D5049" s="13"/>
    </row>
    <row r="5050" spans="1:4">
      <c r="A5050" s="13"/>
      <c r="B5050" s="13"/>
      <c r="C5050" s="13"/>
      <c r="D5050" s="13"/>
    </row>
    <row r="5051" spans="1:4">
      <c r="A5051" s="13"/>
      <c r="B5051" s="13"/>
      <c r="C5051" s="13"/>
      <c r="D5051" s="13"/>
    </row>
    <row r="5052" spans="1:4">
      <c r="A5052" s="13"/>
      <c r="B5052" s="13"/>
      <c r="C5052" s="13"/>
      <c r="D5052" s="13"/>
    </row>
    <row r="5053" spans="1:4">
      <c r="A5053" s="13"/>
      <c r="B5053" s="13"/>
      <c r="C5053" s="13"/>
      <c r="D5053" s="13"/>
    </row>
    <row r="5054" spans="1:4">
      <c r="A5054" s="13"/>
      <c r="B5054" s="13"/>
      <c r="C5054" s="13"/>
      <c r="D5054" s="13"/>
    </row>
    <row r="5055" spans="1:4">
      <c r="A5055" s="13"/>
      <c r="B5055" s="13"/>
      <c r="C5055" s="13"/>
      <c r="D5055" s="13"/>
    </row>
    <row r="5056" spans="1:4">
      <c r="A5056" s="13"/>
      <c r="B5056" s="13"/>
      <c r="C5056" s="13"/>
      <c r="D5056" s="13"/>
    </row>
    <row r="5057" spans="1:4">
      <c r="A5057" s="13"/>
      <c r="B5057" s="13"/>
      <c r="C5057" s="13"/>
      <c r="D5057" s="13"/>
    </row>
    <row r="5058" spans="1:4">
      <c r="A5058" s="13"/>
      <c r="B5058" s="13"/>
      <c r="C5058" s="13"/>
      <c r="D5058" s="13"/>
    </row>
    <row r="5059" spans="1:4">
      <c r="A5059" s="13"/>
      <c r="B5059" s="13"/>
      <c r="C5059" s="13"/>
      <c r="D5059" s="13"/>
    </row>
    <row r="5060" spans="1:4">
      <c r="A5060" s="13"/>
      <c r="B5060" s="13"/>
      <c r="C5060" s="13"/>
      <c r="D5060" s="13"/>
    </row>
    <row r="5061" spans="1:4">
      <c r="A5061" s="13"/>
      <c r="B5061" s="13"/>
      <c r="C5061" s="13"/>
      <c r="D5061" s="13"/>
    </row>
    <row r="5062" spans="1:4">
      <c r="A5062" s="13"/>
      <c r="B5062" s="13"/>
      <c r="C5062" s="13"/>
      <c r="D5062" s="13"/>
    </row>
    <row r="5063" spans="1:4">
      <c r="A5063" s="13"/>
      <c r="B5063" s="13"/>
      <c r="C5063" s="13"/>
      <c r="D5063" s="13"/>
    </row>
    <row r="5064" spans="1:4">
      <c r="A5064" s="13"/>
      <c r="B5064" s="13"/>
      <c r="C5064" s="13"/>
      <c r="D5064" s="13"/>
    </row>
    <row r="5065" spans="1:4">
      <c r="A5065" s="13"/>
      <c r="B5065" s="13"/>
      <c r="C5065" s="13"/>
      <c r="D5065" s="13"/>
    </row>
    <row r="5066" spans="1:4">
      <c r="A5066" s="13"/>
      <c r="B5066" s="13"/>
      <c r="C5066" s="13"/>
      <c r="D5066" s="13"/>
    </row>
    <row r="5067" spans="1:4">
      <c r="A5067" s="13"/>
      <c r="B5067" s="13"/>
      <c r="C5067" s="13"/>
      <c r="D5067" s="13"/>
    </row>
    <row r="5068" spans="1:4">
      <c r="A5068" s="13"/>
      <c r="B5068" s="13"/>
      <c r="C5068" s="13"/>
      <c r="D5068" s="13"/>
    </row>
    <row r="5069" spans="1:4">
      <c r="A5069" s="13"/>
      <c r="B5069" s="13"/>
      <c r="C5069" s="13"/>
      <c r="D5069" s="13"/>
    </row>
    <row r="5070" spans="1:4">
      <c r="A5070" s="13"/>
      <c r="B5070" s="13"/>
      <c r="C5070" s="13"/>
      <c r="D5070" s="13"/>
    </row>
    <row r="5071" spans="1:4">
      <c r="A5071" s="13"/>
      <c r="B5071" s="13"/>
      <c r="C5071" s="13"/>
      <c r="D5071" s="13"/>
    </row>
    <row r="5072" spans="1:4">
      <c r="A5072" s="13"/>
      <c r="B5072" s="13"/>
      <c r="C5072" s="13"/>
      <c r="D5072" s="13"/>
    </row>
    <row r="5073" spans="1:4">
      <c r="A5073" s="13"/>
      <c r="B5073" s="13"/>
      <c r="C5073" s="13"/>
      <c r="D5073" s="13"/>
    </row>
    <row r="5074" spans="1:4">
      <c r="A5074" s="13"/>
      <c r="B5074" s="13"/>
      <c r="C5074" s="13"/>
      <c r="D5074" s="13"/>
    </row>
    <row r="5075" spans="1:4">
      <c r="A5075" s="13"/>
      <c r="B5075" s="13"/>
      <c r="C5075" s="13"/>
      <c r="D5075" s="13"/>
    </row>
    <row r="5076" spans="1:4">
      <c r="A5076" s="13"/>
      <c r="B5076" s="13"/>
      <c r="C5076" s="13"/>
      <c r="D5076" s="13"/>
    </row>
    <row r="5077" spans="1:4">
      <c r="A5077" s="13"/>
      <c r="B5077" s="13"/>
      <c r="C5077" s="13"/>
      <c r="D5077" s="13"/>
    </row>
    <row r="5078" spans="1:4">
      <c r="A5078" s="13"/>
      <c r="B5078" s="13"/>
      <c r="C5078" s="13"/>
      <c r="D5078" s="13"/>
    </row>
    <row r="5079" spans="1:4">
      <c r="A5079" s="13"/>
      <c r="B5079" s="13"/>
      <c r="C5079" s="13"/>
      <c r="D5079" s="13"/>
    </row>
    <row r="5080" spans="1:4">
      <c r="A5080" s="13"/>
      <c r="B5080" s="13"/>
      <c r="C5080" s="13"/>
      <c r="D5080" s="13"/>
    </row>
    <row r="5081" spans="1:4">
      <c r="A5081" s="13"/>
      <c r="B5081" s="13"/>
      <c r="C5081" s="13"/>
      <c r="D5081" s="13"/>
    </row>
    <row r="5082" spans="1:4">
      <c r="A5082" s="13"/>
      <c r="B5082" s="13"/>
      <c r="C5082" s="13"/>
      <c r="D5082" s="13"/>
    </row>
    <row r="5083" spans="1:4">
      <c r="A5083" s="13"/>
      <c r="B5083" s="13"/>
      <c r="C5083" s="13"/>
      <c r="D5083" s="13"/>
    </row>
    <row r="5084" spans="1:4">
      <c r="A5084" s="13"/>
      <c r="B5084" s="13"/>
      <c r="C5084" s="13"/>
      <c r="D5084" s="13"/>
    </row>
    <row r="5085" spans="1:4">
      <c r="A5085" s="13"/>
      <c r="B5085" s="13"/>
      <c r="C5085" s="13"/>
      <c r="D5085" s="13"/>
    </row>
    <row r="5086" spans="1:4">
      <c r="A5086" s="13"/>
      <c r="B5086" s="13"/>
      <c r="C5086" s="13"/>
      <c r="D5086" s="13"/>
    </row>
    <row r="5087" spans="1:4">
      <c r="A5087" s="13"/>
      <c r="B5087" s="13"/>
      <c r="C5087" s="13"/>
      <c r="D5087" s="13"/>
    </row>
    <row r="5088" spans="1:4">
      <c r="A5088" s="13"/>
      <c r="B5088" s="13"/>
      <c r="C5088" s="13"/>
      <c r="D5088" s="13"/>
    </row>
    <row r="5089" spans="1:4">
      <c r="A5089" s="13"/>
      <c r="B5089" s="13"/>
      <c r="C5089" s="13"/>
      <c r="D5089" s="13"/>
    </row>
    <row r="5090" spans="1:4">
      <c r="A5090" s="13"/>
      <c r="B5090" s="13"/>
      <c r="C5090" s="13"/>
      <c r="D5090" s="13"/>
    </row>
    <row r="5091" spans="1:4">
      <c r="A5091" s="13"/>
      <c r="B5091" s="13"/>
      <c r="C5091" s="13"/>
      <c r="D5091" s="13"/>
    </row>
    <row r="5092" spans="1:4">
      <c r="A5092" s="13"/>
      <c r="B5092" s="13"/>
      <c r="C5092" s="13"/>
      <c r="D5092" s="13"/>
    </row>
    <row r="5093" spans="1:4">
      <c r="A5093" s="13"/>
      <c r="B5093" s="13"/>
      <c r="C5093" s="13"/>
      <c r="D5093" s="13"/>
    </row>
    <row r="5094" spans="1:4">
      <c r="A5094" s="13"/>
      <c r="B5094" s="13"/>
      <c r="C5094" s="13"/>
      <c r="D5094" s="13"/>
    </row>
    <row r="5095" spans="1:4">
      <c r="A5095" s="13"/>
      <c r="B5095" s="13"/>
      <c r="C5095" s="13"/>
      <c r="D5095" s="13"/>
    </row>
    <row r="5096" spans="1:4">
      <c r="A5096" s="13"/>
      <c r="B5096" s="13"/>
      <c r="C5096" s="13"/>
      <c r="D5096" s="13"/>
    </row>
    <row r="5097" spans="1:4">
      <c r="A5097" s="13"/>
      <c r="B5097" s="13"/>
      <c r="C5097" s="13"/>
      <c r="D5097" s="13"/>
    </row>
    <row r="5098" spans="1:4">
      <c r="A5098" s="13"/>
      <c r="B5098" s="13"/>
      <c r="C5098" s="13"/>
      <c r="D5098" s="13"/>
    </row>
    <row r="5099" spans="1:4">
      <c r="A5099" s="13"/>
      <c r="B5099" s="13"/>
      <c r="C5099" s="13"/>
      <c r="D5099" s="13"/>
    </row>
    <row r="5100" spans="1:4">
      <c r="A5100" s="13"/>
      <c r="B5100" s="13"/>
      <c r="C5100" s="13"/>
      <c r="D5100" s="13"/>
    </row>
    <row r="5101" spans="1:4">
      <c r="A5101" s="13"/>
      <c r="B5101" s="13"/>
      <c r="C5101" s="13"/>
      <c r="D5101" s="13"/>
    </row>
    <row r="5102" spans="1:4">
      <c r="A5102" s="13"/>
      <c r="B5102" s="13"/>
      <c r="C5102" s="13"/>
      <c r="D5102" s="13"/>
    </row>
    <row r="5103" spans="1:4">
      <c r="A5103" s="13"/>
      <c r="B5103" s="13"/>
      <c r="C5103" s="13"/>
      <c r="D5103" s="13"/>
    </row>
    <row r="5104" spans="1:4">
      <c r="A5104" s="13"/>
      <c r="B5104" s="13"/>
      <c r="C5104" s="13"/>
      <c r="D5104" s="13"/>
    </row>
    <row r="5105" spans="1:4">
      <c r="A5105" s="13"/>
      <c r="B5105" s="13"/>
      <c r="C5105" s="13"/>
      <c r="D5105" s="13"/>
    </row>
    <row r="5106" spans="1:4">
      <c r="A5106" s="13"/>
      <c r="B5106" s="13"/>
      <c r="C5106" s="13"/>
      <c r="D5106" s="13"/>
    </row>
    <row r="5107" spans="1:4">
      <c r="A5107" s="13"/>
      <c r="B5107" s="13"/>
      <c r="C5107" s="13"/>
      <c r="D5107" s="13"/>
    </row>
    <row r="5108" spans="1:4">
      <c r="A5108" s="13"/>
      <c r="B5108" s="13"/>
      <c r="C5108" s="13"/>
      <c r="D5108" s="13"/>
    </row>
    <row r="5109" spans="1:4">
      <c r="A5109" s="13"/>
      <c r="B5109" s="13"/>
      <c r="C5109" s="13"/>
      <c r="D5109" s="13"/>
    </row>
    <row r="5110" spans="1:4">
      <c r="A5110" s="13"/>
      <c r="B5110" s="13"/>
      <c r="C5110" s="13"/>
      <c r="D5110" s="13"/>
    </row>
    <row r="5111" spans="1:4">
      <c r="A5111" s="13"/>
      <c r="B5111" s="13"/>
      <c r="C5111" s="13"/>
      <c r="D5111" s="13"/>
    </row>
    <row r="5112" spans="1:4">
      <c r="A5112" s="13"/>
      <c r="B5112" s="13"/>
      <c r="C5112" s="13"/>
      <c r="D5112" s="13"/>
    </row>
    <row r="5113" spans="1:4">
      <c r="A5113" s="13"/>
      <c r="B5113" s="13"/>
      <c r="C5113" s="13"/>
      <c r="D5113" s="13"/>
    </row>
    <row r="5114" spans="1:4">
      <c r="A5114" s="13"/>
      <c r="B5114" s="13"/>
      <c r="C5114" s="13"/>
      <c r="D5114" s="13"/>
    </row>
    <row r="5115" spans="1:4">
      <c r="A5115" s="13"/>
      <c r="B5115" s="13"/>
      <c r="C5115" s="13"/>
      <c r="D5115" s="13"/>
    </row>
    <row r="5116" spans="1:4">
      <c r="A5116" s="13"/>
      <c r="B5116" s="13"/>
      <c r="C5116" s="13"/>
      <c r="D5116" s="13"/>
    </row>
    <row r="5117" spans="1:4">
      <c r="A5117" s="13"/>
      <c r="B5117" s="13"/>
      <c r="C5117" s="13"/>
      <c r="D5117" s="13"/>
    </row>
    <row r="5118" spans="1:4">
      <c r="A5118" s="13"/>
      <c r="B5118" s="13"/>
      <c r="C5118" s="13"/>
      <c r="D5118" s="13"/>
    </row>
    <row r="5119" spans="1:4">
      <c r="A5119" s="13"/>
      <c r="B5119" s="13"/>
      <c r="C5119" s="13"/>
      <c r="D5119" s="13"/>
    </row>
    <row r="5120" spans="1:4">
      <c r="A5120" s="13"/>
      <c r="B5120" s="13"/>
      <c r="C5120" s="13"/>
      <c r="D5120" s="13"/>
    </row>
    <row r="5121" spans="1:4">
      <c r="A5121" s="13"/>
      <c r="B5121" s="13"/>
      <c r="C5121" s="13"/>
      <c r="D5121" s="13"/>
    </row>
    <row r="5122" spans="1:4">
      <c r="A5122" s="13"/>
      <c r="B5122" s="13"/>
      <c r="C5122" s="13"/>
      <c r="D5122" s="13"/>
    </row>
    <row r="5123" spans="1:4">
      <c r="A5123" s="13"/>
      <c r="B5123" s="13"/>
      <c r="C5123" s="13"/>
      <c r="D5123" s="13"/>
    </row>
    <row r="5124" spans="1:4">
      <c r="A5124" s="13"/>
      <c r="B5124" s="13"/>
      <c r="C5124" s="13"/>
      <c r="D5124" s="13"/>
    </row>
    <row r="5125" spans="1:4">
      <c r="A5125" s="13"/>
      <c r="B5125" s="13"/>
      <c r="C5125" s="13"/>
      <c r="D5125" s="13"/>
    </row>
    <row r="5126" spans="1:4">
      <c r="A5126" s="13"/>
      <c r="B5126" s="13"/>
      <c r="C5126" s="13"/>
      <c r="D5126" s="13"/>
    </row>
    <row r="5127" spans="1:4">
      <c r="A5127" s="13"/>
      <c r="B5127" s="13"/>
      <c r="C5127" s="13"/>
      <c r="D5127" s="13"/>
    </row>
    <row r="5128" spans="1:4">
      <c r="A5128" s="13"/>
      <c r="B5128" s="13"/>
      <c r="C5128" s="13"/>
      <c r="D5128" s="13"/>
    </row>
    <row r="5129" spans="1:4">
      <c r="A5129" s="13"/>
      <c r="B5129" s="13"/>
      <c r="C5129" s="13"/>
      <c r="D5129" s="13"/>
    </row>
    <row r="5130" spans="1:4">
      <c r="A5130" s="13"/>
      <c r="B5130" s="13"/>
      <c r="C5130" s="13"/>
      <c r="D5130" s="13"/>
    </row>
    <row r="5131" spans="1:4">
      <c r="A5131" s="13"/>
      <c r="B5131" s="13"/>
      <c r="C5131" s="13"/>
      <c r="D5131" s="13"/>
    </row>
    <row r="5132" spans="1:4">
      <c r="A5132" s="13"/>
      <c r="B5132" s="13"/>
      <c r="C5132" s="13"/>
      <c r="D5132" s="13"/>
    </row>
    <row r="5133" spans="1:4">
      <c r="A5133" s="13"/>
      <c r="B5133" s="13"/>
      <c r="C5133" s="13"/>
      <c r="D5133" s="13"/>
    </row>
    <row r="5134" spans="1:4">
      <c r="A5134" s="13"/>
      <c r="B5134" s="13"/>
      <c r="C5134" s="13"/>
      <c r="D5134" s="13"/>
    </row>
    <row r="5135" spans="1:4">
      <c r="A5135" s="13"/>
      <c r="B5135" s="13"/>
      <c r="C5135" s="13"/>
      <c r="D5135" s="13"/>
    </row>
    <row r="5136" spans="1:4">
      <c r="A5136" s="13"/>
      <c r="B5136" s="13"/>
      <c r="C5136" s="13"/>
      <c r="D5136" s="13"/>
    </row>
    <row r="5137" spans="1:4">
      <c r="A5137" s="13"/>
      <c r="B5137" s="13"/>
      <c r="C5137" s="13"/>
      <c r="D5137" s="13"/>
    </row>
    <row r="5138" spans="1:4">
      <c r="A5138" s="13"/>
      <c r="B5138" s="13"/>
      <c r="C5138" s="13"/>
      <c r="D5138" s="13"/>
    </row>
    <row r="5139" spans="1:4">
      <c r="A5139" s="13"/>
      <c r="B5139" s="13"/>
      <c r="C5139" s="13"/>
      <c r="D5139" s="13"/>
    </row>
    <row r="5140" spans="1:4">
      <c r="A5140" s="13"/>
      <c r="B5140" s="13"/>
      <c r="C5140" s="13"/>
      <c r="D5140" s="13"/>
    </row>
    <row r="5141" spans="1:4">
      <c r="A5141" s="13"/>
      <c r="B5141" s="13"/>
      <c r="C5141" s="13"/>
      <c r="D5141" s="13"/>
    </row>
    <row r="5142" spans="1:4">
      <c r="A5142" s="13"/>
      <c r="B5142" s="13"/>
      <c r="C5142" s="13"/>
      <c r="D5142" s="13"/>
    </row>
    <row r="5143" spans="1:4">
      <c r="A5143" s="13"/>
      <c r="B5143" s="13"/>
      <c r="C5143" s="13"/>
      <c r="D5143" s="13"/>
    </row>
    <row r="5144" spans="1:4">
      <c r="A5144" s="13"/>
      <c r="B5144" s="13"/>
      <c r="C5144" s="13"/>
      <c r="D5144" s="13"/>
    </row>
    <row r="5145" spans="1:4">
      <c r="A5145" s="13"/>
      <c r="B5145" s="13"/>
      <c r="C5145" s="13"/>
      <c r="D5145" s="13"/>
    </row>
    <row r="5146" spans="1:4">
      <c r="A5146" s="13"/>
      <c r="B5146" s="13"/>
      <c r="C5146" s="13"/>
      <c r="D5146" s="13"/>
    </row>
    <row r="5147" spans="1:4">
      <c r="A5147" s="13"/>
      <c r="B5147" s="13"/>
      <c r="C5147" s="13"/>
      <c r="D5147" s="13"/>
    </row>
    <row r="5148" spans="1:4">
      <c r="A5148" s="13"/>
      <c r="B5148" s="13"/>
      <c r="C5148" s="13"/>
      <c r="D5148" s="13"/>
    </row>
    <row r="5149" spans="1:4">
      <c r="A5149" s="13"/>
      <c r="B5149" s="13"/>
      <c r="C5149" s="13"/>
      <c r="D5149" s="13"/>
    </row>
    <row r="5150" spans="1:4">
      <c r="A5150" s="13"/>
      <c r="B5150" s="13"/>
      <c r="C5150" s="13"/>
      <c r="D5150" s="13"/>
    </row>
    <row r="5151" spans="1:4">
      <c r="A5151" s="13"/>
      <c r="B5151" s="13"/>
      <c r="C5151" s="13"/>
      <c r="D5151" s="13"/>
    </row>
    <row r="5152" spans="1:4">
      <c r="A5152" s="13"/>
      <c r="B5152" s="13"/>
      <c r="C5152" s="13"/>
      <c r="D5152" s="13"/>
    </row>
    <row r="5153" spans="1:4">
      <c r="A5153" s="13"/>
      <c r="B5153" s="13"/>
      <c r="C5153" s="13"/>
      <c r="D5153" s="13"/>
    </row>
    <row r="5154" spans="1:4">
      <c r="A5154" s="13"/>
      <c r="B5154" s="13"/>
      <c r="C5154" s="13"/>
      <c r="D5154" s="13"/>
    </row>
    <row r="5155" spans="1:4">
      <c r="A5155" s="13"/>
      <c r="B5155" s="13"/>
      <c r="C5155" s="13"/>
      <c r="D5155" s="13"/>
    </row>
    <row r="5156" spans="1:4">
      <c r="A5156" s="13"/>
      <c r="B5156" s="13"/>
      <c r="C5156" s="13"/>
      <c r="D5156" s="13"/>
    </row>
    <row r="5157" spans="1:4">
      <c r="A5157" s="13"/>
      <c r="B5157" s="13"/>
      <c r="C5157" s="13"/>
      <c r="D5157" s="13"/>
    </row>
    <row r="5158" spans="1:4">
      <c r="A5158" s="13"/>
      <c r="B5158" s="13"/>
      <c r="C5158" s="13"/>
      <c r="D5158" s="13"/>
    </row>
    <row r="5159" spans="1:4">
      <c r="A5159" s="13"/>
      <c r="B5159" s="13"/>
      <c r="C5159" s="13"/>
      <c r="D5159" s="13"/>
    </row>
    <row r="5160" spans="1:4">
      <c r="A5160" s="13"/>
      <c r="B5160" s="13"/>
      <c r="C5160" s="13"/>
      <c r="D5160" s="13"/>
    </row>
    <row r="5161" spans="1:4">
      <c r="A5161" s="13"/>
      <c r="B5161" s="13"/>
      <c r="C5161" s="13"/>
      <c r="D5161" s="13"/>
    </row>
    <row r="5162" spans="1:4">
      <c r="A5162" s="13"/>
      <c r="B5162" s="13"/>
      <c r="C5162" s="13"/>
      <c r="D5162" s="13"/>
    </row>
    <row r="5163" spans="1:4">
      <c r="A5163" s="13"/>
      <c r="B5163" s="13"/>
      <c r="C5163" s="13"/>
      <c r="D5163" s="13"/>
    </row>
    <row r="5164" spans="1:4">
      <c r="A5164" s="13"/>
      <c r="B5164" s="13"/>
      <c r="C5164" s="13"/>
      <c r="D5164" s="13"/>
    </row>
    <row r="5165" spans="1:4">
      <c r="A5165" s="13"/>
      <c r="B5165" s="13"/>
      <c r="C5165" s="13"/>
      <c r="D5165" s="13"/>
    </row>
    <row r="5166" spans="1:4">
      <c r="A5166" s="13"/>
      <c r="B5166" s="13"/>
      <c r="C5166" s="13"/>
      <c r="D5166" s="13"/>
    </row>
    <row r="5167" spans="1:4">
      <c r="A5167" s="13"/>
      <c r="B5167" s="13"/>
      <c r="C5167" s="13"/>
      <c r="D5167" s="13"/>
    </row>
    <row r="5168" spans="1:4">
      <c r="A5168" s="13"/>
      <c r="B5168" s="13"/>
      <c r="C5168" s="13"/>
      <c r="D5168" s="13"/>
    </row>
    <row r="5169" spans="1:4">
      <c r="A5169" s="13"/>
      <c r="B5169" s="13"/>
      <c r="C5169" s="13"/>
      <c r="D5169" s="13"/>
    </row>
    <row r="5170" spans="1:4">
      <c r="A5170" s="13"/>
      <c r="B5170" s="13"/>
      <c r="C5170" s="13"/>
      <c r="D5170" s="13"/>
    </row>
    <row r="5171" spans="1:4">
      <c r="A5171" s="13"/>
      <c r="B5171" s="13"/>
      <c r="C5171" s="13"/>
      <c r="D5171" s="13"/>
    </row>
    <row r="5172" spans="1:4">
      <c r="A5172" s="13"/>
      <c r="B5172" s="13"/>
      <c r="C5172" s="13"/>
      <c r="D5172" s="13"/>
    </row>
    <row r="5173" spans="1:4">
      <c r="A5173" s="13"/>
      <c r="B5173" s="13"/>
      <c r="C5173" s="13"/>
      <c r="D5173" s="13"/>
    </row>
    <row r="5174" spans="1:4">
      <c r="A5174" s="13"/>
      <c r="B5174" s="13"/>
      <c r="C5174" s="13"/>
      <c r="D5174" s="13"/>
    </row>
    <row r="5175" spans="1:4">
      <c r="A5175" s="13"/>
      <c r="B5175" s="13"/>
      <c r="C5175" s="13"/>
      <c r="D5175" s="13"/>
    </row>
    <row r="5176" spans="1:4">
      <c r="A5176" s="13"/>
      <c r="B5176" s="13"/>
      <c r="C5176" s="13"/>
      <c r="D5176" s="13"/>
    </row>
    <row r="5177" spans="1:4">
      <c r="A5177" s="13"/>
      <c r="B5177" s="13"/>
      <c r="C5177" s="13"/>
      <c r="D5177" s="13"/>
    </row>
    <row r="5178" spans="1:4">
      <c r="A5178" s="13"/>
      <c r="B5178" s="13"/>
      <c r="C5178" s="13"/>
      <c r="D5178" s="13"/>
    </row>
    <row r="5179" spans="1:4">
      <c r="A5179" s="13"/>
      <c r="B5179" s="13"/>
      <c r="C5179" s="13"/>
      <c r="D5179" s="13"/>
    </row>
    <row r="5180" spans="1:4">
      <c r="A5180" s="13"/>
      <c r="B5180" s="13"/>
      <c r="C5180" s="13"/>
      <c r="D5180" s="13"/>
    </row>
    <row r="5181" spans="1:4">
      <c r="A5181" s="13"/>
      <c r="B5181" s="13"/>
      <c r="C5181" s="13"/>
      <c r="D5181" s="13"/>
    </row>
    <row r="5182" spans="1:4">
      <c r="A5182" s="13"/>
      <c r="B5182" s="13"/>
      <c r="C5182" s="13"/>
      <c r="D5182" s="13"/>
    </row>
    <row r="5183" spans="1:4">
      <c r="A5183" s="13"/>
      <c r="B5183" s="13"/>
      <c r="C5183" s="13"/>
      <c r="D5183" s="13"/>
    </row>
    <row r="5184" spans="1:4">
      <c r="A5184" s="13"/>
      <c r="B5184" s="13"/>
      <c r="C5184" s="13"/>
      <c r="D5184" s="13"/>
    </row>
    <row r="5185" spans="1:4">
      <c r="A5185" s="13"/>
      <c r="B5185" s="13"/>
      <c r="C5185" s="13"/>
      <c r="D5185" s="13"/>
    </row>
    <row r="5186" spans="1:4">
      <c r="A5186" s="13"/>
      <c r="B5186" s="13"/>
      <c r="C5186" s="13"/>
      <c r="D5186" s="13"/>
    </row>
    <row r="5187" spans="1:4">
      <c r="A5187" s="13"/>
      <c r="B5187" s="13"/>
      <c r="C5187" s="13"/>
      <c r="D5187" s="13"/>
    </row>
    <row r="5188" spans="1:4">
      <c r="A5188" s="13"/>
      <c r="B5188" s="13"/>
      <c r="C5188" s="13"/>
      <c r="D5188" s="13"/>
    </row>
    <row r="5189" spans="1:4">
      <c r="A5189" s="13"/>
      <c r="B5189" s="13"/>
      <c r="C5189" s="13"/>
      <c r="D5189" s="13"/>
    </row>
    <row r="5190" spans="1:4">
      <c r="A5190" s="13"/>
      <c r="B5190" s="13"/>
      <c r="C5190" s="13"/>
      <c r="D5190" s="13"/>
    </row>
    <row r="5191" spans="1:4">
      <c r="A5191" s="13"/>
      <c r="B5191" s="13"/>
      <c r="C5191" s="13"/>
      <c r="D5191" s="13"/>
    </row>
    <row r="5192" spans="1:4">
      <c r="A5192" s="13"/>
      <c r="B5192" s="13"/>
      <c r="C5192" s="13"/>
      <c r="D5192" s="13"/>
    </row>
    <row r="5193" spans="1:4">
      <c r="A5193" s="13"/>
      <c r="B5193" s="13"/>
      <c r="C5193" s="13"/>
      <c r="D5193" s="13"/>
    </row>
    <row r="5194" spans="1:4">
      <c r="A5194" s="13"/>
      <c r="B5194" s="13"/>
      <c r="C5194" s="13"/>
      <c r="D5194" s="13"/>
    </row>
    <row r="5195" spans="1:4">
      <c r="A5195" s="13"/>
      <c r="B5195" s="13"/>
      <c r="C5195" s="13"/>
      <c r="D5195" s="13"/>
    </row>
    <row r="5196" spans="1:4">
      <c r="A5196" s="13"/>
      <c r="B5196" s="13"/>
      <c r="C5196" s="13"/>
      <c r="D5196" s="13"/>
    </row>
    <row r="5197" spans="1:4">
      <c r="A5197" s="13"/>
      <c r="B5197" s="13"/>
      <c r="C5197" s="13"/>
      <c r="D5197" s="13"/>
    </row>
    <row r="5198" spans="1:4">
      <c r="A5198" s="13"/>
      <c r="B5198" s="13"/>
      <c r="C5198" s="13"/>
      <c r="D5198" s="13"/>
    </row>
    <row r="5199" spans="1:4">
      <c r="A5199" s="13"/>
      <c r="B5199" s="13"/>
      <c r="C5199" s="13"/>
      <c r="D5199" s="13"/>
    </row>
    <row r="5200" spans="1:4">
      <c r="A5200" s="13"/>
      <c r="B5200" s="13"/>
      <c r="C5200" s="13"/>
      <c r="D5200" s="13"/>
    </row>
    <row r="5201" spans="1:4">
      <c r="A5201" s="13"/>
      <c r="B5201" s="13"/>
      <c r="C5201" s="13"/>
      <c r="D5201" s="13"/>
    </row>
    <row r="5202" spans="1:4">
      <c r="A5202" s="13"/>
      <c r="B5202" s="13"/>
      <c r="C5202" s="13"/>
      <c r="D5202" s="13"/>
    </row>
    <row r="5203" spans="1:4">
      <c r="A5203" s="13"/>
      <c r="B5203" s="13"/>
      <c r="C5203" s="13"/>
      <c r="D5203" s="13"/>
    </row>
    <row r="5204" spans="1:4">
      <c r="A5204" s="13"/>
      <c r="B5204" s="13"/>
      <c r="C5204" s="13"/>
      <c r="D5204" s="13"/>
    </row>
    <row r="5205" spans="1:4">
      <c r="A5205" s="13"/>
      <c r="B5205" s="13"/>
      <c r="C5205" s="13"/>
      <c r="D5205" s="13"/>
    </row>
    <row r="5206" spans="1:4">
      <c r="A5206" s="13"/>
      <c r="B5206" s="13"/>
      <c r="C5206" s="13"/>
      <c r="D5206" s="13"/>
    </row>
    <row r="5207" spans="1:4">
      <c r="A5207" s="13"/>
      <c r="B5207" s="13"/>
      <c r="C5207" s="13"/>
      <c r="D5207" s="13"/>
    </row>
    <row r="5208" spans="1:4">
      <c r="A5208" s="13"/>
      <c r="B5208" s="13"/>
      <c r="C5208" s="13"/>
      <c r="D5208" s="13"/>
    </row>
    <row r="5209" spans="1:4">
      <c r="A5209" s="13"/>
      <c r="B5209" s="13"/>
      <c r="C5209" s="13"/>
      <c r="D5209" s="13"/>
    </row>
    <row r="5210" spans="1:4">
      <c r="A5210" s="13"/>
      <c r="B5210" s="13"/>
      <c r="C5210" s="13"/>
      <c r="D5210" s="13"/>
    </row>
    <row r="5211" spans="1:4">
      <c r="A5211" s="13"/>
      <c r="B5211" s="13"/>
      <c r="C5211" s="13"/>
      <c r="D5211" s="13"/>
    </row>
    <row r="5212" spans="1:4">
      <c r="A5212" s="13"/>
      <c r="B5212" s="13"/>
      <c r="C5212" s="13"/>
      <c r="D5212" s="13"/>
    </row>
    <row r="5213" spans="1:4">
      <c r="A5213" s="13"/>
      <c r="B5213" s="13"/>
      <c r="C5213" s="13"/>
      <c r="D5213" s="13"/>
    </row>
    <row r="5214" spans="1:4">
      <c r="A5214" s="13"/>
      <c r="B5214" s="13"/>
      <c r="C5214" s="13"/>
      <c r="D5214" s="13"/>
    </row>
    <row r="5215" spans="1:4">
      <c r="A5215" s="13"/>
      <c r="B5215" s="13"/>
      <c r="C5215" s="13"/>
      <c r="D5215" s="13"/>
    </row>
    <row r="5216" spans="1:4">
      <c r="A5216" s="13"/>
      <c r="B5216" s="13"/>
      <c r="C5216" s="13"/>
      <c r="D5216" s="13"/>
    </row>
    <row r="5217" spans="1:4">
      <c r="A5217" s="13"/>
      <c r="B5217" s="13"/>
      <c r="C5217" s="13"/>
      <c r="D5217" s="13"/>
    </row>
    <row r="5218" spans="1:4">
      <c r="A5218" s="13"/>
      <c r="B5218" s="13"/>
      <c r="C5218" s="13"/>
      <c r="D5218" s="13"/>
    </row>
    <row r="5219" spans="1:4">
      <c r="A5219" s="13"/>
      <c r="B5219" s="13"/>
      <c r="C5219" s="13"/>
      <c r="D5219" s="13"/>
    </row>
    <row r="5220" spans="1:4">
      <c r="A5220" s="13"/>
      <c r="B5220" s="13"/>
      <c r="C5220" s="13"/>
      <c r="D5220" s="13"/>
    </row>
    <row r="5221" spans="1:4">
      <c r="A5221" s="13"/>
      <c r="B5221" s="13"/>
      <c r="C5221" s="13"/>
      <c r="D5221" s="13"/>
    </row>
    <row r="5222" spans="1:4">
      <c r="A5222" s="13"/>
      <c r="B5222" s="13"/>
      <c r="C5222" s="13"/>
      <c r="D5222" s="13"/>
    </row>
    <row r="5223" spans="1:4">
      <c r="A5223" s="13"/>
      <c r="B5223" s="13"/>
      <c r="C5223" s="13"/>
      <c r="D5223" s="13"/>
    </row>
    <row r="5224" spans="1:4">
      <c r="A5224" s="13"/>
      <c r="B5224" s="13"/>
      <c r="C5224" s="13"/>
      <c r="D5224" s="13"/>
    </row>
    <row r="5225" spans="1:4">
      <c r="A5225" s="13"/>
      <c r="B5225" s="13"/>
      <c r="C5225" s="13"/>
      <c r="D5225" s="13"/>
    </row>
    <row r="5226" spans="1:4">
      <c r="A5226" s="13"/>
      <c r="B5226" s="13"/>
      <c r="C5226" s="13"/>
      <c r="D5226" s="13"/>
    </row>
    <row r="5227" spans="1:4">
      <c r="A5227" s="13"/>
      <c r="B5227" s="13"/>
      <c r="C5227" s="13"/>
      <c r="D5227" s="13"/>
    </row>
    <row r="5228" spans="1:4">
      <c r="A5228" s="13"/>
      <c r="B5228" s="13"/>
      <c r="C5228" s="13"/>
      <c r="D5228" s="13"/>
    </row>
    <row r="5229" spans="1:4">
      <c r="A5229" s="13"/>
      <c r="B5229" s="13"/>
      <c r="C5229" s="13"/>
      <c r="D5229" s="13"/>
    </row>
    <row r="5230" spans="1:4">
      <c r="A5230" s="13"/>
      <c r="B5230" s="13"/>
      <c r="C5230" s="13"/>
      <c r="D5230" s="13"/>
    </row>
    <row r="5231" spans="1:4">
      <c r="A5231" s="13"/>
      <c r="B5231" s="13"/>
      <c r="C5231" s="13"/>
      <c r="D5231" s="13"/>
    </row>
    <row r="5232" spans="1:4">
      <c r="A5232" s="13"/>
      <c r="B5232" s="13"/>
      <c r="C5232" s="13"/>
      <c r="D5232" s="13"/>
    </row>
    <row r="5233" spans="1:4">
      <c r="A5233" s="13"/>
      <c r="B5233" s="13"/>
      <c r="C5233" s="13"/>
      <c r="D5233" s="13"/>
    </row>
    <row r="5234" spans="1:4">
      <c r="A5234" s="13"/>
      <c r="B5234" s="13"/>
      <c r="C5234" s="13"/>
      <c r="D5234" s="13"/>
    </row>
    <row r="5235" spans="1:4">
      <c r="A5235" s="13"/>
      <c r="B5235" s="13"/>
      <c r="C5235" s="13"/>
      <c r="D5235" s="13"/>
    </row>
    <row r="5236" spans="1:4">
      <c r="A5236" s="13"/>
      <c r="B5236" s="13"/>
      <c r="C5236" s="13"/>
      <c r="D5236" s="13"/>
    </row>
    <row r="5237" spans="1:4">
      <c r="A5237" s="13"/>
      <c r="B5237" s="13"/>
      <c r="C5237" s="13"/>
      <c r="D5237" s="13"/>
    </row>
    <row r="5238" spans="1:4">
      <c r="A5238" s="13"/>
      <c r="B5238" s="13"/>
      <c r="C5238" s="13"/>
      <c r="D5238" s="13"/>
    </row>
    <row r="5239" spans="1:4">
      <c r="A5239" s="13"/>
      <c r="B5239" s="13"/>
      <c r="C5239" s="13"/>
      <c r="D5239" s="13"/>
    </row>
    <row r="5240" spans="1:4">
      <c r="A5240" s="13"/>
      <c r="B5240" s="13"/>
      <c r="C5240" s="13"/>
      <c r="D5240" s="13"/>
    </row>
    <row r="5241" spans="1:4">
      <c r="A5241" s="13"/>
      <c r="B5241" s="13"/>
      <c r="C5241" s="13"/>
      <c r="D5241" s="13"/>
    </row>
    <row r="5242" spans="1:4">
      <c r="A5242" s="13"/>
      <c r="B5242" s="13"/>
      <c r="C5242" s="13"/>
      <c r="D5242" s="13"/>
    </row>
    <row r="5243" spans="1:4">
      <c r="A5243" s="13"/>
      <c r="B5243" s="13"/>
      <c r="C5243" s="13"/>
      <c r="D5243" s="13"/>
    </row>
    <row r="5244" spans="1:4">
      <c r="A5244" s="13"/>
      <c r="B5244" s="13"/>
      <c r="C5244" s="13"/>
      <c r="D5244" s="13"/>
    </row>
    <row r="5245" spans="1:4">
      <c r="A5245" s="13"/>
      <c r="B5245" s="13"/>
      <c r="C5245" s="13"/>
      <c r="D5245" s="13"/>
    </row>
    <row r="5246" spans="1:4">
      <c r="A5246" s="13"/>
      <c r="B5246" s="13"/>
      <c r="C5246" s="13"/>
      <c r="D5246" s="13"/>
    </row>
    <row r="5247" spans="1:4">
      <c r="A5247" s="13"/>
      <c r="B5247" s="13"/>
      <c r="C5247" s="13"/>
      <c r="D5247" s="13"/>
    </row>
    <row r="5248" spans="1:4">
      <c r="A5248" s="13"/>
      <c r="B5248" s="13"/>
      <c r="C5248" s="13"/>
      <c r="D5248" s="13"/>
    </row>
    <row r="5249" spans="1:4">
      <c r="A5249" s="13"/>
      <c r="B5249" s="13"/>
      <c r="C5249" s="13"/>
      <c r="D5249" s="13"/>
    </row>
    <row r="5250" spans="1:4">
      <c r="A5250" s="13"/>
      <c r="B5250" s="13"/>
      <c r="C5250" s="13"/>
      <c r="D5250" s="13"/>
    </row>
    <row r="5251" spans="1:4">
      <c r="A5251" s="13"/>
      <c r="B5251" s="13"/>
      <c r="C5251" s="13"/>
      <c r="D5251" s="13"/>
    </row>
    <row r="5252" spans="1:4">
      <c r="A5252" s="13"/>
      <c r="B5252" s="13"/>
      <c r="C5252" s="13"/>
      <c r="D5252" s="13"/>
    </row>
    <row r="5253" spans="1:4">
      <c r="A5253" s="13"/>
      <c r="B5253" s="13"/>
      <c r="C5253" s="13"/>
      <c r="D5253" s="13"/>
    </row>
    <row r="5254" spans="1:4">
      <c r="A5254" s="13"/>
      <c r="B5254" s="13"/>
      <c r="C5254" s="13"/>
      <c r="D5254" s="13"/>
    </row>
    <row r="5255" spans="1:4">
      <c r="A5255" s="13"/>
      <c r="B5255" s="13"/>
      <c r="C5255" s="13"/>
      <c r="D5255" s="13"/>
    </row>
    <row r="5256" spans="1:4">
      <c r="A5256" s="13"/>
      <c r="B5256" s="13"/>
      <c r="C5256" s="13"/>
      <c r="D5256" s="13"/>
    </row>
    <row r="5257" spans="1:4">
      <c r="A5257" s="13"/>
      <c r="B5257" s="13"/>
      <c r="C5257" s="13"/>
      <c r="D5257" s="13"/>
    </row>
    <row r="5258" spans="1:4">
      <c r="A5258" s="13"/>
      <c r="B5258" s="13"/>
      <c r="C5258" s="13"/>
      <c r="D5258" s="13"/>
    </row>
    <row r="5259" spans="1:4">
      <c r="A5259" s="13"/>
      <c r="B5259" s="13"/>
      <c r="C5259" s="13"/>
      <c r="D5259" s="13"/>
    </row>
    <row r="5260" spans="1:4">
      <c r="A5260" s="13"/>
      <c r="B5260" s="13"/>
      <c r="C5260" s="13"/>
      <c r="D5260" s="13"/>
    </row>
    <row r="5261" spans="1:4">
      <c r="A5261" s="13"/>
      <c r="B5261" s="13"/>
      <c r="C5261" s="13"/>
      <c r="D5261" s="13"/>
    </row>
    <row r="5262" spans="1:4">
      <c r="A5262" s="13"/>
      <c r="B5262" s="13"/>
      <c r="C5262" s="13"/>
      <c r="D5262" s="13"/>
    </row>
    <row r="5263" spans="1:4">
      <c r="A5263" s="13"/>
      <c r="B5263" s="13"/>
      <c r="C5263" s="13"/>
      <c r="D5263" s="13"/>
    </row>
    <row r="5264" spans="1:4">
      <c r="A5264" s="13"/>
      <c r="B5264" s="13"/>
      <c r="C5264" s="13"/>
      <c r="D5264" s="13"/>
    </row>
    <row r="5265" spans="1:4">
      <c r="A5265" s="13"/>
      <c r="B5265" s="13"/>
      <c r="C5265" s="13"/>
      <c r="D5265" s="13"/>
    </row>
    <row r="5266" spans="1:4">
      <c r="A5266" s="13"/>
      <c r="B5266" s="13"/>
      <c r="C5266" s="13"/>
      <c r="D5266" s="13"/>
    </row>
    <row r="5267" spans="1:4">
      <c r="A5267" s="13"/>
      <c r="B5267" s="13"/>
      <c r="C5267" s="13"/>
      <c r="D5267" s="13"/>
    </row>
    <row r="5268" spans="1:4">
      <c r="A5268" s="13"/>
      <c r="B5268" s="13"/>
      <c r="C5268" s="13"/>
      <c r="D5268" s="13"/>
    </row>
    <row r="5269" spans="1:4">
      <c r="A5269" s="13"/>
      <c r="B5269" s="13"/>
      <c r="C5269" s="13"/>
      <c r="D5269" s="13"/>
    </row>
    <row r="5270" spans="1:4">
      <c r="A5270" s="13"/>
      <c r="B5270" s="13"/>
      <c r="C5270" s="13"/>
      <c r="D5270" s="13"/>
    </row>
    <row r="5271" spans="1:4">
      <c r="A5271" s="13"/>
      <c r="B5271" s="13"/>
      <c r="C5271" s="13"/>
      <c r="D5271" s="13"/>
    </row>
    <row r="5272" spans="1:4">
      <c r="A5272" s="13"/>
      <c r="B5272" s="13"/>
      <c r="C5272" s="13"/>
      <c r="D5272" s="13"/>
    </row>
    <row r="5273" spans="1:4">
      <c r="A5273" s="13"/>
      <c r="B5273" s="13"/>
      <c r="C5273" s="13"/>
      <c r="D5273" s="13"/>
    </row>
    <row r="5274" spans="1:4">
      <c r="A5274" s="13"/>
      <c r="B5274" s="13"/>
      <c r="C5274" s="13"/>
      <c r="D5274" s="13"/>
    </row>
    <row r="5275" spans="1:4">
      <c r="A5275" s="13"/>
      <c r="B5275" s="13"/>
      <c r="C5275" s="13"/>
      <c r="D5275" s="13"/>
    </row>
    <row r="5276" spans="1:4">
      <c r="A5276" s="13"/>
      <c r="B5276" s="13"/>
      <c r="C5276" s="13"/>
      <c r="D5276" s="13"/>
    </row>
    <row r="5277" spans="1:4">
      <c r="A5277" s="13"/>
      <c r="B5277" s="13"/>
      <c r="C5277" s="13"/>
      <c r="D5277" s="13"/>
    </row>
    <row r="5278" spans="1:4">
      <c r="A5278" s="13"/>
      <c r="B5278" s="13"/>
      <c r="C5278" s="13"/>
      <c r="D5278" s="13"/>
    </row>
    <row r="5279" spans="1:4">
      <c r="A5279" s="13"/>
      <c r="B5279" s="13"/>
      <c r="C5279" s="13"/>
      <c r="D5279" s="13"/>
    </row>
    <row r="5280" spans="1:4">
      <c r="A5280" s="13"/>
      <c r="B5280" s="13"/>
      <c r="C5280" s="13"/>
      <c r="D5280" s="13"/>
    </row>
    <row r="5281" spans="1:4">
      <c r="A5281" s="13"/>
      <c r="B5281" s="13"/>
      <c r="C5281" s="13"/>
      <c r="D5281" s="13"/>
    </row>
    <row r="5282" spans="1:4">
      <c r="A5282" s="13"/>
      <c r="B5282" s="13"/>
      <c r="C5282" s="13"/>
      <c r="D5282" s="13"/>
    </row>
    <row r="5283" spans="1:4">
      <c r="A5283" s="13"/>
      <c r="B5283" s="13"/>
      <c r="C5283" s="13"/>
      <c r="D5283" s="13"/>
    </row>
    <row r="5284" spans="1:4">
      <c r="A5284" s="13"/>
      <c r="B5284" s="13"/>
      <c r="C5284" s="13"/>
      <c r="D5284" s="13"/>
    </row>
    <row r="5285" spans="1:4">
      <c r="A5285" s="13"/>
      <c r="B5285" s="13"/>
      <c r="C5285" s="13"/>
      <c r="D5285" s="13"/>
    </row>
    <row r="5286" spans="1:4">
      <c r="A5286" s="13"/>
      <c r="B5286" s="13"/>
      <c r="C5286" s="13"/>
      <c r="D5286" s="13"/>
    </row>
    <row r="5287" spans="1:4">
      <c r="A5287" s="13"/>
      <c r="B5287" s="13"/>
      <c r="C5287" s="13"/>
      <c r="D5287" s="13"/>
    </row>
    <row r="5288" spans="1:4">
      <c r="A5288" s="13"/>
      <c r="B5288" s="13"/>
      <c r="C5288" s="13"/>
      <c r="D5288" s="13"/>
    </row>
    <row r="5289" spans="1:4">
      <c r="A5289" s="13"/>
      <c r="B5289" s="13"/>
      <c r="C5289" s="13"/>
      <c r="D5289" s="13"/>
    </row>
    <row r="5290" spans="1:4">
      <c r="A5290" s="13"/>
      <c r="B5290" s="13"/>
      <c r="C5290" s="13"/>
      <c r="D5290" s="13"/>
    </row>
    <row r="5291" spans="1:4">
      <c r="A5291" s="13"/>
      <c r="B5291" s="13"/>
      <c r="C5291" s="13"/>
      <c r="D5291" s="13"/>
    </row>
    <row r="5292" spans="1:4">
      <c r="A5292" s="13"/>
      <c r="B5292" s="13"/>
      <c r="C5292" s="13"/>
      <c r="D5292" s="13"/>
    </row>
    <row r="5293" spans="1:4">
      <c r="A5293" s="13"/>
      <c r="B5293" s="13"/>
      <c r="C5293" s="13"/>
      <c r="D5293" s="13"/>
    </row>
    <row r="5294" spans="1:4">
      <c r="A5294" s="13"/>
      <c r="B5294" s="13"/>
      <c r="C5294" s="13"/>
      <c r="D5294" s="13"/>
    </row>
    <row r="5295" spans="1:4">
      <c r="A5295" s="13"/>
      <c r="B5295" s="13"/>
      <c r="C5295" s="13"/>
      <c r="D5295" s="13"/>
    </row>
    <row r="5296" spans="1:4">
      <c r="A5296" s="13"/>
      <c r="B5296" s="13"/>
      <c r="C5296" s="13"/>
      <c r="D5296" s="13"/>
    </row>
    <row r="5297" spans="1:4">
      <c r="A5297" s="13"/>
      <c r="B5297" s="13"/>
      <c r="C5297" s="13"/>
      <c r="D5297" s="13"/>
    </row>
    <row r="5298" spans="1:4">
      <c r="A5298" s="13"/>
      <c r="B5298" s="13"/>
      <c r="C5298" s="13"/>
      <c r="D5298" s="13"/>
    </row>
    <row r="5299" spans="1:4">
      <c r="A5299" s="13"/>
      <c r="B5299" s="13"/>
      <c r="C5299" s="13"/>
      <c r="D5299" s="13"/>
    </row>
    <row r="5300" spans="1:4">
      <c r="A5300" s="13"/>
      <c r="B5300" s="13"/>
      <c r="C5300" s="13"/>
      <c r="D5300" s="13"/>
    </row>
    <row r="5301" spans="1:4">
      <c r="A5301" s="13"/>
      <c r="B5301" s="13"/>
      <c r="C5301" s="13"/>
      <c r="D5301" s="13"/>
    </row>
    <row r="5302" spans="1:4">
      <c r="A5302" s="13"/>
      <c r="B5302" s="13"/>
      <c r="C5302" s="13"/>
      <c r="D5302" s="13"/>
    </row>
    <row r="5303" spans="1:4">
      <c r="A5303" s="13"/>
      <c r="B5303" s="13"/>
      <c r="C5303" s="13"/>
      <c r="D5303" s="13"/>
    </row>
    <row r="5304" spans="1:4">
      <c r="A5304" s="13"/>
      <c r="B5304" s="13"/>
      <c r="C5304" s="13"/>
      <c r="D5304" s="13"/>
    </row>
    <row r="5305" spans="1:4">
      <c r="A5305" s="13"/>
      <c r="B5305" s="13"/>
      <c r="C5305" s="13"/>
      <c r="D5305" s="13"/>
    </row>
    <row r="5306" spans="1:4">
      <c r="A5306" s="13"/>
      <c r="B5306" s="13"/>
      <c r="C5306" s="13"/>
      <c r="D5306" s="13"/>
    </row>
    <row r="5307" spans="1:4">
      <c r="A5307" s="13"/>
      <c r="B5307" s="13"/>
      <c r="C5307" s="13"/>
      <c r="D5307" s="13"/>
    </row>
    <row r="5308" spans="1:4">
      <c r="A5308" s="13"/>
      <c r="B5308" s="13"/>
      <c r="C5308" s="13"/>
      <c r="D5308" s="13"/>
    </row>
    <row r="5309" spans="1:4">
      <c r="A5309" s="13"/>
      <c r="B5309" s="13"/>
      <c r="C5309" s="13"/>
      <c r="D5309" s="13"/>
    </row>
    <row r="5310" spans="1:4">
      <c r="A5310" s="13"/>
      <c r="B5310" s="13"/>
      <c r="C5310" s="13"/>
      <c r="D5310" s="13"/>
    </row>
    <row r="5311" spans="1:4">
      <c r="A5311" s="13"/>
      <c r="B5311" s="13"/>
      <c r="C5311" s="13"/>
      <c r="D5311" s="13"/>
    </row>
    <row r="5312" spans="1:4">
      <c r="A5312" s="13"/>
      <c r="B5312" s="13"/>
      <c r="C5312" s="13"/>
      <c r="D5312" s="13"/>
    </row>
    <row r="5313" spans="1:4">
      <c r="A5313" s="13"/>
      <c r="B5313" s="13"/>
      <c r="C5313" s="13"/>
      <c r="D5313" s="13"/>
    </row>
    <row r="5314" spans="1:4">
      <c r="A5314" s="13"/>
      <c r="B5314" s="13"/>
      <c r="C5314" s="13"/>
      <c r="D5314" s="13"/>
    </row>
    <row r="5315" spans="1:4">
      <c r="A5315" s="13"/>
      <c r="B5315" s="13"/>
      <c r="C5315" s="13"/>
      <c r="D5315" s="13"/>
    </row>
    <row r="5316" spans="1:4">
      <c r="A5316" s="13"/>
      <c r="B5316" s="13"/>
      <c r="C5316" s="13"/>
      <c r="D5316" s="13"/>
    </row>
    <row r="5317" spans="1:4">
      <c r="A5317" s="13"/>
      <c r="B5317" s="13"/>
      <c r="C5317" s="13"/>
      <c r="D5317" s="13"/>
    </row>
    <row r="5318" spans="1:4">
      <c r="A5318" s="13"/>
      <c r="B5318" s="13"/>
      <c r="C5318" s="13"/>
      <c r="D5318" s="13"/>
    </row>
    <row r="5319" spans="1:4">
      <c r="A5319" s="13"/>
      <c r="B5319" s="13"/>
      <c r="C5319" s="13"/>
      <c r="D5319" s="13"/>
    </row>
    <row r="5320" spans="1:4">
      <c r="A5320" s="13"/>
      <c r="B5320" s="13"/>
      <c r="C5320" s="13"/>
      <c r="D5320" s="13"/>
    </row>
    <row r="5321" spans="1:4">
      <c r="A5321" s="13"/>
      <c r="B5321" s="13"/>
      <c r="C5321" s="13"/>
      <c r="D5321" s="13"/>
    </row>
    <row r="5322" spans="1:4">
      <c r="A5322" s="13"/>
      <c r="B5322" s="13"/>
      <c r="C5322" s="13"/>
      <c r="D5322" s="13"/>
    </row>
    <row r="5323" spans="1:4">
      <c r="A5323" s="13"/>
      <c r="B5323" s="13"/>
      <c r="C5323" s="13"/>
      <c r="D5323" s="13"/>
    </row>
    <row r="5324" spans="1:4">
      <c r="A5324" s="13"/>
      <c r="B5324" s="13"/>
      <c r="C5324" s="13"/>
      <c r="D5324" s="13"/>
    </row>
    <row r="5325" spans="1:4">
      <c r="A5325" s="13"/>
      <c r="B5325" s="13"/>
      <c r="C5325" s="13"/>
      <c r="D5325" s="13"/>
    </row>
    <row r="5326" spans="1:4">
      <c r="A5326" s="13"/>
      <c r="B5326" s="13"/>
      <c r="C5326" s="13"/>
      <c r="D5326" s="13"/>
    </row>
    <row r="5327" spans="1:4">
      <c r="A5327" s="13"/>
      <c r="B5327" s="13"/>
      <c r="C5327" s="13"/>
      <c r="D5327" s="13"/>
    </row>
    <row r="5328" spans="1:4">
      <c r="A5328" s="13"/>
      <c r="B5328" s="13"/>
      <c r="C5328" s="13"/>
      <c r="D5328" s="13"/>
    </row>
    <row r="5329" spans="1:4">
      <c r="A5329" s="13"/>
      <c r="B5329" s="13"/>
      <c r="C5329" s="13"/>
      <c r="D5329" s="13"/>
    </row>
    <row r="5330" spans="1:4">
      <c r="A5330" s="13"/>
      <c r="B5330" s="13"/>
      <c r="C5330" s="13"/>
      <c r="D5330" s="13"/>
    </row>
    <row r="5331" spans="1:4">
      <c r="A5331" s="13"/>
      <c r="B5331" s="13"/>
      <c r="C5331" s="13"/>
      <c r="D5331" s="13"/>
    </row>
    <row r="5332" spans="1:4">
      <c r="A5332" s="13"/>
      <c r="B5332" s="13"/>
      <c r="C5332" s="13"/>
      <c r="D5332" s="13"/>
    </row>
    <row r="5333" spans="1:4">
      <c r="A5333" s="13"/>
      <c r="B5333" s="13"/>
      <c r="C5333" s="13"/>
      <c r="D5333" s="13"/>
    </row>
    <row r="5334" spans="1:4">
      <c r="A5334" s="13"/>
      <c r="B5334" s="13"/>
      <c r="C5334" s="13"/>
      <c r="D5334" s="13"/>
    </row>
    <row r="5335" spans="1:4">
      <c r="A5335" s="13"/>
      <c r="B5335" s="13"/>
      <c r="C5335" s="13"/>
      <c r="D5335" s="13"/>
    </row>
    <row r="5336" spans="1:4">
      <c r="A5336" s="13"/>
      <c r="B5336" s="13"/>
      <c r="C5336" s="13"/>
      <c r="D5336" s="13"/>
    </row>
    <row r="5337" spans="1:4">
      <c r="A5337" s="13"/>
      <c r="B5337" s="13"/>
      <c r="C5337" s="13"/>
      <c r="D5337" s="13"/>
    </row>
    <row r="5338" spans="1:4">
      <c r="A5338" s="13"/>
      <c r="B5338" s="13"/>
      <c r="C5338" s="13"/>
      <c r="D5338" s="13"/>
    </row>
    <row r="5339" spans="1:4">
      <c r="A5339" s="13"/>
      <c r="B5339" s="13"/>
      <c r="C5339" s="13"/>
      <c r="D5339" s="13"/>
    </row>
    <row r="5340" spans="1:4">
      <c r="A5340" s="13"/>
      <c r="B5340" s="13"/>
      <c r="C5340" s="13"/>
      <c r="D5340" s="13"/>
    </row>
    <row r="5341" spans="1:4">
      <c r="A5341" s="13"/>
      <c r="B5341" s="13"/>
      <c r="C5341" s="13"/>
      <c r="D5341" s="13"/>
    </row>
    <row r="5342" spans="1:4">
      <c r="A5342" s="13"/>
      <c r="B5342" s="13"/>
      <c r="C5342" s="13"/>
      <c r="D5342" s="13"/>
    </row>
    <row r="5343" spans="1:4">
      <c r="A5343" s="13"/>
      <c r="B5343" s="13"/>
      <c r="C5343" s="13"/>
      <c r="D5343" s="13"/>
    </row>
    <row r="5344" spans="1:4">
      <c r="A5344" s="13"/>
      <c r="B5344" s="13"/>
      <c r="C5344" s="13"/>
      <c r="D5344" s="13"/>
    </row>
    <row r="5345" spans="1:4">
      <c r="A5345" s="13"/>
      <c r="B5345" s="13"/>
      <c r="C5345" s="13"/>
      <c r="D5345" s="13"/>
    </row>
    <row r="5346" spans="1:4">
      <c r="A5346" s="13"/>
      <c r="B5346" s="13"/>
      <c r="C5346" s="13"/>
      <c r="D5346" s="13"/>
    </row>
    <row r="5347" spans="1:4">
      <c r="A5347" s="13"/>
      <c r="B5347" s="13"/>
      <c r="C5347" s="13"/>
      <c r="D5347" s="13"/>
    </row>
    <row r="5348" spans="1:4">
      <c r="A5348" s="13"/>
      <c r="B5348" s="13"/>
      <c r="C5348" s="13"/>
      <c r="D5348" s="13"/>
    </row>
    <row r="5349" spans="1:4">
      <c r="A5349" s="13"/>
      <c r="B5349" s="13"/>
      <c r="C5349" s="13"/>
      <c r="D5349" s="13"/>
    </row>
    <row r="5350" spans="1:4">
      <c r="A5350" s="13"/>
      <c r="B5350" s="13"/>
      <c r="C5350" s="13"/>
      <c r="D5350" s="13"/>
    </row>
    <row r="5351" spans="1:4">
      <c r="A5351" s="13"/>
      <c r="B5351" s="13"/>
      <c r="C5351" s="13"/>
      <c r="D5351" s="13"/>
    </row>
    <row r="5352" spans="1:4">
      <c r="A5352" s="13"/>
      <c r="B5352" s="13"/>
      <c r="C5352" s="13"/>
      <c r="D5352" s="13"/>
    </row>
    <row r="5353" spans="1:4">
      <c r="A5353" s="13"/>
      <c r="B5353" s="13"/>
      <c r="C5353" s="13"/>
      <c r="D5353" s="13"/>
    </row>
    <row r="5354" spans="1:4">
      <c r="A5354" s="13"/>
      <c r="B5354" s="13"/>
      <c r="C5354" s="13"/>
      <c r="D5354" s="13"/>
    </row>
    <row r="5355" spans="1:4">
      <c r="A5355" s="13"/>
      <c r="B5355" s="13"/>
      <c r="C5355" s="13"/>
      <c r="D5355" s="13"/>
    </row>
    <row r="5356" spans="1:4">
      <c r="A5356" s="13"/>
      <c r="B5356" s="13"/>
      <c r="C5356" s="13"/>
      <c r="D5356" s="13"/>
    </row>
    <row r="5357" spans="1:4">
      <c r="A5357" s="13"/>
      <c r="B5357" s="13"/>
      <c r="C5357" s="13"/>
      <c r="D5357" s="13"/>
    </row>
    <row r="5358" spans="1:4">
      <c r="A5358" s="13"/>
      <c r="B5358" s="13"/>
      <c r="C5358" s="13"/>
      <c r="D5358" s="13"/>
    </row>
    <row r="5359" spans="1:4">
      <c r="A5359" s="13"/>
      <c r="B5359" s="13"/>
      <c r="C5359" s="13"/>
      <c r="D5359" s="13"/>
    </row>
    <row r="5360" spans="1:4">
      <c r="A5360" s="13"/>
      <c r="B5360" s="13"/>
      <c r="C5360" s="13"/>
      <c r="D5360" s="13"/>
    </row>
    <row r="5361" spans="1:4">
      <c r="A5361" s="13"/>
      <c r="B5361" s="13"/>
      <c r="C5361" s="13"/>
      <c r="D5361" s="13"/>
    </row>
    <row r="5362" spans="1:4">
      <c r="A5362" s="13"/>
      <c r="B5362" s="13"/>
      <c r="C5362" s="13"/>
      <c r="D5362" s="13"/>
    </row>
    <row r="5363" spans="1:4">
      <c r="A5363" s="13"/>
      <c r="B5363" s="13"/>
      <c r="C5363" s="13"/>
      <c r="D5363" s="13"/>
    </row>
    <row r="5364" spans="1:4">
      <c r="A5364" s="13"/>
      <c r="B5364" s="13"/>
      <c r="C5364" s="13"/>
      <c r="D5364" s="13"/>
    </row>
    <row r="5365" spans="1:4">
      <c r="A5365" s="13"/>
      <c r="B5365" s="13"/>
      <c r="C5365" s="13"/>
      <c r="D5365" s="13"/>
    </row>
    <row r="5366" spans="1:4">
      <c r="A5366" s="13"/>
      <c r="B5366" s="13"/>
      <c r="C5366" s="13"/>
      <c r="D5366" s="13"/>
    </row>
    <row r="5367" spans="1:4">
      <c r="A5367" s="13"/>
      <c r="B5367" s="13"/>
      <c r="C5367" s="13"/>
      <c r="D5367" s="13"/>
    </row>
    <row r="5368" spans="1:4">
      <c r="A5368" s="13"/>
      <c r="B5368" s="13"/>
      <c r="C5368" s="13"/>
      <c r="D5368" s="13"/>
    </row>
    <row r="5369" spans="1:4">
      <c r="A5369" s="13"/>
      <c r="B5369" s="13"/>
      <c r="C5369" s="13"/>
      <c r="D5369" s="13"/>
    </row>
    <row r="5370" spans="1:4">
      <c r="A5370" s="13"/>
      <c r="B5370" s="13"/>
      <c r="C5370" s="13"/>
      <c r="D5370" s="13"/>
    </row>
    <row r="5371" spans="1:4">
      <c r="A5371" s="13"/>
      <c r="B5371" s="13"/>
      <c r="C5371" s="13"/>
      <c r="D5371" s="13"/>
    </row>
    <row r="5372" spans="1:4">
      <c r="A5372" s="13"/>
      <c r="B5372" s="13"/>
      <c r="C5372" s="13"/>
      <c r="D5372" s="13"/>
    </row>
    <row r="5373" spans="1:4">
      <c r="A5373" s="13"/>
      <c r="B5373" s="13"/>
      <c r="C5373" s="13"/>
      <c r="D5373" s="13"/>
    </row>
    <row r="5374" spans="1:4">
      <c r="A5374" s="13"/>
      <c r="B5374" s="13"/>
      <c r="C5374" s="13"/>
      <c r="D5374" s="13"/>
    </row>
    <row r="5375" spans="1:4">
      <c r="A5375" s="13"/>
      <c r="B5375" s="13"/>
      <c r="C5375" s="13"/>
      <c r="D5375" s="13"/>
    </row>
    <row r="5376" spans="1:4">
      <c r="A5376" s="13"/>
      <c r="B5376" s="13"/>
      <c r="C5376" s="13"/>
      <c r="D5376" s="13"/>
    </row>
    <row r="5377" spans="1:4">
      <c r="A5377" s="13"/>
      <c r="B5377" s="13"/>
      <c r="C5377" s="13"/>
      <c r="D5377" s="13"/>
    </row>
    <row r="5378" spans="1:4">
      <c r="A5378" s="13"/>
      <c r="B5378" s="13"/>
      <c r="C5378" s="13"/>
      <c r="D5378" s="13"/>
    </row>
    <row r="5379" spans="1:4">
      <c r="A5379" s="13"/>
      <c r="B5379" s="13"/>
      <c r="C5379" s="13"/>
      <c r="D5379" s="13"/>
    </row>
    <row r="5380" spans="1:4">
      <c r="A5380" s="13"/>
      <c r="B5380" s="13"/>
      <c r="C5380" s="13"/>
      <c r="D5380" s="13"/>
    </row>
    <row r="5381" spans="1:4">
      <c r="A5381" s="13"/>
      <c r="B5381" s="13"/>
      <c r="C5381" s="13"/>
      <c r="D5381" s="13"/>
    </row>
    <row r="5382" spans="1:4">
      <c r="A5382" s="13"/>
      <c r="B5382" s="13"/>
      <c r="C5382" s="13"/>
      <c r="D5382" s="13"/>
    </row>
    <row r="5383" spans="1:4">
      <c r="A5383" s="13"/>
      <c r="B5383" s="13"/>
      <c r="C5383" s="13"/>
      <c r="D5383" s="13"/>
    </row>
    <row r="5384" spans="1:4">
      <c r="A5384" s="13"/>
      <c r="B5384" s="13"/>
      <c r="C5384" s="13"/>
      <c r="D5384" s="13"/>
    </row>
    <row r="5385" spans="1:4">
      <c r="A5385" s="13"/>
      <c r="B5385" s="13"/>
      <c r="C5385" s="13"/>
      <c r="D5385" s="13"/>
    </row>
    <row r="5386" spans="1:4">
      <c r="A5386" s="13"/>
      <c r="B5386" s="13"/>
      <c r="C5386" s="13"/>
      <c r="D5386" s="13"/>
    </row>
    <row r="5387" spans="1:4">
      <c r="A5387" s="13"/>
      <c r="B5387" s="13"/>
      <c r="C5387" s="13"/>
      <c r="D5387" s="13"/>
    </row>
    <row r="5388" spans="1:4">
      <c r="A5388" s="13"/>
      <c r="B5388" s="13"/>
      <c r="C5388" s="13"/>
      <c r="D5388" s="13"/>
    </row>
    <row r="5389" spans="1:4">
      <c r="A5389" s="13"/>
      <c r="B5389" s="13"/>
      <c r="C5389" s="13"/>
      <c r="D5389" s="13"/>
    </row>
    <row r="5390" spans="1:4">
      <c r="A5390" s="13"/>
      <c r="B5390" s="13"/>
      <c r="C5390" s="13"/>
      <c r="D5390" s="13"/>
    </row>
    <row r="5391" spans="1:4">
      <c r="A5391" s="13"/>
      <c r="B5391" s="13"/>
      <c r="C5391" s="13"/>
      <c r="D5391" s="13"/>
    </row>
    <row r="5392" spans="1:4">
      <c r="A5392" s="13"/>
      <c r="B5392" s="13"/>
      <c r="C5392" s="13"/>
      <c r="D5392" s="13"/>
    </row>
    <row r="5393" spans="1:4">
      <c r="A5393" s="13"/>
      <c r="B5393" s="13"/>
      <c r="C5393" s="13"/>
      <c r="D5393" s="13"/>
    </row>
    <row r="5394" spans="1:4">
      <c r="A5394" s="13"/>
      <c r="B5394" s="13"/>
      <c r="C5394" s="13"/>
      <c r="D5394" s="13"/>
    </row>
    <row r="5395" spans="1:4">
      <c r="A5395" s="13"/>
      <c r="B5395" s="13"/>
      <c r="C5395" s="13"/>
      <c r="D5395" s="13"/>
    </row>
    <row r="5396" spans="1:4">
      <c r="A5396" s="13"/>
      <c r="B5396" s="13"/>
      <c r="C5396" s="13"/>
      <c r="D5396" s="13"/>
    </row>
    <row r="5397" spans="1:4">
      <c r="A5397" s="13"/>
      <c r="B5397" s="13"/>
      <c r="C5397" s="13"/>
      <c r="D5397" s="13"/>
    </row>
    <row r="5398" spans="1:4">
      <c r="A5398" s="13"/>
      <c r="B5398" s="13"/>
      <c r="C5398" s="13"/>
      <c r="D5398" s="13"/>
    </row>
    <row r="5399" spans="1:4">
      <c r="A5399" s="13"/>
      <c r="B5399" s="13"/>
      <c r="C5399" s="13"/>
      <c r="D5399" s="13"/>
    </row>
    <row r="5400" spans="1:4">
      <c r="A5400" s="13"/>
      <c r="B5400" s="13"/>
      <c r="C5400" s="13"/>
      <c r="D5400" s="13"/>
    </row>
    <row r="5401" spans="1:4">
      <c r="A5401" s="13"/>
      <c r="B5401" s="13"/>
      <c r="C5401" s="13"/>
      <c r="D5401" s="13"/>
    </row>
    <row r="5402" spans="1:4">
      <c r="A5402" s="13"/>
      <c r="B5402" s="13"/>
      <c r="C5402" s="13"/>
      <c r="D5402" s="13"/>
    </row>
    <row r="5403" spans="1:4">
      <c r="A5403" s="13"/>
      <c r="B5403" s="13"/>
      <c r="C5403" s="13"/>
      <c r="D5403" s="13"/>
    </row>
    <row r="5404" spans="1:4">
      <c r="A5404" s="13"/>
      <c r="B5404" s="13"/>
      <c r="C5404" s="13"/>
      <c r="D5404" s="13"/>
    </row>
    <row r="5405" spans="1:4">
      <c r="A5405" s="13"/>
      <c r="B5405" s="13"/>
      <c r="C5405" s="13"/>
      <c r="D5405" s="13"/>
    </row>
    <row r="5406" spans="1:4">
      <c r="A5406" s="13"/>
      <c r="B5406" s="13"/>
      <c r="C5406" s="13"/>
      <c r="D5406" s="13"/>
    </row>
    <row r="5407" spans="1:4">
      <c r="A5407" s="13"/>
      <c r="B5407" s="13"/>
      <c r="C5407" s="13"/>
      <c r="D5407" s="13"/>
    </row>
    <row r="5408" spans="1:4">
      <c r="A5408" s="13"/>
      <c r="B5408" s="13"/>
      <c r="C5408" s="13"/>
      <c r="D5408" s="13"/>
    </row>
    <row r="5409" spans="1:4">
      <c r="A5409" s="13"/>
      <c r="B5409" s="13"/>
      <c r="C5409" s="13"/>
      <c r="D5409" s="13"/>
    </row>
    <row r="5410" spans="1:4">
      <c r="A5410" s="13"/>
      <c r="B5410" s="13"/>
      <c r="C5410" s="13"/>
      <c r="D5410" s="13"/>
    </row>
    <row r="5411" spans="1:4">
      <c r="A5411" s="13"/>
      <c r="B5411" s="13"/>
      <c r="C5411" s="13"/>
      <c r="D5411" s="13"/>
    </row>
    <row r="5412" spans="1:4">
      <c r="A5412" s="13"/>
      <c r="B5412" s="13"/>
      <c r="C5412" s="13"/>
      <c r="D5412" s="13"/>
    </row>
    <row r="5413" spans="1:4">
      <c r="A5413" s="13"/>
      <c r="B5413" s="13"/>
      <c r="C5413" s="13"/>
      <c r="D5413" s="13"/>
    </row>
    <row r="5414" spans="1:4">
      <c r="A5414" s="13"/>
      <c r="B5414" s="13"/>
      <c r="C5414" s="13"/>
      <c r="D5414" s="13"/>
    </row>
    <row r="5415" spans="1:4">
      <c r="A5415" s="13"/>
      <c r="B5415" s="13"/>
      <c r="C5415" s="13"/>
      <c r="D5415" s="13"/>
    </row>
    <row r="5416" spans="1:4">
      <c r="A5416" s="13"/>
      <c r="B5416" s="13"/>
      <c r="C5416" s="13"/>
      <c r="D5416" s="13"/>
    </row>
    <row r="5417" spans="1:4">
      <c r="A5417" s="13"/>
      <c r="B5417" s="13"/>
      <c r="C5417" s="13"/>
      <c r="D5417" s="13"/>
    </row>
    <row r="5418" spans="1:4">
      <c r="A5418" s="13"/>
      <c r="B5418" s="13"/>
      <c r="C5418" s="13"/>
      <c r="D5418" s="13"/>
    </row>
    <row r="5419" spans="1:4">
      <c r="A5419" s="13"/>
      <c r="B5419" s="13"/>
      <c r="C5419" s="13"/>
      <c r="D5419" s="13"/>
    </row>
    <row r="5420" spans="1:4">
      <c r="A5420" s="13"/>
      <c r="B5420" s="13"/>
      <c r="C5420" s="13"/>
      <c r="D5420" s="13"/>
    </row>
    <row r="5421" spans="1:4">
      <c r="A5421" s="13"/>
      <c r="B5421" s="13"/>
      <c r="C5421" s="13"/>
      <c r="D5421" s="13"/>
    </row>
    <row r="5422" spans="1:4">
      <c r="A5422" s="13"/>
      <c r="B5422" s="13"/>
      <c r="C5422" s="13"/>
      <c r="D5422" s="13"/>
    </row>
    <row r="5423" spans="1:4">
      <c r="A5423" s="13"/>
      <c r="B5423" s="13"/>
      <c r="C5423" s="13"/>
      <c r="D5423" s="13"/>
    </row>
    <row r="5424" spans="1:4">
      <c r="A5424" s="13"/>
      <c r="B5424" s="13"/>
      <c r="C5424" s="13"/>
      <c r="D5424" s="13"/>
    </row>
    <row r="5425" spans="1:4">
      <c r="A5425" s="13"/>
      <c r="B5425" s="13"/>
      <c r="C5425" s="13"/>
      <c r="D5425" s="13"/>
    </row>
    <row r="5426" spans="1:4">
      <c r="A5426" s="13"/>
      <c r="B5426" s="13"/>
      <c r="C5426" s="13"/>
      <c r="D5426" s="13"/>
    </row>
    <row r="5427" spans="1:4">
      <c r="A5427" s="13"/>
      <c r="B5427" s="13"/>
      <c r="C5427" s="13"/>
      <c r="D5427" s="13"/>
    </row>
    <row r="5428" spans="1:4">
      <c r="A5428" s="13"/>
      <c r="B5428" s="13"/>
      <c r="C5428" s="13"/>
      <c r="D5428" s="13"/>
    </row>
    <row r="5429" spans="1:4">
      <c r="A5429" s="13"/>
      <c r="B5429" s="13"/>
      <c r="C5429" s="13"/>
      <c r="D5429" s="13"/>
    </row>
    <row r="5430" spans="1:4">
      <c r="A5430" s="13"/>
      <c r="B5430" s="13"/>
      <c r="C5430" s="13"/>
      <c r="D5430" s="13"/>
    </row>
    <row r="5431" spans="1:4">
      <c r="A5431" s="13"/>
      <c r="B5431" s="13"/>
      <c r="C5431" s="13"/>
      <c r="D5431" s="13"/>
    </row>
    <row r="5432" spans="1:4">
      <c r="A5432" s="13"/>
      <c r="B5432" s="13"/>
      <c r="C5432" s="13"/>
      <c r="D5432" s="13"/>
    </row>
    <row r="5433" spans="1:4">
      <c r="A5433" s="13"/>
      <c r="B5433" s="13"/>
      <c r="C5433" s="13"/>
      <c r="D5433" s="13"/>
    </row>
    <row r="5434" spans="1:4">
      <c r="A5434" s="13"/>
      <c r="B5434" s="13"/>
      <c r="C5434" s="13"/>
      <c r="D5434" s="13"/>
    </row>
    <row r="5435" spans="1:4">
      <c r="A5435" s="13"/>
      <c r="B5435" s="13"/>
      <c r="C5435" s="13"/>
      <c r="D5435" s="13"/>
    </row>
    <row r="5436" spans="1:4">
      <c r="A5436" s="13"/>
      <c r="B5436" s="13"/>
      <c r="C5436" s="13"/>
      <c r="D5436" s="13"/>
    </row>
    <row r="5437" spans="1:4">
      <c r="A5437" s="13"/>
      <c r="B5437" s="13"/>
      <c r="C5437" s="13"/>
      <c r="D5437" s="13"/>
    </row>
    <row r="5438" spans="1:4">
      <c r="A5438" s="13"/>
      <c r="B5438" s="13"/>
      <c r="C5438" s="13"/>
      <c r="D5438" s="13"/>
    </row>
    <row r="5439" spans="1:4">
      <c r="A5439" s="13"/>
      <c r="B5439" s="13"/>
      <c r="C5439" s="13"/>
      <c r="D5439" s="13"/>
    </row>
    <row r="5440" spans="1:4">
      <c r="A5440" s="13"/>
      <c r="B5440" s="13"/>
      <c r="C5440" s="13"/>
      <c r="D5440" s="13"/>
    </row>
    <row r="5441" spans="1:4">
      <c r="A5441" s="13"/>
      <c r="B5441" s="13"/>
      <c r="C5441" s="13"/>
      <c r="D5441" s="13"/>
    </row>
    <row r="5442" spans="1:4">
      <c r="A5442" s="13"/>
      <c r="B5442" s="13"/>
      <c r="C5442" s="13"/>
      <c r="D5442" s="13"/>
    </row>
    <row r="5443" spans="1:4">
      <c r="A5443" s="13"/>
      <c r="B5443" s="13"/>
      <c r="C5443" s="13"/>
      <c r="D5443" s="13"/>
    </row>
    <row r="5444" spans="1:4">
      <c r="A5444" s="13"/>
      <c r="B5444" s="13"/>
      <c r="C5444" s="13"/>
      <c r="D5444" s="13"/>
    </row>
    <row r="5445" spans="1:4">
      <c r="A5445" s="13"/>
      <c r="B5445" s="13"/>
      <c r="C5445" s="13"/>
      <c r="D5445" s="13"/>
    </row>
    <row r="5446" spans="1:4">
      <c r="A5446" s="13"/>
      <c r="B5446" s="13"/>
      <c r="C5446" s="13"/>
      <c r="D5446" s="13"/>
    </row>
    <row r="5447" spans="1:4">
      <c r="A5447" s="13"/>
      <c r="B5447" s="13"/>
      <c r="C5447" s="13"/>
      <c r="D5447" s="13"/>
    </row>
    <row r="5448" spans="1:4">
      <c r="A5448" s="13"/>
      <c r="B5448" s="13"/>
      <c r="C5448" s="13"/>
      <c r="D5448" s="13"/>
    </row>
    <row r="5449" spans="1:4">
      <c r="A5449" s="13"/>
      <c r="B5449" s="13"/>
      <c r="C5449" s="13"/>
      <c r="D5449" s="13"/>
    </row>
    <row r="5450" spans="1:4">
      <c r="A5450" s="13"/>
      <c r="B5450" s="13"/>
      <c r="C5450" s="13"/>
      <c r="D5450" s="13"/>
    </row>
    <row r="5451" spans="1:4">
      <c r="A5451" s="13"/>
      <c r="B5451" s="13"/>
      <c r="C5451" s="13"/>
      <c r="D5451" s="13"/>
    </row>
    <row r="5452" spans="1:4">
      <c r="A5452" s="13"/>
      <c r="B5452" s="13"/>
      <c r="C5452" s="13"/>
      <c r="D5452" s="13"/>
    </row>
    <row r="5453" spans="1:4">
      <c r="A5453" s="13"/>
      <c r="B5453" s="13"/>
      <c r="C5453" s="13"/>
      <c r="D5453" s="13"/>
    </row>
    <row r="5454" spans="1:4">
      <c r="A5454" s="13"/>
      <c r="B5454" s="13"/>
      <c r="C5454" s="13"/>
      <c r="D5454" s="13"/>
    </row>
    <row r="5455" spans="1:4">
      <c r="A5455" s="13"/>
      <c r="B5455" s="13"/>
      <c r="C5455" s="13"/>
      <c r="D5455" s="13"/>
    </row>
    <row r="5456" spans="1:4">
      <c r="A5456" s="13"/>
      <c r="B5456" s="13"/>
      <c r="C5456" s="13"/>
      <c r="D5456" s="13"/>
    </row>
    <row r="5457" spans="1:4">
      <c r="A5457" s="13"/>
      <c r="B5457" s="13"/>
      <c r="C5457" s="13"/>
      <c r="D5457" s="13"/>
    </row>
    <row r="5458" spans="1:4">
      <c r="A5458" s="13"/>
      <c r="B5458" s="13"/>
      <c r="C5458" s="13"/>
      <c r="D5458" s="13"/>
    </row>
    <row r="5459" spans="1:4">
      <c r="A5459" s="13"/>
      <c r="B5459" s="13"/>
      <c r="C5459" s="13"/>
      <c r="D5459" s="13"/>
    </row>
    <row r="5460" spans="1:4">
      <c r="A5460" s="13"/>
      <c r="B5460" s="13"/>
      <c r="C5460" s="13"/>
      <c r="D5460" s="13"/>
    </row>
    <row r="5461" spans="1:4">
      <c r="A5461" s="13"/>
      <c r="B5461" s="13"/>
      <c r="C5461" s="13"/>
      <c r="D5461" s="13"/>
    </row>
    <row r="5462" spans="1:4">
      <c r="A5462" s="13"/>
      <c r="B5462" s="13"/>
      <c r="C5462" s="13"/>
      <c r="D5462" s="13"/>
    </row>
    <row r="5463" spans="1:4">
      <c r="A5463" s="13"/>
      <c r="B5463" s="13"/>
      <c r="C5463" s="13"/>
      <c r="D5463" s="13"/>
    </row>
    <row r="5464" spans="1:4">
      <c r="A5464" s="13"/>
      <c r="B5464" s="13"/>
      <c r="C5464" s="13"/>
      <c r="D5464" s="13"/>
    </row>
    <row r="5465" spans="1:4">
      <c r="A5465" s="13"/>
      <c r="B5465" s="13"/>
      <c r="C5465" s="13"/>
      <c r="D5465" s="13"/>
    </row>
    <row r="5466" spans="1:4">
      <c r="A5466" s="13"/>
      <c r="B5466" s="13"/>
      <c r="C5466" s="13"/>
      <c r="D5466" s="13"/>
    </row>
    <row r="5467" spans="1:4">
      <c r="A5467" s="13"/>
      <c r="B5467" s="13"/>
      <c r="C5467" s="13"/>
      <c r="D5467" s="13"/>
    </row>
    <row r="5468" spans="1:4">
      <c r="A5468" s="13"/>
      <c r="B5468" s="13"/>
      <c r="C5468" s="13"/>
      <c r="D5468" s="13"/>
    </row>
    <row r="5469" spans="1:4">
      <c r="A5469" s="13"/>
      <c r="B5469" s="13"/>
      <c r="C5469" s="13"/>
      <c r="D5469" s="13"/>
    </row>
    <row r="5470" spans="1:4">
      <c r="A5470" s="13"/>
      <c r="B5470" s="13"/>
      <c r="C5470" s="13"/>
      <c r="D5470" s="13"/>
    </row>
    <row r="5471" spans="1:4">
      <c r="A5471" s="13"/>
      <c r="B5471" s="13"/>
      <c r="C5471" s="13"/>
      <c r="D5471" s="13"/>
    </row>
    <row r="5472" spans="1:4">
      <c r="A5472" s="13"/>
      <c r="B5472" s="13"/>
      <c r="C5472" s="13"/>
      <c r="D5472" s="13"/>
    </row>
    <row r="5473" spans="1:4">
      <c r="A5473" s="13"/>
      <c r="B5473" s="13"/>
      <c r="C5473" s="13"/>
      <c r="D5473" s="13"/>
    </row>
    <row r="5474" spans="1:4">
      <c r="A5474" s="13"/>
      <c r="B5474" s="13"/>
      <c r="C5474" s="13"/>
      <c r="D5474" s="13"/>
    </row>
    <row r="5475" spans="1:4">
      <c r="A5475" s="13"/>
      <c r="B5475" s="13"/>
      <c r="C5475" s="13"/>
      <c r="D5475" s="13"/>
    </row>
    <row r="5476" spans="1:4">
      <c r="A5476" s="13"/>
      <c r="B5476" s="13"/>
      <c r="C5476" s="13"/>
      <c r="D5476" s="13"/>
    </row>
    <row r="5477" spans="1:4">
      <c r="A5477" s="13"/>
      <c r="B5477" s="13"/>
      <c r="C5477" s="13"/>
      <c r="D5477" s="13"/>
    </row>
    <row r="5478" spans="1:4">
      <c r="A5478" s="13"/>
      <c r="B5478" s="13"/>
      <c r="C5478" s="13"/>
      <c r="D5478" s="13"/>
    </row>
    <row r="5479" spans="1:4">
      <c r="A5479" s="13"/>
      <c r="B5479" s="13"/>
      <c r="C5479" s="13"/>
      <c r="D5479" s="13"/>
    </row>
    <row r="5480" spans="1:4">
      <c r="A5480" s="13"/>
      <c r="B5480" s="13"/>
      <c r="C5480" s="13"/>
      <c r="D5480" s="13"/>
    </row>
    <row r="5481" spans="1:4">
      <c r="A5481" s="13"/>
      <c r="B5481" s="13"/>
      <c r="C5481" s="13"/>
      <c r="D5481" s="13"/>
    </row>
    <row r="5482" spans="1:4">
      <c r="A5482" s="13"/>
      <c r="B5482" s="13"/>
      <c r="C5482" s="13"/>
      <c r="D5482" s="13"/>
    </row>
    <row r="5483" spans="1:4">
      <c r="A5483" s="13"/>
      <c r="B5483" s="13"/>
      <c r="C5483" s="13"/>
      <c r="D5483" s="13"/>
    </row>
    <row r="5484" spans="1:4">
      <c r="A5484" s="13"/>
      <c r="B5484" s="13"/>
      <c r="C5484" s="13"/>
      <c r="D5484" s="13"/>
    </row>
    <row r="5485" spans="1:4">
      <c r="A5485" s="13"/>
      <c r="B5485" s="13"/>
      <c r="C5485" s="13"/>
      <c r="D5485" s="13"/>
    </row>
    <row r="5486" spans="1:4">
      <c r="A5486" s="13"/>
      <c r="B5486" s="13"/>
      <c r="C5486" s="13"/>
      <c r="D5486" s="13"/>
    </row>
    <row r="5487" spans="1:4">
      <c r="A5487" s="13"/>
      <c r="B5487" s="13"/>
      <c r="C5487" s="13"/>
      <c r="D5487" s="13"/>
    </row>
    <row r="5488" spans="1:4">
      <c r="A5488" s="13"/>
      <c r="B5488" s="13"/>
      <c r="C5488" s="13"/>
      <c r="D5488" s="13"/>
    </row>
    <row r="5489" spans="1:4">
      <c r="A5489" s="13"/>
      <c r="B5489" s="13"/>
      <c r="C5489" s="13"/>
      <c r="D5489" s="13"/>
    </row>
    <row r="5490" spans="1:4">
      <c r="A5490" s="13"/>
      <c r="B5490" s="13"/>
      <c r="C5490" s="13"/>
      <c r="D5490" s="13"/>
    </row>
    <row r="5491" spans="1:4">
      <c r="A5491" s="13"/>
      <c r="B5491" s="13"/>
      <c r="C5491" s="13"/>
      <c r="D5491" s="13"/>
    </row>
    <row r="5492" spans="1:4">
      <c r="A5492" s="13"/>
      <c r="B5492" s="13"/>
      <c r="C5492" s="13"/>
      <c r="D5492" s="13"/>
    </row>
    <row r="5493" spans="1:4">
      <c r="A5493" s="13"/>
      <c r="B5493" s="13"/>
      <c r="C5493" s="13"/>
      <c r="D5493" s="13"/>
    </row>
    <row r="5494" spans="1:4">
      <c r="A5494" s="13"/>
      <c r="B5494" s="13"/>
      <c r="C5494" s="13"/>
      <c r="D5494" s="13"/>
    </row>
    <row r="5495" spans="1:4">
      <c r="A5495" s="13"/>
      <c r="B5495" s="13"/>
      <c r="C5495" s="13"/>
      <c r="D5495" s="13"/>
    </row>
    <row r="5496" spans="1:4">
      <c r="A5496" s="13"/>
      <c r="B5496" s="13"/>
      <c r="C5496" s="13"/>
      <c r="D5496" s="13"/>
    </row>
    <row r="5497" spans="1:4">
      <c r="A5497" s="13"/>
      <c r="B5497" s="13"/>
      <c r="C5497" s="13"/>
      <c r="D5497" s="13"/>
    </row>
    <row r="5498" spans="1:4">
      <c r="A5498" s="13"/>
      <c r="B5498" s="13"/>
      <c r="C5498" s="13"/>
      <c r="D5498" s="13"/>
    </row>
    <row r="5499" spans="1:4">
      <c r="A5499" s="13"/>
      <c r="B5499" s="13"/>
      <c r="C5499" s="13"/>
      <c r="D5499" s="13"/>
    </row>
    <row r="5500" spans="1:4">
      <c r="A5500" s="13"/>
      <c r="B5500" s="13"/>
      <c r="C5500" s="13"/>
      <c r="D5500" s="13"/>
    </row>
    <row r="5501" spans="1:4">
      <c r="A5501" s="13"/>
      <c r="B5501" s="13"/>
      <c r="C5501" s="13"/>
      <c r="D5501" s="13"/>
    </row>
    <row r="5502" spans="1:4">
      <c r="A5502" s="13"/>
      <c r="B5502" s="13"/>
      <c r="C5502" s="13"/>
      <c r="D5502" s="13"/>
    </row>
    <row r="5503" spans="1:4">
      <c r="A5503" s="13"/>
      <c r="B5503" s="13"/>
      <c r="C5503" s="13"/>
      <c r="D5503" s="13"/>
    </row>
    <row r="5504" spans="1:4">
      <c r="A5504" s="13"/>
      <c r="B5504" s="13"/>
      <c r="C5504" s="13"/>
      <c r="D5504" s="13"/>
    </row>
    <row r="5505" spans="1:4">
      <c r="A5505" s="13"/>
      <c r="B5505" s="13"/>
      <c r="C5505" s="13"/>
      <c r="D5505" s="13"/>
    </row>
    <row r="5506" spans="1:4">
      <c r="A5506" s="13"/>
      <c r="B5506" s="13"/>
      <c r="C5506" s="13"/>
      <c r="D5506" s="13"/>
    </row>
    <row r="5507" spans="1:4">
      <c r="A5507" s="13"/>
      <c r="B5507" s="13"/>
      <c r="C5507" s="13"/>
      <c r="D5507" s="13"/>
    </row>
    <row r="5508" spans="1:4">
      <c r="A5508" s="13"/>
      <c r="B5508" s="13"/>
      <c r="C5508" s="13"/>
      <c r="D5508" s="13"/>
    </row>
    <row r="5509" spans="1:4">
      <c r="A5509" s="13"/>
      <c r="B5509" s="13"/>
      <c r="C5509" s="13"/>
      <c r="D5509" s="13"/>
    </row>
    <row r="5510" spans="1:4">
      <c r="A5510" s="13"/>
      <c r="B5510" s="13"/>
      <c r="C5510" s="13"/>
      <c r="D5510" s="13"/>
    </row>
    <row r="5511" spans="1:4">
      <c r="A5511" s="13"/>
      <c r="B5511" s="13"/>
      <c r="C5511" s="13"/>
      <c r="D5511" s="13"/>
    </row>
    <row r="5512" spans="1:4">
      <c r="A5512" s="13"/>
      <c r="B5512" s="13"/>
      <c r="C5512" s="13"/>
      <c r="D5512" s="13"/>
    </row>
    <row r="5513" spans="1:4">
      <c r="A5513" s="13"/>
      <c r="B5513" s="13"/>
      <c r="C5513" s="13"/>
      <c r="D5513" s="13"/>
    </row>
    <row r="5514" spans="1:4">
      <c r="A5514" s="13"/>
      <c r="B5514" s="13"/>
      <c r="C5514" s="13"/>
      <c r="D5514" s="13"/>
    </row>
    <row r="5515" spans="1:4">
      <c r="A5515" s="13"/>
      <c r="B5515" s="13"/>
      <c r="C5515" s="13"/>
      <c r="D5515" s="13"/>
    </row>
    <row r="5516" spans="1:4">
      <c r="A5516" s="13"/>
      <c r="B5516" s="13"/>
      <c r="C5516" s="13"/>
      <c r="D5516" s="13"/>
    </row>
    <row r="5517" spans="1:4">
      <c r="A5517" s="13"/>
      <c r="B5517" s="13"/>
      <c r="C5517" s="13"/>
      <c r="D5517" s="13"/>
    </row>
    <row r="5518" spans="1:4">
      <c r="A5518" s="13"/>
      <c r="B5518" s="13"/>
      <c r="C5518" s="13"/>
      <c r="D5518" s="13"/>
    </row>
    <row r="5519" spans="1:4">
      <c r="A5519" s="13"/>
      <c r="B5519" s="13"/>
      <c r="C5519" s="13"/>
      <c r="D5519" s="13"/>
    </row>
    <row r="5520" spans="1:4">
      <c r="A5520" s="13"/>
      <c r="B5520" s="13"/>
      <c r="C5520" s="13"/>
      <c r="D5520" s="13"/>
    </row>
    <row r="5521" spans="1:4">
      <c r="A5521" s="13"/>
      <c r="B5521" s="13"/>
      <c r="C5521" s="13"/>
      <c r="D5521" s="13"/>
    </row>
    <row r="5522" spans="1:4">
      <c r="A5522" s="13"/>
      <c r="B5522" s="13"/>
      <c r="C5522" s="13"/>
      <c r="D5522" s="13"/>
    </row>
    <row r="5523" spans="1:4">
      <c r="A5523" s="13"/>
      <c r="B5523" s="13"/>
      <c r="C5523" s="13"/>
      <c r="D5523" s="13"/>
    </row>
    <row r="5524" spans="1:4">
      <c r="A5524" s="13"/>
      <c r="B5524" s="13"/>
      <c r="C5524" s="13"/>
      <c r="D5524" s="13"/>
    </row>
    <row r="5525" spans="1:4">
      <c r="A5525" s="13"/>
      <c r="B5525" s="13"/>
      <c r="C5525" s="13"/>
      <c r="D5525" s="13"/>
    </row>
    <row r="5526" spans="1:4">
      <c r="A5526" s="13"/>
      <c r="B5526" s="13"/>
      <c r="C5526" s="13"/>
      <c r="D5526" s="13"/>
    </row>
    <row r="5527" spans="1:4">
      <c r="A5527" s="13"/>
      <c r="B5527" s="13"/>
      <c r="C5527" s="13"/>
      <c r="D5527" s="13"/>
    </row>
    <row r="5528" spans="1:4">
      <c r="A5528" s="13"/>
      <c r="B5528" s="13"/>
      <c r="C5528" s="13"/>
      <c r="D5528" s="13"/>
    </row>
    <row r="5529" spans="1:4">
      <c r="A5529" s="13"/>
      <c r="B5529" s="13"/>
      <c r="C5529" s="13"/>
      <c r="D5529" s="13"/>
    </row>
    <row r="5530" spans="1:4">
      <c r="A5530" s="13"/>
      <c r="B5530" s="13"/>
      <c r="C5530" s="13"/>
      <c r="D5530" s="13"/>
    </row>
    <row r="5531" spans="1:4">
      <c r="A5531" s="13"/>
      <c r="B5531" s="13"/>
      <c r="C5531" s="13"/>
      <c r="D5531" s="13"/>
    </row>
    <row r="5532" spans="1:4">
      <c r="A5532" s="13"/>
      <c r="B5532" s="13"/>
      <c r="C5532" s="13"/>
      <c r="D5532" s="13"/>
    </row>
    <row r="5533" spans="1:4">
      <c r="A5533" s="13"/>
      <c r="B5533" s="13"/>
      <c r="C5533" s="13"/>
      <c r="D5533" s="13"/>
    </row>
    <row r="5534" spans="1:4">
      <c r="A5534" s="13"/>
      <c r="B5534" s="13"/>
      <c r="C5534" s="13"/>
      <c r="D5534" s="13"/>
    </row>
    <row r="5535" spans="1:4">
      <c r="A5535" s="13"/>
      <c r="B5535" s="13"/>
      <c r="C5535" s="13"/>
      <c r="D5535" s="13"/>
    </row>
    <row r="5536" spans="1:4">
      <c r="A5536" s="13"/>
      <c r="B5536" s="13"/>
      <c r="C5536" s="13"/>
      <c r="D5536" s="13"/>
    </row>
    <row r="5537" spans="1:4">
      <c r="A5537" s="13"/>
      <c r="B5537" s="13"/>
      <c r="C5537" s="13"/>
      <c r="D5537" s="13"/>
    </row>
    <row r="5538" spans="1:4">
      <c r="A5538" s="13"/>
      <c r="B5538" s="13"/>
      <c r="C5538" s="13"/>
      <c r="D5538" s="13"/>
    </row>
    <row r="5539" spans="1:4">
      <c r="A5539" s="13"/>
      <c r="B5539" s="13"/>
      <c r="C5539" s="13"/>
      <c r="D5539" s="13"/>
    </row>
    <row r="5540" spans="1:4">
      <c r="A5540" s="13"/>
      <c r="B5540" s="13"/>
      <c r="C5540" s="13"/>
      <c r="D5540" s="13"/>
    </row>
    <row r="5541" spans="1:4">
      <c r="A5541" s="13"/>
      <c r="B5541" s="13"/>
      <c r="C5541" s="13"/>
      <c r="D5541" s="13"/>
    </row>
    <row r="5542" spans="1:4">
      <c r="A5542" s="13"/>
      <c r="B5542" s="13"/>
      <c r="C5542" s="13"/>
      <c r="D5542" s="13"/>
    </row>
    <row r="5543" spans="1:4">
      <c r="A5543" s="13"/>
      <c r="B5543" s="13"/>
      <c r="C5543" s="13"/>
      <c r="D5543" s="13"/>
    </row>
    <row r="5544" spans="1:4">
      <c r="A5544" s="13"/>
      <c r="B5544" s="13"/>
      <c r="C5544" s="13"/>
      <c r="D5544" s="13"/>
    </row>
    <row r="5545" spans="1:4">
      <c r="A5545" s="13"/>
      <c r="B5545" s="13"/>
      <c r="C5545" s="13"/>
      <c r="D5545" s="13"/>
    </row>
    <row r="5546" spans="1:4">
      <c r="A5546" s="13"/>
      <c r="B5546" s="13"/>
      <c r="C5546" s="13"/>
      <c r="D5546" s="13"/>
    </row>
    <row r="5547" spans="1:4">
      <c r="A5547" s="13"/>
      <c r="B5547" s="13"/>
      <c r="C5547" s="13"/>
      <c r="D5547" s="13"/>
    </row>
    <row r="5548" spans="1:4">
      <c r="A5548" s="13"/>
      <c r="B5548" s="13"/>
      <c r="C5548" s="13"/>
      <c r="D5548" s="13"/>
    </row>
    <row r="5549" spans="1:4">
      <c r="A5549" s="13"/>
      <c r="B5549" s="13"/>
      <c r="C5549" s="13"/>
      <c r="D5549" s="13"/>
    </row>
    <row r="5550" spans="1:4">
      <c r="A5550" s="13"/>
      <c r="B5550" s="13"/>
      <c r="C5550" s="13"/>
      <c r="D5550" s="13"/>
    </row>
    <row r="5551" spans="1:4">
      <c r="A5551" s="13"/>
      <c r="B5551" s="13"/>
      <c r="C5551" s="13"/>
      <c r="D5551" s="13"/>
    </row>
    <row r="5552" spans="1:4">
      <c r="A5552" s="13"/>
      <c r="B5552" s="13"/>
      <c r="C5552" s="13"/>
      <c r="D5552" s="13"/>
    </row>
    <row r="5553" spans="1:4">
      <c r="A5553" s="13"/>
      <c r="B5553" s="13"/>
      <c r="C5553" s="13"/>
      <c r="D5553" s="13"/>
    </row>
    <row r="5554" spans="1:4">
      <c r="A5554" s="13"/>
      <c r="B5554" s="13"/>
      <c r="C5554" s="13"/>
      <c r="D5554" s="13"/>
    </row>
    <row r="5555" spans="1:4">
      <c r="A5555" s="13"/>
      <c r="B5555" s="13"/>
      <c r="C5555" s="13"/>
      <c r="D5555" s="13"/>
    </row>
    <row r="5556" spans="1:4">
      <c r="A5556" s="13"/>
      <c r="B5556" s="13"/>
      <c r="C5556" s="13"/>
      <c r="D5556" s="13"/>
    </row>
    <row r="5557" spans="1:4">
      <c r="A5557" s="13"/>
      <c r="B5557" s="13"/>
      <c r="C5557" s="13"/>
      <c r="D5557" s="13"/>
    </row>
    <row r="5558" spans="1:4">
      <c r="A5558" s="13"/>
      <c r="B5558" s="13"/>
      <c r="C5558" s="13"/>
      <c r="D5558" s="13"/>
    </row>
    <row r="5559" spans="1:4">
      <c r="A5559" s="13"/>
      <c r="B5559" s="13"/>
      <c r="C5559" s="13"/>
      <c r="D5559" s="13"/>
    </row>
    <row r="5560" spans="1:4">
      <c r="A5560" s="13"/>
      <c r="B5560" s="13"/>
      <c r="C5560" s="13"/>
      <c r="D5560" s="13"/>
    </row>
    <row r="5561" spans="1:4">
      <c r="A5561" s="13"/>
      <c r="B5561" s="13"/>
      <c r="C5561" s="13"/>
      <c r="D5561" s="13"/>
    </row>
    <row r="5562" spans="1:4">
      <c r="A5562" s="13"/>
      <c r="B5562" s="13"/>
      <c r="C5562" s="13"/>
      <c r="D5562" s="13"/>
    </row>
    <row r="5563" spans="1:4">
      <c r="A5563" s="13"/>
      <c r="B5563" s="13"/>
      <c r="C5563" s="13"/>
      <c r="D5563" s="13"/>
    </row>
    <row r="5564" spans="1:4">
      <c r="A5564" s="13"/>
      <c r="B5564" s="13"/>
      <c r="C5564" s="13"/>
      <c r="D5564" s="13"/>
    </row>
    <row r="5565" spans="1:4">
      <c r="A5565" s="13"/>
      <c r="B5565" s="13"/>
      <c r="C5565" s="13"/>
      <c r="D5565" s="13"/>
    </row>
    <row r="5566" spans="1:4">
      <c r="A5566" s="13"/>
      <c r="B5566" s="13"/>
      <c r="C5566" s="13"/>
      <c r="D5566" s="13"/>
    </row>
    <row r="5567" spans="1:4">
      <c r="A5567" s="13"/>
      <c r="B5567" s="13"/>
      <c r="C5567" s="13"/>
      <c r="D5567" s="13"/>
    </row>
    <row r="5568" spans="1:4">
      <c r="A5568" s="13"/>
      <c r="B5568" s="13"/>
      <c r="C5568" s="13"/>
      <c r="D5568" s="13"/>
    </row>
    <row r="5569" spans="1:4">
      <c r="A5569" s="13"/>
      <c r="B5569" s="13"/>
      <c r="C5569" s="13"/>
      <c r="D5569" s="13"/>
    </row>
    <row r="5570" spans="1:4">
      <c r="A5570" s="13"/>
      <c r="B5570" s="13"/>
      <c r="C5570" s="13"/>
      <c r="D5570" s="13"/>
    </row>
    <row r="5571" spans="1:4">
      <c r="A5571" s="13"/>
      <c r="B5571" s="13"/>
      <c r="C5571" s="13"/>
      <c r="D5571" s="13"/>
    </row>
    <row r="5572" spans="1:4">
      <c r="A5572" s="13"/>
      <c r="B5572" s="13"/>
      <c r="C5572" s="13"/>
      <c r="D5572" s="13"/>
    </row>
    <row r="5573" spans="1:4">
      <c r="A5573" s="13"/>
      <c r="B5573" s="13"/>
      <c r="C5573" s="13"/>
      <c r="D5573" s="13"/>
    </row>
    <row r="5574" spans="1:4">
      <c r="A5574" s="13"/>
      <c r="B5574" s="13"/>
      <c r="C5574" s="13"/>
      <c r="D5574" s="13"/>
    </row>
    <row r="5575" spans="1:4">
      <c r="A5575" s="13"/>
      <c r="B5575" s="13"/>
      <c r="C5575" s="13"/>
      <c r="D5575" s="13"/>
    </row>
    <row r="5576" spans="1:4">
      <c r="A5576" s="13"/>
      <c r="B5576" s="13"/>
      <c r="C5576" s="13"/>
      <c r="D5576" s="13"/>
    </row>
    <row r="5577" spans="1:4">
      <c r="A5577" s="13"/>
      <c r="B5577" s="13"/>
      <c r="C5577" s="13"/>
      <c r="D5577" s="13"/>
    </row>
    <row r="5578" spans="1:4">
      <c r="A5578" s="13"/>
      <c r="B5578" s="13"/>
      <c r="C5578" s="13"/>
      <c r="D5578" s="13"/>
    </row>
    <row r="5579" spans="1:4">
      <c r="A5579" s="13"/>
      <c r="B5579" s="13"/>
      <c r="C5579" s="13"/>
      <c r="D5579" s="13"/>
    </row>
    <row r="5580" spans="1:4">
      <c r="A5580" s="13"/>
      <c r="B5580" s="13"/>
      <c r="C5580" s="13"/>
      <c r="D5580" s="13"/>
    </row>
    <row r="5581" spans="1:4">
      <c r="A5581" s="13"/>
      <c r="B5581" s="13"/>
      <c r="C5581" s="13"/>
      <c r="D5581" s="13"/>
    </row>
    <row r="5582" spans="1:4">
      <c r="A5582" s="13"/>
      <c r="B5582" s="13"/>
      <c r="C5582" s="13"/>
      <c r="D5582" s="13"/>
    </row>
    <row r="5583" spans="1:4">
      <c r="A5583" s="13"/>
      <c r="B5583" s="13"/>
      <c r="C5583" s="13"/>
      <c r="D5583" s="13"/>
    </row>
    <row r="5584" spans="1:4">
      <c r="A5584" s="13"/>
      <c r="B5584" s="13"/>
      <c r="C5584" s="13"/>
      <c r="D5584" s="13"/>
    </row>
    <row r="5585" spans="1:4">
      <c r="A5585" s="13"/>
      <c r="B5585" s="13"/>
      <c r="C5585" s="13"/>
      <c r="D5585" s="13"/>
    </row>
    <row r="5586" spans="1:4">
      <c r="A5586" s="13"/>
      <c r="B5586" s="13"/>
      <c r="C5586" s="13"/>
      <c r="D5586" s="13"/>
    </row>
    <row r="5587" spans="1:4">
      <c r="A5587" s="13"/>
      <c r="B5587" s="13"/>
      <c r="C5587" s="13"/>
      <c r="D5587" s="13"/>
    </row>
    <row r="5588" spans="1:4">
      <c r="A5588" s="13"/>
      <c r="B5588" s="13"/>
      <c r="C5588" s="13"/>
      <c r="D5588" s="13"/>
    </row>
    <row r="5589" spans="1:4">
      <c r="A5589" s="13"/>
      <c r="B5589" s="13"/>
      <c r="C5589" s="13"/>
      <c r="D5589" s="13"/>
    </row>
    <row r="5590" spans="1:4">
      <c r="A5590" s="13"/>
      <c r="B5590" s="13"/>
      <c r="C5590" s="13"/>
      <c r="D5590" s="13"/>
    </row>
    <row r="5591" spans="1:4">
      <c r="A5591" s="13"/>
      <c r="B5591" s="13"/>
      <c r="C5591" s="13"/>
      <c r="D5591" s="13"/>
    </row>
    <row r="5592" spans="1:4">
      <c r="A5592" s="13"/>
      <c r="B5592" s="13"/>
      <c r="C5592" s="13"/>
      <c r="D5592" s="13"/>
    </row>
    <row r="5593" spans="1:4">
      <c r="A5593" s="13"/>
      <c r="B5593" s="13"/>
      <c r="C5593" s="13"/>
      <c r="D5593" s="13"/>
    </row>
    <row r="5594" spans="1:4">
      <c r="A5594" s="13"/>
      <c r="B5594" s="13"/>
      <c r="C5594" s="13"/>
      <c r="D5594" s="13"/>
    </row>
    <row r="5595" spans="1:4">
      <c r="A5595" s="13"/>
      <c r="B5595" s="13"/>
      <c r="C5595" s="13"/>
      <c r="D5595" s="13"/>
    </row>
    <row r="5596" spans="1:4">
      <c r="A5596" s="13"/>
      <c r="B5596" s="13"/>
      <c r="C5596" s="13"/>
      <c r="D5596" s="13"/>
    </row>
    <row r="5597" spans="1:4">
      <c r="A5597" s="13"/>
      <c r="B5597" s="13"/>
      <c r="C5597" s="13"/>
      <c r="D5597" s="13"/>
    </row>
    <row r="5598" spans="1:4">
      <c r="A5598" s="13"/>
      <c r="B5598" s="13"/>
      <c r="C5598" s="13"/>
      <c r="D5598" s="13"/>
    </row>
    <row r="5599" spans="1:4">
      <c r="A5599" s="13"/>
      <c r="B5599" s="13"/>
      <c r="C5599" s="13"/>
      <c r="D5599" s="13"/>
    </row>
    <row r="5600" spans="1:4">
      <c r="A5600" s="13"/>
      <c r="B5600" s="13"/>
      <c r="C5600" s="13"/>
      <c r="D5600" s="13"/>
    </row>
    <row r="5601" spans="1:4">
      <c r="A5601" s="13"/>
      <c r="B5601" s="13"/>
      <c r="C5601" s="13"/>
      <c r="D5601" s="13"/>
    </row>
    <row r="5602" spans="1:4">
      <c r="A5602" s="13"/>
      <c r="B5602" s="13"/>
      <c r="C5602" s="13"/>
      <c r="D5602" s="13"/>
    </row>
    <row r="5603" spans="1:4">
      <c r="A5603" s="13"/>
      <c r="B5603" s="13"/>
      <c r="C5603" s="13"/>
      <c r="D5603" s="13"/>
    </row>
    <row r="5604" spans="1:4">
      <c r="A5604" s="13"/>
      <c r="B5604" s="13"/>
      <c r="C5604" s="13"/>
      <c r="D5604" s="13"/>
    </row>
    <row r="5605" spans="1:4">
      <c r="A5605" s="13"/>
      <c r="B5605" s="13"/>
      <c r="C5605" s="13"/>
      <c r="D5605" s="13"/>
    </row>
    <row r="5606" spans="1:4">
      <c r="A5606" s="13"/>
      <c r="B5606" s="13"/>
      <c r="C5606" s="13"/>
      <c r="D5606" s="13"/>
    </row>
    <row r="5607" spans="1:4">
      <c r="A5607" s="13"/>
      <c r="B5607" s="13"/>
      <c r="C5607" s="13"/>
      <c r="D5607" s="13"/>
    </row>
    <row r="5608" spans="1:4">
      <c r="A5608" s="13"/>
      <c r="B5608" s="13"/>
      <c r="C5608" s="13"/>
      <c r="D5608" s="13"/>
    </row>
    <row r="5609" spans="1:4">
      <c r="A5609" s="13"/>
      <c r="B5609" s="13"/>
      <c r="C5609" s="13"/>
      <c r="D5609" s="13"/>
    </row>
    <row r="5610" spans="1:4">
      <c r="A5610" s="13"/>
      <c r="B5610" s="13"/>
      <c r="C5610" s="13"/>
      <c r="D5610" s="13"/>
    </row>
    <row r="5611" spans="1:4">
      <c r="A5611" s="13"/>
      <c r="B5611" s="13"/>
      <c r="C5611" s="13"/>
      <c r="D5611" s="13"/>
    </row>
    <row r="5612" spans="1:4">
      <c r="A5612" s="13"/>
      <c r="B5612" s="13"/>
      <c r="C5612" s="13"/>
      <c r="D5612" s="13"/>
    </row>
    <row r="5613" spans="1:4">
      <c r="A5613" s="13"/>
      <c r="B5613" s="13"/>
      <c r="C5613" s="13"/>
      <c r="D5613" s="13"/>
    </row>
    <row r="5614" spans="1:4">
      <c r="A5614" s="13"/>
      <c r="B5614" s="13"/>
      <c r="C5614" s="13"/>
      <c r="D5614" s="13"/>
    </row>
    <row r="5615" spans="1:4">
      <c r="A5615" s="13"/>
      <c r="B5615" s="13"/>
      <c r="C5615" s="13"/>
      <c r="D5615" s="13"/>
    </row>
    <row r="5616" spans="1:4">
      <c r="A5616" s="13"/>
      <c r="B5616" s="13"/>
      <c r="C5616" s="13"/>
      <c r="D5616" s="13"/>
    </row>
    <row r="5617" spans="1:4">
      <c r="A5617" s="13"/>
      <c r="B5617" s="13"/>
      <c r="C5617" s="13"/>
      <c r="D5617" s="13"/>
    </row>
    <row r="5618" spans="1:4">
      <c r="A5618" s="13"/>
      <c r="B5618" s="13"/>
      <c r="C5618" s="13"/>
      <c r="D5618" s="13"/>
    </row>
    <row r="5619" spans="1:4">
      <c r="A5619" s="13"/>
      <c r="B5619" s="13"/>
      <c r="C5619" s="13"/>
      <c r="D5619" s="13"/>
    </row>
    <row r="5620" spans="1:4">
      <c r="A5620" s="13"/>
      <c r="B5620" s="13"/>
      <c r="C5620" s="13"/>
      <c r="D5620" s="13"/>
    </row>
    <row r="5621" spans="1:4">
      <c r="A5621" s="13"/>
      <c r="B5621" s="13"/>
      <c r="C5621" s="13"/>
      <c r="D5621" s="13"/>
    </row>
    <row r="5622" spans="1:4">
      <c r="A5622" s="13"/>
      <c r="B5622" s="13"/>
      <c r="C5622" s="13"/>
      <c r="D5622" s="13"/>
    </row>
    <row r="5623" spans="1:4">
      <c r="A5623" s="13"/>
      <c r="B5623" s="13"/>
      <c r="C5623" s="13"/>
      <c r="D5623" s="13"/>
    </row>
    <row r="5624" spans="1:4">
      <c r="A5624" s="13"/>
      <c r="B5624" s="13"/>
      <c r="C5624" s="13"/>
      <c r="D5624" s="13"/>
    </row>
    <row r="5625" spans="1:4">
      <c r="A5625" s="13"/>
      <c r="B5625" s="13"/>
      <c r="C5625" s="13"/>
      <c r="D5625" s="13"/>
    </row>
    <row r="5626" spans="1:4">
      <c r="A5626" s="13"/>
      <c r="B5626" s="13"/>
      <c r="C5626" s="13"/>
      <c r="D5626" s="13"/>
    </row>
    <row r="5627" spans="1:4">
      <c r="A5627" s="13"/>
      <c r="B5627" s="13"/>
      <c r="C5627" s="13"/>
      <c r="D5627" s="13"/>
    </row>
    <row r="5628" spans="1:4">
      <c r="A5628" s="13"/>
      <c r="B5628" s="13"/>
      <c r="C5628" s="13"/>
      <c r="D5628" s="13"/>
    </row>
    <row r="5629" spans="1:4">
      <c r="A5629" s="13"/>
      <c r="B5629" s="13"/>
      <c r="C5629" s="13"/>
      <c r="D5629" s="13"/>
    </row>
    <row r="5630" spans="1:4">
      <c r="A5630" s="13"/>
      <c r="B5630" s="13"/>
      <c r="C5630" s="13"/>
      <c r="D5630" s="13"/>
    </row>
    <row r="5631" spans="1:4">
      <c r="A5631" s="13"/>
      <c r="B5631" s="13"/>
      <c r="C5631" s="13"/>
      <c r="D5631" s="13"/>
    </row>
    <row r="5632" spans="1:4">
      <c r="A5632" s="13"/>
      <c r="B5632" s="13"/>
      <c r="C5632" s="13"/>
      <c r="D5632" s="13"/>
    </row>
    <row r="5633" spans="1:4">
      <c r="A5633" s="13"/>
      <c r="B5633" s="13"/>
      <c r="C5633" s="13"/>
      <c r="D5633" s="13"/>
    </row>
    <row r="5634" spans="1:4">
      <c r="A5634" s="13"/>
      <c r="B5634" s="13"/>
      <c r="C5634" s="13"/>
      <c r="D5634" s="13"/>
    </row>
    <row r="5635" spans="1:4">
      <c r="A5635" s="13"/>
      <c r="B5635" s="13"/>
      <c r="C5635" s="13"/>
      <c r="D5635" s="13"/>
    </row>
    <row r="5636" spans="1:4">
      <c r="A5636" s="13"/>
      <c r="B5636" s="13"/>
      <c r="C5636" s="13"/>
      <c r="D5636" s="13"/>
    </row>
    <row r="5637" spans="1:4">
      <c r="A5637" s="13"/>
      <c r="B5637" s="13"/>
      <c r="C5637" s="13"/>
      <c r="D5637" s="13"/>
    </row>
    <row r="5638" spans="1:4">
      <c r="A5638" s="13"/>
      <c r="B5638" s="13"/>
      <c r="C5638" s="13"/>
      <c r="D5638" s="13"/>
    </row>
    <row r="5639" spans="1:4">
      <c r="A5639" s="13"/>
      <c r="B5639" s="13"/>
      <c r="C5639" s="13"/>
      <c r="D5639" s="13"/>
    </row>
    <row r="5640" spans="1:4">
      <c r="A5640" s="13"/>
      <c r="B5640" s="13"/>
      <c r="C5640" s="13"/>
      <c r="D5640" s="13"/>
    </row>
    <row r="5641" spans="1:4">
      <c r="A5641" s="13"/>
      <c r="B5641" s="13"/>
      <c r="C5641" s="13"/>
      <c r="D5641" s="13"/>
    </row>
    <row r="5642" spans="1:4">
      <c r="A5642" s="13"/>
      <c r="B5642" s="13"/>
      <c r="C5642" s="13"/>
      <c r="D5642" s="13"/>
    </row>
    <row r="5643" spans="1:4">
      <c r="A5643" s="13"/>
      <c r="B5643" s="13"/>
      <c r="C5643" s="13"/>
      <c r="D5643" s="13"/>
    </row>
    <row r="5644" spans="1:4">
      <c r="A5644" s="13"/>
      <c r="B5644" s="13"/>
      <c r="C5644" s="13"/>
      <c r="D5644" s="13"/>
    </row>
    <row r="5645" spans="1:4">
      <c r="A5645" s="13"/>
      <c r="B5645" s="13"/>
      <c r="C5645" s="13"/>
      <c r="D5645" s="13"/>
    </row>
    <row r="5646" spans="1:4">
      <c r="A5646" s="13"/>
      <c r="B5646" s="13"/>
      <c r="C5646" s="13"/>
      <c r="D5646" s="13"/>
    </row>
    <row r="5647" spans="1:4">
      <c r="A5647" s="13"/>
      <c r="B5647" s="13"/>
      <c r="C5647" s="13"/>
      <c r="D5647" s="13"/>
    </row>
    <row r="5648" spans="1:4">
      <c r="A5648" s="13"/>
      <c r="B5648" s="13"/>
      <c r="C5648" s="13"/>
      <c r="D5648" s="13"/>
    </row>
    <row r="5649" spans="1:4">
      <c r="A5649" s="13"/>
      <c r="B5649" s="13"/>
      <c r="C5649" s="13"/>
      <c r="D5649" s="13"/>
    </row>
    <row r="5650" spans="1:4">
      <c r="A5650" s="13"/>
      <c r="B5650" s="13"/>
      <c r="C5650" s="13"/>
      <c r="D5650" s="13"/>
    </row>
    <row r="5651" spans="1:4">
      <c r="A5651" s="13"/>
      <c r="B5651" s="13"/>
      <c r="C5651" s="13"/>
      <c r="D5651" s="13"/>
    </row>
    <row r="5652" spans="1:4">
      <c r="A5652" s="13"/>
      <c r="B5652" s="13"/>
      <c r="C5652" s="13"/>
      <c r="D5652" s="13"/>
    </row>
    <row r="5653" spans="1:4">
      <c r="A5653" s="13"/>
      <c r="B5653" s="13"/>
      <c r="C5653" s="13"/>
      <c r="D5653" s="13"/>
    </row>
    <row r="5654" spans="1:4">
      <c r="A5654" s="13"/>
      <c r="B5654" s="13"/>
      <c r="C5654" s="13"/>
      <c r="D5654" s="13"/>
    </row>
    <row r="5655" spans="1:4">
      <c r="A5655" s="13"/>
      <c r="B5655" s="13"/>
      <c r="C5655" s="13"/>
      <c r="D5655" s="13"/>
    </row>
    <row r="5656" spans="1:4">
      <c r="A5656" s="13"/>
      <c r="B5656" s="13"/>
      <c r="C5656" s="13"/>
      <c r="D5656" s="13"/>
    </row>
    <row r="5657" spans="1:4">
      <c r="A5657" s="13"/>
      <c r="B5657" s="13"/>
      <c r="C5657" s="13"/>
      <c r="D5657" s="13"/>
    </row>
    <row r="5658" spans="1:4">
      <c r="A5658" s="13"/>
      <c r="B5658" s="13"/>
      <c r="C5658" s="13"/>
      <c r="D5658" s="13"/>
    </row>
    <row r="5659" spans="1:4">
      <c r="A5659" s="13"/>
      <c r="B5659" s="13"/>
      <c r="C5659" s="13"/>
      <c r="D5659" s="13"/>
    </row>
    <row r="5660" spans="1:4">
      <c r="A5660" s="13"/>
      <c r="B5660" s="13"/>
      <c r="C5660" s="13"/>
      <c r="D5660" s="13"/>
    </row>
    <row r="5661" spans="1:4">
      <c r="A5661" s="13"/>
      <c r="B5661" s="13"/>
      <c r="C5661" s="13"/>
      <c r="D5661" s="13"/>
    </row>
    <row r="5662" spans="1:4">
      <c r="A5662" s="13"/>
      <c r="B5662" s="13"/>
      <c r="C5662" s="13"/>
      <c r="D5662" s="13"/>
    </row>
    <row r="5663" spans="1:4">
      <c r="A5663" s="13"/>
      <c r="B5663" s="13"/>
      <c r="C5663" s="13"/>
      <c r="D5663" s="13"/>
    </row>
    <row r="5664" spans="1:4">
      <c r="A5664" s="13"/>
      <c r="B5664" s="13"/>
      <c r="C5664" s="13"/>
      <c r="D5664" s="13"/>
    </row>
    <row r="5665" spans="1:4">
      <c r="A5665" s="13"/>
      <c r="B5665" s="13"/>
      <c r="C5665" s="13"/>
      <c r="D5665" s="13"/>
    </row>
    <row r="5666" spans="1:4">
      <c r="A5666" s="13"/>
      <c r="B5666" s="13"/>
      <c r="C5666" s="13"/>
      <c r="D5666" s="13"/>
    </row>
    <row r="5667" spans="1:4">
      <c r="A5667" s="13"/>
      <c r="B5667" s="13"/>
      <c r="C5667" s="13"/>
      <c r="D5667" s="13"/>
    </row>
    <row r="5668" spans="1:4">
      <c r="A5668" s="13"/>
      <c r="B5668" s="13"/>
      <c r="C5668" s="13"/>
      <c r="D5668" s="13"/>
    </row>
    <row r="5669" spans="1:4">
      <c r="A5669" s="13"/>
      <c r="B5669" s="13"/>
      <c r="C5669" s="13"/>
      <c r="D5669" s="13"/>
    </row>
    <row r="5670" spans="1:4">
      <c r="A5670" s="13"/>
      <c r="B5670" s="13"/>
      <c r="C5670" s="13"/>
      <c r="D5670" s="13"/>
    </row>
    <row r="5671" spans="1:4">
      <c r="A5671" s="13"/>
      <c r="B5671" s="13"/>
      <c r="C5671" s="13"/>
      <c r="D5671" s="13"/>
    </row>
    <row r="5672" spans="1:4">
      <c r="A5672" s="13"/>
      <c r="B5672" s="13"/>
      <c r="C5672" s="13"/>
      <c r="D5672" s="13"/>
    </row>
    <row r="5673" spans="1:4">
      <c r="A5673" s="13"/>
      <c r="B5673" s="13"/>
      <c r="C5673" s="13"/>
      <c r="D5673" s="13"/>
    </row>
    <row r="5674" spans="1:4">
      <c r="A5674" s="13"/>
      <c r="B5674" s="13"/>
      <c r="C5674" s="13"/>
      <c r="D5674" s="13"/>
    </row>
    <row r="5675" spans="1:4">
      <c r="A5675" s="13"/>
      <c r="B5675" s="13"/>
      <c r="C5675" s="13"/>
      <c r="D5675" s="13"/>
    </row>
    <row r="5676" spans="1:4">
      <c r="A5676" s="13"/>
      <c r="B5676" s="13"/>
      <c r="C5676" s="13"/>
      <c r="D5676" s="13"/>
    </row>
    <row r="5677" spans="1:4">
      <c r="A5677" s="13"/>
      <c r="B5677" s="13"/>
      <c r="C5677" s="13"/>
      <c r="D5677" s="13"/>
    </row>
    <row r="5678" spans="1:4">
      <c r="A5678" s="13"/>
      <c r="B5678" s="13"/>
      <c r="C5678" s="13"/>
      <c r="D5678" s="13"/>
    </row>
    <row r="5679" spans="1:4">
      <c r="A5679" s="13"/>
      <c r="B5679" s="13"/>
      <c r="C5679" s="13"/>
      <c r="D5679" s="13"/>
    </row>
    <row r="5680" spans="1:4">
      <c r="A5680" s="13"/>
      <c r="B5680" s="13"/>
      <c r="C5680" s="13"/>
      <c r="D5680" s="13"/>
    </row>
    <row r="5681" spans="1:4">
      <c r="A5681" s="13"/>
      <c r="B5681" s="13"/>
      <c r="C5681" s="13"/>
      <c r="D5681" s="13"/>
    </row>
    <row r="5682" spans="1:4">
      <c r="A5682" s="13"/>
      <c r="B5682" s="13"/>
      <c r="C5682" s="13"/>
      <c r="D5682" s="13"/>
    </row>
    <row r="5683" spans="1:4">
      <c r="A5683" s="13"/>
      <c r="B5683" s="13"/>
      <c r="C5683" s="13"/>
      <c r="D5683" s="13"/>
    </row>
    <row r="5684" spans="1:4">
      <c r="A5684" s="13"/>
      <c r="B5684" s="13"/>
      <c r="C5684" s="13"/>
      <c r="D5684" s="13"/>
    </row>
    <row r="5685" spans="1:4">
      <c r="A5685" s="13"/>
      <c r="B5685" s="13"/>
      <c r="C5685" s="13"/>
      <c r="D5685" s="13"/>
    </row>
    <row r="5686" spans="1:4">
      <c r="A5686" s="13"/>
      <c r="B5686" s="13"/>
      <c r="C5686" s="13"/>
      <c r="D5686" s="13"/>
    </row>
    <row r="5687" spans="1:4">
      <c r="A5687" s="13"/>
      <c r="B5687" s="13"/>
      <c r="C5687" s="13"/>
      <c r="D5687" s="13"/>
    </row>
    <row r="5688" spans="1:4">
      <c r="A5688" s="13"/>
      <c r="B5688" s="13"/>
      <c r="C5688" s="13"/>
      <c r="D5688" s="13"/>
    </row>
    <row r="5689" spans="1:4">
      <c r="A5689" s="13"/>
      <c r="B5689" s="13"/>
      <c r="C5689" s="13"/>
      <c r="D5689" s="13"/>
    </row>
    <row r="5690" spans="1:4">
      <c r="A5690" s="13"/>
      <c r="B5690" s="13"/>
      <c r="C5690" s="13"/>
      <c r="D5690" s="13"/>
    </row>
    <row r="5691" spans="1:4">
      <c r="A5691" s="13"/>
      <c r="B5691" s="13"/>
      <c r="C5691" s="13"/>
      <c r="D5691" s="13"/>
    </row>
    <row r="5692" spans="1:4">
      <c r="A5692" s="13"/>
      <c r="B5692" s="13"/>
      <c r="C5692" s="13"/>
      <c r="D5692" s="13"/>
    </row>
    <row r="5693" spans="1:4">
      <c r="A5693" s="13"/>
      <c r="B5693" s="13"/>
      <c r="C5693" s="13"/>
      <c r="D5693" s="13"/>
    </row>
    <row r="5694" spans="1:4">
      <c r="A5694" s="13"/>
      <c r="B5694" s="13"/>
      <c r="C5694" s="13"/>
      <c r="D5694" s="13"/>
    </row>
    <row r="5695" spans="1:4">
      <c r="A5695" s="13"/>
      <c r="B5695" s="13"/>
      <c r="C5695" s="13"/>
      <c r="D5695" s="13"/>
    </row>
    <row r="5696" spans="1:4">
      <c r="A5696" s="13"/>
      <c r="B5696" s="13"/>
      <c r="C5696" s="13"/>
      <c r="D5696" s="13"/>
    </row>
    <row r="5697" spans="1:4">
      <c r="A5697" s="13"/>
      <c r="B5697" s="13"/>
      <c r="C5697" s="13"/>
      <c r="D5697" s="13"/>
    </row>
    <row r="5698" spans="1:4">
      <c r="A5698" s="13"/>
      <c r="B5698" s="13"/>
      <c r="C5698" s="13"/>
      <c r="D5698" s="13"/>
    </row>
    <row r="5699" spans="1:4">
      <c r="A5699" s="13"/>
      <c r="B5699" s="13"/>
      <c r="C5699" s="13"/>
      <c r="D5699" s="13"/>
    </row>
    <row r="5700" spans="1:4">
      <c r="A5700" s="13"/>
      <c r="B5700" s="13"/>
      <c r="C5700" s="13"/>
      <c r="D5700" s="13"/>
    </row>
    <row r="5701" spans="1:4">
      <c r="A5701" s="13"/>
      <c r="B5701" s="13"/>
      <c r="C5701" s="13"/>
      <c r="D5701" s="13"/>
    </row>
    <row r="5702" spans="1:4">
      <c r="A5702" s="13"/>
      <c r="B5702" s="13"/>
      <c r="C5702" s="13"/>
      <c r="D5702" s="13"/>
    </row>
    <row r="5703" spans="1:4">
      <c r="A5703" s="13"/>
      <c r="B5703" s="13"/>
      <c r="C5703" s="13"/>
      <c r="D5703" s="13"/>
    </row>
    <row r="5704" spans="1:4">
      <c r="A5704" s="13"/>
      <c r="B5704" s="13"/>
      <c r="C5704" s="13"/>
      <c r="D5704" s="13"/>
    </row>
    <row r="5705" spans="1:4">
      <c r="A5705" s="13"/>
      <c r="B5705" s="13"/>
      <c r="C5705" s="13"/>
      <c r="D5705" s="13"/>
    </row>
    <row r="5706" spans="1:4">
      <c r="A5706" s="13"/>
      <c r="B5706" s="13"/>
      <c r="C5706" s="13"/>
      <c r="D5706" s="13"/>
    </row>
    <row r="5707" spans="1:4">
      <c r="A5707" s="13"/>
      <c r="B5707" s="13"/>
      <c r="C5707" s="13"/>
      <c r="D5707" s="13"/>
    </row>
    <row r="5708" spans="1:4">
      <c r="A5708" s="13"/>
      <c r="B5708" s="13"/>
      <c r="C5708" s="13"/>
      <c r="D5708" s="13"/>
    </row>
    <row r="5709" spans="1:4">
      <c r="A5709" s="13"/>
      <c r="B5709" s="13"/>
      <c r="C5709" s="13"/>
      <c r="D5709" s="13"/>
    </row>
    <row r="5710" spans="1:4">
      <c r="A5710" s="13"/>
      <c r="B5710" s="13"/>
      <c r="C5710" s="13"/>
      <c r="D5710" s="13"/>
    </row>
    <row r="5711" spans="1:4">
      <c r="A5711" s="13"/>
      <c r="B5711" s="13"/>
      <c r="C5711" s="13"/>
      <c r="D5711" s="13"/>
    </row>
    <row r="5712" spans="1:4">
      <c r="A5712" s="13"/>
      <c r="B5712" s="13"/>
      <c r="C5712" s="13"/>
      <c r="D5712" s="13"/>
    </row>
    <row r="5713" spans="1:4">
      <c r="A5713" s="13"/>
      <c r="B5713" s="13"/>
      <c r="C5713" s="13"/>
      <c r="D5713" s="13"/>
    </row>
    <row r="5714" spans="1:4">
      <c r="A5714" s="13"/>
      <c r="B5714" s="13"/>
      <c r="C5714" s="13"/>
      <c r="D5714" s="13"/>
    </row>
    <row r="5715" spans="1:4">
      <c r="A5715" s="13"/>
      <c r="B5715" s="13"/>
      <c r="C5715" s="13"/>
      <c r="D5715" s="13"/>
    </row>
    <row r="5716" spans="1:4">
      <c r="A5716" s="13"/>
      <c r="B5716" s="13"/>
      <c r="C5716" s="13"/>
      <c r="D5716" s="13"/>
    </row>
    <row r="5717" spans="1:4">
      <c r="A5717" s="13"/>
      <c r="B5717" s="13"/>
      <c r="C5717" s="13"/>
      <c r="D5717" s="13"/>
    </row>
    <row r="5718" spans="1:4">
      <c r="A5718" s="13"/>
      <c r="B5718" s="13"/>
      <c r="C5718" s="13"/>
      <c r="D5718" s="13"/>
    </row>
    <row r="5719" spans="1:4">
      <c r="A5719" s="13"/>
      <c r="B5719" s="13"/>
      <c r="C5719" s="13"/>
      <c r="D5719" s="13"/>
    </row>
    <row r="5720" spans="1:4">
      <c r="A5720" s="13"/>
      <c r="B5720" s="13"/>
      <c r="C5720" s="13"/>
      <c r="D5720" s="13"/>
    </row>
    <row r="5721" spans="1:4">
      <c r="A5721" s="13"/>
      <c r="B5721" s="13"/>
      <c r="C5721" s="13"/>
      <c r="D5721" s="13"/>
    </row>
    <row r="5722" spans="1:4">
      <c r="A5722" s="13"/>
      <c r="B5722" s="13"/>
      <c r="C5722" s="13"/>
      <c r="D5722" s="13"/>
    </row>
    <row r="5723" spans="1:4">
      <c r="A5723" s="13"/>
      <c r="B5723" s="13"/>
      <c r="C5723" s="13"/>
      <c r="D5723" s="13"/>
    </row>
    <row r="5724" spans="1:4">
      <c r="A5724" s="13"/>
      <c r="B5724" s="13"/>
      <c r="C5724" s="13"/>
      <c r="D5724" s="13"/>
    </row>
    <row r="5725" spans="1:4">
      <c r="A5725" s="13"/>
      <c r="B5725" s="13"/>
      <c r="C5725" s="13"/>
      <c r="D5725" s="13"/>
    </row>
    <row r="5726" spans="1:4">
      <c r="A5726" s="13"/>
      <c r="B5726" s="13"/>
      <c r="C5726" s="13"/>
      <c r="D5726" s="13"/>
    </row>
    <row r="5727" spans="1:4">
      <c r="A5727" s="13"/>
      <c r="B5727" s="13"/>
      <c r="C5727" s="13"/>
      <c r="D5727" s="13"/>
    </row>
    <row r="5728" spans="1:4">
      <c r="A5728" s="13"/>
      <c r="B5728" s="13"/>
      <c r="C5728" s="13"/>
      <c r="D5728" s="13"/>
    </row>
    <row r="5729" spans="1:4">
      <c r="A5729" s="13"/>
      <c r="B5729" s="13"/>
      <c r="C5729" s="13"/>
      <c r="D5729" s="13"/>
    </row>
    <row r="5730" spans="1:4">
      <c r="A5730" s="13"/>
      <c r="B5730" s="13"/>
      <c r="C5730" s="13"/>
      <c r="D5730" s="13"/>
    </row>
    <row r="5731" spans="1:4">
      <c r="A5731" s="13"/>
      <c r="B5731" s="13"/>
      <c r="C5731" s="13"/>
      <c r="D5731" s="13"/>
    </row>
    <row r="5732" spans="1:4">
      <c r="A5732" s="13"/>
      <c r="B5732" s="13"/>
      <c r="C5732" s="13"/>
      <c r="D5732" s="13"/>
    </row>
    <row r="5733" spans="1:4">
      <c r="A5733" s="13"/>
      <c r="B5733" s="13"/>
      <c r="C5733" s="13"/>
      <c r="D5733" s="13"/>
    </row>
    <row r="5734" spans="1:4">
      <c r="A5734" s="13"/>
      <c r="B5734" s="13"/>
      <c r="C5734" s="13"/>
      <c r="D5734" s="13"/>
    </row>
    <row r="5735" spans="1:4">
      <c r="A5735" s="13"/>
      <c r="B5735" s="13"/>
      <c r="C5735" s="13"/>
      <c r="D5735" s="13"/>
    </row>
    <row r="5736" spans="1:4">
      <c r="A5736" s="13"/>
      <c r="B5736" s="13"/>
      <c r="C5736" s="13"/>
      <c r="D5736" s="13"/>
    </row>
    <row r="5737" spans="1:4">
      <c r="A5737" s="13"/>
      <c r="B5737" s="13"/>
      <c r="C5737" s="13"/>
      <c r="D5737" s="13"/>
    </row>
    <row r="5738" spans="1:4">
      <c r="A5738" s="13"/>
      <c r="B5738" s="13"/>
      <c r="C5738" s="13"/>
      <c r="D5738" s="13"/>
    </row>
    <row r="5739" spans="1:4">
      <c r="A5739" s="13"/>
      <c r="B5739" s="13"/>
      <c r="C5739" s="13"/>
      <c r="D5739" s="13"/>
    </row>
    <row r="5740" spans="1:4">
      <c r="A5740" s="13"/>
      <c r="B5740" s="13"/>
      <c r="C5740" s="13"/>
      <c r="D5740" s="13"/>
    </row>
    <row r="5741" spans="1:4">
      <c r="A5741" s="13"/>
      <c r="B5741" s="13"/>
      <c r="C5741" s="13"/>
      <c r="D5741" s="13"/>
    </row>
    <row r="5742" spans="1:4">
      <c r="A5742" s="13"/>
      <c r="B5742" s="13"/>
      <c r="C5742" s="13"/>
      <c r="D5742" s="13"/>
    </row>
    <row r="5743" spans="1:4">
      <c r="A5743" s="13"/>
      <c r="B5743" s="13"/>
      <c r="C5743" s="13"/>
      <c r="D5743" s="13"/>
    </row>
    <row r="5744" spans="1:4">
      <c r="A5744" s="13"/>
      <c r="B5744" s="13"/>
      <c r="C5744" s="13"/>
      <c r="D5744" s="13"/>
    </row>
    <row r="5745" spans="1:4">
      <c r="A5745" s="13"/>
      <c r="B5745" s="13"/>
      <c r="C5745" s="13"/>
      <c r="D5745" s="13"/>
    </row>
    <row r="5746" spans="1:4">
      <c r="A5746" s="13"/>
      <c r="B5746" s="13"/>
      <c r="C5746" s="13"/>
      <c r="D5746" s="13"/>
    </row>
    <row r="5747" spans="1:4">
      <c r="A5747" s="13"/>
      <c r="B5747" s="13"/>
      <c r="C5747" s="13"/>
      <c r="D5747" s="13"/>
    </row>
    <row r="5748" spans="1:4">
      <c r="A5748" s="13"/>
      <c r="B5748" s="13"/>
      <c r="C5748" s="13"/>
      <c r="D5748" s="13"/>
    </row>
    <row r="5749" spans="1:4">
      <c r="A5749" s="13"/>
      <c r="B5749" s="13"/>
      <c r="C5749" s="13"/>
      <c r="D5749" s="13"/>
    </row>
    <row r="5750" spans="1:4">
      <c r="A5750" s="13"/>
      <c r="B5750" s="13"/>
      <c r="C5750" s="13"/>
      <c r="D5750" s="13"/>
    </row>
    <row r="5751" spans="1:4">
      <c r="A5751" s="13"/>
      <c r="B5751" s="13"/>
      <c r="C5751" s="13"/>
      <c r="D5751" s="13"/>
    </row>
    <row r="5752" spans="1:4">
      <c r="A5752" s="13"/>
      <c r="B5752" s="13"/>
      <c r="C5752" s="13"/>
      <c r="D5752" s="13"/>
    </row>
    <row r="5753" spans="1:4">
      <c r="A5753" s="13"/>
      <c r="B5753" s="13"/>
      <c r="C5753" s="13"/>
      <c r="D5753" s="13"/>
    </row>
    <row r="5754" spans="1:4">
      <c r="A5754" s="13"/>
      <c r="B5754" s="13"/>
      <c r="C5754" s="13"/>
      <c r="D5754" s="13"/>
    </row>
    <row r="5755" spans="1:4">
      <c r="A5755" s="13"/>
      <c r="B5755" s="13"/>
      <c r="C5755" s="13"/>
      <c r="D5755" s="13"/>
    </row>
    <row r="5756" spans="1:4">
      <c r="A5756" s="13"/>
      <c r="B5756" s="13"/>
      <c r="C5756" s="13"/>
      <c r="D5756" s="13"/>
    </row>
    <row r="5757" spans="1:4">
      <c r="A5757" s="13"/>
      <c r="B5757" s="13"/>
      <c r="C5757" s="13"/>
      <c r="D5757" s="13"/>
    </row>
    <row r="5758" spans="1:4">
      <c r="A5758" s="13"/>
      <c r="B5758" s="13"/>
      <c r="C5758" s="13"/>
      <c r="D5758" s="13"/>
    </row>
    <row r="5759" spans="1:4">
      <c r="A5759" s="13"/>
      <c r="B5759" s="13"/>
      <c r="C5759" s="13"/>
      <c r="D5759" s="13"/>
    </row>
    <row r="5760" spans="1:4">
      <c r="A5760" s="13"/>
      <c r="B5760" s="13"/>
      <c r="C5760" s="13"/>
      <c r="D5760" s="13"/>
    </row>
    <row r="5761" spans="1:4">
      <c r="A5761" s="13"/>
      <c r="B5761" s="13"/>
      <c r="C5761" s="13"/>
      <c r="D5761" s="13"/>
    </row>
    <row r="5762" spans="1:4">
      <c r="A5762" s="13"/>
      <c r="B5762" s="13"/>
      <c r="C5762" s="13"/>
      <c r="D5762" s="13"/>
    </row>
    <row r="5763" spans="1:4">
      <c r="A5763" s="13"/>
      <c r="B5763" s="13"/>
      <c r="C5763" s="13"/>
      <c r="D5763" s="13"/>
    </row>
    <row r="5764" spans="1:4">
      <c r="A5764" s="13"/>
      <c r="B5764" s="13"/>
      <c r="C5764" s="13"/>
      <c r="D5764" s="13"/>
    </row>
    <row r="5765" spans="1:4">
      <c r="A5765" s="13"/>
      <c r="B5765" s="13"/>
      <c r="C5765" s="13"/>
      <c r="D5765" s="13"/>
    </row>
    <row r="5766" spans="1:4">
      <c r="A5766" s="13"/>
      <c r="B5766" s="13"/>
      <c r="C5766" s="13"/>
      <c r="D5766" s="13"/>
    </row>
    <row r="5767" spans="1:4">
      <c r="A5767" s="13"/>
      <c r="B5767" s="13"/>
      <c r="C5767" s="13"/>
      <c r="D5767" s="13"/>
    </row>
    <row r="5768" spans="1:4">
      <c r="A5768" s="13"/>
      <c r="B5768" s="13"/>
      <c r="C5768" s="13"/>
      <c r="D5768" s="13"/>
    </row>
    <row r="5769" spans="1:4">
      <c r="A5769" s="13"/>
      <c r="B5769" s="13"/>
      <c r="C5769" s="13"/>
      <c r="D5769" s="13"/>
    </row>
    <row r="5770" spans="1:4">
      <c r="A5770" s="13"/>
      <c r="B5770" s="13"/>
      <c r="C5770" s="13"/>
      <c r="D5770" s="13"/>
    </row>
    <row r="5771" spans="1:4">
      <c r="A5771" s="13"/>
      <c r="B5771" s="13"/>
      <c r="C5771" s="13"/>
      <c r="D5771" s="13"/>
    </row>
    <row r="5772" spans="1:4">
      <c r="A5772" s="13"/>
      <c r="B5772" s="13"/>
      <c r="C5772" s="13"/>
      <c r="D5772" s="13"/>
    </row>
    <row r="5773" spans="1:4">
      <c r="A5773" s="13"/>
      <c r="B5773" s="13"/>
      <c r="C5773" s="13"/>
      <c r="D5773" s="13"/>
    </row>
    <row r="5774" spans="1:4">
      <c r="A5774" s="13"/>
      <c r="B5774" s="13"/>
      <c r="C5774" s="13"/>
      <c r="D5774" s="13"/>
    </row>
    <row r="5775" spans="1:4">
      <c r="A5775" s="13"/>
      <c r="B5775" s="13"/>
      <c r="C5775" s="13"/>
      <c r="D5775" s="13"/>
    </row>
    <row r="5776" spans="1:4">
      <c r="A5776" s="13"/>
      <c r="B5776" s="13"/>
      <c r="C5776" s="13"/>
      <c r="D5776" s="13"/>
    </row>
    <row r="5777" spans="1:4">
      <c r="A5777" s="13"/>
      <c r="B5777" s="13"/>
      <c r="C5777" s="13"/>
      <c r="D5777" s="13"/>
    </row>
    <row r="5778" spans="1:4">
      <c r="A5778" s="13"/>
      <c r="B5778" s="13"/>
      <c r="C5778" s="13"/>
      <c r="D5778" s="13"/>
    </row>
    <row r="5779" spans="1:4">
      <c r="A5779" s="13"/>
      <c r="B5779" s="13"/>
      <c r="C5779" s="13"/>
      <c r="D5779" s="13"/>
    </row>
    <row r="5780" spans="1:4">
      <c r="A5780" s="13"/>
      <c r="B5780" s="13"/>
      <c r="C5780" s="13"/>
      <c r="D5780" s="13"/>
    </row>
    <row r="5781" spans="1:4">
      <c r="A5781" s="13"/>
      <c r="B5781" s="13"/>
      <c r="C5781" s="13"/>
      <c r="D5781" s="13"/>
    </row>
    <row r="5782" spans="1:4">
      <c r="A5782" s="13"/>
      <c r="B5782" s="13"/>
      <c r="C5782" s="13"/>
      <c r="D5782" s="13"/>
    </row>
    <row r="5783" spans="1:4">
      <c r="A5783" s="13"/>
      <c r="B5783" s="13"/>
      <c r="C5783" s="13"/>
      <c r="D5783" s="13"/>
    </row>
    <row r="5784" spans="1:4">
      <c r="A5784" s="13"/>
      <c r="B5784" s="13"/>
      <c r="C5784" s="13"/>
      <c r="D5784" s="13"/>
    </row>
    <row r="5785" spans="1:4">
      <c r="A5785" s="13"/>
      <c r="B5785" s="13"/>
      <c r="C5785" s="13"/>
      <c r="D5785" s="13"/>
    </row>
    <row r="5786" spans="1:4">
      <c r="A5786" s="13"/>
      <c r="B5786" s="13"/>
      <c r="C5786" s="13"/>
      <c r="D5786" s="13"/>
    </row>
    <row r="5787" spans="1:4">
      <c r="A5787" s="13"/>
      <c r="B5787" s="13"/>
      <c r="C5787" s="13"/>
      <c r="D5787" s="13"/>
    </row>
    <row r="5788" spans="1:4">
      <c r="A5788" s="13"/>
      <c r="B5788" s="13"/>
      <c r="C5788" s="13"/>
      <c r="D5788" s="13"/>
    </row>
    <row r="5789" spans="1:4">
      <c r="A5789" s="13"/>
      <c r="B5789" s="13"/>
      <c r="C5789" s="13"/>
      <c r="D5789" s="13"/>
    </row>
    <row r="5790" spans="1:4">
      <c r="A5790" s="13"/>
      <c r="B5790" s="13"/>
      <c r="C5790" s="13"/>
      <c r="D5790" s="13"/>
    </row>
    <row r="5791" spans="1:4">
      <c r="A5791" s="13"/>
      <c r="B5791" s="13"/>
      <c r="C5791" s="13"/>
      <c r="D5791" s="13"/>
    </row>
    <row r="5792" spans="1:4">
      <c r="A5792" s="13"/>
      <c r="B5792" s="13"/>
      <c r="C5792" s="13"/>
      <c r="D5792" s="13"/>
    </row>
    <row r="5793" spans="1:4">
      <c r="A5793" s="13"/>
      <c r="B5793" s="13"/>
      <c r="C5793" s="13"/>
      <c r="D5793" s="13"/>
    </row>
    <row r="5794" spans="1:4">
      <c r="A5794" s="13"/>
      <c r="B5794" s="13"/>
      <c r="C5794" s="13"/>
      <c r="D5794" s="13"/>
    </row>
    <row r="5795" spans="1:4">
      <c r="A5795" s="13"/>
      <c r="B5795" s="13"/>
      <c r="C5795" s="13"/>
      <c r="D5795" s="13"/>
    </row>
    <row r="5796" spans="1:4">
      <c r="A5796" s="13"/>
      <c r="B5796" s="13"/>
      <c r="C5796" s="13"/>
      <c r="D5796" s="13"/>
    </row>
    <row r="5797" spans="1:4">
      <c r="A5797" s="13"/>
      <c r="B5797" s="13"/>
      <c r="C5797" s="13"/>
      <c r="D5797" s="13"/>
    </row>
    <row r="5798" spans="1:4">
      <c r="A5798" s="13"/>
      <c r="B5798" s="13"/>
      <c r="C5798" s="13"/>
      <c r="D5798" s="13"/>
    </row>
    <row r="5799" spans="1:4">
      <c r="A5799" s="13"/>
      <c r="B5799" s="13"/>
      <c r="C5799" s="13"/>
      <c r="D5799" s="13"/>
    </row>
    <row r="5800" spans="1:4">
      <c r="A5800" s="13"/>
      <c r="B5800" s="13"/>
      <c r="C5800" s="13"/>
      <c r="D5800" s="13"/>
    </row>
    <row r="5801" spans="1:4">
      <c r="A5801" s="13"/>
      <c r="B5801" s="13"/>
      <c r="C5801" s="13"/>
      <c r="D5801" s="13"/>
    </row>
    <row r="5802" spans="1:4">
      <c r="A5802" s="13"/>
      <c r="B5802" s="13"/>
      <c r="C5802" s="13"/>
      <c r="D5802" s="13"/>
    </row>
    <row r="5803" spans="1:4">
      <c r="A5803" s="13"/>
      <c r="B5803" s="13"/>
      <c r="C5803" s="13"/>
      <c r="D5803" s="13"/>
    </row>
    <row r="5804" spans="1:4">
      <c r="A5804" s="13"/>
      <c r="B5804" s="13"/>
      <c r="C5804" s="13"/>
      <c r="D5804" s="13"/>
    </row>
    <row r="5805" spans="1:4">
      <c r="A5805" s="13"/>
      <c r="B5805" s="13"/>
      <c r="C5805" s="13"/>
      <c r="D5805" s="13"/>
    </row>
    <row r="5806" spans="1:4">
      <c r="A5806" s="13"/>
      <c r="B5806" s="13"/>
      <c r="C5806" s="13"/>
      <c r="D5806" s="13"/>
    </row>
    <row r="5807" spans="1:4">
      <c r="A5807" s="13"/>
      <c r="B5807" s="13"/>
      <c r="C5807" s="13"/>
      <c r="D5807" s="13"/>
    </row>
    <row r="5808" spans="1:4">
      <c r="A5808" s="13"/>
      <c r="B5808" s="13"/>
      <c r="C5808" s="13"/>
      <c r="D5808" s="13"/>
    </row>
    <row r="5809" spans="1:4">
      <c r="A5809" s="13"/>
      <c r="B5809" s="13"/>
      <c r="C5809" s="13"/>
      <c r="D5809" s="13"/>
    </row>
    <row r="5810" spans="1:4">
      <c r="A5810" s="13"/>
      <c r="B5810" s="13"/>
      <c r="C5810" s="13"/>
      <c r="D5810" s="13"/>
    </row>
    <row r="5811" spans="1:4">
      <c r="A5811" s="13"/>
      <c r="B5811" s="13"/>
      <c r="C5811" s="13"/>
      <c r="D5811" s="13"/>
    </row>
    <row r="5812" spans="1:4">
      <c r="A5812" s="13"/>
      <c r="B5812" s="13"/>
      <c r="C5812" s="13"/>
      <c r="D5812" s="13"/>
    </row>
    <row r="5813" spans="1:4">
      <c r="A5813" s="13"/>
      <c r="B5813" s="13"/>
      <c r="C5813" s="13"/>
      <c r="D5813" s="13"/>
    </row>
    <row r="5814" spans="1:4">
      <c r="A5814" s="13"/>
      <c r="B5814" s="13"/>
      <c r="C5814" s="13"/>
      <c r="D5814" s="13"/>
    </row>
    <row r="5815" spans="1:4">
      <c r="A5815" s="13"/>
      <c r="B5815" s="13"/>
      <c r="C5815" s="13"/>
      <c r="D5815" s="13"/>
    </row>
    <row r="5816" spans="1:4">
      <c r="A5816" s="13"/>
      <c r="B5816" s="13"/>
      <c r="C5816" s="13"/>
      <c r="D5816" s="13"/>
    </row>
    <row r="5817" spans="1:4">
      <c r="A5817" s="13"/>
      <c r="B5817" s="13"/>
      <c r="C5817" s="13"/>
      <c r="D5817" s="13"/>
    </row>
    <row r="5818" spans="1:4">
      <c r="A5818" s="13"/>
      <c r="B5818" s="13"/>
      <c r="C5818" s="13"/>
      <c r="D5818" s="13"/>
    </row>
    <row r="5819" spans="1:4">
      <c r="A5819" s="13"/>
      <c r="B5819" s="13"/>
      <c r="C5819" s="13"/>
      <c r="D5819" s="13"/>
    </row>
    <row r="5820" spans="1:4">
      <c r="A5820" s="13"/>
      <c r="B5820" s="13"/>
      <c r="C5820" s="13"/>
      <c r="D5820" s="13"/>
    </row>
    <row r="5821" spans="1:4">
      <c r="A5821" s="13"/>
      <c r="B5821" s="13"/>
      <c r="C5821" s="13"/>
      <c r="D5821" s="13"/>
    </row>
    <row r="5822" spans="1:4">
      <c r="A5822" s="13"/>
      <c r="B5822" s="13"/>
      <c r="C5822" s="13"/>
      <c r="D5822" s="13"/>
    </row>
    <row r="5823" spans="1:4">
      <c r="A5823" s="13"/>
      <c r="B5823" s="13"/>
      <c r="C5823" s="13"/>
      <c r="D5823" s="13"/>
    </row>
    <row r="5824" spans="1:4">
      <c r="A5824" s="13"/>
      <c r="B5824" s="13"/>
      <c r="C5824" s="13"/>
      <c r="D5824" s="13"/>
    </row>
    <row r="5825" spans="1:4">
      <c r="A5825" s="13"/>
      <c r="B5825" s="13"/>
      <c r="C5825" s="13"/>
      <c r="D5825" s="13"/>
    </row>
    <row r="5826" spans="1:4">
      <c r="A5826" s="13"/>
      <c r="B5826" s="13"/>
      <c r="C5826" s="13"/>
      <c r="D5826" s="13"/>
    </row>
    <row r="5827" spans="1:4">
      <c r="A5827" s="13"/>
      <c r="B5827" s="13"/>
      <c r="C5827" s="13"/>
      <c r="D5827" s="13"/>
    </row>
    <row r="5828" spans="1:4">
      <c r="A5828" s="13"/>
      <c r="B5828" s="13"/>
      <c r="C5828" s="13"/>
      <c r="D5828" s="13"/>
    </row>
    <row r="5829" spans="1:4">
      <c r="A5829" s="13"/>
      <c r="B5829" s="13"/>
      <c r="C5829" s="13"/>
      <c r="D5829" s="13"/>
    </row>
    <row r="5830" spans="1:4">
      <c r="A5830" s="13"/>
      <c r="B5830" s="13"/>
      <c r="C5830" s="13"/>
      <c r="D5830" s="13"/>
    </row>
    <row r="5831" spans="1:4">
      <c r="A5831" s="13"/>
      <c r="B5831" s="13"/>
      <c r="C5831" s="13"/>
      <c r="D5831" s="13"/>
    </row>
    <row r="5832" spans="1:4">
      <c r="A5832" s="13"/>
      <c r="B5832" s="13"/>
      <c r="C5832" s="13"/>
      <c r="D5832" s="13"/>
    </row>
    <row r="5833" spans="1:4">
      <c r="A5833" s="13"/>
      <c r="B5833" s="13"/>
      <c r="C5833" s="13"/>
      <c r="D5833" s="13"/>
    </row>
    <row r="5834" spans="1:4">
      <c r="A5834" s="13"/>
      <c r="B5834" s="13"/>
      <c r="C5834" s="13"/>
      <c r="D5834" s="13"/>
    </row>
    <row r="5835" spans="1:4">
      <c r="A5835" s="13"/>
      <c r="B5835" s="13"/>
      <c r="C5835" s="13"/>
      <c r="D5835" s="13"/>
    </row>
    <row r="5836" spans="1:4">
      <c r="A5836" s="13"/>
      <c r="B5836" s="13"/>
      <c r="C5836" s="13"/>
      <c r="D5836" s="13"/>
    </row>
    <row r="5837" spans="1:4">
      <c r="A5837" s="13"/>
      <c r="B5837" s="13"/>
      <c r="C5837" s="13"/>
      <c r="D5837" s="13"/>
    </row>
    <row r="5838" spans="1:4">
      <c r="A5838" s="13"/>
      <c r="B5838" s="13"/>
      <c r="C5838" s="13"/>
      <c r="D5838" s="13"/>
    </row>
    <row r="5839" spans="1:4">
      <c r="A5839" s="13"/>
      <c r="B5839" s="13"/>
      <c r="C5839" s="13"/>
      <c r="D5839" s="13"/>
    </row>
    <row r="5840" spans="1:4">
      <c r="A5840" s="13"/>
      <c r="B5840" s="13"/>
      <c r="C5840" s="13"/>
      <c r="D5840" s="13"/>
    </row>
    <row r="5841" spans="1:4">
      <c r="A5841" s="13"/>
      <c r="B5841" s="13"/>
      <c r="C5841" s="13"/>
      <c r="D5841" s="13"/>
    </row>
    <row r="5842" spans="1:4">
      <c r="A5842" s="13"/>
      <c r="B5842" s="13"/>
      <c r="C5842" s="13"/>
      <c r="D5842" s="13"/>
    </row>
    <row r="5843" spans="1:4">
      <c r="A5843" s="13"/>
      <c r="B5843" s="13"/>
      <c r="C5843" s="13"/>
      <c r="D5843" s="13"/>
    </row>
    <row r="5844" spans="1:4">
      <c r="A5844" s="13"/>
      <c r="B5844" s="13"/>
      <c r="C5844" s="13"/>
      <c r="D5844" s="13"/>
    </row>
    <row r="5845" spans="1:4">
      <c r="A5845" s="13"/>
      <c r="B5845" s="13"/>
      <c r="C5845" s="13"/>
      <c r="D5845" s="13"/>
    </row>
    <row r="5846" spans="1:4">
      <c r="A5846" s="13"/>
      <c r="B5846" s="13"/>
      <c r="C5846" s="13"/>
      <c r="D5846" s="13"/>
    </row>
    <row r="5847" spans="1:4">
      <c r="A5847" s="13"/>
      <c r="B5847" s="13"/>
      <c r="C5847" s="13"/>
      <c r="D5847" s="13"/>
    </row>
    <row r="5848" spans="1:4">
      <c r="A5848" s="13"/>
      <c r="B5848" s="13"/>
      <c r="C5848" s="13"/>
      <c r="D5848" s="13"/>
    </row>
    <row r="5849" spans="1:4">
      <c r="A5849" s="13"/>
      <c r="B5849" s="13"/>
      <c r="C5849" s="13"/>
      <c r="D5849" s="13"/>
    </row>
    <row r="5850" spans="1:4">
      <c r="A5850" s="13"/>
      <c r="B5850" s="13"/>
      <c r="C5850" s="13"/>
      <c r="D5850" s="13"/>
    </row>
    <row r="5851" spans="1:4">
      <c r="A5851" s="13"/>
      <c r="B5851" s="13"/>
      <c r="C5851" s="13"/>
      <c r="D5851" s="13"/>
    </row>
    <row r="5852" spans="1:4">
      <c r="A5852" s="13"/>
      <c r="B5852" s="13"/>
      <c r="C5852" s="13"/>
      <c r="D5852" s="13"/>
    </row>
    <row r="5853" spans="1:4">
      <c r="A5853" s="13"/>
      <c r="B5853" s="13"/>
      <c r="C5853" s="13"/>
      <c r="D5853" s="13"/>
    </row>
    <row r="5854" spans="1:4">
      <c r="A5854" s="13"/>
      <c r="B5854" s="13"/>
      <c r="C5854" s="13"/>
      <c r="D5854" s="13"/>
    </row>
    <row r="5855" spans="1:4">
      <c r="A5855" s="13"/>
      <c r="B5855" s="13"/>
      <c r="C5855" s="13"/>
      <c r="D5855" s="13"/>
    </row>
    <row r="5856" spans="1:4">
      <c r="A5856" s="13"/>
      <c r="B5856" s="13"/>
      <c r="C5856" s="13"/>
      <c r="D5856" s="13"/>
    </row>
    <row r="5857" spans="1:4">
      <c r="A5857" s="13"/>
      <c r="B5857" s="13"/>
      <c r="C5857" s="13"/>
      <c r="D5857" s="13"/>
    </row>
    <row r="5858" spans="1:4">
      <c r="A5858" s="13"/>
      <c r="B5858" s="13"/>
      <c r="C5858" s="13"/>
      <c r="D5858" s="13"/>
    </row>
    <row r="5859" spans="1:4">
      <c r="A5859" s="13"/>
      <c r="B5859" s="13"/>
      <c r="C5859" s="13"/>
      <c r="D5859" s="13"/>
    </row>
    <row r="5860" spans="1:4">
      <c r="A5860" s="13"/>
      <c r="B5860" s="13"/>
      <c r="C5860" s="13"/>
      <c r="D5860" s="13"/>
    </row>
    <row r="5861" spans="1:4">
      <c r="A5861" s="13"/>
      <c r="B5861" s="13"/>
      <c r="C5861" s="13"/>
      <c r="D5861" s="13"/>
    </row>
    <row r="5862" spans="1:4">
      <c r="A5862" s="13"/>
      <c r="B5862" s="13"/>
      <c r="C5862" s="13"/>
      <c r="D5862" s="13"/>
    </row>
    <row r="5863" spans="1:4">
      <c r="A5863" s="13"/>
      <c r="B5863" s="13"/>
      <c r="C5863" s="13"/>
      <c r="D5863" s="13"/>
    </row>
    <row r="5864" spans="1:4">
      <c r="A5864" s="13"/>
      <c r="B5864" s="13"/>
      <c r="C5864" s="13"/>
      <c r="D5864" s="13"/>
    </row>
    <row r="5865" spans="1:4">
      <c r="A5865" s="13"/>
      <c r="B5865" s="13"/>
      <c r="C5865" s="13"/>
      <c r="D5865" s="13"/>
    </row>
    <row r="5866" spans="1:4">
      <c r="A5866" s="13"/>
      <c r="B5866" s="13"/>
      <c r="C5866" s="13"/>
      <c r="D5866" s="13"/>
    </row>
    <row r="5867" spans="1:4">
      <c r="A5867" s="13"/>
      <c r="B5867" s="13"/>
      <c r="C5867" s="13"/>
      <c r="D5867" s="13"/>
    </row>
    <row r="5868" spans="1:4">
      <c r="A5868" s="13"/>
      <c r="B5868" s="13"/>
      <c r="C5868" s="13"/>
      <c r="D5868" s="13"/>
    </row>
    <row r="5869" spans="1:4">
      <c r="A5869" s="13"/>
      <c r="B5869" s="13"/>
      <c r="C5869" s="13"/>
      <c r="D5869" s="13"/>
    </row>
    <row r="5870" spans="1:4">
      <c r="A5870" s="13"/>
      <c r="B5870" s="13"/>
      <c r="C5870" s="13"/>
      <c r="D5870" s="13"/>
    </row>
    <row r="5871" spans="1:4">
      <c r="A5871" s="13"/>
      <c r="B5871" s="13"/>
      <c r="C5871" s="13"/>
      <c r="D5871" s="13"/>
    </row>
    <row r="5872" spans="1:4">
      <c r="A5872" s="13"/>
      <c r="B5872" s="13"/>
      <c r="C5872" s="13"/>
      <c r="D5872" s="13"/>
    </row>
    <row r="5873" spans="1:4">
      <c r="A5873" s="13"/>
      <c r="B5873" s="13"/>
      <c r="C5873" s="13"/>
      <c r="D5873" s="13"/>
    </row>
    <row r="5874" spans="1:4">
      <c r="A5874" s="13"/>
      <c r="B5874" s="13"/>
      <c r="C5874" s="13"/>
      <c r="D5874" s="13"/>
    </row>
    <row r="5875" spans="1:4">
      <c r="A5875" s="13"/>
      <c r="B5875" s="13"/>
      <c r="C5875" s="13"/>
      <c r="D5875" s="13"/>
    </row>
    <row r="5876" spans="1:4">
      <c r="A5876" s="13"/>
      <c r="B5876" s="13"/>
      <c r="C5876" s="13"/>
      <c r="D5876" s="13"/>
    </row>
    <row r="5877" spans="1:4">
      <c r="A5877" s="13"/>
      <c r="B5877" s="13"/>
      <c r="C5877" s="13"/>
      <c r="D5877" s="13"/>
    </row>
    <row r="5878" spans="1:4">
      <c r="A5878" s="13"/>
      <c r="B5878" s="13"/>
      <c r="C5878" s="13"/>
      <c r="D5878" s="13"/>
    </row>
    <row r="5879" spans="1:4">
      <c r="A5879" s="13"/>
      <c r="B5879" s="13"/>
      <c r="C5879" s="13"/>
      <c r="D5879" s="13"/>
    </row>
    <row r="5880" spans="1:4">
      <c r="A5880" s="13"/>
      <c r="B5880" s="13"/>
      <c r="C5880" s="13"/>
      <c r="D5880" s="13"/>
    </row>
    <row r="5881" spans="1:4">
      <c r="A5881" s="13"/>
      <c r="B5881" s="13"/>
      <c r="C5881" s="13"/>
      <c r="D5881" s="13"/>
    </row>
    <row r="5882" spans="1:4">
      <c r="A5882" s="13"/>
      <c r="B5882" s="13"/>
      <c r="C5882" s="13"/>
      <c r="D5882" s="13"/>
    </row>
    <row r="5883" spans="1:4">
      <c r="A5883" s="13"/>
      <c r="B5883" s="13"/>
      <c r="C5883" s="13"/>
      <c r="D5883" s="13"/>
    </row>
    <row r="5884" spans="1:4">
      <c r="A5884" s="13"/>
      <c r="B5884" s="13"/>
      <c r="C5884" s="13"/>
      <c r="D5884" s="13"/>
    </row>
    <row r="5885" spans="1:4">
      <c r="A5885" s="13"/>
      <c r="B5885" s="13"/>
      <c r="C5885" s="13"/>
      <c r="D5885" s="13"/>
    </row>
    <row r="5886" spans="1:4">
      <c r="A5886" s="13"/>
      <c r="B5886" s="13"/>
      <c r="C5886" s="13"/>
      <c r="D5886" s="13"/>
    </row>
    <row r="5887" spans="1:4">
      <c r="A5887" s="13"/>
      <c r="B5887" s="13"/>
      <c r="C5887" s="13"/>
      <c r="D5887" s="13"/>
    </row>
    <row r="5888" spans="1:4">
      <c r="A5888" s="13"/>
      <c r="B5888" s="13"/>
      <c r="C5888" s="13"/>
      <c r="D5888" s="13"/>
    </row>
    <row r="5889" spans="1:4">
      <c r="A5889" s="13"/>
      <c r="B5889" s="13"/>
      <c r="C5889" s="13"/>
      <c r="D5889" s="13"/>
    </row>
    <row r="5890" spans="1:4">
      <c r="A5890" s="13"/>
      <c r="B5890" s="13"/>
      <c r="C5890" s="13"/>
      <c r="D5890" s="13"/>
    </row>
    <row r="5891" spans="1:4">
      <c r="A5891" s="13"/>
      <c r="B5891" s="13"/>
      <c r="C5891" s="13"/>
      <c r="D5891" s="13"/>
    </row>
    <row r="5892" spans="1:4">
      <c r="A5892" s="13"/>
      <c r="B5892" s="13"/>
      <c r="C5892" s="13"/>
      <c r="D5892" s="13"/>
    </row>
    <row r="5893" spans="1:4">
      <c r="A5893" s="13"/>
      <c r="B5893" s="13"/>
      <c r="C5893" s="13"/>
      <c r="D5893" s="13"/>
    </row>
    <row r="5894" spans="1:4">
      <c r="A5894" s="13"/>
      <c r="B5894" s="13"/>
      <c r="C5894" s="13"/>
      <c r="D5894" s="13"/>
    </row>
    <row r="5895" spans="1:4">
      <c r="A5895" s="13"/>
      <c r="B5895" s="13"/>
      <c r="C5895" s="13"/>
      <c r="D5895" s="13"/>
    </row>
    <row r="5896" spans="1:4">
      <c r="A5896" s="13"/>
      <c r="B5896" s="13"/>
      <c r="C5896" s="13"/>
      <c r="D5896" s="13"/>
    </row>
    <row r="5897" spans="1:4">
      <c r="A5897" s="13"/>
      <c r="B5897" s="13"/>
      <c r="C5897" s="13"/>
      <c r="D5897" s="13"/>
    </row>
    <row r="5898" spans="1:4">
      <c r="A5898" s="13"/>
      <c r="B5898" s="13"/>
      <c r="C5898" s="13"/>
      <c r="D5898" s="13"/>
    </row>
    <row r="5899" spans="1:4">
      <c r="A5899" s="13"/>
      <c r="B5899" s="13"/>
      <c r="C5899" s="13"/>
      <c r="D5899" s="13"/>
    </row>
    <row r="5900" spans="1:4">
      <c r="A5900" s="13"/>
      <c r="B5900" s="13"/>
      <c r="C5900" s="13"/>
      <c r="D5900" s="13"/>
    </row>
    <row r="5901" spans="1:4">
      <c r="A5901" s="13"/>
      <c r="B5901" s="13"/>
      <c r="C5901" s="13"/>
      <c r="D5901" s="13"/>
    </row>
    <row r="5902" spans="1:4">
      <c r="A5902" s="13"/>
      <c r="B5902" s="13"/>
      <c r="C5902" s="13"/>
      <c r="D5902" s="13"/>
    </row>
    <row r="5903" spans="1:4">
      <c r="A5903" s="13"/>
      <c r="B5903" s="13"/>
      <c r="C5903" s="13"/>
      <c r="D5903" s="13"/>
    </row>
    <row r="5904" spans="1:4">
      <c r="A5904" s="13"/>
      <c r="B5904" s="13"/>
      <c r="C5904" s="13"/>
      <c r="D5904" s="13"/>
    </row>
    <row r="5905" spans="1:4">
      <c r="A5905" s="13"/>
      <c r="B5905" s="13"/>
      <c r="C5905" s="13"/>
      <c r="D5905" s="13"/>
    </row>
    <row r="5906" spans="1:4">
      <c r="A5906" s="13"/>
      <c r="B5906" s="13"/>
      <c r="C5906" s="13"/>
      <c r="D5906" s="13"/>
    </row>
    <row r="5907" spans="1:4">
      <c r="A5907" s="13"/>
      <c r="B5907" s="13"/>
      <c r="C5907" s="13"/>
      <c r="D5907" s="13"/>
    </row>
    <row r="5908" spans="1:4">
      <c r="A5908" s="13"/>
      <c r="B5908" s="13"/>
      <c r="C5908" s="13"/>
      <c r="D5908" s="13"/>
    </row>
    <row r="5909" spans="1:4">
      <c r="A5909" s="13"/>
      <c r="B5909" s="13"/>
      <c r="C5909" s="13"/>
      <c r="D5909" s="13"/>
    </row>
    <row r="5910" spans="1:4">
      <c r="A5910" s="13"/>
      <c r="B5910" s="13"/>
      <c r="C5910" s="13"/>
      <c r="D5910" s="13"/>
    </row>
    <row r="5911" spans="1:4">
      <c r="A5911" s="13"/>
      <c r="B5911" s="13"/>
      <c r="C5911" s="13"/>
      <c r="D5911" s="13"/>
    </row>
    <row r="5912" spans="1:4">
      <c r="A5912" s="13"/>
      <c r="B5912" s="13"/>
      <c r="C5912" s="13"/>
      <c r="D5912" s="13"/>
    </row>
    <row r="5913" spans="1:4">
      <c r="A5913" s="13"/>
      <c r="B5913" s="13"/>
      <c r="C5913" s="13"/>
      <c r="D5913" s="13"/>
    </row>
    <row r="5914" spans="1:4">
      <c r="A5914" s="13"/>
      <c r="B5914" s="13"/>
      <c r="C5914" s="13"/>
      <c r="D5914" s="13"/>
    </row>
    <row r="5915" spans="1:4">
      <c r="A5915" s="13"/>
      <c r="B5915" s="13"/>
      <c r="C5915" s="13"/>
      <c r="D5915" s="13"/>
    </row>
    <row r="5916" spans="1:4">
      <c r="A5916" s="13"/>
      <c r="B5916" s="13"/>
      <c r="C5916" s="13"/>
      <c r="D5916" s="13"/>
    </row>
    <row r="5917" spans="1:4">
      <c r="A5917" s="13"/>
      <c r="B5917" s="13"/>
      <c r="C5917" s="13"/>
      <c r="D5917" s="13"/>
    </row>
    <row r="5918" spans="1:4">
      <c r="A5918" s="13"/>
      <c r="B5918" s="13"/>
      <c r="C5918" s="13"/>
      <c r="D5918" s="13"/>
    </row>
    <row r="5919" spans="1:4">
      <c r="A5919" s="13"/>
      <c r="B5919" s="13"/>
      <c r="C5919" s="13"/>
      <c r="D5919" s="13"/>
    </row>
    <row r="5920" spans="1:4">
      <c r="A5920" s="13"/>
      <c r="B5920" s="13"/>
      <c r="C5920" s="13"/>
      <c r="D5920" s="13"/>
    </row>
    <row r="5921" spans="1:4">
      <c r="A5921" s="13"/>
      <c r="B5921" s="13"/>
      <c r="C5921" s="13"/>
      <c r="D5921" s="13"/>
    </row>
    <row r="5922" spans="1:4">
      <c r="A5922" s="13"/>
      <c r="B5922" s="13"/>
      <c r="C5922" s="13"/>
      <c r="D5922" s="13"/>
    </row>
    <row r="5923" spans="1:4">
      <c r="A5923" s="13"/>
      <c r="B5923" s="13"/>
      <c r="C5923" s="13"/>
      <c r="D5923" s="13"/>
    </row>
    <row r="5924" spans="1:4">
      <c r="A5924" s="13"/>
      <c r="B5924" s="13"/>
      <c r="C5924" s="13"/>
      <c r="D5924" s="13"/>
    </row>
    <row r="5925" spans="1:4">
      <c r="A5925" s="13"/>
      <c r="B5925" s="13"/>
      <c r="C5925" s="13"/>
      <c r="D5925" s="13"/>
    </row>
    <row r="5926" spans="1:4">
      <c r="A5926" s="13"/>
      <c r="B5926" s="13"/>
      <c r="C5926" s="13"/>
      <c r="D5926" s="13"/>
    </row>
    <row r="5927" spans="1:4">
      <c r="A5927" s="13"/>
      <c r="B5927" s="13"/>
      <c r="C5927" s="13"/>
      <c r="D5927" s="13"/>
    </row>
    <row r="5928" spans="1:4">
      <c r="A5928" s="13"/>
      <c r="B5928" s="13"/>
      <c r="C5928" s="13"/>
      <c r="D5928" s="13"/>
    </row>
    <row r="5929" spans="1:4">
      <c r="A5929" s="13"/>
      <c r="B5929" s="13"/>
      <c r="C5929" s="13"/>
      <c r="D5929" s="13"/>
    </row>
    <row r="5930" spans="1:4">
      <c r="A5930" s="13"/>
      <c r="B5930" s="13"/>
      <c r="C5930" s="13"/>
      <c r="D5930" s="13"/>
    </row>
    <row r="5931" spans="1:4">
      <c r="A5931" s="13"/>
      <c r="B5931" s="13"/>
      <c r="C5931" s="13"/>
      <c r="D5931" s="13"/>
    </row>
    <row r="5932" spans="1:4">
      <c r="A5932" s="13"/>
      <c r="B5932" s="13"/>
      <c r="C5932" s="13"/>
      <c r="D5932" s="13"/>
    </row>
    <row r="5933" spans="1:4">
      <c r="A5933" s="13"/>
      <c r="B5933" s="13"/>
      <c r="C5933" s="13"/>
      <c r="D5933" s="13"/>
    </row>
    <row r="5934" spans="1:4">
      <c r="A5934" s="13"/>
      <c r="B5934" s="13"/>
      <c r="C5934" s="13"/>
      <c r="D5934" s="13"/>
    </row>
    <row r="5935" spans="1:4">
      <c r="A5935" s="13"/>
      <c r="B5935" s="13"/>
      <c r="C5935" s="13"/>
      <c r="D5935" s="13"/>
    </row>
    <row r="5936" spans="1:4">
      <c r="A5936" s="13"/>
      <c r="B5936" s="13"/>
      <c r="C5936" s="13"/>
      <c r="D5936" s="13"/>
    </row>
    <row r="5937" spans="1:4">
      <c r="A5937" s="13"/>
      <c r="B5937" s="13"/>
      <c r="C5937" s="13"/>
      <c r="D5937" s="13"/>
    </row>
    <row r="5938" spans="1:4">
      <c r="A5938" s="13"/>
      <c r="B5938" s="13"/>
      <c r="C5938" s="13"/>
      <c r="D5938" s="13"/>
    </row>
    <row r="5939" spans="1:4">
      <c r="A5939" s="13"/>
      <c r="B5939" s="13"/>
      <c r="C5939" s="13"/>
      <c r="D5939" s="13"/>
    </row>
    <row r="5940" spans="1:4">
      <c r="A5940" s="13"/>
      <c r="B5940" s="13"/>
      <c r="C5940" s="13"/>
      <c r="D5940" s="13"/>
    </row>
    <row r="5941" spans="1:4">
      <c r="A5941" s="13"/>
      <c r="B5941" s="13"/>
      <c r="C5941" s="13"/>
      <c r="D5941" s="13"/>
    </row>
    <row r="5942" spans="1:4">
      <c r="A5942" s="13"/>
      <c r="B5942" s="13"/>
      <c r="C5942" s="13"/>
      <c r="D5942" s="13"/>
    </row>
    <row r="5943" spans="1:4">
      <c r="A5943" s="13"/>
      <c r="B5943" s="13"/>
      <c r="C5943" s="13"/>
      <c r="D5943" s="13"/>
    </row>
    <row r="5944" spans="1:4">
      <c r="A5944" s="13"/>
      <c r="B5944" s="13"/>
      <c r="C5944" s="13"/>
      <c r="D5944" s="13"/>
    </row>
    <row r="5945" spans="1:4">
      <c r="A5945" s="13"/>
      <c r="B5945" s="13"/>
      <c r="C5945" s="13"/>
      <c r="D5945" s="13"/>
    </row>
    <row r="5946" spans="1:4">
      <c r="A5946" s="13"/>
      <c r="B5946" s="13"/>
      <c r="C5946" s="13"/>
      <c r="D5946" s="13"/>
    </row>
    <row r="5947" spans="1:4">
      <c r="A5947" s="13"/>
      <c r="B5947" s="13"/>
      <c r="C5947" s="13"/>
      <c r="D5947" s="13"/>
    </row>
    <row r="5948" spans="1:4">
      <c r="A5948" s="13"/>
      <c r="B5948" s="13"/>
      <c r="C5948" s="13"/>
      <c r="D5948" s="13"/>
    </row>
    <row r="5949" spans="1:4">
      <c r="A5949" s="13"/>
      <c r="B5949" s="13"/>
      <c r="C5949" s="13"/>
      <c r="D5949" s="13"/>
    </row>
    <row r="5950" spans="1:4">
      <c r="A5950" s="13"/>
      <c r="B5950" s="13"/>
      <c r="C5950" s="13"/>
      <c r="D5950" s="13"/>
    </row>
    <row r="5951" spans="1:4">
      <c r="A5951" s="13"/>
      <c r="B5951" s="13"/>
      <c r="C5951" s="13"/>
      <c r="D5951" s="13"/>
    </row>
    <row r="5952" spans="1:4">
      <c r="A5952" s="13"/>
      <c r="B5952" s="13"/>
      <c r="C5952" s="13"/>
      <c r="D5952" s="13"/>
    </row>
    <row r="5953" spans="1:4">
      <c r="A5953" s="13"/>
      <c r="B5953" s="13"/>
      <c r="C5953" s="13"/>
      <c r="D5953" s="13"/>
    </row>
    <row r="5954" spans="1:4">
      <c r="A5954" s="13"/>
      <c r="B5954" s="13"/>
      <c r="C5954" s="13"/>
      <c r="D5954" s="13"/>
    </row>
    <row r="5955" spans="1:4">
      <c r="A5955" s="13"/>
      <c r="B5955" s="13"/>
      <c r="C5955" s="13"/>
      <c r="D5955" s="13"/>
    </row>
    <row r="5956" spans="1:4">
      <c r="A5956" s="13"/>
      <c r="B5956" s="13"/>
      <c r="C5956" s="13"/>
      <c r="D5956" s="13"/>
    </row>
    <row r="5957" spans="1:4">
      <c r="A5957" s="13"/>
      <c r="B5957" s="13"/>
      <c r="C5957" s="13"/>
      <c r="D5957" s="13"/>
    </row>
    <row r="5958" spans="1:4">
      <c r="A5958" s="13"/>
      <c r="B5958" s="13"/>
      <c r="C5958" s="13"/>
      <c r="D5958" s="13"/>
    </row>
    <row r="5959" spans="1:4">
      <c r="A5959" s="13"/>
      <c r="B5959" s="13"/>
      <c r="C5959" s="13"/>
      <c r="D5959" s="13"/>
    </row>
    <row r="5960" spans="1:4">
      <c r="A5960" s="13"/>
      <c r="B5960" s="13"/>
      <c r="C5960" s="13"/>
      <c r="D5960" s="13"/>
    </row>
    <row r="5961" spans="1:4">
      <c r="A5961" s="13"/>
      <c r="B5961" s="13"/>
      <c r="C5961" s="13"/>
      <c r="D5961" s="13"/>
    </row>
    <row r="5962" spans="1:4">
      <c r="A5962" s="13"/>
      <c r="B5962" s="13"/>
      <c r="C5962" s="13"/>
      <c r="D5962" s="13"/>
    </row>
    <row r="5963" spans="1:4">
      <c r="A5963" s="13"/>
      <c r="B5963" s="13"/>
      <c r="C5963" s="13"/>
      <c r="D5963" s="13"/>
    </row>
    <row r="5964" spans="1:4">
      <c r="A5964" s="13"/>
      <c r="B5964" s="13"/>
      <c r="C5964" s="13"/>
      <c r="D5964" s="13"/>
    </row>
    <row r="5965" spans="1:4">
      <c r="A5965" s="13"/>
      <c r="B5965" s="13"/>
      <c r="C5965" s="13"/>
      <c r="D5965" s="13"/>
    </row>
    <row r="5966" spans="1:4">
      <c r="A5966" s="13"/>
      <c r="B5966" s="13"/>
      <c r="C5966" s="13"/>
      <c r="D5966" s="13"/>
    </row>
    <row r="5967" spans="1:4">
      <c r="A5967" s="13"/>
      <c r="B5967" s="13"/>
      <c r="C5967" s="13"/>
      <c r="D5967" s="13"/>
    </row>
    <row r="5968" spans="1:4">
      <c r="A5968" s="13"/>
      <c r="B5968" s="13"/>
      <c r="C5968" s="13"/>
      <c r="D5968" s="13"/>
    </row>
    <row r="5969" spans="1:4">
      <c r="A5969" s="13"/>
      <c r="B5969" s="13"/>
      <c r="C5969" s="13"/>
      <c r="D5969" s="13"/>
    </row>
    <row r="5970" spans="1:4">
      <c r="A5970" s="13"/>
      <c r="B5970" s="13"/>
      <c r="C5970" s="13"/>
      <c r="D5970" s="13"/>
    </row>
    <row r="5971" spans="1:4">
      <c r="A5971" s="13"/>
      <c r="B5971" s="13"/>
      <c r="C5971" s="13"/>
      <c r="D5971" s="13"/>
    </row>
    <row r="5972" spans="1:4">
      <c r="A5972" s="13"/>
      <c r="B5972" s="13"/>
      <c r="C5972" s="13"/>
      <c r="D5972" s="13"/>
    </row>
    <row r="5973" spans="1:4">
      <c r="A5973" s="13"/>
      <c r="B5973" s="13"/>
      <c r="C5973" s="13"/>
      <c r="D5973" s="13"/>
    </row>
    <row r="5974" spans="1:4">
      <c r="A5974" s="13"/>
      <c r="B5974" s="13"/>
      <c r="C5974" s="13"/>
      <c r="D5974" s="13"/>
    </row>
    <row r="5975" spans="1:4">
      <c r="A5975" s="13"/>
      <c r="B5975" s="13"/>
      <c r="C5975" s="13"/>
      <c r="D5975" s="13"/>
    </row>
    <row r="5976" spans="1:4">
      <c r="A5976" s="13"/>
      <c r="B5976" s="13"/>
      <c r="C5976" s="13"/>
      <c r="D5976" s="13"/>
    </row>
    <row r="5977" spans="1:4">
      <c r="A5977" s="13"/>
      <c r="B5977" s="13"/>
      <c r="C5977" s="13"/>
      <c r="D5977" s="13"/>
    </row>
    <row r="5978" spans="1:4">
      <c r="A5978" s="13"/>
      <c r="B5978" s="13"/>
      <c r="C5978" s="13"/>
      <c r="D5978" s="13"/>
    </row>
    <row r="5979" spans="1:4">
      <c r="A5979" s="13"/>
      <c r="B5979" s="13"/>
      <c r="C5979" s="13"/>
      <c r="D5979" s="13"/>
    </row>
    <row r="5980" spans="1:4">
      <c r="A5980" s="13"/>
      <c r="B5980" s="13"/>
      <c r="C5980" s="13"/>
      <c r="D5980" s="13"/>
    </row>
    <row r="5981" spans="1:4">
      <c r="A5981" s="13"/>
      <c r="B5981" s="13"/>
      <c r="C5981" s="13"/>
      <c r="D5981" s="13"/>
    </row>
    <row r="5982" spans="1:4">
      <c r="A5982" s="13"/>
      <c r="B5982" s="13"/>
      <c r="C5982" s="13"/>
      <c r="D5982" s="13"/>
    </row>
    <row r="5983" spans="1:4">
      <c r="A5983" s="13"/>
      <c r="B5983" s="13"/>
      <c r="C5983" s="13"/>
      <c r="D5983" s="13"/>
    </row>
    <row r="5984" spans="1:4">
      <c r="A5984" s="13"/>
      <c r="B5984" s="13"/>
      <c r="C5984" s="13"/>
      <c r="D5984" s="13"/>
    </row>
    <row r="5985" spans="1:4">
      <c r="A5985" s="13"/>
      <c r="B5985" s="13"/>
      <c r="C5985" s="13"/>
      <c r="D5985" s="13"/>
    </row>
    <row r="5986" spans="1:4">
      <c r="A5986" s="13"/>
      <c r="B5986" s="13"/>
      <c r="C5986" s="13"/>
      <c r="D5986" s="13"/>
    </row>
    <row r="5987" spans="1:4">
      <c r="A5987" s="13"/>
      <c r="B5987" s="13"/>
      <c r="C5987" s="13"/>
      <c r="D5987" s="13"/>
    </row>
    <row r="5988" spans="1:4">
      <c r="A5988" s="13"/>
      <c r="B5988" s="13"/>
      <c r="C5988" s="13"/>
      <c r="D5988" s="13"/>
    </row>
    <row r="5989" spans="1:4">
      <c r="A5989" s="13"/>
      <c r="B5989" s="13"/>
      <c r="C5989" s="13"/>
      <c r="D5989" s="13"/>
    </row>
    <row r="5990" spans="1:4">
      <c r="A5990" s="13"/>
      <c r="B5990" s="13"/>
      <c r="C5990" s="13"/>
      <c r="D5990" s="13"/>
    </row>
    <row r="5991" spans="1:4">
      <c r="A5991" s="13"/>
      <c r="B5991" s="13"/>
      <c r="C5991" s="13"/>
      <c r="D5991" s="13"/>
    </row>
    <row r="5992" spans="1:4">
      <c r="A5992" s="13"/>
      <c r="B5992" s="13"/>
      <c r="C5992" s="13"/>
      <c r="D5992" s="13"/>
    </row>
    <row r="5993" spans="1:4">
      <c r="A5993" s="13"/>
      <c r="B5993" s="13"/>
      <c r="C5993" s="13"/>
      <c r="D5993" s="13"/>
    </row>
    <row r="5994" spans="1:4">
      <c r="A5994" s="13"/>
      <c r="B5994" s="13"/>
      <c r="C5994" s="13"/>
      <c r="D5994" s="13"/>
    </row>
    <row r="5995" spans="1:4">
      <c r="A5995" s="13"/>
      <c r="B5995" s="13"/>
      <c r="C5995" s="13"/>
      <c r="D5995" s="13"/>
    </row>
    <row r="5996" spans="1:4">
      <c r="A5996" s="13"/>
      <c r="B5996" s="13"/>
      <c r="C5996" s="13"/>
      <c r="D5996" s="13"/>
    </row>
    <row r="5997" spans="1:4">
      <c r="A5997" s="13"/>
      <c r="B5997" s="13"/>
      <c r="C5997" s="13"/>
      <c r="D5997" s="13"/>
    </row>
    <row r="5998" spans="1:4">
      <c r="A5998" s="13"/>
      <c r="B5998" s="13"/>
      <c r="C5998" s="13"/>
      <c r="D5998" s="13"/>
    </row>
    <row r="5999" spans="1:4">
      <c r="A5999" s="13"/>
      <c r="B5999" s="13"/>
      <c r="C5999" s="13"/>
      <c r="D5999" s="13"/>
    </row>
    <row r="6000" spans="1:4">
      <c r="A6000" s="13"/>
      <c r="B6000" s="13"/>
      <c r="C6000" s="13"/>
      <c r="D6000" s="13"/>
    </row>
    <row r="6001" spans="1:4">
      <c r="A6001" s="13"/>
      <c r="B6001" s="13"/>
      <c r="C6001" s="13"/>
      <c r="D6001" s="13"/>
    </row>
    <row r="6002" spans="1:4">
      <c r="A6002" s="13"/>
      <c r="B6002" s="13"/>
      <c r="C6002" s="13"/>
      <c r="D6002" s="13"/>
    </row>
    <row r="6003" spans="1:4">
      <c r="A6003" s="13"/>
      <c r="B6003" s="13"/>
      <c r="C6003" s="13"/>
      <c r="D6003" s="13"/>
    </row>
    <row r="6004" spans="1:4">
      <c r="A6004" s="13"/>
      <c r="B6004" s="13"/>
      <c r="C6004" s="13"/>
      <c r="D6004" s="13"/>
    </row>
    <row r="6005" spans="1:4">
      <c r="A6005" s="13"/>
      <c r="B6005" s="13"/>
      <c r="C6005" s="13"/>
      <c r="D6005" s="13"/>
    </row>
    <row r="6006" spans="1:4">
      <c r="A6006" s="13"/>
      <c r="B6006" s="13"/>
      <c r="C6006" s="13"/>
      <c r="D6006" s="13"/>
    </row>
    <row r="6007" spans="1:4">
      <c r="A6007" s="13"/>
      <c r="B6007" s="13"/>
      <c r="C6007" s="13"/>
      <c r="D6007" s="13"/>
    </row>
    <row r="6008" spans="1:4">
      <c r="A6008" s="13"/>
      <c r="B6008" s="13"/>
      <c r="C6008" s="13"/>
      <c r="D6008" s="13"/>
    </row>
    <row r="6009" spans="1:4">
      <c r="A6009" s="13"/>
      <c r="B6009" s="13"/>
      <c r="C6009" s="13"/>
      <c r="D6009" s="13"/>
    </row>
    <row r="6010" spans="1:4">
      <c r="A6010" s="13"/>
      <c r="B6010" s="13"/>
      <c r="C6010" s="13"/>
      <c r="D6010" s="13"/>
    </row>
    <row r="6011" spans="1:4">
      <c r="A6011" s="13"/>
      <c r="B6011" s="13"/>
      <c r="C6011" s="13"/>
      <c r="D6011" s="13"/>
    </row>
    <row r="6012" spans="1:4">
      <c r="A6012" s="13"/>
      <c r="B6012" s="13"/>
      <c r="C6012" s="13"/>
      <c r="D6012" s="13"/>
    </row>
    <row r="6013" spans="1:4">
      <c r="A6013" s="13"/>
      <c r="B6013" s="13"/>
      <c r="C6013" s="13"/>
      <c r="D6013" s="13"/>
    </row>
    <row r="6014" spans="1:4">
      <c r="A6014" s="13"/>
      <c r="B6014" s="13"/>
      <c r="C6014" s="13"/>
      <c r="D6014" s="13"/>
    </row>
    <row r="6015" spans="1:4">
      <c r="A6015" s="13"/>
      <c r="B6015" s="13"/>
      <c r="C6015" s="13"/>
      <c r="D6015" s="13"/>
    </row>
    <row r="6016" spans="1:4">
      <c r="A6016" s="13"/>
      <c r="B6016" s="13"/>
      <c r="C6016" s="13"/>
      <c r="D6016" s="13"/>
    </row>
    <row r="6017" spans="1:4">
      <c r="A6017" s="13"/>
      <c r="B6017" s="13"/>
      <c r="C6017" s="13"/>
      <c r="D6017" s="13"/>
    </row>
    <row r="6018" spans="1:4">
      <c r="A6018" s="13"/>
      <c r="B6018" s="13"/>
      <c r="C6018" s="13"/>
      <c r="D6018" s="13"/>
    </row>
    <row r="6019" spans="1:4">
      <c r="A6019" s="13"/>
      <c r="B6019" s="13"/>
      <c r="C6019" s="13"/>
      <c r="D6019" s="13"/>
    </row>
    <row r="6020" spans="1:4">
      <c r="A6020" s="13"/>
      <c r="B6020" s="13"/>
      <c r="C6020" s="13"/>
      <c r="D6020" s="13"/>
    </row>
    <row r="6021" spans="1:4">
      <c r="A6021" s="13"/>
      <c r="B6021" s="13"/>
      <c r="C6021" s="13"/>
      <c r="D6021" s="13"/>
    </row>
    <row r="6022" spans="1:4">
      <c r="A6022" s="13"/>
      <c r="B6022" s="13"/>
      <c r="C6022" s="13"/>
      <c r="D6022" s="13"/>
    </row>
    <row r="6023" spans="1:4">
      <c r="A6023" s="13"/>
      <c r="B6023" s="13"/>
      <c r="C6023" s="13"/>
      <c r="D6023" s="13"/>
    </row>
    <row r="6024" spans="1:4">
      <c r="A6024" s="13"/>
      <c r="B6024" s="13"/>
      <c r="C6024" s="13"/>
      <c r="D6024" s="13"/>
    </row>
    <row r="6025" spans="1:4">
      <c r="A6025" s="13"/>
      <c r="B6025" s="13"/>
      <c r="C6025" s="13"/>
      <c r="D6025" s="13"/>
    </row>
    <row r="6026" spans="1:4">
      <c r="A6026" s="13"/>
      <c r="B6026" s="13"/>
      <c r="C6026" s="13"/>
      <c r="D6026" s="13"/>
    </row>
    <row r="6027" spans="1:4">
      <c r="A6027" s="13"/>
      <c r="B6027" s="13"/>
      <c r="C6027" s="13"/>
      <c r="D6027" s="13"/>
    </row>
    <row r="6028" spans="1:4">
      <c r="A6028" s="13"/>
      <c r="B6028" s="13"/>
      <c r="C6028" s="13"/>
      <c r="D6028" s="13"/>
    </row>
    <row r="6029" spans="1:4">
      <c r="A6029" s="13"/>
      <c r="B6029" s="13"/>
      <c r="C6029" s="13"/>
      <c r="D6029" s="13"/>
    </row>
    <row r="6030" spans="1:4">
      <c r="A6030" s="13"/>
      <c r="B6030" s="13"/>
      <c r="C6030" s="13"/>
      <c r="D6030" s="13"/>
    </row>
    <row r="6031" spans="1:4">
      <c r="A6031" s="13"/>
      <c r="B6031" s="13"/>
      <c r="C6031" s="13"/>
      <c r="D6031" s="13"/>
    </row>
    <row r="6032" spans="1:4">
      <c r="A6032" s="13"/>
      <c r="B6032" s="13"/>
      <c r="C6032" s="13"/>
      <c r="D6032" s="13"/>
    </row>
    <row r="6033" spans="1:4">
      <c r="A6033" s="13"/>
      <c r="B6033" s="13"/>
      <c r="C6033" s="13"/>
      <c r="D6033" s="13"/>
    </row>
    <row r="6034" spans="1:4">
      <c r="A6034" s="13"/>
      <c r="B6034" s="13"/>
      <c r="C6034" s="13"/>
      <c r="D6034" s="13"/>
    </row>
    <row r="6035" spans="1:4">
      <c r="A6035" s="13"/>
      <c r="B6035" s="13"/>
      <c r="C6035" s="13"/>
      <c r="D6035" s="13"/>
    </row>
    <row r="6036" spans="1:4">
      <c r="A6036" s="13"/>
      <c r="B6036" s="13"/>
      <c r="C6036" s="13"/>
      <c r="D6036" s="13"/>
    </row>
    <row r="6037" spans="1:4">
      <c r="A6037" s="13"/>
      <c r="B6037" s="13"/>
      <c r="C6037" s="13"/>
      <c r="D6037" s="13"/>
    </row>
    <row r="6038" spans="1:4">
      <c r="A6038" s="13"/>
      <c r="B6038" s="13"/>
      <c r="C6038" s="13"/>
      <c r="D6038" s="13"/>
    </row>
    <row r="6039" spans="1:4">
      <c r="A6039" s="13"/>
      <c r="B6039" s="13"/>
      <c r="C6039" s="13"/>
      <c r="D6039" s="13"/>
    </row>
    <row r="6040" spans="1:4">
      <c r="A6040" s="13"/>
      <c r="B6040" s="13"/>
      <c r="C6040" s="13"/>
      <c r="D6040" s="13"/>
    </row>
    <row r="6041" spans="1:4">
      <c r="A6041" s="13"/>
      <c r="B6041" s="13"/>
      <c r="C6041" s="13"/>
      <c r="D6041" s="13"/>
    </row>
    <row r="6042" spans="1:4">
      <c r="A6042" s="13"/>
      <c r="B6042" s="13"/>
      <c r="C6042" s="13"/>
      <c r="D6042" s="13"/>
    </row>
    <row r="6043" spans="1:4">
      <c r="A6043" s="13"/>
      <c r="B6043" s="13"/>
      <c r="C6043" s="13"/>
      <c r="D6043" s="13"/>
    </row>
    <row r="6044" spans="1:4">
      <c r="A6044" s="13"/>
      <c r="B6044" s="13"/>
      <c r="C6044" s="13"/>
      <c r="D6044" s="13"/>
    </row>
    <row r="6045" spans="1:4">
      <c r="A6045" s="13"/>
      <c r="B6045" s="13"/>
      <c r="C6045" s="13"/>
      <c r="D6045" s="13"/>
    </row>
    <row r="6046" spans="1:4">
      <c r="A6046" s="13"/>
      <c r="B6046" s="13"/>
      <c r="C6046" s="13"/>
      <c r="D6046" s="13"/>
    </row>
    <row r="6047" spans="1:4">
      <c r="A6047" s="13"/>
      <c r="B6047" s="13"/>
      <c r="C6047" s="13"/>
      <c r="D6047" s="13"/>
    </row>
    <row r="6048" spans="1:4">
      <c r="A6048" s="13"/>
      <c r="B6048" s="13"/>
      <c r="C6048" s="13"/>
      <c r="D6048" s="13"/>
    </row>
    <row r="6049" spans="1:4">
      <c r="A6049" s="13"/>
      <c r="B6049" s="13"/>
      <c r="C6049" s="13"/>
      <c r="D6049" s="13"/>
    </row>
    <row r="6050" spans="1:4">
      <c r="A6050" s="13"/>
      <c r="B6050" s="13"/>
      <c r="C6050" s="13"/>
      <c r="D6050" s="13"/>
    </row>
    <row r="6051" spans="1:4">
      <c r="A6051" s="13"/>
      <c r="B6051" s="13"/>
      <c r="C6051" s="13"/>
      <c r="D6051" s="13"/>
    </row>
    <row r="6052" spans="1:4">
      <c r="A6052" s="13"/>
      <c r="B6052" s="13"/>
      <c r="C6052" s="13"/>
      <c r="D6052" s="13"/>
    </row>
    <row r="6053" spans="1:4">
      <c r="A6053" s="13"/>
      <c r="B6053" s="13"/>
      <c r="C6053" s="13"/>
      <c r="D6053" s="13"/>
    </row>
    <row r="6054" spans="1:4">
      <c r="A6054" s="13"/>
      <c r="B6054" s="13"/>
      <c r="C6054" s="13"/>
      <c r="D6054" s="13"/>
    </row>
    <row r="6055" spans="1:4">
      <c r="A6055" s="13"/>
      <c r="B6055" s="13"/>
      <c r="C6055" s="13"/>
      <c r="D6055" s="13"/>
    </row>
    <row r="6056" spans="1:4">
      <c r="A6056" s="13"/>
      <c r="B6056" s="13"/>
      <c r="C6056" s="13"/>
      <c r="D6056" s="13"/>
    </row>
    <row r="6057" spans="1:4">
      <c r="A6057" s="13"/>
      <c r="B6057" s="13"/>
      <c r="C6057" s="13"/>
      <c r="D6057" s="13"/>
    </row>
    <row r="6058" spans="1:4">
      <c r="A6058" s="13"/>
      <c r="B6058" s="13"/>
      <c r="C6058" s="13"/>
      <c r="D6058" s="13"/>
    </row>
    <row r="6059" spans="1:4">
      <c r="A6059" s="13"/>
      <c r="B6059" s="13"/>
      <c r="C6059" s="13"/>
      <c r="D6059" s="13"/>
    </row>
    <row r="6060" spans="1:4">
      <c r="A6060" s="13"/>
      <c r="B6060" s="13"/>
      <c r="C6060" s="13"/>
      <c r="D6060" s="13"/>
    </row>
    <row r="6061" spans="1:4">
      <c r="A6061" s="13"/>
      <c r="B6061" s="13"/>
      <c r="C6061" s="13"/>
      <c r="D6061" s="13"/>
    </row>
    <row r="6062" spans="1:4">
      <c r="A6062" s="13"/>
      <c r="B6062" s="13"/>
      <c r="C6062" s="13"/>
      <c r="D6062" s="13"/>
    </row>
    <row r="6063" spans="1:4">
      <c r="A6063" s="13"/>
      <c r="B6063" s="13"/>
      <c r="C6063" s="13"/>
      <c r="D6063" s="13"/>
    </row>
    <row r="6064" spans="1:4">
      <c r="A6064" s="13"/>
      <c r="B6064" s="13"/>
      <c r="C6064" s="13"/>
      <c r="D6064" s="13"/>
    </row>
    <row r="6065" spans="1:4">
      <c r="A6065" s="13"/>
      <c r="B6065" s="13"/>
      <c r="C6065" s="13"/>
      <c r="D6065" s="13"/>
    </row>
    <row r="6066" spans="1:4">
      <c r="A6066" s="13"/>
      <c r="B6066" s="13"/>
      <c r="C6066" s="13"/>
      <c r="D6066" s="13"/>
    </row>
    <row r="6067" spans="1:4">
      <c r="A6067" s="13"/>
      <c r="B6067" s="13"/>
      <c r="C6067" s="13"/>
      <c r="D6067" s="13"/>
    </row>
    <row r="6068" spans="1:4">
      <c r="A6068" s="13"/>
      <c r="B6068" s="13"/>
      <c r="C6068" s="13"/>
      <c r="D6068" s="13"/>
    </row>
    <row r="6069" spans="1:4">
      <c r="A6069" s="13"/>
      <c r="B6069" s="13"/>
      <c r="C6069" s="13"/>
      <c r="D6069" s="13"/>
    </row>
    <row r="6070" spans="1:4">
      <c r="A6070" s="13"/>
      <c r="B6070" s="13"/>
      <c r="C6070" s="13"/>
      <c r="D6070" s="13"/>
    </row>
    <row r="6071" spans="1:4">
      <c r="A6071" s="13"/>
      <c r="B6071" s="13"/>
      <c r="C6071" s="13"/>
      <c r="D6071" s="13"/>
    </row>
    <row r="6072" spans="1:4">
      <c r="A6072" s="13"/>
      <c r="B6072" s="13"/>
      <c r="C6072" s="13"/>
      <c r="D6072" s="13"/>
    </row>
    <row r="6073" spans="1:4">
      <c r="A6073" s="13"/>
      <c r="B6073" s="13"/>
      <c r="C6073" s="13"/>
      <c r="D6073" s="13"/>
    </row>
    <row r="6074" spans="1:4">
      <c r="A6074" s="13"/>
      <c r="B6074" s="13"/>
      <c r="C6074" s="13"/>
      <c r="D6074" s="13"/>
    </row>
    <row r="6075" spans="1:4">
      <c r="A6075" s="13"/>
      <c r="B6075" s="13"/>
      <c r="C6075" s="13"/>
      <c r="D6075" s="13"/>
    </row>
    <row r="6076" spans="1:4">
      <c r="A6076" s="13"/>
      <c r="B6076" s="13"/>
      <c r="C6076" s="13"/>
      <c r="D6076" s="13"/>
    </row>
    <row r="6077" spans="1:4">
      <c r="A6077" s="13"/>
      <c r="B6077" s="13"/>
      <c r="C6077" s="13"/>
      <c r="D6077" s="13"/>
    </row>
    <row r="6078" spans="1:4">
      <c r="A6078" s="13"/>
      <c r="B6078" s="13"/>
      <c r="C6078" s="13"/>
      <c r="D6078" s="13"/>
    </row>
    <row r="6079" spans="1:4">
      <c r="A6079" s="13"/>
      <c r="B6079" s="13"/>
      <c r="C6079" s="13"/>
      <c r="D6079" s="13"/>
    </row>
    <row r="6080" spans="1:4">
      <c r="A6080" s="13"/>
      <c r="B6080" s="13"/>
      <c r="C6080" s="13"/>
      <c r="D6080" s="13"/>
    </row>
    <row r="6081" spans="1:4">
      <c r="A6081" s="13"/>
      <c r="B6081" s="13"/>
      <c r="C6081" s="13"/>
      <c r="D6081" s="13"/>
    </row>
    <row r="6082" spans="1:4">
      <c r="A6082" s="13"/>
      <c r="B6082" s="13"/>
      <c r="C6082" s="13"/>
      <c r="D6082" s="13"/>
    </row>
    <row r="6083" spans="1:4">
      <c r="A6083" s="13"/>
      <c r="B6083" s="13"/>
      <c r="C6083" s="13"/>
      <c r="D6083" s="13"/>
    </row>
    <row r="6084" spans="1:4">
      <c r="A6084" s="13"/>
      <c r="B6084" s="13"/>
      <c r="C6084" s="13"/>
      <c r="D6084" s="13"/>
    </row>
    <row r="6085" spans="1:4">
      <c r="A6085" s="13"/>
      <c r="B6085" s="13"/>
      <c r="C6085" s="13"/>
      <c r="D6085" s="13"/>
    </row>
    <row r="6086" spans="1:4">
      <c r="A6086" s="13"/>
      <c r="B6086" s="13"/>
      <c r="C6086" s="13"/>
      <c r="D6086" s="13"/>
    </row>
    <row r="6087" spans="1:4">
      <c r="A6087" s="13"/>
      <c r="B6087" s="13"/>
      <c r="C6087" s="13"/>
      <c r="D6087" s="13"/>
    </row>
    <row r="6088" spans="1:4">
      <c r="A6088" s="13"/>
      <c r="B6088" s="13"/>
      <c r="C6088" s="13"/>
      <c r="D6088" s="13"/>
    </row>
    <row r="6089" spans="1:4">
      <c r="A6089" s="13"/>
      <c r="B6089" s="13"/>
      <c r="C6089" s="13"/>
      <c r="D6089" s="13"/>
    </row>
    <row r="6090" spans="1:4">
      <c r="A6090" s="13"/>
      <c r="B6090" s="13"/>
      <c r="C6090" s="13"/>
      <c r="D6090" s="13"/>
    </row>
    <row r="6091" spans="1:4">
      <c r="A6091" s="13"/>
      <c r="B6091" s="13"/>
      <c r="C6091" s="13"/>
      <c r="D6091" s="13"/>
    </row>
    <row r="6092" spans="1:4">
      <c r="A6092" s="13"/>
      <c r="B6092" s="13"/>
      <c r="C6092" s="13"/>
      <c r="D6092" s="13"/>
    </row>
    <row r="6093" spans="1:4">
      <c r="A6093" s="13"/>
      <c r="B6093" s="13"/>
      <c r="C6093" s="13"/>
      <c r="D6093" s="13"/>
    </row>
    <row r="6094" spans="1:4">
      <c r="A6094" s="13"/>
      <c r="B6094" s="13"/>
      <c r="C6094" s="13"/>
      <c r="D6094" s="13"/>
    </row>
    <row r="6095" spans="1:4">
      <c r="A6095" s="13"/>
      <c r="B6095" s="13"/>
      <c r="C6095" s="13"/>
      <c r="D6095" s="13"/>
    </row>
    <row r="6096" spans="1:4">
      <c r="A6096" s="13"/>
      <c r="B6096" s="13"/>
      <c r="C6096" s="13"/>
      <c r="D6096" s="13"/>
    </row>
    <row r="6097" spans="1:4">
      <c r="A6097" s="13"/>
      <c r="B6097" s="13"/>
      <c r="C6097" s="13"/>
      <c r="D6097" s="13"/>
    </row>
    <row r="6098" spans="1:4">
      <c r="A6098" s="13"/>
      <c r="B6098" s="13"/>
      <c r="C6098" s="13"/>
      <c r="D6098" s="13"/>
    </row>
    <row r="6099" spans="1:4">
      <c r="A6099" s="13"/>
      <c r="B6099" s="13"/>
      <c r="C6099" s="13"/>
      <c r="D6099" s="13"/>
    </row>
    <row r="6100" spans="1:4">
      <c r="A6100" s="13"/>
      <c r="B6100" s="13"/>
      <c r="C6100" s="13"/>
      <c r="D6100" s="13"/>
    </row>
    <row r="6101" spans="1:4">
      <c r="A6101" s="13"/>
      <c r="B6101" s="13"/>
      <c r="C6101" s="13"/>
      <c r="D6101" s="13"/>
    </row>
    <row r="6102" spans="1:4">
      <c r="A6102" s="13"/>
      <c r="B6102" s="13"/>
      <c r="C6102" s="13"/>
      <c r="D6102" s="13"/>
    </row>
    <row r="6103" spans="1:4">
      <c r="A6103" s="13"/>
      <c r="B6103" s="13"/>
      <c r="C6103" s="13"/>
      <c r="D6103" s="13"/>
    </row>
    <row r="6104" spans="1:4">
      <c r="A6104" s="13"/>
      <c r="B6104" s="13"/>
      <c r="C6104" s="13"/>
      <c r="D6104" s="13"/>
    </row>
    <row r="6105" spans="1:4">
      <c r="A6105" s="13"/>
      <c r="B6105" s="13"/>
      <c r="C6105" s="13"/>
      <c r="D6105" s="13"/>
    </row>
    <row r="6106" spans="1:4">
      <c r="A6106" s="13"/>
      <c r="B6106" s="13"/>
      <c r="C6106" s="13"/>
      <c r="D6106" s="13"/>
    </row>
    <row r="6107" spans="1:4">
      <c r="A6107" s="13"/>
      <c r="B6107" s="13"/>
      <c r="C6107" s="13"/>
      <c r="D6107" s="13"/>
    </row>
    <row r="6108" spans="1:4">
      <c r="A6108" s="13"/>
      <c r="B6108" s="13"/>
      <c r="C6108" s="13"/>
      <c r="D6108" s="13"/>
    </row>
    <row r="6109" spans="1:4">
      <c r="A6109" s="13"/>
      <c r="B6109" s="13"/>
      <c r="C6109" s="13"/>
      <c r="D6109" s="13"/>
    </row>
    <row r="6110" spans="1:4">
      <c r="A6110" s="13"/>
      <c r="B6110" s="13"/>
      <c r="C6110" s="13"/>
      <c r="D6110" s="13"/>
    </row>
    <row r="6111" spans="1:4">
      <c r="A6111" s="13"/>
      <c r="B6111" s="13"/>
      <c r="C6111" s="13"/>
      <c r="D6111" s="13"/>
    </row>
    <row r="6112" spans="1:4">
      <c r="A6112" s="13"/>
      <c r="B6112" s="13"/>
      <c r="C6112" s="13"/>
      <c r="D6112" s="13"/>
    </row>
    <row r="6113" spans="1:4">
      <c r="A6113" s="13"/>
      <c r="B6113" s="13"/>
      <c r="C6113" s="13"/>
      <c r="D6113" s="13"/>
    </row>
    <row r="6114" spans="1:4">
      <c r="A6114" s="13"/>
      <c r="B6114" s="13"/>
      <c r="C6114" s="13"/>
      <c r="D6114" s="13"/>
    </row>
    <row r="6115" spans="1:4">
      <c r="A6115" s="13"/>
      <c r="B6115" s="13"/>
      <c r="C6115" s="13"/>
      <c r="D6115" s="13"/>
    </row>
    <row r="6116" spans="1:4">
      <c r="A6116" s="13"/>
      <c r="B6116" s="13"/>
      <c r="C6116" s="13"/>
      <c r="D6116" s="13"/>
    </row>
    <row r="6117" spans="1:4">
      <c r="A6117" s="13"/>
      <c r="B6117" s="13"/>
      <c r="C6117" s="13"/>
      <c r="D6117" s="13"/>
    </row>
    <row r="6118" spans="1:4">
      <c r="A6118" s="13"/>
      <c r="B6118" s="13"/>
      <c r="C6118" s="13"/>
      <c r="D6118" s="13"/>
    </row>
    <row r="6119" spans="1:4">
      <c r="A6119" s="13"/>
      <c r="B6119" s="13"/>
      <c r="C6119" s="13"/>
      <c r="D6119" s="13"/>
    </row>
    <row r="6120" spans="1:4">
      <c r="A6120" s="13"/>
      <c r="B6120" s="13"/>
      <c r="C6120" s="13"/>
      <c r="D6120" s="13"/>
    </row>
    <row r="6121" spans="1:4">
      <c r="A6121" s="13"/>
      <c r="B6121" s="13"/>
      <c r="C6121" s="13"/>
      <c r="D6121" s="13"/>
    </row>
    <row r="6122" spans="1:4">
      <c r="A6122" s="13"/>
      <c r="B6122" s="13"/>
      <c r="C6122" s="13"/>
      <c r="D6122" s="13"/>
    </row>
    <row r="6123" spans="1:4">
      <c r="A6123" s="13"/>
      <c r="B6123" s="13"/>
      <c r="C6123" s="13"/>
      <c r="D6123" s="13"/>
    </row>
    <row r="6124" spans="1:4">
      <c r="A6124" s="13"/>
      <c r="B6124" s="13"/>
      <c r="C6124" s="13"/>
      <c r="D6124" s="13"/>
    </row>
    <row r="6125" spans="1:4">
      <c r="A6125" s="13"/>
      <c r="B6125" s="13"/>
      <c r="C6125" s="13"/>
      <c r="D6125" s="13"/>
    </row>
    <row r="6126" spans="1:4">
      <c r="A6126" s="13"/>
      <c r="B6126" s="13"/>
      <c r="C6126" s="13"/>
      <c r="D6126" s="13"/>
    </row>
    <row r="6127" spans="1:4">
      <c r="A6127" s="13"/>
      <c r="B6127" s="13"/>
      <c r="C6127" s="13"/>
      <c r="D6127" s="13"/>
    </row>
    <row r="6128" spans="1:4">
      <c r="A6128" s="13"/>
      <c r="B6128" s="13"/>
      <c r="C6128" s="13"/>
      <c r="D6128" s="13"/>
    </row>
    <row r="6129" spans="1:4">
      <c r="A6129" s="13"/>
      <c r="B6129" s="13"/>
      <c r="C6129" s="13"/>
      <c r="D6129" s="13"/>
    </row>
    <row r="6130" spans="1:4">
      <c r="A6130" s="13"/>
      <c r="B6130" s="13"/>
      <c r="C6130" s="13"/>
      <c r="D6130" s="13"/>
    </row>
    <row r="6131" spans="1:4">
      <c r="A6131" s="13"/>
      <c r="B6131" s="13"/>
      <c r="C6131" s="13"/>
      <c r="D6131" s="13"/>
    </row>
    <row r="6132" spans="1:4">
      <c r="A6132" s="13"/>
      <c r="B6132" s="13"/>
      <c r="C6132" s="13"/>
      <c r="D6132" s="13"/>
    </row>
    <row r="6133" spans="1:4">
      <c r="A6133" s="13"/>
      <c r="B6133" s="13"/>
      <c r="C6133" s="13"/>
      <c r="D6133" s="13"/>
    </row>
    <row r="6134" spans="1:4">
      <c r="A6134" s="13"/>
      <c r="B6134" s="13"/>
      <c r="C6134" s="13"/>
      <c r="D6134" s="13"/>
    </row>
    <row r="6135" spans="1:4">
      <c r="A6135" s="13"/>
      <c r="B6135" s="13"/>
      <c r="C6135" s="13"/>
      <c r="D6135" s="13"/>
    </row>
    <row r="6136" spans="1:4">
      <c r="A6136" s="13"/>
      <c r="B6136" s="13"/>
      <c r="C6136" s="13"/>
      <c r="D6136" s="13"/>
    </row>
    <row r="6137" spans="1:4">
      <c r="A6137" s="13"/>
      <c r="B6137" s="13"/>
      <c r="C6137" s="13"/>
      <c r="D6137" s="13"/>
    </row>
    <row r="6138" spans="1:4">
      <c r="A6138" s="13"/>
      <c r="B6138" s="13"/>
      <c r="C6138" s="13"/>
      <c r="D6138" s="13"/>
    </row>
    <row r="6139" spans="1:4">
      <c r="A6139" s="13"/>
      <c r="B6139" s="13"/>
      <c r="C6139" s="13"/>
      <c r="D6139" s="13"/>
    </row>
    <row r="6140" spans="1:4">
      <c r="A6140" s="13"/>
      <c r="B6140" s="13"/>
      <c r="C6140" s="13"/>
      <c r="D6140" s="13"/>
    </row>
    <row r="6141" spans="1:4">
      <c r="A6141" s="13"/>
      <c r="B6141" s="13"/>
      <c r="C6141" s="13"/>
      <c r="D6141" s="13"/>
    </row>
    <row r="6142" spans="1:4">
      <c r="A6142" s="13"/>
      <c r="B6142" s="13"/>
      <c r="C6142" s="13"/>
      <c r="D6142" s="13"/>
    </row>
    <row r="6143" spans="1:4">
      <c r="A6143" s="13"/>
      <c r="B6143" s="13"/>
      <c r="C6143" s="13"/>
      <c r="D6143" s="13"/>
    </row>
    <row r="6144" spans="1:4">
      <c r="A6144" s="13"/>
      <c r="B6144" s="13"/>
      <c r="C6144" s="13"/>
      <c r="D6144" s="13"/>
    </row>
    <row r="6145" spans="1:4">
      <c r="A6145" s="13"/>
      <c r="B6145" s="13"/>
      <c r="C6145" s="13"/>
      <c r="D6145" s="13"/>
    </row>
    <row r="6146" spans="1:4">
      <c r="A6146" s="13"/>
      <c r="B6146" s="13"/>
      <c r="C6146" s="13"/>
      <c r="D6146" s="13"/>
    </row>
    <row r="6147" spans="1:4">
      <c r="A6147" s="13"/>
      <c r="B6147" s="13"/>
      <c r="C6147" s="13"/>
      <c r="D6147" s="13"/>
    </row>
    <row r="6148" spans="1:4">
      <c r="A6148" s="13"/>
      <c r="B6148" s="13"/>
      <c r="C6148" s="13"/>
      <c r="D6148" s="13"/>
    </row>
    <row r="6149" spans="1:4">
      <c r="A6149" s="13"/>
      <c r="B6149" s="13"/>
      <c r="C6149" s="13"/>
      <c r="D6149" s="13"/>
    </row>
    <row r="6150" spans="1:4">
      <c r="A6150" s="13"/>
      <c r="B6150" s="13"/>
      <c r="C6150" s="13"/>
      <c r="D6150" s="13"/>
    </row>
    <row r="6151" spans="1:4">
      <c r="A6151" s="13"/>
      <c r="B6151" s="13"/>
      <c r="C6151" s="13"/>
      <c r="D6151" s="13"/>
    </row>
    <row r="6152" spans="1:4">
      <c r="A6152" s="13"/>
      <c r="B6152" s="13"/>
      <c r="C6152" s="13"/>
      <c r="D6152" s="13"/>
    </row>
    <row r="6153" spans="1:4">
      <c r="A6153" s="13"/>
      <c r="B6153" s="13"/>
      <c r="C6153" s="13"/>
      <c r="D6153" s="13"/>
    </row>
    <row r="6154" spans="1:4">
      <c r="A6154" s="13"/>
      <c r="B6154" s="13"/>
      <c r="C6154" s="13"/>
      <c r="D6154" s="13"/>
    </row>
    <row r="6155" spans="1:4">
      <c r="A6155" s="13"/>
      <c r="B6155" s="13"/>
      <c r="C6155" s="13"/>
      <c r="D6155" s="13"/>
    </row>
    <row r="6156" spans="1:4">
      <c r="A6156" s="13"/>
      <c r="B6156" s="13"/>
      <c r="C6156" s="13"/>
      <c r="D6156" s="13"/>
    </row>
    <row r="6157" spans="1:4">
      <c r="A6157" s="13"/>
      <c r="B6157" s="13"/>
      <c r="C6157" s="13"/>
      <c r="D6157" s="13"/>
    </row>
    <row r="6158" spans="1:4">
      <c r="A6158" s="13"/>
      <c r="B6158" s="13"/>
      <c r="C6158" s="13"/>
      <c r="D6158" s="13"/>
    </row>
    <row r="6159" spans="1:4">
      <c r="A6159" s="13"/>
      <c r="B6159" s="13"/>
      <c r="C6159" s="13"/>
      <c r="D6159" s="13"/>
    </row>
    <row r="6160" spans="1:4">
      <c r="A6160" s="13"/>
      <c r="B6160" s="13"/>
      <c r="C6160" s="13"/>
      <c r="D6160" s="13"/>
    </row>
    <row r="6161" spans="1:4">
      <c r="A6161" s="13"/>
      <c r="B6161" s="13"/>
      <c r="C6161" s="13"/>
      <c r="D6161" s="13"/>
    </row>
    <row r="6162" spans="1:4">
      <c r="A6162" s="13"/>
      <c r="B6162" s="13"/>
      <c r="C6162" s="13"/>
      <c r="D6162" s="13"/>
    </row>
    <row r="6163" spans="1:4">
      <c r="A6163" s="13"/>
      <c r="B6163" s="13"/>
      <c r="C6163" s="13"/>
      <c r="D6163" s="13"/>
    </row>
    <row r="6164" spans="1:4">
      <c r="A6164" s="13"/>
      <c r="B6164" s="13"/>
      <c r="C6164" s="13"/>
      <c r="D6164" s="13"/>
    </row>
    <row r="6165" spans="1:4">
      <c r="A6165" s="13"/>
      <c r="B6165" s="13"/>
      <c r="C6165" s="13"/>
      <c r="D6165" s="13"/>
    </row>
    <row r="6166" spans="1:4">
      <c r="A6166" s="13"/>
      <c r="B6166" s="13"/>
      <c r="C6166" s="13"/>
      <c r="D6166" s="13"/>
    </row>
    <row r="6167" spans="1:4">
      <c r="A6167" s="13"/>
      <c r="B6167" s="13"/>
      <c r="C6167" s="13"/>
      <c r="D6167" s="13"/>
    </row>
    <row r="6168" spans="1:4">
      <c r="A6168" s="13"/>
      <c r="B6168" s="13"/>
      <c r="C6168" s="13"/>
      <c r="D6168" s="13"/>
    </row>
    <row r="6169" spans="1:4">
      <c r="A6169" s="13"/>
      <c r="B6169" s="13"/>
      <c r="C6169" s="13"/>
      <c r="D6169" s="13"/>
    </row>
    <row r="6170" spans="1:4">
      <c r="A6170" s="13"/>
      <c r="B6170" s="13"/>
      <c r="C6170" s="13"/>
      <c r="D6170" s="13"/>
    </row>
    <row r="6171" spans="1:4">
      <c r="A6171" s="13"/>
      <c r="B6171" s="13"/>
      <c r="C6171" s="13"/>
      <c r="D6171" s="13"/>
    </row>
    <row r="6172" spans="1:4">
      <c r="A6172" s="13"/>
      <c r="B6172" s="13"/>
      <c r="C6172" s="13"/>
      <c r="D6172" s="13"/>
    </row>
    <row r="6173" spans="1:4">
      <c r="A6173" s="13"/>
      <c r="B6173" s="13"/>
      <c r="C6173" s="13"/>
      <c r="D6173" s="13"/>
    </row>
    <row r="6174" spans="1:4">
      <c r="A6174" s="13"/>
      <c r="B6174" s="13"/>
      <c r="C6174" s="13"/>
      <c r="D6174" s="13"/>
    </row>
    <row r="6175" spans="1:4">
      <c r="A6175" s="13"/>
      <c r="B6175" s="13"/>
      <c r="C6175" s="13"/>
      <c r="D6175" s="13"/>
    </row>
    <row r="6176" spans="1:4">
      <c r="A6176" s="13"/>
      <c r="B6176" s="13"/>
      <c r="C6176" s="13"/>
      <c r="D6176" s="13"/>
    </row>
    <row r="6177" spans="1:4">
      <c r="A6177" s="13"/>
      <c r="B6177" s="13"/>
      <c r="C6177" s="13"/>
      <c r="D6177" s="13"/>
    </row>
    <row r="6178" spans="1:4">
      <c r="A6178" s="13"/>
      <c r="B6178" s="13"/>
      <c r="C6178" s="13"/>
      <c r="D6178" s="13"/>
    </row>
    <row r="6179" spans="1:4">
      <c r="A6179" s="13"/>
      <c r="B6179" s="13"/>
      <c r="C6179" s="13"/>
      <c r="D6179" s="13"/>
    </row>
    <row r="6180" spans="1:4">
      <c r="A6180" s="13"/>
      <c r="B6180" s="13"/>
      <c r="C6180" s="13"/>
      <c r="D6180" s="13"/>
    </row>
    <row r="6181" spans="1:4">
      <c r="A6181" s="13"/>
      <c r="B6181" s="13"/>
      <c r="C6181" s="13"/>
      <c r="D6181" s="13"/>
    </row>
    <row r="6182" spans="1:4">
      <c r="A6182" s="13"/>
      <c r="B6182" s="13"/>
      <c r="C6182" s="13"/>
      <c r="D6182" s="13"/>
    </row>
    <row r="6183" spans="1:4">
      <c r="A6183" s="13"/>
      <c r="B6183" s="13"/>
      <c r="C6183" s="13"/>
      <c r="D6183" s="13"/>
    </row>
    <row r="6184" spans="1:4">
      <c r="A6184" s="13"/>
      <c r="B6184" s="13"/>
      <c r="C6184" s="13"/>
      <c r="D6184" s="13"/>
    </row>
    <row r="6185" spans="1:4">
      <c r="A6185" s="13"/>
      <c r="B6185" s="13"/>
      <c r="C6185" s="13"/>
      <c r="D6185" s="13"/>
    </row>
    <row r="6186" spans="1:4">
      <c r="A6186" s="13"/>
      <c r="B6186" s="13"/>
      <c r="C6186" s="13"/>
      <c r="D6186" s="13"/>
    </row>
    <row r="6187" spans="1:4">
      <c r="A6187" s="13"/>
      <c r="B6187" s="13"/>
      <c r="C6187" s="13"/>
      <c r="D6187" s="13"/>
    </row>
    <row r="6188" spans="1:4">
      <c r="A6188" s="13"/>
      <c r="B6188" s="13"/>
      <c r="C6188" s="13"/>
      <c r="D6188" s="13"/>
    </row>
    <row r="6189" spans="1:4">
      <c r="A6189" s="13"/>
      <c r="B6189" s="13"/>
      <c r="C6189" s="13"/>
      <c r="D6189" s="13"/>
    </row>
    <row r="6190" spans="1:4">
      <c r="A6190" s="13"/>
      <c r="B6190" s="13"/>
      <c r="C6190" s="13"/>
      <c r="D6190" s="13"/>
    </row>
    <row r="6191" spans="1:4">
      <c r="A6191" s="13"/>
      <c r="B6191" s="13"/>
      <c r="C6191" s="13"/>
      <c r="D6191" s="13"/>
    </row>
    <row r="6192" spans="1:4">
      <c r="A6192" s="13"/>
      <c r="B6192" s="13"/>
      <c r="C6192" s="13"/>
      <c r="D6192" s="13"/>
    </row>
    <row r="6193" spans="1:4">
      <c r="A6193" s="13"/>
      <c r="B6193" s="13"/>
      <c r="C6193" s="13"/>
      <c r="D6193" s="13"/>
    </row>
    <row r="6194" spans="1:4">
      <c r="A6194" s="13"/>
      <c r="B6194" s="13"/>
      <c r="C6194" s="13"/>
      <c r="D6194" s="13"/>
    </row>
    <row r="6195" spans="1:4">
      <c r="A6195" s="13"/>
      <c r="B6195" s="13"/>
      <c r="C6195" s="13"/>
      <c r="D6195" s="13"/>
    </row>
    <row r="6196" spans="1:4">
      <c r="A6196" s="13"/>
      <c r="B6196" s="13"/>
      <c r="C6196" s="13"/>
      <c r="D6196" s="13"/>
    </row>
    <row r="6197" spans="1:4">
      <c r="A6197" s="13"/>
      <c r="B6197" s="13"/>
      <c r="C6197" s="13"/>
      <c r="D6197" s="13"/>
    </row>
    <row r="6198" spans="1:4">
      <c r="A6198" s="13"/>
      <c r="B6198" s="13"/>
      <c r="C6198" s="13"/>
      <c r="D6198" s="13"/>
    </row>
    <row r="6199" spans="1:4">
      <c r="A6199" s="13"/>
      <c r="B6199" s="13"/>
      <c r="C6199" s="13"/>
      <c r="D6199" s="13"/>
    </row>
    <row r="6200" spans="1:4">
      <c r="A6200" s="13"/>
      <c r="B6200" s="13"/>
      <c r="C6200" s="13"/>
      <c r="D6200" s="13"/>
    </row>
    <row r="6201" spans="1:4">
      <c r="A6201" s="13"/>
      <c r="B6201" s="13"/>
      <c r="C6201" s="13"/>
      <c r="D6201" s="13"/>
    </row>
    <row r="6202" spans="1:4">
      <c r="A6202" s="13"/>
      <c r="B6202" s="13"/>
      <c r="C6202" s="13"/>
      <c r="D6202" s="13"/>
    </row>
    <row r="6203" spans="1:4">
      <c r="A6203" s="13"/>
      <c r="B6203" s="13"/>
      <c r="C6203" s="13"/>
      <c r="D6203" s="13"/>
    </row>
    <row r="6204" spans="1:4">
      <c r="A6204" s="13"/>
      <c r="B6204" s="13"/>
      <c r="C6204" s="13"/>
      <c r="D6204" s="13"/>
    </row>
    <row r="6205" spans="1:4">
      <c r="A6205" s="13"/>
      <c r="B6205" s="13"/>
      <c r="C6205" s="13"/>
      <c r="D6205" s="13"/>
    </row>
    <row r="6206" spans="1:4">
      <c r="A6206" s="13"/>
      <c r="B6206" s="13"/>
      <c r="C6206" s="13"/>
      <c r="D6206" s="13"/>
    </row>
    <row r="6207" spans="1:4">
      <c r="A6207" s="13"/>
      <c r="B6207" s="13"/>
      <c r="C6207" s="13"/>
      <c r="D6207" s="13"/>
    </row>
    <row r="6208" spans="1:4">
      <c r="A6208" s="13"/>
      <c r="B6208" s="13"/>
      <c r="C6208" s="13"/>
      <c r="D6208" s="13"/>
    </row>
    <row r="6209" spans="1:4">
      <c r="A6209" s="13"/>
      <c r="B6209" s="13"/>
      <c r="C6209" s="13"/>
      <c r="D6209" s="13"/>
    </row>
    <row r="6210" spans="1:4">
      <c r="A6210" s="13"/>
      <c r="B6210" s="13"/>
      <c r="C6210" s="13"/>
      <c r="D6210" s="13"/>
    </row>
    <row r="6211" spans="1:4">
      <c r="A6211" s="13"/>
      <c r="B6211" s="13"/>
      <c r="C6211" s="13"/>
      <c r="D6211" s="13"/>
    </row>
    <row r="6212" spans="1:4">
      <c r="A6212" s="13"/>
      <c r="B6212" s="13"/>
      <c r="C6212" s="13"/>
      <c r="D6212" s="13"/>
    </row>
    <row r="6213" spans="1:4">
      <c r="A6213" s="13"/>
      <c r="B6213" s="13"/>
      <c r="C6213" s="13"/>
      <c r="D6213" s="13"/>
    </row>
    <row r="6214" spans="1:4">
      <c r="A6214" s="13"/>
      <c r="B6214" s="13"/>
      <c r="C6214" s="13"/>
      <c r="D6214" s="13"/>
    </row>
    <row r="6215" spans="1:4">
      <c r="A6215" s="13"/>
      <c r="B6215" s="13"/>
      <c r="C6215" s="13"/>
      <c r="D6215" s="13"/>
    </row>
    <row r="6216" spans="1:4">
      <c r="A6216" s="13"/>
      <c r="B6216" s="13"/>
      <c r="C6216" s="13"/>
      <c r="D6216" s="13"/>
    </row>
    <row r="6217" spans="1:4">
      <c r="A6217" s="13"/>
      <c r="B6217" s="13"/>
      <c r="C6217" s="13"/>
      <c r="D6217" s="13"/>
    </row>
    <row r="6218" spans="1:4">
      <c r="A6218" s="13"/>
      <c r="B6218" s="13"/>
      <c r="C6218" s="13"/>
      <c r="D6218" s="13"/>
    </row>
    <row r="6219" spans="1:4">
      <c r="A6219" s="13"/>
      <c r="B6219" s="13"/>
      <c r="C6219" s="13"/>
      <c r="D6219" s="13"/>
    </row>
    <row r="6220" spans="1:4">
      <c r="A6220" s="13"/>
      <c r="B6220" s="13"/>
      <c r="C6220" s="13"/>
      <c r="D6220" s="13"/>
    </row>
    <row r="6221" spans="1:4">
      <c r="A6221" s="13"/>
      <c r="B6221" s="13"/>
      <c r="C6221" s="13"/>
      <c r="D6221" s="13"/>
    </row>
    <row r="6222" spans="1:4">
      <c r="A6222" s="13"/>
      <c r="B6222" s="13"/>
      <c r="C6222" s="13"/>
      <c r="D6222" s="13"/>
    </row>
    <row r="6223" spans="1:4">
      <c r="A6223" s="13"/>
      <c r="B6223" s="13"/>
      <c r="C6223" s="13"/>
      <c r="D6223" s="13"/>
    </row>
    <row r="6224" spans="1:4">
      <c r="A6224" s="13"/>
      <c r="B6224" s="13"/>
      <c r="C6224" s="13"/>
      <c r="D6224" s="13"/>
    </row>
    <row r="6225" spans="1:4">
      <c r="A6225" s="13"/>
      <c r="B6225" s="13"/>
      <c r="C6225" s="13"/>
      <c r="D6225" s="13"/>
    </row>
    <row r="6226" spans="1:4">
      <c r="A6226" s="13"/>
      <c r="B6226" s="13"/>
      <c r="C6226" s="13"/>
      <c r="D6226" s="13"/>
    </row>
    <row r="6227" spans="1:4">
      <c r="A6227" s="13"/>
      <c r="B6227" s="13"/>
      <c r="C6227" s="13"/>
      <c r="D6227" s="13"/>
    </row>
    <row r="6228" spans="1:4">
      <c r="A6228" s="13"/>
      <c r="B6228" s="13"/>
      <c r="C6228" s="13"/>
      <c r="D6228" s="13"/>
    </row>
    <row r="6229" spans="1:4">
      <c r="A6229" s="13"/>
      <c r="B6229" s="13"/>
      <c r="C6229" s="13"/>
      <c r="D6229" s="13"/>
    </row>
    <row r="6230" spans="1:4">
      <c r="A6230" s="13"/>
      <c r="B6230" s="13"/>
      <c r="C6230" s="13"/>
      <c r="D6230" s="13"/>
    </row>
    <row r="6231" spans="1:4">
      <c r="A6231" s="13"/>
      <c r="B6231" s="13"/>
      <c r="C6231" s="13"/>
      <c r="D6231" s="13"/>
    </row>
    <row r="6232" spans="1:4">
      <c r="A6232" s="13"/>
      <c r="B6232" s="13"/>
      <c r="C6232" s="13"/>
      <c r="D6232" s="13"/>
    </row>
    <row r="6233" spans="1:4">
      <c r="A6233" s="13"/>
      <c r="B6233" s="13"/>
      <c r="C6233" s="13"/>
      <c r="D6233" s="13"/>
    </row>
    <row r="6234" spans="1:4">
      <c r="A6234" s="13"/>
      <c r="B6234" s="13"/>
      <c r="C6234" s="13"/>
      <c r="D6234" s="13"/>
    </row>
    <row r="6235" spans="1:4">
      <c r="A6235" s="13"/>
      <c r="B6235" s="13"/>
      <c r="C6235" s="13"/>
      <c r="D6235" s="13"/>
    </row>
    <row r="6236" spans="1:4">
      <c r="A6236" s="13"/>
      <c r="B6236" s="13"/>
      <c r="C6236" s="13"/>
      <c r="D6236" s="13"/>
    </row>
    <row r="6237" spans="1:4">
      <c r="A6237" s="13"/>
      <c r="B6237" s="13"/>
      <c r="C6237" s="13"/>
      <c r="D6237" s="13"/>
    </row>
    <row r="6238" spans="1:4">
      <c r="A6238" s="13"/>
      <c r="B6238" s="13"/>
      <c r="C6238" s="13"/>
      <c r="D6238" s="13"/>
    </row>
    <row r="6239" spans="1:4">
      <c r="A6239" s="13"/>
      <c r="B6239" s="13"/>
      <c r="C6239" s="13"/>
      <c r="D6239" s="13"/>
    </row>
    <row r="6240" spans="1:4">
      <c r="A6240" s="13"/>
      <c r="B6240" s="13"/>
      <c r="C6240" s="13"/>
      <c r="D6240" s="13"/>
    </row>
    <row r="6241" spans="1:4">
      <c r="A6241" s="13"/>
      <c r="B6241" s="13"/>
      <c r="C6241" s="13"/>
      <c r="D6241" s="13"/>
    </row>
    <row r="6242" spans="1:4">
      <c r="A6242" s="13"/>
      <c r="B6242" s="13"/>
      <c r="C6242" s="13"/>
      <c r="D6242" s="13"/>
    </row>
    <row r="6243" spans="1:4">
      <c r="A6243" s="13"/>
      <c r="B6243" s="13"/>
      <c r="C6243" s="13"/>
      <c r="D6243" s="13"/>
    </row>
    <row r="6244" spans="1:4">
      <c r="A6244" s="13"/>
      <c r="B6244" s="13"/>
      <c r="C6244" s="13"/>
      <c r="D6244" s="13"/>
    </row>
    <row r="6245" spans="1:4">
      <c r="A6245" s="13"/>
      <c r="B6245" s="13"/>
      <c r="C6245" s="13"/>
      <c r="D6245" s="13"/>
    </row>
    <row r="6246" spans="1:4">
      <c r="A6246" s="13"/>
      <c r="B6246" s="13"/>
      <c r="C6246" s="13"/>
      <c r="D6246" s="13"/>
    </row>
    <row r="6247" spans="1:4">
      <c r="A6247" s="13"/>
      <c r="B6247" s="13"/>
      <c r="C6247" s="13"/>
      <c r="D6247" s="13"/>
    </row>
    <row r="6248" spans="1:4">
      <c r="A6248" s="13"/>
      <c r="B6248" s="13"/>
      <c r="C6248" s="13"/>
      <c r="D6248" s="13"/>
    </row>
    <row r="6249" spans="1:4">
      <c r="A6249" s="13"/>
      <c r="B6249" s="13"/>
      <c r="C6249" s="13"/>
      <c r="D6249" s="13"/>
    </row>
    <row r="6250" spans="1:4">
      <c r="A6250" s="13"/>
      <c r="B6250" s="13"/>
      <c r="C6250" s="13"/>
      <c r="D6250" s="13"/>
    </row>
    <row r="6251" spans="1:4">
      <c r="A6251" s="13"/>
      <c r="B6251" s="13"/>
      <c r="C6251" s="13"/>
      <c r="D6251" s="13"/>
    </row>
    <row r="6252" spans="1:4">
      <c r="A6252" s="13"/>
      <c r="B6252" s="13"/>
      <c r="C6252" s="13"/>
      <c r="D6252" s="13"/>
    </row>
    <row r="6253" spans="1:4">
      <c r="A6253" s="13"/>
      <c r="B6253" s="13"/>
      <c r="C6253" s="13"/>
      <c r="D6253" s="13"/>
    </row>
    <row r="6254" spans="1:4">
      <c r="A6254" s="13"/>
      <c r="B6254" s="13"/>
      <c r="C6254" s="13"/>
      <c r="D6254" s="13"/>
    </row>
    <row r="6255" spans="1:4">
      <c r="A6255" s="13"/>
      <c r="B6255" s="13"/>
      <c r="C6255" s="13"/>
      <c r="D6255" s="13"/>
    </row>
    <row r="6256" spans="1:4">
      <c r="A6256" s="13"/>
      <c r="B6256" s="13"/>
      <c r="C6256" s="13"/>
      <c r="D6256" s="13"/>
    </row>
    <row r="6257" spans="1:4">
      <c r="A6257" s="13"/>
      <c r="B6257" s="13"/>
      <c r="C6257" s="13"/>
      <c r="D6257" s="13"/>
    </row>
    <row r="6258" spans="1:4">
      <c r="A6258" s="13"/>
      <c r="B6258" s="13"/>
      <c r="C6258" s="13"/>
      <c r="D6258" s="13"/>
    </row>
    <row r="6259" spans="1:4">
      <c r="A6259" s="13"/>
      <c r="B6259" s="13"/>
      <c r="C6259" s="13"/>
      <c r="D6259" s="13"/>
    </row>
    <row r="6260" spans="1:4">
      <c r="A6260" s="13"/>
      <c r="B6260" s="13"/>
      <c r="C6260" s="13"/>
      <c r="D6260" s="13"/>
    </row>
    <row r="6261" spans="1:4">
      <c r="A6261" s="13"/>
      <c r="B6261" s="13"/>
      <c r="C6261" s="13"/>
      <c r="D6261" s="13"/>
    </row>
    <row r="6262" spans="1:4">
      <c r="A6262" s="13"/>
      <c r="B6262" s="13"/>
      <c r="C6262" s="13"/>
      <c r="D6262" s="13"/>
    </row>
    <row r="6263" spans="1:4">
      <c r="A6263" s="13"/>
      <c r="B6263" s="13"/>
      <c r="C6263" s="13"/>
      <c r="D6263" s="13"/>
    </row>
    <row r="6264" spans="1:4">
      <c r="A6264" s="13"/>
      <c r="B6264" s="13"/>
      <c r="C6264" s="13"/>
      <c r="D6264" s="13"/>
    </row>
    <row r="6265" spans="1:4">
      <c r="A6265" s="13"/>
      <c r="B6265" s="13"/>
      <c r="C6265" s="13"/>
      <c r="D6265" s="13"/>
    </row>
    <row r="6266" spans="1:4">
      <c r="A6266" s="13"/>
      <c r="B6266" s="13"/>
      <c r="C6266" s="13"/>
      <c r="D6266" s="13"/>
    </row>
    <row r="6267" spans="1:4">
      <c r="A6267" s="13"/>
      <c r="B6267" s="13"/>
      <c r="C6267" s="13"/>
      <c r="D6267" s="13"/>
    </row>
    <row r="6268" spans="1:4">
      <c r="A6268" s="13"/>
      <c r="B6268" s="13"/>
      <c r="C6268" s="13"/>
      <c r="D6268" s="13"/>
    </row>
    <row r="6269" spans="1:4">
      <c r="A6269" s="13"/>
      <c r="B6269" s="13"/>
      <c r="C6269" s="13"/>
      <c r="D6269" s="13"/>
    </row>
    <row r="6270" spans="1:4">
      <c r="A6270" s="13"/>
      <c r="B6270" s="13"/>
      <c r="C6270" s="13"/>
      <c r="D6270" s="13"/>
    </row>
    <row r="6271" spans="1:4">
      <c r="A6271" s="13"/>
      <c r="B6271" s="13"/>
      <c r="C6271" s="13"/>
      <c r="D6271" s="13"/>
    </row>
    <row r="6272" spans="1:4">
      <c r="A6272" s="13"/>
      <c r="B6272" s="13"/>
      <c r="C6272" s="13"/>
      <c r="D6272" s="13"/>
    </row>
    <row r="6273" spans="1:4">
      <c r="A6273" s="13"/>
      <c r="B6273" s="13"/>
      <c r="C6273" s="13"/>
      <c r="D6273" s="13"/>
    </row>
    <row r="6274" spans="1:4">
      <c r="A6274" s="13"/>
      <c r="B6274" s="13"/>
      <c r="C6274" s="13"/>
      <c r="D6274" s="13"/>
    </row>
    <row r="6275" spans="1:4">
      <c r="A6275" s="13"/>
      <c r="B6275" s="13"/>
      <c r="C6275" s="13"/>
      <c r="D6275" s="13"/>
    </row>
    <row r="6276" spans="1:4">
      <c r="A6276" s="13"/>
      <c r="B6276" s="13"/>
      <c r="C6276" s="13"/>
      <c r="D6276" s="13"/>
    </row>
    <row r="6277" spans="1:4">
      <c r="A6277" s="13"/>
      <c r="B6277" s="13"/>
      <c r="C6277" s="13"/>
      <c r="D6277" s="13"/>
    </row>
    <row r="6278" spans="1:4">
      <c r="A6278" s="13"/>
      <c r="B6278" s="13"/>
      <c r="C6278" s="13"/>
      <c r="D6278" s="13"/>
    </row>
    <row r="6279" spans="1:4">
      <c r="A6279" s="13"/>
      <c r="B6279" s="13"/>
      <c r="C6279" s="13"/>
      <c r="D6279" s="13"/>
    </row>
    <row r="6280" spans="1:4">
      <c r="A6280" s="13"/>
      <c r="B6280" s="13"/>
      <c r="C6280" s="13"/>
      <c r="D6280" s="13"/>
    </row>
    <row r="6281" spans="1:4">
      <c r="A6281" s="13"/>
      <c r="B6281" s="13"/>
      <c r="C6281" s="13"/>
      <c r="D6281" s="13"/>
    </row>
    <row r="6282" spans="1:4">
      <c r="A6282" s="13"/>
      <c r="B6282" s="13"/>
      <c r="C6282" s="13"/>
      <c r="D6282" s="13"/>
    </row>
    <row r="6283" spans="1:4">
      <c r="A6283" s="13"/>
      <c r="B6283" s="13"/>
      <c r="C6283" s="13"/>
      <c r="D6283" s="13"/>
    </row>
    <row r="6284" spans="1:4">
      <c r="A6284" s="13"/>
      <c r="B6284" s="13"/>
      <c r="C6284" s="13"/>
      <c r="D6284" s="13"/>
    </row>
    <row r="6285" spans="1:4">
      <c r="A6285" s="13"/>
      <c r="B6285" s="13"/>
      <c r="C6285" s="13"/>
      <c r="D6285" s="13"/>
    </row>
    <row r="6286" spans="1:4">
      <c r="A6286" s="13"/>
      <c r="B6286" s="13"/>
      <c r="C6286" s="13"/>
      <c r="D6286" s="13"/>
    </row>
    <row r="6287" spans="1:4">
      <c r="A6287" s="13"/>
      <c r="B6287" s="13"/>
      <c r="C6287" s="13"/>
      <c r="D6287" s="13"/>
    </row>
    <row r="6288" spans="1:4">
      <c r="A6288" s="13"/>
      <c r="B6288" s="13"/>
      <c r="C6288" s="13"/>
      <c r="D6288" s="13"/>
    </row>
    <row r="6289" spans="1:4">
      <c r="A6289" s="13"/>
      <c r="B6289" s="13"/>
      <c r="C6289" s="13"/>
      <c r="D6289" s="13"/>
    </row>
    <row r="6290" spans="1:4">
      <c r="A6290" s="13"/>
      <c r="B6290" s="13"/>
      <c r="C6290" s="13"/>
      <c r="D6290" s="13"/>
    </row>
    <row r="6291" spans="1:4">
      <c r="A6291" s="13"/>
      <c r="B6291" s="13"/>
      <c r="C6291" s="13"/>
      <c r="D6291" s="13"/>
    </row>
    <row r="6292" spans="1:4">
      <c r="A6292" s="13"/>
      <c r="B6292" s="13"/>
      <c r="C6292" s="13"/>
      <c r="D6292" s="13"/>
    </row>
    <row r="6293" spans="1:4">
      <c r="A6293" s="13"/>
      <c r="B6293" s="13"/>
      <c r="C6293" s="13"/>
      <c r="D6293" s="13"/>
    </row>
    <row r="6294" spans="1:4">
      <c r="A6294" s="13"/>
      <c r="B6294" s="13"/>
      <c r="C6294" s="13"/>
      <c r="D6294" s="13"/>
    </row>
    <row r="6295" spans="1:4">
      <c r="A6295" s="13"/>
      <c r="B6295" s="13"/>
      <c r="C6295" s="13"/>
      <c r="D6295" s="13"/>
    </row>
    <row r="6296" spans="1:4">
      <c r="A6296" s="13"/>
      <c r="B6296" s="13"/>
      <c r="C6296" s="13"/>
      <c r="D6296" s="13"/>
    </row>
    <row r="6297" spans="1:4">
      <c r="A6297" s="13"/>
      <c r="B6297" s="13"/>
      <c r="C6297" s="13"/>
      <c r="D6297" s="13"/>
    </row>
    <row r="6298" spans="1:4">
      <c r="A6298" s="13"/>
      <c r="B6298" s="13"/>
      <c r="C6298" s="13"/>
      <c r="D6298" s="13"/>
    </row>
    <row r="6299" spans="1:4">
      <c r="A6299" s="13"/>
      <c r="B6299" s="13"/>
      <c r="C6299" s="13"/>
      <c r="D6299" s="13"/>
    </row>
    <row r="6300" spans="1:4">
      <c r="A6300" s="13"/>
      <c r="B6300" s="13"/>
      <c r="C6300" s="13"/>
      <c r="D6300" s="13"/>
    </row>
    <row r="6301" spans="1:4">
      <c r="A6301" s="13"/>
      <c r="B6301" s="13"/>
      <c r="C6301" s="13"/>
      <c r="D6301" s="13"/>
    </row>
    <row r="6302" spans="1:4">
      <c r="A6302" s="13"/>
      <c r="B6302" s="13"/>
      <c r="C6302" s="13"/>
      <c r="D6302" s="13"/>
    </row>
    <row r="6303" spans="1:4">
      <c r="A6303" s="13"/>
      <c r="B6303" s="13"/>
      <c r="C6303" s="13"/>
      <c r="D6303" s="13"/>
    </row>
    <row r="6304" spans="1:4">
      <c r="A6304" s="13"/>
      <c r="B6304" s="13"/>
      <c r="C6304" s="13"/>
      <c r="D6304" s="13"/>
    </row>
    <row r="6305" spans="1:4">
      <c r="A6305" s="13"/>
      <c r="B6305" s="13"/>
      <c r="C6305" s="13"/>
      <c r="D6305" s="13"/>
    </row>
    <row r="6306" spans="1:4">
      <c r="A6306" s="13"/>
      <c r="B6306" s="13"/>
      <c r="C6306" s="13"/>
      <c r="D6306" s="13"/>
    </row>
    <row r="6307" spans="1:4">
      <c r="A6307" s="13"/>
      <c r="B6307" s="13"/>
      <c r="C6307" s="13"/>
      <c r="D6307" s="13"/>
    </row>
    <row r="6308" spans="1:4">
      <c r="A6308" s="13"/>
      <c r="B6308" s="13"/>
      <c r="C6308" s="13"/>
      <c r="D6308" s="13"/>
    </row>
    <row r="6309" spans="1:4">
      <c r="A6309" s="13"/>
      <c r="B6309" s="13"/>
      <c r="C6309" s="13"/>
      <c r="D6309" s="13"/>
    </row>
    <row r="6310" spans="1:4">
      <c r="A6310" s="13"/>
      <c r="B6310" s="13"/>
      <c r="C6310" s="13"/>
      <c r="D6310" s="13"/>
    </row>
    <row r="6311" spans="1:4">
      <c r="A6311" s="13"/>
      <c r="B6311" s="13"/>
      <c r="C6311" s="13"/>
      <c r="D6311" s="13"/>
    </row>
    <row r="6312" spans="1:4">
      <c r="A6312" s="13"/>
      <c r="B6312" s="13"/>
      <c r="C6312" s="13"/>
      <c r="D6312" s="13"/>
    </row>
    <row r="6313" spans="1:4">
      <c r="A6313" s="13"/>
      <c r="B6313" s="13"/>
      <c r="C6313" s="13"/>
      <c r="D6313" s="13"/>
    </row>
    <row r="6314" spans="1:4">
      <c r="A6314" s="13"/>
      <c r="B6314" s="13"/>
      <c r="C6314" s="13"/>
      <c r="D6314" s="13"/>
    </row>
    <row r="6315" spans="1:4">
      <c r="A6315" s="13"/>
      <c r="B6315" s="13"/>
      <c r="C6315" s="13"/>
      <c r="D6315" s="13"/>
    </row>
    <row r="6316" spans="1:4">
      <c r="A6316" s="13"/>
      <c r="B6316" s="13"/>
      <c r="C6316" s="13"/>
      <c r="D6316" s="13"/>
    </row>
    <row r="6317" spans="1:4">
      <c r="A6317" s="13"/>
      <c r="B6317" s="13"/>
      <c r="C6317" s="13"/>
      <c r="D6317" s="13"/>
    </row>
    <row r="6318" spans="1:4">
      <c r="A6318" s="13"/>
      <c r="B6318" s="13"/>
      <c r="C6318" s="13"/>
      <c r="D6318" s="13"/>
    </row>
    <row r="6319" spans="1:4">
      <c r="A6319" s="13"/>
      <c r="B6319" s="13"/>
      <c r="C6319" s="13"/>
      <c r="D6319" s="13"/>
    </row>
    <row r="6320" spans="1:4">
      <c r="A6320" s="13"/>
      <c r="B6320" s="13"/>
      <c r="C6320" s="13"/>
      <c r="D6320" s="13"/>
    </row>
    <row r="6321" spans="1:4">
      <c r="A6321" s="13"/>
      <c r="B6321" s="13"/>
      <c r="C6321" s="13"/>
      <c r="D6321" s="13"/>
    </row>
    <row r="6322" spans="1:4">
      <c r="A6322" s="13"/>
      <c r="B6322" s="13"/>
      <c r="C6322" s="13"/>
      <c r="D6322" s="13"/>
    </row>
    <row r="6323" spans="1:4">
      <c r="A6323" s="13"/>
      <c r="B6323" s="13"/>
      <c r="C6323" s="13"/>
      <c r="D6323" s="13"/>
    </row>
    <row r="6324" spans="1:4">
      <c r="A6324" s="13"/>
      <c r="B6324" s="13"/>
      <c r="C6324" s="13"/>
      <c r="D6324" s="13"/>
    </row>
    <row r="6325" spans="1:4">
      <c r="A6325" s="13"/>
      <c r="B6325" s="13"/>
      <c r="C6325" s="13"/>
      <c r="D6325" s="13"/>
    </row>
    <row r="6326" spans="1:4">
      <c r="A6326" s="13"/>
      <c r="B6326" s="13"/>
      <c r="C6326" s="13"/>
      <c r="D6326" s="13"/>
    </row>
    <row r="6327" spans="1:4">
      <c r="A6327" s="13"/>
      <c r="B6327" s="13"/>
      <c r="C6327" s="13"/>
      <c r="D6327" s="13"/>
    </row>
    <row r="6328" spans="1:4">
      <c r="A6328" s="13"/>
      <c r="B6328" s="13"/>
      <c r="C6328" s="13"/>
      <c r="D6328" s="13"/>
    </row>
    <row r="6329" spans="1:4">
      <c r="A6329" s="13"/>
      <c r="B6329" s="13"/>
      <c r="C6329" s="13"/>
      <c r="D6329" s="13"/>
    </row>
    <row r="6330" spans="1:4">
      <c r="A6330" s="13"/>
      <c r="B6330" s="13"/>
      <c r="C6330" s="13"/>
      <c r="D6330" s="13"/>
    </row>
    <row r="6331" spans="1:4">
      <c r="A6331" s="13"/>
      <c r="B6331" s="13"/>
      <c r="C6331" s="13"/>
      <c r="D6331" s="13"/>
    </row>
    <row r="6332" spans="1:4">
      <c r="A6332" s="13"/>
      <c r="B6332" s="13"/>
      <c r="C6332" s="13"/>
      <c r="D6332" s="13"/>
    </row>
    <row r="6333" spans="1:4">
      <c r="A6333" s="13"/>
      <c r="B6333" s="13"/>
      <c r="C6333" s="13"/>
      <c r="D6333" s="13"/>
    </row>
    <row r="6334" spans="1:4">
      <c r="A6334" s="13"/>
      <c r="B6334" s="13"/>
      <c r="C6334" s="13"/>
      <c r="D6334" s="13"/>
    </row>
    <row r="6335" spans="1:4">
      <c r="A6335" s="13"/>
      <c r="B6335" s="13"/>
      <c r="C6335" s="13"/>
      <c r="D6335" s="13"/>
    </row>
    <row r="6336" spans="1:4">
      <c r="A6336" s="13"/>
      <c r="B6336" s="13"/>
      <c r="C6336" s="13"/>
      <c r="D6336" s="13"/>
    </row>
    <row r="6337" spans="1:4">
      <c r="A6337" s="13"/>
      <c r="B6337" s="13"/>
      <c r="C6337" s="13"/>
      <c r="D6337" s="13"/>
    </row>
    <row r="6338" spans="1:4">
      <c r="A6338" s="13"/>
      <c r="B6338" s="13"/>
      <c r="C6338" s="13"/>
      <c r="D6338" s="13"/>
    </row>
    <row r="6339" spans="1:4">
      <c r="A6339" s="13"/>
      <c r="B6339" s="13"/>
      <c r="C6339" s="13"/>
      <c r="D6339" s="13"/>
    </row>
    <row r="6340" spans="1:4">
      <c r="A6340" s="13"/>
      <c r="B6340" s="13"/>
      <c r="C6340" s="13"/>
      <c r="D6340" s="13"/>
    </row>
    <row r="6341" spans="1:4">
      <c r="A6341" s="13"/>
      <c r="B6341" s="13"/>
      <c r="C6341" s="13"/>
      <c r="D6341" s="13"/>
    </row>
    <row r="6342" spans="1:4">
      <c r="A6342" s="13"/>
      <c r="B6342" s="13"/>
      <c r="C6342" s="13"/>
      <c r="D6342" s="13"/>
    </row>
    <row r="6343" spans="1:4">
      <c r="A6343" s="13"/>
      <c r="B6343" s="13"/>
      <c r="C6343" s="13"/>
      <c r="D6343" s="13"/>
    </row>
    <row r="6344" spans="1:4">
      <c r="A6344" s="13"/>
      <c r="B6344" s="13"/>
      <c r="C6344" s="13"/>
      <c r="D6344" s="13"/>
    </row>
    <row r="6345" spans="1:4">
      <c r="A6345" s="13"/>
      <c r="B6345" s="13"/>
      <c r="C6345" s="13"/>
      <c r="D6345" s="13"/>
    </row>
    <row r="6346" spans="1:4">
      <c r="A6346" s="13"/>
      <c r="B6346" s="13"/>
      <c r="C6346" s="13"/>
      <c r="D6346" s="13"/>
    </row>
    <row r="6347" spans="1:4">
      <c r="A6347" s="13"/>
      <c r="B6347" s="13"/>
      <c r="C6347" s="13"/>
      <c r="D6347" s="13"/>
    </row>
    <row r="6348" spans="1:4">
      <c r="A6348" s="13"/>
      <c r="B6348" s="13"/>
      <c r="C6348" s="13"/>
      <c r="D6348" s="13"/>
    </row>
    <row r="6349" spans="1:4">
      <c r="A6349" s="13"/>
      <c r="B6349" s="13"/>
      <c r="C6349" s="13"/>
      <c r="D6349" s="13"/>
    </row>
    <row r="6350" spans="1:4">
      <c r="A6350" s="13"/>
      <c r="B6350" s="13"/>
      <c r="C6350" s="13"/>
      <c r="D6350" s="13"/>
    </row>
    <row r="6351" spans="1:4">
      <c r="A6351" s="13"/>
      <c r="B6351" s="13"/>
      <c r="C6351" s="13"/>
      <c r="D6351" s="13"/>
    </row>
    <row r="6352" spans="1:4">
      <c r="A6352" s="13"/>
      <c r="B6352" s="13"/>
      <c r="C6352" s="13"/>
      <c r="D6352" s="13"/>
    </row>
    <row r="6353" spans="1:4">
      <c r="A6353" s="13"/>
      <c r="B6353" s="13"/>
      <c r="C6353" s="13"/>
      <c r="D6353" s="13"/>
    </row>
    <row r="6354" spans="1:4">
      <c r="A6354" s="13"/>
      <c r="B6354" s="13"/>
      <c r="C6354" s="13"/>
      <c r="D6354" s="13"/>
    </row>
    <row r="6355" spans="1:4">
      <c r="A6355" s="13"/>
      <c r="B6355" s="13"/>
      <c r="C6355" s="13"/>
      <c r="D6355" s="13"/>
    </row>
    <row r="6356" spans="1:4">
      <c r="A6356" s="13"/>
      <c r="B6356" s="13"/>
      <c r="C6356" s="13"/>
      <c r="D6356" s="13"/>
    </row>
    <row r="6357" spans="1:4">
      <c r="A6357" s="13"/>
      <c r="B6357" s="13"/>
      <c r="C6357" s="13"/>
      <c r="D6357" s="13"/>
    </row>
    <row r="6358" spans="1:4">
      <c r="A6358" s="13"/>
      <c r="B6358" s="13"/>
      <c r="C6358" s="13"/>
      <c r="D6358" s="13"/>
    </row>
    <row r="6359" spans="1:4">
      <c r="A6359" s="13"/>
      <c r="B6359" s="13"/>
      <c r="C6359" s="13"/>
      <c r="D6359" s="13"/>
    </row>
    <row r="6360" spans="1:4">
      <c r="A6360" s="13"/>
      <c r="B6360" s="13"/>
      <c r="C6360" s="13"/>
      <c r="D6360" s="13"/>
    </row>
    <row r="6361" spans="1:4">
      <c r="A6361" s="13"/>
      <c r="B6361" s="13"/>
      <c r="C6361" s="13"/>
      <c r="D6361" s="13"/>
    </row>
    <row r="6362" spans="1:4">
      <c r="A6362" s="13"/>
      <c r="B6362" s="13"/>
      <c r="C6362" s="13"/>
      <c r="D6362" s="13"/>
    </row>
    <row r="6363" spans="1:4">
      <c r="A6363" s="13"/>
      <c r="B6363" s="13"/>
      <c r="C6363" s="13"/>
      <c r="D6363" s="13"/>
    </row>
    <row r="6364" spans="1:4">
      <c r="A6364" s="13"/>
      <c r="B6364" s="13"/>
      <c r="C6364" s="13"/>
      <c r="D6364" s="13"/>
    </row>
    <row r="6365" spans="1:4">
      <c r="A6365" s="13"/>
      <c r="B6365" s="13"/>
      <c r="C6365" s="13"/>
      <c r="D6365" s="13"/>
    </row>
    <row r="6366" spans="1:4">
      <c r="A6366" s="13"/>
      <c r="B6366" s="13"/>
      <c r="C6366" s="13"/>
      <c r="D6366" s="13"/>
    </row>
    <row r="6367" spans="1:4">
      <c r="A6367" s="13"/>
      <c r="B6367" s="13"/>
      <c r="C6367" s="13"/>
      <c r="D6367" s="13"/>
    </row>
    <row r="6368" spans="1:4">
      <c r="A6368" s="13"/>
      <c r="B6368" s="13"/>
      <c r="C6368" s="13"/>
      <c r="D6368" s="13"/>
    </row>
    <row r="6369" spans="1:4">
      <c r="A6369" s="13"/>
      <c r="B6369" s="13"/>
      <c r="C6369" s="13"/>
      <c r="D6369" s="13"/>
    </row>
    <row r="6370" spans="1:4">
      <c r="A6370" s="13"/>
      <c r="B6370" s="13"/>
      <c r="C6370" s="13"/>
      <c r="D6370" s="13"/>
    </row>
    <row r="6371" spans="1:4">
      <c r="A6371" s="13"/>
      <c r="B6371" s="13"/>
      <c r="C6371" s="13"/>
      <c r="D6371" s="13"/>
    </row>
    <row r="6372" spans="1:4">
      <c r="A6372" s="13"/>
      <c r="B6372" s="13"/>
      <c r="C6372" s="13"/>
      <c r="D6372" s="13"/>
    </row>
    <row r="6373" spans="1:4">
      <c r="A6373" s="13"/>
      <c r="B6373" s="13"/>
      <c r="C6373" s="13"/>
      <c r="D6373" s="13"/>
    </row>
    <row r="6374" spans="1:4">
      <c r="A6374" s="13"/>
      <c r="B6374" s="13"/>
      <c r="C6374" s="13"/>
      <c r="D6374" s="13"/>
    </row>
    <row r="6375" spans="1:4">
      <c r="A6375" s="13"/>
      <c r="B6375" s="13"/>
      <c r="C6375" s="13"/>
      <c r="D6375" s="13"/>
    </row>
    <row r="6376" spans="1:4">
      <c r="A6376" s="13"/>
      <c r="B6376" s="13"/>
      <c r="C6376" s="13"/>
      <c r="D6376" s="13"/>
    </row>
    <row r="6377" spans="1:4">
      <c r="A6377" s="13"/>
      <c r="B6377" s="13"/>
      <c r="C6377" s="13"/>
      <c r="D6377" s="13"/>
    </row>
    <row r="6378" spans="1:4">
      <c r="A6378" s="13"/>
      <c r="B6378" s="13"/>
      <c r="C6378" s="13"/>
      <c r="D6378" s="13"/>
    </row>
    <row r="6379" spans="1:4">
      <c r="A6379" s="13"/>
      <c r="B6379" s="13"/>
      <c r="C6379" s="13"/>
      <c r="D6379" s="13"/>
    </row>
    <row r="6380" spans="1:4">
      <c r="A6380" s="13"/>
      <c r="B6380" s="13"/>
      <c r="C6380" s="13"/>
      <c r="D6380" s="13"/>
    </row>
    <row r="6381" spans="1:4">
      <c r="A6381" s="13"/>
      <c r="B6381" s="13"/>
      <c r="C6381" s="13"/>
      <c r="D6381" s="13"/>
    </row>
    <row r="6382" spans="1:4">
      <c r="A6382" s="13"/>
      <c r="B6382" s="13"/>
      <c r="C6382" s="13"/>
      <c r="D6382" s="13"/>
    </row>
    <row r="6383" spans="1:4">
      <c r="A6383" s="13"/>
      <c r="B6383" s="13"/>
      <c r="C6383" s="13"/>
      <c r="D6383" s="13"/>
    </row>
    <row r="6384" spans="1:4">
      <c r="A6384" s="13"/>
      <c r="B6384" s="13"/>
      <c r="C6384" s="13"/>
      <c r="D6384" s="13"/>
    </row>
    <row r="6385" spans="1:4">
      <c r="A6385" s="13"/>
      <c r="B6385" s="13"/>
      <c r="C6385" s="13"/>
      <c r="D6385" s="13"/>
    </row>
    <row r="6386" spans="1:4">
      <c r="A6386" s="13"/>
      <c r="B6386" s="13"/>
      <c r="C6386" s="13"/>
      <c r="D6386" s="13"/>
    </row>
    <row r="6387" spans="1:4">
      <c r="A6387" s="13"/>
      <c r="B6387" s="13"/>
      <c r="C6387" s="13"/>
      <c r="D6387" s="13"/>
    </row>
    <row r="6388" spans="1:4">
      <c r="A6388" s="13"/>
      <c r="B6388" s="13"/>
      <c r="C6388" s="13"/>
      <c r="D6388" s="13"/>
    </row>
    <row r="6389" spans="1:4">
      <c r="A6389" s="13"/>
      <c r="B6389" s="13"/>
      <c r="C6389" s="13"/>
      <c r="D6389" s="13"/>
    </row>
    <row r="6390" spans="1:4">
      <c r="A6390" s="13"/>
      <c r="B6390" s="13"/>
      <c r="C6390" s="13"/>
      <c r="D6390" s="13"/>
    </row>
    <row r="6391" spans="1:4">
      <c r="A6391" s="13"/>
      <c r="B6391" s="13"/>
      <c r="C6391" s="13"/>
      <c r="D6391" s="13"/>
    </row>
    <row r="6392" spans="1:4">
      <c r="A6392" s="13"/>
      <c r="B6392" s="13"/>
      <c r="C6392" s="13"/>
      <c r="D6392" s="13"/>
    </row>
    <row r="6393" spans="1:4">
      <c r="A6393" s="13"/>
      <c r="B6393" s="13"/>
      <c r="C6393" s="13"/>
      <c r="D6393" s="13"/>
    </row>
    <row r="6394" spans="1:4">
      <c r="A6394" s="13"/>
      <c r="B6394" s="13"/>
      <c r="C6394" s="13"/>
      <c r="D6394" s="13"/>
    </row>
    <row r="6395" spans="1:4">
      <c r="A6395" s="13"/>
      <c r="B6395" s="13"/>
      <c r="C6395" s="13"/>
      <c r="D6395" s="13"/>
    </row>
    <row r="6396" spans="1:4">
      <c r="A6396" s="13"/>
      <c r="B6396" s="13"/>
      <c r="C6396" s="13"/>
      <c r="D6396" s="13"/>
    </row>
    <row r="6397" spans="1:4">
      <c r="A6397" s="13"/>
      <c r="B6397" s="13"/>
      <c r="C6397" s="13"/>
      <c r="D6397" s="13"/>
    </row>
    <row r="6398" spans="1:4">
      <c r="A6398" s="13"/>
      <c r="B6398" s="13"/>
      <c r="C6398" s="13"/>
      <c r="D6398" s="13"/>
    </row>
    <row r="6399" spans="1:4">
      <c r="A6399" s="13"/>
      <c r="B6399" s="13"/>
      <c r="C6399" s="13"/>
      <c r="D6399" s="13"/>
    </row>
    <row r="6400" spans="1:4">
      <c r="A6400" s="13"/>
      <c r="B6400" s="13"/>
      <c r="C6400" s="13"/>
      <c r="D6400" s="13"/>
    </row>
    <row r="6401" spans="1:4">
      <c r="A6401" s="13"/>
      <c r="B6401" s="13"/>
      <c r="C6401" s="13"/>
      <c r="D6401" s="13"/>
    </row>
    <row r="6402" spans="1:4">
      <c r="A6402" s="13"/>
      <c r="B6402" s="13"/>
      <c r="C6402" s="13"/>
      <c r="D6402" s="13"/>
    </row>
    <row r="6403" spans="1:4">
      <c r="A6403" s="13"/>
      <c r="B6403" s="13"/>
      <c r="C6403" s="13"/>
      <c r="D6403" s="13"/>
    </row>
    <row r="6404" spans="1:4">
      <c r="A6404" s="13"/>
      <c r="B6404" s="13"/>
      <c r="C6404" s="13"/>
      <c r="D6404" s="13"/>
    </row>
    <row r="6405" spans="1:4">
      <c r="A6405" s="13"/>
      <c r="B6405" s="13"/>
      <c r="C6405" s="13"/>
      <c r="D6405" s="13"/>
    </row>
    <row r="6406" spans="1:4">
      <c r="A6406" s="13"/>
      <c r="B6406" s="13"/>
      <c r="C6406" s="13"/>
      <c r="D6406" s="13"/>
    </row>
    <row r="6407" spans="1:4">
      <c r="A6407" s="13"/>
      <c r="B6407" s="13"/>
      <c r="C6407" s="13"/>
      <c r="D6407" s="13"/>
    </row>
    <row r="6408" spans="1:4">
      <c r="A6408" s="13"/>
      <c r="B6408" s="13"/>
      <c r="C6408" s="13"/>
      <c r="D6408" s="13"/>
    </row>
    <row r="6409" spans="1:4">
      <c r="A6409" s="13"/>
      <c r="B6409" s="13"/>
      <c r="C6409" s="13"/>
      <c r="D6409" s="13"/>
    </row>
    <row r="6410" spans="1:4">
      <c r="A6410" s="13"/>
      <c r="B6410" s="13"/>
      <c r="C6410" s="13"/>
      <c r="D6410" s="13"/>
    </row>
    <row r="6411" spans="1:4">
      <c r="A6411" s="13"/>
      <c r="B6411" s="13"/>
      <c r="C6411" s="13"/>
      <c r="D6411" s="13"/>
    </row>
    <row r="6412" spans="1:4">
      <c r="A6412" s="13"/>
      <c r="B6412" s="13"/>
      <c r="C6412" s="13"/>
      <c r="D6412" s="13"/>
    </row>
    <row r="6413" spans="1:4">
      <c r="A6413" s="13"/>
      <c r="B6413" s="13"/>
      <c r="C6413" s="13"/>
      <c r="D6413" s="13"/>
    </row>
    <row r="6414" spans="1:4">
      <c r="A6414" s="13"/>
      <c r="B6414" s="13"/>
      <c r="C6414" s="13"/>
      <c r="D6414" s="13"/>
    </row>
    <row r="6415" spans="1:4">
      <c r="A6415" s="13"/>
      <c r="B6415" s="13"/>
      <c r="C6415" s="13"/>
      <c r="D6415" s="13"/>
    </row>
    <row r="6416" spans="1:4">
      <c r="A6416" s="13"/>
      <c r="B6416" s="13"/>
      <c r="C6416" s="13"/>
      <c r="D6416" s="13"/>
    </row>
    <row r="6417" spans="1:4">
      <c r="A6417" s="13"/>
      <c r="B6417" s="13"/>
      <c r="C6417" s="13"/>
      <c r="D6417" s="13"/>
    </row>
    <row r="6418" spans="1:4">
      <c r="A6418" s="13"/>
      <c r="B6418" s="13"/>
      <c r="C6418" s="13"/>
      <c r="D6418" s="13"/>
    </row>
    <row r="6419" spans="1:4">
      <c r="A6419" s="13"/>
      <c r="B6419" s="13"/>
      <c r="C6419" s="13"/>
      <c r="D6419" s="13"/>
    </row>
    <row r="6420" spans="1:4">
      <c r="A6420" s="13"/>
      <c r="B6420" s="13"/>
      <c r="C6420" s="13"/>
      <c r="D6420" s="13"/>
    </row>
    <row r="6421" spans="1:4">
      <c r="A6421" s="13"/>
      <c r="B6421" s="13"/>
      <c r="C6421" s="13"/>
      <c r="D6421" s="13"/>
    </row>
    <row r="6422" spans="1:4">
      <c r="A6422" s="13"/>
      <c r="B6422" s="13"/>
      <c r="C6422" s="13"/>
      <c r="D6422" s="13"/>
    </row>
    <row r="6423" spans="1:4">
      <c r="A6423" s="13"/>
      <c r="B6423" s="13"/>
      <c r="C6423" s="13"/>
      <c r="D6423" s="13"/>
    </row>
    <row r="6424" spans="1:4">
      <c r="A6424" s="13"/>
      <c r="B6424" s="13"/>
      <c r="C6424" s="13"/>
      <c r="D6424" s="13"/>
    </row>
    <row r="6425" spans="1:4">
      <c r="A6425" s="13"/>
      <c r="B6425" s="13"/>
      <c r="C6425" s="13"/>
      <c r="D6425" s="13"/>
    </row>
    <row r="6426" spans="1:4">
      <c r="A6426" s="13"/>
      <c r="B6426" s="13"/>
      <c r="C6426" s="13"/>
      <c r="D6426" s="13"/>
    </row>
    <row r="6427" spans="1:4">
      <c r="A6427" s="13"/>
      <c r="B6427" s="13"/>
      <c r="C6427" s="13"/>
      <c r="D6427" s="13"/>
    </row>
    <row r="6428" spans="1:4">
      <c r="A6428" s="13"/>
      <c r="B6428" s="13"/>
      <c r="C6428" s="13"/>
      <c r="D6428" s="13"/>
    </row>
    <row r="6429" spans="1:4">
      <c r="A6429" s="13"/>
      <c r="B6429" s="13"/>
      <c r="C6429" s="13"/>
      <c r="D6429" s="13"/>
    </row>
    <row r="6430" spans="1:4">
      <c r="A6430" s="13"/>
      <c r="B6430" s="13"/>
      <c r="C6430" s="13"/>
      <c r="D6430" s="13"/>
    </row>
    <row r="6431" spans="1:4">
      <c r="A6431" s="13"/>
      <c r="B6431" s="13"/>
      <c r="C6431" s="13"/>
      <c r="D6431" s="13"/>
    </row>
    <row r="6432" spans="1:4">
      <c r="A6432" s="13"/>
      <c r="B6432" s="13"/>
      <c r="C6432" s="13"/>
      <c r="D6432" s="13"/>
    </row>
    <row r="6433" spans="1:4">
      <c r="A6433" s="13"/>
      <c r="B6433" s="13"/>
      <c r="C6433" s="13"/>
      <c r="D6433" s="13"/>
    </row>
    <row r="6434" spans="1:4">
      <c r="A6434" s="13"/>
      <c r="B6434" s="13"/>
      <c r="C6434" s="13"/>
      <c r="D6434" s="13"/>
    </row>
    <row r="6435" spans="1:4">
      <c r="A6435" s="13"/>
      <c r="B6435" s="13"/>
      <c r="C6435" s="13"/>
      <c r="D6435" s="13"/>
    </row>
    <row r="6436" spans="1:4">
      <c r="A6436" s="13"/>
      <c r="B6436" s="13"/>
      <c r="C6436" s="13"/>
      <c r="D6436" s="13"/>
    </row>
    <row r="6437" spans="1:4">
      <c r="A6437" s="13"/>
      <c r="B6437" s="13"/>
      <c r="C6437" s="13"/>
      <c r="D6437" s="13"/>
    </row>
    <row r="6438" spans="1:4">
      <c r="A6438" s="13"/>
      <c r="B6438" s="13"/>
      <c r="C6438" s="13"/>
      <c r="D6438" s="13"/>
    </row>
    <row r="6439" spans="1:4">
      <c r="A6439" s="13"/>
      <c r="B6439" s="13"/>
      <c r="C6439" s="13"/>
      <c r="D6439" s="13"/>
    </row>
    <row r="6440" spans="1:4">
      <c r="A6440" s="13"/>
      <c r="B6440" s="13"/>
      <c r="C6440" s="13"/>
      <c r="D6440" s="13"/>
    </row>
    <row r="6441" spans="1:4">
      <c r="A6441" s="13"/>
      <c r="B6441" s="13"/>
      <c r="C6441" s="13"/>
      <c r="D6441" s="13"/>
    </row>
    <row r="6442" spans="1:4">
      <c r="A6442" s="13"/>
      <c r="B6442" s="13"/>
      <c r="C6442" s="13"/>
      <c r="D6442" s="13"/>
    </row>
    <row r="6443" spans="1:4">
      <c r="A6443" s="13"/>
      <c r="B6443" s="13"/>
      <c r="C6443" s="13"/>
      <c r="D6443" s="13"/>
    </row>
    <row r="6444" spans="1:4">
      <c r="A6444" s="13"/>
      <c r="B6444" s="13"/>
      <c r="C6444" s="13"/>
      <c r="D6444" s="13"/>
    </row>
    <row r="6445" spans="1:4">
      <c r="A6445" s="13"/>
      <c r="B6445" s="13"/>
      <c r="C6445" s="13"/>
      <c r="D6445" s="13"/>
    </row>
    <row r="6446" spans="1:4">
      <c r="A6446" s="13"/>
      <c r="B6446" s="13"/>
      <c r="C6446" s="13"/>
      <c r="D6446" s="13"/>
    </row>
    <row r="6447" spans="1:4">
      <c r="A6447" s="13"/>
      <c r="B6447" s="13"/>
      <c r="C6447" s="13"/>
      <c r="D6447" s="13"/>
    </row>
    <row r="6448" spans="1:4">
      <c r="A6448" s="13"/>
      <c r="B6448" s="13"/>
      <c r="C6448" s="13"/>
      <c r="D6448" s="13"/>
    </row>
    <row r="6449" spans="1:4">
      <c r="A6449" s="13"/>
      <c r="B6449" s="13"/>
      <c r="C6449" s="13"/>
      <c r="D6449" s="13"/>
    </row>
    <row r="6450" spans="1:4">
      <c r="A6450" s="13"/>
      <c r="B6450" s="13"/>
      <c r="C6450" s="13"/>
      <c r="D6450" s="13"/>
    </row>
    <row r="6451" spans="1:4">
      <c r="A6451" s="13"/>
      <c r="B6451" s="13"/>
      <c r="C6451" s="13"/>
      <c r="D6451" s="13"/>
    </row>
    <row r="6452" spans="1:4">
      <c r="A6452" s="13"/>
      <c r="B6452" s="13"/>
      <c r="C6452" s="13"/>
      <c r="D6452" s="13"/>
    </row>
    <row r="6453" spans="1:4">
      <c r="A6453" s="13"/>
      <c r="B6453" s="13"/>
      <c r="C6453" s="13"/>
      <c r="D6453" s="13"/>
    </row>
    <row r="6454" spans="1:4">
      <c r="A6454" s="13"/>
      <c r="B6454" s="13"/>
      <c r="C6454" s="13"/>
      <c r="D6454" s="13"/>
    </row>
    <row r="6455" spans="1:4">
      <c r="A6455" s="13"/>
      <c r="B6455" s="13"/>
      <c r="C6455" s="13"/>
      <c r="D6455" s="13"/>
    </row>
    <row r="6456" spans="1:4">
      <c r="A6456" s="13"/>
      <c r="B6456" s="13"/>
      <c r="C6456" s="13"/>
      <c r="D6456" s="13"/>
    </row>
    <row r="6457" spans="1:4">
      <c r="A6457" s="13"/>
      <c r="B6457" s="13"/>
      <c r="C6457" s="13"/>
      <c r="D6457" s="13"/>
    </row>
    <row r="6458" spans="1:4">
      <c r="A6458" s="13"/>
      <c r="B6458" s="13"/>
      <c r="C6458" s="13"/>
      <c r="D6458" s="13"/>
    </row>
    <row r="6459" spans="1:4">
      <c r="A6459" s="13"/>
      <c r="B6459" s="13"/>
      <c r="C6459" s="13"/>
      <c r="D6459" s="13"/>
    </row>
    <row r="6460" spans="1:4">
      <c r="A6460" s="13"/>
      <c r="B6460" s="13"/>
      <c r="C6460" s="13"/>
      <c r="D6460" s="13"/>
    </row>
    <row r="6461" spans="1:4">
      <c r="A6461" s="13"/>
      <c r="B6461" s="13"/>
      <c r="C6461" s="13"/>
      <c r="D6461" s="13"/>
    </row>
    <row r="6462" spans="1:4">
      <c r="A6462" s="13"/>
      <c r="B6462" s="13"/>
      <c r="C6462" s="13"/>
      <c r="D6462" s="13"/>
    </row>
    <row r="6463" spans="1:4">
      <c r="A6463" s="13"/>
      <c r="B6463" s="13"/>
      <c r="C6463" s="13"/>
      <c r="D6463" s="13"/>
    </row>
    <row r="6464" spans="1:4">
      <c r="A6464" s="13"/>
      <c r="B6464" s="13"/>
      <c r="C6464" s="13"/>
      <c r="D6464" s="13"/>
    </row>
    <row r="6465" spans="1:4">
      <c r="A6465" s="13"/>
      <c r="B6465" s="13"/>
      <c r="C6465" s="13"/>
      <c r="D6465" s="13"/>
    </row>
    <row r="6466" spans="1:4">
      <c r="A6466" s="13"/>
      <c r="B6466" s="13"/>
      <c r="C6466" s="13"/>
      <c r="D6466" s="13"/>
    </row>
    <row r="6467" spans="1:4">
      <c r="A6467" s="13"/>
      <c r="B6467" s="13"/>
      <c r="C6467" s="13"/>
      <c r="D6467" s="13"/>
    </row>
    <row r="6468" spans="1:4">
      <c r="A6468" s="13"/>
      <c r="B6468" s="13"/>
      <c r="C6468" s="13"/>
      <c r="D6468" s="13"/>
    </row>
    <row r="6469" spans="1:4">
      <c r="A6469" s="13"/>
      <c r="B6469" s="13"/>
      <c r="C6469" s="13"/>
      <c r="D6469" s="13"/>
    </row>
    <row r="6470" spans="1:4">
      <c r="A6470" s="13"/>
      <c r="B6470" s="13"/>
      <c r="C6470" s="13"/>
      <c r="D6470" s="13"/>
    </row>
    <row r="6471" spans="1:4">
      <c r="A6471" s="13"/>
      <c r="B6471" s="13"/>
      <c r="C6471" s="13"/>
      <c r="D6471" s="13"/>
    </row>
    <row r="6472" spans="1:4">
      <c r="A6472" s="13"/>
      <c r="B6472" s="13"/>
      <c r="C6472" s="13"/>
      <c r="D6472" s="13"/>
    </row>
    <row r="6473" spans="1:4">
      <c r="A6473" s="13"/>
      <c r="B6473" s="13"/>
      <c r="C6473" s="13"/>
      <c r="D6473" s="13"/>
    </row>
    <row r="6474" spans="1:4">
      <c r="A6474" s="13"/>
      <c r="B6474" s="13"/>
      <c r="C6474" s="13"/>
      <c r="D6474" s="13"/>
    </row>
    <row r="6475" spans="1:4">
      <c r="A6475" s="13"/>
      <c r="B6475" s="13"/>
      <c r="C6475" s="13"/>
      <c r="D6475" s="13"/>
    </row>
    <row r="6476" spans="1:4">
      <c r="A6476" s="13"/>
      <c r="B6476" s="13"/>
      <c r="C6476" s="13"/>
      <c r="D6476" s="13"/>
    </row>
    <row r="6477" spans="1:4">
      <c r="A6477" s="13"/>
      <c r="B6477" s="13"/>
      <c r="C6477" s="13"/>
      <c r="D6477" s="13"/>
    </row>
    <row r="6478" spans="1:4">
      <c r="A6478" s="13"/>
      <c r="B6478" s="13"/>
      <c r="C6478" s="13"/>
      <c r="D6478" s="13"/>
    </row>
    <row r="6479" spans="1:4">
      <c r="A6479" s="13"/>
      <c r="B6479" s="13"/>
      <c r="C6479" s="13"/>
      <c r="D6479" s="13"/>
    </row>
    <row r="6480" spans="1:4">
      <c r="A6480" s="13"/>
      <c r="B6480" s="13"/>
      <c r="C6480" s="13"/>
      <c r="D6480" s="13"/>
    </row>
    <row r="6481" spans="1:4">
      <c r="A6481" s="13"/>
      <c r="B6481" s="13"/>
      <c r="C6481" s="13"/>
      <c r="D6481" s="13"/>
    </row>
    <row r="6482" spans="1:4">
      <c r="A6482" s="13"/>
      <c r="B6482" s="13"/>
      <c r="C6482" s="13"/>
      <c r="D6482" s="13"/>
    </row>
    <row r="6483" spans="1:4">
      <c r="A6483" s="13"/>
      <c r="B6483" s="13"/>
      <c r="C6483" s="13"/>
      <c r="D6483" s="13"/>
    </row>
    <row r="6484" spans="1:4">
      <c r="A6484" s="13"/>
      <c r="B6484" s="13"/>
      <c r="C6484" s="13"/>
      <c r="D6484" s="13"/>
    </row>
    <row r="6485" spans="1:4">
      <c r="A6485" s="13"/>
      <c r="B6485" s="13"/>
      <c r="C6485" s="13"/>
      <c r="D6485" s="13"/>
    </row>
    <row r="6486" spans="1:4">
      <c r="A6486" s="13"/>
      <c r="B6486" s="13"/>
      <c r="C6486" s="13"/>
      <c r="D6486" s="13"/>
    </row>
    <row r="6487" spans="1:4">
      <c r="A6487" s="13"/>
      <c r="B6487" s="13"/>
      <c r="C6487" s="13"/>
      <c r="D6487" s="13"/>
    </row>
    <row r="6488" spans="1:4">
      <c r="A6488" s="13"/>
      <c r="B6488" s="13"/>
      <c r="C6488" s="13"/>
      <c r="D6488" s="13"/>
    </row>
    <row r="6489" spans="1:4">
      <c r="A6489" s="13"/>
      <c r="B6489" s="13"/>
      <c r="C6489" s="13"/>
      <c r="D6489" s="13"/>
    </row>
    <row r="6490" spans="1:4">
      <c r="A6490" s="13"/>
      <c r="B6490" s="13"/>
      <c r="C6490" s="13"/>
      <c r="D6490" s="13"/>
    </row>
    <row r="6491" spans="1:4">
      <c r="A6491" s="13"/>
      <c r="B6491" s="13"/>
      <c r="C6491" s="13"/>
      <c r="D6491" s="13"/>
    </row>
    <row r="6492" spans="1:4">
      <c r="A6492" s="13"/>
      <c r="B6492" s="13"/>
      <c r="C6492" s="13"/>
      <c r="D6492" s="13"/>
    </row>
    <row r="6493" spans="1:4">
      <c r="A6493" s="13"/>
      <c r="B6493" s="13"/>
      <c r="C6493" s="13"/>
      <c r="D6493" s="13"/>
    </row>
    <row r="6494" spans="1:4">
      <c r="A6494" s="13"/>
      <c r="B6494" s="13"/>
      <c r="C6494" s="13"/>
      <c r="D6494" s="13"/>
    </row>
    <row r="6495" spans="1:4">
      <c r="A6495" s="13"/>
      <c r="B6495" s="13"/>
      <c r="C6495" s="13"/>
      <c r="D6495" s="13"/>
    </row>
    <row r="6496" spans="1:4">
      <c r="A6496" s="13"/>
      <c r="B6496" s="13"/>
      <c r="C6496" s="13"/>
      <c r="D6496" s="13"/>
    </row>
    <row r="6497" spans="1:4">
      <c r="A6497" s="13"/>
      <c r="B6497" s="13"/>
      <c r="C6497" s="13"/>
      <c r="D6497" s="13"/>
    </row>
    <row r="6498" spans="1:4">
      <c r="A6498" s="13"/>
      <c r="B6498" s="13"/>
      <c r="C6498" s="13"/>
      <c r="D6498" s="13"/>
    </row>
    <row r="6499" spans="1:4">
      <c r="A6499" s="13"/>
      <c r="B6499" s="13"/>
      <c r="C6499" s="13"/>
      <c r="D6499" s="13"/>
    </row>
    <row r="6500" spans="1:4">
      <c r="A6500" s="13"/>
      <c r="B6500" s="13"/>
      <c r="C6500" s="13"/>
      <c r="D6500" s="13"/>
    </row>
    <row r="6501" spans="1:4">
      <c r="A6501" s="13"/>
      <c r="B6501" s="13"/>
      <c r="C6501" s="13"/>
      <c r="D6501" s="13"/>
    </row>
    <row r="6502" spans="1:4">
      <c r="A6502" s="13"/>
      <c r="B6502" s="13"/>
      <c r="C6502" s="13"/>
      <c r="D6502" s="13"/>
    </row>
    <row r="6503" spans="1:4">
      <c r="A6503" s="13"/>
      <c r="B6503" s="13"/>
      <c r="C6503" s="13"/>
      <c r="D6503" s="13"/>
    </row>
    <row r="6504" spans="1:4">
      <c r="A6504" s="13"/>
      <c r="B6504" s="13"/>
      <c r="C6504" s="13"/>
      <c r="D6504" s="13"/>
    </row>
    <row r="6505" spans="1:4">
      <c r="A6505" s="13"/>
      <c r="B6505" s="13"/>
      <c r="C6505" s="13"/>
      <c r="D6505" s="13"/>
    </row>
    <row r="6506" spans="1:4">
      <c r="A6506" s="13"/>
      <c r="B6506" s="13"/>
      <c r="C6506" s="13"/>
      <c r="D6506" s="13"/>
    </row>
    <row r="6507" spans="1:4">
      <c r="A6507" s="13"/>
      <c r="B6507" s="13"/>
      <c r="C6507" s="13"/>
      <c r="D6507" s="13"/>
    </row>
    <row r="6508" spans="1:4">
      <c r="A6508" s="13"/>
      <c r="B6508" s="13"/>
      <c r="C6508" s="13"/>
      <c r="D6508" s="13"/>
    </row>
    <row r="6509" spans="1:4">
      <c r="A6509" s="13"/>
      <c r="B6509" s="13"/>
      <c r="C6509" s="13"/>
      <c r="D6509" s="13"/>
    </row>
    <row r="6510" spans="1:4">
      <c r="A6510" s="13"/>
      <c r="B6510" s="13"/>
      <c r="C6510" s="13"/>
      <c r="D6510" s="13"/>
    </row>
    <row r="6511" spans="1:4">
      <c r="A6511" s="13"/>
      <c r="B6511" s="13"/>
      <c r="C6511" s="13"/>
      <c r="D6511" s="13"/>
    </row>
    <row r="6512" spans="1:4">
      <c r="A6512" s="13"/>
      <c r="B6512" s="13"/>
      <c r="C6512" s="13"/>
      <c r="D6512" s="13"/>
    </row>
    <row r="6513" spans="1:4">
      <c r="A6513" s="13"/>
      <c r="B6513" s="13"/>
      <c r="C6513" s="13"/>
      <c r="D6513" s="13"/>
    </row>
    <row r="6514" spans="1:4">
      <c r="A6514" s="13"/>
      <c r="B6514" s="13"/>
      <c r="C6514" s="13"/>
      <c r="D6514" s="13"/>
    </row>
    <row r="6515" spans="1:4">
      <c r="A6515" s="13"/>
      <c r="B6515" s="13"/>
      <c r="C6515" s="13"/>
      <c r="D6515" s="13"/>
    </row>
    <row r="6516" spans="1:4">
      <c r="A6516" s="13"/>
      <c r="B6516" s="13"/>
      <c r="C6516" s="13"/>
      <c r="D6516" s="13"/>
    </row>
    <row r="6517" spans="1:4">
      <c r="A6517" s="13"/>
      <c r="B6517" s="13"/>
      <c r="C6517" s="13"/>
      <c r="D6517" s="13"/>
    </row>
    <row r="6518" spans="1:4">
      <c r="A6518" s="13"/>
      <c r="B6518" s="13"/>
      <c r="C6518" s="13"/>
      <c r="D6518" s="13"/>
    </row>
    <row r="6519" spans="1:4">
      <c r="A6519" s="13"/>
      <c r="B6519" s="13"/>
      <c r="C6519" s="13"/>
      <c r="D6519" s="13"/>
    </row>
    <row r="6520" spans="1:4">
      <c r="A6520" s="13"/>
      <c r="B6520" s="13"/>
      <c r="C6520" s="13"/>
      <c r="D6520" s="13"/>
    </row>
    <row r="6521" spans="1:4">
      <c r="A6521" s="13"/>
      <c r="B6521" s="13"/>
      <c r="C6521" s="13"/>
      <c r="D6521" s="13"/>
    </row>
    <row r="6522" spans="1:4">
      <c r="A6522" s="13"/>
      <c r="B6522" s="13"/>
      <c r="C6522" s="13"/>
      <c r="D6522" s="13"/>
    </row>
    <row r="6523" spans="1:4">
      <c r="A6523" s="13"/>
      <c r="B6523" s="13"/>
      <c r="C6523" s="13"/>
      <c r="D6523" s="13"/>
    </row>
    <row r="6524" spans="1:4">
      <c r="A6524" s="13"/>
      <c r="B6524" s="13"/>
      <c r="C6524" s="13"/>
      <c r="D6524" s="13"/>
    </row>
    <row r="6525" spans="1:4">
      <c r="A6525" s="13"/>
      <c r="B6525" s="13"/>
      <c r="C6525" s="13"/>
      <c r="D6525" s="13"/>
    </row>
    <row r="6526" spans="1:4">
      <c r="A6526" s="13"/>
      <c r="B6526" s="13"/>
      <c r="C6526" s="13"/>
      <c r="D6526" s="13"/>
    </row>
    <row r="6527" spans="1:4">
      <c r="A6527" s="13"/>
      <c r="B6527" s="13"/>
      <c r="C6527" s="13"/>
      <c r="D6527" s="13"/>
    </row>
    <row r="6528" spans="1:4">
      <c r="A6528" s="13"/>
      <c r="B6528" s="13"/>
      <c r="C6528" s="13"/>
      <c r="D6528" s="13"/>
    </row>
    <row r="6529" spans="1:4">
      <c r="A6529" s="13"/>
      <c r="B6529" s="13"/>
      <c r="C6529" s="13"/>
      <c r="D6529" s="13"/>
    </row>
    <row r="6530" spans="1:4">
      <c r="A6530" s="13"/>
      <c r="B6530" s="13"/>
      <c r="C6530" s="13"/>
      <c r="D6530" s="13"/>
    </row>
    <row r="6531" spans="1:4">
      <c r="A6531" s="13"/>
      <c r="B6531" s="13"/>
      <c r="C6531" s="13"/>
      <c r="D6531" s="13"/>
    </row>
    <row r="6532" spans="1:4">
      <c r="A6532" s="13"/>
      <c r="B6532" s="13"/>
      <c r="C6532" s="13"/>
      <c r="D6532" s="13"/>
    </row>
    <row r="6533" spans="1:4">
      <c r="A6533" s="13"/>
      <c r="B6533" s="13"/>
      <c r="C6533" s="13"/>
      <c r="D6533" s="13"/>
    </row>
    <row r="6534" spans="1:4">
      <c r="A6534" s="13"/>
      <c r="B6534" s="13"/>
      <c r="C6534" s="13"/>
      <c r="D6534" s="13"/>
    </row>
    <row r="6535" spans="1:4">
      <c r="A6535" s="13"/>
      <c r="B6535" s="13"/>
      <c r="C6535" s="13"/>
      <c r="D6535" s="13"/>
    </row>
    <row r="6536" spans="1:4">
      <c r="A6536" s="13"/>
      <c r="B6536" s="13"/>
      <c r="C6536" s="13"/>
      <c r="D6536" s="13"/>
    </row>
    <row r="6537" spans="1:4">
      <c r="A6537" s="13"/>
      <c r="B6537" s="13"/>
      <c r="C6537" s="13"/>
      <c r="D6537" s="13"/>
    </row>
    <row r="6538" spans="1:4">
      <c r="A6538" s="13"/>
      <c r="B6538" s="13"/>
      <c r="C6538" s="13"/>
      <c r="D6538" s="13"/>
    </row>
    <row r="6539" spans="1:4">
      <c r="A6539" s="13"/>
      <c r="B6539" s="13"/>
      <c r="C6539" s="13"/>
      <c r="D6539" s="13"/>
    </row>
    <row r="6540" spans="1:4">
      <c r="A6540" s="13"/>
      <c r="B6540" s="13"/>
      <c r="C6540" s="13"/>
      <c r="D6540" s="13"/>
    </row>
    <row r="6541" spans="1:4">
      <c r="A6541" s="13"/>
      <c r="B6541" s="13"/>
      <c r="C6541" s="13"/>
      <c r="D6541" s="13"/>
    </row>
    <row r="6542" spans="1:4">
      <c r="A6542" s="13"/>
      <c r="B6542" s="13"/>
      <c r="C6542" s="13"/>
      <c r="D6542" s="13"/>
    </row>
    <row r="6543" spans="1:4">
      <c r="A6543" s="13"/>
      <c r="B6543" s="13"/>
      <c r="C6543" s="13"/>
      <c r="D6543" s="13"/>
    </row>
    <row r="6544" spans="1:4">
      <c r="A6544" s="13"/>
      <c r="B6544" s="13"/>
      <c r="C6544" s="13"/>
      <c r="D6544" s="13"/>
    </row>
    <row r="6545" spans="1:4">
      <c r="A6545" s="13"/>
      <c r="B6545" s="13"/>
      <c r="C6545" s="13"/>
      <c r="D6545" s="13"/>
    </row>
    <row r="6546" spans="1:4">
      <c r="A6546" s="13"/>
      <c r="B6546" s="13"/>
      <c r="C6546" s="13"/>
      <c r="D6546" s="13"/>
    </row>
    <row r="6547" spans="1:4">
      <c r="A6547" s="13"/>
      <c r="B6547" s="13"/>
      <c r="C6547" s="13"/>
      <c r="D6547" s="13"/>
    </row>
    <row r="6548" spans="1:4">
      <c r="A6548" s="13"/>
      <c r="B6548" s="13"/>
      <c r="C6548" s="13"/>
      <c r="D6548" s="13"/>
    </row>
    <row r="6549" spans="1:4">
      <c r="A6549" s="13"/>
      <c r="B6549" s="13"/>
      <c r="C6549" s="13"/>
      <c r="D6549" s="13"/>
    </row>
    <row r="6550" spans="1:4">
      <c r="A6550" s="13"/>
      <c r="B6550" s="13"/>
      <c r="C6550" s="13"/>
      <c r="D6550" s="13"/>
    </row>
    <row r="6551" spans="1:4">
      <c r="A6551" s="13"/>
      <c r="B6551" s="13"/>
      <c r="C6551" s="13"/>
      <c r="D6551" s="13"/>
    </row>
    <row r="6552" spans="1:4">
      <c r="A6552" s="13"/>
      <c r="B6552" s="13"/>
      <c r="C6552" s="13"/>
      <c r="D6552" s="13"/>
    </row>
    <row r="6553" spans="1:4">
      <c r="A6553" s="13"/>
      <c r="B6553" s="13"/>
      <c r="C6553" s="13"/>
      <c r="D6553" s="13"/>
    </row>
    <row r="6554" spans="1:4">
      <c r="A6554" s="13"/>
      <c r="B6554" s="13"/>
      <c r="C6554" s="13"/>
      <c r="D6554" s="13"/>
    </row>
    <row r="6555" spans="1:4">
      <c r="A6555" s="13"/>
      <c r="B6555" s="13"/>
      <c r="C6555" s="13"/>
      <c r="D6555" s="13"/>
    </row>
    <row r="6556" spans="1:4">
      <c r="A6556" s="13"/>
      <c r="B6556" s="13"/>
      <c r="C6556" s="13"/>
      <c r="D6556" s="13"/>
    </row>
    <row r="6557" spans="1:4">
      <c r="A6557" s="13"/>
      <c r="B6557" s="13"/>
      <c r="C6557" s="13"/>
      <c r="D6557" s="13"/>
    </row>
    <row r="6558" spans="1:4">
      <c r="A6558" s="13"/>
      <c r="B6558" s="13"/>
      <c r="C6558" s="13"/>
      <c r="D6558" s="13"/>
    </row>
    <row r="6559" spans="1:4">
      <c r="A6559" s="13"/>
      <c r="B6559" s="13"/>
      <c r="C6559" s="13"/>
      <c r="D6559" s="13"/>
    </row>
    <row r="6560" spans="1:4">
      <c r="A6560" s="13"/>
      <c r="B6560" s="13"/>
      <c r="C6560" s="13"/>
      <c r="D6560" s="13"/>
    </row>
    <row r="6561" spans="1:4">
      <c r="A6561" s="13"/>
      <c r="B6561" s="13"/>
      <c r="C6561" s="13"/>
      <c r="D6561" s="13"/>
    </row>
    <row r="6562" spans="1:4">
      <c r="A6562" s="13"/>
      <c r="B6562" s="13"/>
      <c r="C6562" s="13"/>
      <c r="D6562" s="13"/>
    </row>
    <row r="6563" spans="1:4">
      <c r="A6563" s="13"/>
      <c r="B6563" s="13"/>
      <c r="C6563" s="13"/>
      <c r="D6563" s="13"/>
    </row>
    <row r="6564" spans="1:4">
      <c r="A6564" s="13"/>
      <c r="B6564" s="13"/>
      <c r="C6564" s="13"/>
      <c r="D6564" s="13"/>
    </row>
    <row r="6565" spans="1:4">
      <c r="A6565" s="13"/>
      <c r="B6565" s="13"/>
      <c r="C6565" s="13"/>
      <c r="D6565" s="13"/>
    </row>
    <row r="6566" spans="1:4">
      <c r="A6566" s="13"/>
      <c r="B6566" s="13"/>
      <c r="C6566" s="13"/>
      <c r="D6566" s="13"/>
    </row>
    <row r="6567" spans="1:4">
      <c r="A6567" s="13"/>
      <c r="B6567" s="13"/>
      <c r="C6567" s="13"/>
      <c r="D6567" s="13"/>
    </row>
    <row r="6568" spans="1:4">
      <c r="A6568" s="13"/>
      <c r="B6568" s="13"/>
      <c r="C6568" s="13"/>
      <c r="D6568" s="13"/>
    </row>
    <row r="6569" spans="1:4">
      <c r="A6569" s="13"/>
      <c r="B6569" s="13"/>
      <c r="C6569" s="13"/>
      <c r="D6569" s="13"/>
    </row>
    <row r="6570" spans="1:4">
      <c r="A6570" s="13"/>
      <c r="B6570" s="13"/>
      <c r="C6570" s="13"/>
      <c r="D6570" s="13"/>
    </row>
    <row r="6571" spans="1:4">
      <c r="A6571" s="13"/>
      <c r="B6571" s="13"/>
      <c r="C6571" s="13"/>
      <c r="D6571" s="13"/>
    </row>
    <row r="6572" spans="1:4">
      <c r="A6572" s="13"/>
      <c r="B6572" s="13"/>
      <c r="C6572" s="13"/>
      <c r="D6572" s="13"/>
    </row>
    <row r="6573" spans="1:4">
      <c r="A6573" s="13"/>
      <c r="B6573" s="13"/>
      <c r="C6573" s="13"/>
      <c r="D6573" s="13"/>
    </row>
    <row r="6574" spans="1:4">
      <c r="A6574" s="13"/>
      <c r="B6574" s="13"/>
      <c r="C6574" s="13"/>
      <c r="D6574" s="13"/>
    </row>
    <row r="6575" spans="1:4">
      <c r="A6575" s="13"/>
      <c r="B6575" s="13"/>
      <c r="C6575" s="13"/>
      <c r="D6575" s="13"/>
    </row>
    <row r="6576" spans="1:4">
      <c r="A6576" s="13"/>
      <c r="B6576" s="13"/>
      <c r="C6576" s="13"/>
      <c r="D6576" s="13"/>
    </row>
    <row r="6577" spans="1:4">
      <c r="A6577" s="13"/>
      <c r="B6577" s="13"/>
      <c r="C6577" s="13"/>
      <c r="D6577" s="13"/>
    </row>
    <row r="6578" spans="1:4">
      <c r="A6578" s="13"/>
      <c r="B6578" s="13"/>
      <c r="C6578" s="13"/>
      <c r="D6578" s="13"/>
    </row>
    <row r="6579" spans="1:4">
      <c r="A6579" s="13"/>
      <c r="B6579" s="13"/>
      <c r="C6579" s="13"/>
      <c r="D6579" s="13"/>
    </row>
    <row r="6580" spans="1:4">
      <c r="A6580" s="13"/>
      <c r="B6580" s="13"/>
      <c r="C6580" s="13"/>
      <c r="D6580" s="13"/>
    </row>
    <row r="6581" spans="1:4">
      <c r="A6581" s="13"/>
      <c r="B6581" s="13"/>
      <c r="C6581" s="13"/>
      <c r="D6581" s="13"/>
    </row>
    <row r="6582" spans="1:4">
      <c r="A6582" s="13"/>
      <c r="B6582" s="13"/>
      <c r="C6582" s="13"/>
      <c r="D6582" s="13"/>
    </row>
    <row r="6583" spans="1:4">
      <c r="A6583" s="13"/>
      <c r="B6583" s="13"/>
      <c r="C6583" s="13"/>
      <c r="D6583" s="13"/>
    </row>
    <row r="6584" spans="1:4">
      <c r="A6584" s="13"/>
      <c r="B6584" s="13"/>
      <c r="C6584" s="13"/>
      <c r="D6584" s="13"/>
    </row>
    <row r="6585" spans="1:4">
      <c r="A6585" s="13"/>
      <c r="B6585" s="13"/>
      <c r="C6585" s="13"/>
      <c r="D6585" s="13"/>
    </row>
    <row r="6586" spans="1:4">
      <c r="A6586" s="13"/>
      <c r="B6586" s="13"/>
      <c r="C6586" s="13"/>
      <c r="D6586" s="13"/>
    </row>
    <row r="6587" spans="1:4">
      <c r="A6587" s="13"/>
      <c r="B6587" s="13"/>
      <c r="C6587" s="13"/>
      <c r="D6587" s="13"/>
    </row>
    <row r="6588" spans="1:4">
      <c r="A6588" s="13"/>
      <c r="B6588" s="13"/>
      <c r="C6588" s="13"/>
      <c r="D6588" s="13"/>
    </row>
    <row r="6589" spans="1:4">
      <c r="A6589" s="13"/>
      <c r="B6589" s="13"/>
      <c r="C6589" s="13"/>
      <c r="D6589" s="13"/>
    </row>
    <row r="6590" spans="1:4">
      <c r="A6590" s="13"/>
      <c r="B6590" s="13"/>
      <c r="C6590" s="13"/>
      <c r="D6590" s="13"/>
    </row>
    <row r="6591" spans="1:4">
      <c r="A6591" s="13"/>
      <c r="B6591" s="13"/>
      <c r="C6591" s="13"/>
      <c r="D6591" s="13"/>
    </row>
    <row r="6592" spans="1:4">
      <c r="A6592" s="13"/>
      <c r="B6592" s="13"/>
      <c r="C6592" s="13"/>
      <c r="D6592" s="13"/>
    </row>
    <row r="6593" spans="1:4">
      <c r="A6593" s="13"/>
      <c r="B6593" s="13"/>
      <c r="C6593" s="13"/>
      <c r="D6593" s="13"/>
    </row>
    <row r="6594" spans="1:4">
      <c r="A6594" s="13"/>
      <c r="B6594" s="13"/>
      <c r="C6594" s="13"/>
      <c r="D6594" s="13"/>
    </row>
    <row r="6595" spans="1:4">
      <c r="A6595" s="13"/>
      <c r="B6595" s="13"/>
      <c r="C6595" s="13"/>
      <c r="D6595" s="13"/>
    </row>
    <row r="6596" spans="1:4">
      <c r="A6596" s="13"/>
      <c r="B6596" s="13"/>
      <c r="C6596" s="13"/>
      <c r="D6596" s="13"/>
    </row>
    <row r="6597" spans="1:4">
      <c r="A6597" s="13"/>
      <c r="B6597" s="13"/>
      <c r="C6597" s="13"/>
      <c r="D6597" s="13"/>
    </row>
    <row r="6598" spans="1:4">
      <c r="A6598" s="13"/>
      <c r="B6598" s="13"/>
      <c r="C6598" s="13"/>
      <c r="D6598" s="13"/>
    </row>
    <row r="6599" spans="1:4">
      <c r="A6599" s="13"/>
      <c r="B6599" s="13"/>
      <c r="C6599" s="13"/>
      <c r="D6599" s="13"/>
    </row>
    <row r="6600" spans="1:4">
      <c r="A6600" s="13"/>
      <c r="B6600" s="13"/>
      <c r="C6600" s="13"/>
      <c r="D6600" s="13"/>
    </row>
    <row r="6601" spans="1:4">
      <c r="A6601" s="13"/>
      <c r="B6601" s="13"/>
      <c r="C6601" s="13"/>
      <c r="D6601" s="13"/>
    </row>
    <row r="6602" spans="1:4">
      <c r="A6602" s="13"/>
      <c r="B6602" s="13"/>
      <c r="C6602" s="13"/>
      <c r="D6602" s="13"/>
    </row>
    <row r="6603" spans="1:4">
      <c r="A6603" s="13"/>
      <c r="B6603" s="13"/>
      <c r="C6603" s="13"/>
      <c r="D6603" s="13"/>
    </row>
    <row r="6604" spans="1:4">
      <c r="A6604" s="13"/>
      <c r="B6604" s="13"/>
      <c r="C6604" s="13"/>
      <c r="D6604" s="13"/>
    </row>
    <row r="6605" spans="1:4">
      <c r="A6605" s="13"/>
      <c r="B6605" s="13"/>
      <c r="C6605" s="13"/>
      <c r="D6605" s="13"/>
    </row>
    <row r="6606" spans="1:4">
      <c r="A6606" s="13"/>
      <c r="B6606" s="13"/>
      <c r="C6606" s="13"/>
      <c r="D6606" s="13"/>
    </row>
    <row r="6607" spans="1:4">
      <c r="A6607" s="13"/>
      <c r="B6607" s="13"/>
      <c r="C6607" s="13"/>
      <c r="D6607" s="13"/>
    </row>
    <row r="6608" spans="1:4">
      <c r="A6608" s="13"/>
      <c r="B6608" s="13"/>
      <c r="C6608" s="13"/>
      <c r="D6608" s="13"/>
    </row>
    <row r="6609" spans="1:4">
      <c r="A6609" s="13"/>
      <c r="B6609" s="13"/>
      <c r="C6609" s="13"/>
      <c r="D6609" s="13"/>
    </row>
    <row r="6610" spans="1:4">
      <c r="A6610" s="13"/>
      <c r="B6610" s="13"/>
      <c r="C6610" s="13"/>
      <c r="D6610" s="13"/>
    </row>
    <row r="6611" spans="1:4">
      <c r="A6611" s="13"/>
      <c r="B6611" s="13"/>
      <c r="C6611" s="13"/>
      <c r="D6611" s="13"/>
    </row>
    <row r="6612" spans="1:4">
      <c r="A6612" s="13"/>
      <c r="B6612" s="13"/>
      <c r="C6612" s="13"/>
      <c r="D6612" s="13"/>
    </row>
    <row r="6613" spans="1:4">
      <c r="A6613" s="13"/>
      <c r="B6613" s="13"/>
      <c r="C6613" s="13"/>
      <c r="D6613" s="13"/>
    </row>
    <row r="6614" spans="1:4">
      <c r="A6614" s="13"/>
      <c r="B6614" s="13"/>
      <c r="C6614" s="13"/>
      <c r="D6614" s="13"/>
    </row>
    <row r="6615" spans="1:4">
      <c r="A6615" s="13"/>
      <c r="B6615" s="13"/>
      <c r="C6615" s="13"/>
      <c r="D6615" s="13"/>
    </row>
    <row r="6616" spans="1:4">
      <c r="A6616" s="13"/>
      <c r="B6616" s="13"/>
      <c r="C6616" s="13"/>
      <c r="D6616" s="13"/>
    </row>
    <row r="6617" spans="1:4">
      <c r="A6617" s="13"/>
      <c r="B6617" s="13"/>
      <c r="C6617" s="13"/>
      <c r="D6617" s="13"/>
    </row>
    <row r="6618" spans="1:4">
      <c r="A6618" s="13"/>
      <c r="B6618" s="13"/>
      <c r="C6618" s="13"/>
      <c r="D6618" s="13"/>
    </row>
    <row r="6619" spans="1:4">
      <c r="A6619" s="13"/>
      <c r="B6619" s="13"/>
      <c r="C6619" s="13"/>
      <c r="D6619" s="13"/>
    </row>
    <row r="6620" spans="1:4">
      <c r="A6620" s="13"/>
      <c r="B6620" s="13"/>
      <c r="C6620" s="13"/>
      <c r="D6620" s="13"/>
    </row>
    <row r="6621" spans="1:4">
      <c r="A6621" s="13"/>
      <c r="B6621" s="13"/>
      <c r="C6621" s="13"/>
      <c r="D6621" s="13"/>
    </row>
    <row r="6622" spans="1:4">
      <c r="A6622" s="13"/>
      <c r="B6622" s="13"/>
      <c r="C6622" s="13"/>
      <c r="D6622" s="13"/>
    </row>
    <row r="6623" spans="1:4">
      <c r="A6623" s="13"/>
      <c r="B6623" s="13"/>
      <c r="C6623" s="13"/>
      <c r="D6623" s="13"/>
    </row>
    <row r="6624" spans="1:4">
      <c r="A6624" s="13"/>
      <c r="B6624" s="13"/>
      <c r="C6624" s="13"/>
      <c r="D6624" s="13"/>
    </row>
    <row r="6625" spans="1:4">
      <c r="A6625" s="13"/>
      <c r="B6625" s="13"/>
      <c r="C6625" s="13"/>
      <c r="D6625" s="13"/>
    </row>
    <row r="6626" spans="1:4">
      <c r="A6626" s="13"/>
      <c r="B6626" s="13"/>
      <c r="C6626" s="13"/>
      <c r="D6626" s="13"/>
    </row>
    <row r="6627" spans="1:4">
      <c r="A6627" s="13"/>
      <c r="B6627" s="13"/>
      <c r="C6627" s="13"/>
      <c r="D6627" s="13"/>
    </row>
    <row r="6628" spans="1:4">
      <c r="A6628" s="13"/>
      <c r="B6628" s="13"/>
      <c r="C6628" s="13"/>
      <c r="D6628" s="13"/>
    </row>
    <row r="6629" spans="1:4">
      <c r="A6629" s="13"/>
      <c r="B6629" s="13"/>
      <c r="C6629" s="13"/>
      <c r="D6629" s="13"/>
    </row>
    <row r="6630" spans="1:4">
      <c r="A6630" s="13"/>
      <c r="B6630" s="13"/>
      <c r="C6630" s="13"/>
      <c r="D6630" s="13"/>
    </row>
    <row r="6631" spans="1:4">
      <c r="A6631" s="13"/>
      <c r="B6631" s="13"/>
      <c r="C6631" s="13"/>
      <c r="D6631" s="13"/>
    </row>
    <row r="6632" spans="1:4">
      <c r="A6632" s="13"/>
      <c r="B6632" s="13"/>
      <c r="C6632" s="13"/>
      <c r="D6632" s="13"/>
    </row>
    <row r="6633" spans="1:4">
      <c r="A6633" s="13"/>
      <c r="B6633" s="13"/>
      <c r="C6633" s="13"/>
      <c r="D6633" s="13"/>
    </row>
    <row r="6634" spans="1:4">
      <c r="A6634" s="13"/>
      <c r="B6634" s="13"/>
      <c r="C6634" s="13"/>
      <c r="D6634" s="13"/>
    </row>
    <row r="6635" spans="1:4">
      <c r="A6635" s="13"/>
      <c r="B6635" s="13"/>
      <c r="C6635" s="13"/>
      <c r="D6635" s="13"/>
    </row>
    <row r="6636" spans="1:4">
      <c r="A6636" s="13"/>
      <c r="B6636" s="13"/>
      <c r="C6636" s="13"/>
      <c r="D6636" s="13"/>
    </row>
    <row r="6637" spans="1:4">
      <c r="A6637" s="13"/>
      <c r="B6637" s="13"/>
      <c r="C6637" s="13"/>
      <c r="D6637" s="13"/>
    </row>
    <row r="6638" spans="1:4">
      <c r="A6638" s="13"/>
      <c r="B6638" s="13"/>
      <c r="C6638" s="13"/>
      <c r="D6638" s="13"/>
    </row>
    <row r="6639" spans="1:4">
      <c r="A6639" s="13"/>
      <c r="B6639" s="13"/>
      <c r="C6639" s="13"/>
      <c r="D6639" s="13"/>
    </row>
    <row r="6640" spans="1:4">
      <c r="A6640" s="13"/>
      <c r="B6640" s="13"/>
      <c r="C6640" s="13"/>
      <c r="D6640" s="13"/>
    </row>
    <row r="6641" spans="1:4">
      <c r="A6641" s="13"/>
      <c r="B6641" s="13"/>
      <c r="C6641" s="13"/>
      <c r="D6641" s="13"/>
    </row>
    <row r="6642" spans="1:4">
      <c r="A6642" s="13"/>
      <c r="B6642" s="13"/>
      <c r="C6642" s="13"/>
      <c r="D6642" s="13"/>
    </row>
    <row r="6643" spans="1:4">
      <c r="A6643" s="13"/>
      <c r="B6643" s="13"/>
      <c r="C6643" s="13"/>
      <c r="D6643" s="13"/>
    </row>
    <row r="6644" spans="1:4">
      <c r="A6644" s="13"/>
      <c r="B6644" s="13"/>
      <c r="C6644" s="13"/>
      <c r="D6644" s="13"/>
    </row>
    <row r="6645" spans="1:4">
      <c r="A6645" s="13"/>
      <c r="B6645" s="13"/>
      <c r="C6645" s="13"/>
      <c r="D6645" s="13"/>
    </row>
    <row r="6646" spans="1:4">
      <c r="A6646" s="13"/>
      <c r="B6646" s="13"/>
      <c r="C6646" s="13"/>
      <c r="D6646" s="13"/>
    </row>
    <row r="6647" spans="1:4">
      <c r="A6647" s="13"/>
      <c r="B6647" s="13"/>
      <c r="C6647" s="13"/>
      <c r="D6647" s="13"/>
    </row>
    <row r="6648" spans="1:4">
      <c r="A6648" s="13"/>
      <c r="B6648" s="13"/>
      <c r="C6648" s="13"/>
      <c r="D6648" s="13"/>
    </row>
    <row r="6649" spans="1:4">
      <c r="A6649" s="13"/>
      <c r="B6649" s="13"/>
      <c r="C6649" s="13"/>
      <c r="D6649" s="13"/>
    </row>
    <row r="6650" spans="1:4">
      <c r="A6650" s="13"/>
      <c r="B6650" s="13"/>
      <c r="C6650" s="13"/>
      <c r="D6650" s="13"/>
    </row>
    <row r="6651" spans="1:4">
      <c r="A6651" s="13"/>
      <c r="B6651" s="13"/>
      <c r="C6651" s="13"/>
      <c r="D6651" s="13"/>
    </row>
    <row r="6652" spans="1:4">
      <c r="A6652" s="13"/>
      <c r="B6652" s="13"/>
      <c r="C6652" s="13"/>
      <c r="D6652" s="13"/>
    </row>
    <row r="6653" spans="1:4">
      <c r="A6653" s="13"/>
      <c r="B6653" s="13"/>
      <c r="C6653" s="13"/>
      <c r="D6653" s="13"/>
    </row>
    <row r="6654" spans="1:4">
      <c r="A6654" s="13"/>
      <c r="B6654" s="13"/>
      <c r="C6654" s="13"/>
      <c r="D6654" s="13"/>
    </row>
    <row r="6655" spans="1:4">
      <c r="A6655" s="13"/>
      <c r="B6655" s="13"/>
      <c r="C6655" s="13"/>
      <c r="D6655" s="13"/>
    </row>
    <row r="6656" spans="1:4">
      <c r="A6656" s="13"/>
      <c r="B6656" s="13"/>
      <c r="C6656" s="13"/>
      <c r="D6656" s="13"/>
    </row>
    <row r="6657" spans="1:4">
      <c r="A6657" s="13"/>
      <c r="B6657" s="13"/>
      <c r="C6657" s="13"/>
      <c r="D6657" s="13"/>
    </row>
    <row r="6658" spans="1:4">
      <c r="A6658" s="13"/>
      <c r="B6658" s="13"/>
      <c r="C6658" s="13"/>
      <c r="D6658" s="13"/>
    </row>
    <row r="6659" spans="1:4">
      <c r="A6659" s="13"/>
      <c r="B6659" s="13"/>
      <c r="C6659" s="13"/>
      <c r="D6659" s="13"/>
    </row>
    <row r="6660" spans="1:4">
      <c r="A6660" s="13"/>
      <c r="B6660" s="13"/>
      <c r="C6660" s="13"/>
      <c r="D6660" s="13"/>
    </row>
    <row r="6661" spans="1:4">
      <c r="A6661" s="13"/>
      <c r="B6661" s="13"/>
      <c r="C6661" s="13"/>
      <c r="D6661" s="13"/>
    </row>
    <row r="6662" spans="1:4">
      <c r="A6662" s="13"/>
      <c r="B6662" s="13"/>
      <c r="C6662" s="13"/>
      <c r="D6662" s="13"/>
    </row>
    <row r="6663" spans="1:4">
      <c r="A6663" s="13"/>
      <c r="B6663" s="13"/>
      <c r="C6663" s="13"/>
      <c r="D6663" s="13"/>
    </row>
    <row r="6664" spans="1:4">
      <c r="A6664" s="13"/>
      <c r="B6664" s="13"/>
      <c r="C6664" s="13"/>
      <c r="D6664" s="13"/>
    </row>
    <row r="6665" spans="1:4">
      <c r="A6665" s="13"/>
      <c r="B6665" s="13"/>
      <c r="C6665" s="13"/>
      <c r="D6665" s="13"/>
    </row>
    <row r="6666" spans="1:4">
      <c r="A6666" s="13"/>
      <c r="B6666" s="13"/>
      <c r="C6666" s="13"/>
      <c r="D6666" s="13"/>
    </row>
    <row r="6667" spans="1:4">
      <c r="A6667" s="13"/>
      <c r="B6667" s="13"/>
      <c r="C6667" s="13"/>
      <c r="D6667" s="13"/>
    </row>
    <row r="6668" spans="1:4">
      <c r="A6668" s="13"/>
      <c r="B6668" s="13"/>
      <c r="C6668" s="13"/>
      <c r="D6668" s="13"/>
    </row>
    <row r="6669" spans="1:4">
      <c r="A6669" s="13"/>
      <c r="B6669" s="13"/>
      <c r="C6669" s="13"/>
      <c r="D6669" s="13"/>
    </row>
    <row r="6670" spans="1:4">
      <c r="A6670" s="13"/>
      <c r="B6670" s="13"/>
      <c r="C6670" s="13"/>
      <c r="D6670" s="13"/>
    </row>
    <row r="6671" spans="1:4">
      <c r="A6671" s="13"/>
      <c r="B6671" s="13"/>
      <c r="C6671" s="13"/>
      <c r="D6671" s="13"/>
    </row>
    <row r="6672" spans="1:4">
      <c r="A6672" s="13"/>
      <c r="B6672" s="13"/>
      <c r="C6672" s="13"/>
      <c r="D6672" s="13"/>
    </row>
    <row r="6673" spans="1:4">
      <c r="A6673" s="13"/>
      <c r="B6673" s="13"/>
      <c r="C6673" s="13"/>
      <c r="D6673" s="13"/>
    </row>
    <row r="6674" spans="1:4">
      <c r="A6674" s="13"/>
      <c r="B6674" s="13"/>
      <c r="C6674" s="13"/>
      <c r="D6674" s="13"/>
    </row>
    <row r="6675" spans="1:4">
      <c r="A6675" s="13"/>
      <c r="B6675" s="13"/>
      <c r="C6675" s="13"/>
      <c r="D6675" s="13"/>
    </row>
    <row r="6676" spans="1:4">
      <c r="A6676" s="13"/>
      <c r="B6676" s="13"/>
      <c r="C6676" s="13"/>
      <c r="D6676" s="13"/>
    </row>
    <row r="6677" spans="1:4">
      <c r="A6677" s="13"/>
      <c r="B6677" s="13"/>
      <c r="C6677" s="13"/>
      <c r="D6677" s="13"/>
    </row>
    <row r="6678" spans="1:4">
      <c r="A6678" s="13"/>
      <c r="B6678" s="13"/>
      <c r="C6678" s="13"/>
      <c r="D6678" s="13"/>
    </row>
    <row r="6679" spans="1:4">
      <c r="A6679" s="13"/>
      <c r="B6679" s="13"/>
      <c r="C6679" s="13"/>
      <c r="D6679" s="13"/>
    </row>
    <row r="6680" spans="1:4">
      <c r="A6680" s="13"/>
      <c r="B6680" s="13"/>
      <c r="C6680" s="13"/>
      <c r="D6680" s="13"/>
    </row>
    <row r="6681" spans="1:4">
      <c r="A6681" s="13"/>
      <c r="B6681" s="13"/>
      <c r="C6681" s="13"/>
      <c r="D6681" s="13"/>
    </row>
    <row r="6682" spans="1:4">
      <c r="A6682" s="13"/>
      <c r="B6682" s="13"/>
      <c r="C6682" s="13"/>
      <c r="D6682" s="13"/>
    </row>
    <row r="6683" spans="1:4">
      <c r="A6683" s="13"/>
      <c r="B6683" s="13"/>
      <c r="C6683" s="13"/>
      <c r="D6683" s="13"/>
    </row>
    <row r="6684" spans="1:4">
      <c r="A6684" s="13"/>
      <c r="B6684" s="13"/>
      <c r="C6684" s="13"/>
      <c r="D6684" s="13"/>
    </row>
    <row r="6685" spans="1:4">
      <c r="A6685" s="13"/>
      <c r="B6685" s="13"/>
      <c r="C6685" s="13"/>
      <c r="D6685" s="13"/>
    </row>
    <row r="6686" spans="1:4">
      <c r="A6686" s="13"/>
      <c r="B6686" s="13"/>
      <c r="C6686" s="13"/>
      <c r="D6686" s="13"/>
    </row>
    <row r="6687" spans="1:4">
      <c r="A6687" s="13"/>
      <c r="B6687" s="13"/>
      <c r="C6687" s="13"/>
      <c r="D6687" s="13"/>
    </row>
    <row r="6688" spans="1:4">
      <c r="A6688" s="13"/>
      <c r="B6688" s="13"/>
      <c r="C6688" s="13"/>
      <c r="D6688" s="13"/>
    </row>
    <row r="6689" spans="1:4">
      <c r="A6689" s="13"/>
      <c r="B6689" s="13"/>
      <c r="C6689" s="13"/>
      <c r="D6689" s="13"/>
    </row>
    <row r="6690" spans="1:4">
      <c r="A6690" s="13"/>
      <c r="B6690" s="13"/>
      <c r="C6690" s="13"/>
      <c r="D6690" s="13"/>
    </row>
    <row r="6691" spans="1:4">
      <c r="A6691" s="13"/>
      <c r="B6691" s="13"/>
      <c r="C6691" s="13"/>
      <c r="D6691" s="13"/>
    </row>
    <row r="6692" spans="1:4">
      <c r="A6692" s="13"/>
      <c r="B6692" s="13"/>
      <c r="C6692" s="13"/>
      <c r="D6692" s="13"/>
    </row>
    <row r="6693" spans="1:4">
      <c r="A6693" s="13"/>
      <c r="B6693" s="13"/>
      <c r="C6693" s="13"/>
      <c r="D6693" s="13"/>
    </row>
    <row r="6694" spans="1:4">
      <c r="A6694" s="13"/>
      <c r="B6694" s="13"/>
      <c r="C6694" s="13"/>
      <c r="D6694" s="13"/>
    </row>
    <row r="6695" spans="1:4">
      <c r="A6695" s="13"/>
      <c r="B6695" s="13"/>
      <c r="C6695" s="13"/>
      <c r="D6695" s="13"/>
    </row>
    <row r="6696" spans="1:4">
      <c r="A6696" s="13"/>
      <c r="B6696" s="13"/>
      <c r="C6696" s="13"/>
      <c r="D6696" s="13"/>
    </row>
    <row r="6697" spans="1:4">
      <c r="A6697" s="13"/>
      <c r="B6697" s="13"/>
      <c r="C6697" s="13"/>
      <c r="D6697" s="13"/>
    </row>
    <row r="6698" spans="1:4">
      <c r="A6698" s="13"/>
      <c r="B6698" s="13"/>
      <c r="C6698" s="13"/>
      <c r="D6698" s="13"/>
    </row>
    <row r="6699" spans="1:4">
      <c r="A6699" s="13"/>
      <c r="B6699" s="13"/>
      <c r="C6699" s="13"/>
      <c r="D6699" s="13"/>
    </row>
    <row r="6700" spans="1:4">
      <c r="A6700" s="13"/>
      <c r="B6700" s="13"/>
      <c r="C6700" s="13"/>
      <c r="D6700" s="13"/>
    </row>
    <row r="6701" spans="1:4">
      <c r="A6701" s="13"/>
      <c r="B6701" s="13"/>
      <c r="C6701" s="13"/>
      <c r="D6701" s="13"/>
    </row>
    <row r="6702" spans="1:4">
      <c r="A6702" s="13"/>
      <c r="B6702" s="13"/>
      <c r="C6702" s="13"/>
      <c r="D6702" s="13"/>
    </row>
    <row r="6703" spans="1:4">
      <c r="A6703" s="13"/>
      <c r="B6703" s="13"/>
      <c r="C6703" s="13"/>
      <c r="D6703" s="13"/>
    </row>
    <row r="6704" spans="1:4">
      <c r="A6704" s="13"/>
      <c r="B6704" s="13"/>
      <c r="C6704" s="13"/>
      <c r="D6704" s="13"/>
    </row>
    <row r="6705" spans="1:4">
      <c r="A6705" s="13"/>
      <c r="B6705" s="13"/>
      <c r="C6705" s="13"/>
      <c r="D6705" s="13"/>
    </row>
    <row r="6706" spans="1:4">
      <c r="A6706" s="13"/>
      <c r="B6706" s="13"/>
      <c r="C6706" s="13"/>
      <c r="D6706" s="13"/>
    </row>
    <row r="6707" spans="1:4">
      <c r="A6707" s="13"/>
      <c r="B6707" s="13"/>
      <c r="C6707" s="13"/>
      <c r="D6707" s="13"/>
    </row>
    <row r="6708" spans="1:4">
      <c r="A6708" s="13"/>
      <c r="B6708" s="13"/>
      <c r="C6708" s="13"/>
      <c r="D6708" s="13"/>
    </row>
    <row r="6709" spans="1:4">
      <c r="A6709" s="13"/>
      <c r="B6709" s="13"/>
      <c r="C6709" s="13"/>
      <c r="D6709" s="13"/>
    </row>
    <row r="6710" spans="1:4">
      <c r="A6710" s="13"/>
      <c r="B6710" s="13"/>
      <c r="C6710" s="13"/>
      <c r="D6710" s="13"/>
    </row>
    <row r="6711" spans="1:4">
      <c r="A6711" s="13"/>
      <c r="B6711" s="13"/>
      <c r="C6711" s="13"/>
      <c r="D6711" s="13"/>
    </row>
    <row r="6712" spans="1:4">
      <c r="A6712" s="13"/>
      <c r="B6712" s="13"/>
      <c r="C6712" s="13"/>
      <c r="D6712" s="13"/>
    </row>
    <row r="6713" spans="1:4">
      <c r="A6713" s="13"/>
      <c r="B6713" s="13"/>
      <c r="C6713" s="13"/>
      <c r="D6713" s="13"/>
    </row>
    <row r="6714" spans="1:4">
      <c r="A6714" s="13"/>
      <c r="B6714" s="13"/>
      <c r="C6714" s="13"/>
      <c r="D6714" s="13"/>
    </row>
    <row r="6715" spans="1:4">
      <c r="A6715" s="13"/>
      <c r="B6715" s="13"/>
      <c r="C6715" s="13"/>
      <c r="D6715" s="13"/>
    </row>
    <row r="6716" spans="1:4">
      <c r="A6716" s="13"/>
      <c r="B6716" s="13"/>
      <c r="C6716" s="13"/>
      <c r="D6716" s="13"/>
    </row>
    <row r="6717" spans="1:4">
      <c r="A6717" s="13"/>
      <c r="B6717" s="13"/>
      <c r="C6717" s="13"/>
      <c r="D6717" s="13"/>
    </row>
    <row r="6718" spans="1:4">
      <c r="A6718" s="13"/>
      <c r="B6718" s="13"/>
      <c r="C6718" s="13"/>
      <c r="D6718" s="13"/>
    </row>
    <row r="6719" spans="1:4">
      <c r="A6719" s="13"/>
      <c r="B6719" s="13"/>
      <c r="C6719" s="13"/>
      <c r="D6719" s="13"/>
    </row>
    <row r="6720" spans="1:4">
      <c r="A6720" s="13"/>
      <c r="B6720" s="13"/>
      <c r="C6720" s="13"/>
      <c r="D6720" s="13"/>
    </row>
    <row r="6721" spans="1:4">
      <c r="A6721" s="13"/>
      <c r="B6721" s="13"/>
      <c r="C6721" s="13"/>
      <c r="D6721" s="13"/>
    </row>
    <row r="6722" spans="1:4">
      <c r="A6722" s="13"/>
      <c r="B6722" s="13"/>
      <c r="C6722" s="13"/>
      <c r="D6722" s="13"/>
    </row>
    <row r="6723" spans="1:4">
      <c r="A6723" s="13"/>
      <c r="B6723" s="13"/>
      <c r="C6723" s="13"/>
      <c r="D6723" s="13"/>
    </row>
    <row r="6724" spans="1:4">
      <c r="A6724" s="13"/>
      <c r="B6724" s="13"/>
      <c r="C6724" s="13"/>
      <c r="D6724" s="13"/>
    </row>
    <row r="6725" spans="1:4">
      <c r="A6725" s="13"/>
      <c r="B6725" s="13"/>
      <c r="C6725" s="13"/>
      <c r="D6725" s="13"/>
    </row>
    <row r="6726" spans="1:4">
      <c r="A6726" s="13"/>
      <c r="B6726" s="13"/>
      <c r="C6726" s="13"/>
      <c r="D6726" s="13"/>
    </row>
    <row r="6727" spans="1:4">
      <c r="A6727" s="13"/>
      <c r="B6727" s="13"/>
      <c r="C6727" s="13"/>
      <c r="D6727" s="13"/>
    </row>
    <row r="6728" spans="1:4">
      <c r="A6728" s="13"/>
      <c r="B6728" s="13"/>
      <c r="C6728" s="13"/>
      <c r="D6728" s="13"/>
    </row>
    <row r="6729" spans="1:4">
      <c r="A6729" s="13"/>
      <c r="B6729" s="13"/>
      <c r="C6729" s="13"/>
      <c r="D6729" s="13"/>
    </row>
    <row r="6730" spans="1:4">
      <c r="A6730" s="13"/>
      <c r="B6730" s="13"/>
      <c r="C6730" s="13"/>
      <c r="D6730" s="13"/>
    </row>
    <row r="6731" spans="1:4">
      <c r="A6731" s="13"/>
      <c r="B6731" s="13"/>
      <c r="C6731" s="13"/>
      <c r="D6731" s="13"/>
    </row>
    <row r="6732" spans="1:4">
      <c r="A6732" s="13"/>
      <c r="B6732" s="13"/>
      <c r="C6732" s="13"/>
      <c r="D6732" s="13"/>
    </row>
    <row r="6733" spans="1:4">
      <c r="A6733" s="13"/>
      <c r="B6733" s="13"/>
      <c r="C6733" s="13"/>
      <c r="D6733" s="13"/>
    </row>
    <row r="6734" spans="1:4">
      <c r="A6734" s="13"/>
      <c r="B6734" s="13"/>
      <c r="C6734" s="13"/>
      <c r="D6734" s="13"/>
    </row>
    <row r="6735" spans="1:4">
      <c r="A6735" s="13"/>
      <c r="B6735" s="13"/>
      <c r="C6735" s="13"/>
      <c r="D6735" s="13"/>
    </row>
    <row r="6736" spans="1:4">
      <c r="A6736" s="13"/>
      <c r="B6736" s="13"/>
      <c r="C6736" s="13"/>
      <c r="D6736" s="13"/>
    </row>
    <row r="6737" spans="1:4">
      <c r="A6737" s="13"/>
      <c r="B6737" s="13"/>
      <c r="C6737" s="13"/>
      <c r="D6737" s="13"/>
    </row>
    <row r="6738" spans="1:4">
      <c r="A6738" s="13"/>
      <c r="B6738" s="13"/>
      <c r="C6738" s="13"/>
      <c r="D6738" s="13"/>
    </row>
    <row r="6739" spans="1:4">
      <c r="A6739" s="13"/>
      <c r="B6739" s="13"/>
      <c r="C6739" s="13"/>
      <c r="D6739" s="13"/>
    </row>
    <row r="6740" spans="1:4">
      <c r="A6740" s="13"/>
      <c r="B6740" s="13"/>
      <c r="C6740" s="13"/>
      <c r="D6740" s="13"/>
    </row>
    <row r="6741" spans="1:4">
      <c r="A6741" s="13"/>
      <c r="B6741" s="13"/>
      <c r="C6741" s="13"/>
      <c r="D6741" s="13"/>
    </row>
    <row r="6742" spans="1:4">
      <c r="A6742" s="13"/>
      <c r="B6742" s="13"/>
      <c r="C6742" s="13"/>
      <c r="D6742" s="13"/>
    </row>
    <row r="6743" spans="1:4">
      <c r="A6743" s="13"/>
      <c r="B6743" s="13"/>
      <c r="C6743" s="13"/>
      <c r="D6743" s="13"/>
    </row>
    <row r="6744" spans="1:4">
      <c r="A6744" s="13"/>
      <c r="B6744" s="13"/>
      <c r="C6744" s="13"/>
      <c r="D6744" s="13"/>
    </row>
    <row r="6745" spans="1:4">
      <c r="A6745" s="13"/>
      <c r="B6745" s="13"/>
      <c r="C6745" s="13"/>
      <c r="D6745" s="13"/>
    </row>
    <row r="6746" spans="1:4">
      <c r="A6746" s="13"/>
      <c r="B6746" s="13"/>
      <c r="C6746" s="13"/>
      <c r="D6746" s="13"/>
    </row>
    <row r="6747" spans="1:4">
      <c r="A6747" s="13"/>
      <c r="B6747" s="13"/>
      <c r="C6747" s="13"/>
      <c r="D6747" s="13"/>
    </row>
    <row r="6748" spans="1:4">
      <c r="A6748" s="13"/>
      <c r="B6748" s="13"/>
      <c r="C6748" s="13"/>
      <c r="D6748" s="13"/>
    </row>
    <row r="6749" spans="1:4">
      <c r="A6749" s="13"/>
      <c r="B6749" s="13"/>
      <c r="C6749" s="13"/>
      <c r="D6749" s="13"/>
    </row>
    <row r="6750" spans="1:4">
      <c r="A6750" s="13"/>
      <c r="B6750" s="13"/>
      <c r="C6750" s="13"/>
      <c r="D6750" s="13"/>
    </row>
    <row r="6751" spans="1:4">
      <c r="A6751" s="13"/>
      <c r="B6751" s="13"/>
      <c r="C6751" s="13"/>
      <c r="D6751" s="13"/>
    </row>
    <row r="6752" spans="1:4">
      <c r="A6752" s="13"/>
      <c r="B6752" s="13"/>
      <c r="C6752" s="13"/>
      <c r="D6752" s="13"/>
    </row>
    <row r="6753" spans="1:4">
      <c r="A6753" s="13"/>
      <c r="B6753" s="13"/>
      <c r="C6753" s="13"/>
      <c r="D6753" s="13"/>
    </row>
    <row r="6754" spans="1:4">
      <c r="A6754" s="13"/>
      <c r="B6754" s="13"/>
      <c r="C6754" s="13"/>
      <c r="D6754" s="13"/>
    </row>
    <row r="6755" spans="1:4">
      <c r="A6755" s="13"/>
      <c r="B6755" s="13"/>
      <c r="C6755" s="13"/>
      <c r="D6755" s="13"/>
    </row>
    <row r="6756" spans="1:4">
      <c r="A6756" s="13"/>
      <c r="B6756" s="13"/>
      <c r="C6756" s="13"/>
      <c r="D6756" s="13"/>
    </row>
    <row r="6757" spans="1:4">
      <c r="A6757" s="13"/>
      <c r="B6757" s="13"/>
      <c r="C6757" s="13"/>
      <c r="D6757" s="13"/>
    </row>
    <row r="6758" spans="1:4">
      <c r="A6758" s="13"/>
      <c r="B6758" s="13"/>
      <c r="C6758" s="13"/>
      <c r="D6758" s="13"/>
    </row>
    <row r="6759" spans="1:4">
      <c r="A6759" s="13"/>
      <c r="B6759" s="13"/>
      <c r="C6759" s="13"/>
      <c r="D6759" s="13"/>
    </row>
    <row r="6760" spans="1:4">
      <c r="A6760" s="13"/>
      <c r="B6760" s="13"/>
      <c r="C6760" s="13"/>
      <c r="D6760" s="13"/>
    </row>
    <row r="6761" spans="1:4">
      <c r="A6761" s="13"/>
      <c r="B6761" s="13"/>
      <c r="C6761" s="13"/>
      <c r="D6761" s="13"/>
    </row>
    <row r="6762" spans="1:4">
      <c r="A6762" s="13"/>
      <c r="B6762" s="13"/>
      <c r="C6762" s="13"/>
      <c r="D6762" s="13"/>
    </row>
    <row r="6763" spans="1:4">
      <c r="A6763" s="13"/>
      <c r="B6763" s="13"/>
      <c r="C6763" s="13"/>
      <c r="D6763" s="13"/>
    </row>
    <row r="6764" spans="1:4">
      <c r="A6764" s="13"/>
      <c r="B6764" s="13"/>
      <c r="C6764" s="13"/>
      <c r="D6764" s="13"/>
    </row>
    <row r="6765" spans="1:4">
      <c r="A6765" s="13"/>
      <c r="B6765" s="13"/>
      <c r="C6765" s="13"/>
      <c r="D6765" s="13"/>
    </row>
    <row r="6766" spans="1:4">
      <c r="A6766" s="13"/>
      <c r="B6766" s="13"/>
      <c r="C6766" s="13"/>
      <c r="D6766" s="13"/>
    </row>
    <row r="6767" spans="1:4">
      <c r="A6767" s="13"/>
      <c r="B6767" s="13"/>
      <c r="C6767" s="13"/>
      <c r="D6767" s="13"/>
    </row>
    <row r="6768" spans="1:4">
      <c r="A6768" s="13"/>
      <c r="B6768" s="13"/>
      <c r="C6768" s="13"/>
      <c r="D6768" s="13"/>
    </row>
    <row r="6769" spans="1:4">
      <c r="A6769" s="13"/>
      <c r="B6769" s="13"/>
      <c r="C6769" s="13"/>
      <c r="D6769" s="13"/>
    </row>
    <row r="6770" spans="1:4">
      <c r="A6770" s="13"/>
      <c r="B6770" s="13"/>
      <c r="C6770" s="13"/>
      <c r="D6770" s="13"/>
    </row>
    <row r="6771" spans="1:4">
      <c r="A6771" s="13"/>
      <c r="B6771" s="13"/>
      <c r="C6771" s="13"/>
      <c r="D6771" s="13"/>
    </row>
    <row r="6772" spans="1:4">
      <c r="A6772" s="13"/>
      <c r="B6772" s="13"/>
      <c r="C6772" s="13"/>
      <c r="D6772" s="13"/>
    </row>
    <row r="6773" spans="1:4">
      <c r="A6773" s="13"/>
      <c r="B6773" s="13"/>
      <c r="C6773" s="13"/>
      <c r="D6773" s="13"/>
    </row>
    <row r="6774" spans="1:4">
      <c r="A6774" s="13"/>
      <c r="B6774" s="13"/>
      <c r="C6774" s="13"/>
      <c r="D6774" s="13"/>
    </row>
    <row r="6775" spans="1:4">
      <c r="A6775" s="13"/>
      <c r="B6775" s="13"/>
      <c r="C6775" s="13"/>
      <c r="D6775" s="13"/>
    </row>
    <row r="6776" spans="1:4">
      <c r="A6776" s="13"/>
      <c r="B6776" s="13"/>
      <c r="C6776" s="13"/>
      <c r="D6776" s="13"/>
    </row>
    <row r="6777" spans="1:4">
      <c r="A6777" s="13"/>
      <c r="B6777" s="13"/>
      <c r="C6777" s="13"/>
      <c r="D6777" s="13"/>
    </row>
    <row r="6778" spans="1:4">
      <c r="A6778" s="13"/>
      <c r="B6778" s="13"/>
      <c r="C6778" s="13"/>
      <c r="D6778" s="13"/>
    </row>
    <row r="6779" spans="1:4">
      <c r="A6779" s="13"/>
      <c r="B6779" s="13"/>
      <c r="C6779" s="13"/>
      <c r="D6779" s="13"/>
    </row>
    <row r="6780" spans="1:4">
      <c r="A6780" s="13"/>
      <c r="B6780" s="13"/>
      <c r="C6780" s="13"/>
      <c r="D6780" s="13"/>
    </row>
    <row r="6781" spans="1:4">
      <c r="A6781" s="13"/>
      <c r="B6781" s="13"/>
      <c r="C6781" s="13"/>
      <c r="D6781" s="13"/>
    </row>
    <row r="6782" spans="1:4">
      <c r="A6782" s="13"/>
      <c r="B6782" s="13"/>
      <c r="C6782" s="13"/>
      <c r="D6782" s="13"/>
    </row>
    <row r="6783" spans="1:4">
      <c r="A6783" s="13"/>
      <c r="B6783" s="13"/>
      <c r="C6783" s="13"/>
      <c r="D6783" s="13"/>
    </row>
    <row r="6784" spans="1:4">
      <c r="A6784" s="13"/>
      <c r="B6784" s="13"/>
      <c r="C6784" s="13"/>
      <c r="D6784" s="13"/>
    </row>
    <row r="6785" spans="1:4">
      <c r="A6785" s="13"/>
      <c r="B6785" s="13"/>
      <c r="C6785" s="13"/>
      <c r="D6785" s="13"/>
    </row>
    <row r="6786" spans="1:4">
      <c r="A6786" s="13"/>
      <c r="B6786" s="13"/>
      <c r="C6786" s="13"/>
      <c r="D6786" s="13"/>
    </row>
    <row r="6787" spans="1:4">
      <c r="A6787" s="13"/>
      <c r="B6787" s="13"/>
      <c r="C6787" s="13"/>
      <c r="D6787" s="13"/>
    </row>
    <row r="6788" spans="1:4">
      <c r="A6788" s="13"/>
      <c r="B6788" s="13"/>
      <c r="C6788" s="13"/>
      <c r="D6788" s="13"/>
    </row>
    <row r="6789" spans="1:4">
      <c r="A6789" s="13"/>
      <c r="B6789" s="13"/>
      <c r="C6789" s="13"/>
      <c r="D6789" s="13"/>
    </row>
    <row r="6790" spans="1:4">
      <c r="A6790" s="13"/>
      <c r="B6790" s="13"/>
      <c r="C6790" s="13"/>
      <c r="D6790" s="13"/>
    </row>
    <row r="6791" spans="1:4">
      <c r="A6791" s="13"/>
      <c r="B6791" s="13"/>
      <c r="C6791" s="13"/>
      <c r="D6791" s="13"/>
    </row>
    <row r="6792" spans="1:4">
      <c r="A6792" s="13"/>
      <c r="B6792" s="13"/>
      <c r="C6792" s="13"/>
      <c r="D6792" s="13"/>
    </row>
    <row r="6793" spans="1:4">
      <c r="A6793" s="13"/>
      <c r="B6793" s="13"/>
      <c r="C6793" s="13"/>
      <c r="D6793" s="13"/>
    </row>
    <row r="6794" spans="1:4">
      <c r="A6794" s="13"/>
      <c r="B6794" s="13"/>
      <c r="C6794" s="13"/>
      <c r="D6794" s="13"/>
    </row>
    <row r="6795" spans="1:4">
      <c r="A6795" s="13"/>
      <c r="B6795" s="13"/>
      <c r="C6795" s="13"/>
      <c r="D6795" s="13"/>
    </row>
    <row r="6796" spans="1:4">
      <c r="A6796" s="13"/>
      <c r="B6796" s="13"/>
      <c r="C6796" s="13"/>
      <c r="D6796" s="13"/>
    </row>
    <row r="6797" spans="1:4">
      <c r="A6797" s="13"/>
      <c r="B6797" s="13"/>
      <c r="C6797" s="13"/>
      <c r="D6797" s="13"/>
    </row>
    <row r="6798" spans="1:4">
      <c r="A6798" s="13"/>
      <c r="B6798" s="13"/>
      <c r="C6798" s="13"/>
      <c r="D6798" s="13"/>
    </row>
    <row r="6799" spans="1:4">
      <c r="A6799" s="13"/>
      <c r="B6799" s="13"/>
      <c r="C6799" s="13"/>
      <c r="D6799" s="13"/>
    </row>
    <row r="6800" spans="1:4">
      <c r="A6800" s="13"/>
      <c r="B6800" s="13"/>
      <c r="C6800" s="13"/>
      <c r="D6800" s="13"/>
    </row>
    <row r="6801" spans="1:4">
      <c r="A6801" s="13"/>
      <c r="B6801" s="13"/>
      <c r="C6801" s="13"/>
      <c r="D6801" s="13"/>
    </row>
    <row r="6802" spans="1:4">
      <c r="A6802" s="13"/>
      <c r="B6802" s="13"/>
      <c r="C6802" s="13"/>
      <c r="D6802" s="13"/>
    </row>
    <row r="6803" spans="1:4">
      <c r="A6803" s="13"/>
      <c r="B6803" s="13"/>
      <c r="C6803" s="13"/>
      <c r="D6803" s="13"/>
    </row>
    <row r="6804" spans="1:4">
      <c r="A6804" s="13"/>
      <c r="B6804" s="13"/>
      <c r="C6804" s="13"/>
      <c r="D6804" s="13"/>
    </row>
    <row r="6805" spans="1:4">
      <c r="A6805" s="13"/>
      <c r="B6805" s="13"/>
      <c r="C6805" s="13"/>
      <c r="D6805" s="13"/>
    </row>
    <row r="6806" spans="1:4">
      <c r="A6806" s="13"/>
      <c r="B6806" s="13"/>
      <c r="C6806" s="13"/>
      <c r="D6806" s="13"/>
    </row>
    <row r="6807" spans="1:4">
      <c r="A6807" s="13"/>
      <c r="B6807" s="13"/>
      <c r="C6807" s="13"/>
      <c r="D6807" s="13"/>
    </row>
    <row r="6808" spans="1:4">
      <c r="A6808" s="13"/>
      <c r="B6808" s="13"/>
      <c r="C6808" s="13"/>
      <c r="D6808" s="13"/>
    </row>
    <row r="6809" spans="1:4">
      <c r="A6809" s="13"/>
      <c r="B6809" s="13"/>
      <c r="C6809" s="13"/>
      <c r="D6809" s="13"/>
    </row>
    <row r="6810" spans="1:4">
      <c r="A6810" s="13"/>
      <c r="B6810" s="13"/>
      <c r="C6810" s="13"/>
      <c r="D6810" s="13"/>
    </row>
    <row r="6811" spans="1:4">
      <c r="A6811" s="13"/>
      <c r="B6811" s="13"/>
      <c r="C6811" s="13"/>
      <c r="D6811" s="13"/>
    </row>
    <row r="6812" spans="1:4">
      <c r="A6812" s="13"/>
      <c r="B6812" s="13"/>
      <c r="C6812" s="13"/>
      <c r="D6812" s="13"/>
    </row>
    <row r="6813" spans="1:4">
      <c r="A6813" s="13"/>
      <c r="B6813" s="13"/>
      <c r="C6813" s="13"/>
      <c r="D6813" s="13"/>
    </row>
    <row r="6814" spans="1:4">
      <c r="A6814" s="13"/>
      <c r="B6814" s="13"/>
      <c r="C6814" s="13"/>
      <c r="D6814" s="13"/>
    </row>
    <row r="6815" spans="1:4">
      <c r="A6815" s="13"/>
      <c r="B6815" s="13"/>
      <c r="C6815" s="13"/>
      <c r="D6815" s="13"/>
    </row>
    <row r="6816" spans="1:4">
      <c r="A6816" s="13"/>
      <c r="B6816" s="13"/>
      <c r="C6816" s="13"/>
      <c r="D6816" s="13"/>
    </row>
    <row r="6817" spans="1:4">
      <c r="A6817" s="13"/>
      <c r="B6817" s="13"/>
      <c r="C6817" s="13"/>
      <c r="D6817" s="13"/>
    </row>
    <row r="6818" spans="1:4">
      <c r="A6818" s="13"/>
      <c r="B6818" s="13"/>
      <c r="C6818" s="13"/>
      <c r="D6818" s="13"/>
    </row>
    <row r="6819" spans="1:4">
      <c r="A6819" s="13"/>
      <c r="B6819" s="13"/>
      <c r="C6819" s="13"/>
      <c r="D6819" s="13"/>
    </row>
    <row r="6820" spans="1:4">
      <c r="A6820" s="13"/>
      <c r="B6820" s="13"/>
      <c r="C6820" s="13"/>
      <c r="D6820" s="13"/>
    </row>
    <row r="6821" spans="1:4">
      <c r="A6821" s="13"/>
      <c r="B6821" s="13"/>
      <c r="C6821" s="13"/>
      <c r="D6821" s="13"/>
    </row>
    <row r="6822" spans="1:4">
      <c r="A6822" s="13"/>
      <c r="B6822" s="13"/>
      <c r="C6822" s="13"/>
      <c r="D6822" s="13"/>
    </row>
    <row r="6823" spans="1:4">
      <c r="A6823" s="13"/>
      <c r="B6823" s="13"/>
      <c r="C6823" s="13"/>
      <c r="D6823" s="13"/>
    </row>
    <row r="6824" spans="1:4">
      <c r="A6824" s="13"/>
      <c r="B6824" s="13"/>
      <c r="C6824" s="13"/>
      <c r="D6824" s="13"/>
    </row>
    <row r="6825" spans="1:4">
      <c r="A6825" s="13"/>
      <c r="B6825" s="13"/>
      <c r="C6825" s="13"/>
      <c r="D6825" s="13"/>
    </row>
    <row r="6826" spans="1:4">
      <c r="A6826" s="13"/>
      <c r="B6826" s="13"/>
      <c r="C6826" s="13"/>
      <c r="D6826" s="13"/>
    </row>
    <row r="6827" spans="1:4">
      <c r="A6827" s="13"/>
      <c r="B6827" s="13"/>
      <c r="C6827" s="13"/>
      <c r="D6827" s="13"/>
    </row>
    <row r="6828" spans="1:4">
      <c r="A6828" s="13"/>
      <c r="B6828" s="13"/>
      <c r="C6828" s="13"/>
      <c r="D6828" s="13"/>
    </row>
    <row r="6829" spans="1:4">
      <c r="A6829" s="13"/>
      <c r="B6829" s="13"/>
      <c r="C6829" s="13"/>
      <c r="D6829" s="13"/>
    </row>
    <row r="6830" spans="1:4">
      <c r="A6830" s="13"/>
      <c r="B6830" s="13"/>
      <c r="C6830" s="13"/>
      <c r="D6830" s="13"/>
    </row>
    <row r="6831" spans="1:4">
      <c r="A6831" s="13"/>
      <c r="B6831" s="13"/>
      <c r="C6831" s="13"/>
      <c r="D6831" s="13"/>
    </row>
    <row r="6832" spans="1:4">
      <c r="A6832" s="13"/>
      <c r="B6832" s="13"/>
      <c r="C6832" s="13"/>
      <c r="D6832" s="13"/>
    </row>
    <row r="6833" spans="1:4">
      <c r="A6833" s="13"/>
      <c r="B6833" s="13"/>
      <c r="C6833" s="13"/>
      <c r="D6833" s="13"/>
    </row>
    <row r="6834" spans="1:4">
      <c r="A6834" s="13"/>
      <c r="B6834" s="13"/>
      <c r="C6834" s="13"/>
      <c r="D6834" s="13"/>
    </row>
    <row r="6835" spans="1:4">
      <c r="A6835" s="13"/>
      <c r="B6835" s="13"/>
      <c r="C6835" s="13"/>
      <c r="D6835" s="13"/>
    </row>
    <row r="6836" spans="1:4">
      <c r="A6836" s="13"/>
      <c r="B6836" s="13"/>
      <c r="C6836" s="13"/>
      <c r="D6836" s="13"/>
    </row>
    <row r="6837" spans="1:4">
      <c r="A6837" s="13"/>
      <c r="B6837" s="13"/>
      <c r="C6837" s="13"/>
      <c r="D6837" s="13"/>
    </row>
    <row r="6838" spans="1:4">
      <c r="A6838" s="13"/>
      <c r="B6838" s="13"/>
      <c r="C6838" s="13"/>
      <c r="D6838" s="13"/>
    </row>
    <row r="6839" spans="1:4">
      <c r="A6839" s="13"/>
      <c r="B6839" s="13"/>
      <c r="C6839" s="13"/>
      <c r="D6839" s="13"/>
    </row>
    <row r="6840" spans="1:4">
      <c r="A6840" s="13"/>
      <c r="B6840" s="13"/>
      <c r="C6840" s="13"/>
      <c r="D6840" s="13"/>
    </row>
    <row r="6841" spans="1:4">
      <c r="A6841" s="13"/>
      <c r="B6841" s="13"/>
      <c r="C6841" s="13"/>
      <c r="D6841" s="13"/>
    </row>
    <row r="6842" spans="1:4">
      <c r="A6842" s="13"/>
      <c r="B6842" s="13"/>
      <c r="C6842" s="13"/>
      <c r="D6842" s="13"/>
    </row>
    <row r="6843" spans="1:4">
      <c r="A6843" s="13"/>
      <c r="B6843" s="13"/>
      <c r="C6843" s="13"/>
      <c r="D6843" s="13"/>
    </row>
    <row r="6844" spans="1:4">
      <c r="A6844" s="13"/>
      <c r="B6844" s="13"/>
      <c r="C6844" s="13"/>
      <c r="D6844" s="13"/>
    </row>
    <row r="6845" spans="1:4">
      <c r="A6845" s="13"/>
      <c r="B6845" s="13"/>
      <c r="C6845" s="13"/>
      <c r="D6845" s="13"/>
    </row>
    <row r="6846" spans="1:4">
      <c r="A6846" s="13"/>
      <c r="B6846" s="13"/>
      <c r="C6846" s="13"/>
      <c r="D6846" s="13"/>
    </row>
    <row r="6847" spans="1:4">
      <c r="A6847" s="13"/>
      <c r="B6847" s="13"/>
      <c r="C6847" s="13"/>
      <c r="D6847" s="13"/>
    </row>
    <row r="6848" spans="1:4">
      <c r="A6848" s="13"/>
      <c r="B6848" s="13"/>
      <c r="C6848" s="13"/>
      <c r="D6848" s="13"/>
    </row>
    <row r="6849" spans="1:4">
      <c r="A6849" s="13"/>
      <c r="B6849" s="13"/>
      <c r="C6849" s="13"/>
      <c r="D6849" s="13"/>
    </row>
    <row r="6850" spans="1:4">
      <c r="A6850" s="13"/>
      <c r="B6850" s="13"/>
      <c r="C6850" s="13"/>
      <c r="D6850" s="13"/>
    </row>
    <row r="6851" spans="1:4">
      <c r="A6851" s="13"/>
      <c r="B6851" s="13"/>
      <c r="C6851" s="13"/>
      <c r="D6851" s="13"/>
    </row>
    <row r="6852" spans="1:4">
      <c r="A6852" s="13"/>
      <c r="B6852" s="13"/>
      <c r="C6852" s="13"/>
      <c r="D6852" s="13"/>
    </row>
    <row r="6853" spans="1:4">
      <c r="A6853" s="13"/>
      <c r="B6853" s="13"/>
      <c r="C6853" s="13"/>
      <c r="D6853" s="13"/>
    </row>
    <row r="6854" spans="1:4">
      <c r="A6854" s="13"/>
      <c r="B6854" s="13"/>
      <c r="C6854" s="13"/>
      <c r="D6854" s="13"/>
    </row>
    <row r="6855" spans="1:4">
      <c r="A6855" s="13"/>
      <c r="B6855" s="13"/>
      <c r="C6855" s="13"/>
      <c r="D6855" s="13"/>
    </row>
    <row r="6856" spans="1:4">
      <c r="A6856" s="13"/>
      <c r="B6856" s="13"/>
      <c r="C6856" s="13"/>
      <c r="D6856" s="13"/>
    </row>
    <row r="6857" spans="1:4">
      <c r="A6857" s="13"/>
      <c r="B6857" s="13"/>
      <c r="C6857" s="13"/>
      <c r="D6857" s="13"/>
    </row>
    <row r="6858" spans="1:4">
      <c r="A6858" s="13"/>
      <c r="B6858" s="13"/>
      <c r="C6858" s="13"/>
      <c r="D6858" s="13"/>
    </row>
    <row r="6859" spans="1:4">
      <c r="A6859" s="13"/>
      <c r="B6859" s="13"/>
      <c r="C6859" s="13"/>
      <c r="D6859" s="13"/>
    </row>
    <row r="6860" spans="1:4">
      <c r="A6860" s="13"/>
      <c r="B6860" s="13"/>
      <c r="C6860" s="13"/>
      <c r="D6860" s="13"/>
    </row>
    <row r="6861" spans="1:4">
      <c r="A6861" s="13"/>
      <c r="B6861" s="13"/>
      <c r="C6861" s="13"/>
      <c r="D6861" s="13"/>
    </row>
    <row r="6862" spans="1:4">
      <c r="A6862" s="13"/>
      <c r="B6862" s="13"/>
      <c r="C6862" s="13"/>
      <c r="D6862" s="13"/>
    </row>
    <row r="6863" spans="1:4">
      <c r="A6863" s="13"/>
      <c r="B6863" s="13"/>
      <c r="C6863" s="13"/>
      <c r="D6863" s="13"/>
    </row>
    <row r="6864" spans="1:4">
      <c r="A6864" s="13"/>
      <c r="B6864" s="13"/>
      <c r="C6864" s="13"/>
      <c r="D6864" s="13"/>
    </row>
    <row r="6865" spans="1:4">
      <c r="A6865" s="13"/>
      <c r="B6865" s="13"/>
      <c r="C6865" s="13"/>
      <c r="D6865" s="13"/>
    </row>
    <row r="6866" spans="1:4">
      <c r="A6866" s="13"/>
      <c r="B6866" s="13"/>
      <c r="C6866" s="13"/>
      <c r="D6866" s="13"/>
    </row>
    <row r="6867" spans="1:4">
      <c r="A6867" s="13"/>
      <c r="B6867" s="13"/>
      <c r="C6867" s="13"/>
      <c r="D6867" s="13"/>
    </row>
    <row r="6868" spans="1:4">
      <c r="A6868" s="13"/>
      <c r="B6868" s="13"/>
      <c r="C6868" s="13"/>
      <c r="D6868" s="13"/>
    </row>
    <row r="6869" spans="1:4">
      <c r="A6869" s="13"/>
      <c r="B6869" s="13"/>
      <c r="C6869" s="13"/>
      <c r="D6869" s="13"/>
    </row>
    <row r="6870" spans="1:4">
      <c r="A6870" s="13"/>
      <c r="B6870" s="13"/>
      <c r="C6870" s="13"/>
      <c r="D6870" s="13"/>
    </row>
    <row r="6871" spans="1:4">
      <c r="A6871" s="13"/>
      <c r="B6871" s="13"/>
      <c r="C6871" s="13"/>
      <c r="D6871" s="13"/>
    </row>
    <row r="6872" spans="1:4">
      <c r="A6872" s="13"/>
      <c r="B6872" s="13"/>
      <c r="C6872" s="13"/>
      <c r="D6872" s="13"/>
    </row>
    <row r="6873" spans="1:4">
      <c r="A6873" s="13"/>
      <c r="B6873" s="13"/>
      <c r="C6873" s="13"/>
      <c r="D6873" s="13"/>
    </row>
    <row r="6874" spans="1:4">
      <c r="A6874" s="13"/>
      <c r="B6874" s="13"/>
      <c r="C6874" s="13"/>
      <c r="D6874" s="13"/>
    </row>
    <row r="6875" spans="1:4">
      <c r="A6875" s="13"/>
      <c r="B6875" s="13"/>
      <c r="C6875" s="13"/>
      <c r="D6875" s="13"/>
    </row>
    <row r="6876" spans="1:4">
      <c r="A6876" s="13"/>
      <c r="B6876" s="13"/>
      <c r="C6876" s="13"/>
      <c r="D6876" s="13"/>
    </row>
    <row r="6877" spans="1:4">
      <c r="A6877" s="13"/>
      <c r="B6877" s="13"/>
      <c r="C6877" s="13"/>
      <c r="D6877" s="13"/>
    </row>
    <row r="6878" spans="1:4">
      <c r="A6878" s="13"/>
      <c r="B6878" s="13"/>
      <c r="C6878" s="13"/>
      <c r="D6878" s="13"/>
    </row>
    <row r="6879" spans="1:4">
      <c r="A6879" s="13"/>
      <c r="B6879" s="13"/>
      <c r="C6879" s="13"/>
      <c r="D6879" s="13"/>
    </row>
    <row r="6880" spans="1:4">
      <c r="A6880" s="13"/>
      <c r="B6880" s="13"/>
      <c r="C6880" s="13"/>
      <c r="D6880" s="13"/>
    </row>
    <row r="6881" spans="1:4">
      <c r="A6881" s="13"/>
      <c r="B6881" s="13"/>
      <c r="C6881" s="13"/>
      <c r="D6881" s="13"/>
    </row>
    <row r="6882" spans="1:4">
      <c r="A6882" s="13"/>
      <c r="B6882" s="13"/>
      <c r="C6882" s="13"/>
      <c r="D6882" s="13"/>
    </row>
    <row r="6883" spans="1:4">
      <c r="A6883" s="13"/>
      <c r="B6883" s="13"/>
      <c r="C6883" s="13"/>
      <c r="D6883" s="13"/>
    </row>
    <row r="6884" spans="1:4">
      <c r="A6884" s="13"/>
      <c r="B6884" s="13"/>
      <c r="C6884" s="13"/>
      <c r="D6884" s="13"/>
    </row>
    <row r="6885" spans="1:4">
      <c r="A6885" s="13"/>
      <c r="B6885" s="13"/>
      <c r="C6885" s="13"/>
      <c r="D6885" s="13"/>
    </row>
    <row r="6886" spans="1:4">
      <c r="A6886" s="13"/>
      <c r="B6886" s="13"/>
      <c r="C6886" s="13"/>
      <c r="D6886" s="13"/>
    </row>
    <row r="6887" spans="1:4">
      <c r="A6887" s="13"/>
      <c r="B6887" s="13"/>
      <c r="C6887" s="13"/>
      <c r="D6887" s="13"/>
    </row>
    <row r="6888" spans="1:4">
      <c r="A6888" s="13"/>
      <c r="B6888" s="13"/>
      <c r="C6888" s="13"/>
      <c r="D6888" s="13"/>
    </row>
    <row r="6889" spans="1:4">
      <c r="A6889" s="13"/>
      <c r="B6889" s="13"/>
      <c r="C6889" s="13"/>
      <c r="D6889" s="13"/>
    </row>
    <row r="6890" spans="1:4">
      <c r="A6890" s="13"/>
      <c r="B6890" s="13"/>
      <c r="C6890" s="13"/>
      <c r="D6890" s="13"/>
    </row>
    <row r="6891" spans="1:4">
      <c r="A6891" s="13"/>
      <c r="B6891" s="13"/>
      <c r="C6891" s="13"/>
      <c r="D6891" s="13"/>
    </row>
    <row r="6892" spans="1:4">
      <c r="A6892" s="13"/>
      <c r="B6892" s="13"/>
      <c r="C6892" s="13"/>
      <c r="D6892" s="13"/>
    </row>
    <row r="6893" spans="1:4">
      <c r="A6893" s="13"/>
      <c r="B6893" s="13"/>
      <c r="C6893" s="13"/>
      <c r="D6893" s="13"/>
    </row>
    <row r="6894" spans="1:4">
      <c r="A6894" s="13"/>
      <c r="B6894" s="13"/>
      <c r="C6894" s="13"/>
      <c r="D6894" s="13"/>
    </row>
    <row r="6895" spans="1:4">
      <c r="A6895" s="13"/>
      <c r="B6895" s="13"/>
      <c r="C6895" s="13"/>
      <c r="D6895" s="13"/>
    </row>
    <row r="6896" spans="1:4">
      <c r="A6896" s="13"/>
      <c r="B6896" s="13"/>
      <c r="C6896" s="13"/>
      <c r="D6896" s="13"/>
    </row>
    <row r="6897" spans="1:4">
      <c r="A6897" s="13"/>
      <c r="B6897" s="13"/>
      <c r="C6897" s="13"/>
      <c r="D6897" s="13"/>
    </row>
    <row r="6898" spans="1:4">
      <c r="A6898" s="13"/>
      <c r="B6898" s="13"/>
      <c r="C6898" s="13"/>
      <c r="D6898" s="13"/>
    </row>
    <row r="6899" spans="1:4">
      <c r="A6899" s="13"/>
      <c r="B6899" s="13"/>
      <c r="C6899" s="13"/>
      <c r="D6899" s="13"/>
    </row>
    <row r="6900" spans="1:4">
      <c r="A6900" s="13"/>
      <c r="B6900" s="13"/>
      <c r="C6900" s="13"/>
      <c r="D6900" s="13"/>
    </row>
    <row r="6901" spans="1:4">
      <c r="A6901" s="13"/>
      <c r="B6901" s="13"/>
      <c r="C6901" s="13"/>
      <c r="D6901" s="13"/>
    </row>
    <row r="6902" spans="1:4">
      <c r="A6902" s="13"/>
      <c r="B6902" s="13"/>
      <c r="C6902" s="13"/>
      <c r="D6902" s="13"/>
    </row>
    <row r="6903" spans="1:4">
      <c r="A6903" s="13"/>
      <c r="B6903" s="13"/>
      <c r="C6903" s="13"/>
      <c r="D6903" s="13"/>
    </row>
    <row r="6904" spans="1:4">
      <c r="A6904" s="13"/>
      <c r="B6904" s="13"/>
      <c r="C6904" s="13"/>
      <c r="D6904" s="13"/>
    </row>
    <row r="6905" spans="1:4">
      <c r="A6905" s="13"/>
      <c r="B6905" s="13"/>
      <c r="C6905" s="13"/>
      <c r="D6905" s="13"/>
    </row>
    <row r="6906" spans="1:4">
      <c r="A6906" s="13"/>
      <c r="B6906" s="13"/>
      <c r="C6906" s="13"/>
      <c r="D6906" s="13"/>
    </row>
    <row r="6907" spans="1:4">
      <c r="A6907" s="13"/>
      <c r="B6907" s="13"/>
      <c r="C6907" s="13"/>
      <c r="D6907" s="13"/>
    </row>
    <row r="6908" spans="1:4">
      <c r="A6908" s="13"/>
      <c r="B6908" s="13"/>
      <c r="C6908" s="13"/>
      <c r="D6908" s="13"/>
    </row>
    <row r="6909" spans="1:4">
      <c r="A6909" s="13"/>
      <c r="B6909" s="13"/>
      <c r="C6909" s="13"/>
      <c r="D6909" s="13"/>
    </row>
    <row r="6910" spans="1:4">
      <c r="A6910" s="13"/>
      <c r="B6910" s="13"/>
      <c r="C6910" s="13"/>
      <c r="D6910" s="13"/>
    </row>
    <row r="6911" spans="1:4">
      <c r="A6911" s="13"/>
      <c r="B6911" s="13"/>
      <c r="C6911" s="13"/>
      <c r="D6911" s="13"/>
    </row>
    <row r="6912" spans="1:4">
      <c r="A6912" s="13"/>
      <c r="B6912" s="13"/>
      <c r="C6912" s="13"/>
      <c r="D6912" s="13"/>
    </row>
    <row r="6913" spans="1:4">
      <c r="A6913" s="13"/>
      <c r="B6913" s="13"/>
      <c r="C6913" s="13"/>
      <c r="D6913" s="13"/>
    </row>
    <row r="6914" spans="1:4">
      <c r="A6914" s="13"/>
      <c r="B6914" s="13"/>
      <c r="C6914" s="13"/>
      <c r="D6914" s="13"/>
    </row>
    <row r="6915" spans="1:4">
      <c r="A6915" s="13"/>
      <c r="B6915" s="13"/>
      <c r="C6915" s="13"/>
      <c r="D6915" s="13"/>
    </row>
    <row r="6916" spans="1:4">
      <c r="A6916" s="13"/>
      <c r="B6916" s="13"/>
      <c r="C6916" s="13"/>
      <c r="D6916" s="13"/>
    </row>
    <row r="6917" spans="1:4">
      <c r="A6917" s="13"/>
      <c r="B6917" s="13"/>
      <c r="C6917" s="13"/>
      <c r="D6917" s="13"/>
    </row>
    <row r="6918" spans="1:4">
      <c r="A6918" s="13"/>
      <c r="B6918" s="13"/>
      <c r="C6918" s="13"/>
      <c r="D6918" s="13"/>
    </row>
    <row r="6919" spans="1:4">
      <c r="A6919" s="13"/>
      <c r="B6919" s="13"/>
      <c r="C6919" s="13"/>
      <c r="D6919" s="13"/>
    </row>
    <row r="6920" spans="1:4">
      <c r="A6920" s="13"/>
      <c r="B6920" s="13"/>
      <c r="C6920" s="13"/>
      <c r="D6920" s="13"/>
    </row>
    <row r="6921" spans="1:4">
      <c r="A6921" s="13"/>
      <c r="B6921" s="13"/>
      <c r="C6921" s="13"/>
      <c r="D6921" s="13"/>
    </row>
    <row r="6922" spans="1:4">
      <c r="A6922" s="13"/>
      <c r="B6922" s="13"/>
      <c r="C6922" s="13"/>
      <c r="D6922" s="13"/>
    </row>
    <row r="6923" spans="1:4">
      <c r="A6923" s="13"/>
      <c r="B6923" s="13"/>
      <c r="C6923" s="13"/>
      <c r="D6923" s="13"/>
    </row>
    <row r="6924" spans="1:4">
      <c r="A6924" s="13"/>
      <c r="B6924" s="13"/>
      <c r="C6924" s="13"/>
      <c r="D6924" s="13"/>
    </row>
    <row r="6925" spans="1:4">
      <c r="A6925" s="13"/>
      <c r="B6925" s="13"/>
      <c r="C6925" s="13"/>
      <c r="D6925" s="13"/>
    </row>
    <row r="6926" spans="1:4">
      <c r="A6926" s="13"/>
      <c r="B6926" s="13"/>
      <c r="C6926" s="13"/>
      <c r="D6926" s="13"/>
    </row>
    <row r="6927" spans="1:4">
      <c r="A6927" s="13"/>
      <c r="B6927" s="13"/>
      <c r="C6927" s="13"/>
      <c r="D6927" s="13"/>
    </row>
    <row r="6928" spans="1:4">
      <c r="A6928" s="13"/>
      <c r="B6928" s="13"/>
      <c r="C6928" s="13"/>
      <c r="D6928" s="13"/>
    </row>
    <row r="6929" spans="1:4">
      <c r="A6929" s="13"/>
      <c r="B6929" s="13"/>
      <c r="C6929" s="13"/>
      <c r="D6929" s="13"/>
    </row>
    <row r="6930" spans="1:4">
      <c r="A6930" s="13"/>
      <c r="B6930" s="13"/>
      <c r="C6930" s="13"/>
      <c r="D6930" s="13"/>
    </row>
    <row r="6931" spans="1:4">
      <c r="A6931" s="13"/>
      <c r="B6931" s="13"/>
      <c r="C6931" s="13"/>
      <c r="D6931" s="13"/>
    </row>
    <row r="6932" spans="1:4">
      <c r="A6932" s="13"/>
      <c r="B6932" s="13"/>
      <c r="C6932" s="13"/>
      <c r="D6932" s="13"/>
    </row>
    <row r="6933" spans="1:4">
      <c r="A6933" s="13"/>
      <c r="B6933" s="13"/>
      <c r="C6933" s="13"/>
      <c r="D6933" s="13"/>
    </row>
    <row r="6934" spans="1:4">
      <c r="A6934" s="13"/>
      <c r="B6934" s="13"/>
      <c r="C6934" s="13"/>
      <c r="D6934" s="13"/>
    </row>
    <row r="6935" spans="1:4">
      <c r="A6935" s="13"/>
      <c r="B6935" s="13"/>
      <c r="C6935" s="13"/>
      <c r="D6935" s="13"/>
    </row>
    <row r="6936" spans="1:4">
      <c r="A6936" s="13"/>
      <c r="B6936" s="13"/>
      <c r="C6936" s="13"/>
      <c r="D6936" s="13"/>
    </row>
    <row r="6937" spans="1:4">
      <c r="A6937" s="13"/>
      <c r="B6937" s="13"/>
      <c r="C6937" s="13"/>
      <c r="D6937" s="13"/>
    </row>
    <row r="6938" spans="1:4">
      <c r="A6938" s="13"/>
      <c r="B6938" s="13"/>
      <c r="C6938" s="13"/>
      <c r="D6938" s="13"/>
    </row>
    <row r="6939" spans="1:4">
      <c r="A6939" s="13"/>
      <c r="B6939" s="13"/>
      <c r="C6939" s="13"/>
      <c r="D6939" s="13"/>
    </row>
    <row r="6940" spans="1:4">
      <c r="A6940" s="13"/>
      <c r="B6940" s="13"/>
      <c r="C6940" s="13"/>
      <c r="D6940" s="13"/>
    </row>
    <row r="6941" spans="1:4">
      <c r="A6941" s="13"/>
      <c r="B6941" s="13"/>
      <c r="C6941" s="13"/>
      <c r="D6941" s="13"/>
    </row>
    <row r="6942" spans="1:4">
      <c r="A6942" s="13"/>
      <c r="B6942" s="13"/>
      <c r="C6942" s="13"/>
      <c r="D6942" s="13"/>
    </row>
    <row r="6943" spans="1:4">
      <c r="A6943" s="13"/>
      <c r="B6943" s="13"/>
      <c r="C6943" s="13"/>
      <c r="D6943" s="13"/>
    </row>
    <row r="6944" spans="1:4">
      <c r="A6944" s="13"/>
      <c r="B6944" s="13"/>
      <c r="C6944" s="13"/>
      <c r="D6944" s="13"/>
    </row>
    <row r="6945" spans="1:4">
      <c r="A6945" s="13"/>
      <c r="B6945" s="13"/>
      <c r="C6945" s="13"/>
      <c r="D6945" s="13"/>
    </row>
    <row r="6946" spans="1:4">
      <c r="A6946" s="13"/>
      <c r="B6946" s="13"/>
      <c r="C6946" s="13"/>
      <c r="D6946" s="13"/>
    </row>
    <row r="6947" spans="1:4">
      <c r="A6947" s="13"/>
      <c r="B6947" s="13"/>
      <c r="C6947" s="13"/>
      <c r="D6947" s="13"/>
    </row>
    <row r="6948" spans="1:4">
      <c r="A6948" s="13"/>
      <c r="B6948" s="13"/>
      <c r="C6948" s="13"/>
      <c r="D6948" s="13"/>
    </row>
    <row r="6949" spans="1:4">
      <c r="A6949" s="13"/>
      <c r="B6949" s="13"/>
      <c r="C6949" s="13"/>
      <c r="D6949" s="13"/>
    </row>
    <row r="6950" spans="1:4">
      <c r="A6950" s="13"/>
      <c r="B6950" s="13"/>
      <c r="C6950" s="13"/>
      <c r="D6950" s="13"/>
    </row>
    <row r="6951" spans="1:4">
      <c r="A6951" s="13"/>
      <c r="B6951" s="13"/>
      <c r="C6951" s="13"/>
      <c r="D6951" s="13"/>
    </row>
    <row r="6952" spans="1:4">
      <c r="A6952" s="13"/>
      <c r="B6952" s="13"/>
      <c r="C6952" s="13"/>
      <c r="D6952" s="13"/>
    </row>
    <row r="6953" spans="1:4">
      <c r="A6953" s="13"/>
      <c r="B6953" s="13"/>
      <c r="C6953" s="13"/>
      <c r="D6953" s="13"/>
    </row>
    <row r="6954" spans="1:4">
      <c r="A6954" s="13"/>
      <c r="B6954" s="13"/>
      <c r="C6954" s="13"/>
      <c r="D6954" s="13"/>
    </row>
    <row r="6955" spans="1:4">
      <c r="A6955" s="13"/>
      <c r="B6955" s="13"/>
      <c r="C6955" s="13"/>
      <c r="D6955" s="13"/>
    </row>
    <row r="6956" spans="1:4">
      <c r="A6956" s="13"/>
      <c r="B6956" s="13"/>
      <c r="C6956" s="13"/>
      <c r="D6956" s="13"/>
    </row>
    <row r="6957" spans="1:4">
      <c r="A6957" s="13"/>
      <c r="B6957" s="13"/>
      <c r="C6957" s="13"/>
      <c r="D6957" s="13"/>
    </row>
    <row r="6958" spans="1:4">
      <c r="A6958" s="13"/>
      <c r="B6958" s="13"/>
      <c r="C6958" s="13"/>
      <c r="D6958" s="13"/>
    </row>
    <row r="6959" spans="1:4">
      <c r="A6959" s="13"/>
      <c r="B6959" s="13"/>
      <c r="C6959" s="13"/>
      <c r="D6959" s="13"/>
    </row>
    <row r="6960" spans="1:4">
      <c r="A6960" s="13"/>
      <c r="B6960" s="13"/>
      <c r="C6960" s="13"/>
      <c r="D6960" s="13"/>
    </row>
    <row r="6961" spans="1:4">
      <c r="A6961" s="13"/>
      <c r="B6961" s="13"/>
      <c r="C6961" s="13"/>
      <c r="D6961" s="13"/>
    </row>
    <row r="6962" spans="1:4">
      <c r="A6962" s="13"/>
      <c r="B6962" s="13"/>
      <c r="C6962" s="13"/>
      <c r="D6962" s="13"/>
    </row>
    <row r="6963" spans="1:4">
      <c r="A6963" s="13"/>
      <c r="B6963" s="13"/>
      <c r="C6963" s="13"/>
      <c r="D6963" s="13"/>
    </row>
    <row r="6964" spans="1:4">
      <c r="A6964" s="13"/>
      <c r="B6964" s="13"/>
      <c r="C6964" s="13"/>
      <c r="D6964" s="13"/>
    </row>
    <row r="6965" spans="1:4">
      <c r="A6965" s="13"/>
      <c r="B6965" s="13"/>
      <c r="C6965" s="13"/>
      <c r="D6965" s="13"/>
    </row>
    <row r="6966" spans="1:4">
      <c r="A6966" s="13"/>
      <c r="B6966" s="13"/>
      <c r="C6966" s="13"/>
      <c r="D6966" s="13"/>
    </row>
    <row r="6967" spans="1:4">
      <c r="A6967" s="13"/>
      <c r="B6967" s="13"/>
      <c r="C6967" s="13"/>
      <c r="D6967" s="13"/>
    </row>
    <row r="6968" spans="1:4">
      <c r="A6968" s="13"/>
      <c r="B6968" s="13"/>
      <c r="C6968" s="13"/>
      <c r="D6968" s="13"/>
    </row>
    <row r="6969" spans="1:4">
      <c r="A6969" s="13"/>
      <c r="B6969" s="13"/>
      <c r="C6969" s="13"/>
      <c r="D6969" s="13"/>
    </row>
    <row r="6970" spans="1:4">
      <c r="A6970" s="13"/>
      <c r="B6970" s="13"/>
      <c r="C6970" s="13"/>
      <c r="D6970" s="13"/>
    </row>
    <row r="6971" spans="1:4">
      <c r="A6971" s="13"/>
      <c r="B6971" s="13"/>
      <c r="C6971" s="13"/>
      <c r="D6971" s="13"/>
    </row>
    <row r="6972" spans="1:4">
      <c r="A6972" s="13"/>
      <c r="B6972" s="13"/>
      <c r="C6972" s="13"/>
      <c r="D6972" s="13"/>
    </row>
    <row r="6973" spans="1:4">
      <c r="A6973" s="13"/>
      <c r="B6973" s="13"/>
      <c r="C6973" s="13"/>
      <c r="D6973" s="13"/>
    </row>
    <row r="6974" spans="1:4">
      <c r="A6974" s="13"/>
      <c r="B6974" s="13"/>
      <c r="C6974" s="13"/>
      <c r="D6974" s="13"/>
    </row>
    <row r="6975" spans="1:4">
      <c r="A6975" s="13"/>
      <c r="B6975" s="13"/>
      <c r="C6975" s="13"/>
      <c r="D6975" s="13"/>
    </row>
    <row r="6976" spans="1:4">
      <c r="A6976" s="13"/>
      <c r="B6976" s="13"/>
      <c r="C6976" s="13"/>
      <c r="D6976" s="13"/>
    </row>
    <row r="6977" spans="1:4">
      <c r="A6977" s="13"/>
      <c r="B6977" s="13"/>
      <c r="C6977" s="13"/>
      <c r="D6977" s="13"/>
    </row>
    <row r="6978" spans="1:4">
      <c r="A6978" s="13"/>
      <c r="B6978" s="13"/>
      <c r="C6978" s="13"/>
      <c r="D6978" s="13"/>
    </row>
    <row r="6979" spans="1:4">
      <c r="A6979" s="13"/>
      <c r="B6979" s="13"/>
      <c r="C6979" s="13"/>
      <c r="D6979" s="13"/>
    </row>
    <row r="6980" spans="1:4">
      <c r="A6980" s="13"/>
      <c r="B6980" s="13"/>
      <c r="C6980" s="13"/>
      <c r="D6980" s="13"/>
    </row>
    <row r="6981" spans="1:4">
      <c r="A6981" s="13"/>
      <c r="B6981" s="13"/>
      <c r="C6981" s="13"/>
      <c r="D6981" s="13"/>
    </row>
    <row r="6982" spans="1:4">
      <c r="A6982" s="13"/>
      <c r="B6982" s="13"/>
      <c r="C6982" s="13"/>
      <c r="D6982" s="13"/>
    </row>
    <row r="6983" spans="1:4">
      <c r="A6983" s="13"/>
      <c r="B6983" s="13"/>
      <c r="C6983" s="13"/>
      <c r="D6983" s="13"/>
    </row>
    <row r="6984" spans="1:4">
      <c r="A6984" s="13"/>
      <c r="B6984" s="13"/>
      <c r="C6984" s="13"/>
      <c r="D6984" s="13"/>
    </row>
    <row r="6985" spans="1:4">
      <c r="A6985" s="13"/>
      <c r="B6985" s="13"/>
      <c r="C6985" s="13"/>
      <c r="D6985" s="13"/>
    </row>
    <row r="6986" spans="1:4">
      <c r="A6986" s="13"/>
      <c r="B6986" s="13"/>
      <c r="C6986" s="13"/>
      <c r="D6986" s="13"/>
    </row>
    <row r="6987" spans="1:4">
      <c r="A6987" s="13"/>
      <c r="B6987" s="13"/>
      <c r="C6987" s="13"/>
      <c r="D6987" s="13"/>
    </row>
    <row r="6988" spans="1:4">
      <c r="A6988" s="13"/>
      <c r="B6988" s="13"/>
      <c r="C6988" s="13"/>
      <c r="D6988" s="13"/>
    </row>
    <row r="6989" spans="1:4">
      <c r="A6989" s="13"/>
      <c r="B6989" s="13"/>
      <c r="C6989" s="13"/>
      <c r="D6989" s="13"/>
    </row>
    <row r="6990" spans="1:4">
      <c r="A6990" s="13"/>
      <c r="B6990" s="13"/>
      <c r="C6990" s="13"/>
      <c r="D6990" s="13"/>
    </row>
    <row r="6991" spans="1:4">
      <c r="A6991" s="13"/>
      <c r="B6991" s="13"/>
      <c r="C6991" s="13"/>
      <c r="D6991" s="13"/>
    </row>
    <row r="6992" spans="1:4">
      <c r="A6992" s="13"/>
      <c r="B6992" s="13"/>
      <c r="C6992" s="13"/>
      <c r="D6992" s="13"/>
    </row>
    <row r="6993" spans="1:4">
      <c r="A6993" s="13"/>
      <c r="B6993" s="13"/>
      <c r="C6993" s="13"/>
      <c r="D6993" s="13"/>
    </row>
    <row r="6994" spans="1:4">
      <c r="A6994" s="13"/>
      <c r="B6994" s="13"/>
      <c r="C6994" s="13"/>
      <c r="D6994" s="13"/>
    </row>
    <row r="6995" spans="1:4">
      <c r="A6995" s="13"/>
      <c r="B6995" s="13"/>
      <c r="C6995" s="13"/>
      <c r="D6995" s="13"/>
    </row>
    <row r="6996" spans="1:4">
      <c r="A6996" s="13"/>
      <c r="B6996" s="13"/>
      <c r="C6996" s="13"/>
      <c r="D6996" s="13"/>
    </row>
    <row r="6997" spans="1:4">
      <c r="A6997" s="13"/>
      <c r="B6997" s="13"/>
      <c r="C6997" s="13"/>
      <c r="D6997" s="13"/>
    </row>
    <row r="6998" spans="1:4">
      <c r="A6998" s="13"/>
      <c r="B6998" s="13"/>
      <c r="C6998" s="13"/>
      <c r="D6998" s="13"/>
    </row>
    <row r="6999" spans="1:4">
      <c r="A6999" s="13"/>
      <c r="B6999" s="13"/>
      <c r="C6999" s="13"/>
      <c r="D6999" s="13"/>
    </row>
    <row r="7000" spans="1:4">
      <c r="A7000" s="13"/>
      <c r="B7000" s="13"/>
      <c r="C7000" s="13"/>
      <c r="D7000" s="13"/>
    </row>
    <row r="7001" spans="1:4">
      <c r="A7001" s="13"/>
      <c r="B7001" s="13"/>
      <c r="C7001" s="13"/>
      <c r="D7001" s="13"/>
    </row>
    <row r="7002" spans="1:4">
      <c r="A7002" s="13"/>
      <c r="B7002" s="13"/>
      <c r="C7002" s="13"/>
      <c r="D7002" s="13"/>
    </row>
    <row r="7003" spans="1:4">
      <c r="A7003" s="13"/>
      <c r="B7003" s="13"/>
      <c r="C7003" s="13"/>
      <c r="D7003" s="13"/>
    </row>
    <row r="7004" spans="1:4">
      <c r="A7004" s="13"/>
      <c r="B7004" s="13"/>
      <c r="C7004" s="13"/>
      <c r="D7004" s="13"/>
    </row>
    <row r="7005" spans="1:4">
      <c r="A7005" s="13"/>
      <c r="B7005" s="13"/>
      <c r="C7005" s="13"/>
      <c r="D7005" s="13"/>
    </row>
    <row r="7006" spans="1:4">
      <c r="A7006" s="13"/>
      <c r="B7006" s="13"/>
      <c r="C7006" s="13"/>
      <c r="D7006" s="13"/>
    </row>
    <row r="7007" spans="1:4">
      <c r="A7007" s="13"/>
      <c r="B7007" s="13"/>
      <c r="C7007" s="13"/>
      <c r="D7007" s="13"/>
    </row>
    <row r="7008" spans="1:4">
      <c r="A7008" s="13"/>
      <c r="B7008" s="13"/>
      <c r="C7008" s="13"/>
      <c r="D7008" s="13"/>
    </row>
    <row r="7009" spans="1:4">
      <c r="A7009" s="13"/>
      <c r="B7009" s="13"/>
      <c r="C7009" s="13"/>
      <c r="D7009" s="13"/>
    </row>
    <row r="7010" spans="1:4">
      <c r="A7010" s="13"/>
      <c r="B7010" s="13"/>
      <c r="C7010" s="13"/>
      <c r="D7010" s="13"/>
    </row>
    <row r="7011" spans="1:4">
      <c r="A7011" s="13"/>
      <c r="B7011" s="13"/>
      <c r="C7011" s="13"/>
      <c r="D7011" s="13"/>
    </row>
    <row r="7012" spans="1:4">
      <c r="A7012" s="13"/>
      <c r="B7012" s="13"/>
      <c r="C7012" s="13"/>
      <c r="D7012" s="13"/>
    </row>
    <row r="7013" spans="1:4">
      <c r="A7013" s="13"/>
      <c r="B7013" s="13"/>
      <c r="C7013" s="13"/>
      <c r="D7013" s="13"/>
    </row>
    <row r="7014" spans="1:4">
      <c r="A7014" s="13"/>
      <c r="B7014" s="13"/>
      <c r="C7014" s="13"/>
      <c r="D7014" s="13"/>
    </row>
    <row r="7015" spans="1:4">
      <c r="A7015" s="13"/>
      <c r="B7015" s="13"/>
      <c r="C7015" s="13"/>
      <c r="D7015" s="13"/>
    </row>
    <row r="7016" spans="1:4">
      <c r="A7016" s="13"/>
      <c r="B7016" s="13"/>
      <c r="C7016" s="13"/>
      <c r="D7016" s="13"/>
    </row>
    <row r="7017" spans="1:4">
      <c r="A7017" s="13"/>
      <c r="B7017" s="13"/>
      <c r="C7017" s="13"/>
      <c r="D7017" s="13"/>
    </row>
    <row r="7018" spans="1:4">
      <c r="A7018" s="13"/>
      <c r="B7018" s="13"/>
      <c r="C7018" s="13"/>
      <c r="D7018" s="13"/>
    </row>
    <row r="7019" spans="1:4">
      <c r="A7019" s="13"/>
      <c r="B7019" s="13"/>
      <c r="C7019" s="13"/>
      <c r="D7019" s="13"/>
    </row>
    <row r="7020" spans="1:4">
      <c r="A7020" s="13"/>
      <c r="B7020" s="13"/>
      <c r="C7020" s="13"/>
      <c r="D7020" s="13"/>
    </row>
    <row r="7021" spans="1:4">
      <c r="A7021" s="13"/>
      <c r="B7021" s="13"/>
      <c r="C7021" s="13"/>
      <c r="D7021" s="13"/>
    </row>
    <row r="7022" spans="1:4">
      <c r="A7022" s="13"/>
      <c r="B7022" s="13"/>
      <c r="C7022" s="13"/>
      <c r="D7022" s="13"/>
    </row>
    <row r="7023" spans="1:4">
      <c r="A7023" s="13"/>
      <c r="B7023" s="13"/>
      <c r="C7023" s="13"/>
      <c r="D7023" s="13"/>
    </row>
    <row r="7024" spans="1:4">
      <c r="A7024" s="13"/>
      <c r="B7024" s="13"/>
      <c r="C7024" s="13"/>
      <c r="D7024" s="13"/>
    </row>
    <row r="7025" spans="1:4">
      <c r="A7025" s="13"/>
      <c r="B7025" s="13"/>
      <c r="C7025" s="13"/>
      <c r="D7025" s="13"/>
    </row>
    <row r="7026" spans="1:4">
      <c r="A7026" s="13"/>
      <c r="B7026" s="13"/>
      <c r="C7026" s="13"/>
      <c r="D7026" s="13"/>
    </row>
    <row r="7027" spans="1:4">
      <c r="A7027" s="13"/>
      <c r="B7027" s="13"/>
      <c r="C7027" s="13"/>
      <c r="D7027" s="13"/>
    </row>
    <row r="7028" spans="1:4">
      <c r="A7028" s="13"/>
      <c r="B7028" s="13"/>
      <c r="C7028" s="13"/>
      <c r="D7028" s="13"/>
    </row>
    <row r="7029" spans="1:4">
      <c r="A7029" s="13"/>
      <c r="B7029" s="13"/>
      <c r="C7029" s="13"/>
      <c r="D7029" s="13"/>
    </row>
    <row r="7030" spans="1:4">
      <c r="A7030" s="13"/>
      <c r="B7030" s="13"/>
      <c r="C7030" s="13"/>
      <c r="D7030" s="13"/>
    </row>
    <row r="7031" spans="1:4">
      <c r="A7031" s="13"/>
      <c r="B7031" s="13"/>
      <c r="C7031" s="13"/>
      <c r="D7031" s="13"/>
    </row>
    <row r="7032" spans="1:4">
      <c r="A7032" s="13"/>
      <c r="B7032" s="13"/>
      <c r="C7032" s="13"/>
      <c r="D7032" s="13"/>
    </row>
    <row r="7033" spans="1:4">
      <c r="A7033" s="13"/>
      <c r="B7033" s="13"/>
      <c r="C7033" s="13"/>
      <c r="D7033" s="13"/>
    </row>
    <row r="7034" spans="1:4">
      <c r="A7034" s="13"/>
      <c r="B7034" s="13"/>
      <c r="C7034" s="13"/>
      <c r="D7034" s="13"/>
    </row>
    <row r="7035" spans="1:4">
      <c r="A7035" s="13"/>
      <c r="B7035" s="13"/>
      <c r="C7035" s="13"/>
      <c r="D7035" s="13"/>
    </row>
    <row r="7036" spans="1:4">
      <c r="A7036" s="13"/>
      <c r="B7036" s="13"/>
      <c r="C7036" s="13"/>
      <c r="D7036" s="13"/>
    </row>
    <row r="7037" spans="1:4">
      <c r="A7037" s="13"/>
      <c r="B7037" s="13"/>
      <c r="C7037" s="13"/>
      <c r="D7037" s="13"/>
    </row>
    <row r="7038" spans="1:4">
      <c r="A7038" s="13"/>
      <c r="B7038" s="13"/>
      <c r="C7038" s="13"/>
      <c r="D7038" s="13"/>
    </row>
    <row r="7039" spans="1:4">
      <c r="A7039" s="13"/>
      <c r="B7039" s="13"/>
      <c r="C7039" s="13"/>
      <c r="D7039" s="13"/>
    </row>
    <row r="7040" spans="1:4">
      <c r="A7040" s="13"/>
      <c r="B7040" s="13"/>
      <c r="C7040" s="13"/>
      <c r="D7040" s="13"/>
    </row>
    <row r="7041" spans="1:4">
      <c r="A7041" s="13"/>
      <c r="B7041" s="13"/>
      <c r="C7041" s="13"/>
      <c r="D7041" s="13"/>
    </row>
    <row r="7042" spans="1:4">
      <c r="A7042" s="13"/>
      <c r="B7042" s="13"/>
      <c r="C7042" s="13"/>
      <c r="D7042" s="13"/>
    </row>
    <row r="7043" spans="1:4">
      <c r="A7043" s="13"/>
      <c r="B7043" s="13"/>
      <c r="C7043" s="13"/>
      <c r="D7043" s="13"/>
    </row>
    <row r="7044" spans="1:4">
      <c r="A7044" s="13"/>
      <c r="B7044" s="13"/>
      <c r="C7044" s="13"/>
      <c r="D7044" s="13"/>
    </row>
    <row r="7045" spans="1:4">
      <c r="A7045" s="13"/>
      <c r="B7045" s="13"/>
      <c r="C7045" s="13"/>
      <c r="D7045" s="13"/>
    </row>
    <row r="7046" spans="1:4">
      <c r="A7046" s="13"/>
      <c r="B7046" s="13"/>
      <c r="C7046" s="13"/>
      <c r="D7046" s="13"/>
    </row>
    <row r="7047" spans="1:4">
      <c r="A7047" s="13"/>
      <c r="B7047" s="13"/>
      <c r="C7047" s="13"/>
      <c r="D7047" s="13"/>
    </row>
    <row r="7048" spans="1:4">
      <c r="A7048" s="13"/>
      <c r="B7048" s="13"/>
      <c r="C7048" s="13"/>
      <c r="D7048" s="13"/>
    </row>
    <row r="7049" spans="1:4">
      <c r="A7049" s="13"/>
      <c r="B7049" s="13"/>
      <c r="C7049" s="13"/>
      <c r="D7049" s="13"/>
    </row>
    <row r="7050" spans="1:4">
      <c r="A7050" s="13"/>
      <c r="B7050" s="13"/>
      <c r="C7050" s="13"/>
      <c r="D7050" s="13"/>
    </row>
    <row r="7051" spans="1:4">
      <c r="A7051" s="13"/>
      <c r="B7051" s="13"/>
      <c r="C7051" s="13"/>
      <c r="D7051" s="13"/>
    </row>
    <row r="7052" spans="1:4">
      <c r="A7052" s="13"/>
      <c r="B7052" s="13"/>
      <c r="C7052" s="13"/>
      <c r="D7052" s="13"/>
    </row>
    <row r="7053" spans="1:4">
      <c r="A7053" s="13"/>
      <c r="B7053" s="13"/>
      <c r="C7053" s="13"/>
      <c r="D7053" s="13"/>
    </row>
    <row r="7054" spans="1:4">
      <c r="A7054" s="13"/>
      <c r="B7054" s="13"/>
      <c r="C7054" s="13"/>
      <c r="D7054" s="13"/>
    </row>
    <row r="7055" spans="1:4">
      <c r="A7055" s="13"/>
      <c r="B7055" s="13"/>
      <c r="C7055" s="13"/>
      <c r="D7055" s="13"/>
    </row>
    <row r="7056" spans="1:4">
      <c r="A7056" s="13"/>
      <c r="B7056" s="13"/>
      <c r="C7056" s="13"/>
      <c r="D7056" s="13"/>
    </row>
    <row r="7057" spans="1:4">
      <c r="A7057" s="13"/>
      <c r="B7057" s="13"/>
      <c r="C7057" s="13"/>
      <c r="D7057" s="13"/>
    </row>
    <row r="7058" spans="1:4">
      <c r="A7058" s="13"/>
      <c r="B7058" s="13"/>
      <c r="C7058" s="13"/>
      <c r="D7058" s="13"/>
    </row>
    <row r="7059" spans="1:4">
      <c r="A7059" s="13"/>
      <c r="B7059" s="13"/>
      <c r="C7059" s="13"/>
      <c r="D7059" s="13"/>
    </row>
    <row r="7060" spans="1:4">
      <c r="A7060" s="13"/>
      <c r="B7060" s="13"/>
      <c r="C7060" s="13"/>
      <c r="D7060" s="13"/>
    </row>
    <row r="7061" spans="1:4">
      <c r="A7061" s="13"/>
      <c r="B7061" s="13"/>
      <c r="C7061" s="13"/>
      <c r="D7061" s="13"/>
    </row>
    <row r="7062" spans="1:4">
      <c r="A7062" s="13"/>
      <c r="B7062" s="13"/>
      <c r="C7062" s="13"/>
      <c r="D7062" s="13"/>
    </row>
    <row r="7063" spans="1:4">
      <c r="A7063" s="13"/>
      <c r="B7063" s="13"/>
      <c r="C7063" s="13"/>
      <c r="D7063" s="13"/>
    </row>
    <row r="7064" spans="1:4">
      <c r="A7064" s="13"/>
      <c r="B7064" s="13"/>
      <c r="C7064" s="13"/>
      <c r="D7064" s="13"/>
    </row>
    <row r="7065" spans="1:4">
      <c r="A7065" s="13"/>
      <c r="B7065" s="13"/>
      <c r="C7065" s="13"/>
      <c r="D7065" s="13"/>
    </row>
    <row r="7066" spans="1:4">
      <c r="A7066" s="13"/>
      <c r="B7066" s="13"/>
      <c r="C7066" s="13"/>
      <c r="D7066" s="13"/>
    </row>
    <row r="7067" spans="1:4">
      <c r="A7067" s="13"/>
      <c r="B7067" s="13"/>
      <c r="C7067" s="13"/>
      <c r="D7067" s="13"/>
    </row>
    <row r="7068" spans="1:4">
      <c r="A7068" s="13"/>
      <c r="B7068" s="13"/>
      <c r="C7068" s="13"/>
      <c r="D7068" s="13"/>
    </row>
    <row r="7069" spans="1:4">
      <c r="A7069" s="13"/>
      <c r="B7069" s="13"/>
      <c r="C7069" s="13"/>
      <c r="D7069" s="13"/>
    </row>
    <row r="7070" spans="1:4">
      <c r="A7070" s="13"/>
      <c r="B7070" s="13"/>
      <c r="C7070" s="13"/>
      <c r="D7070" s="13"/>
    </row>
    <row r="7071" spans="1:4">
      <c r="A7071" s="13"/>
      <c r="B7071" s="13"/>
      <c r="C7071" s="13"/>
      <c r="D7071" s="13"/>
    </row>
    <row r="7072" spans="1:4">
      <c r="A7072" s="13"/>
      <c r="B7072" s="13"/>
      <c r="C7072" s="13"/>
      <c r="D7072" s="13"/>
    </row>
    <row r="7073" spans="1:4">
      <c r="A7073" s="13"/>
      <c r="B7073" s="13"/>
      <c r="C7073" s="13"/>
      <c r="D7073" s="13"/>
    </row>
    <row r="7074" spans="1:4">
      <c r="A7074" s="13"/>
      <c r="B7074" s="13"/>
      <c r="C7074" s="13"/>
      <c r="D7074" s="13"/>
    </row>
    <row r="7075" spans="1:4">
      <c r="A7075" s="13"/>
      <c r="B7075" s="13"/>
      <c r="C7075" s="13"/>
      <c r="D7075" s="13"/>
    </row>
    <row r="7076" spans="1:4">
      <c r="A7076" s="13"/>
      <c r="B7076" s="13"/>
      <c r="C7076" s="13"/>
      <c r="D7076" s="13"/>
    </row>
    <row r="7077" spans="1:4">
      <c r="A7077" s="13"/>
      <c r="B7077" s="13"/>
      <c r="C7077" s="13"/>
      <c r="D7077" s="13"/>
    </row>
    <row r="7078" spans="1:4">
      <c r="A7078" s="13"/>
      <c r="B7078" s="13"/>
      <c r="C7078" s="13"/>
      <c r="D7078" s="13"/>
    </row>
    <row r="7079" spans="1:4">
      <c r="A7079" s="13"/>
      <c r="B7079" s="13"/>
      <c r="C7079" s="13"/>
      <c r="D7079" s="13"/>
    </row>
    <row r="7080" spans="1:4">
      <c r="A7080" s="13"/>
      <c r="B7080" s="13"/>
      <c r="C7080" s="13"/>
      <c r="D7080" s="13"/>
    </row>
    <row r="7081" spans="1:4">
      <c r="A7081" s="13"/>
      <c r="B7081" s="13"/>
      <c r="C7081" s="13"/>
      <c r="D7081" s="13"/>
    </row>
    <row r="7082" spans="1:4">
      <c r="A7082" s="13"/>
      <c r="B7082" s="13"/>
      <c r="C7082" s="13"/>
      <c r="D7082" s="13"/>
    </row>
    <row r="7083" spans="1:4">
      <c r="A7083" s="13"/>
      <c r="B7083" s="13"/>
      <c r="C7083" s="13"/>
      <c r="D7083" s="13"/>
    </row>
    <row r="7084" spans="1:4">
      <c r="A7084" s="13"/>
      <c r="B7084" s="13"/>
      <c r="C7084" s="13"/>
      <c r="D7084" s="13"/>
    </row>
    <row r="7085" spans="1:4">
      <c r="A7085" s="13"/>
      <c r="B7085" s="13"/>
      <c r="C7085" s="13"/>
      <c r="D7085" s="13"/>
    </row>
    <row r="7086" spans="1:4">
      <c r="A7086" s="13"/>
      <c r="B7086" s="13"/>
      <c r="C7086" s="13"/>
      <c r="D7086" s="13"/>
    </row>
    <row r="7087" spans="1:4">
      <c r="A7087" s="13"/>
      <c r="B7087" s="13"/>
      <c r="C7087" s="13"/>
      <c r="D7087" s="13"/>
    </row>
    <row r="7088" spans="1:4">
      <c r="A7088" s="13"/>
      <c r="B7088" s="13"/>
      <c r="C7088" s="13"/>
      <c r="D7088" s="13"/>
    </row>
    <row r="7089" spans="1:4">
      <c r="A7089" s="13"/>
      <c r="B7089" s="13"/>
      <c r="C7089" s="13"/>
      <c r="D7089" s="13"/>
    </row>
    <row r="7090" spans="1:4">
      <c r="A7090" s="13"/>
      <c r="B7090" s="13"/>
      <c r="C7090" s="13"/>
      <c r="D7090" s="13"/>
    </row>
    <row r="7091" spans="1:4">
      <c r="A7091" s="13"/>
      <c r="B7091" s="13"/>
      <c r="C7091" s="13"/>
      <c r="D7091" s="13"/>
    </row>
    <row r="7092" spans="1:4">
      <c r="A7092" s="13"/>
      <c r="B7092" s="13"/>
      <c r="C7092" s="13"/>
      <c r="D7092" s="13"/>
    </row>
    <row r="7093" spans="1:4">
      <c r="A7093" s="13"/>
      <c r="B7093" s="13"/>
      <c r="C7093" s="13"/>
      <c r="D7093" s="13"/>
    </row>
    <row r="7094" spans="1:4">
      <c r="A7094" s="13"/>
      <c r="B7094" s="13"/>
      <c r="C7094" s="13"/>
      <c r="D7094" s="13"/>
    </row>
    <row r="7095" spans="1:4">
      <c r="A7095" s="13"/>
      <c r="B7095" s="13"/>
      <c r="C7095" s="13"/>
      <c r="D7095" s="13"/>
    </row>
    <row r="7096" spans="1:4">
      <c r="A7096" s="13"/>
      <c r="B7096" s="13"/>
      <c r="C7096" s="13"/>
      <c r="D7096" s="13"/>
    </row>
    <row r="7097" spans="1:4">
      <c r="A7097" s="13"/>
      <c r="B7097" s="13"/>
      <c r="C7097" s="13"/>
      <c r="D7097" s="13"/>
    </row>
    <row r="7098" spans="1:4">
      <c r="A7098" s="13"/>
      <c r="B7098" s="13"/>
      <c r="C7098" s="13"/>
      <c r="D7098" s="13"/>
    </row>
    <row r="7099" spans="1:4">
      <c r="A7099" s="13"/>
      <c r="B7099" s="13"/>
      <c r="C7099" s="13"/>
      <c r="D7099" s="13"/>
    </row>
    <row r="7100" spans="1:4">
      <c r="A7100" s="13"/>
      <c r="B7100" s="13"/>
      <c r="C7100" s="13"/>
      <c r="D7100" s="13"/>
    </row>
    <row r="7101" spans="1:4">
      <c r="A7101" s="13"/>
      <c r="B7101" s="13"/>
      <c r="C7101" s="13"/>
      <c r="D7101" s="13"/>
    </row>
    <row r="7102" spans="1:4">
      <c r="A7102" s="13"/>
      <c r="B7102" s="13"/>
      <c r="C7102" s="13"/>
      <c r="D7102" s="13"/>
    </row>
    <row r="7103" spans="1:4">
      <c r="A7103" s="13"/>
      <c r="B7103" s="13"/>
      <c r="C7103" s="13"/>
      <c r="D7103" s="13"/>
    </row>
    <row r="7104" spans="1:4">
      <c r="A7104" s="13"/>
      <c r="B7104" s="13"/>
      <c r="C7104" s="13"/>
      <c r="D7104" s="13"/>
    </row>
    <row r="7105" spans="1:4">
      <c r="A7105" s="13"/>
      <c r="B7105" s="13"/>
      <c r="C7105" s="13"/>
      <c r="D7105" s="13"/>
    </row>
    <row r="7106" spans="1:4">
      <c r="A7106" s="13"/>
      <c r="B7106" s="13"/>
      <c r="C7106" s="13"/>
      <c r="D7106" s="13"/>
    </row>
    <row r="7107" spans="1:4">
      <c r="A7107" s="13"/>
      <c r="B7107" s="13"/>
      <c r="C7107" s="13"/>
      <c r="D7107" s="13"/>
    </row>
    <row r="7108" spans="1:4">
      <c r="A7108" s="13"/>
      <c r="B7108" s="13"/>
      <c r="C7108" s="13"/>
      <c r="D7108" s="13"/>
    </row>
    <row r="7109" spans="1:4">
      <c r="A7109" s="13"/>
      <c r="B7109" s="13"/>
      <c r="C7109" s="13"/>
      <c r="D7109" s="13"/>
    </row>
    <row r="7110" spans="1:4">
      <c r="A7110" s="13"/>
      <c r="B7110" s="13"/>
      <c r="C7110" s="13"/>
      <c r="D7110" s="13"/>
    </row>
    <row r="7111" spans="1:4">
      <c r="A7111" s="13"/>
      <c r="B7111" s="13"/>
      <c r="C7111" s="13"/>
      <c r="D7111" s="13"/>
    </row>
    <row r="7112" spans="1:4">
      <c r="A7112" s="13"/>
      <c r="B7112" s="13"/>
      <c r="C7112" s="13"/>
      <c r="D7112" s="13"/>
    </row>
    <row r="7113" spans="1:4">
      <c r="A7113" s="13"/>
      <c r="B7113" s="13"/>
      <c r="C7113" s="13"/>
      <c r="D7113" s="13"/>
    </row>
    <row r="7114" spans="1:4">
      <c r="A7114" s="13"/>
      <c r="B7114" s="13"/>
      <c r="C7114" s="13"/>
      <c r="D7114" s="13"/>
    </row>
    <row r="7115" spans="1:4">
      <c r="A7115" s="13"/>
      <c r="B7115" s="13"/>
      <c r="C7115" s="13"/>
      <c r="D7115" s="13"/>
    </row>
    <row r="7116" spans="1:4">
      <c r="A7116" s="13"/>
      <c r="B7116" s="13"/>
      <c r="C7116" s="13"/>
      <c r="D7116" s="13"/>
    </row>
    <row r="7117" spans="1:4">
      <c r="A7117" s="13"/>
      <c r="B7117" s="13"/>
      <c r="C7117" s="13"/>
      <c r="D7117" s="13"/>
    </row>
    <row r="7118" spans="1:4">
      <c r="A7118" s="13"/>
      <c r="B7118" s="13"/>
      <c r="C7118" s="13"/>
      <c r="D7118" s="13"/>
    </row>
    <row r="7119" spans="1:4">
      <c r="A7119" s="13"/>
      <c r="B7119" s="13"/>
      <c r="C7119" s="13"/>
      <c r="D7119" s="13"/>
    </row>
    <row r="7120" spans="1:4">
      <c r="A7120" s="13"/>
      <c r="B7120" s="13"/>
      <c r="C7120" s="13"/>
      <c r="D7120" s="13"/>
    </row>
    <row r="7121" spans="1:4">
      <c r="A7121" s="13"/>
      <c r="B7121" s="13"/>
      <c r="C7121" s="13"/>
      <c r="D7121" s="13"/>
    </row>
    <row r="7122" spans="1:4">
      <c r="A7122" s="13"/>
      <c r="B7122" s="13"/>
      <c r="C7122" s="13"/>
      <c r="D7122" s="13"/>
    </row>
    <row r="7123" spans="1:4">
      <c r="A7123" s="13"/>
      <c r="B7123" s="13"/>
      <c r="C7123" s="13"/>
      <c r="D7123" s="13"/>
    </row>
    <row r="7124" spans="1:4">
      <c r="A7124" s="13"/>
      <c r="B7124" s="13"/>
      <c r="C7124" s="13"/>
      <c r="D7124" s="13"/>
    </row>
    <row r="7125" spans="1:4">
      <c r="A7125" s="13"/>
      <c r="B7125" s="13"/>
      <c r="C7125" s="13"/>
      <c r="D7125" s="13"/>
    </row>
    <row r="7126" spans="1:4">
      <c r="A7126" s="13"/>
      <c r="B7126" s="13"/>
      <c r="C7126" s="13"/>
      <c r="D7126" s="13"/>
    </row>
    <row r="7127" spans="1:4">
      <c r="A7127" s="13"/>
      <c r="B7127" s="13"/>
      <c r="C7127" s="13"/>
      <c r="D7127" s="13"/>
    </row>
    <row r="7128" spans="1:4">
      <c r="A7128" s="13"/>
      <c r="B7128" s="13"/>
      <c r="C7128" s="13"/>
      <c r="D7128" s="13"/>
    </row>
    <row r="7129" spans="1:4">
      <c r="A7129" s="13"/>
      <c r="B7129" s="13"/>
      <c r="C7129" s="13"/>
      <c r="D7129" s="13"/>
    </row>
    <row r="7130" spans="1:4">
      <c r="A7130" s="13"/>
      <c r="B7130" s="13"/>
      <c r="C7130" s="13"/>
      <c r="D7130" s="13"/>
    </row>
    <row r="7131" spans="1:4">
      <c r="A7131" s="13"/>
      <c r="B7131" s="13"/>
      <c r="C7131" s="13"/>
      <c r="D7131" s="13"/>
    </row>
    <row r="7132" spans="1:4">
      <c r="A7132" s="13"/>
      <c r="B7132" s="13"/>
      <c r="C7132" s="13"/>
      <c r="D7132" s="13"/>
    </row>
    <row r="7133" spans="1:4">
      <c r="A7133" s="13"/>
      <c r="B7133" s="13"/>
      <c r="C7133" s="13"/>
      <c r="D7133" s="13"/>
    </row>
    <row r="7134" spans="1:4">
      <c r="A7134" s="13"/>
      <c r="B7134" s="13"/>
      <c r="C7134" s="13"/>
      <c r="D7134" s="13"/>
    </row>
    <row r="7135" spans="1:4">
      <c r="A7135" s="13"/>
      <c r="B7135" s="13"/>
      <c r="C7135" s="13"/>
      <c r="D7135" s="13"/>
    </row>
    <row r="7136" spans="1:4">
      <c r="A7136" s="13"/>
      <c r="B7136" s="13"/>
      <c r="C7136" s="13"/>
      <c r="D7136" s="13"/>
    </row>
    <row r="7137" spans="1:4">
      <c r="A7137" s="13"/>
      <c r="B7137" s="13"/>
      <c r="C7137" s="13"/>
      <c r="D7137" s="13"/>
    </row>
    <row r="7138" spans="1:4">
      <c r="A7138" s="13"/>
      <c r="B7138" s="13"/>
      <c r="C7138" s="13"/>
      <c r="D7138" s="13"/>
    </row>
    <row r="7139" spans="1:4">
      <c r="A7139" s="13"/>
      <c r="B7139" s="13"/>
      <c r="C7139" s="13"/>
      <c r="D7139" s="13"/>
    </row>
    <row r="7140" spans="1:4">
      <c r="A7140" s="13"/>
      <c r="B7140" s="13"/>
      <c r="C7140" s="13"/>
      <c r="D7140" s="13"/>
    </row>
    <row r="7141" spans="1:4">
      <c r="A7141" s="13"/>
      <c r="B7141" s="13"/>
      <c r="C7141" s="13"/>
      <c r="D7141" s="13"/>
    </row>
    <row r="7142" spans="1:4">
      <c r="A7142" s="13"/>
      <c r="B7142" s="13"/>
      <c r="C7142" s="13"/>
      <c r="D7142" s="13"/>
    </row>
    <row r="7143" spans="1:4">
      <c r="A7143" s="13"/>
      <c r="B7143" s="13"/>
      <c r="C7143" s="13"/>
      <c r="D7143" s="13"/>
    </row>
    <row r="7144" spans="1:4">
      <c r="A7144" s="13"/>
      <c r="B7144" s="13"/>
      <c r="C7144" s="13"/>
      <c r="D7144" s="13"/>
    </row>
    <row r="7145" spans="1:4">
      <c r="A7145" s="13"/>
      <c r="B7145" s="13"/>
      <c r="C7145" s="13"/>
      <c r="D7145" s="13"/>
    </row>
    <row r="7146" spans="1:4">
      <c r="A7146" s="13"/>
      <c r="B7146" s="13"/>
      <c r="C7146" s="13"/>
      <c r="D7146" s="13"/>
    </row>
    <row r="7147" spans="1:4">
      <c r="A7147" s="13"/>
      <c r="B7147" s="13"/>
      <c r="C7147" s="13"/>
      <c r="D7147" s="13"/>
    </row>
    <row r="7148" spans="1:4">
      <c r="A7148" s="13"/>
      <c r="B7148" s="13"/>
      <c r="C7148" s="13"/>
      <c r="D7148" s="13"/>
    </row>
    <row r="7149" spans="1:4">
      <c r="A7149" s="13"/>
      <c r="B7149" s="13"/>
      <c r="C7149" s="13"/>
      <c r="D7149" s="13"/>
    </row>
    <row r="7150" spans="1:4">
      <c r="A7150" s="13"/>
      <c r="B7150" s="13"/>
      <c r="C7150" s="13"/>
      <c r="D7150" s="13"/>
    </row>
    <row r="7151" spans="1:4">
      <c r="A7151" s="13"/>
      <c r="B7151" s="13"/>
      <c r="C7151" s="13"/>
      <c r="D7151" s="13"/>
    </row>
    <row r="7152" spans="1:4">
      <c r="A7152" s="13"/>
      <c r="B7152" s="13"/>
      <c r="C7152" s="13"/>
      <c r="D7152" s="13"/>
    </row>
    <row r="7153" spans="1:4">
      <c r="A7153" s="13"/>
      <c r="B7153" s="13"/>
      <c r="C7153" s="13"/>
      <c r="D7153" s="13"/>
    </row>
    <row r="7154" spans="1:4">
      <c r="A7154" s="13"/>
      <c r="B7154" s="13"/>
      <c r="C7154" s="13"/>
      <c r="D7154" s="13"/>
    </row>
    <row r="7155" spans="1:4">
      <c r="A7155" s="13"/>
      <c r="B7155" s="13"/>
      <c r="C7155" s="13"/>
      <c r="D7155" s="13"/>
    </row>
    <row r="7156" spans="1:4">
      <c r="A7156" s="13"/>
      <c r="B7156" s="13"/>
      <c r="C7156" s="13"/>
      <c r="D7156" s="13"/>
    </row>
    <row r="7157" spans="1:4">
      <c r="A7157" s="13"/>
      <c r="B7157" s="13"/>
      <c r="C7157" s="13"/>
      <c r="D7157" s="13"/>
    </row>
    <row r="7158" spans="1:4">
      <c r="A7158" s="13"/>
      <c r="B7158" s="13"/>
      <c r="C7158" s="13"/>
      <c r="D7158" s="13"/>
    </row>
    <row r="7159" spans="1:4">
      <c r="A7159" s="13"/>
      <c r="B7159" s="13"/>
      <c r="C7159" s="13"/>
      <c r="D7159" s="13"/>
    </row>
    <row r="7160" spans="1:4">
      <c r="A7160" s="13"/>
      <c r="B7160" s="13"/>
      <c r="C7160" s="13"/>
      <c r="D7160" s="13"/>
    </row>
    <row r="7161" spans="1:4">
      <c r="A7161" s="13"/>
      <c r="B7161" s="13"/>
      <c r="C7161" s="13"/>
      <c r="D7161" s="13"/>
    </row>
    <row r="7162" spans="1:4">
      <c r="A7162" s="13"/>
      <c r="B7162" s="13"/>
      <c r="C7162" s="13"/>
      <c r="D7162" s="13"/>
    </row>
    <row r="7163" spans="1:4">
      <c r="A7163" s="13"/>
      <c r="B7163" s="13"/>
      <c r="C7163" s="13"/>
      <c r="D7163" s="13"/>
    </row>
    <row r="7164" spans="1:4">
      <c r="A7164" s="13"/>
      <c r="B7164" s="13"/>
      <c r="C7164" s="13"/>
      <c r="D7164" s="13"/>
    </row>
    <row r="7165" spans="1:4">
      <c r="A7165" s="13"/>
      <c r="B7165" s="13"/>
      <c r="C7165" s="13"/>
      <c r="D7165" s="13"/>
    </row>
    <row r="7166" spans="1:4">
      <c r="A7166" s="13"/>
      <c r="B7166" s="13"/>
      <c r="C7166" s="13"/>
      <c r="D7166" s="13"/>
    </row>
    <row r="7167" spans="1:4">
      <c r="A7167" s="13"/>
      <c r="B7167" s="13"/>
      <c r="C7167" s="13"/>
      <c r="D7167" s="13"/>
    </row>
    <row r="7168" spans="1:4">
      <c r="A7168" s="13"/>
      <c r="B7168" s="13"/>
      <c r="C7168" s="13"/>
      <c r="D7168" s="13"/>
    </row>
    <row r="7169" spans="1:4">
      <c r="A7169" s="13"/>
      <c r="B7169" s="13"/>
      <c r="C7169" s="13"/>
      <c r="D7169" s="13"/>
    </row>
    <row r="7170" spans="1:4">
      <c r="A7170" s="13"/>
      <c r="B7170" s="13"/>
      <c r="C7170" s="13"/>
      <c r="D7170" s="13"/>
    </row>
    <row r="7171" spans="1:4">
      <c r="A7171" s="13"/>
      <c r="B7171" s="13"/>
      <c r="C7171" s="13"/>
      <c r="D7171" s="13"/>
    </row>
    <row r="7172" spans="1:4">
      <c r="A7172" s="13"/>
      <c r="B7172" s="13"/>
      <c r="C7172" s="13"/>
      <c r="D7172" s="13"/>
    </row>
    <row r="7173" spans="1:4">
      <c r="A7173" s="13"/>
      <c r="B7173" s="13"/>
      <c r="C7173" s="13"/>
      <c r="D7173" s="13"/>
    </row>
    <row r="7174" spans="1:4">
      <c r="A7174" s="13"/>
      <c r="B7174" s="13"/>
      <c r="C7174" s="13"/>
      <c r="D7174" s="13"/>
    </row>
    <row r="7175" spans="1:4">
      <c r="A7175" s="13"/>
      <c r="B7175" s="13"/>
      <c r="C7175" s="13"/>
      <c r="D7175" s="13"/>
    </row>
    <row r="7176" spans="1:4">
      <c r="A7176" s="13"/>
      <c r="B7176" s="13"/>
      <c r="C7176" s="13"/>
      <c r="D7176" s="13"/>
    </row>
    <row r="7177" spans="1:4">
      <c r="A7177" s="13"/>
      <c r="B7177" s="13"/>
      <c r="C7177" s="13"/>
      <c r="D7177" s="13"/>
    </row>
    <row r="7178" spans="1:4">
      <c r="A7178" s="13"/>
      <c r="B7178" s="13"/>
      <c r="C7178" s="13"/>
      <c r="D7178" s="13"/>
    </row>
    <row r="7179" spans="1:4">
      <c r="A7179" s="13"/>
      <c r="B7179" s="13"/>
      <c r="C7179" s="13"/>
      <c r="D7179" s="13"/>
    </row>
    <row r="7180" spans="1:4">
      <c r="A7180" s="13"/>
      <c r="B7180" s="13"/>
      <c r="C7180" s="13"/>
      <c r="D7180" s="13"/>
    </row>
    <row r="7181" spans="1:4">
      <c r="A7181" s="13"/>
      <c r="B7181" s="13"/>
      <c r="C7181" s="13"/>
      <c r="D7181" s="13"/>
    </row>
    <row r="7182" spans="1:4">
      <c r="A7182" s="13"/>
      <c r="B7182" s="13"/>
      <c r="C7182" s="13"/>
      <c r="D7182" s="13"/>
    </row>
    <row r="7183" spans="1:4">
      <c r="A7183" s="13"/>
      <c r="B7183" s="13"/>
      <c r="C7183" s="13"/>
      <c r="D7183" s="13"/>
    </row>
    <row r="7184" spans="1:4">
      <c r="A7184" s="13"/>
      <c r="B7184" s="13"/>
      <c r="C7184" s="13"/>
      <c r="D7184" s="13"/>
    </row>
    <row r="7185" spans="1:4">
      <c r="A7185" s="13"/>
      <c r="B7185" s="13"/>
      <c r="C7185" s="13"/>
      <c r="D7185" s="13"/>
    </row>
    <row r="7186" spans="1:4">
      <c r="A7186" s="13"/>
      <c r="B7186" s="13"/>
      <c r="C7186" s="13"/>
      <c r="D7186" s="13"/>
    </row>
    <row r="7187" spans="1:4">
      <c r="A7187" s="13"/>
      <c r="B7187" s="13"/>
      <c r="C7187" s="13"/>
      <c r="D7187" s="13"/>
    </row>
    <row r="7188" spans="1:4">
      <c r="A7188" s="13"/>
      <c r="B7188" s="13"/>
      <c r="C7188" s="13"/>
      <c r="D7188" s="13"/>
    </row>
    <row r="7189" spans="1:4">
      <c r="A7189" s="13"/>
      <c r="B7189" s="13"/>
      <c r="C7189" s="13"/>
      <c r="D7189" s="13"/>
    </row>
    <row r="7190" spans="1:4">
      <c r="A7190" s="13"/>
      <c r="B7190" s="13"/>
      <c r="C7190" s="13"/>
      <c r="D7190" s="13"/>
    </row>
    <row r="7191" spans="1:4">
      <c r="A7191" s="13"/>
      <c r="B7191" s="13"/>
      <c r="C7191" s="13"/>
      <c r="D7191" s="13"/>
    </row>
    <row r="7192" spans="1:4">
      <c r="A7192" s="13"/>
      <c r="B7192" s="13"/>
      <c r="C7192" s="13"/>
      <c r="D7192" s="13"/>
    </row>
    <row r="7193" spans="1:4">
      <c r="A7193" s="13"/>
      <c r="B7193" s="13"/>
      <c r="C7193" s="13"/>
      <c r="D7193" s="13"/>
    </row>
    <row r="7194" spans="1:4">
      <c r="A7194" s="13"/>
      <c r="B7194" s="13"/>
      <c r="C7194" s="13"/>
      <c r="D7194" s="13"/>
    </row>
    <row r="7195" spans="1:4">
      <c r="A7195" s="13"/>
      <c r="B7195" s="13"/>
      <c r="C7195" s="13"/>
      <c r="D7195" s="13"/>
    </row>
    <row r="7196" spans="1:4">
      <c r="A7196" s="13"/>
      <c r="B7196" s="13"/>
      <c r="C7196" s="13"/>
      <c r="D7196" s="13"/>
    </row>
    <row r="7197" spans="1:4">
      <c r="A7197" s="13"/>
      <c r="B7197" s="13"/>
      <c r="C7197" s="13"/>
      <c r="D7197" s="13"/>
    </row>
    <row r="7198" spans="1:4">
      <c r="A7198" s="13"/>
      <c r="B7198" s="13"/>
      <c r="C7198" s="13"/>
      <c r="D7198" s="13"/>
    </row>
    <row r="7199" spans="1:4">
      <c r="A7199" s="13"/>
      <c r="B7199" s="13"/>
      <c r="C7199" s="13"/>
      <c r="D7199" s="13"/>
    </row>
    <row r="7200" spans="1:4">
      <c r="A7200" s="13"/>
      <c r="B7200" s="13"/>
      <c r="C7200" s="13"/>
      <c r="D7200" s="13"/>
    </row>
    <row r="7201" spans="1:4">
      <c r="A7201" s="13"/>
      <c r="B7201" s="13"/>
      <c r="C7201" s="13"/>
      <c r="D7201" s="13"/>
    </row>
    <row r="7202" spans="1:4">
      <c r="A7202" s="13"/>
      <c r="B7202" s="13"/>
      <c r="C7202" s="13"/>
      <c r="D7202" s="13"/>
    </row>
    <row r="7203" spans="1:4">
      <c r="A7203" s="13"/>
      <c r="B7203" s="13"/>
      <c r="C7203" s="13"/>
      <c r="D7203" s="13"/>
    </row>
    <row r="7204" spans="1:4">
      <c r="A7204" s="13"/>
      <c r="B7204" s="13"/>
      <c r="C7204" s="13"/>
      <c r="D7204" s="13"/>
    </row>
    <row r="7205" spans="1:4">
      <c r="A7205" s="13"/>
      <c r="B7205" s="13"/>
      <c r="C7205" s="13"/>
      <c r="D7205" s="13"/>
    </row>
    <row r="7206" spans="1:4">
      <c r="A7206" s="13"/>
      <c r="B7206" s="13"/>
      <c r="C7206" s="13"/>
      <c r="D7206" s="13"/>
    </row>
    <row r="7207" spans="1:4">
      <c r="A7207" s="13"/>
      <c r="B7207" s="13"/>
      <c r="C7207" s="13"/>
      <c r="D7207" s="13"/>
    </row>
    <row r="7208" spans="1:4">
      <c r="A7208" s="13"/>
      <c r="B7208" s="13"/>
      <c r="C7208" s="13"/>
      <c r="D7208" s="13"/>
    </row>
    <row r="7209" spans="1:4">
      <c r="A7209" s="13"/>
      <c r="B7209" s="13"/>
      <c r="C7209" s="13"/>
      <c r="D7209" s="13"/>
    </row>
    <row r="7210" spans="1:4">
      <c r="A7210" s="13"/>
      <c r="B7210" s="13"/>
      <c r="C7210" s="13"/>
      <c r="D7210" s="13"/>
    </row>
    <row r="7211" spans="1:4">
      <c r="A7211" s="13"/>
      <c r="B7211" s="13"/>
      <c r="C7211" s="13"/>
      <c r="D7211" s="13"/>
    </row>
    <row r="7212" spans="1:4">
      <c r="A7212" s="13"/>
      <c r="B7212" s="13"/>
      <c r="C7212" s="13"/>
      <c r="D7212" s="13"/>
    </row>
    <row r="7213" spans="1:4">
      <c r="A7213" s="13"/>
      <c r="B7213" s="13"/>
      <c r="C7213" s="13"/>
      <c r="D7213" s="13"/>
    </row>
    <row r="7214" spans="1:4">
      <c r="A7214" s="13"/>
      <c r="B7214" s="13"/>
      <c r="C7214" s="13"/>
      <c r="D7214" s="13"/>
    </row>
    <row r="7215" spans="1:4">
      <c r="A7215" s="13"/>
      <c r="B7215" s="13"/>
      <c r="C7215" s="13"/>
      <c r="D7215" s="13"/>
    </row>
    <row r="7216" spans="1:4">
      <c r="A7216" s="13"/>
      <c r="B7216" s="13"/>
      <c r="C7216" s="13"/>
      <c r="D7216" s="13"/>
    </row>
    <row r="7217" spans="1:4">
      <c r="A7217" s="13"/>
      <c r="B7217" s="13"/>
      <c r="C7217" s="13"/>
      <c r="D7217" s="13"/>
    </row>
    <row r="7218" spans="1:4">
      <c r="A7218" s="13"/>
      <c r="B7218" s="13"/>
      <c r="C7218" s="13"/>
      <c r="D7218" s="13"/>
    </row>
    <row r="7219" spans="1:4">
      <c r="A7219" s="13"/>
      <c r="B7219" s="13"/>
      <c r="C7219" s="13"/>
      <c r="D7219" s="13"/>
    </row>
    <row r="7220" spans="1:4">
      <c r="A7220" s="13"/>
      <c r="B7220" s="13"/>
      <c r="C7220" s="13"/>
      <c r="D7220" s="13"/>
    </row>
    <row r="7221" spans="1:4">
      <c r="A7221" s="13"/>
      <c r="B7221" s="13"/>
      <c r="C7221" s="13"/>
      <c r="D7221" s="13"/>
    </row>
    <row r="7222" spans="1:4">
      <c r="A7222" s="13"/>
      <c r="B7222" s="13"/>
      <c r="C7222" s="13"/>
      <c r="D7222" s="13"/>
    </row>
    <row r="7223" spans="1:4">
      <c r="A7223" s="13"/>
      <c r="B7223" s="13"/>
      <c r="C7223" s="13"/>
      <c r="D7223" s="13"/>
    </row>
    <row r="7224" spans="1:4">
      <c r="A7224" s="13"/>
      <c r="B7224" s="13"/>
      <c r="C7224" s="13"/>
      <c r="D7224" s="13"/>
    </row>
    <row r="7225" spans="1:4">
      <c r="A7225" s="13"/>
      <c r="B7225" s="13"/>
      <c r="C7225" s="13"/>
      <c r="D7225" s="13"/>
    </row>
    <row r="7226" spans="1:4">
      <c r="A7226" s="13"/>
      <c r="B7226" s="13"/>
      <c r="C7226" s="13"/>
      <c r="D7226" s="13"/>
    </row>
    <row r="7227" spans="1:4">
      <c r="A7227" s="13"/>
      <c r="B7227" s="13"/>
      <c r="C7227" s="13"/>
      <c r="D7227" s="13"/>
    </row>
    <row r="7228" spans="1:4">
      <c r="A7228" s="13"/>
      <c r="B7228" s="13"/>
      <c r="C7228" s="13"/>
      <c r="D7228" s="13"/>
    </row>
    <row r="7229" spans="1:4">
      <c r="A7229" s="13"/>
      <c r="B7229" s="13"/>
      <c r="C7229" s="13"/>
      <c r="D7229" s="13"/>
    </row>
    <row r="7230" spans="1:4">
      <c r="A7230" s="13"/>
      <c r="B7230" s="13"/>
      <c r="C7230" s="13"/>
      <c r="D7230" s="13"/>
    </row>
    <row r="7231" spans="1:4">
      <c r="A7231" s="13"/>
      <c r="B7231" s="13"/>
      <c r="C7231" s="13"/>
      <c r="D7231" s="13"/>
    </row>
    <row r="7232" spans="1:4">
      <c r="A7232" s="13"/>
      <c r="B7232" s="13"/>
      <c r="C7232" s="13"/>
      <c r="D7232" s="13"/>
    </row>
    <row r="7233" spans="1:4">
      <c r="A7233" s="13"/>
      <c r="B7233" s="13"/>
      <c r="C7233" s="13"/>
      <c r="D7233" s="13"/>
    </row>
    <row r="7234" spans="1:4">
      <c r="A7234" s="13"/>
      <c r="B7234" s="13"/>
      <c r="C7234" s="13"/>
      <c r="D7234" s="13"/>
    </row>
    <row r="7235" spans="1:4">
      <c r="A7235" s="13"/>
      <c r="B7235" s="13"/>
      <c r="C7235" s="13"/>
      <c r="D7235" s="13"/>
    </row>
    <row r="7236" spans="1:4">
      <c r="A7236" s="13"/>
      <c r="B7236" s="13"/>
      <c r="C7236" s="13"/>
      <c r="D7236" s="13"/>
    </row>
    <row r="7237" spans="1:4">
      <c r="A7237" s="13"/>
      <c r="B7237" s="13"/>
      <c r="C7237" s="13"/>
      <c r="D7237" s="13"/>
    </row>
    <row r="7238" spans="1:4">
      <c r="A7238" s="13"/>
      <c r="B7238" s="13"/>
      <c r="C7238" s="13"/>
      <c r="D7238" s="13"/>
    </row>
    <row r="7239" spans="1:4">
      <c r="A7239" s="13"/>
      <c r="B7239" s="13"/>
      <c r="C7239" s="13"/>
      <c r="D7239" s="13"/>
    </row>
    <row r="7240" spans="1:4">
      <c r="A7240" s="13"/>
      <c r="B7240" s="13"/>
      <c r="C7240" s="13"/>
      <c r="D7240" s="13"/>
    </row>
    <row r="7241" spans="1:4">
      <c r="A7241" s="13"/>
      <c r="B7241" s="13"/>
      <c r="C7241" s="13"/>
      <c r="D7241" s="13"/>
    </row>
    <row r="7242" spans="1:4">
      <c r="A7242" s="13"/>
      <c r="B7242" s="13"/>
      <c r="C7242" s="13"/>
      <c r="D7242" s="13"/>
    </row>
    <row r="7243" spans="1:4">
      <c r="A7243" s="13"/>
      <c r="B7243" s="13"/>
      <c r="C7243" s="13"/>
      <c r="D7243" s="13"/>
    </row>
    <row r="7244" spans="1:4">
      <c r="A7244" s="13"/>
      <c r="B7244" s="13"/>
      <c r="C7244" s="13"/>
      <c r="D7244" s="13"/>
    </row>
    <row r="7245" spans="1:4">
      <c r="A7245" s="13"/>
      <c r="B7245" s="13"/>
      <c r="C7245" s="13"/>
      <c r="D7245" s="13"/>
    </row>
    <row r="7246" spans="1:4">
      <c r="A7246" s="13"/>
      <c r="B7246" s="13"/>
      <c r="C7246" s="13"/>
      <c r="D7246" s="13"/>
    </row>
    <row r="7247" spans="1:4">
      <c r="A7247" s="13"/>
      <c r="B7247" s="13"/>
      <c r="C7247" s="13"/>
      <c r="D7247" s="13"/>
    </row>
    <row r="7248" spans="1:4">
      <c r="A7248" s="13"/>
      <c r="B7248" s="13"/>
      <c r="C7248" s="13"/>
      <c r="D7248" s="13"/>
    </row>
    <row r="7249" spans="1:4">
      <c r="A7249" s="13"/>
      <c r="B7249" s="13"/>
      <c r="C7249" s="13"/>
      <c r="D7249" s="13"/>
    </row>
    <row r="7250" spans="1:4">
      <c r="A7250" s="13"/>
      <c r="B7250" s="13"/>
      <c r="C7250" s="13"/>
      <c r="D7250" s="13"/>
    </row>
    <row r="7251" spans="1:4">
      <c r="A7251" s="13"/>
      <c r="B7251" s="13"/>
      <c r="C7251" s="13"/>
      <c r="D7251" s="13"/>
    </row>
    <row r="7252" spans="1:4">
      <c r="A7252" s="13"/>
      <c r="B7252" s="13"/>
      <c r="C7252" s="13"/>
      <c r="D7252" s="13"/>
    </row>
    <row r="7253" spans="1:4">
      <c r="A7253" s="13"/>
      <c r="B7253" s="13"/>
      <c r="C7253" s="13"/>
      <c r="D7253" s="13"/>
    </row>
    <row r="7254" spans="1:4">
      <c r="A7254" s="13"/>
      <c r="B7254" s="13"/>
      <c r="C7254" s="13"/>
      <c r="D7254" s="13"/>
    </row>
    <row r="7255" spans="1:4">
      <c r="A7255" s="13"/>
      <c r="B7255" s="13"/>
      <c r="C7255" s="13"/>
      <c r="D7255" s="13"/>
    </row>
    <row r="7256" spans="1:4">
      <c r="A7256" s="13"/>
      <c r="B7256" s="13"/>
      <c r="C7256" s="13"/>
      <c r="D7256" s="13"/>
    </row>
    <row r="7257" spans="1:4">
      <c r="A7257" s="13"/>
      <c r="B7257" s="13"/>
      <c r="C7257" s="13"/>
      <c r="D7257" s="13"/>
    </row>
    <row r="7258" spans="1:4">
      <c r="A7258" s="13"/>
      <c r="B7258" s="13"/>
      <c r="C7258" s="13"/>
      <c r="D7258" s="13"/>
    </row>
    <row r="7259" spans="1:4">
      <c r="A7259" s="13"/>
      <c r="B7259" s="13"/>
      <c r="C7259" s="13"/>
      <c r="D7259" s="13"/>
    </row>
    <row r="7260" spans="1:4">
      <c r="A7260" s="13"/>
      <c r="B7260" s="13"/>
      <c r="C7260" s="13"/>
      <c r="D7260" s="13"/>
    </row>
    <row r="7261" spans="1:4">
      <c r="A7261" s="13"/>
      <c r="B7261" s="13"/>
      <c r="C7261" s="13"/>
      <c r="D7261" s="13"/>
    </row>
    <row r="7262" spans="1:4">
      <c r="A7262" s="13"/>
      <c r="B7262" s="13"/>
      <c r="C7262" s="13"/>
      <c r="D7262" s="13"/>
    </row>
    <row r="7263" spans="1:4">
      <c r="A7263" s="13"/>
      <c r="B7263" s="13"/>
      <c r="C7263" s="13"/>
      <c r="D7263" s="13"/>
    </row>
    <row r="7264" spans="1:4">
      <c r="A7264" s="13"/>
      <c r="B7264" s="13"/>
      <c r="C7264" s="13"/>
      <c r="D7264" s="13"/>
    </row>
    <row r="7265" spans="1:4">
      <c r="A7265" s="13"/>
      <c r="B7265" s="13"/>
      <c r="C7265" s="13"/>
      <c r="D7265" s="13"/>
    </row>
    <row r="7266" spans="1:4">
      <c r="A7266" s="13"/>
      <c r="B7266" s="13"/>
      <c r="C7266" s="13"/>
      <c r="D7266" s="13"/>
    </row>
    <row r="7267" spans="1:4">
      <c r="A7267" s="13"/>
      <c r="B7267" s="13"/>
      <c r="C7267" s="13"/>
      <c r="D7267" s="13"/>
    </row>
    <row r="7268" spans="1:4">
      <c r="A7268" s="13"/>
      <c r="B7268" s="13"/>
      <c r="C7268" s="13"/>
      <c r="D7268" s="13"/>
    </row>
    <row r="7269" spans="1:4">
      <c r="A7269" s="13"/>
      <c r="B7269" s="13"/>
      <c r="C7269" s="13"/>
      <c r="D7269" s="13"/>
    </row>
    <row r="7270" spans="1:4">
      <c r="A7270" s="13"/>
      <c r="B7270" s="13"/>
      <c r="C7270" s="13"/>
      <c r="D7270" s="13"/>
    </row>
    <row r="7271" spans="1:4">
      <c r="A7271" s="13"/>
      <c r="B7271" s="13"/>
      <c r="C7271" s="13"/>
      <c r="D7271" s="13"/>
    </row>
    <row r="7272" spans="1:4">
      <c r="A7272" s="13"/>
      <c r="B7272" s="13"/>
      <c r="C7272" s="13"/>
      <c r="D7272" s="13"/>
    </row>
    <row r="7273" spans="1:4">
      <c r="A7273" s="13"/>
      <c r="B7273" s="13"/>
      <c r="C7273" s="13"/>
      <c r="D7273" s="13"/>
    </row>
    <row r="7274" spans="1:4">
      <c r="A7274" s="13"/>
      <c r="B7274" s="13"/>
      <c r="C7274" s="13"/>
      <c r="D7274" s="13"/>
    </row>
    <row r="7275" spans="1:4">
      <c r="A7275" s="13"/>
      <c r="B7275" s="13"/>
      <c r="C7275" s="13"/>
      <c r="D7275" s="13"/>
    </row>
    <row r="7276" spans="1:4">
      <c r="A7276" s="13"/>
      <c r="B7276" s="13"/>
      <c r="C7276" s="13"/>
      <c r="D7276" s="13"/>
    </row>
    <row r="7277" spans="1:4">
      <c r="A7277" s="13"/>
      <c r="B7277" s="13"/>
      <c r="C7277" s="13"/>
      <c r="D7277" s="13"/>
    </row>
    <row r="7278" spans="1:4">
      <c r="A7278" s="13"/>
      <c r="B7278" s="13"/>
      <c r="C7278" s="13"/>
      <c r="D7278" s="13"/>
    </row>
    <row r="7279" spans="1:4">
      <c r="A7279" s="13"/>
      <c r="B7279" s="13"/>
      <c r="C7279" s="13"/>
      <c r="D7279" s="13"/>
    </row>
    <row r="7280" spans="1:4">
      <c r="A7280" s="13"/>
      <c r="B7280" s="13"/>
      <c r="C7280" s="13"/>
      <c r="D7280" s="13"/>
    </row>
    <row r="7281" spans="1:4">
      <c r="A7281" s="13"/>
      <c r="B7281" s="13"/>
      <c r="C7281" s="13"/>
      <c r="D7281" s="13"/>
    </row>
    <row r="7282" spans="1:4">
      <c r="A7282" s="13"/>
      <c r="B7282" s="13"/>
      <c r="C7282" s="13"/>
      <c r="D7282" s="13"/>
    </row>
    <row r="7283" spans="1:4">
      <c r="A7283" s="13"/>
      <c r="B7283" s="13"/>
      <c r="C7283" s="13"/>
      <c r="D7283" s="13"/>
    </row>
    <row r="7284" spans="1:4">
      <c r="A7284" s="13"/>
      <c r="B7284" s="13"/>
      <c r="C7284" s="13"/>
      <c r="D7284" s="13"/>
    </row>
    <row r="7285" spans="1:4">
      <c r="A7285" s="13"/>
      <c r="B7285" s="13"/>
      <c r="C7285" s="13"/>
      <c r="D7285" s="13"/>
    </row>
    <row r="7286" spans="1:4">
      <c r="A7286" s="13"/>
      <c r="B7286" s="13"/>
      <c r="C7286" s="13"/>
      <c r="D7286" s="13"/>
    </row>
    <row r="7287" spans="1:4">
      <c r="A7287" s="13"/>
      <c r="B7287" s="13"/>
      <c r="C7287" s="13"/>
      <c r="D7287" s="13"/>
    </row>
    <row r="7288" spans="1:4">
      <c r="A7288" s="13"/>
      <c r="B7288" s="13"/>
      <c r="C7288" s="13"/>
      <c r="D7288" s="13"/>
    </row>
    <row r="7289" spans="1:4">
      <c r="A7289" s="13"/>
      <c r="B7289" s="13"/>
      <c r="C7289" s="13"/>
      <c r="D7289" s="13"/>
    </row>
    <row r="7290" spans="1:4">
      <c r="A7290" s="13"/>
      <c r="B7290" s="13"/>
      <c r="C7290" s="13"/>
      <c r="D7290" s="13"/>
    </row>
    <row r="7291" spans="1:4">
      <c r="A7291" s="13"/>
      <c r="B7291" s="13"/>
      <c r="C7291" s="13"/>
      <c r="D7291" s="13"/>
    </row>
    <row r="7292" spans="1:4">
      <c r="A7292" s="13"/>
      <c r="B7292" s="13"/>
      <c r="C7292" s="13"/>
      <c r="D7292" s="13"/>
    </row>
    <row r="7293" spans="1:4">
      <c r="A7293" s="13"/>
      <c r="B7293" s="13"/>
      <c r="C7293" s="13"/>
      <c r="D7293" s="13"/>
    </row>
    <row r="7294" spans="1:4">
      <c r="A7294" s="13"/>
      <c r="B7294" s="13"/>
      <c r="C7294" s="13"/>
      <c r="D7294" s="13"/>
    </row>
    <row r="7295" spans="1:4">
      <c r="A7295" s="13"/>
      <c r="B7295" s="13"/>
      <c r="C7295" s="13"/>
      <c r="D7295" s="13"/>
    </row>
    <row r="7296" spans="1:4">
      <c r="A7296" s="13"/>
      <c r="B7296" s="13"/>
      <c r="C7296" s="13"/>
      <c r="D7296" s="13"/>
    </row>
    <row r="7297" spans="1:4">
      <c r="A7297" s="13"/>
      <c r="B7297" s="13"/>
      <c r="C7297" s="13"/>
      <c r="D7297" s="13"/>
    </row>
    <row r="7298" spans="1:4">
      <c r="A7298" s="13"/>
      <c r="B7298" s="13"/>
      <c r="C7298" s="13"/>
      <c r="D7298" s="13"/>
    </row>
    <row r="7299" spans="1:4">
      <c r="A7299" s="13"/>
      <c r="B7299" s="13"/>
      <c r="C7299" s="13"/>
      <c r="D7299" s="13"/>
    </row>
    <row r="7300" spans="1:4">
      <c r="A7300" s="13"/>
      <c r="B7300" s="13"/>
      <c r="C7300" s="13"/>
      <c r="D7300" s="13"/>
    </row>
    <row r="7301" spans="1:4">
      <c r="A7301" s="13"/>
      <c r="B7301" s="13"/>
      <c r="C7301" s="13"/>
      <c r="D7301" s="13"/>
    </row>
    <row r="7302" spans="1:4">
      <c r="A7302" s="13"/>
      <c r="B7302" s="13"/>
      <c r="C7302" s="13"/>
      <c r="D7302" s="13"/>
    </row>
    <row r="7303" spans="1:4">
      <c r="A7303" s="13"/>
      <c r="B7303" s="13"/>
      <c r="C7303" s="13"/>
      <c r="D7303" s="13"/>
    </row>
    <row r="7304" spans="1:4">
      <c r="A7304" s="13"/>
      <c r="B7304" s="13"/>
      <c r="C7304" s="13"/>
      <c r="D7304" s="13"/>
    </row>
    <row r="7305" spans="1:4">
      <c r="A7305" s="13"/>
      <c r="B7305" s="13"/>
      <c r="C7305" s="13"/>
      <c r="D7305" s="13"/>
    </row>
    <row r="7306" spans="1:4">
      <c r="A7306" s="13"/>
      <c r="B7306" s="13"/>
      <c r="C7306" s="13"/>
      <c r="D7306" s="13"/>
    </row>
    <row r="7307" spans="1:4">
      <c r="A7307" s="13"/>
      <c r="B7307" s="13"/>
      <c r="C7307" s="13"/>
      <c r="D7307" s="13"/>
    </row>
    <row r="7308" spans="1:4">
      <c r="A7308" s="13"/>
      <c r="B7308" s="13"/>
      <c r="C7308" s="13"/>
      <c r="D7308" s="13"/>
    </row>
    <row r="7309" spans="1:4">
      <c r="A7309" s="13"/>
      <c r="B7309" s="13"/>
      <c r="C7309" s="13"/>
      <c r="D7309" s="13"/>
    </row>
    <row r="7310" spans="1:4">
      <c r="A7310" s="13"/>
      <c r="B7310" s="13"/>
      <c r="C7310" s="13"/>
      <c r="D7310" s="13"/>
    </row>
    <row r="7311" spans="1:4">
      <c r="A7311" s="13"/>
      <c r="B7311" s="13"/>
      <c r="C7311" s="13"/>
      <c r="D7311" s="13"/>
    </row>
    <row r="7312" spans="1:4">
      <c r="A7312" s="13"/>
      <c r="B7312" s="13"/>
      <c r="C7312" s="13"/>
      <c r="D7312" s="13"/>
    </row>
    <row r="7313" spans="1:4">
      <c r="A7313" s="13"/>
      <c r="B7313" s="13"/>
      <c r="C7313" s="13"/>
      <c r="D7313" s="13"/>
    </row>
    <row r="7314" spans="1:4">
      <c r="A7314" s="13"/>
      <c r="B7314" s="13"/>
      <c r="C7314" s="13"/>
      <c r="D7314" s="13"/>
    </row>
    <row r="7315" spans="1:4">
      <c r="A7315" s="13"/>
      <c r="B7315" s="13"/>
      <c r="C7315" s="13"/>
      <c r="D7315" s="13"/>
    </row>
    <row r="7316" spans="1:4">
      <c r="A7316" s="13"/>
      <c r="B7316" s="13"/>
      <c r="C7316" s="13"/>
      <c r="D7316" s="13"/>
    </row>
    <row r="7317" spans="1:4">
      <c r="A7317" s="13"/>
      <c r="B7317" s="13"/>
      <c r="C7317" s="13"/>
      <c r="D7317" s="13"/>
    </row>
    <row r="7318" spans="1:4">
      <c r="A7318" s="13"/>
      <c r="B7318" s="13"/>
      <c r="C7318" s="13"/>
      <c r="D7318" s="13"/>
    </row>
    <row r="7319" spans="1:4">
      <c r="A7319" s="13"/>
      <c r="B7319" s="13"/>
      <c r="C7319" s="13"/>
      <c r="D7319" s="13"/>
    </row>
    <row r="7320" spans="1:4">
      <c r="A7320" s="13"/>
      <c r="B7320" s="13"/>
      <c r="C7320" s="13"/>
      <c r="D7320" s="13"/>
    </row>
    <row r="7321" spans="1:4">
      <c r="A7321" s="13"/>
      <c r="B7321" s="13"/>
      <c r="C7321" s="13"/>
      <c r="D7321" s="13"/>
    </row>
    <row r="7322" spans="1:4">
      <c r="A7322" s="13"/>
      <c r="B7322" s="13"/>
      <c r="C7322" s="13"/>
      <c r="D7322" s="13"/>
    </row>
    <row r="7323" spans="1:4">
      <c r="A7323" s="13"/>
      <c r="B7323" s="13"/>
      <c r="C7323" s="13"/>
      <c r="D7323" s="13"/>
    </row>
    <row r="7324" spans="1:4">
      <c r="A7324" s="13"/>
      <c r="B7324" s="13"/>
      <c r="C7324" s="13"/>
      <c r="D7324" s="13"/>
    </row>
    <row r="7325" spans="1:4">
      <c r="A7325" s="13"/>
      <c r="B7325" s="13"/>
      <c r="C7325" s="13"/>
      <c r="D7325" s="13"/>
    </row>
    <row r="7326" spans="1:4">
      <c r="A7326" s="13"/>
      <c r="B7326" s="13"/>
      <c r="C7326" s="13"/>
      <c r="D7326" s="13"/>
    </row>
    <row r="7327" spans="1:4">
      <c r="A7327" s="13"/>
      <c r="B7327" s="13"/>
      <c r="C7327" s="13"/>
      <c r="D7327" s="13"/>
    </row>
    <row r="7328" spans="1:4">
      <c r="A7328" s="13"/>
      <c r="B7328" s="13"/>
      <c r="C7328" s="13"/>
      <c r="D7328" s="13"/>
    </row>
    <row r="7329" spans="1:4">
      <c r="A7329" s="13"/>
      <c r="B7329" s="13"/>
      <c r="C7329" s="13"/>
      <c r="D7329" s="13"/>
    </row>
    <row r="7330" spans="1:4">
      <c r="A7330" s="13"/>
      <c r="B7330" s="13"/>
      <c r="C7330" s="13"/>
      <c r="D7330" s="13"/>
    </row>
    <row r="7331" spans="1:4">
      <c r="A7331" s="13"/>
      <c r="B7331" s="13"/>
      <c r="C7331" s="13"/>
      <c r="D7331" s="13"/>
    </row>
    <row r="7332" spans="1:4">
      <c r="A7332" s="13"/>
      <c r="B7332" s="13"/>
      <c r="C7332" s="13"/>
      <c r="D7332" s="13"/>
    </row>
    <row r="7333" spans="1:4">
      <c r="A7333" s="13"/>
      <c r="B7333" s="13"/>
      <c r="C7333" s="13"/>
      <c r="D7333" s="13"/>
    </row>
    <row r="7334" spans="1:4">
      <c r="A7334" s="13"/>
      <c r="B7334" s="13"/>
      <c r="C7334" s="13"/>
      <c r="D7334" s="13"/>
    </row>
    <row r="7335" spans="1:4">
      <c r="A7335" s="13"/>
      <c r="B7335" s="13"/>
      <c r="C7335" s="13"/>
      <c r="D7335" s="13"/>
    </row>
    <row r="7336" spans="1:4">
      <c r="A7336" s="13"/>
      <c r="B7336" s="13"/>
      <c r="C7336" s="13"/>
      <c r="D7336" s="13"/>
    </row>
    <row r="7337" spans="1:4">
      <c r="A7337" s="13"/>
      <c r="B7337" s="13"/>
      <c r="C7337" s="13"/>
      <c r="D7337" s="13"/>
    </row>
    <row r="7338" spans="1:4">
      <c r="A7338" s="13"/>
      <c r="B7338" s="13"/>
      <c r="C7338" s="13"/>
      <c r="D7338" s="13"/>
    </row>
    <row r="7339" spans="1:4">
      <c r="A7339" s="13"/>
      <c r="B7339" s="13"/>
      <c r="C7339" s="13"/>
      <c r="D7339" s="13"/>
    </row>
    <row r="7340" spans="1:4">
      <c r="A7340" s="13"/>
      <c r="B7340" s="13"/>
      <c r="C7340" s="13"/>
      <c r="D7340" s="13"/>
    </row>
    <row r="7341" spans="1:4">
      <c r="A7341" s="13"/>
      <c r="B7341" s="13"/>
      <c r="C7341" s="13"/>
      <c r="D7341" s="13"/>
    </row>
    <row r="7342" spans="1:4">
      <c r="A7342" s="13"/>
      <c r="B7342" s="13"/>
      <c r="C7342" s="13"/>
      <c r="D7342" s="13"/>
    </row>
    <row r="7343" spans="1:4">
      <c r="A7343" s="13"/>
      <c r="B7343" s="13"/>
      <c r="C7343" s="13"/>
      <c r="D7343" s="13"/>
    </row>
    <row r="7344" spans="1:4">
      <c r="A7344" s="13"/>
      <c r="B7344" s="13"/>
      <c r="C7344" s="13"/>
      <c r="D7344" s="13"/>
    </row>
    <row r="7345" spans="1:4">
      <c r="A7345" s="13"/>
      <c r="B7345" s="13"/>
      <c r="C7345" s="13"/>
      <c r="D7345" s="13"/>
    </row>
    <row r="7346" spans="1:4">
      <c r="A7346" s="13"/>
      <c r="B7346" s="13"/>
      <c r="C7346" s="13"/>
      <c r="D7346" s="13"/>
    </row>
    <row r="7347" spans="1:4">
      <c r="A7347" s="13"/>
      <c r="B7347" s="13"/>
      <c r="C7347" s="13"/>
      <c r="D7347" s="13"/>
    </row>
    <row r="7348" spans="1:4">
      <c r="A7348" s="13"/>
      <c r="B7348" s="13"/>
      <c r="C7348" s="13"/>
      <c r="D7348" s="13"/>
    </row>
    <row r="7349" spans="1:4">
      <c r="A7349" s="13"/>
      <c r="B7349" s="13"/>
      <c r="C7349" s="13"/>
      <c r="D7349" s="13"/>
    </row>
    <row r="7350" spans="1:4">
      <c r="A7350" s="13"/>
      <c r="B7350" s="13"/>
      <c r="C7350" s="13"/>
      <c r="D7350" s="13"/>
    </row>
    <row r="7351" spans="1:4">
      <c r="A7351" s="13"/>
      <c r="B7351" s="13"/>
      <c r="C7351" s="13"/>
      <c r="D7351" s="13"/>
    </row>
    <row r="7352" spans="1:4">
      <c r="A7352" s="13"/>
      <c r="B7352" s="13"/>
      <c r="C7352" s="13"/>
      <c r="D7352" s="13"/>
    </row>
    <row r="7353" spans="1:4">
      <c r="A7353" s="13"/>
      <c r="B7353" s="13"/>
      <c r="C7353" s="13"/>
      <c r="D7353" s="13"/>
    </row>
    <row r="7354" spans="1:4">
      <c r="A7354" s="13"/>
      <c r="B7354" s="13"/>
      <c r="C7354" s="13"/>
      <c r="D7354" s="13"/>
    </row>
    <row r="7355" spans="1:4">
      <c r="A7355" s="13"/>
      <c r="B7355" s="13"/>
      <c r="C7355" s="13"/>
      <c r="D7355" s="13"/>
    </row>
    <row r="7356" spans="1:4">
      <c r="A7356" s="13"/>
      <c r="B7356" s="13"/>
      <c r="C7356" s="13"/>
      <c r="D7356" s="13"/>
    </row>
    <row r="7357" spans="1:4">
      <c r="A7357" s="13"/>
      <c r="B7357" s="13"/>
      <c r="C7357" s="13"/>
      <c r="D7357" s="13"/>
    </row>
    <row r="7358" spans="1:4">
      <c r="A7358" s="13"/>
      <c r="B7358" s="13"/>
      <c r="C7358" s="13"/>
      <c r="D7358" s="13"/>
    </row>
    <row r="7359" spans="1:4">
      <c r="A7359" s="13"/>
      <c r="B7359" s="13"/>
      <c r="C7359" s="13"/>
      <c r="D7359" s="13"/>
    </row>
    <row r="7360" spans="1:4">
      <c r="A7360" s="13"/>
      <c r="B7360" s="13"/>
      <c r="C7360" s="13"/>
      <c r="D7360" s="13"/>
    </row>
    <row r="7361" spans="1:4">
      <c r="A7361" s="13"/>
      <c r="B7361" s="13"/>
      <c r="C7361" s="13"/>
      <c r="D7361" s="13"/>
    </row>
    <row r="7362" spans="1:4">
      <c r="A7362" s="13"/>
      <c r="B7362" s="13"/>
      <c r="C7362" s="13"/>
      <c r="D7362" s="13"/>
    </row>
    <row r="7363" spans="1:4">
      <c r="A7363" s="13"/>
      <c r="B7363" s="13"/>
      <c r="C7363" s="13"/>
      <c r="D7363" s="13"/>
    </row>
    <row r="7364" spans="1:4">
      <c r="A7364" s="13"/>
      <c r="B7364" s="13"/>
      <c r="C7364" s="13"/>
      <c r="D7364" s="13"/>
    </row>
    <row r="7365" spans="1:4">
      <c r="A7365" s="13"/>
      <c r="B7365" s="13"/>
      <c r="C7365" s="13"/>
      <c r="D7365" s="13"/>
    </row>
    <row r="7366" spans="1:4">
      <c r="A7366" s="13"/>
      <c r="B7366" s="13"/>
      <c r="C7366" s="13"/>
      <c r="D7366" s="13"/>
    </row>
    <row r="7367" spans="1:4">
      <c r="A7367" s="13"/>
      <c r="B7367" s="13"/>
      <c r="C7367" s="13"/>
      <c r="D7367" s="13"/>
    </row>
    <row r="7368" spans="1:4">
      <c r="A7368" s="13"/>
      <c r="B7368" s="13"/>
      <c r="C7368" s="13"/>
      <c r="D7368" s="13"/>
    </row>
    <row r="7369" spans="1:4">
      <c r="A7369" s="13"/>
      <c r="B7369" s="13"/>
      <c r="C7369" s="13"/>
      <c r="D7369" s="13"/>
    </row>
    <row r="7370" spans="1:4">
      <c r="A7370" s="13"/>
      <c r="B7370" s="13"/>
      <c r="C7370" s="13"/>
      <c r="D7370" s="13"/>
    </row>
    <row r="7371" spans="1:4">
      <c r="A7371" s="13"/>
      <c r="B7371" s="13"/>
      <c r="C7371" s="13"/>
      <c r="D7371" s="13"/>
    </row>
    <row r="7372" spans="1:4">
      <c r="A7372" s="13"/>
      <c r="B7372" s="13"/>
      <c r="C7372" s="13"/>
      <c r="D7372" s="13"/>
    </row>
    <row r="7373" spans="1:4">
      <c r="A7373" s="13"/>
      <c r="B7373" s="13"/>
      <c r="C7373" s="13"/>
      <c r="D7373" s="13"/>
    </row>
    <row r="7374" spans="1:4">
      <c r="A7374" s="13"/>
      <c r="B7374" s="13"/>
      <c r="C7374" s="13"/>
      <c r="D7374" s="13"/>
    </row>
    <row r="7375" spans="1:4">
      <c r="A7375" s="13"/>
      <c r="B7375" s="13"/>
      <c r="C7375" s="13"/>
      <c r="D7375" s="13"/>
    </row>
    <row r="7376" spans="1:4">
      <c r="A7376" s="13"/>
      <c r="B7376" s="13"/>
      <c r="C7376" s="13"/>
      <c r="D7376" s="13"/>
    </row>
    <row r="7377" spans="1:4">
      <c r="A7377" s="13"/>
      <c r="B7377" s="13"/>
      <c r="C7377" s="13"/>
      <c r="D7377" s="13"/>
    </row>
    <row r="7378" spans="1:4">
      <c r="A7378" s="13"/>
      <c r="B7378" s="13"/>
      <c r="C7378" s="13"/>
      <c r="D7378" s="13"/>
    </row>
    <row r="7379" spans="1:4">
      <c r="A7379" s="13"/>
      <c r="B7379" s="13"/>
      <c r="C7379" s="13"/>
      <c r="D7379" s="13"/>
    </row>
    <row r="7380" spans="1:4">
      <c r="A7380" s="13"/>
      <c r="B7380" s="13"/>
      <c r="C7380" s="13"/>
      <c r="D7380" s="13"/>
    </row>
    <row r="7381" spans="1:4">
      <c r="A7381" s="13"/>
      <c r="B7381" s="13"/>
      <c r="C7381" s="13"/>
      <c r="D7381" s="13"/>
    </row>
    <row r="7382" spans="1:4">
      <c r="A7382" s="13"/>
      <c r="B7382" s="13"/>
      <c r="C7382" s="13"/>
      <c r="D7382" s="13"/>
    </row>
    <row r="7383" spans="1:4">
      <c r="A7383" s="13"/>
      <c r="B7383" s="13"/>
      <c r="C7383" s="13"/>
      <c r="D7383" s="13"/>
    </row>
    <row r="7384" spans="1:4">
      <c r="A7384" s="13"/>
      <c r="B7384" s="13"/>
      <c r="C7384" s="13"/>
      <c r="D7384" s="13"/>
    </row>
    <row r="7385" spans="1:4">
      <c r="A7385" s="13"/>
      <c r="B7385" s="13"/>
      <c r="C7385" s="13"/>
      <c r="D7385" s="13"/>
    </row>
    <row r="7386" spans="1:4">
      <c r="A7386" s="13"/>
      <c r="B7386" s="13"/>
      <c r="C7386" s="13"/>
      <c r="D7386" s="13"/>
    </row>
    <row r="7387" spans="1:4">
      <c r="A7387" s="13"/>
      <c r="B7387" s="13"/>
      <c r="C7387" s="13"/>
      <c r="D7387" s="13"/>
    </row>
    <row r="7388" spans="1:4">
      <c r="A7388" s="13"/>
      <c r="B7388" s="13"/>
      <c r="C7388" s="13"/>
      <c r="D7388" s="13"/>
    </row>
    <row r="7389" spans="1:4">
      <c r="A7389" s="13"/>
      <c r="B7389" s="13"/>
      <c r="C7389" s="13"/>
      <c r="D7389" s="13"/>
    </row>
    <row r="7390" spans="1:4">
      <c r="A7390" s="13"/>
      <c r="B7390" s="13"/>
      <c r="C7390" s="13"/>
      <c r="D7390" s="13"/>
    </row>
    <row r="7391" spans="1:4">
      <c r="A7391" s="13"/>
      <c r="B7391" s="13"/>
      <c r="C7391" s="13"/>
      <c r="D7391" s="13"/>
    </row>
    <row r="7392" spans="1:4">
      <c r="A7392" s="13"/>
      <c r="B7392" s="13"/>
      <c r="C7392" s="13"/>
      <c r="D7392" s="13"/>
    </row>
    <row r="7393" spans="1:4">
      <c r="A7393" s="13"/>
      <c r="B7393" s="13"/>
      <c r="C7393" s="13"/>
      <c r="D7393" s="13"/>
    </row>
    <row r="7394" spans="1:4">
      <c r="A7394" s="13"/>
      <c r="B7394" s="13"/>
      <c r="C7394" s="13"/>
      <c r="D7394" s="13"/>
    </row>
    <row r="7395" spans="1:4">
      <c r="A7395" s="13"/>
      <c r="B7395" s="13"/>
      <c r="C7395" s="13"/>
      <c r="D7395" s="13"/>
    </row>
    <row r="7396" spans="1:4">
      <c r="A7396" s="13"/>
      <c r="B7396" s="13"/>
      <c r="C7396" s="13"/>
      <c r="D7396" s="13"/>
    </row>
    <row r="7397" spans="1:4">
      <c r="A7397" s="13"/>
      <c r="B7397" s="13"/>
      <c r="C7397" s="13"/>
      <c r="D7397" s="13"/>
    </row>
    <row r="7398" spans="1:4">
      <c r="A7398" s="13"/>
      <c r="B7398" s="13"/>
      <c r="C7398" s="13"/>
      <c r="D7398" s="13"/>
    </row>
    <row r="7399" spans="1:4">
      <c r="A7399" s="13"/>
      <c r="B7399" s="13"/>
      <c r="C7399" s="13"/>
      <c r="D7399" s="13"/>
    </row>
    <row r="7400" spans="1:4">
      <c r="A7400" s="13"/>
      <c r="B7400" s="13"/>
      <c r="C7400" s="13"/>
      <c r="D7400" s="13"/>
    </row>
    <row r="7401" spans="1:4">
      <c r="A7401" s="13"/>
      <c r="B7401" s="13"/>
      <c r="C7401" s="13"/>
      <c r="D7401" s="13"/>
    </row>
    <row r="7402" spans="1:4">
      <c r="A7402" s="13"/>
      <c r="B7402" s="13"/>
      <c r="C7402" s="13"/>
      <c r="D7402" s="13"/>
    </row>
    <row r="7403" spans="1:4">
      <c r="A7403" s="13"/>
      <c r="B7403" s="13"/>
      <c r="C7403" s="13"/>
      <c r="D7403" s="13"/>
    </row>
    <row r="7404" spans="1:4">
      <c r="A7404" s="13"/>
      <c r="B7404" s="13"/>
      <c r="C7404" s="13"/>
      <c r="D7404" s="13"/>
    </row>
    <row r="7405" spans="1:4">
      <c r="A7405" s="13"/>
      <c r="B7405" s="13"/>
      <c r="C7405" s="13"/>
      <c r="D7405" s="13"/>
    </row>
    <row r="7406" spans="1:4">
      <c r="A7406" s="13"/>
      <c r="B7406" s="13"/>
      <c r="C7406" s="13"/>
      <c r="D7406" s="13"/>
    </row>
    <row r="7407" spans="1:4">
      <c r="A7407" s="13"/>
      <c r="B7407" s="13"/>
      <c r="C7407" s="13"/>
      <c r="D7407" s="13"/>
    </row>
    <row r="7408" spans="1:4">
      <c r="A7408" s="13"/>
      <c r="B7408" s="13"/>
      <c r="C7408" s="13"/>
      <c r="D7408" s="13"/>
    </row>
    <row r="7409" spans="1:4">
      <c r="A7409" s="13"/>
      <c r="B7409" s="13"/>
      <c r="C7409" s="13"/>
      <c r="D7409" s="13"/>
    </row>
    <row r="7410" spans="1:4">
      <c r="A7410" s="13"/>
      <c r="B7410" s="13"/>
      <c r="C7410" s="13"/>
      <c r="D7410" s="13"/>
    </row>
    <row r="7411" spans="1:4">
      <c r="A7411" s="13"/>
      <c r="B7411" s="13"/>
      <c r="C7411" s="13"/>
      <c r="D7411" s="13"/>
    </row>
    <row r="7412" spans="1:4">
      <c r="A7412" s="13"/>
      <c r="B7412" s="13"/>
      <c r="C7412" s="13"/>
      <c r="D7412" s="13"/>
    </row>
    <row r="7413" spans="1:4">
      <c r="A7413" s="13"/>
      <c r="B7413" s="13"/>
      <c r="C7413" s="13"/>
      <c r="D7413" s="13"/>
    </row>
    <row r="7414" spans="1:4">
      <c r="A7414" s="13"/>
      <c r="B7414" s="13"/>
      <c r="C7414" s="13"/>
      <c r="D7414" s="13"/>
    </row>
    <row r="7415" spans="1:4">
      <c r="A7415" s="13"/>
      <c r="B7415" s="13"/>
      <c r="C7415" s="13"/>
      <c r="D7415" s="13"/>
    </row>
    <row r="7416" spans="1:4">
      <c r="A7416" s="13"/>
      <c r="B7416" s="13"/>
      <c r="C7416" s="13"/>
      <c r="D7416" s="13"/>
    </row>
    <row r="7417" spans="1:4">
      <c r="A7417" s="13"/>
      <c r="B7417" s="13"/>
      <c r="C7417" s="13"/>
      <c r="D7417" s="13"/>
    </row>
    <row r="7418" spans="1:4">
      <c r="A7418" s="13"/>
      <c r="B7418" s="13"/>
      <c r="C7418" s="13"/>
      <c r="D7418" s="13"/>
    </row>
    <row r="7419" spans="1:4">
      <c r="A7419" s="13"/>
      <c r="B7419" s="13"/>
      <c r="C7419" s="13"/>
      <c r="D7419" s="13"/>
    </row>
    <row r="7420" spans="1:4">
      <c r="A7420" s="13"/>
      <c r="B7420" s="13"/>
      <c r="C7420" s="13"/>
      <c r="D7420" s="13"/>
    </row>
    <row r="7421" spans="1:4">
      <c r="A7421" s="13"/>
      <c r="B7421" s="13"/>
      <c r="C7421" s="13"/>
      <c r="D7421" s="13"/>
    </row>
    <row r="7422" spans="1:4">
      <c r="A7422" s="13"/>
      <c r="B7422" s="13"/>
      <c r="C7422" s="13"/>
      <c r="D7422" s="13"/>
    </row>
    <row r="7423" spans="1:4">
      <c r="A7423" s="13"/>
      <c r="B7423" s="13"/>
      <c r="C7423" s="13"/>
      <c r="D7423" s="13"/>
    </row>
    <row r="7424" spans="1:4">
      <c r="A7424" s="13"/>
      <c r="B7424" s="13"/>
      <c r="C7424" s="13"/>
      <c r="D7424" s="13"/>
    </row>
    <row r="7425" spans="1:4">
      <c r="A7425" s="13"/>
      <c r="B7425" s="13"/>
      <c r="C7425" s="13"/>
      <c r="D7425" s="13"/>
    </row>
    <row r="7426" spans="1:4">
      <c r="A7426" s="13"/>
      <c r="B7426" s="13"/>
      <c r="C7426" s="13"/>
      <c r="D7426" s="13"/>
    </row>
    <row r="7427" spans="1:4">
      <c r="A7427" s="13"/>
      <c r="B7427" s="13"/>
      <c r="C7427" s="13"/>
      <c r="D7427" s="13"/>
    </row>
    <row r="7428" spans="1:4">
      <c r="A7428" s="13"/>
      <c r="B7428" s="13"/>
      <c r="C7428" s="13"/>
      <c r="D7428" s="13"/>
    </row>
    <row r="7429" spans="1:4">
      <c r="A7429" s="13"/>
      <c r="B7429" s="13"/>
      <c r="C7429" s="13"/>
      <c r="D7429" s="13"/>
    </row>
    <row r="7430" spans="1:4">
      <c r="A7430" s="13"/>
      <c r="B7430" s="13"/>
      <c r="C7430" s="13"/>
      <c r="D7430" s="13"/>
    </row>
    <row r="7431" spans="1:4">
      <c r="A7431" s="13"/>
      <c r="B7431" s="13"/>
      <c r="C7431" s="13"/>
      <c r="D7431" s="13"/>
    </row>
    <row r="7432" spans="1:4">
      <c r="A7432" s="13"/>
      <c r="B7432" s="13"/>
      <c r="C7432" s="13"/>
      <c r="D7432" s="13"/>
    </row>
    <row r="7433" spans="1:4">
      <c r="A7433" s="13"/>
      <c r="B7433" s="13"/>
      <c r="C7433" s="13"/>
      <c r="D7433" s="13"/>
    </row>
    <row r="7434" spans="1:4">
      <c r="A7434" s="13"/>
      <c r="B7434" s="13"/>
      <c r="C7434" s="13"/>
      <c r="D7434" s="13"/>
    </row>
    <row r="7435" spans="1:4">
      <c r="A7435" s="13"/>
      <c r="B7435" s="13"/>
      <c r="C7435" s="13"/>
      <c r="D7435" s="13"/>
    </row>
    <row r="7436" spans="1:4">
      <c r="A7436" s="13"/>
      <c r="B7436" s="13"/>
      <c r="C7436" s="13"/>
      <c r="D7436" s="13"/>
    </row>
    <row r="7437" spans="1:4">
      <c r="A7437" s="13"/>
      <c r="B7437" s="13"/>
      <c r="C7437" s="13"/>
      <c r="D7437" s="13"/>
    </row>
    <row r="7438" spans="1:4">
      <c r="A7438" s="13"/>
      <c r="B7438" s="13"/>
      <c r="C7438" s="13"/>
      <c r="D7438" s="13"/>
    </row>
    <row r="7439" spans="1:4">
      <c r="A7439" s="13"/>
      <c r="B7439" s="13"/>
      <c r="C7439" s="13"/>
      <c r="D7439" s="13"/>
    </row>
    <row r="7440" spans="1:4">
      <c r="A7440" s="13"/>
      <c r="B7440" s="13"/>
      <c r="C7440" s="13"/>
      <c r="D7440" s="13"/>
    </row>
    <row r="7441" spans="1:4">
      <c r="A7441" s="13"/>
      <c r="B7441" s="13"/>
      <c r="C7441" s="13"/>
      <c r="D7441" s="13"/>
    </row>
    <row r="7442" spans="1:4">
      <c r="A7442" s="13"/>
      <c r="B7442" s="13"/>
      <c r="C7442" s="13"/>
      <c r="D7442" s="13"/>
    </row>
    <row r="7443" spans="1:4">
      <c r="A7443" s="13"/>
      <c r="B7443" s="13"/>
      <c r="C7443" s="13"/>
      <c r="D7443" s="13"/>
    </row>
    <row r="7444" spans="1:4">
      <c r="A7444" s="13"/>
      <c r="B7444" s="13"/>
      <c r="C7444" s="13"/>
      <c r="D7444" s="13"/>
    </row>
    <row r="7445" spans="1:4">
      <c r="A7445" s="13"/>
      <c r="B7445" s="13"/>
      <c r="C7445" s="13"/>
      <c r="D7445" s="13"/>
    </row>
    <row r="7446" spans="1:4">
      <c r="A7446" s="13"/>
      <c r="B7446" s="13"/>
      <c r="C7446" s="13"/>
      <c r="D7446" s="13"/>
    </row>
    <row r="7447" spans="1:4">
      <c r="A7447" s="13"/>
      <c r="B7447" s="13"/>
      <c r="C7447" s="13"/>
      <c r="D7447" s="13"/>
    </row>
    <row r="7448" spans="1:4">
      <c r="A7448" s="13"/>
      <c r="B7448" s="13"/>
      <c r="C7448" s="13"/>
      <c r="D7448" s="13"/>
    </row>
    <row r="7449" spans="1:4">
      <c r="A7449" s="13"/>
      <c r="B7449" s="13"/>
      <c r="C7449" s="13"/>
      <c r="D7449" s="13"/>
    </row>
    <row r="7450" spans="1:4">
      <c r="A7450" s="13"/>
      <c r="B7450" s="13"/>
      <c r="C7450" s="13"/>
      <c r="D7450" s="13"/>
    </row>
    <row r="7451" spans="1:4">
      <c r="A7451" s="13"/>
      <c r="B7451" s="13"/>
      <c r="C7451" s="13"/>
      <c r="D7451" s="13"/>
    </row>
    <row r="7452" spans="1:4">
      <c r="A7452" s="13"/>
      <c r="B7452" s="13"/>
      <c r="C7452" s="13"/>
      <c r="D7452" s="13"/>
    </row>
    <row r="7453" spans="1:4">
      <c r="A7453" s="13"/>
      <c r="B7453" s="13"/>
      <c r="C7453" s="13"/>
      <c r="D7453" s="13"/>
    </row>
    <row r="7454" spans="1:4">
      <c r="A7454" s="13"/>
      <c r="B7454" s="13"/>
      <c r="C7454" s="13"/>
      <c r="D7454" s="13"/>
    </row>
    <row r="7455" spans="1:4">
      <c r="A7455" s="13"/>
      <c r="B7455" s="13"/>
      <c r="C7455" s="13"/>
      <c r="D7455" s="13"/>
    </row>
    <row r="7456" spans="1:4">
      <c r="A7456" s="13"/>
      <c r="B7456" s="13"/>
      <c r="C7456" s="13"/>
      <c r="D7456" s="13"/>
    </row>
    <row r="7457" spans="1:4">
      <c r="A7457" s="13"/>
      <c r="B7457" s="13"/>
      <c r="C7457" s="13"/>
      <c r="D7457" s="13"/>
    </row>
    <row r="7458" spans="1:4">
      <c r="A7458" s="13"/>
      <c r="B7458" s="13"/>
      <c r="C7458" s="13"/>
      <c r="D7458" s="13"/>
    </row>
    <row r="7459" spans="1:4">
      <c r="A7459" s="13"/>
      <c r="B7459" s="13"/>
      <c r="C7459" s="13"/>
      <c r="D7459" s="13"/>
    </row>
    <row r="7460" spans="1:4">
      <c r="A7460" s="13"/>
      <c r="B7460" s="13"/>
      <c r="C7460" s="13"/>
      <c r="D7460" s="13"/>
    </row>
    <row r="7461" spans="1:4">
      <c r="A7461" s="13"/>
      <c r="B7461" s="13"/>
      <c r="C7461" s="13"/>
      <c r="D7461" s="13"/>
    </row>
    <row r="7462" spans="1:4">
      <c r="A7462" s="13"/>
      <c r="B7462" s="13"/>
      <c r="C7462" s="13"/>
      <c r="D7462" s="13"/>
    </row>
    <row r="7463" spans="1:4">
      <c r="A7463" s="13"/>
      <c r="B7463" s="13"/>
      <c r="C7463" s="13"/>
      <c r="D7463" s="13"/>
    </row>
    <row r="7464" spans="1:4">
      <c r="A7464" s="13"/>
      <c r="B7464" s="13"/>
      <c r="C7464" s="13"/>
      <c r="D7464" s="13"/>
    </row>
    <row r="7465" spans="1:4">
      <c r="A7465" s="13"/>
      <c r="B7465" s="13"/>
      <c r="C7465" s="13"/>
      <c r="D7465" s="13"/>
    </row>
    <row r="7466" spans="1:4">
      <c r="A7466" s="13"/>
      <c r="B7466" s="13"/>
      <c r="C7466" s="13"/>
      <c r="D7466" s="13"/>
    </row>
    <row r="7467" spans="1:4">
      <c r="A7467" s="13"/>
      <c r="B7467" s="13"/>
      <c r="C7467" s="13"/>
      <c r="D7467" s="13"/>
    </row>
    <row r="7468" spans="1:4">
      <c r="A7468" s="13"/>
      <c r="B7468" s="13"/>
      <c r="C7468" s="13"/>
      <c r="D7468" s="13"/>
    </row>
    <row r="7469" spans="1:4">
      <c r="A7469" s="13"/>
      <c r="B7469" s="13"/>
      <c r="C7469" s="13"/>
      <c r="D7469" s="13"/>
    </row>
    <row r="7470" spans="1:4">
      <c r="A7470" s="13"/>
      <c r="B7470" s="13"/>
      <c r="C7470" s="13"/>
      <c r="D7470" s="13"/>
    </row>
    <row r="7471" spans="1:4">
      <c r="A7471" s="13"/>
      <c r="B7471" s="13"/>
      <c r="C7471" s="13"/>
      <c r="D7471" s="13"/>
    </row>
    <row r="7472" spans="1:4">
      <c r="A7472" s="13"/>
      <c r="B7472" s="13"/>
      <c r="C7472" s="13"/>
      <c r="D7472" s="13"/>
    </row>
    <row r="7473" spans="1:4">
      <c r="A7473" s="13"/>
      <c r="B7473" s="13"/>
      <c r="C7473" s="13"/>
      <c r="D7473" s="13"/>
    </row>
    <row r="7474" spans="1:4">
      <c r="A7474" s="13"/>
      <c r="B7474" s="13"/>
      <c r="C7474" s="13"/>
      <c r="D7474" s="13"/>
    </row>
    <row r="7475" spans="1:4">
      <c r="A7475" s="13"/>
      <c r="B7475" s="13"/>
      <c r="C7475" s="13"/>
      <c r="D7475" s="13"/>
    </row>
    <row r="7476" spans="1:4">
      <c r="A7476" s="13"/>
      <c r="B7476" s="13"/>
      <c r="C7476" s="13"/>
      <c r="D7476" s="13"/>
    </row>
    <row r="7477" spans="1:4">
      <c r="A7477" s="13"/>
      <c r="B7477" s="13"/>
      <c r="C7477" s="13"/>
      <c r="D7477" s="13"/>
    </row>
    <row r="7478" spans="1:4">
      <c r="A7478" s="13"/>
      <c r="B7478" s="13"/>
      <c r="C7478" s="13"/>
      <c r="D7478" s="13"/>
    </row>
    <row r="7479" spans="1:4">
      <c r="A7479" s="13"/>
      <c r="B7479" s="13"/>
      <c r="C7479" s="13"/>
      <c r="D7479" s="13"/>
    </row>
    <row r="7480" spans="1:4">
      <c r="A7480" s="13"/>
      <c r="B7480" s="13"/>
      <c r="C7480" s="13"/>
      <c r="D7480" s="13"/>
    </row>
    <row r="7481" spans="1:4">
      <c r="A7481" s="13"/>
      <c r="B7481" s="13"/>
      <c r="C7481" s="13"/>
      <c r="D7481" s="13"/>
    </row>
    <row r="7482" spans="1:4">
      <c r="A7482" s="13"/>
      <c r="B7482" s="13"/>
      <c r="C7482" s="13"/>
      <c r="D7482" s="13"/>
    </row>
    <row r="7483" spans="1:4">
      <c r="A7483" s="13"/>
      <c r="B7483" s="13"/>
      <c r="C7483" s="13"/>
      <c r="D7483" s="13"/>
    </row>
    <row r="7484" spans="1:4">
      <c r="A7484" s="13"/>
      <c r="B7484" s="13"/>
      <c r="C7484" s="13"/>
      <c r="D7484" s="13"/>
    </row>
    <row r="7485" spans="1:4">
      <c r="A7485" s="13"/>
      <c r="B7485" s="13"/>
      <c r="C7485" s="13"/>
      <c r="D7485" s="13"/>
    </row>
    <row r="7486" spans="1:4">
      <c r="A7486" s="13"/>
      <c r="B7486" s="13"/>
      <c r="C7486" s="13"/>
      <c r="D7486" s="13"/>
    </row>
    <row r="7487" spans="1:4">
      <c r="A7487" s="13"/>
      <c r="B7487" s="13"/>
      <c r="C7487" s="13"/>
      <c r="D7487" s="13"/>
    </row>
    <row r="7488" spans="1:4">
      <c r="A7488" s="13"/>
      <c r="B7488" s="13"/>
      <c r="C7488" s="13"/>
      <c r="D7488" s="13"/>
    </row>
    <row r="7489" spans="1:4">
      <c r="A7489" s="13"/>
      <c r="B7489" s="13"/>
      <c r="C7489" s="13"/>
      <c r="D7489" s="13"/>
    </row>
    <row r="7490" spans="1:4">
      <c r="A7490" s="13"/>
      <c r="B7490" s="13"/>
      <c r="C7490" s="13"/>
      <c r="D7490" s="13"/>
    </row>
    <row r="7491" spans="1:4">
      <c r="A7491" s="13"/>
      <c r="B7491" s="13"/>
      <c r="C7491" s="13"/>
      <c r="D7491" s="13"/>
    </row>
    <row r="7492" spans="1:4">
      <c r="A7492" s="13"/>
      <c r="B7492" s="13"/>
      <c r="C7492" s="13"/>
      <c r="D7492" s="13"/>
    </row>
    <row r="7493" spans="1:4">
      <c r="A7493" s="13"/>
      <c r="B7493" s="13"/>
      <c r="C7493" s="13"/>
      <c r="D7493" s="13"/>
    </row>
    <row r="7494" spans="1:4">
      <c r="A7494" s="13"/>
      <c r="B7494" s="13"/>
      <c r="C7494" s="13"/>
      <c r="D7494" s="13"/>
    </row>
    <row r="7495" spans="1:4">
      <c r="A7495" s="13"/>
      <c r="B7495" s="13"/>
      <c r="C7495" s="13"/>
      <c r="D7495" s="13"/>
    </row>
    <row r="7496" spans="1:4">
      <c r="A7496" s="13"/>
      <c r="B7496" s="13"/>
      <c r="C7496" s="13"/>
      <c r="D7496" s="13"/>
    </row>
    <row r="7497" spans="1:4">
      <c r="A7497" s="13"/>
      <c r="B7497" s="13"/>
      <c r="C7497" s="13"/>
      <c r="D7497" s="13"/>
    </row>
    <row r="7498" spans="1:4">
      <c r="A7498" s="13"/>
      <c r="B7498" s="13"/>
      <c r="C7498" s="13"/>
      <c r="D7498" s="13"/>
    </row>
    <row r="7499" spans="1:4">
      <c r="A7499" s="13"/>
      <c r="B7499" s="13"/>
      <c r="C7499" s="13"/>
      <c r="D7499" s="13"/>
    </row>
    <row r="7500" spans="1:4">
      <c r="A7500" s="13"/>
      <c r="B7500" s="13"/>
      <c r="C7500" s="13"/>
      <c r="D7500" s="13"/>
    </row>
    <row r="7501" spans="1:4">
      <c r="A7501" s="13"/>
      <c r="B7501" s="13"/>
      <c r="C7501" s="13"/>
      <c r="D7501" s="13"/>
    </row>
    <row r="7502" spans="1:4">
      <c r="A7502" s="13"/>
      <c r="B7502" s="13"/>
      <c r="C7502" s="13"/>
      <c r="D7502" s="13"/>
    </row>
    <row r="7503" spans="1:4">
      <c r="A7503" s="13"/>
      <c r="B7503" s="13"/>
      <c r="C7503" s="13"/>
      <c r="D7503" s="13"/>
    </row>
    <row r="7504" spans="1:4">
      <c r="A7504" s="13"/>
      <c r="B7504" s="13"/>
      <c r="C7504" s="13"/>
      <c r="D7504" s="13"/>
    </row>
    <row r="7505" spans="1:4">
      <c r="A7505" s="13"/>
      <c r="B7505" s="13"/>
      <c r="C7505" s="13"/>
      <c r="D7505" s="13"/>
    </row>
    <row r="7506" spans="1:4">
      <c r="A7506" s="13"/>
      <c r="B7506" s="13"/>
      <c r="C7506" s="13"/>
      <c r="D7506" s="13"/>
    </row>
    <row r="7507" spans="1:4">
      <c r="A7507" s="13"/>
      <c r="B7507" s="13"/>
      <c r="C7507" s="13"/>
      <c r="D7507" s="13"/>
    </row>
    <row r="7508" spans="1:4">
      <c r="A7508" s="13"/>
      <c r="B7508" s="13"/>
      <c r="C7508" s="13"/>
      <c r="D7508" s="13"/>
    </row>
    <row r="7509" spans="1:4">
      <c r="A7509" s="13"/>
      <c r="B7509" s="13"/>
      <c r="C7509" s="13"/>
      <c r="D7509" s="13"/>
    </row>
    <row r="7510" spans="1:4">
      <c r="A7510" s="13"/>
      <c r="B7510" s="13"/>
      <c r="C7510" s="13"/>
      <c r="D7510" s="13"/>
    </row>
    <row r="7511" spans="1:4">
      <c r="A7511" s="13"/>
      <c r="B7511" s="13"/>
      <c r="C7511" s="13"/>
      <c r="D7511" s="13"/>
    </row>
    <row r="7512" spans="1:4">
      <c r="A7512" s="13"/>
      <c r="B7512" s="13"/>
      <c r="C7512" s="13"/>
      <c r="D7512" s="13"/>
    </row>
    <row r="7513" spans="1:4">
      <c r="A7513" s="13"/>
      <c r="B7513" s="13"/>
      <c r="C7513" s="13"/>
      <c r="D7513" s="13"/>
    </row>
    <row r="7514" spans="1:4">
      <c r="A7514" s="13"/>
      <c r="B7514" s="13"/>
      <c r="C7514" s="13"/>
      <c r="D7514" s="13"/>
    </row>
    <row r="7515" spans="1:4">
      <c r="A7515" s="13"/>
      <c r="B7515" s="13"/>
      <c r="C7515" s="13"/>
      <c r="D7515" s="13"/>
    </row>
    <row r="7516" spans="1:4">
      <c r="A7516" s="13"/>
      <c r="B7516" s="13"/>
      <c r="C7516" s="13"/>
      <c r="D7516" s="13"/>
    </row>
    <row r="7517" spans="1:4">
      <c r="A7517" s="13"/>
      <c r="B7517" s="13"/>
      <c r="C7517" s="13"/>
      <c r="D7517" s="13"/>
    </row>
    <row r="7518" spans="1:4">
      <c r="A7518" s="13"/>
      <c r="B7518" s="13"/>
      <c r="C7518" s="13"/>
      <c r="D7518" s="13"/>
    </row>
    <row r="7519" spans="1:4">
      <c r="A7519" s="13"/>
      <c r="B7519" s="13"/>
      <c r="C7519" s="13"/>
      <c r="D7519" s="13"/>
    </row>
    <row r="7520" spans="1:4">
      <c r="A7520" s="13"/>
      <c r="B7520" s="13"/>
      <c r="C7520" s="13"/>
      <c r="D7520" s="13"/>
    </row>
    <row r="7521" spans="1:4">
      <c r="A7521" s="13"/>
      <c r="B7521" s="13"/>
      <c r="C7521" s="13"/>
      <c r="D7521" s="13"/>
    </row>
    <row r="7522" spans="1:4">
      <c r="A7522" s="13"/>
      <c r="B7522" s="13"/>
      <c r="C7522" s="13"/>
      <c r="D7522" s="13"/>
    </row>
    <row r="7523" spans="1:4">
      <c r="A7523" s="13"/>
      <c r="B7523" s="13"/>
      <c r="C7523" s="13"/>
      <c r="D7523" s="13"/>
    </row>
    <row r="7524" spans="1:4">
      <c r="A7524" s="13"/>
      <c r="B7524" s="13"/>
      <c r="C7524" s="13"/>
      <c r="D7524" s="13"/>
    </row>
    <row r="7525" spans="1:4">
      <c r="A7525" s="13"/>
      <c r="B7525" s="13"/>
      <c r="C7525" s="13"/>
      <c r="D7525" s="13"/>
    </row>
    <row r="7526" spans="1:4">
      <c r="A7526" s="13"/>
      <c r="B7526" s="13"/>
      <c r="C7526" s="13"/>
      <c r="D7526" s="13"/>
    </row>
    <row r="7527" spans="1:4">
      <c r="A7527" s="13"/>
      <c r="B7527" s="13"/>
      <c r="C7527" s="13"/>
      <c r="D7527" s="13"/>
    </row>
    <row r="7528" spans="1:4">
      <c r="A7528" s="13"/>
      <c r="B7528" s="13"/>
      <c r="C7528" s="13"/>
      <c r="D7528" s="13"/>
    </row>
    <row r="7529" spans="1:4">
      <c r="A7529" s="13"/>
      <c r="B7529" s="13"/>
      <c r="C7529" s="13"/>
      <c r="D7529" s="13"/>
    </row>
    <row r="7530" spans="1:4">
      <c r="A7530" s="13"/>
      <c r="B7530" s="13"/>
      <c r="C7530" s="13"/>
      <c r="D7530" s="13"/>
    </row>
    <row r="7531" spans="1:4">
      <c r="A7531" s="13"/>
      <c r="B7531" s="13"/>
      <c r="C7531" s="13"/>
      <c r="D7531" s="13"/>
    </row>
    <row r="7532" spans="1:4">
      <c r="A7532" s="13"/>
      <c r="B7532" s="13"/>
      <c r="C7532" s="13"/>
      <c r="D7532" s="13"/>
    </row>
    <row r="7533" spans="1:4">
      <c r="A7533" s="13"/>
      <c r="B7533" s="13"/>
      <c r="C7533" s="13"/>
      <c r="D7533" s="13"/>
    </row>
    <row r="7534" spans="1:4">
      <c r="A7534" s="13"/>
      <c r="B7534" s="13"/>
      <c r="C7534" s="13"/>
      <c r="D7534" s="13"/>
    </row>
    <row r="7535" spans="1:4">
      <c r="A7535" s="13"/>
      <c r="B7535" s="13"/>
      <c r="C7535" s="13"/>
      <c r="D7535" s="13"/>
    </row>
    <row r="7536" spans="1:4">
      <c r="A7536" s="13"/>
      <c r="B7536" s="13"/>
      <c r="C7536" s="13"/>
      <c r="D7536" s="13"/>
    </row>
    <row r="7537" spans="1:4">
      <c r="A7537" s="13"/>
      <c r="B7537" s="13"/>
      <c r="C7537" s="13"/>
      <c r="D7537" s="13"/>
    </row>
    <row r="7538" spans="1:4">
      <c r="A7538" s="13"/>
      <c r="B7538" s="13"/>
      <c r="C7538" s="13"/>
      <c r="D7538" s="13"/>
    </row>
    <row r="7539" spans="1:4">
      <c r="A7539" s="13"/>
      <c r="B7539" s="13"/>
      <c r="C7539" s="13"/>
      <c r="D7539" s="13"/>
    </row>
    <row r="7540" spans="1:4">
      <c r="A7540" s="13"/>
      <c r="B7540" s="13"/>
      <c r="C7540" s="13"/>
      <c r="D7540" s="13"/>
    </row>
    <row r="7541" spans="1:4">
      <c r="A7541" s="13"/>
      <c r="B7541" s="13"/>
      <c r="C7541" s="13"/>
      <c r="D7541" s="13"/>
    </row>
    <row r="7542" spans="1:4">
      <c r="A7542" s="13"/>
      <c r="B7542" s="13"/>
      <c r="C7542" s="13"/>
      <c r="D7542" s="13"/>
    </row>
    <row r="7543" spans="1:4">
      <c r="A7543" s="13"/>
      <c r="B7543" s="13"/>
      <c r="C7543" s="13"/>
      <c r="D7543" s="13"/>
    </row>
    <row r="7544" spans="1:4">
      <c r="A7544" s="13"/>
      <c r="B7544" s="13"/>
      <c r="C7544" s="13"/>
      <c r="D7544" s="13"/>
    </row>
    <row r="7545" spans="1:4">
      <c r="A7545" s="13"/>
      <c r="B7545" s="13"/>
      <c r="C7545" s="13"/>
      <c r="D7545" s="13"/>
    </row>
    <row r="7546" spans="1:4">
      <c r="A7546" s="13"/>
      <c r="B7546" s="13"/>
      <c r="C7546" s="13"/>
      <c r="D7546" s="13"/>
    </row>
    <row r="7547" spans="1:4">
      <c r="A7547" s="13"/>
      <c r="B7547" s="13"/>
      <c r="C7547" s="13"/>
      <c r="D7547" s="13"/>
    </row>
    <row r="7548" spans="1:4">
      <c r="A7548" s="13"/>
      <c r="B7548" s="13"/>
      <c r="C7548" s="13"/>
      <c r="D7548" s="13"/>
    </row>
    <row r="7549" spans="1:4">
      <c r="A7549" s="13"/>
      <c r="B7549" s="13"/>
      <c r="C7549" s="13"/>
      <c r="D7549" s="13"/>
    </row>
    <row r="7550" spans="1:4">
      <c r="A7550" s="13"/>
      <c r="B7550" s="13"/>
      <c r="C7550" s="13"/>
      <c r="D7550" s="13"/>
    </row>
    <row r="7551" spans="1:4">
      <c r="A7551" s="13"/>
      <c r="B7551" s="13"/>
      <c r="C7551" s="13"/>
      <c r="D7551" s="13"/>
    </row>
    <row r="7552" spans="1:4">
      <c r="A7552" s="13"/>
      <c r="B7552" s="13"/>
      <c r="C7552" s="13"/>
      <c r="D7552" s="13"/>
    </row>
    <row r="7553" spans="1:4">
      <c r="A7553" s="13"/>
      <c r="B7553" s="13"/>
      <c r="C7553" s="13"/>
      <c r="D7553" s="13"/>
    </row>
    <row r="7554" spans="1:4">
      <c r="A7554" s="13"/>
      <c r="B7554" s="13"/>
      <c r="C7554" s="13"/>
      <c r="D7554" s="13"/>
    </row>
    <row r="7555" spans="1:4">
      <c r="A7555" s="13"/>
      <c r="B7555" s="13"/>
      <c r="C7555" s="13"/>
      <c r="D7555" s="13"/>
    </row>
    <row r="7556" spans="1:4">
      <c r="A7556" s="13"/>
      <c r="B7556" s="13"/>
      <c r="C7556" s="13"/>
      <c r="D7556" s="13"/>
    </row>
    <row r="7557" spans="1:4">
      <c r="A7557" s="13"/>
      <c r="B7557" s="13"/>
      <c r="C7557" s="13"/>
      <c r="D7557" s="13"/>
    </row>
    <row r="7558" spans="1:4">
      <c r="A7558" s="13"/>
      <c r="B7558" s="13"/>
      <c r="C7558" s="13"/>
      <c r="D7558" s="13"/>
    </row>
    <row r="7559" spans="1:4">
      <c r="A7559" s="13"/>
      <c r="B7559" s="13"/>
      <c r="C7559" s="13"/>
      <c r="D7559" s="13"/>
    </row>
    <row r="7560" spans="1:4">
      <c r="A7560" s="13"/>
      <c r="B7560" s="13"/>
      <c r="C7560" s="13"/>
      <c r="D7560" s="13"/>
    </row>
    <row r="7561" spans="1:4">
      <c r="A7561" s="13"/>
      <c r="B7561" s="13"/>
      <c r="C7561" s="13"/>
      <c r="D7561" s="13"/>
    </row>
    <row r="7562" spans="1:4">
      <c r="A7562" s="13"/>
      <c r="B7562" s="13"/>
      <c r="C7562" s="13"/>
      <c r="D7562" s="13"/>
    </row>
    <row r="7563" spans="1:4">
      <c r="A7563" s="13"/>
      <c r="B7563" s="13"/>
      <c r="C7563" s="13"/>
      <c r="D7563" s="13"/>
    </row>
    <row r="7564" spans="1:4">
      <c r="A7564" s="13"/>
      <c r="B7564" s="13"/>
      <c r="C7564" s="13"/>
      <c r="D7564" s="13"/>
    </row>
    <row r="7565" spans="1:4">
      <c r="A7565" s="13"/>
      <c r="B7565" s="13"/>
      <c r="C7565" s="13"/>
      <c r="D7565" s="13"/>
    </row>
    <row r="7566" spans="1:4">
      <c r="A7566" s="13"/>
      <c r="B7566" s="13"/>
      <c r="C7566" s="13"/>
      <c r="D7566" s="13"/>
    </row>
    <row r="7567" spans="1:4">
      <c r="A7567" s="13"/>
      <c r="B7567" s="13"/>
      <c r="C7567" s="13"/>
      <c r="D7567" s="13"/>
    </row>
    <row r="7568" spans="1:4">
      <c r="A7568" s="13"/>
      <c r="B7568" s="13"/>
      <c r="C7568" s="13"/>
      <c r="D7568" s="13"/>
    </row>
    <row r="7569" spans="1:4">
      <c r="A7569" s="13"/>
      <c r="B7569" s="13"/>
      <c r="C7569" s="13"/>
      <c r="D7569" s="13"/>
    </row>
    <row r="7570" spans="1:4">
      <c r="A7570" s="13"/>
      <c r="B7570" s="13"/>
      <c r="C7570" s="13"/>
      <c r="D7570" s="13"/>
    </row>
    <row r="7571" spans="1:4">
      <c r="A7571" s="13"/>
      <c r="B7571" s="13"/>
      <c r="C7571" s="13"/>
      <c r="D7571" s="13"/>
    </row>
    <row r="7572" spans="1:4">
      <c r="A7572" s="13"/>
      <c r="B7572" s="13"/>
      <c r="C7572" s="13"/>
      <c r="D7572" s="13"/>
    </row>
    <row r="7573" spans="1:4">
      <c r="A7573" s="13"/>
      <c r="B7573" s="13"/>
      <c r="C7573" s="13"/>
      <c r="D7573" s="13"/>
    </row>
    <row r="7574" spans="1:4">
      <c r="A7574" s="13"/>
      <c r="B7574" s="13"/>
      <c r="C7574" s="13"/>
      <c r="D7574" s="13"/>
    </row>
    <row r="7575" spans="1:4">
      <c r="A7575" s="13"/>
      <c r="B7575" s="13"/>
      <c r="C7575" s="13"/>
      <c r="D7575" s="13"/>
    </row>
    <row r="7576" spans="1:4">
      <c r="A7576" s="13"/>
      <c r="B7576" s="13"/>
      <c r="C7576" s="13"/>
      <c r="D7576" s="13"/>
    </row>
    <row r="7577" spans="1:4">
      <c r="A7577" s="13"/>
      <c r="B7577" s="13"/>
      <c r="C7577" s="13"/>
      <c r="D7577" s="13"/>
    </row>
    <row r="7578" spans="1:4">
      <c r="A7578" s="13"/>
      <c r="B7578" s="13"/>
      <c r="C7578" s="13"/>
      <c r="D7578" s="13"/>
    </row>
    <row r="7579" spans="1:4">
      <c r="A7579" s="13"/>
      <c r="B7579" s="13"/>
      <c r="C7579" s="13"/>
      <c r="D7579" s="13"/>
    </row>
    <row r="7580" spans="1:4">
      <c r="A7580" s="13"/>
      <c r="B7580" s="13"/>
      <c r="C7580" s="13"/>
      <c r="D7580" s="13"/>
    </row>
    <row r="7581" spans="1:4">
      <c r="A7581" s="13"/>
      <c r="B7581" s="13"/>
      <c r="C7581" s="13"/>
      <c r="D7581" s="13"/>
    </row>
    <row r="7582" spans="1:4">
      <c r="A7582" s="13"/>
      <c r="B7582" s="13"/>
      <c r="C7582" s="13"/>
      <c r="D7582" s="13"/>
    </row>
    <row r="7583" spans="1:4">
      <c r="A7583" s="13"/>
      <c r="B7583" s="13"/>
      <c r="C7583" s="13"/>
      <c r="D7583" s="13"/>
    </row>
    <row r="7584" spans="1:4">
      <c r="A7584" s="13"/>
      <c r="B7584" s="13"/>
      <c r="C7584" s="13"/>
      <c r="D7584" s="13"/>
    </row>
    <row r="7585" spans="1:4">
      <c r="A7585" s="13"/>
      <c r="B7585" s="13"/>
      <c r="C7585" s="13"/>
      <c r="D7585" s="13"/>
    </row>
    <row r="7586" spans="1:4">
      <c r="A7586" s="13"/>
      <c r="B7586" s="13"/>
      <c r="C7586" s="13"/>
      <c r="D7586" s="13"/>
    </row>
    <row r="7587" spans="1:4">
      <c r="A7587" s="13"/>
      <c r="B7587" s="13"/>
      <c r="C7587" s="13"/>
      <c r="D7587" s="13"/>
    </row>
    <row r="7588" spans="1:4">
      <c r="A7588" s="13"/>
      <c r="B7588" s="13"/>
      <c r="C7588" s="13"/>
      <c r="D7588" s="13"/>
    </row>
    <row r="7589" spans="1:4">
      <c r="A7589" s="13"/>
      <c r="B7589" s="13"/>
      <c r="C7589" s="13"/>
      <c r="D7589" s="13"/>
    </row>
    <row r="7590" spans="1:4">
      <c r="A7590" s="13"/>
      <c r="B7590" s="13"/>
      <c r="C7590" s="13"/>
      <c r="D7590" s="13"/>
    </row>
    <row r="7591" spans="1:4">
      <c r="A7591" s="13"/>
      <c r="B7591" s="13"/>
      <c r="C7591" s="13"/>
      <c r="D7591" s="13"/>
    </row>
    <row r="7592" spans="1:4">
      <c r="A7592" s="13"/>
      <c r="B7592" s="13"/>
      <c r="C7592" s="13"/>
      <c r="D7592" s="13"/>
    </row>
    <row r="7593" spans="1:4">
      <c r="A7593" s="13"/>
      <c r="B7593" s="13"/>
      <c r="C7593" s="13"/>
      <c r="D7593" s="13"/>
    </row>
    <row r="7594" spans="1:4">
      <c r="A7594" s="13"/>
      <c r="B7594" s="13"/>
      <c r="C7594" s="13"/>
      <c r="D7594" s="13"/>
    </row>
    <row r="7595" spans="1:4">
      <c r="A7595" s="13"/>
      <c r="B7595" s="13"/>
      <c r="C7595" s="13"/>
      <c r="D7595" s="13"/>
    </row>
    <row r="7596" spans="1:4">
      <c r="A7596" s="13"/>
      <c r="B7596" s="13"/>
      <c r="C7596" s="13"/>
      <c r="D7596" s="13"/>
    </row>
    <row r="7597" spans="1:4">
      <c r="A7597" s="13"/>
      <c r="B7597" s="13"/>
      <c r="C7597" s="13"/>
      <c r="D7597" s="13"/>
    </row>
    <row r="7598" spans="1:4">
      <c r="A7598" s="13"/>
      <c r="B7598" s="13"/>
      <c r="C7598" s="13"/>
      <c r="D7598" s="13"/>
    </row>
    <row r="7599" spans="1:4">
      <c r="A7599" s="13"/>
      <c r="B7599" s="13"/>
      <c r="C7599" s="13"/>
      <c r="D7599" s="13"/>
    </row>
    <row r="7600" spans="1:4">
      <c r="A7600" s="13"/>
      <c r="B7600" s="13"/>
      <c r="C7600" s="13"/>
      <c r="D7600" s="13"/>
    </row>
    <row r="7601" spans="1:4">
      <c r="A7601" s="13"/>
      <c r="B7601" s="13"/>
      <c r="C7601" s="13"/>
      <c r="D7601" s="13"/>
    </row>
    <row r="7602" spans="1:4">
      <c r="A7602" s="13"/>
      <c r="B7602" s="13"/>
      <c r="C7602" s="13"/>
      <c r="D7602" s="13"/>
    </row>
    <row r="7603" spans="1:4">
      <c r="A7603" s="13"/>
      <c r="B7603" s="13"/>
      <c r="C7603" s="13"/>
      <c r="D7603" s="13"/>
    </row>
    <row r="7604" spans="1:4">
      <c r="A7604" s="13"/>
      <c r="B7604" s="13"/>
      <c r="C7604" s="13"/>
      <c r="D7604" s="13"/>
    </row>
    <row r="7605" spans="1:4">
      <c r="A7605" s="13"/>
      <c r="B7605" s="13"/>
      <c r="C7605" s="13"/>
      <c r="D7605" s="13"/>
    </row>
    <row r="7606" spans="1:4">
      <c r="A7606" s="13"/>
      <c r="B7606" s="13"/>
      <c r="C7606" s="13"/>
      <c r="D7606" s="13"/>
    </row>
    <row r="7607" spans="1:4">
      <c r="A7607" s="13"/>
      <c r="B7607" s="13"/>
      <c r="C7607" s="13"/>
      <c r="D7607" s="13"/>
    </row>
    <row r="7608" spans="1:4">
      <c r="A7608" s="13"/>
      <c r="B7608" s="13"/>
      <c r="C7608" s="13"/>
      <c r="D7608" s="13"/>
    </row>
    <row r="7609" spans="1:4">
      <c r="A7609" s="13"/>
      <c r="B7609" s="13"/>
      <c r="C7609" s="13"/>
      <c r="D7609" s="13"/>
    </row>
    <row r="7610" spans="1:4">
      <c r="A7610" s="13"/>
      <c r="B7610" s="13"/>
      <c r="C7610" s="13"/>
      <c r="D7610" s="13"/>
    </row>
    <row r="7611" spans="1:4">
      <c r="A7611" s="13"/>
      <c r="B7611" s="13"/>
      <c r="C7611" s="13"/>
      <c r="D7611" s="13"/>
    </row>
    <row r="7612" spans="1:4">
      <c r="A7612" s="13"/>
      <c r="B7612" s="13"/>
      <c r="C7612" s="13"/>
      <c r="D7612" s="13"/>
    </row>
    <row r="7613" spans="1:4">
      <c r="A7613" s="13"/>
      <c r="B7613" s="13"/>
      <c r="C7613" s="13"/>
      <c r="D7613" s="13"/>
    </row>
    <row r="7614" spans="1:4">
      <c r="A7614" s="13"/>
      <c r="B7614" s="13"/>
      <c r="C7614" s="13"/>
      <c r="D7614" s="13"/>
    </row>
    <row r="7615" spans="1:4">
      <c r="A7615" s="13"/>
      <c r="B7615" s="13"/>
      <c r="C7615" s="13"/>
      <c r="D7615" s="13"/>
    </row>
    <row r="7616" spans="1:4">
      <c r="A7616" s="13"/>
      <c r="B7616" s="13"/>
      <c r="C7616" s="13"/>
      <c r="D7616" s="13"/>
    </row>
    <row r="7617" spans="1:4">
      <c r="A7617" s="13"/>
      <c r="B7617" s="13"/>
      <c r="C7617" s="13"/>
      <c r="D7617" s="13"/>
    </row>
    <row r="7618" spans="1:4">
      <c r="A7618" s="13"/>
      <c r="B7618" s="13"/>
      <c r="C7618" s="13"/>
      <c r="D7618" s="13"/>
    </row>
    <row r="7619" spans="1:4">
      <c r="A7619" s="13"/>
      <c r="B7619" s="13"/>
      <c r="C7619" s="13"/>
      <c r="D7619" s="13"/>
    </row>
    <row r="7620" spans="1:4">
      <c r="A7620" s="13"/>
      <c r="B7620" s="13"/>
      <c r="C7620" s="13"/>
      <c r="D7620" s="13"/>
    </row>
    <row r="7621" spans="1:4">
      <c r="A7621" s="13"/>
      <c r="B7621" s="13"/>
      <c r="C7621" s="13"/>
      <c r="D7621" s="13"/>
    </row>
    <row r="7622" spans="1:4">
      <c r="A7622" s="13"/>
      <c r="B7622" s="13"/>
      <c r="C7622" s="13"/>
      <c r="D7622" s="13"/>
    </row>
    <row r="7623" spans="1:4">
      <c r="A7623" s="13"/>
      <c r="B7623" s="13"/>
      <c r="C7623" s="13"/>
      <c r="D7623" s="13"/>
    </row>
    <row r="7624" spans="1:4">
      <c r="A7624" s="13"/>
      <c r="B7624" s="13"/>
      <c r="C7624" s="13"/>
      <c r="D7624" s="13"/>
    </row>
    <row r="7625" spans="1:4">
      <c r="A7625" s="13"/>
      <c r="B7625" s="13"/>
      <c r="C7625" s="13"/>
      <c r="D7625" s="13"/>
    </row>
    <row r="7626" spans="1:4">
      <c r="A7626" s="13"/>
      <c r="B7626" s="13"/>
      <c r="C7626" s="13"/>
      <c r="D7626" s="13"/>
    </row>
    <row r="7627" spans="1:4">
      <c r="A7627" s="13"/>
      <c r="B7627" s="13"/>
      <c r="C7627" s="13"/>
      <c r="D7627" s="13"/>
    </row>
    <row r="7628" spans="1:4">
      <c r="A7628" s="13"/>
      <c r="B7628" s="13"/>
      <c r="C7628" s="13"/>
      <c r="D7628" s="13"/>
    </row>
    <row r="7629" spans="1:4">
      <c r="A7629" s="13"/>
      <c r="B7629" s="13"/>
      <c r="C7629" s="13"/>
      <c r="D7629" s="13"/>
    </row>
    <row r="7630" spans="1:4">
      <c r="A7630" s="13"/>
      <c r="B7630" s="13"/>
      <c r="C7630" s="13"/>
      <c r="D7630" s="13"/>
    </row>
    <row r="7631" spans="1:4">
      <c r="A7631" s="13"/>
      <c r="B7631" s="13"/>
      <c r="C7631" s="13"/>
      <c r="D7631" s="13"/>
    </row>
    <row r="7632" spans="1:4">
      <c r="A7632" s="13"/>
      <c r="B7632" s="13"/>
      <c r="C7632" s="13"/>
      <c r="D7632" s="13"/>
    </row>
    <row r="7633" spans="1:4">
      <c r="A7633" s="13"/>
      <c r="B7633" s="13"/>
      <c r="C7633" s="13"/>
      <c r="D7633" s="13"/>
    </row>
    <row r="7634" spans="1:4">
      <c r="A7634" s="13"/>
      <c r="B7634" s="13"/>
      <c r="C7634" s="13"/>
      <c r="D7634" s="13"/>
    </row>
    <row r="7635" spans="1:4">
      <c r="A7635" s="13"/>
      <c r="B7635" s="13"/>
      <c r="C7635" s="13"/>
      <c r="D7635" s="13"/>
    </row>
    <row r="7636" spans="1:4">
      <c r="A7636" s="13"/>
      <c r="B7636" s="13"/>
      <c r="C7636" s="13"/>
      <c r="D7636" s="13"/>
    </row>
    <row r="7637" spans="1:4">
      <c r="A7637" s="13"/>
      <c r="B7637" s="13"/>
      <c r="C7637" s="13"/>
      <c r="D7637" s="13"/>
    </row>
    <row r="7638" spans="1:4">
      <c r="A7638" s="13"/>
      <c r="B7638" s="13"/>
      <c r="C7638" s="13"/>
      <c r="D7638" s="13"/>
    </row>
    <row r="7639" spans="1:4">
      <c r="A7639" s="13"/>
      <c r="B7639" s="13"/>
      <c r="C7639" s="13"/>
      <c r="D7639" s="13"/>
    </row>
    <row r="7640" spans="1:4">
      <c r="A7640" s="13"/>
      <c r="B7640" s="13"/>
      <c r="C7640" s="13"/>
      <c r="D7640" s="13"/>
    </row>
    <row r="7641" spans="1:4">
      <c r="A7641" s="13"/>
      <c r="B7641" s="13"/>
      <c r="C7641" s="13"/>
      <c r="D7641" s="13"/>
    </row>
    <row r="7642" spans="1:4">
      <c r="A7642" s="13"/>
      <c r="B7642" s="13"/>
      <c r="C7642" s="13"/>
      <c r="D7642" s="13"/>
    </row>
    <row r="7643" spans="1:4">
      <c r="A7643" s="13"/>
      <c r="B7643" s="13"/>
      <c r="C7643" s="13"/>
      <c r="D7643" s="13"/>
    </row>
    <row r="7644" spans="1:4">
      <c r="A7644" s="13"/>
      <c r="B7644" s="13"/>
      <c r="C7644" s="13"/>
      <c r="D7644" s="13"/>
    </row>
    <row r="7645" spans="1:4">
      <c r="A7645" s="13"/>
      <c r="B7645" s="13"/>
      <c r="C7645" s="13"/>
      <c r="D7645" s="13"/>
    </row>
    <row r="7646" spans="1:4">
      <c r="A7646" s="13"/>
      <c r="B7646" s="13"/>
      <c r="C7646" s="13"/>
      <c r="D7646" s="13"/>
    </row>
    <row r="7647" spans="1:4">
      <c r="A7647" s="13"/>
      <c r="B7647" s="13"/>
      <c r="C7647" s="13"/>
      <c r="D7647" s="13"/>
    </row>
    <row r="7648" spans="1:4">
      <c r="A7648" s="13"/>
      <c r="B7648" s="13"/>
      <c r="C7648" s="13"/>
      <c r="D7648" s="13"/>
    </row>
    <row r="7649" spans="1:4">
      <c r="A7649" s="13"/>
      <c r="B7649" s="13"/>
      <c r="C7649" s="13"/>
      <c r="D7649" s="13"/>
    </row>
    <row r="7650" spans="1:4">
      <c r="A7650" s="13"/>
      <c r="B7650" s="13"/>
      <c r="C7650" s="13"/>
      <c r="D7650" s="13"/>
    </row>
    <row r="7651" spans="1:4">
      <c r="A7651" s="13"/>
      <c r="B7651" s="13"/>
      <c r="C7651" s="13"/>
      <c r="D7651" s="13"/>
    </row>
    <row r="7652" spans="1:4">
      <c r="A7652" s="13"/>
      <c r="B7652" s="13"/>
      <c r="C7652" s="13"/>
      <c r="D7652" s="13"/>
    </row>
    <row r="7653" spans="1:4">
      <c r="A7653" s="13"/>
      <c r="B7653" s="13"/>
      <c r="C7653" s="13"/>
      <c r="D7653" s="13"/>
    </row>
    <row r="7654" spans="1:4">
      <c r="A7654" s="13"/>
      <c r="B7654" s="13"/>
      <c r="C7654" s="13"/>
      <c r="D7654" s="13"/>
    </row>
    <row r="7655" spans="1:4">
      <c r="A7655" s="13"/>
      <c r="B7655" s="13"/>
      <c r="C7655" s="13"/>
      <c r="D7655" s="13"/>
    </row>
    <row r="7656" spans="1:4">
      <c r="A7656" s="13"/>
      <c r="B7656" s="13"/>
      <c r="C7656" s="13"/>
      <c r="D7656" s="13"/>
    </row>
    <row r="7657" spans="1:4">
      <c r="A7657" s="13"/>
      <c r="B7657" s="13"/>
      <c r="C7657" s="13"/>
      <c r="D7657" s="13"/>
    </row>
    <row r="7658" spans="1:4">
      <c r="A7658" s="13"/>
      <c r="B7658" s="13"/>
      <c r="C7658" s="13"/>
      <c r="D7658" s="13"/>
    </row>
    <row r="7659" spans="1:4">
      <c r="A7659" s="13"/>
      <c r="B7659" s="13"/>
      <c r="C7659" s="13"/>
      <c r="D7659" s="13"/>
    </row>
    <row r="7660" spans="1:4">
      <c r="A7660" s="13"/>
      <c r="B7660" s="13"/>
      <c r="C7660" s="13"/>
      <c r="D7660" s="13"/>
    </row>
    <row r="7661" spans="1:4">
      <c r="A7661" s="13"/>
      <c r="B7661" s="13"/>
      <c r="C7661" s="13"/>
      <c r="D7661" s="13"/>
    </row>
    <row r="7662" spans="1:4">
      <c r="A7662" s="13"/>
      <c r="B7662" s="13"/>
      <c r="C7662" s="13"/>
      <c r="D7662" s="13"/>
    </row>
    <row r="7663" spans="1:4">
      <c r="A7663" s="13"/>
      <c r="B7663" s="13"/>
      <c r="C7663" s="13"/>
      <c r="D7663" s="13"/>
    </row>
    <row r="7664" spans="1:4">
      <c r="A7664" s="13"/>
      <c r="B7664" s="13"/>
      <c r="C7664" s="13"/>
      <c r="D7664" s="13"/>
    </row>
    <row r="7665" spans="1:4">
      <c r="A7665" s="13"/>
      <c r="B7665" s="13"/>
      <c r="C7665" s="13"/>
      <c r="D7665" s="13"/>
    </row>
    <row r="7666" spans="1:4">
      <c r="A7666" s="13"/>
      <c r="B7666" s="13"/>
      <c r="C7666" s="13"/>
      <c r="D7666" s="13"/>
    </row>
    <row r="7667" spans="1:4">
      <c r="A7667" s="13"/>
      <c r="B7667" s="13"/>
      <c r="C7667" s="13"/>
      <c r="D7667" s="13"/>
    </row>
    <row r="7668" spans="1:4">
      <c r="A7668" s="13"/>
      <c r="B7668" s="13"/>
      <c r="C7668" s="13"/>
      <c r="D7668" s="13"/>
    </row>
    <row r="7669" spans="1:4">
      <c r="A7669" s="13"/>
      <c r="B7669" s="13"/>
      <c r="C7669" s="13"/>
      <c r="D7669" s="13"/>
    </row>
    <row r="7670" spans="1:4">
      <c r="A7670" s="13"/>
      <c r="B7670" s="13"/>
      <c r="C7670" s="13"/>
      <c r="D7670" s="13"/>
    </row>
    <row r="7671" spans="1:4">
      <c r="A7671" s="13"/>
      <c r="B7671" s="13"/>
      <c r="C7671" s="13"/>
      <c r="D7671" s="13"/>
    </row>
    <row r="7672" spans="1:4">
      <c r="A7672" s="13"/>
      <c r="B7672" s="13"/>
      <c r="C7672" s="13"/>
      <c r="D7672" s="13"/>
    </row>
    <row r="7673" spans="1:4">
      <c r="A7673" s="13"/>
      <c r="B7673" s="13"/>
      <c r="C7673" s="13"/>
      <c r="D7673" s="13"/>
    </row>
    <row r="7674" spans="1:4">
      <c r="A7674" s="13"/>
      <c r="B7674" s="13"/>
      <c r="C7674" s="13"/>
      <c r="D7674" s="13"/>
    </row>
    <row r="7675" spans="1:4">
      <c r="A7675" s="13"/>
      <c r="B7675" s="13"/>
      <c r="C7675" s="13"/>
      <c r="D7675" s="13"/>
    </row>
    <row r="7676" spans="1:4">
      <c r="A7676" s="13"/>
      <c r="B7676" s="13"/>
      <c r="C7676" s="13"/>
      <c r="D7676" s="13"/>
    </row>
    <row r="7677" spans="1:4">
      <c r="A7677" s="13"/>
      <c r="B7677" s="13"/>
      <c r="C7677" s="13"/>
      <c r="D7677" s="13"/>
    </row>
    <row r="7678" spans="1:4">
      <c r="A7678" s="13"/>
      <c r="B7678" s="13"/>
      <c r="C7678" s="13"/>
      <c r="D7678" s="13"/>
    </row>
    <row r="7679" spans="1:4">
      <c r="A7679" s="13"/>
      <c r="B7679" s="13"/>
      <c r="C7679" s="13"/>
      <c r="D7679" s="13"/>
    </row>
    <row r="7680" spans="1:4">
      <c r="A7680" s="13"/>
      <c r="B7680" s="13"/>
      <c r="C7680" s="13"/>
      <c r="D7680" s="13"/>
    </row>
    <row r="7681" spans="1:4">
      <c r="A7681" s="13"/>
      <c r="B7681" s="13"/>
      <c r="C7681" s="13"/>
      <c r="D7681" s="13"/>
    </row>
    <row r="7682" spans="1:4">
      <c r="A7682" s="13"/>
      <c r="B7682" s="13"/>
      <c r="C7682" s="13"/>
      <c r="D7682" s="13"/>
    </row>
    <row r="7683" spans="1:4">
      <c r="A7683" s="13"/>
      <c r="B7683" s="13"/>
      <c r="C7683" s="13"/>
      <c r="D7683" s="13"/>
    </row>
    <row r="7684" spans="1:4">
      <c r="A7684" s="13"/>
      <c r="B7684" s="13"/>
      <c r="C7684" s="13"/>
      <c r="D7684" s="13"/>
    </row>
    <row r="7685" spans="1:4">
      <c r="A7685" s="13"/>
      <c r="B7685" s="13"/>
      <c r="C7685" s="13"/>
      <c r="D7685" s="13"/>
    </row>
    <row r="7686" spans="1:4">
      <c r="A7686" s="13"/>
      <c r="B7686" s="13"/>
      <c r="C7686" s="13"/>
      <c r="D7686" s="13"/>
    </row>
    <row r="7687" spans="1:4">
      <c r="A7687" s="13"/>
      <c r="B7687" s="13"/>
      <c r="C7687" s="13"/>
      <c r="D7687" s="13"/>
    </row>
    <row r="7688" spans="1:4">
      <c r="A7688" s="13"/>
      <c r="B7688" s="13"/>
      <c r="C7688" s="13"/>
      <c r="D7688" s="13"/>
    </row>
    <row r="7689" spans="1:4">
      <c r="A7689" s="13"/>
      <c r="B7689" s="13"/>
      <c r="C7689" s="13"/>
      <c r="D7689" s="13"/>
    </row>
    <row r="7690" spans="1:4">
      <c r="A7690" s="13"/>
      <c r="B7690" s="13"/>
      <c r="C7690" s="13"/>
      <c r="D7690" s="13"/>
    </row>
    <row r="7691" spans="1:4">
      <c r="A7691" s="13"/>
      <c r="B7691" s="13"/>
      <c r="C7691" s="13"/>
      <c r="D7691" s="13"/>
    </row>
    <row r="7692" spans="1:4">
      <c r="A7692" s="13"/>
      <c r="B7692" s="13"/>
      <c r="C7692" s="13"/>
      <c r="D7692" s="13"/>
    </row>
    <row r="7693" spans="1:4">
      <c r="A7693" s="13"/>
      <c r="B7693" s="13"/>
      <c r="C7693" s="13"/>
      <c r="D7693" s="13"/>
    </row>
    <row r="7694" spans="1:4">
      <c r="A7694" s="13"/>
      <c r="B7694" s="13"/>
      <c r="C7694" s="13"/>
      <c r="D7694" s="13"/>
    </row>
    <row r="7695" spans="1:4">
      <c r="A7695" s="13"/>
      <c r="B7695" s="13"/>
      <c r="C7695" s="13"/>
      <c r="D7695" s="13"/>
    </row>
    <row r="7696" spans="1:4">
      <c r="A7696" s="13"/>
      <c r="B7696" s="13"/>
      <c r="C7696" s="13"/>
      <c r="D7696" s="13"/>
    </row>
    <row r="7697" spans="1:4">
      <c r="A7697" s="13"/>
      <c r="B7697" s="13"/>
      <c r="C7697" s="13"/>
      <c r="D7697" s="13"/>
    </row>
    <row r="7698" spans="1:4">
      <c r="A7698" s="13"/>
      <c r="B7698" s="13"/>
      <c r="C7698" s="13"/>
      <c r="D7698" s="13"/>
    </row>
    <row r="7699" spans="1:4">
      <c r="A7699" s="13"/>
      <c r="B7699" s="13"/>
      <c r="C7699" s="13"/>
      <c r="D7699" s="13"/>
    </row>
    <row r="7700" spans="1:4">
      <c r="A7700" s="13"/>
      <c r="B7700" s="13"/>
      <c r="C7700" s="13"/>
      <c r="D7700" s="13"/>
    </row>
    <row r="7701" spans="1:4">
      <c r="A7701" s="13"/>
      <c r="B7701" s="13"/>
      <c r="C7701" s="13"/>
      <c r="D7701" s="13"/>
    </row>
    <row r="7702" spans="1:4">
      <c r="A7702" s="13"/>
      <c r="B7702" s="13"/>
      <c r="C7702" s="13"/>
      <c r="D7702" s="13"/>
    </row>
    <row r="7703" spans="1:4">
      <c r="A7703" s="13"/>
      <c r="B7703" s="13"/>
      <c r="C7703" s="13"/>
      <c r="D7703" s="13"/>
    </row>
    <row r="7704" spans="1:4">
      <c r="A7704" s="13"/>
      <c r="B7704" s="13"/>
      <c r="C7704" s="13"/>
      <c r="D7704" s="13"/>
    </row>
    <row r="7705" spans="1:4">
      <c r="A7705" s="13"/>
      <c r="B7705" s="13"/>
      <c r="C7705" s="13"/>
      <c r="D7705" s="13"/>
    </row>
    <row r="7706" spans="1:4">
      <c r="A7706" s="13"/>
      <c r="B7706" s="13"/>
      <c r="C7706" s="13"/>
      <c r="D7706" s="13"/>
    </row>
    <row r="7707" spans="1:4">
      <c r="A7707" s="13"/>
      <c r="B7707" s="13"/>
      <c r="C7707" s="13"/>
      <c r="D7707" s="13"/>
    </row>
    <row r="7708" spans="1:4">
      <c r="A7708" s="13"/>
      <c r="B7708" s="13"/>
      <c r="C7708" s="13"/>
      <c r="D7708" s="13"/>
    </row>
    <row r="7709" spans="1:4">
      <c r="A7709" s="13"/>
      <c r="B7709" s="13"/>
      <c r="C7709" s="13"/>
      <c r="D7709" s="13"/>
    </row>
    <row r="7710" spans="1:4">
      <c r="A7710" s="13"/>
      <c r="B7710" s="13"/>
      <c r="C7710" s="13"/>
      <c r="D7710" s="13"/>
    </row>
    <row r="7711" spans="1:4">
      <c r="A7711" s="13"/>
      <c r="B7711" s="13"/>
      <c r="C7711" s="13"/>
      <c r="D7711" s="13"/>
    </row>
    <row r="7712" spans="1:4">
      <c r="A7712" s="13"/>
      <c r="B7712" s="13"/>
      <c r="C7712" s="13"/>
      <c r="D7712" s="13"/>
    </row>
    <row r="7713" spans="1:4">
      <c r="A7713" s="13"/>
      <c r="B7713" s="13"/>
      <c r="C7713" s="13"/>
      <c r="D7713" s="13"/>
    </row>
    <row r="7714" spans="1:4">
      <c r="A7714" s="13"/>
      <c r="B7714" s="13"/>
      <c r="C7714" s="13"/>
      <c r="D7714" s="13"/>
    </row>
    <row r="7715" spans="1:4">
      <c r="A7715" s="13"/>
      <c r="B7715" s="13"/>
      <c r="C7715" s="13"/>
      <c r="D7715" s="13"/>
    </row>
    <row r="7716" spans="1:4">
      <c r="A7716" s="13"/>
      <c r="B7716" s="13"/>
      <c r="C7716" s="13"/>
      <c r="D7716" s="13"/>
    </row>
    <row r="7717" spans="1:4">
      <c r="A7717" s="13"/>
      <c r="B7717" s="13"/>
      <c r="C7717" s="13"/>
      <c r="D7717" s="13"/>
    </row>
    <row r="7718" spans="1:4">
      <c r="A7718" s="13"/>
      <c r="B7718" s="13"/>
      <c r="C7718" s="13"/>
      <c r="D7718" s="13"/>
    </row>
    <row r="7719" spans="1:4">
      <c r="A7719" s="13"/>
      <c r="B7719" s="13"/>
      <c r="C7719" s="13"/>
      <c r="D7719" s="13"/>
    </row>
    <row r="7720" spans="1:4">
      <c r="A7720" s="13"/>
      <c r="B7720" s="13"/>
      <c r="C7720" s="13"/>
      <c r="D7720" s="13"/>
    </row>
    <row r="7721" spans="1:4">
      <c r="A7721" s="13"/>
      <c r="B7721" s="13"/>
      <c r="C7721" s="13"/>
      <c r="D7721" s="13"/>
    </row>
    <row r="7722" spans="1:4">
      <c r="A7722" s="13"/>
      <c r="B7722" s="13"/>
      <c r="C7722" s="13"/>
      <c r="D7722" s="13"/>
    </row>
    <row r="7723" spans="1:4">
      <c r="A7723" s="13"/>
      <c r="B7723" s="13"/>
      <c r="C7723" s="13"/>
      <c r="D7723" s="13"/>
    </row>
    <row r="7724" spans="1:4">
      <c r="A7724" s="13"/>
      <c r="B7724" s="13"/>
      <c r="C7724" s="13"/>
      <c r="D7724" s="13"/>
    </row>
    <row r="7725" spans="1:4">
      <c r="A7725" s="13"/>
      <c r="B7725" s="13"/>
      <c r="C7725" s="13"/>
      <c r="D7725" s="13"/>
    </row>
    <row r="7726" spans="1:4">
      <c r="A7726" s="13"/>
      <c r="B7726" s="13"/>
      <c r="C7726" s="13"/>
      <c r="D7726" s="13"/>
    </row>
    <row r="7727" spans="1:4">
      <c r="A7727" s="13"/>
      <c r="B7727" s="13"/>
      <c r="C7727" s="13"/>
      <c r="D7727" s="13"/>
    </row>
    <row r="7728" spans="1:4">
      <c r="A7728" s="13"/>
      <c r="B7728" s="13"/>
      <c r="C7728" s="13"/>
      <c r="D7728" s="13"/>
    </row>
    <row r="7729" spans="1:4">
      <c r="A7729" s="13"/>
      <c r="B7729" s="13"/>
      <c r="C7729" s="13"/>
      <c r="D7729" s="13"/>
    </row>
    <row r="7730" spans="1:4">
      <c r="A7730" s="13"/>
      <c r="B7730" s="13"/>
      <c r="C7730" s="13"/>
      <c r="D7730" s="13"/>
    </row>
    <row r="7731" spans="1:4">
      <c r="A7731" s="13"/>
      <c r="B7731" s="13"/>
      <c r="C7731" s="13"/>
      <c r="D7731" s="13"/>
    </row>
    <row r="7732" spans="1:4">
      <c r="A7732" s="13"/>
      <c r="B7732" s="13"/>
      <c r="C7732" s="13"/>
      <c r="D7732" s="13"/>
    </row>
    <row r="7733" spans="1:4">
      <c r="A7733" s="13"/>
      <c r="B7733" s="13"/>
      <c r="C7733" s="13"/>
      <c r="D7733" s="13"/>
    </row>
    <row r="7734" spans="1:4">
      <c r="A7734" s="13"/>
      <c r="B7734" s="13"/>
      <c r="C7734" s="13"/>
      <c r="D7734" s="13"/>
    </row>
    <row r="7735" spans="1:4">
      <c r="A7735" s="13"/>
      <c r="B7735" s="13"/>
      <c r="C7735" s="13"/>
      <c r="D7735" s="13"/>
    </row>
    <row r="7736" spans="1:4">
      <c r="A7736" s="13"/>
      <c r="B7736" s="13"/>
      <c r="C7736" s="13"/>
      <c r="D7736" s="13"/>
    </row>
    <row r="7737" spans="1:4">
      <c r="A7737" s="13"/>
      <c r="B7737" s="13"/>
      <c r="C7737" s="13"/>
      <c r="D7737" s="13"/>
    </row>
    <row r="7738" spans="1:4">
      <c r="A7738" s="13"/>
      <c r="B7738" s="13"/>
      <c r="C7738" s="13"/>
      <c r="D7738" s="13"/>
    </row>
    <row r="7739" spans="1:4">
      <c r="A7739" s="13"/>
      <c r="B7739" s="13"/>
      <c r="C7739" s="13"/>
      <c r="D7739" s="13"/>
    </row>
    <row r="7740" spans="1:4">
      <c r="A7740" s="13"/>
      <c r="B7740" s="13"/>
      <c r="C7740" s="13"/>
      <c r="D7740" s="13"/>
    </row>
    <row r="7741" spans="1:4">
      <c r="A7741" s="13"/>
      <c r="B7741" s="13"/>
      <c r="C7741" s="13"/>
      <c r="D7741" s="13"/>
    </row>
    <row r="7742" spans="1:4">
      <c r="A7742" s="13"/>
      <c r="B7742" s="13"/>
      <c r="C7742" s="13"/>
      <c r="D7742" s="13"/>
    </row>
    <row r="7743" spans="1:4">
      <c r="A7743" s="13"/>
      <c r="B7743" s="13"/>
      <c r="C7743" s="13"/>
      <c r="D7743" s="13"/>
    </row>
    <row r="7744" spans="1:4">
      <c r="A7744" s="13"/>
      <c r="B7744" s="13"/>
      <c r="C7744" s="13"/>
      <c r="D7744" s="13"/>
    </row>
    <row r="7745" spans="1:4">
      <c r="A7745" s="13"/>
      <c r="B7745" s="13"/>
      <c r="C7745" s="13"/>
      <c r="D7745" s="13"/>
    </row>
    <row r="7746" spans="1:4">
      <c r="A7746" s="13"/>
      <c r="B7746" s="13"/>
      <c r="C7746" s="13"/>
      <c r="D7746" s="13"/>
    </row>
    <row r="7747" spans="1:4">
      <c r="A7747" s="13"/>
      <c r="B7747" s="13"/>
      <c r="C7747" s="13"/>
      <c r="D7747" s="13"/>
    </row>
    <row r="7748" spans="1:4">
      <c r="A7748" s="13"/>
      <c r="B7748" s="13"/>
      <c r="C7748" s="13"/>
      <c r="D7748" s="13"/>
    </row>
    <row r="7749" spans="1:4">
      <c r="A7749" s="13"/>
      <c r="B7749" s="13"/>
      <c r="C7749" s="13"/>
      <c r="D7749" s="13"/>
    </row>
    <row r="7750" spans="1:4">
      <c r="A7750" s="13"/>
      <c r="B7750" s="13"/>
      <c r="C7750" s="13"/>
      <c r="D7750" s="13"/>
    </row>
    <row r="7751" spans="1:4">
      <c r="A7751" s="13"/>
      <c r="B7751" s="13"/>
      <c r="C7751" s="13"/>
      <c r="D7751" s="13"/>
    </row>
    <row r="7752" spans="1:4">
      <c r="A7752" s="13"/>
      <c r="B7752" s="13"/>
      <c r="C7752" s="13"/>
      <c r="D7752" s="13"/>
    </row>
    <row r="7753" spans="1:4">
      <c r="A7753" s="13"/>
      <c r="B7753" s="13"/>
      <c r="C7753" s="13"/>
      <c r="D7753" s="13"/>
    </row>
    <row r="7754" spans="1:4">
      <c r="A7754" s="13"/>
      <c r="B7754" s="13"/>
      <c r="C7754" s="13"/>
      <c r="D7754" s="13"/>
    </row>
    <row r="7755" spans="1:4">
      <c r="A7755" s="13"/>
      <c r="B7755" s="13"/>
      <c r="C7755" s="13"/>
      <c r="D7755" s="13"/>
    </row>
    <row r="7756" spans="1:4">
      <c r="A7756" s="13"/>
      <c r="B7756" s="13"/>
      <c r="C7756" s="13"/>
      <c r="D7756" s="13"/>
    </row>
    <row r="7757" spans="1:4">
      <c r="A7757" s="13"/>
      <c r="B7757" s="13"/>
      <c r="C7757" s="13"/>
      <c r="D7757" s="13"/>
    </row>
    <row r="7758" spans="1:4">
      <c r="A7758" s="13"/>
      <c r="B7758" s="13"/>
      <c r="C7758" s="13"/>
      <c r="D7758" s="13"/>
    </row>
    <row r="7759" spans="1:4">
      <c r="A7759" s="13"/>
      <c r="B7759" s="13"/>
      <c r="C7759" s="13"/>
      <c r="D7759" s="13"/>
    </row>
    <row r="7760" spans="1:4">
      <c r="A7760" s="13"/>
      <c r="B7760" s="13"/>
      <c r="C7760" s="13"/>
      <c r="D7760" s="13"/>
    </row>
    <row r="7761" spans="1:4">
      <c r="A7761" s="13"/>
      <c r="B7761" s="13"/>
      <c r="C7761" s="13"/>
      <c r="D7761" s="13"/>
    </row>
    <row r="7762" spans="1:4">
      <c r="A7762" s="13"/>
      <c r="B7762" s="13"/>
      <c r="C7762" s="13"/>
      <c r="D7762" s="13"/>
    </row>
    <row r="7763" spans="1:4">
      <c r="A7763" s="13"/>
      <c r="B7763" s="13"/>
      <c r="C7763" s="13"/>
      <c r="D7763" s="13"/>
    </row>
    <row r="7764" spans="1:4">
      <c r="A7764" s="13"/>
      <c r="B7764" s="13"/>
      <c r="C7764" s="13"/>
      <c r="D7764" s="13"/>
    </row>
    <row r="7765" spans="1:4">
      <c r="A7765" s="13"/>
      <c r="B7765" s="13"/>
      <c r="C7765" s="13"/>
      <c r="D7765" s="13"/>
    </row>
    <row r="7766" spans="1:4">
      <c r="A7766" s="13"/>
      <c r="B7766" s="13"/>
      <c r="C7766" s="13"/>
      <c r="D7766" s="13"/>
    </row>
    <row r="7767" spans="1:4">
      <c r="A7767" s="13"/>
      <c r="B7767" s="13"/>
      <c r="C7767" s="13"/>
      <c r="D7767" s="13"/>
    </row>
    <row r="7768" spans="1:4">
      <c r="A7768" s="13"/>
      <c r="B7768" s="13"/>
      <c r="C7768" s="13"/>
      <c r="D7768" s="13"/>
    </row>
    <row r="7769" spans="1:4">
      <c r="A7769" s="13"/>
      <c r="B7769" s="13"/>
      <c r="C7769" s="13"/>
      <c r="D7769" s="13"/>
    </row>
    <row r="7770" spans="1:4">
      <c r="A7770" s="13"/>
      <c r="B7770" s="13"/>
      <c r="C7770" s="13"/>
      <c r="D7770" s="13"/>
    </row>
    <row r="7771" spans="1:4">
      <c r="A7771" s="13"/>
      <c r="B7771" s="13"/>
      <c r="C7771" s="13"/>
      <c r="D7771" s="13"/>
    </row>
    <row r="7772" spans="1:4">
      <c r="A7772" s="13"/>
      <c r="B7772" s="13"/>
      <c r="C7772" s="13"/>
      <c r="D7772" s="13"/>
    </row>
    <row r="7773" spans="1:4">
      <c r="A7773" s="13"/>
      <c r="B7773" s="13"/>
      <c r="C7773" s="13"/>
      <c r="D7773" s="13"/>
    </row>
    <row r="7774" spans="1:4">
      <c r="A7774" s="13"/>
      <c r="B7774" s="13"/>
      <c r="C7774" s="13"/>
      <c r="D7774" s="13"/>
    </row>
    <row r="7775" spans="1:4">
      <c r="A7775" s="13"/>
      <c r="B7775" s="13"/>
      <c r="C7775" s="13"/>
      <c r="D7775" s="13"/>
    </row>
    <row r="7776" spans="1:4">
      <c r="A7776" s="13"/>
      <c r="B7776" s="13"/>
      <c r="C7776" s="13"/>
      <c r="D7776" s="13"/>
    </row>
    <row r="7777" spans="1:4">
      <c r="A7777" s="13"/>
      <c r="B7777" s="13"/>
      <c r="C7777" s="13"/>
      <c r="D7777" s="13"/>
    </row>
    <row r="7778" spans="1:4">
      <c r="A7778" s="13"/>
      <c r="B7778" s="13"/>
      <c r="C7778" s="13"/>
      <c r="D7778" s="13"/>
    </row>
    <row r="7779" spans="1:4">
      <c r="A7779" s="13"/>
      <c r="B7779" s="13"/>
      <c r="C7779" s="13"/>
      <c r="D7779" s="13"/>
    </row>
    <row r="7780" spans="1:4">
      <c r="A7780" s="13"/>
      <c r="B7780" s="13"/>
      <c r="C7780" s="13"/>
      <c r="D7780" s="13"/>
    </row>
    <row r="7781" spans="1:4">
      <c r="A7781" s="13"/>
      <c r="B7781" s="13"/>
      <c r="C7781" s="13"/>
      <c r="D7781" s="13"/>
    </row>
    <row r="7782" spans="1:4">
      <c r="A7782" s="13"/>
      <c r="B7782" s="13"/>
      <c r="C7782" s="13"/>
      <c r="D7782" s="13"/>
    </row>
    <row r="7783" spans="1:4">
      <c r="A7783" s="13"/>
      <c r="B7783" s="13"/>
      <c r="C7783" s="13"/>
      <c r="D7783" s="13"/>
    </row>
    <row r="7784" spans="1:4">
      <c r="A7784" s="13"/>
      <c r="B7784" s="13"/>
      <c r="C7784" s="13"/>
      <c r="D7784" s="13"/>
    </row>
    <row r="7785" spans="1:4">
      <c r="A7785" s="13"/>
      <c r="B7785" s="13"/>
      <c r="C7785" s="13"/>
      <c r="D7785" s="13"/>
    </row>
    <row r="7786" spans="1:4">
      <c r="A7786" s="13"/>
      <c r="B7786" s="13"/>
      <c r="C7786" s="13"/>
      <c r="D7786" s="13"/>
    </row>
    <row r="7787" spans="1:4">
      <c r="A7787" s="13"/>
      <c r="B7787" s="13"/>
      <c r="C7787" s="13"/>
      <c r="D7787" s="13"/>
    </row>
    <row r="7788" spans="1:4">
      <c r="A7788" s="13"/>
      <c r="B7788" s="13"/>
      <c r="C7788" s="13"/>
      <c r="D7788" s="13"/>
    </row>
    <row r="7789" spans="1:4">
      <c r="A7789" s="13"/>
      <c r="B7789" s="13"/>
      <c r="C7789" s="13"/>
      <c r="D7789" s="13"/>
    </row>
    <row r="7790" spans="1:4">
      <c r="A7790" s="13"/>
      <c r="B7790" s="13"/>
      <c r="C7790" s="13"/>
      <c r="D7790" s="13"/>
    </row>
    <row r="7791" spans="1:4">
      <c r="A7791" s="13"/>
      <c r="B7791" s="13"/>
      <c r="C7791" s="13"/>
      <c r="D7791" s="13"/>
    </row>
    <row r="7792" spans="1:4">
      <c r="A7792" s="13"/>
      <c r="B7792" s="13"/>
      <c r="C7792" s="13"/>
      <c r="D7792" s="13"/>
    </row>
    <row r="7793" spans="1:4">
      <c r="A7793" s="13"/>
      <c r="B7793" s="13"/>
      <c r="C7793" s="13"/>
      <c r="D7793" s="13"/>
    </row>
    <row r="7794" spans="1:4">
      <c r="A7794" s="13"/>
      <c r="B7794" s="13"/>
      <c r="C7794" s="13"/>
      <c r="D7794" s="13"/>
    </row>
    <row r="7795" spans="1:4">
      <c r="A7795" s="13"/>
      <c r="B7795" s="13"/>
      <c r="C7795" s="13"/>
      <c r="D7795" s="13"/>
    </row>
    <row r="7796" spans="1:4">
      <c r="A7796" s="13"/>
      <c r="B7796" s="13"/>
      <c r="C7796" s="13"/>
      <c r="D7796" s="13"/>
    </row>
    <row r="7797" spans="1:4">
      <c r="A7797" s="13"/>
      <c r="B7797" s="13"/>
      <c r="C7797" s="13"/>
      <c r="D7797" s="13"/>
    </row>
    <row r="7798" spans="1:4">
      <c r="A7798" s="13"/>
      <c r="B7798" s="13"/>
      <c r="C7798" s="13"/>
      <c r="D7798" s="13"/>
    </row>
    <row r="7799" spans="1:4">
      <c r="A7799" s="13"/>
      <c r="B7799" s="13"/>
      <c r="C7799" s="13"/>
      <c r="D7799" s="13"/>
    </row>
    <row r="7800" spans="1:4">
      <c r="A7800" s="13"/>
      <c r="B7800" s="13"/>
      <c r="C7800" s="13"/>
      <c r="D7800" s="13"/>
    </row>
    <row r="7801" spans="1:4">
      <c r="A7801" s="13"/>
      <c r="B7801" s="13"/>
      <c r="C7801" s="13"/>
      <c r="D7801" s="13"/>
    </row>
    <row r="7802" spans="1:4">
      <c r="A7802" s="13"/>
      <c r="B7802" s="13"/>
      <c r="C7802" s="13"/>
      <c r="D7802" s="13"/>
    </row>
    <row r="7803" spans="1:4">
      <c r="A7803" s="13"/>
      <c r="B7803" s="13"/>
      <c r="C7803" s="13"/>
      <c r="D7803" s="13"/>
    </row>
    <row r="7804" spans="1:4">
      <c r="A7804" s="13"/>
      <c r="B7804" s="13"/>
      <c r="C7804" s="13"/>
      <c r="D7804" s="13"/>
    </row>
    <row r="7805" spans="1:4">
      <c r="A7805" s="13"/>
      <c r="B7805" s="13"/>
      <c r="C7805" s="13"/>
      <c r="D7805" s="13"/>
    </row>
    <row r="7806" spans="1:4">
      <c r="A7806" s="13"/>
      <c r="B7806" s="13"/>
      <c r="C7806" s="13"/>
      <c r="D7806" s="13"/>
    </row>
    <row r="7807" spans="1:4">
      <c r="A7807" s="13"/>
      <c r="B7807" s="13"/>
      <c r="C7807" s="13"/>
      <c r="D7807" s="13"/>
    </row>
    <row r="7808" spans="1:4">
      <c r="A7808" s="13"/>
      <c r="B7808" s="13"/>
      <c r="C7808" s="13"/>
      <c r="D7808" s="13"/>
    </row>
    <row r="7809" spans="1:4">
      <c r="A7809" s="13"/>
      <c r="B7809" s="13"/>
      <c r="C7809" s="13"/>
      <c r="D7809" s="13"/>
    </row>
    <row r="7810" spans="1:4">
      <c r="A7810" s="13"/>
      <c r="B7810" s="13"/>
      <c r="C7810" s="13"/>
      <c r="D7810" s="13"/>
    </row>
    <row r="7811" spans="1:4">
      <c r="A7811" s="13"/>
      <c r="B7811" s="13"/>
      <c r="C7811" s="13"/>
      <c r="D7811" s="13"/>
    </row>
    <row r="7812" spans="1:4">
      <c r="A7812" s="13"/>
      <c r="B7812" s="13"/>
      <c r="C7812" s="13"/>
      <c r="D7812" s="13"/>
    </row>
    <row r="7813" spans="1:4">
      <c r="A7813" s="13"/>
      <c r="B7813" s="13"/>
      <c r="C7813" s="13"/>
      <c r="D7813" s="13"/>
    </row>
    <row r="7814" spans="1:4">
      <c r="A7814" s="13"/>
      <c r="B7814" s="13"/>
      <c r="C7814" s="13"/>
      <c r="D7814" s="13"/>
    </row>
    <row r="7815" spans="1:4">
      <c r="A7815" s="13"/>
      <c r="B7815" s="13"/>
      <c r="C7815" s="13"/>
      <c r="D7815" s="13"/>
    </row>
    <row r="7816" spans="1:4">
      <c r="A7816" s="13"/>
      <c r="B7816" s="13"/>
      <c r="C7816" s="13"/>
      <c r="D7816" s="13"/>
    </row>
    <row r="7817" spans="1:4">
      <c r="A7817" s="13"/>
      <c r="B7817" s="13"/>
      <c r="C7817" s="13"/>
      <c r="D7817" s="13"/>
    </row>
    <row r="7818" spans="1:4">
      <c r="A7818" s="13"/>
      <c r="B7818" s="13"/>
      <c r="C7818" s="13"/>
      <c r="D7818" s="13"/>
    </row>
    <row r="7819" spans="1:4">
      <c r="A7819" s="13"/>
      <c r="B7819" s="13"/>
      <c r="C7819" s="13"/>
      <c r="D7819" s="13"/>
    </row>
    <row r="7820" spans="1:4">
      <c r="A7820" s="13"/>
      <c r="B7820" s="13"/>
      <c r="C7820" s="13"/>
      <c r="D7820" s="13"/>
    </row>
    <row r="7821" spans="1:4">
      <c r="A7821" s="13"/>
      <c r="B7821" s="13"/>
      <c r="C7821" s="13"/>
      <c r="D7821" s="13"/>
    </row>
    <row r="7822" spans="1:4">
      <c r="A7822" s="13"/>
      <c r="B7822" s="13"/>
      <c r="C7822" s="13"/>
      <c r="D7822" s="13"/>
    </row>
    <row r="7823" spans="1:4">
      <c r="A7823" s="13"/>
      <c r="B7823" s="13"/>
      <c r="C7823" s="13"/>
      <c r="D7823" s="13"/>
    </row>
    <row r="7824" spans="1:4">
      <c r="A7824" s="13"/>
      <c r="B7824" s="13"/>
      <c r="C7824" s="13"/>
      <c r="D7824" s="13"/>
    </row>
    <row r="7825" spans="1:4">
      <c r="A7825" s="13"/>
      <c r="B7825" s="13"/>
      <c r="C7825" s="13"/>
      <c r="D7825" s="13"/>
    </row>
    <row r="7826" spans="1:4">
      <c r="A7826" s="13"/>
      <c r="B7826" s="13"/>
      <c r="C7826" s="13"/>
      <c r="D7826" s="13"/>
    </row>
    <row r="7827" spans="1:4">
      <c r="A7827" s="13"/>
      <c r="B7827" s="13"/>
      <c r="C7827" s="13"/>
      <c r="D7827" s="13"/>
    </row>
    <row r="7828" spans="1:4">
      <c r="A7828" s="13"/>
      <c r="B7828" s="13"/>
      <c r="C7828" s="13"/>
      <c r="D7828" s="13"/>
    </row>
    <row r="7829" spans="1:4">
      <c r="A7829" s="13"/>
      <c r="B7829" s="13"/>
      <c r="C7829" s="13"/>
      <c r="D7829" s="13"/>
    </row>
    <row r="7830" spans="1:4">
      <c r="A7830" s="13"/>
      <c r="B7830" s="13"/>
      <c r="C7830" s="13"/>
      <c r="D7830" s="13"/>
    </row>
    <row r="7831" spans="1:4">
      <c r="A7831" s="13"/>
      <c r="B7831" s="13"/>
      <c r="C7831" s="13"/>
      <c r="D7831" s="13"/>
    </row>
    <row r="7832" spans="1:4">
      <c r="A7832" s="13"/>
      <c r="B7832" s="13"/>
      <c r="C7832" s="13"/>
      <c r="D7832" s="13"/>
    </row>
    <row r="7833" spans="1:4">
      <c r="A7833" s="13"/>
      <c r="B7833" s="13"/>
      <c r="C7833" s="13"/>
      <c r="D7833" s="13"/>
    </row>
    <row r="7834" spans="1:4">
      <c r="A7834" s="13"/>
      <c r="B7834" s="13"/>
      <c r="C7834" s="13"/>
      <c r="D7834" s="13"/>
    </row>
    <row r="7835" spans="1:4">
      <c r="A7835" s="13"/>
      <c r="B7835" s="13"/>
      <c r="C7835" s="13"/>
      <c r="D7835" s="13"/>
    </row>
    <row r="7836" spans="1:4">
      <c r="A7836" s="13"/>
      <c r="B7836" s="13"/>
      <c r="C7836" s="13"/>
      <c r="D7836" s="13"/>
    </row>
    <row r="7837" spans="1:4">
      <c r="A7837" s="13"/>
      <c r="B7837" s="13"/>
      <c r="C7837" s="13"/>
      <c r="D7837" s="13"/>
    </row>
    <row r="7838" spans="1:4">
      <c r="A7838" s="13"/>
      <c r="B7838" s="13"/>
      <c r="C7838" s="13"/>
      <c r="D7838" s="13"/>
    </row>
    <row r="7839" spans="1:4">
      <c r="A7839" s="13"/>
      <c r="B7839" s="13"/>
      <c r="C7839" s="13"/>
      <c r="D7839" s="13"/>
    </row>
    <row r="7840" spans="1:4">
      <c r="A7840" s="13"/>
      <c r="B7840" s="13"/>
      <c r="C7840" s="13"/>
      <c r="D7840" s="13"/>
    </row>
    <row r="7841" spans="1:4">
      <c r="A7841" s="13"/>
      <c r="B7841" s="13"/>
      <c r="C7841" s="13"/>
      <c r="D7841" s="13"/>
    </row>
    <row r="7842" spans="1:4">
      <c r="A7842" s="13"/>
      <c r="B7842" s="13"/>
      <c r="C7842" s="13"/>
      <c r="D7842" s="13"/>
    </row>
    <row r="7843" spans="1:4">
      <c r="A7843" s="13"/>
      <c r="B7843" s="13"/>
      <c r="C7843" s="13"/>
      <c r="D7843" s="13"/>
    </row>
    <row r="7844" spans="1:4">
      <c r="A7844" s="13"/>
      <c r="B7844" s="13"/>
      <c r="C7844" s="13"/>
      <c r="D7844" s="13"/>
    </row>
    <row r="7845" spans="1:4">
      <c r="A7845" s="13"/>
      <c r="B7845" s="13"/>
      <c r="C7845" s="13"/>
      <c r="D7845" s="13"/>
    </row>
    <row r="7846" spans="1:4">
      <c r="A7846" s="13"/>
      <c r="B7846" s="13"/>
      <c r="C7846" s="13"/>
      <c r="D7846" s="13"/>
    </row>
    <row r="7847" spans="1:4">
      <c r="A7847" s="13"/>
      <c r="B7847" s="13"/>
      <c r="C7847" s="13"/>
      <c r="D7847" s="13"/>
    </row>
    <row r="7848" spans="1:4">
      <c r="A7848" s="13"/>
      <c r="B7848" s="13"/>
      <c r="C7848" s="13"/>
      <c r="D7848" s="13"/>
    </row>
    <row r="7849" spans="1:4">
      <c r="A7849" s="13"/>
      <c r="B7849" s="13"/>
      <c r="C7849" s="13"/>
      <c r="D7849" s="13"/>
    </row>
    <row r="7850" spans="1:4">
      <c r="A7850" s="13"/>
      <c r="B7850" s="13"/>
      <c r="C7850" s="13"/>
      <c r="D7850" s="13"/>
    </row>
    <row r="7851" spans="1:4">
      <c r="A7851" s="13"/>
      <c r="B7851" s="13"/>
      <c r="C7851" s="13"/>
      <c r="D7851" s="13"/>
    </row>
    <row r="7852" spans="1:4">
      <c r="A7852" s="13"/>
      <c r="B7852" s="13"/>
      <c r="C7852" s="13"/>
      <c r="D7852" s="13"/>
    </row>
    <row r="7853" spans="1:4">
      <c r="A7853" s="13"/>
      <c r="B7853" s="13"/>
      <c r="C7853" s="13"/>
      <c r="D7853" s="13"/>
    </row>
    <row r="7854" spans="1:4">
      <c r="A7854" s="13"/>
      <c r="B7854" s="13"/>
      <c r="C7854" s="13"/>
      <c r="D7854" s="13"/>
    </row>
    <row r="7855" spans="1:4">
      <c r="A7855" s="13"/>
      <c r="B7855" s="13"/>
      <c r="C7855" s="13"/>
      <c r="D7855" s="13"/>
    </row>
    <row r="7856" spans="1:4">
      <c r="A7856" s="13"/>
      <c r="B7856" s="13"/>
      <c r="C7856" s="13"/>
      <c r="D7856" s="13"/>
    </row>
    <row r="7857" spans="1:4">
      <c r="A7857" s="13"/>
      <c r="B7857" s="13"/>
      <c r="C7857" s="13"/>
      <c r="D7857" s="13"/>
    </row>
    <row r="7858" spans="1:4">
      <c r="A7858" s="13"/>
      <c r="B7858" s="13"/>
      <c r="C7858" s="13"/>
      <c r="D7858" s="13"/>
    </row>
    <row r="7859" spans="1:4">
      <c r="A7859" s="13"/>
      <c r="B7859" s="13"/>
      <c r="C7859" s="13"/>
      <c r="D7859" s="13"/>
    </row>
    <row r="7860" spans="1:4">
      <c r="A7860" s="13"/>
      <c r="B7860" s="13"/>
      <c r="C7860" s="13"/>
      <c r="D7860" s="13"/>
    </row>
    <row r="7861" spans="1:4">
      <c r="A7861" s="13"/>
      <c r="B7861" s="13"/>
      <c r="C7861" s="13"/>
      <c r="D7861" s="13"/>
    </row>
    <row r="7862" spans="1:4">
      <c r="A7862" s="13"/>
      <c r="B7862" s="13"/>
      <c r="C7862" s="13"/>
      <c r="D7862" s="13"/>
    </row>
    <row r="7863" spans="1:4">
      <c r="A7863" s="13"/>
      <c r="B7863" s="13"/>
      <c r="C7863" s="13"/>
      <c r="D7863" s="13"/>
    </row>
    <row r="7864" spans="1:4">
      <c r="A7864" s="13"/>
      <c r="B7864" s="13"/>
      <c r="C7864" s="13"/>
      <c r="D7864" s="13"/>
    </row>
    <row r="7865" spans="1:4">
      <c r="A7865" s="13"/>
      <c r="B7865" s="13"/>
      <c r="C7865" s="13"/>
      <c r="D7865" s="13"/>
    </row>
    <row r="7866" spans="1:4">
      <c r="A7866" s="13"/>
      <c r="B7866" s="13"/>
      <c r="C7866" s="13"/>
      <c r="D7866" s="13"/>
    </row>
    <row r="7867" spans="1:4">
      <c r="A7867" s="13"/>
      <c r="B7867" s="13"/>
      <c r="C7867" s="13"/>
      <c r="D7867" s="13"/>
    </row>
    <row r="7868" spans="1:4">
      <c r="A7868" s="13"/>
      <c r="B7868" s="13"/>
      <c r="C7868" s="13"/>
      <c r="D7868" s="13"/>
    </row>
    <row r="7869" spans="1:4">
      <c r="A7869" s="13"/>
      <c r="B7869" s="13"/>
      <c r="C7869" s="13"/>
      <c r="D7869" s="13"/>
    </row>
    <row r="7870" spans="1:4">
      <c r="A7870" s="13"/>
      <c r="B7870" s="13"/>
      <c r="C7870" s="13"/>
      <c r="D7870" s="13"/>
    </row>
    <row r="7871" spans="1:4">
      <c r="A7871" s="13"/>
      <c r="B7871" s="13"/>
      <c r="C7871" s="13"/>
      <c r="D7871" s="13"/>
    </row>
    <row r="7872" spans="1:4">
      <c r="A7872" s="13"/>
      <c r="B7872" s="13"/>
      <c r="C7872" s="13"/>
      <c r="D7872" s="13"/>
    </row>
    <row r="7873" spans="1:4">
      <c r="A7873" s="13"/>
      <c r="B7873" s="13"/>
      <c r="C7873" s="13"/>
      <c r="D7873" s="13"/>
    </row>
    <row r="7874" spans="1:4">
      <c r="A7874" s="13"/>
      <c r="B7874" s="13"/>
      <c r="C7874" s="13"/>
      <c r="D7874" s="13"/>
    </row>
    <row r="7875" spans="1:4">
      <c r="A7875" s="13"/>
      <c r="B7875" s="13"/>
      <c r="C7875" s="13"/>
      <c r="D7875" s="13"/>
    </row>
    <row r="7876" spans="1:4">
      <c r="A7876" s="13"/>
      <c r="B7876" s="13"/>
      <c r="C7876" s="13"/>
      <c r="D7876" s="13"/>
    </row>
    <row r="7877" spans="1:4">
      <c r="A7877" s="13"/>
      <c r="B7877" s="13"/>
      <c r="C7877" s="13"/>
      <c r="D7877" s="13"/>
    </row>
    <row r="7878" spans="1:4">
      <c r="A7878" s="13"/>
      <c r="B7878" s="13"/>
      <c r="C7878" s="13"/>
      <c r="D7878" s="13"/>
    </row>
    <row r="7879" spans="1:4">
      <c r="A7879" s="13"/>
      <c r="B7879" s="13"/>
      <c r="C7879" s="13"/>
      <c r="D7879" s="13"/>
    </row>
    <row r="7880" spans="1:4">
      <c r="A7880" s="13"/>
      <c r="B7880" s="13"/>
      <c r="C7880" s="13"/>
      <c r="D7880" s="13"/>
    </row>
    <row r="7881" spans="1:4">
      <c r="A7881" s="13"/>
      <c r="B7881" s="13"/>
      <c r="C7881" s="13"/>
      <c r="D7881" s="13"/>
    </row>
    <row r="7882" spans="1:4">
      <c r="A7882" s="13"/>
      <c r="B7882" s="13"/>
      <c r="C7882" s="13"/>
      <c r="D7882" s="13"/>
    </row>
    <row r="7883" spans="1:4">
      <c r="A7883" s="13"/>
      <c r="B7883" s="13"/>
      <c r="C7883" s="13"/>
      <c r="D7883" s="13"/>
    </row>
    <row r="7884" spans="1:4">
      <c r="A7884" s="13"/>
      <c r="B7884" s="13"/>
      <c r="C7884" s="13"/>
      <c r="D7884" s="13"/>
    </row>
    <row r="7885" spans="1:4">
      <c r="A7885" s="13"/>
      <c r="B7885" s="13"/>
      <c r="C7885" s="13"/>
      <c r="D7885" s="13"/>
    </row>
    <row r="7886" spans="1:4">
      <c r="A7886" s="13"/>
      <c r="B7886" s="13"/>
      <c r="C7886" s="13"/>
      <c r="D7886" s="13"/>
    </row>
    <row r="7887" spans="1:4">
      <c r="A7887" s="13"/>
      <c r="B7887" s="13"/>
      <c r="C7887" s="13"/>
      <c r="D7887" s="13"/>
    </row>
    <row r="7888" spans="1:4">
      <c r="A7888" s="13"/>
      <c r="B7888" s="13"/>
      <c r="C7888" s="13"/>
      <c r="D7888" s="13"/>
    </row>
    <row r="7889" spans="1:4">
      <c r="A7889" s="13"/>
      <c r="B7889" s="13"/>
      <c r="C7889" s="13"/>
      <c r="D7889" s="13"/>
    </row>
    <row r="7890" spans="1:4">
      <c r="A7890" s="13"/>
      <c r="B7890" s="13"/>
      <c r="C7890" s="13"/>
      <c r="D7890" s="13"/>
    </row>
    <row r="7891" spans="1:4">
      <c r="A7891" s="13"/>
      <c r="B7891" s="13"/>
      <c r="C7891" s="13"/>
      <c r="D7891" s="13"/>
    </row>
    <row r="7892" spans="1:4">
      <c r="A7892" s="13"/>
      <c r="B7892" s="13"/>
      <c r="C7892" s="13"/>
      <c r="D7892" s="13"/>
    </row>
    <row r="7893" spans="1:4">
      <c r="A7893" s="13"/>
      <c r="B7893" s="13"/>
      <c r="C7893" s="13"/>
      <c r="D7893" s="13"/>
    </row>
    <row r="7894" spans="1:4">
      <c r="A7894" s="13"/>
      <c r="B7894" s="13"/>
      <c r="C7894" s="13"/>
      <c r="D7894" s="13"/>
    </row>
    <row r="7895" spans="1:4">
      <c r="A7895" s="13"/>
      <c r="B7895" s="13"/>
      <c r="C7895" s="13"/>
      <c r="D7895" s="13"/>
    </row>
    <row r="7896" spans="1:4">
      <c r="A7896" s="13"/>
      <c r="B7896" s="13"/>
      <c r="C7896" s="13"/>
      <c r="D7896" s="13"/>
    </row>
    <row r="7897" spans="1:4">
      <c r="A7897" s="13"/>
      <c r="B7897" s="13"/>
      <c r="C7897" s="13"/>
      <c r="D7897" s="13"/>
    </row>
    <row r="7898" spans="1:4">
      <c r="A7898" s="13"/>
      <c r="B7898" s="13"/>
      <c r="C7898" s="13"/>
      <c r="D7898" s="13"/>
    </row>
    <row r="7899" spans="1:4">
      <c r="A7899" s="13"/>
      <c r="B7899" s="13"/>
      <c r="C7899" s="13"/>
      <c r="D7899" s="13"/>
    </row>
    <row r="7900" spans="1:4">
      <c r="A7900" s="13"/>
      <c r="B7900" s="13"/>
      <c r="C7900" s="13"/>
      <c r="D7900" s="13"/>
    </row>
    <row r="7901" spans="1:4">
      <c r="A7901" s="13"/>
      <c r="B7901" s="13"/>
      <c r="C7901" s="13"/>
      <c r="D7901" s="13"/>
    </row>
    <row r="7902" spans="1:4">
      <c r="A7902" s="13"/>
      <c r="B7902" s="13"/>
      <c r="C7902" s="13"/>
      <c r="D7902" s="13"/>
    </row>
    <row r="7903" spans="1:4">
      <c r="A7903" s="13"/>
      <c r="B7903" s="13"/>
      <c r="C7903" s="13"/>
      <c r="D7903" s="13"/>
    </row>
    <row r="7904" spans="1:4">
      <c r="A7904" s="13"/>
      <c r="B7904" s="13"/>
      <c r="C7904" s="13"/>
      <c r="D7904" s="13"/>
    </row>
    <row r="7905" spans="1:4">
      <c r="A7905" s="13"/>
      <c r="B7905" s="13"/>
      <c r="C7905" s="13"/>
      <c r="D7905" s="13"/>
    </row>
    <row r="7906" spans="1:4">
      <c r="A7906" s="13"/>
      <c r="B7906" s="13"/>
      <c r="C7906" s="13"/>
      <c r="D7906" s="13"/>
    </row>
    <row r="7907" spans="1:4">
      <c r="A7907" s="13"/>
      <c r="B7907" s="13"/>
      <c r="C7907" s="13"/>
      <c r="D7907" s="13"/>
    </row>
    <row r="7908" spans="1:4">
      <c r="A7908" s="13"/>
      <c r="B7908" s="13"/>
      <c r="C7908" s="13"/>
      <c r="D7908" s="13"/>
    </row>
    <row r="7909" spans="1:4">
      <c r="A7909" s="13"/>
      <c r="B7909" s="13"/>
      <c r="C7909" s="13"/>
      <c r="D7909" s="13"/>
    </row>
    <row r="7910" spans="1:4">
      <c r="A7910" s="13"/>
      <c r="B7910" s="13"/>
      <c r="C7910" s="13"/>
      <c r="D7910" s="13"/>
    </row>
    <row r="7911" spans="1:4">
      <c r="A7911" s="13"/>
      <c r="B7911" s="13"/>
      <c r="C7911" s="13"/>
      <c r="D7911" s="13"/>
    </row>
    <row r="7912" spans="1:4">
      <c r="A7912" s="13"/>
      <c r="B7912" s="13"/>
      <c r="C7912" s="13"/>
      <c r="D7912" s="13"/>
    </row>
    <row r="7913" spans="1:4">
      <c r="A7913" s="13"/>
      <c r="B7913" s="13"/>
      <c r="C7913" s="13"/>
      <c r="D7913" s="13"/>
    </row>
    <row r="7914" spans="1:4">
      <c r="A7914" s="13"/>
      <c r="B7914" s="13"/>
      <c r="C7914" s="13"/>
      <c r="D7914" s="13"/>
    </row>
    <row r="7915" spans="1:4">
      <c r="A7915" s="13"/>
      <c r="B7915" s="13"/>
      <c r="C7915" s="13"/>
      <c r="D7915" s="13"/>
    </row>
    <row r="7916" spans="1:4">
      <c r="A7916" s="13"/>
      <c r="B7916" s="13"/>
      <c r="C7916" s="13"/>
      <c r="D7916" s="13"/>
    </row>
    <row r="7917" spans="1:4">
      <c r="A7917" s="13"/>
      <c r="B7917" s="13"/>
      <c r="C7917" s="13"/>
      <c r="D7917" s="13"/>
    </row>
    <row r="7918" spans="1:4">
      <c r="A7918" s="13"/>
      <c r="B7918" s="13"/>
      <c r="C7918" s="13"/>
      <c r="D7918" s="13"/>
    </row>
    <row r="7919" spans="1:4">
      <c r="A7919" s="13"/>
      <c r="B7919" s="13"/>
      <c r="C7919" s="13"/>
      <c r="D7919" s="13"/>
    </row>
    <row r="7920" spans="1:4">
      <c r="A7920" s="13"/>
      <c r="B7920" s="13"/>
      <c r="C7920" s="13"/>
      <c r="D7920" s="13"/>
    </row>
    <row r="7921" spans="1:4">
      <c r="A7921" s="13"/>
      <c r="B7921" s="13"/>
      <c r="C7921" s="13"/>
      <c r="D7921" s="13"/>
    </row>
    <row r="7922" spans="1:4">
      <c r="A7922" s="13"/>
      <c r="B7922" s="13"/>
      <c r="C7922" s="13"/>
      <c r="D7922" s="13"/>
    </row>
    <row r="7923" spans="1:4">
      <c r="A7923" s="13"/>
      <c r="B7923" s="13"/>
      <c r="C7923" s="13"/>
      <c r="D7923" s="13"/>
    </row>
    <row r="7924" spans="1:4">
      <c r="A7924" s="13"/>
      <c r="B7924" s="13"/>
      <c r="C7924" s="13"/>
      <c r="D7924" s="13"/>
    </row>
    <row r="7925" spans="1:4">
      <c r="A7925" s="13"/>
      <c r="B7925" s="13"/>
      <c r="C7925" s="13"/>
      <c r="D7925" s="13"/>
    </row>
    <row r="7926" spans="1:4">
      <c r="A7926" s="13"/>
      <c r="B7926" s="13"/>
      <c r="C7926" s="13"/>
      <c r="D7926" s="13"/>
    </row>
    <row r="7927" spans="1:4">
      <c r="A7927" s="13"/>
      <c r="B7927" s="13"/>
      <c r="C7927" s="13"/>
      <c r="D7927" s="13"/>
    </row>
    <row r="7928" spans="1:4">
      <c r="A7928" s="13"/>
      <c r="B7928" s="13"/>
      <c r="C7928" s="13"/>
      <c r="D7928" s="13"/>
    </row>
    <row r="7929" spans="1:4">
      <c r="A7929" s="13"/>
      <c r="B7929" s="13"/>
      <c r="C7929" s="13"/>
      <c r="D7929" s="13"/>
    </row>
    <row r="7930" spans="1:4">
      <c r="A7930" s="13"/>
      <c r="B7930" s="13"/>
      <c r="C7930" s="13"/>
      <c r="D7930" s="13"/>
    </row>
    <row r="7931" spans="1:4">
      <c r="A7931" s="13"/>
      <c r="B7931" s="13"/>
      <c r="C7931" s="13"/>
      <c r="D7931" s="13"/>
    </row>
    <row r="7932" spans="1:4">
      <c r="A7932" s="13"/>
      <c r="B7932" s="13"/>
      <c r="C7932" s="13"/>
      <c r="D7932" s="13"/>
    </row>
    <row r="7933" spans="1:4">
      <c r="A7933" s="13"/>
      <c r="B7933" s="13"/>
      <c r="C7933" s="13"/>
      <c r="D7933" s="13"/>
    </row>
    <row r="7934" spans="1:4">
      <c r="A7934" s="13"/>
      <c r="B7934" s="13"/>
      <c r="C7934" s="13"/>
      <c r="D7934" s="13"/>
    </row>
    <row r="7935" spans="1:4">
      <c r="A7935" s="13"/>
      <c r="B7935" s="13"/>
      <c r="C7935" s="13"/>
      <c r="D7935" s="13"/>
    </row>
    <row r="7936" spans="1:4">
      <c r="A7936" s="13"/>
      <c r="B7936" s="13"/>
      <c r="C7936" s="13"/>
      <c r="D7936" s="13"/>
    </row>
    <row r="7937" spans="1:4">
      <c r="A7937" s="13"/>
      <c r="B7937" s="13"/>
      <c r="C7937" s="13"/>
      <c r="D7937" s="13"/>
    </row>
    <row r="7938" spans="1:4">
      <c r="A7938" s="13"/>
      <c r="B7938" s="13"/>
      <c r="C7938" s="13"/>
      <c r="D7938" s="13"/>
    </row>
    <row r="7939" spans="1:4">
      <c r="A7939" s="13"/>
      <c r="B7939" s="13"/>
      <c r="C7939" s="13"/>
      <c r="D7939" s="13"/>
    </row>
    <row r="7940" spans="1:4">
      <c r="A7940" s="13"/>
      <c r="B7940" s="13"/>
      <c r="C7940" s="13"/>
      <c r="D7940" s="13"/>
    </row>
    <row r="7941" spans="1:4">
      <c r="A7941" s="13"/>
      <c r="B7941" s="13"/>
      <c r="C7941" s="13"/>
      <c r="D7941" s="13"/>
    </row>
    <row r="7942" spans="1:4">
      <c r="A7942" s="13"/>
      <c r="B7942" s="13"/>
      <c r="C7942" s="13"/>
      <c r="D7942" s="13"/>
    </row>
    <row r="7943" spans="1:4">
      <c r="A7943" s="13"/>
      <c r="B7943" s="13"/>
      <c r="C7943" s="13"/>
      <c r="D7943" s="13"/>
    </row>
    <row r="7944" spans="1:4">
      <c r="A7944" s="13"/>
      <c r="B7944" s="13"/>
      <c r="C7944" s="13"/>
      <c r="D7944" s="13"/>
    </row>
    <row r="7945" spans="1:4">
      <c r="A7945" s="13"/>
      <c r="B7945" s="13"/>
      <c r="C7945" s="13"/>
      <c r="D7945" s="13"/>
    </row>
    <row r="7946" spans="1:4">
      <c r="A7946" s="13"/>
      <c r="B7946" s="13"/>
      <c r="C7946" s="13"/>
      <c r="D7946" s="13"/>
    </row>
    <row r="7947" spans="1:4">
      <c r="A7947" s="13"/>
      <c r="B7947" s="13"/>
      <c r="C7947" s="13"/>
      <c r="D7947" s="13"/>
    </row>
    <row r="7948" spans="1:4">
      <c r="A7948" s="13"/>
      <c r="B7948" s="13"/>
      <c r="C7948" s="13"/>
      <c r="D7948" s="13"/>
    </row>
    <row r="7949" spans="1:4">
      <c r="A7949" s="13"/>
      <c r="B7949" s="13"/>
      <c r="C7949" s="13"/>
      <c r="D7949" s="13"/>
    </row>
    <row r="7950" spans="1:4">
      <c r="A7950" s="13"/>
      <c r="B7950" s="13"/>
      <c r="C7950" s="13"/>
      <c r="D7950" s="13"/>
    </row>
    <row r="7951" spans="1:4">
      <c r="A7951" s="13"/>
      <c r="B7951" s="13"/>
      <c r="C7951" s="13"/>
      <c r="D7951" s="13"/>
    </row>
    <row r="7952" spans="1:4">
      <c r="A7952" s="13"/>
      <c r="B7952" s="13"/>
      <c r="C7952" s="13"/>
      <c r="D7952" s="13"/>
    </row>
    <row r="7953" spans="1:4">
      <c r="A7953" s="13"/>
      <c r="B7953" s="13"/>
      <c r="C7953" s="13"/>
      <c r="D7953" s="13"/>
    </row>
    <row r="7954" spans="1:4">
      <c r="A7954" s="13"/>
      <c r="B7954" s="13"/>
      <c r="C7954" s="13"/>
      <c r="D7954" s="13"/>
    </row>
    <row r="7955" spans="1:4">
      <c r="A7955" s="13"/>
      <c r="B7955" s="13"/>
      <c r="C7955" s="13"/>
      <c r="D7955" s="13"/>
    </row>
    <row r="7956" spans="1:4">
      <c r="A7956" s="13"/>
      <c r="B7956" s="13"/>
      <c r="C7956" s="13"/>
      <c r="D7956" s="13"/>
    </row>
    <row r="7957" spans="1:4">
      <c r="A7957" s="13"/>
      <c r="B7957" s="13"/>
      <c r="C7957" s="13"/>
      <c r="D7957" s="13"/>
    </row>
    <row r="7958" spans="1:4">
      <c r="A7958" s="13"/>
      <c r="B7958" s="13"/>
      <c r="C7958" s="13"/>
      <c r="D7958" s="13"/>
    </row>
    <row r="7959" spans="1:4">
      <c r="A7959" s="13"/>
      <c r="B7959" s="13"/>
      <c r="C7959" s="13"/>
      <c r="D7959" s="13"/>
    </row>
    <row r="7960" spans="1:4">
      <c r="A7960" s="13"/>
      <c r="B7960" s="13"/>
      <c r="C7960" s="13"/>
      <c r="D7960" s="13"/>
    </row>
    <row r="7961" spans="1:4">
      <c r="A7961" s="13"/>
      <c r="B7961" s="13"/>
      <c r="C7961" s="13"/>
      <c r="D7961" s="13"/>
    </row>
    <row r="7962" spans="1:4">
      <c r="A7962" s="13"/>
      <c r="B7962" s="13"/>
      <c r="C7962" s="13"/>
      <c r="D7962" s="13"/>
    </row>
    <row r="7963" spans="1:4">
      <c r="A7963" s="13"/>
      <c r="B7963" s="13"/>
      <c r="C7963" s="13"/>
      <c r="D7963" s="13"/>
    </row>
    <row r="7964" spans="1:4">
      <c r="A7964" s="13"/>
      <c r="B7964" s="13"/>
      <c r="C7964" s="13"/>
      <c r="D7964" s="13"/>
    </row>
    <row r="7965" spans="1:4">
      <c r="A7965" s="13"/>
      <c r="B7965" s="13"/>
      <c r="C7965" s="13"/>
      <c r="D7965" s="13"/>
    </row>
    <row r="7966" spans="1:4">
      <c r="A7966" s="13"/>
      <c r="B7966" s="13"/>
      <c r="C7966" s="13"/>
      <c r="D7966" s="13"/>
    </row>
    <row r="7967" spans="1:4">
      <c r="A7967" s="13"/>
      <c r="B7967" s="13"/>
      <c r="C7967" s="13"/>
      <c r="D7967" s="13"/>
    </row>
    <row r="7968" spans="1:4">
      <c r="A7968" s="13"/>
      <c r="B7968" s="13"/>
      <c r="C7968" s="13"/>
      <c r="D7968" s="13"/>
    </row>
    <row r="7969" spans="1:4">
      <c r="A7969" s="13"/>
      <c r="B7969" s="13"/>
      <c r="C7969" s="13"/>
      <c r="D7969" s="13"/>
    </row>
    <row r="7970" spans="1:4">
      <c r="A7970" s="13"/>
      <c r="B7970" s="13"/>
      <c r="C7970" s="13"/>
      <c r="D7970" s="13"/>
    </row>
    <row r="7971" spans="1:4">
      <c r="A7971" s="13"/>
      <c r="B7971" s="13"/>
      <c r="C7971" s="13"/>
      <c r="D7971" s="13"/>
    </row>
    <row r="7972" spans="1:4">
      <c r="A7972" s="13"/>
      <c r="B7972" s="13"/>
      <c r="C7972" s="13"/>
      <c r="D7972" s="13"/>
    </row>
    <row r="7973" spans="1:4">
      <c r="A7973" s="13"/>
      <c r="B7973" s="13"/>
      <c r="C7973" s="13"/>
      <c r="D7973" s="13"/>
    </row>
    <row r="7974" spans="1:4">
      <c r="A7974" s="13"/>
      <c r="B7974" s="13"/>
      <c r="C7974" s="13"/>
      <c r="D7974" s="13"/>
    </row>
    <row r="7975" spans="1:4">
      <c r="A7975" s="13"/>
      <c r="B7975" s="13"/>
      <c r="C7975" s="13"/>
      <c r="D7975" s="13"/>
    </row>
    <row r="7976" spans="1:4">
      <c r="A7976" s="13"/>
      <c r="B7976" s="13"/>
      <c r="C7976" s="13"/>
      <c r="D7976" s="13"/>
    </row>
    <row r="7977" spans="1:4">
      <c r="A7977" s="13"/>
      <c r="B7977" s="13"/>
      <c r="C7977" s="13"/>
      <c r="D7977" s="13"/>
    </row>
    <row r="7978" spans="1:4">
      <c r="A7978" s="13"/>
      <c r="B7978" s="13"/>
      <c r="C7978" s="13"/>
      <c r="D7978" s="13"/>
    </row>
    <row r="7979" spans="1:4">
      <c r="A7979" s="13"/>
      <c r="B7979" s="13"/>
      <c r="C7979" s="13"/>
      <c r="D7979" s="13"/>
    </row>
    <row r="7980" spans="1:4">
      <c r="A7980" s="13"/>
      <c r="B7980" s="13"/>
      <c r="C7980" s="13"/>
      <c r="D7980" s="13"/>
    </row>
    <row r="7981" spans="1:4">
      <c r="A7981" s="13"/>
      <c r="B7981" s="13"/>
      <c r="C7981" s="13"/>
      <c r="D7981" s="13"/>
    </row>
    <row r="7982" spans="1:4">
      <c r="A7982" s="13"/>
      <c r="B7982" s="13"/>
      <c r="C7982" s="13"/>
      <c r="D7982" s="13"/>
    </row>
    <row r="7983" spans="1:4">
      <c r="A7983" s="13"/>
      <c r="B7983" s="13"/>
      <c r="C7983" s="13"/>
      <c r="D7983" s="13"/>
    </row>
    <row r="7984" spans="1:4">
      <c r="A7984" s="13"/>
      <c r="B7984" s="13"/>
      <c r="C7984" s="13"/>
      <c r="D7984" s="13"/>
    </row>
    <row r="7985" spans="1:4">
      <c r="A7985" s="13"/>
      <c r="B7985" s="13"/>
      <c r="C7985" s="13"/>
      <c r="D7985" s="13"/>
    </row>
    <row r="7986" spans="1:4">
      <c r="A7986" s="13"/>
      <c r="B7986" s="13"/>
      <c r="C7986" s="13"/>
      <c r="D7986" s="13"/>
    </row>
    <row r="7987" spans="1:4">
      <c r="A7987" s="13"/>
      <c r="B7987" s="13"/>
      <c r="C7987" s="13"/>
      <c r="D7987" s="13"/>
    </row>
    <row r="7988" spans="1:4">
      <c r="A7988" s="13"/>
      <c r="B7988" s="13"/>
      <c r="C7988" s="13"/>
      <c r="D7988" s="13"/>
    </row>
    <row r="7989" spans="1:4">
      <c r="A7989" s="13"/>
      <c r="B7989" s="13"/>
      <c r="C7989" s="13"/>
      <c r="D7989" s="13"/>
    </row>
    <row r="7990" spans="1:4">
      <c r="A7990" s="13"/>
      <c r="B7990" s="13"/>
      <c r="C7990" s="13"/>
      <c r="D7990" s="13"/>
    </row>
    <row r="7991" spans="1:4">
      <c r="A7991" s="13"/>
      <c r="B7991" s="13"/>
      <c r="C7991" s="13"/>
      <c r="D7991" s="13"/>
    </row>
    <row r="7992" spans="1:4">
      <c r="A7992" s="13"/>
      <c r="B7992" s="13"/>
      <c r="C7992" s="13"/>
      <c r="D7992" s="13"/>
    </row>
    <row r="7993" spans="1:4">
      <c r="A7993" s="13"/>
      <c r="B7993" s="13"/>
      <c r="C7993" s="13"/>
      <c r="D7993" s="13"/>
    </row>
    <row r="7994" spans="1:4">
      <c r="A7994" s="13"/>
      <c r="B7994" s="13"/>
      <c r="C7994" s="13"/>
      <c r="D7994" s="13"/>
    </row>
    <row r="7995" spans="1:4">
      <c r="A7995" s="13"/>
      <c r="B7995" s="13"/>
      <c r="C7995" s="13"/>
      <c r="D7995" s="13"/>
    </row>
    <row r="7996" spans="1:4">
      <c r="A7996" s="13"/>
      <c r="B7996" s="13"/>
      <c r="C7996" s="13"/>
      <c r="D7996" s="13"/>
    </row>
    <row r="7997" spans="1:4">
      <c r="A7997" s="13"/>
      <c r="B7997" s="13"/>
      <c r="C7997" s="13"/>
      <c r="D7997" s="13"/>
    </row>
    <row r="7998" spans="1:4">
      <c r="A7998" s="13"/>
      <c r="B7998" s="13"/>
      <c r="C7998" s="13"/>
      <c r="D7998" s="13"/>
    </row>
    <row r="7999" spans="1:4">
      <c r="A7999" s="13"/>
      <c r="B7999" s="13"/>
      <c r="C7999" s="13"/>
      <c r="D7999" s="13"/>
    </row>
    <row r="8000" spans="1:4">
      <c r="A8000" s="13"/>
      <c r="B8000" s="13"/>
      <c r="C8000" s="13"/>
      <c r="D8000" s="13"/>
    </row>
    <row r="8001" spans="1:4">
      <c r="A8001" s="13"/>
      <c r="B8001" s="13"/>
      <c r="C8001" s="13"/>
      <c r="D8001" s="13"/>
    </row>
    <row r="8002" spans="1:4">
      <c r="A8002" s="13"/>
      <c r="B8002" s="13"/>
      <c r="C8002" s="13"/>
      <c r="D8002" s="13"/>
    </row>
    <row r="8003" spans="1:4">
      <c r="A8003" s="13"/>
      <c r="B8003" s="13"/>
      <c r="C8003" s="13"/>
      <c r="D8003" s="13"/>
    </row>
    <row r="8004" spans="1:4">
      <c r="A8004" s="13"/>
      <c r="B8004" s="13"/>
      <c r="C8004" s="13"/>
      <c r="D8004" s="13"/>
    </row>
    <row r="8005" spans="1:4">
      <c r="A8005" s="13"/>
      <c r="B8005" s="13"/>
      <c r="C8005" s="13"/>
      <c r="D8005" s="13"/>
    </row>
    <row r="8006" spans="1:4">
      <c r="A8006" s="13"/>
      <c r="B8006" s="13"/>
      <c r="C8006" s="13"/>
      <c r="D8006" s="13"/>
    </row>
    <row r="8007" spans="1:4">
      <c r="A8007" s="13"/>
      <c r="B8007" s="13"/>
      <c r="C8007" s="13"/>
      <c r="D8007" s="13"/>
    </row>
    <row r="8008" spans="1:4">
      <c r="A8008" s="13"/>
      <c r="B8008" s="13"/>
      <c r="C8008" s="13"/>
      <c r="D8008" s="13"/>
    </row>
    <row r="8009" spans="1:4">
      <c r="A8009" s="13"/>
      <c r="B8009" s="13"/>
      <c r="C8009" s="13"/>
      <c r="D8009" s="13"/>
    </row>
    <row r="8010" spans="1:4">
      <c r="A8010" s="13"/>
      <c r="B8010" s="13"/>
      <c r="C8010" s="13"/>
      <c r="D8010" s="13"/>
    </row>
    <row r="8011" spans="1:4">
      <c r="A8011" s="13"/>
      <c r="B8011" s="13"/>
      <c r="C8011" s="13"/>
      <c r="D8011" s="13"/>
    </row>
    <row r="8012" spans="1:4">
      <c r="A8012" s="13"/>
      <c r="B8012" s="13"/>
      <c r="C8012" s="13"/>
      <c r="D8012" s="13"/>
    </row>
    <row r="8013" spans="1:4">
      <c r="A8013" s="13"/>
      <c r="B8013" s="13"/>
      <c r="C8013" s="13"/>
      <c r="D8013" s="13"/>
    </row>
    <row r="8014" spans="1:4">
      <c r="A8014" s="13"/>
      <c r="B8014" s="13"/>
      <c r="C8014" s="13"/>
      <c r="D8014" s="13"/>
    </row>
    <row r="8015" spans="1:4">
      <c r="A8015" s="13"/>
      <c r="B8015" s="13"/>
      <c r="C8015" s="13"/>
      <c r="D8015" s="13"/>
    </row>
    <row r="8016" spans="1:4">
      <c r="A8016" s="13"/>
      <c r="B8016" s="13"/>
      <c r="C8016" s="13"/>
      <c r="D8016" s="13"/>
    </row>
    <row r="8017" spans="1:4">
      <c r="A8017" s="13"/>
      <c r="B8017" s="13"/>
      <c r="C8017" s="13"/>
      <c r="D8017" s="13"/>
    </row>
    <row r="8018" spans="1:4">
      <c r="A8018" s="13"/>
      <c r="B8018" s="13"/>
      <c r="C8018" s="13"/>
      <c r="D8018" s="13"/>
    </row>
    <row r="8019" spans="1:4">
      <c r="A8019" s="13"/>
      <c r="B8019" s="13"/>
      <c r="C8019" s="13"/>
      <c r="D8019" s="13"/>
    </row>
    <row r="8020" spans="1:4">
      <c r="A8020" s="13"/>
      <c r="B8020" s="13"/>
      <c r="C8020" s="13"/>
      <c r="D8020" s="13"/>
    </row>
    <row r="8021" spans="1:4">
      <c r="A8021" s="13"/>
      <c r="B8021" s="13"/>
      <c r="C8021" s="13"/>
      <c r="D8021" s="13"/>
    </row>
    <row r="8022" spans="1:4">
      <c r="A8022" s="13"/>
      <c r="B8022" s="13"/>
      <c r="C8022" s="13"/>
      <c r="D8022" s="13"/>
    </row>
    <row r="8023" spans="1:4">
      <c r="A8023" s="13"/>
      <c r="B8023" s="13"/>
      <c r="C8023" s="13"/>
      <c r="D8023" s="13"/>
    </row>
    <row r="8024" spans="1:4">
      <c r="A8024" s="13"/>
      <c r="B8024" s="13"/>
      <c r="C8024" s="13"/>
      <c r="D8024" s="13"/>
    </row>
    <row r="8025" spans="1:4">
      <c r="A8025" s="13"/>
      <c r="B8025" s="13"/>
      <c r="C8025" s="13"/>
      <c r="D8025" s="13"/>
    </row>
    <row r="8026" spans="1:4">
      <c r="A8026" s="13"/>
      <c r="B8026" s="13"/>
      <c r="C8026" s="13"/>
      <c r="D8026" s="13"/>
    </row>
    <row r="8027" spans="1:4">
      <c r="A8027" s="13"/>
      <c r="B8027" s="13"/>
      <c r="C8027" s="13"/>
      <c r="D8027" s="13"/>
    </row>
    <row r="8028" spans="1:4">
      <c r="A8028" s="13"/>
      <c r="B8028" s="13"/>
      <c r="C8028" s="13"/>
      <c r="D8028" s="13"/>
    </row>
    <row r="8029" spans="1:4">
      <c r="A8029" s="13"/>
      <c r="B8029" s="13"/>
      <c r="C8029" s="13"/>
      <c r="D8029" s="13"/>
    </row>
    <row r="8030" spans="1:4">
      <c r="A8030" s="13"/>
      <c r="B8030" s="13"/>
      <c r="C8030" s="13"/>
      <c r="D8030" s="13"/>
    </row>
    <row r="8031" spans="1:4">
      <c r="A8031" s="13"/>
      <c r="B8031" s="13"/>
      <c r="C8031" s="13"/>
      <c r="D8031" s="13"/>
    </row>
    <row r="8032" spans="1:4">
      <c r="A8032" s="13"/>
      <c r="B8032" s="13"/>
      <c r="C8032" s="13"/>
      <c r="D8032" s="13"/>
    </row>
    <row r="8033" spans="1:4">
      <c r="A8033" s="13"/>
      <c r="B8033" s="13"/>
      <c r="C8033" s="13"/>
      <c r="D8033" s="13"/>
    </row>
    <row r="8034" spans="1:4">
      <c r="A8034" s="13"/>
      <c r="B8034" s="13"/>
      <c r="C8034" s="13"/>
      <c r="D8034" s="13"/>
    </row>
    <row r="8035" spans="1:4">
      <c r="A8035" s="13"/>
      <c r="B8035" s="13"/>
      <c r="C8035" s="13"/>
      <c r="D8035" s="13"/>
    </row>
    <row r="8036" spans="1:4">
      <c r="A8036" s="13"/>
      <c r="B8036" s="13"/>
      <c r="C8036" s="13"/>
      <c r="D8036" s="13"/>
    </row>
    <row r="8037" spans="1:4">
      <c r="A8037" s="13"/>
      <c r="B8037" s="13"/>
      <c r="C8037" s="13"/>
      <c r="D8037" s="13"/>
    </row>
    <row r="8038" spans="1:4">
      <c r="A8038" s="13"/>
      <c r="B8038" s="13"/>
      <c r="C8038" s="13"/>
      <c r="D8038" s="13"/>
    </row>
    <row r="8039" spans="1:4">
      <c r="A8039" s="13"/>
      <c r="B8039" s="13"/>
      <c r="C8039" s="13"/>
      <c r="D8039" s="13"/>
    </row>
    <row r="8040" spans="1:4">
      <c r="A8040" s="13"/>
      <c r="B8040" s="13"/>
      <c r="C8040" s="13"/>
      <c r="D8040" s="13"/>
    </row>
    <row r="8041" spans="1:4">
      <c r="A8041" s="13"/>
      <c r="B8041" s="13"/>
      <c r="C8041" s="13"/>
      <c r="D8041" s="13"/>
    </row>
    <row r="8042" spans="1:4">
      <c r="A8042" s="13"/>
      <c r="B8042" s="13"/>
      <c r="C8042" s="13"/>
      <c r="D8042" s="13"/>
    </row>
    <row r="8043" spans="1:4">
      <c r="A8043" s="13"/>
      <c r="B8043" s="13"/>
      <c r="C8043" s="13"/>
      <c r="D8043" s="13"/>
    </row>
    <row r="8044" spans="1:4">
      <c r="A8044" s="13"/>
      <c r="B8044" s="13"/>
      <c r="C8044" s="13"/>
      <c r="D8044" s="13"/>
    </row>
    <row r="8045" spans="1:4">
      <c r="A8045" s="13"/>
      <c r="B8045" s="13"/>
      <c r="C8045" s="13"/>
      <c r="D8045" s="13"/>
    </row>
    <row r="8046" spans="1:4">
      <c r="A8046" s="13"/>
      <c r="B8046" s="13"/>
      <c r="C8046" s="13"/>
      <c r="D8046" s="13"/>
    </row>
    <row r="8047" spans="1:4">
      <c r="A8047" s="13"/>
      <c r="B8047" s="13"/>
      <c r="C8047" s="13"/>
      <c r="D8047" s="13"/>
    </row>
    <row r="8048" spans="1:4">
      <c r="A8048" s="13"/>
      <c r="B8048" s="13"/>
      <c r="C8048" s="13"/>
      <c r="D8048" s="13"/>
    </row>
    <row r="8049" spans="1:4">
      <c r="A8049" s="13"/>
      <c r="B8049" s="13"/>
      <c r="C8049" s="13"/>
      <c r="D8049" s="13"/>
    </row>
    <row r="8050" spans="1:4">
      <c r="A8050" s="13"/>
      <c r="B8050" s="13"/>
      <c r="C8050" s="13"/>
      <c r="D8050" s="13"/>
    </row>
    <row r="8051" spans="1:4">
      <c r="A8051" s="13"/>
      <c r="B8051" s="13"/>
      <c r="C8051" s="13"/>
      <c r="D8051" s="13"/>
    </row>
    <row r="8052" spans="1:4">
      <c r="A8052" s="13"/>
      <c r="B8052" s="13"/>
      <c r="C8052" s="13"/>
      <c r="D8052" s="13"/>
    </row>
    <row r="8053" spans="1:4">
      <c r="A8053" s="13"/>
      <c r="B8053" s="13"/>
      <c r="C8053" s="13"/>
      <c r="D8053" s="13"/>
    </row>
    <row r="8054" spans="1:4">
      <c r="A8054" s="13"/>
      <c r="B8054" s="13"/>
      <c r="C8054" s="13"/>
      <c r="D8054" s="13"/>
    </row>
    <row r="8055" spans="1:4">
      <c r="A8055" s="13"/>
      <c r="B8055" s="13"/>
      <c r="C8055" s="13"/>
      <c r="D8055" s="13"/>
    </row>
    <row r="8056" spans="1:4">
      <c r="A8056" s="13"/>
      <c r="B8056" s="13"/>
      <c r="C8056" s="13"/>
      <c r="D8056" s="13"/>
    </row>
    <row r="8057" spans="1:4">
      <c r="A8057" s="13"/>
      <c r="B8057" s="13"/>
      <c r="C8057" s="13"/>
      <c r="D8057" s="13"/>
    </row>
    <row r="8058" spans="1:4">
      <c r="A8058" s="13"/>
      <c r="B8058" s="13"/>
      <c r="C8058" s="13"/>
      <c r="D8058" s="13"/>
    </row>
    <row r="8059" spans="1:4">
      <c r="A8059" s="13"/>
      <c r="B8059" s="13"/>
      <c r="C8059" s="13"/>
      <c r="D8059" s="13"/>
    </row>
    <row r="8060" spans="1:4">
      <c r="A8060" s="13"/>
      <c r="B8060" s="13"/>
      <c r="C8060" s="13"/>
      <c r="D8060" s="13"/>
    </row>
    <row r="8061" spans="1:4">
      <c r="A8061" s="13"/>
      <c r="B8061" s="13"/>
      <c r="C8061" s="13"/>
      <c r="D8061" s="13"/>
    </row>
    <row r="8062" spans="1:4">
      <c r="A8062" s="13"/>
      <c r="B8062" s="13"/>
      <c r="C8062" s="13"/>
      <c r="D8062" s="13"/>
    </row>
    <row r="8063" spans="1:4">
      <c r="A8063" s="13"/>
      <c r="B8063" s="13"/>
      <c r="C8063" s="13"/>
      <c r="D8063" s="13"/>
    </row>
    <row r="8064" spans="1:4">
      <c r="A8064" s="13"/>
      <c r="B8064" s="13"/>
      <c r="C8064" s="13"/>
      <c r="D8064" s="13"/>
    </row>
    <row r="8065" spans="1:4">
      <c r="A8065" s="13"/>
      <c r="B8065" s="13"/>
      <c r="C8065" s="13"/>
      <c r="D8065" s="13"/>
    </row>
    <row r="8066" spans="1:4">
      <c r="A8066" s="13"/>
      <c r="B8066" s="13"/>
      <c r="C8066" s="13"/>
      <c r="D8066" s="13"/>
    </row>
    <row r="8067" spans="1:4">
      <c r="A8067" s="13"/>
      <c r="B8067" s="13"/>
      <c r="C8067" s="13"/>
      <c r="D8067" s="13"/>
    </row>
    <row r="8068" spans="1:4">
      <c r="A8068" s="13"/>
      <c r="B8068" s="13"/>
      <c r="C8068" s="13"/>
      <c r="D8068" s="13"/>
    </row>
    <row r="8069" spans="1:4">
      <c r="A8069" s="13"/>
      <c r="B8069" s="13"/>
      <c r="C8069" s="13"/>
      <c r="D8069" s="13"/>
    </row>
    <row r="8070" spans="1:4">
      <c r="A8070" s="13"/>
      <c r="B8070" s="13"/>
      <c r="C8070" s="13"/>
      <c r="D8070" s="13"/>
    </row>
    <row r="8071" spans="1:4">
      <c r="A8071" s="13"/>
      <c r="B8071" s="13"/>
      <c r="C8071" s="13"/>
      <c r="D8071" s="13"/>
    </row>
    <row r="8072" spans="1:4">
      <c r="A8072" s="13"/>
      <c r="B8072" s="13"/>
      <c r="C8072" s="13"/>
      <c r="D8072" s="13"/>
    </row>
    <row r="8073" spans="1:4">
      <c r="A8073" s="13"/>
      <c r="B8073" s="13"/>
      <c r="C8073" s="13"/>
      <c r="D8073" s="13"/>
    </row>
    <row r="8074" spans="1:4">
      <c r="A8074" s="13"/>
      <c r="B8074" s="13"/>
      <c r="C8074" s="13"/>
      <c r="D8074" s="13"/>
    </row>
    <row r="8075" spans="1:4">
      <c r="A8075" s="13"/>
      <c r="B8075" s="13"/>
      <c r="C8075" s="13"/>
      <c r="D8075" s="13"/>
    </row>
    <row r="8076" spans="1:4">
      <c r="A8076" s="13"/>
      <c r="B8076" s="13"/>
      <c r="C8076" s="13"/>
      <c r="D8076" s="13"/>
    </row>
    <row r="8077" spans="1:4">
      <c r="A8077" s="13"/>
      <c r="B8077" s="13"/>
      <c r="C8077" s="13"/>
      <c r="D8077" s="13"/>
    </row>
    <row r="8078" spans="1:4">
      <c r="A8078" s="13"/>
      <c r="B8078" s="13"/>
      <c r="C8078" s="13"/>
      <c r="D8078" s="13"/>
    </row>
    <row r="8079" spans="1:4">
      <c r="A8079" s="13"/>
      <c r="B8079" s="13"/>
      <c r="C8079" s="13"/>
      <c r="D8079" s="13"/>
    </row>
    <row r="8080" spans="1:4">
      <c r="A8080" s="13"/>
      <c r="B8080" s="13"/>
      <c r="C8080" s="13"/>
      <c r="D8080" s="13"/>
    </row>
    <row r="8081" spans="1:4">
      <c r="A8081" s="13"/>
      <c r="B8081" s="13"/>
      <c r="C8081" s="13"/>
      <c r="D8081" s="13"/>
    </row>
    <row r="8082" spans="1:4">
      <c r="A8082" s="13"/>
      <c r="B8082" s="13"/>
      <c r="C8082" s="13"/>
      <c r="D8082" s="13"/>
    </row>
    <row r="8083" spans="1:4">
      <c r="A8083" s="13"/>
      <c r="B8083" s="13"/>
      <c r="C8083" s="13"/>
      <c r="D8083" s="13"/>
    </row>
    <row r="8084" spans="1:4">
      <c r="A8084" s="13"/>
      <c r="B8084" s="13"/>
      <c r="C8084" s="13"/>
      <c r="D8084" s="13"/>
    </row>
    <row r="8085" spans="1:4">
      <c r="A8085" s="13"/>
      <c r="B8085" s="13"/>
      <c r="C8085" s="13"/>
      <c r="D8085" s="13"/>
    </row>
    <row r="8086" spans="1:4">
      <c r="A8086" s="13"/>
      <c r="B8086" s="13"/>
      <c r="C8086" s="13"/>
      <c r="D8086" s="13"/>
    </row>
    <row r="8087" spans="1:4">
      <c r="A8087" s="13"/>
      <c r="B8087" s="13"/>
      <c r="C8087" s="13"/>
      <c r="D8087" s="13"/>
    </row>
    <row r="8088" spans="1:4">
      <c r="A8088" s="13"/>
      <c r="B8088" s="13"/>
      <c r="C8088" s="13"/>
      <c r="D8088" s="13"/>
    </row>
    <row r="8089" spans="1:4">
      <c r="A8089" s="13"/>
      <c r="B8089" s="13"/>
      <c r="C8089" s="13"/>
      <c r="D8089" s="13"/>
    </row>
    <row r="8090" spans="1:4">
      <c r="A8090" s="13"/>
      <c r="B8090" s="13"/>
      <c r="C8090" s="13"/>
      <c r="D8090" s="13"/>
    </row>
    <row r="8091" spans="1:4">
      <c r="A8091" s="13"/>
      <c r="B8091" s="13"/>
      <c r="C8091" s="13"/>
      <c r="D8091" s="13"/>
    </row>
    <row r="8092" spans="1:4">
      <c r="A8092" s="13"/>
      <c r="B8092" s="13"/>
      <c r="C8092" s="13"/>
      <c r="D8092" s="13"/>
    </row>
    <row r="8093" spans="1:4">
      <c r="A8093" s="13"/>
      <c r="B8093" s="13"/>
      <c r="C8093" s="13"/>
      <c r="D8093" s="13"/>
    </row>
    <row r="8094" spans="1:4">
      <c r="A8094" s="13"/>
      <c r="B8094" s="13"/>
      <c r="C8094" s="13"/>
      <c r="D8094" s="13"/>
    </row>
    <row r="8095" spans="1:4">
      <c r="A8095" s="13"/>
      <c r="B8095" s="13"/>
      <c r="C8095" s="13"/>
      <c r="D8095" s="13"/>
    </row>
    <row r="8096" spans="1:4">
      <c r="A8096" s="13"/>
      <c r="B8096" s="13"/>
      <c r="C8096" s="13"/>
      <c r="D8096" s="13"/>
    </row>
    <row r="8097" spans="1:4">
      <c r="A8097" s="13"/>
      <c r="B8097" s="13"/>
      <c r="C8097" s="13"/>
      <c r="D8097" s="13"/>
    </row>
    <row r="8098" spans="1:4">
      <c r="A8098" s="13"/>
      <c r="B8098" s="13"/>
      <c r="C8098" s="13"/>
      <c r="D8098" s="13"/>
    </row>
    <row r="8099" spans="1:4">
      <c r="A8099" s="13"/>
      <c r="B8099" s="13"/>
      <c r="C8099" s="13"/>
      <c r="D8099" s="13"/>
    </row>
    <row r="8100" spans="1:4">
      <c r="A8100" s="13"/>
      <c r="B8100" s="13"/>
      <c r="C8100" s="13"/>
      <c r="D8100" s="13"/>
    </row>
    <row r="8101" spans="1:4">
      <c r="A8101" s="13"/>
      <c r="B8101" s="13"/>
      <c r="C8101" s="13"/>
      <c r="D8101" s="13"/>
    </row>
    <row r="8102" spans="1:4">
      <c r="A8102" s="13"/>
      <c r="B8102" s="13"/>
      <c r="C8102" s="13"/>
      <c r="D8102" s="13"/>
    </row>
    <row r="8103" spans="1:4">
      <c r="A8103" s="13"/>
      <c r="B8103" s="13"/>
      <c r="C8103" s="13"/>
      <c r="D8103" s="13"/>
    </row>
    <row r="8104" spans="1:4">
      <c r="A8104" s="13"/>
      <c r="B8104" s="13"/>
      <c r="C8104" s="13"/>
      <c r="D8104" s="13"/>
    </row>
    <row r="8105" spans="1:4">
      <c r="A8105" s="13"/>
      <c r="B8105" s="13"/>
      <c r="C8105" s="13"/>
      <c r="D8105" s="13"/>
    </row>
    <row r="8106" spans="1:4">
      <c r="A8106" s="13"/>
      <c r="B8106" s="13"/>
      <c r="C8106" s="13"/>
      <c r="D8106" s="13"/>
    </row>
    <row r="8107" spans="1:4">
      <c r="A8107" s="13"/>
      <c r="B8107" s="13"/>
      <c r="C8107" s="13"/>
      <c r="D8107" s="13"/>
    </row>
    <row r="8108" spans="1:4">
      <c r="A8108" s="13"/>
      <c r="B8108" s="13"/>
      <c r="C8108" s="13"/>
      <c r="D8108" s="13"/>
    </row>
    <row r="8109" spans="1:4">
      <c r="A8109" s="13"/>
      <c r="B8109" s="13"/>
      <c r="C8109" s="13"/>
      <c r="D8109" s="13"/>
    </row>
    <row r="8110" spans="1:4">
      <c r="A8110" s="13"/>
      <c r="B8110" s="13"/>
      <c r="C8110" s="13"/>
      <c r="D8110" s="13"/>
    </row>
    <row r="8111" spans="1:4">
      <c r="A8111" s="13"/>
      <c r="B8111" s="13"/>
      <c r="C8111" s="13"/>
      <c r="D8111" s="13"/>
    </row>
    <row r="8112" spans="1:4">
      <c r="A8112" s="13"/>
      <c r="B8112" s="13"/>
      <c r="C8112" s="13"/>
      <c r="D8112" s="13"/>
    </row>
    <row r="8113" spans="1:4">
      <c r="A8113" s="13"/>
      <c r="B8113" s="13"/>
      <c r="C8113" s="13"/>
      <c r="D8113" s="13"/>
    </row>
    <row r="8114" spans="1:4">
      <c r="A8114" s="13"/>
      <c r="B8114" s="13"/>
      <c r="C8114" s="13"/>
      <c r="D8114" s="13"/>
    </row>
    <row r="8115" spans="1:4">
      <c r="A8115" s="13"/>
      <c r="B8115" s="13"/>
      <c r="C8115" s="13"/>
      <c r="D8115" s="13"/>
    </row>
    <row r="8116" spans="1:4">
      <c r="A8116" s="13"/>
      <c r="B8116" s="13"/>
      <c r="C8116" s="13"/>
      <c r="D8116" s="13"/>
    </row>
    <row r="8117" spans="1:4">
      <c r="A8117" s="13"/>
      <c r="B8117" s="13"/>
      <c r="C8117" s="13"/>
      <c r="D8117" s="13"/>
    </row>
    <row r="8118" spans="1:4">
      <c r="A8118" s="13"/>
      <c r="B8118" s="13"/>
      <c r="C8118" s="13"/>
      <c r="D8118" s="13"/>
    </row>
    <row r="8119" spans="1:4">
      <c r="A8119" s="13"/>
      <c r="B8119" s="13"/>
      <c r="C8119" s="13"/>
      <c r="D8119" s="13"/>
    </row>
    <row r="8120" spans="1:4">
      <c r="A8120" s="13"/>
      <c r="B8120" s="13"/>
      <c r="C8120" s="13"/>
      <c r="D8120" s="13"/>
    </row>
    <row r="8121" spans="1:4">
      <c r="A8121" s="13"/>
      <c r="B8121" s="13"/>
      <c r="C8121" s="13"/>
      <c r="D8121" s="13"/>
    </row>
    <row r="8122" spans="1:4">
      <c r="A8122" s="13"/>
      <c r="B8122" s="13"/>
      <c r="C8122" s="13"/>
      <c r="D8122" s="13"/>
    </row>
    <row r="8123" spans="1:4">
      <c r="A8123" s="13"/>
      <c r="B8123" s="13"/>
      <c r="C8123" s="13"/>
      <c r="D8123" s="13"/>
    </row>
    <row r="8124" spans="1:4">
      <c r="A8124" s="13"/>
      <c r="B8124" s="13"/>
      <c r="C8124" s="13"/>
      <c r="D8124" s="13"/>
    </row>
    <row r="8125" spans="1:4">
      <c r="A8125" s="13"/>
      <c r="B8125" s="13"/>
      <c r="C8125" s="13"/>
      <c r="D8125" s="13"/>
    </row>
    <row r="8126" spans="1:4">
      <c r="A8126" s="13"/>
      <c r="B8126" s="13"/>
      <c r="C8126" s="13"/>
      <c r="D8126" s="13"/>
    </row>
    <row r="8127" spans="1:4">
      <c r="A8127" s="13"/>
      <c r="B8127" s="13"/>
      <c r="C8127" s="13"/>
      <c r="D8127" s="13"/>
    </row>
    <row r="8128" spans="1:4">
      <c r="A8128" s="13"/>
      <c r="B8128" s="13"/>
      <c r="C8128" s="13"/>
      <c r="D8128" s="13"/>
    </row>
    <row r="8129" spans="1:4">
      <c r="A8129" s="13"/>
      <c r="B8129" s="13"/>
      <c r="C8129" s="13"/>
      <c r="D8129" s="13"/>
    </row>
    <row r="8130" spans="1:4">
      <c r="A8130" s="13"/>
      <c r="B8130" s="13"/>
      <c r="C8130" s="13"/>
      <c r="D8130" s="13"/>
    </row>
    <row r="8131" spans="1:4">
      <c r="A8131" s="13"/>
      <c r="B8131" s="13"/>
      <c r="C8131" s="13"/>
      <c r="D8131" s="13"/>
    </row>
    <row r="8132" spans="1:4">
      <c r="A8132" s="13"/>
      <c r="B8132" s="13"/>
      <c r="C8132" s="13"/>
      <c r="D8132" s="13"/>
    </row>
    <row r="8133" spans="1:4">
      <c r="A8133" s="13"/>
      <c r="B8133" s="13"/>
      <c r="C8133" s="13"/>
      <c r="D8133" s="13"/>
    </row>
    <row r="8134" spans="1:4">
      <c r="A8134" s="13"/>
      <c r="B8134" s="13"/>
      <c r="C8134" s="13"/>
      <c r="D8134" s="13"/>
    </row>
    <row r="8135" spans="1:4">
      <c r="A8135" s="13"/>
      <c r="B8135" s="13"/>
      <c r="C8135" s="13"/>
      <c r="D8135" s="13"/>
    </row>
    <row r="8136" spans="1:4">
      <c r="A8136" s="13"/>
      <c r="B8136" s="13"/>
      <c r="C8136" s="13"/>
      <c r="D8136" s="13"/>
    </row>
    <row r="8137" spans="1:4">
      <c r="A8137" s="13"/>
      <c r="B8137" s="13"/>
      <c r="C8137" s="13"/>
      <c r="D8137" s="13"/>
    </row>
    <row r="8138" spans="1:4">
      <c r="A8138" s="13"/>
      <c r="B8138" s="13"/>
      <c r="C8138" s="13"/>
      <c r="D8138" s="13"/>
    </row>
    <row r="8139" spans="1:4">
      <c r="A8139" s="13"/>
      <c r="B8139" s="13"/>
      <c r="C8139" s="13"/>
      <c r="D8139" s="13"/>
    </row>
    <row r="8140" spans="1:4">
      <c r="A8140" s="13"/>
      <c r="B8140" s="13"/>
      <c r="C8140" s="13"/>
      <c r="D8140" s="13"/>
    </row>
    <row r="8141" spans="1:4">
      <c r="A8141" s="13"/>
      <c r="B8141" s="13"/>
      <c r="C8141" s="13"/>
      <c r="D8141" s="13"/>
    </row>
    <row r="8142" spans="1:4">
      <c r="A8142" s="13"/>
      <c r="B8142" s="13"/>
      <c r="C8142" s="13"/>
      <c r="D8142" s="13"/>
    </row>
    <row r="8143" spans="1:4">
      <c r="A8143" s="13"/>
      <c r="B8143" s="13"/>
      <c r="C8143" s="13"/>
      <c r="D8143" s="13"/>
    </row>
    <row r="8144" spans="1:4">
      <c r="A8144" s="13"/>
      <c r="B8144" s="13"/>
      <c r="C8144" s="13"/>
      <c r="D8144" s="13"/>
    </row>
    <row r="8145" spans="1:4">
      <c r="A8145" s="13"/>
      <c r="B8145" s="13"/>
      <c r="C8145" s="13"/>
      <c r="D8145" s="13"/>
    </row>
    <row r="8146" spans="1:4">
      <c r="A8146" s="13"/>
      <c r="B8146" s="13"/>
      <c r="C8146" s="13"/>
      <c r="D8146" s="13"/>
    </row>
    <row r="8147" spans="1:4">
      <c r="A8147" s="13"/>
      <c r="B8147" s="13"/>
      <c r="C8147" s="13"/>
      <c r="D8147" s="13"/>
    </row>
    <row r="8148" spans="1:4">
      <c r="A8148" s="13"/>
      <c r="B8148" s="13"/>
      <c r="C8148" s="13"/>
      <c r="D8148" s="13"/>
    </row>
    <row r="8149" spans="1:4">
      <c r="A8149" s="13"/>
      <c r="B8149" s="13"/>
      <c r="C8149" s="13"/>
      <c r="D8149" s="13"/>
    </row>
    <row r="8150" spans="1:4">
      <c r="A8150" s="13"/>
      <c r="B8150" s="13"/>
      <c r="C8150" s="13"/>
      <c r="D8150" s="13"/>
    </row>
    <row r="8151" spans="1:4">
      <c r="A8151" s="13"/>
      <c r="B8151" s="13"/>
      <c r="C8151" s="13"/>
      <c r="D8151" s="13"/>
    </row>
    <row r="8152" spans="1:4">
      <c r="A8152" s="13"/>
      <c r="B8152" s="13"/>
      <c r="C8152" s="13"/>
      <c r="D8152" s="13"/>
    </row>
    <row r="8153" spans="1:4">
      <c r="A8153" s="13"/>
      <c r="B8153" s="13"/>
      <c r="C8153" s="13"/>
      <c r="D8153" s="13"/>
    </row>
    <row r="8154" spans="1:4">
      <c r="A8154" s="13"/>
      <c r="B8154" s="13"/>
      <c r="C8154" s="13"/>
      <c r="D8154" s="13"/>
    </row>
    <row r="8155" spans="1:4">
      <c r="A8155" s="13"/>
      <c r="B8155" s="13"/>
      <c r="C8155" s="13"/>
      <c r="D8155" s="13"/>
    </row>
    <row r="8156" spans="1:4">
      <c r="A8156" s="13"/>
      <c r="B8156" s="13"/>
      <c r="C8156" s="13"/>
      <c r="D8156" s="13"/>
    </row>
    <row r="8157" spans="1:4">
      <c r="A8157" s="13"/>
      <c r="B8157" s="13"/>
      <c r="C8157" s="13"/>
      <c r="D8157" s="13"/>
    </row>
    <row r="8158" spans="1:4">
      <c r="A8158" s="13"/>
      <c r="B8158" s="13"/>
      <c r="C8158" s="13"/>
      <c r="D8158" s="13"/>
    </row>
    <row r="8159" spans="1:4">
      <c r="A8159" s="13"/>
      <c r="B8159" s="13"/>
      <c r="C8159" s="13"/>
      <c r="D8159" s="13"/>
    </row>
    <row r="8160" spans="1:4">
      <c r="A8160" s="13"/>
      <c r="B8160" s="13"/>
      <c r="C8160" s="13"/>
      <c r="D8160" s="13"/>
    </row>
    <row r="8161" spans="1:4">
      <c r="A8161" s="13"/>
      <c r="B8161" s="13"/>
      <c r="C8161" s="13"/>
      <c r="D8161" s="13"/>
    </row>
    <row r="8162" spans="1:4">
      <c r="A8162" s="13"/>
      <c r="B8162" s="13"/>
      <c r="C8162" s="13"/>
      <c r="D8162" s="13"/>
    </row>
    <row r="8163" spans="1:4">
      <c r="A8163" s="13"/>
      <c r="B8163" s="13"/>
      <c r="C8163" s="13"/>
      <c r="D8163" s="13"/>
    </row>
    <row r="8164" spans="1:4">
      <c r="A8164" s="13"/>
      <c r="B8164" s="13"/>
      <c r="C8164" s="13"/>
      <c r="D8164" s="13"/>
    </row>
    <row r="8165" spans="1:4">
      <c r="A8165" s="13"/>
      <c r="B8165" s="13"/>
      <c r="C8165" s="13"/>
      <c r="D8165" s="13"/>
    </row>
    <row r="8166" spans="1:4">
      <c r="A8166" s="13"/>
      <c r="B8166" s="13"/>
      <c r="C8166" s="13"/>
      <c r="D8166" s="13"/>
    </row>
    <row r="8167" spans="1:4">
      <c r="A8167" s="13"/>
      <c r="B8167" s="13"/>
      <c r="C8167" s="13"/>
      <c r="D8167" s="13"/>
    </row>
    <row r="8168" spans="1:4">
      <c r="A8168" s="13"/>
      <c r="B8168" s="13"/>
      <c r="C8168" s="13"/>
      <c r="D8168" s="13"/>
    </row>
    <row r="8169" spans="1:4">
      <c r="A8169" s="13"/>
      <c r="B8169" s="13"/>
      <c r="C8169" s="13"/>
      <c r="D8169" s="13"/>
    </row>
    <row r="8170" spans="1:4">
      <c r="A8170" s="13"/>
      <c r="B8170" s="13"/>
      <c r="C8170" s="13"/>
      <c r="D8170" s="13"/>
    </row>
    <row r="8171" spans="1:4">
      <c r="A8171" s="13"/>
      <c r="B8171" s="13"/>
      <c r="C8171" s="13"/>
      <c r="D8171" s="13"/>
    </row>
    <row r="8172" spans="1:4">
      <c r="A8172" s="13"/>
      <c r="B8172" s="13"/>
      <c r="C8172" s="13"/>
      <c r="D8172" s="13"/>
    </row>
    <row r="8173" spans="1:4">
      <c r="A8173" s="13"/>
      <c r="B8173" s="13"/>
      <c r="C8173" s="13"/>
      <c r="D8173" s="13"/>
    </row>
    <row r="8174" spans="1:4">
      <c r="A8174" s="13"/>
      <c r="B8174" s="13"/>
      <c r="C8174" s="13"/>
      <c r="D8174" s="13"/>
    </row>
    <row r="8175" spans="1:4">
      <c r="A8175" s="13"/>
      <c r="B8175" s="13"/>
      <c r="C8175" s="13"/>
      <c r="D8175" s="13"/>
    </row>
    <row r="8176" spans="1:4">
      <c r="A8176" s="13"/>
      <c r="B8176" s="13"/>
      <c r="C8176" s="13"/>
      <c r="D8176" s="13"/>
    </row>
    <row r="8177" spans="1:4">
      <c r="A8177" s="13"/>
      <c r="B8177" s="13"/>
      <c r="C8177" s="13"/>
      <c r="D8177" s="13"/>
    </row>
    <row r="8178" spans="1:4">
      <c r="A8178" s="13"/>
      <c r="B8178" s="13"/>
      <c r="C8178" s="13"/>
      <c r="D8178" s="13"/>
    </row>
    <row r="8179" spans="1:4">
      <c r="A8179" s="13"/>
      <c r="B8179" s="13"/>
      <c r="C8179" s="13"/>
      <c r="D8179" s="13"/>
    </row>
    <row r="8180" spans="1:4">
      <c r="A8180" s="13"/>
      <c r="B8180" s="13"/>
      <c r="C8180" s="13"/>
      <c r="D8180" s="13"/>
    </row>
    <row r="8181" spans="1:4">
      <c r="A8181" s="13"/>
      <c r="B8181" s="13"/>
      <c r="C8181" s="13"/>
      <c r="D8181" s="13"/>
    </row>
    <row r="8182" spans="1:4">
      <c r="A8182" s="13"/>
      <c r="B8182" s="13"/>
      <c r="C8182" s="13"/>
      <c r="D8182" s="13"/>
    </row>
    <row r="8183" spans="1:4">
      <c r="A8183" s="13"/>
      <c r="B8183" s="13"/>
      <c r="C8183" s="13"/>
      <c r="D8183" s="13"/>
    </row>
    <row r="8184" spans="1:4">
      <c r="A8184" s="13"/>
      <c r="B8184" s="13"/>
      <c r="C8184" s="13"/>
      <c r="D8184" s="13"/>
    </row>
    <row r="8185" spans="1:4">
      <c r="A8185" s="13"/>
      <c r="B8185" s="13"/>
      <c r="C8185" s="13"/>
      <c r="D8185" s="13"/>
    </row>
    <row r="8186" spans="1:4">
      <c r="A8186" s="13"/>
      <c r="B8186" s="13"/>
      <c r="C8186" s="13"/>
      <c r="D8186" s="13"/>
    </row>
    <row r="8187" spans="1:4">
      <c r="A8187" s="13"/>
      <c r="B8187" s="13"/>
      <c r="C8187" s="13"/>
      <c r="D8187" s="13"/>
    </row>
    <row r="8188" spans="1:4">
      <c r="A8188" s="13"/>
      <c r="B8188" s="13"/>
      <c r="C8188" s="13"/>
      <c r="D8188" s="13"/>
    </row>
    <row r="8189" spans="1:4">
      <c r="A8189" s="13"/>
      <c r="B8189" s="13"/>
      <c r="C8189" s="13"/>
      <c r="D8189" s="13"/>
    </row>
    <row r="8190" spans="1:4">
      <c r="A8190" s="13"/>
      <c r="B8190" s="13"/>
      <c r="C8190" s="13"/>
      <c r="D8190" s="13"/>
    </row>
    <row r="8191" spans="1:4">
      <c r="A8191" s="13"/>
      <c r="B8191" s="13"/>
      <c r="C8191" s="13"/>
      <c r="D8191" s="13"/>
    </row>
    <row r="8192" spans="1:4">
      <c r="A8192" s="13"/>
      <c r="B8192" s="13"/>
      <c r="C8192" s="13"/>
      <c r="D8192" s="13"/>
    </row>
    <row r="8193" spans="1:4">
      <c r="A8193" s="13"/>
      <c r="B8193" s="13"/>
      <c r="C8193" s="13"/>
      <c r="D8193" s="13"/>
    </row>
    <row r="8194" spans="1:4">
      <c r="A8194" s="13"/>
      <c r="B8194" s="13"/>
      <c r="C8194" s="13"/>
      <c r="D8194" s="13"/>
    </row>
    <row r="8195" spans="1:4">
      <c r="A8195" s="13"/>
      <c r="B8195" s="13"/>
      <c r="C8195" s="13"/>
      <c r="D8195" s="13"/>
    </row>
    <row r="8196" spans="1:4">
      <c r="A8196" s="13"/>
      <c r="B8196" s="13"/>
      <c r="C8196" s="13"/>
      <c r="D8196" s="13"/>
    </row>
    <row r="8197" spans="1:4">
      <c r="A8197" s="13"/>
      <c r="B8197" s="13"/>
      <c r="C8197" s="13"/>
      <c r="D8197" s="13"/>
    </row>
    <row r="8198" spans="1:4">
      <c r="A8198" s="13"/>
      <c r="B8198" s="13"/>
      <c r="C8198" s="13"/>
      <c r="D8198" s="13"/>
    </row>
    <row r="8199" spans="1:4">
      <c r="A8199" s="13"/>
      <c r="B8199" s="13"/>
      <c r="C8199" s="13"/>
      <c r="D8199" s="13"/>
    </row>
    <row r="8200" spans="1:4">
      <c r="A8200" s="13"/>
      <c r="B8200" s="13"/>
      <c r="C8200" s="13"/>
      <c r="D8200" s="13"/>
    </row>
    <row r="8201" spans="1:4">
      <c r="A8201" s="13"/>
      <c r="B8201" s="13"/>
      <c r="C8201" s="13"/>
      <c r="D8201" s="13"/>
    </row>
    <row r="8202" spans="1:4">
      <c r="A8202" s="13"/>
      <c r="B8202" s="13"/>
      <c r="C8202" s="13"/>
      <c r="D8202" s="13"/>
    </row>
    <row r="8203" spans="1:4">
      <c r="A8203" s="13"/>
      <c r="B8203" s="13"/>
      <c r="C8203" s="13"/>
      <c r="D8203" s="13"/>
    </row>
    <row r="8204" spans="1:4">
      <c r="A8204" s="13"/>
      <c r="B8204" s="13"/>
      <c r="C8204" s="13"/>
      <c r="D8204" s="13"/>
    </row>
    <row r="8205" spans="1:4">
      <c r="A8205" s="13"/>
      <c r="B8205" s="13"/>
      <c r="C8205" s="13"/>
      <c r="D8205" s="13"/>
    </row>
    <row r="8206" spans="1:4">
      <c r="A8206" s="13"/>
      <c r="B8206" s="13"/>
      <c r="C8206" s="13"/>
      <c r="D8206" s="13"/>
    </row>
    <row r="8207" spans="1:4">
      <c r="A8207" s="13"/>
      <c r="B8207" s="13"/>
      <c r="C8207" s="13"/>
      <c r="D8207" s="13"/>
    </row>
    <row r="8208" spans="1:4">
      <c r="A8208" s="13"/>
      <c r="B8208" s="13"/>
      <c r="C8208" s="13"/>
      <c r="D8208" s="13"/>
    </row>
    <row r="8209" spans="1:4">
      <c r="A8209" s="13"/>
      <c r="B8209" s="13"/>
      <c r="C8209" s="13"/>
      <c r="D8209" s="13"/>
    </row>
    <row r="8210" spans="1:4">
      <c r="A8210" s="13"/>
      <c r="B8210" s="13"/>
      <c r="C8210" s="13"/>
      <c r="D8210" s="13"/>
    </row>
    <row r="8211" spans="1:4">
      <c r="A8211" s="13"/>
      <c r="B8211" s="13"/>
      <c r="C8211" s="13"/>
      <c r="D8211" s="13"/>
    </row>
    <row r="8212" spans="1:4">
      <c r="A8212" s="13"/>
      <c r="B8212" s="13"/>
      <c r="C8212" s="13"/>
      <c r="D8212" s="13"/>
    </row>
    <row r="8213" spans="1:4">
      <c r="A8213" s="13"/>
      <c r="B8213" s="13"/>
      <c r="C8213" s="13"/>
      <c r="D8213" s="13"/>
    </row>
    <row r="8214" spans="1:4">
      <c r="A8214" s="13"/>
      <c r="B8214" s="13"/>
      <c r="C8214" s="13"/>
      <c r="D8214" s="13"/>
    </row>
    <row r="8215" spans="1:4">
      <c r="A8215" s="13"/>
      <c r="B8215" s="13"/>
      <c r="C8215" s="13"/>
      <c r="D8215" s="13"/>
    </row>
    <row r="8216" spans="1:4">
      <c r="A8216" s="13"/>
      <c r="B8216" s="13"/>
      <c r="C8216" s="13"/>
      <c r="D8216" s="13"/>
    </row>
    <row r="8217" spans="1:4">
      <c r="A8217" s="13"/>
      <c r="B8217" s="13"/>
      <c r="C8217" s="13"/>
      <c r="D8217" s="13"/>
    </row>
    <row r="8218" spans="1:4">
      <c r="A8218" s="13"/>
      <c r="B8218" s="13"/>
      <c r="C8218" s="13"/>
      <c r="D8218" s="13"/>
    </row>
    <row r="8219" spans="1:4">
      <c r="A8219" s="13"/>
      <c r="B8219" s="13"/>
      <c r="C8219" s="13"/>
      <c r="D8219" s="13"/>
    </row>
    <row r="8220" spans="1:4">
      <c r="A8220" s="13"/>
      <c r="B8220" s="13"/>
      <c r="C8220" s="13"/>
      <c r="D8220" s="13"/>
    </row>
    <row r="8221" spans="1:4">
      <c r="A8221" s="13"/>
      <c r="B8221" s="13"/>
      <c r="C8221" s="13"/>
      <c r="D8221" s="13"/>
    </row>
    <row r="8222" spans="1:4">
      <c r="A8222" s="13"/>
      <c r="B8222" s="13"/>
      <c r="C8222" s="13"/>
      <c r="D8222" s="13"/>
    </row>
    <row r="8223" spans="1:4">
      <c r="A8223" s="13"/>
      <c r="B8223" s="13"/>
      <c r="C8223" s="13"/>
      <c r="D8223" s="13"/>
    </row>
    <row r="8224" spans="1:4">
      <c r="A8224" s="13"/>
      <c r="B8224" s="13"/>
      <c r="C8224" s="13"/>
      <c r="D8224" s="13"/>
    </row>
    <row r="8225" spans="1:4">
      <c r="A8225" s="13"/>
      <c r="B8225" s="13"/>
      <c r="C8225" s="13"/>
      <c r="D8225" s="13"/>
    </row>
    <row r="8226" spans="1:4">
      <c r="A8226" s="13"/>
      <c r="B8226" s="13"/>
      <c r="C8226" s="13"/>
      <c r="D8226" s="13"/>
    </row>
    <row r="8227" spans="1:4">
      <c r="A8227" s="13"/>
      <c r="B8227" s="13"/>
      <c r="C8227" s="13"/>
      <c r="D8227" s="13"/>
    </row>
    <row r="8228" spans="1:4">
      <c r="A8228" s="13"/>
      <c r="B8228" s="13"/>
      <c r="C8228" s="13"/>
      <c r="D8228" s="13"/>
    </row>
    <row r="8229" spans="1:4">
      <c r="A8229" s="13"/>
      <c r="B8229" s="13"/>
      <c r="C8229" s="13"/>
      <c r="D8229" s="13"/>
    </row>
    <row r="8230" spans="1:4">
      <c r="A8230" s="13"/>
      <c r="B8230" s="13"/>
      <c r="C8230" s="13"/>
      <c r="D8230" s="13"/>
    </row>
    <row r="8231" spans="1:4">
      <c r="A8231" s="13"/>
      <c r="B8231" s="13"/>
      <c r="C8231" s="13"/>
      <c r="D8231" s="13"/>
    </row>
    <row r="8232" spans="1:4">
      <c r="A8232" s="13"/>
      <c r="B8232" s="13"/>
      <c r="C8232" s="13"/>
      <c r="D8232" s="13"/>
    </row>
    <row r="8233" spans="1:4">
      <c r="A8233" s="13"/>
      <c r="B8233" s="13"/>
      <c r="C8233" s="13"/>
      <c r="D8233" s="13"/>
    </row>
    <row r="8234" spans="1:4">
      <c r="A8234" s="13"/>
      <c r="B8234" s="13"/>
      <c r="C8234" s="13"/>
      <c r="D8234" s="13"/>
    </row>
    <row r="8235" spans="1:4">
      <c r="A8235" s="13"/>
      <c r="B8235" s="13"/>
      <c r="C8235" s="13"/>
      <c r="D8235" s="13"/>
    </row>
    <row r="8236" spans="1:4">
      <c r="A8236" s="13"/>
      <c r="B8236" s="13"/>
      <c r="C8236" s="13"/>
      <c r="D8236" s="13"/>
    </row>
    <row r="8237" spans="1:4">
      <c r="A8237" s="13"/>
      <c r="B8237" s="13"/>
      <c r="C8237" s="13"/>
      <c r="D8237" s="13"/>
    </row>
    <row r="8238" spans="1:4">
      <c r="A8238" s="13"/>
      <c r="B8238" s="13"/>
      <c r="C8238" s="13"/>
      <c r="D8238" s="13"/>
    </row>
    <row r="8239" spans="1:4">
      <c r="A8239" s="13"/>
      <c r="B8239" s="13"/>
      <c r="C8239" s="13"/>
      <c r="D8239" s="13"/>
    </row>
    <row r="8240" spans="1:4">
      <c r="A8240" s="13"/>
      <c r="B8240" s="13"/>
      <c r="C8240" s="13"/>
      <c r="D8240" s="13"/>
    </row>
    <row r="8241" spans="1:4">
      <c r="A8241" s="13"/>
      <c r="B8241" s="13"/>
      <c r="C8241" s="13"/>
      <c r="D8241" s="13"/>
    </row>
    <row r="8242" spans="1:4">
      <c r="A8242" s="13"/>
      <c r="B8242" s="13"/>
      <c r="C8242" s="13"/>
      <c r="D8242" s="13"/>
    </row>
    <row r="8243" spans="1:4">
      <c r="A8243" s="13"/>
      <c r="B8243" s="13"/>
      <c r="C8243" s="13"/>
      <c r="D8243" s="13"/>
    </row>
    <row r="8244" spans="1:4">
      <c r="A8244" s="13"/>
      <c r="B8244" s="13"/>
      <c r="C8244" s="13"/>
      <c r="D8244" s="13"/>
    </row>
    <row r="8245" spans="1:4">
      <c r="A8245" s="13"/>
      <c r="B8245" s="13"/>
      <c r="C8245" s="13"/>
      <c r="D8245" s="13"/>
    </row>
    <row r="8246" spans="1:4">
      <c r="A8246" s="13"/>
      <c r="B8246" s="13"/>
      <c r="C8246" s="13"/>
      <c r="D8246" s="13"/>
    </row>
    <row r="8247" spans="1:4">
      <c r="A8247" s="13"/>
      <c r="B8247" s="13"/>
      <c r="C8247" s="13"/>
      <c r="D8247" s="13"/>
    </row>
    <row r="8248" spans="1:4">
      <c r="A8248" s="13"/>
      <c r="B8248" s="13"/>
      <c r="C8248" s="13"/>
      <c r="D8248" s="13"/>
    </row>
    <row r="8249" spans="1:4">
      <c r="A8249" s="13"/>
      <c r="B8249" s="13"/>
      <c r="C8249" s="13"/>
      <c r="D8249" s="13"/>
    </row>
    <row r="8250" spans="1:4">
      <c r="A8250" s="13"/>
      <c r="B8250" s="13"/>
      <c r="C8250" s="13"/>
      <c r="D8250" s="13"/>
    </row>
    <row r="8251" spans="1:4">
      <c r="A8251" s="13"/>
      <c r="B8251" s="13"/>
      <c r="C8251" s="13"/>
      <c r="D8251" s="13"/>
    </row>
    <row r="8252" spans="1:4">
      <c r="A8252" s="13"/>
      <c r="B8252" s="13"/>
      <c r="C8252" s="13"/>
      <c r="D8252" s="13"/>
    </row>
    <row r="8253" spans="1:4">
      <c r="A8253" s="13"/>
      <c r="B8253" s="13"/>
      <c r="C8253" s="13"/>
      <c r="D8253" s="13"/>
    </row>
    <row r="8254" spans="1:4">
      <c r="A8254" s="13"/>
      <c r="B8254" s="13"/>
      <c r="C8254" s="13"/>
      <c r="D8254" s="13"/>
    </row>
    <row r="8255" spans="1:4">
      <c r="A8255" s="13"/>
      <c r="B8255" s="13"/>
      <c r="C8255" s="13"/>
      <c r="D8255" s="13"/>
    </row>
    <row r="8256" spans="1:4">
      <c r="A8256" s="13"/>
      <c r="B8256" s="13"/>
      <c r="C8256" s="13"/>
      <c r="D8256" s="13"/>
    </row>
    <row r="8257" spans="1:4">
      <c r="A8257" s="13"/>
      <c r="B8257" s="13"/>
      <c r="C8257" s="13"/>
      <c r="D8257" s="13"/>
    </row>
    <row r="8258" spans="1:4">
      <c r="A8258" s="13"/>
      <c r="B8258" s="13"/>
      <c r="C8258" s="13"/>
      <c r="D8258" s="13"/>
    </row>
    <row r="8259" spans="1:4">
      <c r="A8259" s="13"/>
      <c r="B8259" s="13"/>
      <c r="C8259" s="13"/>
      <c r="D8259" s="13"/>
    </row>
    <row r="8260" spans="1:4">
      <c r="A8260" s="13"/>
      <c r="B8260" s="13"/>
      <c r="C8260" s="13"/>
      <c r="D8260" s="13"/>
    </row>
    <row r="8261" spans="1:4">
      <c r="A8261" s="13"/>
      <c r="B8261" s="13"/>
      <c r="C8261" s="13"/>
      <c r="D8261" s="13"/>
    </row>
    <row r="8262" spans="1:4">
      <c r="A8262" s="13"/>
      <c r="B8262" s="13"/>
      <c r="C8262" s="13"/>
      <c r="D8262" s="13"/>
    </row>
    <row r="8263" spans="1:4">
      <c r="A8263" s="13"/>
      <c r="B8263" s="13"/>
      <c r="C8263" s="13"/>
      <c r="D8263" s="13"/>
    </row>
    <row r="8264" spans="1:4">
      <c r="A8264" s="13"/>
      <c r="B8264" s="13"/>
      <c r="C8264" s="13"/>
      <c r="D8264" s="13"/>
    </row>
    <row r="8265" spans="1:4">
      <c r="A8265" s="13"/>
      <c r="B8265" s="13"/>
      <c r="C8265" s="13"/>
      <c r="D8265" s="13"/>
    </row>
    <row r="8266" spans="1:4">
      <c r="A8266" s="13"/>
      <c r="B8266" s="13"/>
      <c r="C8266" s="13"/>
      <c r="D8266" s="13"/>
    </row>
    <row r="8267" spans="1:4">
      <c r="A8267" s="13"/>
      <c r="B8267" s="13"/>
      <c r="C8267" s="13"/>
      <c r="D8267" s="13"/>
    </row>
    <row r="8268" spans="1:4">
      <c r="A8268" s="13"/>
      <c r="B8268" s="13"/>
      <c r="C8268" s="13"/>
      <c r="D8268" s="13"/>
    </row>
    <row r="8269" spans="1:4">
      <c r="A8269" s="13"/>
      <c r="B8269" s="13"/>
      <c r="C8269" s="13"/>
      <c r="D8269" s="13"/>
    </row>
    <row r="8270" spans="1:4">
      <c r="A8270" s="13"/>
      <c r="B8270" s="13"/>
      <c r="C8270" s="13"/>
      <c r="D8270" s="13"/>
    </row>
    <row r="8271" spans="1:4">
      <c r="A8271" s="13"/>
      <c r="B8271" s="13"/>
      <c r="C8271" s="13"/>
      <c r="D8271" s="13"/>
    </row>
    <row r="8272" spans="1:4">
      <c r="A8272" s="13"/>
      <c r="B8272" s="13"/>
      <c r="C8272" s="13"/>
      <c r="D8272" s="13"/>
    </row>
    <row r="8273" spans="1:4">
      <c r="A8273" s="13"/>
      <c r="B8273" s="13"/>
      <c r="C8273" s="13"/>
      <c r="D8273" s="13"/>
    </row>
    <row r="8274" spans="1:4">
      <c r="A8274" s="13"/>
      <c r="B8274" s="13"/>
      <c r="C8274" s="13"/>
      <c r="D8274" s="13"/>
    </row>
    <row r="8275" spans="1:4">
      <c r="A8275" s="13"/>
      <c r="B8275" s="13"/>
      <c r="C8275" s="13"/>
      <c r="D8275" s="13"/>
    </row>
    <row r="8276" spans="1:4">
      <c r="A8276" s="13"/>
      <c r="B8276" s="13"/>
      <c r="C8276" s="13"/>
      <c r="D8276" s="13"/>
    </row>
    <row r="8277" spans="1:4">
      <c r="A8277" s="13"/>
      <c r="B8277" s="13"/>
      <c r="C8277" s="13"/>
      <c r="D8277" s="13"/>
    </row>
    <row r="8278" spans="1:4">
      <c r="A8278" s="13"/>
      <c r="B8278" s="13"/>
      <c r="C8278" s="13"/>
      <c r="D8278" s="13"/>
    </row>
    <row r="8279" spans="1:4">
      <c r="A8279" s="13"/>
      <c r="B8279" s="13"/>
      <c r="C8279" s="13"/>
      <c r="D8279" s="13"/>
    </row>
    <row r="8280" spans="1:4">
      <c r="A8280" s="13"/>
      <c r="B8280" s="13"/>
      <c r="C8280" s="13"/>
      <c r="D8280" s="13"/>
    </row>
    <row r="8281" spans="1:4">
      <c r="A8281" s="13"/>
      <c r="B8281" s="13"/>
      <c r="C8281" s="13"/>
      <c r="D8281" s="13"/>
    </row>
    <row r="8282" spans="1:4">
      <c r="A8282" s="13"/>
      <c r="B8282" s="13"/>
      <c r="C8282" s="13"/>
      <c r="D8282" s="13"/>
    </row>
    <row r="8283" spans="1:4">
      <c r="A8283" s="13"/>
      <c r="B8283" s="13"/>
      <c r="C8283" s="13"/>
      <c r="D8283" s="13"/>
    </row>
    <row r="8284" spans="1:4">
      <c r="A8284" s="13"/>
      <c r="B8284" s="13"/>
      <c r="C8284" s="13"/>
      <c r="D8284" s="13"/>
    </row>
    <row r="8285" spans="1:4">
      <c r="A8285" s="13"/>
      <c r="B8285" s="13"/>
      <c r="C8285" s="13"/>
      <c r="D8285" s="13"/>
    </row>
    <row r="8286" spans="1:4">
      <c r="A8286" s="13"/>
      <c r="B8286" s="13"/>
      <c r="C8286" s="13"/>
      <c r="D8286" s="13"/>
    </row>
    <row r="8287" spans="1:4">
      <c r="A8287" s="13"/>
      <c r="B8287" s="13"/>
      <c r="C8287" s="13"/>
      <c r="D8287" s="13"/>
    </row>
    <row r="8288" spans="1:4">
      <c r="A8288" s="13"/>
      <c r="B8288" s="13"/>
      <c r="C8288" s="13"/>
      <c r="D8288" s="13"/>
    </row>
    <row r="8289" spans="1:4">
      <c r="A8289" s="13"/>
      <c r="B8289" s="13"/>
      <c r="C8289" s="13"/>
      <c r="D8289" s="13"/>
    </row>
    <row r="8290" spans="1:4">
      <c r="A8290" s="13"/>
      <c r="B8290" s="13"/>
      <c r="C8290" s="13"/>
      <c r="D8290" s="13"/>
    </row>
    <row r="8291" spans="1:4">
      <c r="A8291" s="13"/>
      <c r="B8291" s="13"/>
      <c r="C8291" s="13"/>
      <c r="D8291" s="13"/>
    </row>
    <row r="8292" spans="1:4">
      <c r="A8292" s="13"/>
      <c r="B8292" s="13"/>
      <c r="C8292" s="13"/>
      <c r="D8292" s="13"/>
    </row>
    <row r="8293" spans="1:4">
      <c r="A8293" s="13"/>
      <c r="B8293" s="13"/>
      <c r="C8293" s="13"/>
      <c r="D8293" s="13"/>
    </row>
    <row r="8294" spans="1:4">
      <c r="A8294" s="13"/>
      <c r="B8294" s="13"/>
      <c r="C8294" s="13"/>
      <c r="D8294" s="13"/>
    </row>
    <row r="8295" spans="1:4">
      <c r="A8295" s="13"/>
      <c r="B8295" s="13"/>
      <c r="C8295" s="13"/>
      <c r="D8295" s="13"/>
    </row>
    <row r="8296" spans="1:4">
      <c r="A8296" s="13"/>
      <c r="B8296" s="13"/>
      <c r="C8296" s="13"/>
      <c r="D8296" s="13"/>
    </row>
    <row r="8297" spans="1:4">
      <c r="A8297" s="13"/>
      <c r="B8297" s="13"/>
      <c r="C8297" s="13"/>
      <c r="D8297" s="13"/>
    </row>
    <row r="8298" spans="1:4">
      <c r="A8298" s="13"/>
      <c r="B8298" s="13"/>
      <c r="C8298" s="13"/>
      <c r="D8298" s="13"/>
    </row>
    <row r="8299" spans="1:4">
      <c r="A8299" s="13"/>
      <c r="B8299" s="13"/>
      <c r="C8299" s="13"/>
      <c r="D8299" s="13"/>
    </row>
    <row r="8300" spans="1:4">
      <c r="A8300" s="13"/>
      <c r="B8300" s="13"/>
      <c r="C8300" s="13"/>
      <c r="D8300" s="13"/>
    </row>
    <row r="8301" spans="1:4">
      <c r="A8301" s="13"/>
      <c r="B8301" s="13"/>
      <c r="C8301" s="13"/>
      <c r="D8301" s="13"/>
    </row>
    <row r="8302" spans="1:4">
      <c r="A8302" s="13"/>
      <c r="B8302" s="13"/>
      <c r="C8302" s="13"/>
      <c r="D8302" s="13"/>
    </row>
    <row r="8303" spans="1:4">
      <c r="A8303" s="13"/>
      <c r="B8303" s="13"/>
      <c r="C8303" s="13"/>
      <c r="D8303" s="13"/>
    </row>
    <row r="8304" spans="1:4">
      <c r="A8304" s="13"/>
      <c r="B8304" s="13"/>
      <c r="C8304" s="13"/>
      <c r="D8304" s="13"/>
    </row>
    <row r="8305" spans="1:4">
      <c r="A8305" s="13"/>
      <c r="B8305" s="13"/>
      <c r="C8305" s="13"/>
      <c r="D8305" s="13"/>
    </row>
    <row r="8306" spans="1:4">
      <c r="A8306" s="13"/>
      <c r="B8306" s="13"/>
      <c r="C8306" s="13"/>
      <c r="D8306" s="13"/>
    </row>
    <row r="8307" spans="1:4">
      <c r="A8307" s="13"/>
      <c r="B8307" s="13"/>
      <c r="C8307" s="13"/>
      <c r="D8307" s="13"/>
    </row>
    <row r="8308" spans="1:4">
      <c r="A8308" s="13"/>
      <c r="B8308" s="13"/>
      <c r="C8308" s="13"/>
      <c r="D8308" s="13"/>
    </row>
    <row r="8309" spans="1:4">
      <c r="A8309" s="13"/>
      <c r="B8309" s="13"/>
      <c r="C8309" s="13"/>
      <c r="D8309" s="13"/>
    </row>
    <row r="8310" spans="1:4">
      <c r="A8310" s="13"/>
      <c r="B8310" s="13"/>
      <c r="C8310" s="13"/>
      <c r="D8310" s="13"/>
    </row>
    <row r="8311" spans="1:4">
      <c r="A8311" s="13"/>
      <c r="B8311" s="13"/>
      <c r="C8311" s="13"/>
      <c r="D8311" s="13"/>
    </row>
    <row r="8312" spans="1:4">
      <c r="A8312" s="13"/>
      <c r="B8312" s="13"/>
      <c r="C8312" s="13"/>
      <c r="D8312" s="13"/>
    </row>
    <row r="8313" spans="1:4">
      <c r="A8313" s="13"/>
      <c r="B8313" s="13"/>
      <c r="C8313" s="13"/>
      <c r="D8313" s="13"/>
    </row>
    <row r="8314" spans="1:4">
      <c r="A8314" s="13"/>
      <c r="B8314" s="13"/>
      <c r="C8314" s="13"/>
      <c r="D8314" s="13"/>
    </row>
    <row r="8315" spans="1:4">
      <c r="A8315" s="13"/>
      <c r="B8315" s="13"/>
      <c r="C8315" s="13"/>
      <c r="D8315" s="13"/>
    </row>
    <row r="8316" spans="1:4">
      <c r="A8316" s="13"/>
      <c r="B8316" s="13"/>
      <c r="C8316" s="13"/>
      <c r="D8316" s="13"/>
    </row>
    <row r="8317" spans="1:4">
      <c r="A8317" s="13"/>
      <c r="B8317" s="13"/>
      <c r="C8317" s="13"/>
      <c r="D8317" s="13"/>
    </row>
    <row r="8318" spans="1:4">
      <c r="A8318" s="13"/>
      <c r="B8318" s="13"/>
      <c r="C8318" s="13"/>
      <c r="D8318" s="13"/>
    </row>
    <row r="8319" spans="1:4">
      <c r="A8319" s="13"/>
      <c r="B8319" s="13"/>
      <c r="C8319" s="13"/>
      <c r="D8319" s="13"/>
    </row>
    <row r="8320" spans="1:4">
      <c r="A8320" s="13"/>
      <c r="B8320" s="13"/>
      <c r="C8320" s="13"/>
      <c r="D8320" s="13"/>
    </row>
    <row r="8321" spans="1:4">
      <c r="A8321" s="13"/>
      <c r="B8321" s="13"/>
      <c r="C8321" s="13"/>
      <c r="D8321" s="13"/>
    </row>
    <row r="8322" spans="1:4">
      <c r="A8322" s="13"/>
      <c r="B8322" s="13"/>
      <c r="C8322" s="13"/>
      <c r="D8322" s="13"/>
    </row>
    <row r="8323" spans="1:4">
      <c r="A8323" s="13"/>
      <c r="B8323" s="13"/>
      <c r="C8323" s="13"/>
      <c r="D8323" s="13"/>
    </row>
    <row r="8324" spans="1:4">
      <c r="A8324" s="13"/>
      <c r="B8324" s="13"/>
      <c r="C8324" s="13"/>
      <c r="D8324" s="13"/>
    </row>
    <row r="8325" spans="1:4">
      <c r="A8325" s="13"/>
      <c r="B8325" s="13"/>
      <c r="C8325" s="13"/>
      <c r="D8325" s="13"/>
    </row>
    <row r="8326" spans="1:4">
      <c r="A8326" s="13"/>
      <c r="B8326" s="13"/>
      <c r="C8326" s="13"/>
      <c r="D8326" s="13"/>
    </row>
    <row r="8327" spans="1:4">
      <c r="A8327" s="13"/>
      <c r="B8327" s="13"/>
      <c r="C8327" s="13"/>
      <c r="D8327" s="13"/>
    </row>
    <row r="8328" spans="1:4">
      <c r="A8328" s="13"/>
      <c r="B8328" s="13"/>
      <c r="C8328" s="13"/>
      <c r="D8328" s="13"/>
    </row>
    <row r="8329" spans="1:4">
      <c r="A8329" s="13"/>
      <c r="B8329" s="13"/>
      <c r="C8329" s="13"/>
      <c r="D8329" s="13"/>
    </row>
    <row r="8330" spans="1:4">
      <c r="A8330" s="13"/>
      <c r="B8330" s="13"/>
      <c r="C8330" s="13"/>
      <c r="D8330" s="13"/>
    </row>
    <row r="8331" spans="1:4">
      <c r="A8331" s="13"/>
      <c r="B8331" s="13"/>
      <c r="C8331" s="13"/>
      <c r="D8331" s="13"/>
    </row>
    <row r="8332" spans="1:4">
      <c r="A8332" s="13"/>
      <c r="B8332" s="13"/>
      <c r="C8332" s="13"/>
      <c r="D8332" s="13"/>
    </row>
    <row r="8333" spans="1:4">
      <c r="A8333" s="13"/>
      <c r="B8333" s="13"/>
      <c r="C8333" s="13"/>
      <c r="D8333" s="13"/>
    </row>
    <row r="8334" spans="1:4">
      <c r="A8334" s="13"/>
      <c r="B8334" s="13"/>
      <c r="C8334" s="13"/>
      <c r="D8334" s="13"/>
    </row>
    <row r="8335" spans="1:4">
      <c r="A8335" s="13"/>
      <c r="B8335" s="13"/>
      <c r="C8335" s="13"/>
      <c r="D8335" s="13"/>
    </row>
    <row r="8336" spans="1:4">
      <c r="A8336" s="13"/>
      <c r="B8336" s="13"/>
      <c r="C8336" s="13"/>
      <c r="D8336" s="13"/>
    </row>
    <row r="8337" spans="1:4">
      <c r="A8337" s="13"/>
      <c r="B8337" s="13"/>
      <c r="C8337" s="13"/>
      <c r="D8337" s="13"/>
    </row>
    <row r="8338" spans="1:4">
      <c r="A8338" s="13"/>
      <c r="B8338" s="13"/>
      <c r="C8338" s="13"/>
      <c r="D8338" s="13"/>
    </row>
    <row r="8339" spans="1:4">
      <c r="A8339" s="13"/>
      <c r="B8339" s="13"/>
      <c r="C8339" s="13"/>
      <c r="D8339" s="13"/>
    </row>
    <row r="8340" spans="1:4">
      <c r="A8340" s="13"/>
      <c r="B8340" s="13"/>
      <c r="C8340" s="13"/>
      <c r="D8340" s="13"/>
    </row>
    <row r="8341" spans="1:4">
      <c r="A8341" s="13"/>
      <c r="B8341" s="13"/>
      <c r="C8341" s="13"/>
      <c r="D8341" s="13"/>
    </row>
    <row r="8342" spans="1:4">
      <c r="A8342" s="13"/>
      <c r="B8342" s="13"/>
      <c r="C8342" s="13"/>
      <c r="D8342" s="13"/>
    </row>
    <row r="8343" spans="1:4">
      <c r="A8343" s="13"/>
      <c r="B8343" s="13"/>
      <c r="C8343" s="13"/>
      <c r="D8343" s="13"/>
    </row>
    <row r="8344" spans="1:4">
      <c r="A8344" s="13"/>
      <c r="B8344" s="13"/>
      <c r="C8344" s="13"/>
      <c r="D8344" s="13"/>
    </row>
    <row r="8345" spans="1:4">
      <c r="A8345" s="13"/>
      <c r="B8345" s="13"/>
      <c r="C8345" s="13"/>
      <c r="D8345" s="13"/>
    </row>
    <row r="8346" spans="1:4">
      <c r="A8346" s="13"/>
      <c r="B8346" s="13"/>
      <c r="C8346" s="13"/>
      <c r="D8346" s="13"/>
    </row>
    <row r="8347" spans="1:4">
      <c r="A8347" s="13"/>
      <c r="B8347" s="13"/>
      <c r="C8347" s="13"/>
      <c r="D8347" s="13"/>
    </row>
    <row r="8348" spans="1:4">
      <c r="A8348" s="13"/>
      <c r="B8348" s="13"/>
      <c r="C8348" s="13"/>
      <c r="D8348" s="13"/>
    </row>
    <row r="8349" spans="1:4">
      <c r="A8349" s="13"/>
      <c r="B8349" s="13"/>
      <c r="C8349" s="13"/>
      <c r="D8349" s="13"/>
    </row>
    <row r="8350" spans="1:4">
      <c r="A8350" s="13"/>
      <c r="B8350" s="13"/>
      <c r="C8350" s="13"/>
      <c r="D8350" s="13"/>
    </row>
    <row r="8351" spans="1:4">
      <c r="A8351" s="13"/>
      <c r="B8351" s="13"/>
      <c r="C8351" s="13"/>
      <c r="D8351" s="13"/>
    </row>
    <row r="8352" spans="1:4">
      <c r="A8352" s="13"/>
      <c r="B8352" s="13"/>
      <c r="C8352" s="13"/>
      <c r="D8352" s="13"/>
    </row>
    <row r="8353" spans="1:4">
      <c r="A8353" s="13"/>
      <c r="B8353" s="13"/>
      <c r="C8353" s="13"/>
      <c r="D8353" s="13"/>
    </row>
    <row r="8354" spans="1:4">
      <c r="A8354" s="13"/>
      <c r="B8354" s="13"/>
      <c r="C8354" s="13"/>
      <c r="D8354" s="13"/>
    </row>
    <row r="8355" spans="1:4">
      <c r="A8355" s="13"/>
      <c r="B8355" s="13"/>
      <c r="C8355" s="13"/>
      <c r="D8355" s="13"/>
    </row>
    <row r="8356" spans="1:4">
      <c r="A8356" s="13"/>
      <c r="B8356" s="13"/>
      <c r="C8356" s="13"/>
      <c r="D8356" s="13"/>
    </row>
    <row r="8357" spans="1:4">
      <c r="A8357" s="13"/>
      <c r="B8357" s="13"/>
      <c r="C8357" s="13"/>
      <c r="D8357" s="13"/>
    </row>
    <row r="8358" spans="1:4">
      <c r="A8358" s="13"/>
      <c r="B8358" s="13"/>
      <c r="C8358" s="13"/>
      <c r="D8358" s="13"/>
    </row>
    <row r="8359" spans="1:4">
      <c r="A8359" s="13"/>
      <c r="B8359" s="13"/>
      <c r="C8359" s="13"/>
      <c r="D8359" s="13"/>
    </row>
    <row r="8360" spans="1:4">
      <c r="A8360" s="13"/>
      <c r="B8360" s="13"/>
      <c r="C8360" s="13"/>
      <c r="D8360" s="13"/>
    </row>
    <row r="8361" spans="1:4">
      <c r="A8361" s="13"/>
      <c r="B8361" s="13"/>
      <c r="C8361" s="13"/>
      <c r="D8361" s="13"/>
    </row>
    <row r="8362" spans="1:4">
      <c r="A8362" s="13"/>
      <c r="B8362" s="13"/>
      <c r="C8362" s="13"/>
      <c r="D8362" s="13"/>
    </row>
    <row r="8363" spans="1:4">
      <c r="A8363" s="13"/>
      <c r="B8363" s="13"/>
      <c r="C8363" s="13"/>
      <c r="D8363" s="13"/>
    </row>
    <row r="8364" spans="1:4">
      <c r="A8364" s="13"/>
      <c r="B8364" s="13"/>
      <c r="C8364" s="13"/>
      <c r="D8364" s="13"/>
    </row>
    <row r="8365" spans="1:4">
      <c r="A8365" s="13"/>
      <c r="B8365" s="13"/>
      <c r="C8365" s="13"/>
      <c r="D8365" s="13"/>
    </row>
    <row r="8366" spans="1:4">
      <c r="A8366" s="13"/>
      <c r="B8366" s="13"/>
      <c r="C8366" s="13"/>
      <c r="D8366" s="13"/>
    </row>
    <row r="8367" spans="1:4">
      <c r="A8367" s="13"/>
      <c r="B8367" s="13"/>
      <c r="C8367" s="13"/>
      <c r="D8367" s="13"/>
    </row>
    <row r="8368" spans="1:4">
      <c r="A8368" s="13"/>
      <c r="B8368" s="13"/>
      <c r="C8368" s="13"/>
      <c r="D8368" s="13"/>
    </row>
    <row r="8369" spans="1:4">
      <c r="A8369" s="13"/>
      <c r="B8369" s="13"/>
      <c r="C8369" s="13"/>
      <c r="D8369" s="13"/>
    </row>
    <row r="8370" spans="1:4">
      <c r="A8370" s="13"/>
      <c r="B8370" s="13"/>
      <c r="C8370" s="13"/>
      <c r="D8370" s="13"/>
    </row>
    <row r="8371" spans="1:4">
      <c r="A8371" s="13"/>
      <c r="B8371" s="13"/>
      <c r="C8371" s="13"/>
      <c r="D8371" s="13"/>
    </row>
    <row r="8372" spans="1:4">
      <c r="A8372" s="13"/>
      <c r="B8372" s="13"/>
      <c r="C8372" s="13"/>
      <c r="D8372" s="13"/>
    </row>
    <row r="8373" spans="1:4">
      <c r="A8373" s="13"/>
      <c r="B8373" s="13"/>
      <c r="C8373" s="13"/>
      <c r="D8373" s="13"/>
    </row>
    <row r="8374" spans="1:4">
      <c r="A8374" s="13"/>
      <c r="B8374" s="13"/>
      <c r="C8374" s="13"/>
      <c r="D8374" s="13"/>
    </row>
    <row r="8375" spans="1:4">
      <c r="A8375" s="13"/>
      <c r="B8375" s="13"/>
      <c r="C8375" s="13"/>
      <c r="D8375" s="13"/>
    </row>
    <row r="8376" spans="1:4">
      <c r="A8376" s="13"/>
      <c r="B8376" s="13"/>
      <c r="C8376" s="13"/>
      <c r="D8376" s="13"/>
    </row>
    <row r="8377" spans="1:4">
      <c r="A8377" s="13"/>
      <c r="B8377" s="13"/>
      <c r="C8377" s="13"/>
      <c r="D8377" s="13"/>
    </row>
    <row r="8378" spans="1:4">
      <c r="A8378" s="13"/>
      <c r="B8378" s="13"/>
      <c r="C8378" s="13"/>
      <c r="D8378" s="13"/>
    </row>
    <row r="8379" spans="1:4">
      <c r="A8379" s="13"/>
      <c r="B8379" s="13"/>
      <c r="C8379" s="13"/>
      <c r="D8379" s="13"/>
    </row>
    <row r="8380" spans="1:4">
      <c r="A8380" s="13"/>
      <c r="B8380" s="13"/>
      <c r="C8380" s="13"/>
      <c r="D8380" s="13"/>
    </row>
    <row r="8381" spans="1:4">
      <c r="A8381" s="13"/>
      <c r="B8381" s="13"/>
      <c r="C8381" s="13"/>
      <c r="D8381" s="13"/>
    </row>
    <row r="8382" spans="1:4">
      <c r="A8382" s="13"/>
      <c r="B8382" s="13"/>
      <c r="C8382" s="13"/>
      <c r="D8382" s="13"/>
    </row>
    <row r="8383" spans="1:4">
      <c r="A8383" s="13"/>
      <c r="B8383" s="13"/>
      <c r="C8383" s="13"/>
      <c r="D8383" s="13"/>
    </row>
    <row r="8384" spans="1:4">
      <c r="A8384" s="13"/>
      <c r="B8384" s="13"/>
      <c r="C8384" s="13"/>
      <c r="D8384" s="13"/>
    </row>
    <row r="8385" spans="1:4">
      <c r="A8385" s="13"/>
      <c r="B8385" s="13"/>
      <c r="C8385" s="13"/>
      <c r="D8385" s="13"/>
    </row>
    <row r="8386" spans="1:4">
      <c r="A8386" s="13"/>
      <c r="B8386" s="13"/>
      <c r="C8386" s="13"/>
      <c r="D8386" s="13"/>
    </row>
    <row r="8387" spans="1:4">
      <c r="A8387" s="13"/>
      <c r="B8387" s="13"/>
      <c r="C8387" s="13"/>
      <c r="D8387" s="13"/>
    </row>
    <row r="8388" spans="1:4">
      <c r="A8388" s="13"/>
      <c r="B8388" s="13"/>
      <c r="C8388" s="13"/>
      <c r="D8388" s="13"/>
    </row>
    <row r="8389" spans="1:4">
      <c r="A8389" s="13"/>
      <c r="B8389" s="13"/>
      <c r="C8389" s="13"/>
      <c r="D8389" s="13"/>
    </row>
    <row r="8390" spans="1:4">
      <c r="A8390" s="13"/>
      <c r="B8390" s="13"/>
      <c r="C8390" s="13"/>
      <c r="D8390" s="13"/>
    </row>
    <row r="8391" spans="1:4">
      <c r="A8391" s="13"/>
      <c r="B8391" s="13"/>
      <c r="C8391" s="13"/>
      <c r="D8391" s="13"/>
    </row>
    <row r="8392" spans="1:4">
      <c r="A8392" s="13"/>
      <c r="B8392" s="13"/>
      <c r="C8392" s="13"/>
      <c r="D8392" s="13"/>
    </row>
    <row r="8393" spans="1:4">
      <c r="A8393" s="13"/>
      <c r="B8393" s="13"/>
      <c r="C8393" s="13"/>
      <c r="D8393" s="13"/>
    </row>
    <row r="8394" spans="1:4">
      <c r="A8394" s="13"/>
      <c r="B8394" s="13"/>
      <c r="C8394" s="13"/>
      <c r="D8394" s="13"/>
    </row>
    <row r="8395" spans="1:4">
      <c r="A8395" s="13"/>
      <c r="B8395" s="13"/>
      <c r="C8395" s="13"/>
      <c r="D8395" s="13"/>
    </row>
    <row r="8396" spans="1:4">
      <c r="A8396" s="13"/>
      <c r="B8396" s="13"/>
      <c r="C8396" s="13"/>
      <c r="D8396" s="13"/>
    </row>
    <row r="8397" spans="1:4">
      <c r="A8397" s="13"/>
      <c r="B8397" s="13"/>
      <c r="C8397" s="13"/>
      <c r="D8397" s="13"/>
    </row>
    <row r="8398" spans="1:4">
      <c r="A8398" s="13"/>
      <c r="B8398" s="13"/>
      <c r="C8398" s="13"/>
      <c r="D8398" s="13"/>
    </row>
    <row r="8399" spans="1:4">
      <c r="A8399" s="13"/>
      <c r="B8399" s="13"/>
      <c r="C8399" s="13"/>
      <c r="D8399" s="13"/>
    </row>
    <row r="8400" spans="1:4">
      <c r="A8400" s="13"/>
      <c r="B8400" s="13"/>
      <c r="C8400" s="13"/>
      <c r="D8400" s="13"/>
    </row>
    <row r="8401" spans="1:4">
      <c r="A8401" s="13"/>
      <c r="B8401" s="13"/>
      <c r="C8401" s="13"/>
      <c r="D8401" s="13"/>
    </row>
    <row r="8402" spans="1:4">
      <c r="A8402" s="13"/>
      <c r="B8402" s="13"/>
      <c r="C8402" s="13"/>
      <c r="D8402" s="13"/>
    </row>
    <row r="8403" spans="1:4">
      <c r="A8403" s="13"/>
      <c r="B8403" s="13"/>
      <c r="C8403" s="13"/>
      <c r="D8403" s="13"/>
    </row>
    <row r="8404" spans="1:4">
      <c r="A8404" s="13"/>
      <c r="B8404" s="13"/>
      <c r="C8404" s="13"/>
      <c r="D8404" s="13"/>
    </row>
    <row r="8405" spans="1:4">
      <c r="A8405" s="13"/>
      <c r="B8405" s="13"/>
      <c r="C8405" s="13"/>
      <c r="D8405" s="13"/>
    </row>
    <row r="8406" spans="1:4">
      <c r="A8406" s="13"/>
      <c r="B8406" s="13"/>
      <c r="C8406" s="13"/>
      <c r="D8406" s="13"/>
    </row>
    <row r="8407" spans="1:4">
      <c r="A8407" s="13"/>
      <c r="B8407" s="13"/>
      <c r="C8407" s="13"/>
      <c r="D8407" s="13"/>
    </row>
    <row r="8408" spans="1:4">
      <c r="A8408" s="13"/>
      <c r="B8408" s="13"/>
      <c r="C8408" s="13"/>
      <c r="D8408" s="13"/>
    </row>
    <row r="8409" spans="1:4">
      <c r="A8409" s="13"/>
      <c r="B8409" s="13"/>
      <c r="C8409" s="13"/>
      <c r="D8409" s="13"/>
    </row>
    <row r="8410" spans="1:4">
      <c r="A8410" s="13"/>
      <c r="B8410" s="13"/>
      <c r="C8410" s="13"/>
      <c r="D8410" s="13"/>
    </row>
    <row r="8411" spans="1:4">
      <c r="A8411" s="13"/>
      <c r="B8411" s="13"/>
      <c r="C8411" s="13"/>
      <c r="D8411" s="13"/>
    </row>
    <row r="8412" spans="1:4">
      <c r="A8412" s="13"/>
      <c r="B8412" s="13"/>
      <c r="C8412" s="13"/>
      <c r="D8412" s="13"/>
    </row>
    <row r="8413" spans="1:4">
      <c r="A8413" s="13"/>
      <c r="B8413" s="13"/>
      <c r="C8413" s="13"/>
      <c r="D8413" s="13"/>
    </row>
    <row r="8414" spans="1:4">
      <c r="A8414" s="13"/>
      <c r="B8414" s="13"/>
      <c r="C8414" s="13"/>
      <c r="D8414" s="13"/>
    </row>
    <row r="8415" spans="1:4">
      <c r="A8415" s="13"/>
      <c r="B8415" s="13"/>
      <c r="C8415" s="13"/>
      <c r="D8415" s="13"/>
    </row>
    <row r="8416" spans="1:4">
      <c r="A8416" s="13"/>
      <c r="B8416" s="13"/>
      <c r="C8416" s="13"/>
      <c r="D8416" s="13"/>
    </row>
    <row r="8417" spans="1:4">
      <c r="A8417" s="13"/>
      <c r="B8417" s="13"/>
      <c r="C8417" s="13"/>
      <c r="D8417" s="13"/>
    </row>
    <row r="8418" spans="1:4">
      <c r="A8418" s="13"/>
      <c r="B8418" s="13"/>
      <c r="C8418" s="13"/>
      <c r="D8418" s="13"/>
    </row>
    <row r="8419" spans="1:4">
      <c r="A8419" s="13"/>
      <c r="B8419" s="13"/>
      <c r="C8419" s="13"/>
      <c r="D8419" s="13"/>
    </row>
    <row r="8420" spans="1:4">
      <c r="A8420" s="13"/>
      <c r="B8420" s="13"/>
      <c r="C8420" s="13"/>
      <c r="D8420" s="13"/>
    </row>
    <row r="8421" spans="1:4">
      <c r="A8421" s="13"/>
      <c r="B8421" s="13"/>
      <c r="C8421" s="13"/>
      <c r="D8421" s="13"/>
    </row>
    <row r="8422" spans="1:4">
      <c r="A8422" s="13"/>
      <c r="B8422" s="13"/>
      <c r="C8422" s="13"/>
      <c r="D8422" s="13"/>
    </row>
    <row r="8423" spans="1:4">
      <c r="A8423" s="13"/>
      <c r="B8423" s="13"/>
      <c r="C8423" s="13"/>
      <c r="D8423" s="13"/>
    </row>
    <row r="8424" spans="1:4">
      <c r="A8424" s="13"/>
      <c r="B8424" s="13"/>
      <c r="C8424" s="13"/>
      <c r="D8424" s="13"/>
    </row>
    <row r="8425" spans="1:4">
      <c r="A8425" s="13"/>
      <c r="B8425" s="13"/>
      <c r="C8425" s="13"/>
      <c r="D8425" s="13"/>
    </row>
    <row r="8426" spans="1:4">
      <c r="A8426" s="13"/>
      <c r="B8426" s="13"/>
      <c r="C8426" s="13"/>
      <c r="D8426" s="13"/>
    </row>
    <row r="8427" spans="1:4">
      <c r="A8427" s="13"/>
      <c r="B8427" s="13"/>
      <c r="C8427" s="13"/>
      <c r="D8427" s="13"/>
    </row>
    <row r="8428" spans="1:4">
      <c r="A8428" s="13"/>
      <c r="B8428" s="13"/>
      <c r="C8428" s="13"/>
      <c r="D8428" s="13"/>
    </row>
    <row r="8429" spans="1:4">
      <c r="A8429" s="13"/>
      <c r="B8429" s="13"/>
      <c r="C8429" s="13"/>
      <c r="D8429" s="13"/>
    </row>
    <row r="8430" spans="1:4">
      <c r="A8430" s="13"/>
      <c r="B8430" s="13"/>
      <c r="C8430" s="13"/>
      <c r="D8430" s="13"/>
    </row>
    <row r="8431" spans="1:4">
      <c r="A8431" s="13"/>
      <c r="B8431" s="13"/>
      <c r="C8431" s="13"/>
      <c r="D8431" s="13"/>
    </row>
    <row r="8432" spans="1:4">
      <c r="A8432" s="13"/>
      <c r="B8432" s="13"/>
      <c r="C8432" s="13"/>
      <c r="D8432" s="13"/>
    </row>
    <row r="8433" spans="1:4">
      <c r="A8433" s="13"/>
      <c r="B8433" s="13"/>
      <c r="C8433" s="13"/>
      <c r="D8433" s="13"/>
    </row>
    <row r="8434" spans="1:4">
      <c r="A8434" s="13"/>
      <c r="B8434" s="13"/>
      <c r="C8434" s="13"/>
      <c r="D8434" s="13"/>
    </row>
    <row r="8435" spans="1:4">
      <c r="A8435" s="13"/>
      <c r="B8435" s="13"/>
      <c r="C8435" s="13"/>
      <c r="D8435" s="13"/>
    </row>
    <row r="8436" spans="1:4">
      <c r="A8436" s="13"/>
      <c r="B8436" s="13"/>
      <c r="C8436" s="13"/>
      <c r="D8436" s="13"/>
    </row>
    <row r="8437" spans="1:4">
      <c r="A8437" s="13"/>
      <c r="B8437" s="13"/>
      <c r="C8437" s="13"/>
      <c r="D8437" s="13"/>
    </row>
    <row r="8438" spans="1:4">
      <c r="A8438" s="13"/>
      <c r="B8438" s="13"/>
      <c r="C8438" s="13"/>
      <c r="D8438" s="13"/>
    </row>
    <row r="8439" spans="1:4">
      <c r="A8439" s="13"/>
      <c r="B8439" s="13"/>
      <c r="C8439" s="13"/>
      <c r="D8439" s="13"/>
    </row>
    <row r="8440" spans="1:4">
      <c r="A8440" s="13"/>
      <c r="B8440" s="13"/>
      <c r="C8440" s="13"/>
      <c r="D8440" s="13"/>
    </row>
    <row r="8441" spans="1:4">
      <c r="A8441" s="13"/>
      <c r="B8441" s="13"/>
      <c r="C8441" s="13"/>
      <c r="D8441" s="13"/>
    </row>
    <row r="8442" spans="1:4">
      <c r="A8442" s="13"/>
      <c r="B8442" s="13"/>
      <c r="C8442" s="13"/>
      <c r="D8442" s="13"/>
    </row>
    <row r="8443" spans="1:4">
      <c r="A8443" s="13"/>
      <c r="B8443" s="13"/>
      <c r="C8443" s="13"/>
      <c r="D8443" s="13"/>
    </row>
    <row r="8444" spans="1:4">
      <c r="A8444" s="13"/>
      <c r="B8444" s="13"/>
      <c r="C8444" s="13"/>
      <c r="D8444" s="13"/>
    </row>
    <row r="8445" spans="1:4">
      <c r="A8445" s="13"/>
      <c r="B8445" s="13"/>
      <c r="C8445" s="13"/>
      <c r="D8445" s="13"/>
    </row>
    <row r="8446" spans="1:4">
      <c r="A8446" s="13"/>
      <c r="B8446" s="13"/>
      <c r="C8446" s="13"/>
      <c r="D8446" s="13"/>
    </row>
    <row r="8447" spans="1:4">
      <c r="A8447" s="13"/>
      <c r="B8447" s="13"/>
      <c r="C8447" s="13"/>
      <c r="D8447" s="13"/>
    </row>
    <row r="8448" spans="1:4">
      <c r="A8448" s="13"/>
      <c r="B8448" s="13"/>
      <c r="C8448" s="13"/>
      <c r="D8448" s="13"/>
    </row>
    <row r="8449" spans="1:4">
      <c r="A8449" s="13"/>
      <c r="B8449" s="13"/>
      <c r="C8449" s="13"/>
      <c r="D8449" s="13"/>
    </row>
    <row r="8450" spans="1:4">
      <c r="A8450" s="13"/>
      <c r="B8450" s="13"/>
      <c r="C8450" s="13"/>
      <c r="D8450" s="13"/>
    </row>
    <row r="8451" spans="1:4">
      <c r="A8451" s="13"/>
      <c r="B8451" s="13"/>
      <c r="C8451" s="13"/>
      <c r="D8451" s="13"/>
    </row>
    <row r="8452" spans="1:4">
      <c r="A8452" s="13"/>
      <c r="B8452" s="13"/>
      <c r="C8452" s="13"/>
      <c r="D8452" s="13"/>
    </row>
    <row r="8453" spans="1:4">
      <c r="A8453" s="13"/>
      <c r="B8453" s="13"/>
      <c r="C8453" s="13"/>
      <c r="D8453" s="13"/>
    </row>
    <row r="8454" spans="1:4">
      <c r="A8454" s="13"/>
      <c r="B8454" s="13"/>
      <c r="C8454" s="13"/>
      <c r="D8454" s="13"/>
    </row>
    <row r="8455" spans="1:4">
      <c r="A8455" s="13"/>
      <c r="B8455" s="13"/>
      <c r="C8455" s="13"/>
      <c r="D8455" s="13"/>
    </row>
    <row r="8456" spans="1:4">
      <c r="A8456" s="13"/>
      <c r="B8456" s="13"/>
      <c r="C8456" s="13"/>
      <c r="D8456" s="13"/>
    </row>
    <row r="8457" spans="1:4">
      <c r="A8457" s="13"/>
      <c r="B8457" s="13"/>
      <c r="C8457" s="13"/>
      <c r="D8457" s="13"/>
    </row>
    <row r="8458" spans="1:4">
      <c r="A8458" s="13"/>
      <c r="B8458" s="13"/>
      <c r="C8458" s="13"/>
      <c r="D8458" s="13"/>
    </row>
    <row r="8459" spans="1:4">
      <c r="A8459" s="13"/>
      <c r="B8459" s="13"/>
      <c r="C8459" s="13"/>
      <c r="D8459" s="13"/>
    </row>
    <row r="8460" spans="1:4">
      <c r="A8460" s="13"/>
      <c r="B8460" s="13"/>
      <c r="C8460" s="13"/>
      <c r="D8460" s="13"/>
    </row>
    <row r="8461" spans="1:4">
      <c r="A8461" s="13"/>
      <c r="B8461" s="13"/>
      <c r="C8461" s="13"/>
      <c r="D8461" s="13"/>
    </row>
    <row r="8462" spans="1:4">
      <c r="A8462" s="13"/>
      <c r="B8462" s="13"/>
      <c r="C8462" s="13"/>
      <c r="D8462" s="13"/>
    </row>
    <row r="8463" spans="1:4">
      <c r="A8463" s="13"/>
      <c r="B8463" s="13"/>
      <c r="C8463" s="13"/>
      <c r="D8463" s="13"/>
    </row>
    <row r="8464" spans="1:4">
      <c r="A8464" s="13"/>
      <c r="B8464" s="13"/>
      <c r="C8464" s="13"/>
      <c r="D8464" s="13"/>
    </row>
    <row r="8465" spans="1:4">
      <c r="A8465" s="13"/>
      <c r="B8465" s="13"/>
      <c r="C8465" s="13"/>
      <c r="D8465" s="13"/>
    </row>
    <row r="8466" spans="1:4">
      <c r="A8466" s="13"/>
      <c r="B8466" s="13"/>
      <c r="C8466" s="13"/>
      <c r="D8466" s="13"/>
    </row>
    <row r="8467" spans="1:4">
      <c r="A8467" s="13"/>
      <c r="B8467" s="13"/>
      <c r="C8467" s="13"/>
      <c r="D8467" s="13"/>
    </row>
    <row r="8468" spans="1:4">
      <c r="A8468" s="13"/>
      <c r="B8468" s="13"/>
      <c r="C8468" s="13"/>
      <c r="D8468" s="13"/>
    </row>
    <row r="8469" spans="1:4">
      <c r="A8469" s="13"/>
      <c r="B8469" s="13"/>
      <c r="C8469" s="13"/>
      <c r="D8469" s="13"/>
    </row>
    <row r="8470" spans="1:4">
      <c r="A8470" s="13"/>
      <c r="B8470" s="13"/>
      <c r="C8470" s="13"/>
      <c r="D8470" s="13"/>
    </row>
    <row r="8471" spans="1:4">
      <c r="A8471" s="13"/>
      <c r="B8471" s="13"/>
      <c r="C8471" s="13"/>
      <c r="D8471" s="13"/>
    </row>
    <row r="8472" spans="1:4">
      <c r="A8472" s="13"/>
      <c r="B8472" s="13"/>
      <c r="C8472" s="13"/>
      <c r="D8472" s="13"/>
    </row>
    <row r="8473" spans="1:4">
      <c r="A8473" s="13"/>
      <c r="B8473" s="13"/>
      <c r="C8473" s="13"/>
      <c r="D8473" s="13"/>
    </row>
    <row r="8474" spans="1:4">
      <c r="A8474" s="13"/>
      <c r="B8474" s="13"/>
      <c r="C8474" s="13"/>
      <c r="D8474" s="13"/>
    </row>
    <row r="8475" spans="1:4">
      <c r="A8475" s="13"/>
      <c r="B8475" s="13"/>
      <c r="C8475" s="13"/>
      <c r="D8475" s="13"/>
    </row>
    <row r="8476" spans="1:4">
      <c r="A8476" s="13"/>
      <c r="B8476" s="13"/>
      <c r="C8476" s="13"/>
      <c r="D8476" s="13"/>
    </row>
    <row r="8477" spans="1:4">
      <c r="A8477" s="13"/>
      <c r="B8477" s="13"/>
      <c r="C8477" s="13"/>
      <c r="D8477" s="13"/>
    </row>
    <row r="8478" spans="1:4">
      <c r="A8478" s="13"/>
      <c r="B8478" s="13"/>
      <c r="C8478" s="13"/>
      <c r="D8478" s="13"/>
    </row>
    <row r="8479" spans="1:4">
      <c r="A8479" s="13"/>
      <c r="B8479" s="13"/>
      <c r="C8479" s="13"/>
      <c r="D8479" s="13"/>
    </row>
    <row r="8480" spans="1:4">
      <c r="A8480" s="13"/>
      <c r="B8480" s="13"/>
      <c r="C8480" s="13"/>
      <c r="D8480" s="13"/>
    </row>
    <row r="8481" spans="1:4">
      <c r="A8481" s="13"/>
      <c r="B8481" s="13"/>
      <c r="C8481" s="13"/>
      <c r="D8481" s="13"/>
    </row>
    <row r="8482" spans="1:4">
      <c r="A8482" s="13"/>
      <c r="B8482" s="13"/>
      <c r="C8482" s="13"/>
      <c r="D8482" s="13"/>
    </row>
    <row r="8483" spans="1:4">
      <c r="A8483" s="13"/>
      <c r="B8483" s="13"/>
      <c r="C8483" s="13"/>
      <c r="D8483" s="13"/>
    </row>
    <row r="8484" spans="1:4">
      <c r="A8484" s="13"/>
      <c r="B8484" s="13"/>
      <c r="C8484" s="13"/>
      <c r="D8484" s="13"/>
    </row>
    <row r="8485" spans="1:4">
      <c r="A8485" s="13"/>
      <c r="B8485" s="13"/>
      <c r="C8485" s="13"/>
      <c r="D8485" s="13"/>
    </row>
    <row r="8486" spans="1:4">
      <c r="A8486" s="13"/>
      <c r="B8486" s="13"/>
      <c r="C8486" s="13"/>
      <c r="D8486" s="13"/>
    </row>
    <row r="8487" spans="1:4">
      <c r="A8487" s="13"/>
      <c r="B8487" s="13"/>
      <c r="C8487" s="13"/>
      <c r="D8487" s="13"/>
    </row>
    <row r="8488" spans="1:4">
      <c r="A8488" s="13"/>
      <c r="B8488" s="13"/>
      <c r="C8488" s="13"/>
      <c r="D8488" s="13"/>
    </row>
    <row r="8489" spans="1:4">
      <c r="A8489" s="13"/>
      <c r="B8489" s="13"/>
      <c r="C8489" s="13"/>
      <c r="D8489" s="13"/>
    </row>
    <row r="8490" spans="1:4">
      <c r="A8490" s="13"/>
      <c r="B8490" s="13"/>
      <c r="C8490" s="13"/>
      <c r="D8490" s="13"/>
    </row>
    <row r="8491" spans="1:4">
      <c r="A8491" s="13"/>
      <c r="B8491" s="13"/>
      <c r="C8491" s="13"/>
      <c r="D8491" s="13"/>
    </row>
    <row r="8492" spans="1:4">
      <c r="A8492" s="13"/>
      <c r="B8492" s="13"/>
      <c r="C8492" s="13"/>
      <c r="D8492" s="13"/>
    </row>
    <row r="8493" spans="1:4">
      <c r="A8493" s="13"/>
      <c r="B8493" s="13"/>
      <c r="C8493" s="13"/>
      <c r="D8493" s="13"/>
    </row>
    <row r="8494" spans="1:4">
      <c r="A8494" s="13"/>
      <c r="B8494" s="13"/>
      <c r="C8494" s="13"/>
      <c r="D8494" s="13"/>
    </row>
    <row r="8495" spans="1:4">
      <c r="A8495" s="13"/>
      <c r="B8495" s="13"/>
      <c r="C8495" s="13"/>
      <c r="D8495" s="13"/>
    </row>
    <row r="8496" spans="1:4">
      <c r="A8496" s="13"/>
      <c r="B8496" s="13"/>
      <c r="C8496" s="13"/>
      <c r="D8496" s="13"/>
    </row>
    <row r="8497" spans="1:4">
      <c r="A8497" s="13"/>
      <c r="B8497" s="13"/>
      <c r="C8497" s="13"/>
      <c r="D8497" s="13"/>
    </row>
    <row r="8498" spans="1:4">
      <c r="A8498" s="13"/>
      <c r="B8498" s="13"/>
      <c r="C8498" s="13"/>
      <c r="D8498" s="13"/>
    </row>
    <row r="8499" spans="1:4">
      <c r="A8499" s="13"/>
      <c r="B8499" s="13"/>
      <c r="C8499" s="13"/>
      <c r="D8499" s="13"/>
    </row>
    <row r="8500" spans="1:4">
      <c r="A8500" s="13"/>
      <c r="B8500" s="13"/>
      <c r="C8500" s="13"/>
      <c r="D8500" s="13"/>
    </row>
    <row r="8501" spans="1:4">
      <c r="A8501" s="13"/>
      <c r="B8501" s="13"/>
      <c r="C8501" s="13"/>
      <c r="D8501" s="13"/>
    </row>
    <row r="8502" spans="1:4">
      <c r="A8502" s="13"/>
      <c r="B8502" s="13"/>
      <c r="C8502" s="13"/>
      <c r="D8502" s="13"/>
    </row>
    <row r="8503" spans="1:4">
      <c r="A8503" s="13"/>
      <c r="B8503" s="13"/>
      <c r="C8503" s="13"/>
      <c r="D8503" s="13"/>
    </row>
    <row r="8504" spans="1:4">
      <c r="A8504" s="13"/>
      <c r="B8504" s="13"/>
      <c r="C8504" s="13"/>
      <c r="D8504" s="13"/>
    </row>
    <row r="8505" spans="1:4">
      <c r="A8505" s="13"/>
      <c r="B8505" s="13"/>
      <c r="C8505" s="13"/>
      <c r="D8505" s="13"/>
    </row>
    <row r="8506" spans="1:4">
      <c r="A8506" s="13"/>
      <c r="B8506" s="13"/>
      <c r="C8506" s="13"/>
      <c r="D8506" s="13"/>
    </row>
    <row r="8507" spans="1:4">
      <c r="A8507" s="13"/>
      <c r="B8507" s="13"/>
      <c r="C8507" s="13"/>
      <c r="D8507" s="13"/>
    </row>
    <row r="8508" spans="1:4">
      <c r="A8508" s="13"/>
      <c r="B8508" s="13"/>
      <c r="C8508" s="13"/>
      <c r="D8508" s="13"/>
    </row>
    <row r="8509" spans="1:4">
      <c r="A8509" s="13"/>
      <c r="B8509" s="13"/>
      <c r="C8509" s="13"/>
      <c r="D8509" s="13"/>
    </row>
    <row r="8510" spans="1:4">
      <c r="A8510" s="13"/>
      <c r="B8510" s="13"/>
      <c r="C8510" s="13"/>
      <c r="D8510" s="13"/>
    </row>
    <row r="8511" spans="1:4">
      <c r="A8511" s="13"/>
      <c r="B8511" s="13"/>
      <c r="C8511" s="13"/>
      <c r="D8511" s="13"/>
    </row>
    <row r="8512" spans="1:4">
      <c r="A8512" s="13"/>
      <c r="B8512" s="13"/>
      <c r="C8512" s="13"/>
      <c r="D8512" s="13"/>
    </row>
    <row r="8513" spans="1:4">
      <c r="A8513" s="13"/>
      <c r="B8513" s="13"/>
      <c r="C8513" s="13"/>
      <c r="D8513" s="13"/>
    </row>
    <row r="8514" spans="1:4">
      <c r="A8514" s="13"/>
      <c r="B8514" s="13"/>
      <c r="C8514" s="13"/>
      <c r="D8514" s="13"/>
    </row>
    <row r="8515" spans="1:4">
      <c r="A8515" s="13"/>
      <c r="B8515" s="13"/>
      <c r="C8515" s="13"/>
      <c r="D8515" s="13"/>
    </row>
    <row r="8516" spans="1:4">
      <c r="A8516" s="13"/>
      <c r="B8516" s="13"/>
      <c r="C8516" s="13"/>
      <c r="D8516" s="13"/>
    </row>
    <row r="8517" spans="1:4">
      <c r="A8517" s="13"/>
      <c r="B8517" s="13"/>
      <c r="C8517" s="13"/>
      <c r="D8517" s="13"/>
    </row>
    <row r="8518" spans="1:4">
      <c r="A8518" s="13"/>
      <c r="B8518" s="13"/>
      <c r="C8518" s="13"/>
      <c r="D8518" s="13"/>
    </row>
    <row r="8519" spans="1:4">
      <c r="A8519" s="13"/>
      <c r="B8519" s="13"/>
      <c r="C8519" s="13"/>
      <c r="D8519" s="13"/>
    </row>
    <row r="8520" spans="1:4">
      <c r="A8520" s="13"/>
      <c r="B8520" s="13"/>
      <c r="C8520" s="13"/>
      <c r="D8520" s="13"/>
    </row>
    <row r="8521" spans="1:4">
      <c r="A8521" s="13"/>
      <c r="B8521" s="13"/>
      <c r="C8521" s="13"/>
      <c r="D8521" s="13"/>
    </row>
    <row r="8522" spans="1:4">
      <c r="A8522" s="13"/>
      <c r="B8522" s="13"/>
      <c r="C8522" s="13"/>
      <c r="D8522" s="13"/>
    </row>
    <row r="8523" spans="1:4">
      <c r="A8523" s="13"/>
      <c r="B8523" s="13"/>
      <c r="C8523" s="13"/>
      <c r="D8523" s="13"/>
    </row>
    <row r="8524" spans="1:4">
      <c r="A8524" s="13"/>
      <c r="B8524" s="13"/>
      <c r="C8524" s="13"/>
      <c r="D8524" s="13"/>
    </row>
    <row r="8525" spans="1:4">
      <c r="A8525" s="13"/>
      <c r="B8525" s="13"/>
      <c r="C8525" s="13"/>
      <c r="D8525" s="13"/>
    </row>
    <row r="8526" spans="1:4">
      <c r="A8526" s="13"/>
      <c r="B8526" s="13"/>
      <c r="C8526" s="13"/>
      <c r="D8526" s="13"/>
    </row>
    <row r="8527" spans="1:4">
      <c r="A8527" s="13"/>
      <c r="B8527" s="13"/>
      <c r="C8527" s="13"/>
      <c r="D8527" s="13"/>
    </row>
    <row r="8528" spans="1:4">
      <c r="A8528" s="13"/>
      <c r="B8528" s="13"/>
      <c r="C8528" s="13"/>
      <c r="D8528" s="13"/>
    </row>
    <row r="8529" spans="1:4">
      <c r="A8529" s="13"/>
      <c r="B8529" s="13"/>
      <c r="C8529" s="13"/>
      <c r="D8529" s="13"/>
    </row>
    <row r="8530" spans="1:4">
      <c r="A8530" s="13"/>
      <c r="B8530" s="13"/>
      <c r="C8530" s="13"/>
      <c r="D8530" s="13"/>
    </row>
    <row r="8531" spans="1:4">
      <c r="A8531" s="13"/>
      <c r="B8531" s="13"/>
      <c r="C8531" s="13"/>
      <c r="D8531" s="13"/>
    </row>
    <row r="8532" spans="1:4">
      <c r="A8532" s="13"/>
      <c r="B8532" s="13"/>
      <c r="C8532" s="13"/>
      <c r="D8532" s="13"/>
    </row>
    <row r="8533" spans="1:4">
      <c r="A8533" s="13"/>
      <c r="B8533" s="13"/>
      <c r="C8533" s="13"/>
      <c r="D8533" s="13"/>
    </row>
    <row r="8534" spans="1:4">
      <c r="A8534" s="13"/>
      <c r="B8534" s="13"/>
      <c r="C8534" s="13"/>
      <c r="D8534" s="13"/>
    </row>
    <row r="8535" spans="1:4">
      <c r="A8535" s="13"/>
      <c r="B8535" s="13"/>
      <c r="C8535" s="13"/>
      <c r="D8535" s="13"/>
    </row>
    <row r="8536" spans="1:4">
      <c r="A8536" s="13"/>
      <c r="B8536" s="13"/>
      <c r="C8536" s="13"/>
      <c r="D8536" s="13"/>
    </row>
    <row r="8537" spans="1:4">
      <c r="A8537" s="13"/>
      <c r="B8537" s="13"/>
      <c r="C8537" s="13"/>
      <c r="D8537" s="13"/>
    </row>
    <row r="8538" spans="1:4">
      <c r="A8538" s="13"/>
      <c r="B8538" s="13"/>
      <c r="C8538" s="13"/>
      <c r="D8538" s="13"/>
    </row>
    <row r="8539" spans="1:4">
      <c r="A8539" s="13"/>
      <c r="B8539" s="13"/>
      <c r="C8539" s="13"/>
      <c r="D8539" s="13"/>
    </row>
    <row r="8540" spans="1:4">
      <c r="A8540" s="13"/>
      <c r="B8540" s="13"/>
      <c r="C8540" s="13"/>
      <c r="D8540" s="13"/>
    </row>
    <row r="8541" spans="1:4">
      <c r="A8541" s="13"/>
      <c r="B8541" s="13"/>
      <c r="C8541" s="13"/>
      <c r="D8541" s="13"/>
    </row>
    <row r="8542" spans="1:4">
      <c r="A8542" s="13"/>
      <c r="B8542" s="13"/>
      <c r="C8542" s="13"/>
      <c r="D8542" s="13"/>
    </row>
    <row r="8543" spans="1:4">
      <c r="A8543" s="13"/>
      <c r="B8543" s="13"/>
      <c r="C8543" s="13"/>
      <c r="D8543" s="13"/>
    </row>
    <row r="8544" spans="1:4">
      <c r="A8544" s="13"/>
      <c r="B8544" s="13"/>
      <c r="C8544" s="13"/>
      <c r="D8544" s="13"/>
    </row>
    <row r="8545" spans="1:4">
      <c r="A8545" s="13"/>
      <c r="B8545" s="13"/>
      <c r="C8545" s="13"/>
      <c r="D8545" s="13"/>
    </row>
    <row r="8546" spans="1:4">
      <c r="A8546" s="13"/>
      <c r="B8546" s="13"/>
      <c r="C8546" s="13"/>
      <c r="D8546" s="13"/>
    </row>
    <row r="8547" spans="1:4">
      <c r="A8547" s="13"/>
      <c r="B8547" s="13"/>
      <c r="C8547" s="13"/>
      <c r="D8547" s="13"/>
    </row>
    <row r="8548" spans="1:4">
      <c r="A8548" s="13"/>
      <c r="B8548" s="13"/>
      <c r="C8548" s="13"/>
      <c r="D8548" s="13"/>
    </row>
    <row r="8549" spans="1:4">
      <c r="A8549" s="13"/>
      <c r="B8549" s="13"/>
      <c r="C8549" s="13"/>
      <c r="D8549" s="13"/>
    </row>
    <row r="8550" spans="1:4">
      <c r="A8550" s="13"/>
      <c r="B8550" s="13"/>
      <c r="C8550" s="13"/>
      <c r="D8550" s="13"/>
    </row>
    <row r="8551" spans="1:4">
      <c r="A8551" s="13"/>
      <c r="B8551" s="13"/>
      <c r="C8551" s="13"/>
      <c r="D8551" s="13"/>
    </row>
    <row r="8552" spans="1:4">
      <c r="A8552" s="13"/>
      <c r="B8552" s="13"/>
      <c r="C8552" s="13"/>
      <c r="D8552" s="13"/>
    </row>
    <row r="8553" spans="1:4">
      <c r="A8553" s="13"/>
      <c r="B8553" s="13"/>
      <c r="C8553" s="13"/>
      <c r="D8553" s="13"/>
    </row>
    <row r="8554" spans="1:4">
      <c r="A8554" s="13"/>
      <c r="B8554" s="13"/>
      <c r="C8554" s="13"/>
      <c r="D8554" s="13"/>
    </row>
    <row r="8555" spans="1:4">
      <c r="A8555" s="13"/>
      <c r="B8555" s="13"/>
      <c r="C8555" s="13"/>
      <c r="D8555" s="13"/>
    </row>
    <row r="8556" spans="1:4">
      <c r="A8556" s="13"/>
      <c r="B8556" s="13"/>
      <c r="C8556" s="13"/>
      <c r="D8556" s="13"/>
    </row>
    <row r="8557" spans="1:4">
      <c r="A8557" s="13"/>
      <c r="B8557" s="13"/>
      <c r="C8557" s="13"/>
      <c r="D8557" s="13"/>
    </row>
    <row r="8558" spans="1:4">
      <c r="A8558" s="13"/>
      <c r="B8558" s="13"/>
      <c r="C8558" s="13"/>
      <c r="D8558" s="13"/>
    </row>
    <row r="8559" spans="1:4">
      <c r="A8559" s="13"/>
      <c r="B8559" s="13"/>
      <c r="C8559" s="13"/>
      <c r="D8559" s="13"/>
    </row>
    <row r="8560" spans="1:4">
      <c r="A8560" s="13"/>
      <c r="B8560" s="13"/>
      <c r="C8560" s="13"/>
      <c r="D8560" s="13"/>
    </row>
    <row r="8561" spans="1:4">
      <c r="A8561" s="13"/>
      <c r="B8561" s="13"/>
      <c r="C8561" s="13"/>
      <c r="D8561" s="13"/>
    </row>
    <row r="8562" spans="1:4">
      <c r="A8562" s="13"/>
      <c r="B8562" s="13"/>
      <c r="C8562" s="13"/>
      <c r="D8562" s="13"/>
    </row>
    <row r="8563" spans="1:4">
      <c r="A8563" s="13"/>
      <c r="B8563" s="13"/>
      <c r="C8563" s="13"/>
      <c r="D8563" s="13"/>
    </row>
    <row r="8564" spans="1:4">
      <c r="A8564" s="13"/>
      <c r="B8564" s="13"/>
      <c r="C8564" s="13"/>
      <c r="D8564" s="13"/>
    </row>
    <row r="8565" spans="1:4">
      <c r="A8565" s="13"/>
      <c r="B8565" s="13"/>
      <c r="C8565" s="13"/>
      <c r="D8565" s="13"/>
    </row>
    <row r="8566" spans="1:4">
      <c r="A8566" s="13"/>
      <c r="B8566" s="13"/>
      <c r="C8566" s="13"/>
      <c r="D8566" s="13"/>
    </row>
    <row r="8567" spans="1:4">
      <c r="A8567" s="13"/>
      <c r="B8567" s="13"/>
      <c r="C8567" s="13"/>
      <c r="D8567" s="13"/>
    </row>
    <row r="8568" spans="1:4">
      <c r="A8568" s="13"/>
      <c r="B8568" s="13"/>
      <c r="C8568" s="13"/>
      <c r="D8568" s="13"/>
    </row>
    <row r="8569" spans="1:4">
      <c r="A8569" s="13"/>
      <c r="B8569" s="13"/>
      <c r="C8569" s="13"/>
      <c r="D8569" s="13"/>
    </row>
    <row r="8570" spans="1:4">
      <c r="A8570" s="13"/>
      <c r="B8570" s="13"/>
      <c r="C8570" s="13"/>
      <c r="D8570" s="13"/>
    </row>
    <row r="8571" spans="1:4">
      <c r="A8571" s="13"/>
      <c r="B8571" s="13"/>
      <c r="C8571" s="13"/>
      <c r="D8571" s="13"/>
    </row>
    <row r="8572" spans="1:4">
      <c r="A8572" s="13"/>
      <c r="B8572" s="13"/>
      <c r="C8572" s="13"/>
      <c r="D8572" s="13"/>
    </row>
    <row r="8573" spans="1:4">
      <c r="A8573" s="13"/>
      <c r="B8573" s="13"/>
      <c r="C8573" s="13"/>
      <c r="D8573" s="13"/>
    </row>
    <row r="8574" spans="1:4">
      <c r="A8574" s="13"/>
      <c r="B8574" s="13"/>
      <c r="C8574" s="13"/>
      <c r="D8574" s="13"/>
    </row>
    <row r="8575" spans="1:4">
      <c r="A8575" s="13"/>
      <c r="B8575" s="13"/>
      <c r="C8575" s="13"/>
      <c r="D8575" s="13"/>
    </row>
    <row r="8576" spans="1:4">
      <c r="A8576" s="13"/>
      <c r="B8576" s="13"/>
      <c r="C8576" s="13"/>
      <c r="D8576" s="13"/>
    </row>
    <row r="8577" spans="1:4">
      <c r="A8577" s="13"/>
      <c r="B8577" s="13"/>
      <c r="C8577" s="13"/>
      <c r="D8577" s="13"/>
    </row>
    <row r="8578" spans="1:4">
      <c r="A8578" s="13"/>
      <c r="B8578" s="13"/>
      <c r="C8578" s="13"/>
      <c r="D8578" s="13"/>
    </row>
    <row r="8579" spans="1:4">
      <c r="A8579" s="13"/>
      <c r="B8579" s="13"/>
      <c r="C8579" s="13"/>
      <c r="D8579" s="13"/>
    </row>
    <row r="8580" spans="1:4">
      <c r="A8580" s="13"/>
      <c r="B8580" s="13"/>
      <c r="C8580" s="13"/>
      <c r="D8580" s="13"/>
    </row>
    <row r="8581" spans="1:4">
      <c r="A8581" s="13"/>
      <c r="B8581" s="13"/>
      <c r="C8581" s="13"/>
      <c r="D8581" s="13"/>
    </row>
    <row r="8582" spans="1:4">
      <c r="A8582" s="13"/>
      <c r="B8582" s="13"/>
      <c r="C8582" s="13"/>
      <c r="D8582" s="13"/>
    </row>
    <row r="8583" spans="1:4">
      <c r="A8583" s="13"/>
      <c r="B8583" s="13"/>
      <c r="C8583" s="13"/>
      <c r="D8583" s="13"/>
    </row>
    <row r="8584" spans="1:4">
      <c r="A8584" s="13"/>
      <c r="B8584" s="13"/>
      <c r="C8584" s="13"/>
      <c r="D8584" s="13"/>
    </row>
    <row r="8585" spans="1:4">
      <c r="A8585" s="13"/>
      <c r="B8585" s="13"/>
      <c r="C8585" s="13"/>
      <c r="D8585" s="13"/>
    </row>
    <row r="8586" spans="1:4">
      <c r="A8586" s="13"/>
      <c r="B8586" s="13"/>
      <c r="C8586" s="13"/>
      <c r="D8586" s="13"/>
    </row>
    <row r="8587" spans="1:4">
      <c r="A8587" s="13"/>
      <c r="B8587" s="13"/>
      <c r="C8587" s="13"/>
      <c r="D8587" s="13"/>
    </row>
    <row r="8588" spans="1:4">
      <c r="A8588" s="13"/>
      <c r="B8588" s="13"/>
      <c r="C8588" s="13"/>
      <c r="D8588" s="13"/>
    </row>
    <row r="8589" spans="1:4">
      <c r="A8589" s="13"/>
      <c r="B8589" s="13"/>
      <c r="C8589" s="13"/>
      <c r="D8589" s="13"/>
    </row>
    <row r="8590" spans="1:4">
      <c r="A8590" s="13"/>
      <c r="B8590" s="13"/>
      <c r="C8590" s="13"/>
      <c r="D8590" s="13"/>
    </row>
    <row r="8591" spans="1:4">
      <c r="A8591" s="13"/>
      <c r="B8591" s="13"/>
      <c r="C8591" s="13"/>
      <c r="D8591" s="13"/>
    </row>
    <row r="8592" spans="1:4">
      <c r="A8592" s="13"/>
      <c r="B8592" s="13"/>
      <c r="C8592" s="13"/>
      <c r="D8592" s="13"/>
    </row>
    <row r="8593" spans="1:4">
      <c r="A8593" s="13"/>
      <c r="B8593" s="13"/>
      <c r="C8593" s="13"/>
      <c r="D8593" s="13"/>
    </row>
    <row r="8594" spans="1:4">
      <c r="A8594" s="13"/>
      <c r="B8594" s="13"/>
      <c r="C8594" s="13"/>
      <c r="D8594" s="13"/>
    </row>
    <row r="8595" spans="1:4">
      <c r="A8595" s="13"/>
      <c r="B8595" s="13"/>
      <c r="C8595" s="13"/>
      <c r="D8595" s="13"/>
    </row>
    <row r="8596" spans="1:4">
      <c r="A8596" s="13"/>
      <c r="B8596" s="13"/>
      <c r="C8596" s="13"/>
      <c r="D8596" s="13"/>
    </row>
    <row r="8597" spans="1:4">
      <c r="A8597" s="13"/>
      <c r="B8597" s="13"/>
      <c r="C8597" s="13"/>
      <c r="D8597" s="13"/>
    </row>
    <row r="8598" spans="1:4">
      <c r="A8598" s="13"/>
      <c r="B8598" s="13"/>
      <c r="C8598" s="13"/>
      <c r="D8598" s="13"/>
    </row>
    <row r="8599" spans="1:4">
      <c r="A8599" s="13"/>
      <c r="B8599" s="13"/>
      <c r="C8599" s="13"/>
      <c r="D8599" s="13"/>
    </row>
    <row r="8600" spans="1:4">
      <c r="A8600" s="13"/>
      <c r="B8600" s="13"/>
      <c r="C8600" s="13"/>
      <c r="D8600" s="13"/>
    </row>
    <row r="8601" spans="1:4">
      <c r="A8601" s="13"/>
      <c r="B8601" s="13"/>
      <c r="C8601" s="13"/>
      <c r="D8601" s="13"/>
    </row>
    <row r="8602" spans="1:4">
      <c r="A8602" s="13"/>
      <c r="B8602" s="13"/>
      <c r="C8602" s="13"/>
      <c r="D8602" s="13"/>
    </row>
    <row r="8603" spans="1:4">
      <c r="A8603" s="13"/>
      <c r="B8603" s="13"/>
      <c r="C8603" s="13"/>
      <c r="D8603" s="13"/>
    </row>
    <row r="8604" spans="1:4">
      <c r="A8604" s="13"/>
      <c r="B8604" s="13"/>
      <c r="C8604" s="13"/>
      <c r="D8604" s="13"/>
    </row>
    <row r="8605" spans="1:4">
      <c r="A8605" s="13"/>
      <c r="B8605" s="13"/>
      <c r="C8605" s="13"/>
      <c r="D8605" s="13"/>
    </row>
    <row r="8606" spans="1:4">
      <c r="A8606" s="13"/>
      <c r="B8606" s="13"/>
      <c r="C8606" s="13"/>
      <c r="D8606" s="13"/>
    </row>
    <row r="8607" spans="1:4">
      <c r="A8607" s="13"/>
      <c r="B8607" s="13"/>
      <c r="C8607" s="13"/>
      <c r="D8607" s="13"/>
    </row>
    <row r="8608" spans="1:4">
      <c r="A8608" s="13"/>
      <c r="B8608" s="13"/>
      <c r="C8608" s="13"/>
      <c r="D8608" s="13"/>
    </row>
    <row r="8609" spans="1:4">
      <c r="A8609" s="13"/>
      <c r="B8609" s="13"/>
      <c r="C8609" s="13"/>
      <c r="D8609" s="13"/>
    </row>
    <row r="8610" spans="1:4">
      <c r="A8610" s="13"/>
      <c r="B8610" s="13"/>
      <c r="C8610" s="13"/>
      <c r="D8610" s="13"/>
    </row>
    <row r="8611" spans="1:4">
      <c r="A8611" s="13"/>
      <c r="B8611" s="13"/>
      <c r="C8611" s="13"/>
      <c r="D8611" s="13"/>
    </row>
    <row r="8612" spans="1:4">
      <c r="A8612" s="13"/>
      <c r="B8612" s="13"/>
      <c r="C8612" s="13"/>
      <c r="D8612" s="13"/>
    </row>
    <row r="8613" spans="1:4">
      <c r="A8613" s="13"/>
      <c r="B8613" s="13"/>
      <c r="C8613" s="13"/>
      <c r="D8613" s="13"/>
    </row>
    <row r="8614" spans="1:4">
      <c r="A8614" s="13"/>
      <c r="B8614" s="13"/>
      <c r="C8614" s="13"/>
      <c r="D8614" s="13"/>
    </row>
    <row r="8615" spans="1:4">
      <c r="A8615" s="13"/>
      <c r="B8615" s="13"/>
      <c r="C8615" s="13"/>
      <c r="D8615" s="13"/>
    </row>
    <row r="8616" spans="1:4">
      <c r="A8616" s="13"/>
      <c r="B8616" s="13"/>
      <c r="C8616" s="13"/>
      <c r="D8616" s="13"/>
    </row>
    <row r="8617" spans="1:4">
      <c r="A8617" s="13"/>
      <c r="B8617" s="13"/>
      <c r="C8617" s="13"/>
      <c r="D8617" s="13"/>
    </row>
    <row r="8618" spans="1:4">
      <c r="A8618" s="13"/>
      <c r="B8618" s="13"/>
      <c r="C8618" s="13"/>
      <c r="D8618" s="13"/>
    </row>
    <row r="8619" spans="1:4">
      <c r="A8619" s="13"/>
      <c r="B8619" s="13"/>
      <c r="C8619" s="13"/>
      <c r="D8619" s="13"/>
    </row>
    <row r="8620" spans="1:4">
      <c r="A8620" s="13"/>
      <c r="B8620" s="13"/>
      <c r="C8620" s="13"/>
      <c r="D8620" s="13"/>
    </row>
    <row r="8621" spans="1:4">
      <c r="A8621" s="13"/>
      <c r="B8621" s="13"/>
      <c r="C8621" s="13"/>
      <c r="D8621" s="13"/>
    </row>
    <row r="8622" spans="1:4">
      <c r="A8622" s="13"/>
      <c r="B8622" s="13"/>
      <c r="C8622" s="13"/>
      <c r="D8622" s="13"/>
    </row>
    <row r="8623" spans="1:4">
      <c r="A8623" s="13"/>
      <c r="B8623" s="13"/>
      <c r="C8623" s="13"/>
      <c r="D8623" s="13"/>
    </row>
    <row r="8624" spans="1:4">
      <c r="A8624" s="13"/>
      <c r="B8624" s="13"/>
      <c r="C8624" s="13"/>
      <c r="D8624" s="13"/>
    </row>
    <row r="8625" spans="1:4">
      <c r="A8625" s="13"/>
      <c r="B8625" s="13"/>
      <c r="C8625" s="13"/>
      <c r="D8625" s="13"/>
    </row>
    <row r="8626" spans="1:4">
      <c r="A8626" s="13"/>
      <c r="B8626" s="13"/>
      <c r="C8626" s="13"/>
      <c r="D8626" s="13"/>
    </row>
    <row r="8627" spans="1:4">
      <c r="A8627" s="13"/>
      <c r="B8627" s="13"/>
      <c r="C8627" s="13"/>
      <c r="D8627" s="13"/>
    </row>
    <row r="8628" spans="1:4">
      <c r="A8628" s="13"/>
      <c r="B8628" s="13"/>
      <c r="C8628" s="13"/>
      <c r="D8628" s="13"/>
    </row>
    <row r="8629" spans="1:4">
      <c r="A8629" s="13"/>
      <c r="B8629" s="13"/>
      <c r="C8629" s="13"/>
      <c r="D8629" s="13"/>
    </row>
    <row r="8630" spans="1:4">
      <c r="A8630" s="13"/>
      <c r="B8630" s="13"/>
      <c r="C8630" s="13"/>
      <c r="D8630" s="13"/>
    </row>
    <row r="8631" spans="1:4">
      <c r="A8631" s="13"/>
      <c r="B8631" s="13"/>
      <c r="C8631" s="13"/>
      <c r="D8631" s="13"/>
    </row>
    <row r="8632" spans="1:4">
      <c r="A8632" s="13"/>
      <c r="B8632" s="13"/>
      <c r="C8632" s="13"/>
      <c r="D8632" s="13"/>
    </row>
    <row r="8633" spans="1:4">
      <c r="A8633" s="13"/>
      <c r="B8633" s="13"/>
      <c r="C8633" s="13"/>
      <c r="D8633" s="13"/>
    </row>
    <row r="8634" spans="1:4">
      <c r="A8634" s="13"/>
      <c r="B8634" s="13"/>
      <c r="C8634" s="13"/>
      <c r="D8634" s="13"/>
    </row>
    <row r="8635" spans="1:4">
      <c r="A8635" s="13"/>
      <c r="B8635" s="13"/>
      <c r="C8635" s="13"/>
      <c r="D8635" s="13"/>
    </row>
    <row r="8636" spans="1:4">
      <c r="A8636" s="13"/>
      <c r="B8636" s="13"/>
      <c r="C8636" s="13"/>
      <c r="D8636" s="13"/>
    </row>
    <row r="8637" spans="1:4">
      <c r="A8637" s="13"/>
      <c r="B8637" s="13"/>
      <c r="C8637" s="13"/>
      <c r="D8637" s="13"/>
    </row>
    <row r="8638" spans="1:4">
      <c r="A8638" s="13"/>
      <c r="B8638" s="13"/>
      <c r="C8638" s="13"/>
      <c r="D8638" s="13"/>
    </row>
    <row r="8639" spans="1:4">
      <c r="A8639" s="13"/>
      <c r="B8639" s="13"/>
      <c r="C8639" s="13"/>
      <c r="D8639" s="13"/>
    </row>
    <row r="8640" spans="1:4">
      <c r="A8640" s="13"/>
      <c r="B8640" s="13"/>
      <c r="C8640" s="13"/>
      <c r="D8640" s="13"/>
    </row>
    <row r="8641" spans="1:4">
      <c r="A8641" s="13"/>
      <c r="B8641" s="13"/>
      <c r="C8641" s="13"/>
      <c r="D8641" s="13"/>
    </row>
    <row r="8642" spans="1:4">
      <c r="A8642" s="13"/>
      <c r="B8642" s="13"/>
      <c r="C8642" s="13"/>
      <c r="D8642" s="13"/>
    </row>
    <row r="8643" spans="1:4">
      <c r="A8643" s="13"/>
      <c r="B8643" s="13"/>
      <c r="C8643" s="13"/>
      <c r="D8643" s="13"/>
    </row>
    <row r="8644" spans="1:4">
      <c r="A8644" s="13"/>
      <c r="B8644" s="13"/>
      <c r="C8644" s="13"/>
      <c r="D8644" s="13"/>
    </row>
    <row r="8645" spans="1:4">
      <c r="A8645" s="13"/>
      <c r="B8645" s="13"/>
      <c r="C8645" s="13"/>
      <c r="D8645" s="13"/>
    </row>
    <row r="8646" spans="1:4">
      <c r="A8646" s="13"/>
      <c r="B8646" s="13"/>
      <c r="C8646" s="13"/>
      <c r="D8646" s="13"/>
    </row>
    <row r="8647" spans="1:4">
      <c r="A8647" s="13"/>
      <c r="B8647" s="13"/>
      <c r="C8647" s="13"/>
      <c r="D8647" s="13"/>
    </row>
    <row r="8648" spans="1:4">
      <c r="A8648" s="13"/>
      <c r="B8648" s="13"/>
      <c r="C8648" s="13"/>
      <c r="D8648" s="13"/>
    </row>
    <row r="8649" spans="1:4">
      <c r="A8649" s="13"/>
      <c r="B8649" s="13"/>
      <c r="C8649" s="13"/>
      <c r="D8649" s="13"/>
    </row>
    <row r="8650" spans="1:4">
      <c r="A8650" s="13"/>
      <c r="B8650" s="13"/>
      <c r="C8650" s="13"/>
      <c r="D8650" s="13"/>
    </row>
    <row r="8651" spans="1:4">
      <c r="A8651" s="13"/>
      <c r="B8651" s="13"/>
      <c r="C8651" s="13"/>
      <c r="D8651" s="13"/>
    </row>
    <row r="8652" spans="1:4">
      <c r="A8652" s="13"/>
      <c r="B8652" s="13"/>
      <c r="C8652" s="13"/>
      <c r="D8652" s="13"/>
    </row>
    <row r="8653" spans="1:4">
      <c r="A8653" s="13"/>
      <c r="B8653" s="13"/>
      <c r="C8653" s="13"/>
      <c r="D8653" s="13"/>
    </row>
    <row r="8654" spans="1:4">
      <c r="A8654" s="13"/>
      <c r="B8654" s="13"/>
      <c r="C8654" s="13"/>
      <c r="D8654" s="13"/>
    </row>
    <row r="8655" spans="1:4">
      <c r="A8655" s="13"/>
      <c r="B8655" s="13"/>
      <c r="C8655" s="13"/>
      <c r="D8655" s="13"/>
    </row>
    <row r="8656" spans="1:4">
      <c r="A8656" s="13"/>
      <c r="B8656" s="13"/>
      <c r="C8656" s="13"/>
      <c r="D8656" s="13"/>
    </row>
    <row r="8657" spans="1:4">
      <c r="A8657" s="13"/>
      <c r="B8657" s="13"/>
      <c r="C8657" s="13"/>
      <c r="D8657" s="13"/>
    </row>
    <row r="8658" spans="1:4">
      <c r="A8658" s="13"/>
      <c r="B8658" s="13"/>
      <c r="C8658" s="13"/>
      <c r="D8658" s="13"/>
    </row>
    <row r="8659" spans="1:4">
      <c r="A8659" s="13"/>
      <c r="B8659" s="13"/>
      <c r="C8659" s="13"/>
      <c r="D8659" s="13"/>
    </row>
    <row r="8660" spans="1:4">
      <c r="A8660" s="13"/>
      <c r="B8660" s="13"/>
      <c r="C8660" s="13"/>
      <c r="D8660" s="13"/>
    </row>
    <row r="8661" spans="1:4">
      <c r="A8661" s="13"/>
      <c r="B8661" s="13"/>
      <c r="C8661" s="13"/>
      <c r="D8661" s="13"/>
    </row>
    <row r="8662" spans="1:4">
      <c r="A8662" s="13"/>
      <c r="B8662" s="13"/>
      <c r="C8662" s="13"/>
      <c r="D8662" s="13"/>
    </row>
    <row r="8663" spans="1:4">
      <c r="A8663" s="13"/>
      <c r="B8663" s="13"/>
      <c r="C8663" s="13"/>
      <c r="D8663" s="13"/>
    </row>
    <row r="8664" spans="1:4">
      <c r="A8664" s="13"/>
      <c r="B8664" s="13"/>
      <c r="C8664" s="13"/>
      <c r="D8664" s="13"/>
    </row>
    <row r="8665" spans="1:4">
      <c r="A8665" s="13"/>
      <c r="B8665" s="13"/>
      <c r="C8665" s="13"/>
      <c r="D8665" s="13"/>
    </row>
    <row r="8666" spans="1:4">
      <c r="A8666" s="13"/>
      <c r="B8666" s="13"/>
      <c r="C8666" s="13"/>
      <c r="D8666" s="13"/>
    </row>
    <row r="8667" spans="1:4">
      <c r="A8667" s="13"/>
      <c r="B8667" s="13"/>
      <c r="C8667" s="13"/>
      <c r="D8667" s="13"/>
    </row>
    <row r="8668" spans="1:4">
      <c r="A8668" s="13"/>
      <c r="B8668" s="13"/>
      <c r="C8668" s="13"/>
      <c r="D8668" s="13"/>
    </row>
    <row r="8669" spans="1:4">
      <c r="A8669" s="13"/>
      <c r="B8669" s="13"/>
      <c r="C8669" s="13"/>
      <c r="D8669" s="13"/>
    </row>
    <row r="8670" spans="1:4">
      <c r="A8670" s="13"/>
      <c r="B8670" s="13"/>
      <c r="C8670" s="13"/>
      <c r="D8670" s="13"/>
    </row>
    <row r="8671" spans="1:4">
      <c r="A8671" s="13"/>
      <c r="B8671" s="13"/>
      <c r="C8671" s="13"/>
      <c r="D8671" s="13"/>
    </row>
    <row r="8672" spans="1:4">
      <c r="A8672" s="13"/>
      <c r="B8672" s="13"/>
      <c r="C8672" s="13"/>
      <c r="D8672" s="13"/>
    </row>
    <row r="8673" spans="1:4">
      <c r="A8673" s="13"/>
      <c r="B8673" s="13"/>
      <c r="C8673" s="13"/>
      <c r="D8673" s="13"/>
    </row>
    <row r="8674" spans="1:4">
      <c r="A8674" s="13"/>
      <c r="B8674" s="13"/>
      <c r="C8674" s="13"/>
      <c r="D8674" s="13"/>
    </row>
    <row r="8675" spans="1:4">
      <c r="A8675" s="13"/>
      <c r="B8675" s="13"/>
      <c r="C8675" s="13"/>
      <c r="D8675" s="13"/>
    </row>
    <row r="8676" spans="1:4">
      <c r="A8676" s="13"/>
      <c r="B8676" s="13"/>
      <c r="C8676" s="13"/>
      <c r="D8676" s="13"/>
    </row>
    <row r="8677" spans="1:4">
      <c r="A8677" s="13"/>
      <c r="B8677" s="13"/>
      <c r="C8677" s="13"/>
      <c r="D8677" s="13"/>
    </row>
    <row r="8678" spans="1:4">
      <c r="A8678" s="13"/>
      <c r="B8678" s="13"/>
      <c r="C8678" s="13"/>
      <c r="D8678" s="13"/>
    </row>
    <row r="8679" spans="1:4">
      <c r="A8679" s="13"/>
      <c r="B8679" s="13"/>
      <c r="C8679" s="13"/>
      <c r="D8679" s="13"/>
    </row>
    <row r="8680" spans="1:4">
      <c r="A8680" s="13"/>
      <c r="B8680" s="13"/>
      <c r="C8680" s="13"/>
      <c r="D8680" s="13"/>
    </row>
    <row r="8681" spans="1:4">
      <c r="A8681" s="13"/>
      <c r="B8681" s="13"/>
      <c r="C8681" s="13"/>
      <c r="D8681" s="13"/>
    </row>
    <row r="8682" spans="1:4">
      <c r="A8682" s="13"/>
      <c r="B8682" s="13"/>
      <c r="C8682" s="13"/>
      <c r="D8682" s="13"/>
    </row>
    <row r="8683" spans="1:4">
      <c r="A8683" s="13"/>
      <c r="B8683" s="13"/>
      <c r="C8683" s="13"/>
      <c r="D8683" s="13"/>
    </row>
    <row r="8684" spans="1:4">
      <c r="A8684" s="13"/>
      <c r="B8684" s="13"/>
      <c r="C8684" s="13"/>
      <c r="D8684" s="13"/>
    </row>
    <row r="8685" spans="1:4">
      <c r="A8685" s="13"/>
      <c r="B8685" s="13"/>
      <c r="C8685" s="13"/>
      <c r="D8685" s="13"/>
    </row>
    <row r="8686" spans="1:4">
      <c r="A8686" s="13"/>
      <c r="B8686" s="13"/>
      <c r="C8686" s="13"/>
      <c r="D8686" s="13"/>
    </row>
    <row r="8687" spans="1:4">
      <c r="A8687" s="13"/>
      <c r="B8687" s="13"/>
      <c r="C8687" s="13"/>
      <c r="D8687" s="13"/>
    </row>
    <row r="8688" spans="1:4">
      <c r="A8688" s="13"/>
      <c r="B8688" s="13"/>
      <c r="C8688" s="13"/>
      <c r="D8688" s="13"/>
    </row>
    <row r="8689" spans="1:4">
      <c r="A8689" s="13"/>
      <c r="B8689" s="13"/>
      <c r="C8689" s="13"/>
      <c r="D8689" s="13"/>
    </row>
    <row r="8690" spans="1:4">
      <c r="A8690" s="13"/>
      <c r="B8690" s="13"/>
      <c r="C8690" s="13"/>
      <c r="D8690" s="13"/>
    </row>
    <row r="8691" spans="1:4">
      <c r="A8691" s="13"/>
      <c r="B8691" s="13"/>
      <c r="C8691" s="13"/>
      <c r="D8691" s="13"/>
    </row>
    <row r="8692" spans="1:4">
      <c r="A8692" s="13"/>
      <c r="B8692" s="13"/>
      <c r="C8692" s="13"/>
      <c r="D8692" s="13"/>
    </row>
    <row r="8693" spans="1:4">
      <c r="A8693" s="13"/>
      <c r="B8693" s="13"/>
      <c r="C8693" s="13"/>
      <c r="D8693" s="13"/>
    </row>
    <row r="8694" spans="1:4">
      <c r="A8694" s="13"/>
      <c r="B8694" s="13"/>
      <c r="C8694" s="13"/>
      <c r="D8694" s="13"/>
    </row>
    <row r="8695" spans="1:4">
      <c r="A8695" s="13"/>
      <c r="B8695" s="13"/>
      <c r="C8695" s="13"/>
      <c r="D8695" s="13"/>
    </row>
    <row r="8696" spans="1:4">
      <c r="A8696" s="13"/>
      <c r="B8696" s="13"/>
      <c r="C8696" s="13"/>
      <c r="D8696" s="13"/>
    </row>
    <row r="8697" spans="1:4">
      <c r="A8697" s="13"/>
      <c r="B8697" s="13"/>
      <c r="C8697" s="13"/>
      <c r="D8697" s="13"/>
    </row>
    <row r="8698" spans="1:4">
      <c r="A8698" s="13"/>
      <c r="B8698" s="13"/>
      <c r="C8698" s="13"/>
      <c r="D8698" s="13"/>
    </row>
    <row r="8699" spans="1:4">
      <c r="A8699" s="13"/>
      <c r="B8699" s="13"/>
      <c r="C8699" s="13"/>
      <c r="D8699" s="13"/>
    </row>
    <row r="8700" spans="1:4">
      <c r="A8700" s="13"/>
      <c r="B8700" s="13"/>
      <c r="C8700" s="13"/>
      <c r="D8700" s="13"/>
    </row>
    <row r="8701" spans="1:4">
      <c r="A8701" s="13"/>
      <c r="B8701" s="13"/>
      <c r="C8701" s="13"/>
      <c r="D8701" s="13"/>
    </row>
    <row r="8702" spans="1:4">
      <c r="A8702" s="13"/>
      <c r="B8702" s="13"/>
      <c r="C8702" s="13"/>
      <c r="D8702" s="13"/>
    </row>
    <row r="8703" spans="1:4">
      <c r="A8703" s="13"/>
      <c r="B8703" s="13"/>
      <c r="C8703" s="13"/>
      <c r="D8703" s="13"/>
    </row>
    <row r="8704" spans="1:4">
      <c r="A8704" s="13"/>
      <c r="B8704" s="13"/>
      <c r="C8704" s="13"/>
      <c r="D8704" s="13"/>
    </row>
    <row r="8705" spans="1:4">
      <c r="A8705" s="13"/>
      <c r="B8705" s="13"/>
      <c r="C8705" s="13"/>
      <c r="D8705" s="13"/>
    </row>
    <row r="8706" spans="1:4">
      <c r="A8706" s="13"/>
      <c r="B8706" s="13"/>
      <c r="C8706" s="13"/>
      <c r="D8706" s="13"/>
    </row>
    <row r="8707" spans="1:4">
      <c r="A8707" s="13"/>
      <c r="B8707" s="13"/>
      <c r="C8707" s="13"/>
      <c r="D8707" s="13"/>
    </row>
    <row r="8708" spans="1:4">
      <c r="A8708" s="13"/>
      <c r="B8708" s="13"/>
      <c r="C8708" s="13"/>
      <c r="D8708" s="13"/>
    </row>
    <row r="8709" spans="1:4">
      <c r="A8709" s="13"/>
      <c r="B8709" s="13"/>
      <c r="C8709" s="13"/>
      <c r="D8709" s="13"/>
    </row>
    <row r="8710" spans="1:4">
      <c r="A8710" s="13"/>
      <c r="B8710" s="13"/>
      <c r="C8710" s="13"/>
      <c r="D8710" s="13"/>
    </row>
    <row r="8711" spans="1:4">
      <c r="A8711" s="13"/>
      <c r="B8711" s="13"/>
      <c r="C8711" s="13"/>
      <c r="D8711" s="13"/>
    </row>
    <row r="8712" spans="1:4">
      <c r="A8712" s="13"/>
      <c r="B8712" s="13"/>
      <c r="C8712" s="13"/>
      <c r="D8712" s="13"/>
    </row>
    <row r="8713" spans="1:4">
      <c r="A8713" s="13"/>
      <c r="B8713" s="13"/>
      <c r="C8713" s="13"/>
      <c r="D8713" s="13"/>
    </row>
    <row r="8714" spans="1:4">
      <c r="A8714" s="13"/>
      <c r="B8714" s="13"/>
      <c r="C8714" s="13"/>
      <c r="D8714" s="13"/>
    </row>
    <row r="8715" spans="1:4">
      <c r="A8715" s="13"/>
      <c r="B8715" s="13"/>
      <c r="C8715" s="13"/>
      <c r="D8715" s="13"/>
    </row>
    <row r="8716" spans="1:4">
      <c r="A8716" s="13"/>
      <c r="B8716" s="13"/>
      <c r="C8716" s="13"/>
      <c r="D8716" s="13"/>
    </row>
    <row r="8717" spans="1:4">
      <c r="A8717" s="13"/>
      <c r="B8717" s="13"/>
      <c r="C8717" s="13"/>
      <c r="D8717" s="13"/>
    </row>
    <row r="8718" spans="1:4">
      <c r="A8718" s="13"/>
      <c r="B8718" s="13"/>
      <c r="C8718" s="13"/>
      <c r="D8718" s="13"/>
    </row>
    <row r="8719" spans="1:4">
      <c r="A8719" s="13"/>
      <c r="B8719" s="13"/>
      <c r="C8719" s="13"/>
      <c r="D8719" s="13"/>
    </row>
    <row r="8720" spans="1:4">
      <c r="A8720" s="13"/>
      <c r="B8720" s="13"/>
      <c r="C8720" s="13"/>
      <c r="D8720" s="13"/>
    </row>
    <row r="8721" spans="1:4">
      <c r="A8721" s="13"/>
      <c r="B8721" s="13"/>
      <c r="C8721" s="13"/>
      <c r="D8721" s="13"/>
    </row>
    <row r="8722" spans="1:4">
      <c r="A8722" s="13"/>
      <c r="B8722" s="13"/>
      <c r="C8722" s="13"/>
      <c r="D8722" s="13"/>
    </row>
    <row r="8723" spans="1:4">
      <c r="A8723" s="13"/>
      <c r="B8723" s="13"/>
      <c r="C8723" s="13"/>
      <c r="D8723" s="13"/>
    </row>
    <row r="8724" spans="1:4">
      <c r="A8724" s="13"/>
      <c r="B8724" s="13"/>
      <c r="C8724" s="13"/>
      <c r="D8724" s="13"/>
    </row>
    <row r="8725" spans="1:4">
      <c r="A8725" s="13"/>
      <c r="B8725" s="13"/>
      <c r="C8725" s="13"/>
      <c r="D8725" s="13"/>
    </row>
    <row r="8726" spans="1:4">
      <c r="A8726" s="13"/>
      <c r="B8726" s="13"/>
      <c r="C8726" s="13"/>
      <c r="D8726" s="13"/>
    </row>
    <row r="8727" spans="1:4">
      <c r="A8727" s="13"/>
      <c r="B8727" s="13"/>
      <c r="C8727" s="13"/>
      <c r="D8727" s="13"/>
    </row>
    <row r="8728" spans="1:4">
      <c r="A8728" s="13"/>
      <c r="B8728" s="13"/>
      <c r="C8728" s="13"/>
      <c r="D8728" s="13"/>
    </row>
    <row r="8729" spans="1:4">
      <c r="A8729" s="13"/>
      <c r="B8729" s="13"/>
      <c r="C8729" s="13"/>
      <c r="D8729" s="13"/>
    </row>
    <row r="8730" spans="1:4">
      <c r="A8730" s="13"/>
      <c r="B8730" s="13"/>
      <c r="C8730" s="13"/>
      <c r="D8730" s="13"/>
    </row>
    <row r="8731" spans="1:4">
      <c r="A8731" s="13"/>
      <c r="B8731" s="13"/>
      <c r="C8731" s="13"/>
      <c r="D8731" s="13"/>
    </row>
    <row r="8732" spans="1:4">
      <c r="A8732" s="13"/>
      <c r="B8732" s="13"/>
      <c r="C8732" s="13"/>
      <c r="D8732" s="13"/>
    </row>
    <row r="8733" spans="1:4">
      <c r="A8733" s="13"/>
      <c r="B8733" s="13"/>
      <c r="C8733" s="13"/>
      <c r="D8733" s="13"/>
    </row>
    <row r="8734" spans="1:4">
      <c r="A8734" s="13"/>
      <c r="B8734" s="13"/>
      <c r="C8734" s="13"/>
      <c r="D8734" s="13"/>
    </row>
    <row r="8735" spans="1:4">
      <c r="A8735" s="13"/>
      <c r="B8735" s="13"/>
      <c r="C8735" s="13"/>
      <c r="D8735" s="13"/>
    </row>
    <row r="8736" spans="1:4">
      <c r="A8736" s="13"/>
      <c r="B8736" s="13"/>
      <c r="C8736" s="13"/>
      <c r="D8736" s="13"/>
    </row>
    <row r="8737" spans="1:4">
      <c r="A8737" s="13"/>
      <c r="B8737" s="13"/>
      <c r="C8737" s="13"/>
      <c r="D8737" s="13"/>
    </row>
    <row r="8738" spans="1:4">
      <c r="A8738" s="13"/>
      <c r="B8738" s="13"/>
      <c r="C8738" s="13"/>
      <c r="D8738" s="13"/>
    </row>
    <row r="8739" spans="1:4">
      <c r="A8739" s="13"/>
      <c r="B8739" s="13"/>
      <c r="C8739" s="13"/>
      <c r="D8739" s="13"/>
    </row>
    <row r="8740" spans="1:4">
      <c r="A8740" s="13"/>
      <c r="B8740" s="13"/>
      <c r="C8740" s="13"/>
      <c r="D8740" s="13"/>
    </row>
    <row r="8741" spans="1:4">
      <c r="A8741" s="13"/>
      <c r="B8741" s="13"/>
      <c r="C8741" s="13"/>
      <c r="D8741" s="13"/>
    </row>
    <row r="8742" spans="1:4">
      <c r="A8742" s="13"/>
      <c r="B8742" s="13"/>
      <c r="C8742" s="13"/>
      <c r="D8742" s="13"/>
    </row>
    <row r="8743" spans="1:4">
      <c r="A8743" s="13"/>
      <c r="B8743" s="13"/>
      <c r="C8743" s="13"/>
      <c r="D8743" s="13"/>
    </row>
    <row r="8744" spans="1:4">
      <c r="A8744" s="13"/>
      <c r="B8744" s="13"/>
      <c r="C8744" s="13"/>
      <c r="D8744" s="13"/>
    </row>
    <row r="8745" spans="1:4">
      <c r="A8745" s="13"/>
      <c r="B8745" s="13"/>
      <c r="C8745" s="13"/>
      <c r="D8745" s="13"/>
    </row>
    <row r="8746" spans="1:4">
      <c r="A8746" s="13"/>
      <c r="B8746" s="13"/>
      <c r="C8746" s="13"/>
      <c r="D8746" s="13"/>
    </row>
    <row r="8747" spans="1:4">
      <c r="A8747" s="13"/>
      <c r="B8747" s="13"/>
      <c r="C8747" s="13"/>
      <c r="D8747" s="13"/>
    </row>
    <row r="8748" spans="1:4">
      <c r="A8748" s="13"/>
      <c r="B8748" s="13"/>
      <c r="C8748" s="13"/>
      <c r="D8748" s="13"/>
    </row>
    <row r="8749" spans="1:4">
      <c r="A8749" s="13"/>
      <c r="B8749" s="13"/>
      <c r="C8749" s="13"/>
      <c r="D8749" s="13"/>
    </row>
    <row r="8750" spans="1:4">
      <c r="A8750" s="13"/>
      <c r="B8750" s="13"/>
      <c r="C8750" s="13"/>
      <c r="D8750" s="13"/>
    </row>
    <row r="8751" spans="1:4">
      <c r="A8751" s="13"/>
      <c r="B8751" s="13"/>
      <c r="C8751" s="13"/>
      <c r="D8751" s="13"/>
    </row>
    <row r="8752" spans="1:4">
      <c r="A8752" s="13"/>
      <c r="B8752" s="13"/>
      <c r="C8752" s="13"/>
      <c r="D8752" s="13"/>
    </row>
    <row r="8753" spans="1:4">
      <c r="A8753" s="13"/>
      <c r="B8753" s="13"/>
      <c r="C8753" s="13"/>
      <c r="D8753" s="13"/>
    </row>
    <row r="8754" spans="1:4">
      <c r="A8754" s="13"/>
      <c r="B8754" s="13"/>
      <c r="C8754" s="13"/>
      <c r="D8754" s="13"/>
    </row>
    <row r="8755" spans="1:4">
      <c r="A8755" s="13"/>
      <c r="B8755" s="13"/>
      <c r="C8755" s="13"/>
      <c r="D8755" s="13"/>
    </row>
    <row r="8756" spans="1:4">
      <c r="A8756" s="13"/>
      <c r="B8756" s="13"/>
      <c r="C8756" s="13"/>
      <c r="D8756" s="13"/>
    </row>
    <row r="8757" spans="1:4">
      <c r="A8757" s="13"/>
      <c r="B8757" s="13"/>
      <c r="C8757" s="13"/>
      <c r="D8757" s="13"/>
    </row>
    <row r="8758" spans="1:4">
      <c r="A8758" s="13"/>
      <c r="B8758" s="13"/>
      <c r="C8758" s="13"/>
      <c r="D8758" s="13"/>
    </row>
    <row r="8759" spans="1:4">
      <c r="A8759" s="13"/>
      <c r="B8759" s="13"/>
      <c r="C8759" s="13"/>
      <c r="D8759" s="13"/>
    </row>
    <row r="8760" spans="1:4">
      <c r="A8760" s="13"/>
      <c r="B8760" s="13"/>
      <c r="C8760" s="13"/>
      <c r="D8760" s="13"/>
    </row>
    <row r="8761" spans="1:4">
      <c r="A8761" s="13"/>
      <c r="B8761" s="13"/>
      <c r="C8761" s="13"/>
      <c r="D8761" s="13"/>
    </row>
    <row r="8762" spans="1:4">
      <c r="A8762" s="13"/>
      <c r="B8762" s="13"/>
      <c r="C8762" s="13"/>
      <c r="D8762" s="13"/>
    </row>
    <row r="8763" spans="1:4">
      <c r="A8763" s="13"/>
      <c r="B8763" s="13"/>
      <c r="C8763" s="13"/>
      <c r="D8763" s="13"/>
    </row>
    <row r="8764" spans="1:4">
      <c r="A8764" s="13"/>
      <c r="B8764" s="13"/>
      <c r="C8764" s="13"/>
      <c r="D8764" s="13"/>
    </row>
    <row r="8765" spans="1:4">
      <c r="A8765" s="13"/>
      <c r="B8765" s="13"/>
      <c r="C8765" s="13"/>
      <c r="D8765" s="13"/>
    </row>
    <row r="8766" spans="1:4">
      <c r="A8766" s="13"/>
      <c r="B8766" s="13"/>
      <c r="C8766" s="13"/>
      <c r="D8766" s="13"/>
    </row>
    <row r="8767" spans="1:4">
      <c r="A8767" s="13"/>
      <c r="B8767" s="13"/>
      <c r="C8767" s="13"/>
      <c r="D8767" s="13"/>
    </row>
    <row r="8768" spans="1:4">
      <c r="A8768" s="13"/>
      <c r="B8768" s="13"/>
      <c r="C8768" s="13"/>
      <c r="D8768" s="13"/>
    </row>
    <row r="8769" spans="1:4">
      <c r="A8769" s="13"/>
      <c r="B8769" s="13"/>
      <c r="C8769" s="13"/>
      <c r="D8769" s="13"/>
    </row>
    <row r="8770" spans="1:4">
      <c r="A8770" s="13"/>
      <c r="B8770" s="13"/>
      <c r="C8770" s="13"/>
      <c r="D8770" s="13"/>
    </row>
    <row r="8771" spans="1:4">
      <c r="A8771" s="13"/>
      <c r="B8771" s="13"/>
      <c r="C8771" s="13"/>
      <c r="D8771" s="13"/>
    </row>
    <row r="8772" spans="1:4">
      <c r="A8772" s="13"/>
      <c r="B8772" s="13"/>
      <c r="C8772" s="13"/>
      <c r="D8772" s="13"/>
    </row>
    <row r="8773" spans="1:4">
      <c r="A8773" s="13"/>
      <c r="B8773" s="13"/>
      <c r="C8773" s="13"/>
      <c r="D8773" s="13"/>
    </row>
    <row r="8774" spans="1:4">
      <c r="A8774" s="13"/>
      <c r="B8774" s="13"/>
      <c r="C8774" s="13"/>
      <c r="D8774" s="13"/>
    </row>
    <row r="8775" spans="1:4">
      <c r="A8775" s="13"/>
      <c r="B8775" s="13"/>
      <c r="C8775" s="13"/>
      <c r="D8775" s="13"/>
    </row>
    <row r="8776" spans="1:4">
      <c r="A8776" s="13"/>
      <c r="B8776" s="13"/>
      <c r="C8776" s="13"/>
      <c r="D8776" s="13"/>
    </row>
    <row r="8777" spans="1:4">
      <c r="A8777" s="13"/>
      <c r="B8777" s="13"/>
      <c r="C8777" s="13"/>
      <c r="D8777" s="13"/>
    </row>
    <row r="8778" spans="1:4">
      <c r="A8778" s="13"/>
      <c r="B8778" s="13"/>
      <c r="C8778" s="13"/>
      <c r="D8778" s="13"/>
    </row>
    <row r="8779" spans="1:4">
      <c r="A8779" s="13"/>
      <c r="B8779" s="13"/>
      <c r="C8779" s="13"/>
      <c r="D8779" s="13"/>
    </row>
    <row r="8780" spans="1:4">
      <c r="A8780" s="13"/>
      <c r="B8780" s="13"/>
      <c r="C8780" s="13"/>
      <c r="D8780" s="13"/>
    </row>
    <row r="8781" spans="1:4">
      <c r="A8781" s="13"/>
      <c r="B8781" s="13"/>
      <c r="C8781" s="13"/>
      <c r="D8781" s="13"/>
    </row>
    <row r="8782" spans="1:4">
      <c r="A8782" s="13"/>
      <c r="B8782" s="13"/>
      <c r="C8782" s="13"/>
      <c r="D8782" s="13"/>
    </row>
    <row r="8783" spans="1:4">
      <c r="A8783" s="13"/>
      <c r="B8783" s="13"/>
      <c r="C8783" s="13"/>
      <c r="D8783" s="13"/>
    </row>
    <row r="8784" spans="1:4">
      <c r="A8784" s="13"/>
      <c r="B8784" s="13"/>
      <c r="C8784" s="13"/>
      <c r="D8784" s="13"/>
    </row>
    <row r="8785" spans="1:4">
      <c r="A8785" s="13"/>
      <c r="B8785" s="13"/>
      <c r="C8785" s="13"/>
      <c r="D8785" s="13"/>
    </row>
    <row r="8786" spans="1:4">
      <c r="A8786" s="13"/>
      <c r="B8786" s="13"/>
      <c r="C8786" s="13"/>
      <c r="D8786" s="13"/>
    </row>
    <row r="8787" spans="1:4">
      <c r="A8787" s="13"/>
      <c r="B8787" s="13"/>
      <c r="C8787" s="13"/>
      <c r="D8787" s="13"/>
    </row>
    <row r="8788" spans="1:4">
      <c r="A8788" s="13"/>
      <c r="B8788" s="13"/>
      <c r="C8788" s="13"/>
      <c r="D8788" s="13"/>
    </row>
    <row r="8789" spans="1:4">
      <c r="A8789" s="13"/>
      <c r="B8789" s="13"/>
      <c r="C8789" s="13"/>
      <c r="D8789" s="13"/>
    </row>
    <row r="8790" spans="1:4">
      <c r="A8790" s="13"/>
      <c r="B8790" s="13"/>
      <c r="C8790" s="13"/>
      <c r="D8790" s="13"/>
    </row>
    <row r="8791" spans="1:4">
      <c r="A8791" s="13"/>
      <c r="B8791" s="13"/>
      <c r="C8791" s="13"/>
      <c r="D8791" s="13"/>
    </row>
    <row r="8792" spans="1:4">
      <c r="A8792" s="13"/>
      <c r="B8792" s="13"/>
      <c r="C8792" s="13"/>
      <c r="D8792" s="13"/>
    </row>
    <row r="8793" spans="1:4">
      <c r="A8793" s="13"/>
      <c r="B8793" s="13"/>
      <c r="C8793" s="13"/>
      <c r="D8793" s="13"/>
    </row>
    <row r="8794" spans="1:4">
      <c r="A8794" s="13"/>
      <c r="B8794" s="13"/>
      <c r="C8794" s="13"/>
      <c r="D8794" s="13"/>
    </row>
    <row r="8795" spans="1:4">
      <c r="A8795" s="13"/>
      <c r="B8795" s="13"/>
      <c r="C8795" s="13"/>
      <c r="D8795" s="13"/>
    </row>
    <row r="8796" spans="1:4">
      <c r="A8796" s="13"/>
      <c r="B8796" s="13"/>
      <c r="C8796" s="13"/>
      <c r="D8796" s="13"/>
    </row>
    <row r="8797" spans="1:4">
      <c r="A8797" s="13"/>
      <c r="B8797" s="13"/>
      <c r="C8797" s="13"/>
      <c r="D8797" s="13"/>
    </row>
    <row r="8798" spans="1:4">
      <c r="A8798" s="13"/>
      <c r="B8798" s="13"/>
      <c r="C8798" s="13"/>
      <c r="D8798" s="13"/>
    </row>
    <row r="8799" spans="1:4">
      <c r="A8799" s="13"/>
      <c r="B8799" s="13"/>
      <c r="C8799" s="13"/>
      <c r="D8799" s="13"/>
    </row>
    <row r="8800" spans="1:4">
      <c r="A8800" s="13"/>
      <c r="B8800" s="13"/>
      <c r="C8800" s="13"/>
      <c r="D8800" s="13"/>
    </row>
    <row r="8801" spans="1:4">
      <c r="A8801" s="13"/>
      <c r="B8801" s="13"/>
      <c r="C8801" s="13"/>
      <c r="D8801" s="13"/>
    </row>
    <row r="8802" spans="1:4">
      <c r="A8802" s="13"/>
      <c r="B8802" s="13"/>
      <c r="C8802" s="13"/>
      <c r="D8802" s="13"/>
    </row>
    <row r="8803" spans="1:4">
      <c r="A8803" s="13"/>
      <c r="B8803" s="13"/>
      <c r="C8803" s="13"/>
      <c r="D8803" s="13"/>
    </row>
    <row r="8804" spans="1:4">
      <c r="A8804" s="13"/>
      <c r="B8804" s="13"/>
      <c r="C8804" s="13"/>
      <c r="D8804" s="13"/>
    </row>
    <row r="8805" spans="1:4">
      <c r="A8805" s="13"/>
      <c r="B8805" s="13"/>
      <c r="C8805" s="13"/>
      <c r="D8805" s="13"/>
    </row>
    <row r="8806" spans="1:4">
      <c r="A8806" s="13"/>
      <c r="B8806" s="13"/>
      <c r="C8806" s="13"/>
      <c r="D8806" s="13"/>
    </row>
    <row r="8807" spans="1:4">
      <c r="A8807" s="13"/>
      <c r="B8807" s="13"/>
      <c r="C8807" s="13"/>
      <c r="D8807" s="13"/>
    </row>
    <row r="8808" spans="1:4">
      <c r="A8808" s="13"/>
      <c r="B8808" s="13"/>
      <c r="C8808" s="13"/>
      <c r="D8808" s="13"/>
    </row>
    <row r="8809" spans="1:4">
      <c r="A8809" s="13"/>
      <c r="B8809" s="13"/>
      <c r="C8809" s="13"/>
      <c r="D8809" s="13"/>
    </row>
    <row r="8810" spans="1:4">
      <c r="A8810" s="13"/>
      <c r="B8810" s="13"/>
      <c r="C8810" s="13"/>
      <c r="D8810" s="13"/>
    </row>
    <row r="8811" spans="1:4">
      <c r="A8811" s="13"/>
      <c r="B8811" s="13"/>
      <c r="C8811" s="13"/>
      <c r="D8811" s="13"/>
    </row>
    <row r="8812" spans="1:4">
      <c r="A8812" s="13"/>
      <c r="B8812" s="13"/>
      <c r="C8812" s="13"/>
      <c r="D8812" s="13"/>
    </row>
    <row r="8813" spans="1:4">
      <c r="A8813" s="13"/>
      <c r="B8813" s="13"/>
      <c r="C8813" s="13"/>
      <c r="D8813" s="13"/>
    </row>
    <row r="8814" spans="1:4">
      <c r="A8814" s="13"/>
      <c r="B8814" s="13"/>
      <c r="C8814" s="13"/>
      <c r="D8814" s="13"/>
    </row>
    <row r="8815" spans="1:4">
      <c r="A8815" s="13"/>
      <c r="B8815" s="13"/>
      <c r="C8815" s="13"/>
      <c r="D8815" s="13"/>
    </row>
    <row r="8816" spans="1:4">
      <c r="A8816" s="13"/>
      <c r="B8816" s="13"/>
      <c r="C8816" s="13"/>
      <c r="D8816" s="13"/>
    </row>
    <row r="8817" spans="1:4">
      <c r="A8817" s="13"/>
      <c r="B8817" s="13"/>
      <c r="C8817" s="13"/>
      <c r="D8817" s="13"/>
    </row>
    <row r="8818" spans="1:4">
      <c r="A8818" s="13"/>
      <c r="B8818" s="13"/>
      <c r="C8818" s="13"/>
      <c r="D8818" s="13"/>
    </row>
    <row r="8819" spans="1:4">
      <c r="A8819" s="13"/>
      <c r="B8819" s="13"/>
      <c r="C8819" s="13"/>
      <c r="D8819" s="13"/>
    </row>
    <row r="8820" spans="1:4">
      <c r="A8820" s="13"/>
      <c r="B8820" s="13"/>
      <c r="C8820" s="13"/>
      <c r="D8820" s="13"/>
    </row>
    <row r="8821" spans="1:4">
      <c r="A8821" s="13"/>
      <c r="B8821" s="13"/>
      <c r="C8821" s="13"/>
      <c r="D8821" s="13"/>
    </row>
    <row r="8822" spans="1:4">
      <c r="A8822" s="13"/>
      <c r="B8822" s="13"/>
      <c r="C8822" s="13"/>
      <c r="D8822" s="13"/>
    </row>
    <row r="8823" spans="1:4">
      <c r="A8823" s="13"/>
      <c r="B8823" s="13"/>
      <c r="C8823" s="13"/>
      <c r="D8823" s="13"/>
    </row>
    <row r="8824" spans="1:4">
      <c r="A8824" s="13"/>
      <c r="B8824" s="13"/>
      <c r="C8824" s="13"/>
      <c r="D8824" s="13"/>
    </row>
    <row r="8825" spans="1:4">
      <c r="A8825" s="13"/>
      <c r="B8825" s="13"/>
      <c r="C8825" s="13"/>
      <c r="D8825" s="13"/>
    </row>
    <row r="8826" spans="1:4">
      <c r="A8826" s="13"/>
      <c r="B8826" s="13"/>
      <c r="C8826" s="13"/>
      <c r="D8826" s="13"/>
    </row>
    <row r="8827" spans="1:4">
      <c r="A8827" s="13"/>
      <c r="B8827" s="13"/>
      <c r="C8827" s="13"/>
      <c r="D8827" s="13"/>
    </row>
    <row r="8828" spans="1:4">
      <c r="A8828" s="13"/>
      <c r="B8828" s="13"/>
      <c r="C8828" s="13"/>
      <c r="D8828" s="13"/>
    </row>
    <row r="8829" spans="1:4">
      <c r="A8829" s="13"/>
      <c r="B8829" s="13"/>
      <c r="C8829" s="13"/>
      <c r="D8829" s="13"/>
    </row>
    <row r="8830" spans="1:4">
      <c r="A8830" s="13"/>
      <c r="B8830" s="13"/>
      <c r="C8830" s="13"/>
      <c r="D8830" s="13"/>
    </row>
    <row r="8831" spans="1:4">
      <c r="A8831" s="13"/>
      <c r="B8831" s="13"/>
      <c r="C8831" s="13"/>
      <c r="D8831" s="13"/>
    </row>
    <row r="8832" spans="1:4">
      <c r="A8832" s="13"/>
      <c r="B8832" s="13"/>
      <c r="C8832" s="13"/>
      <c r="D8832" s="13"/>
    </row>
    <row r="8833" spans="1:4">
      <c r="A8833" s="13"/>
      <c r="B8833" s="13"/>
      <c r="C8833" s="13"/>
      <c r="D8833" s="13"/>
    </row>
    <row r="8834" spans="1:4">
      <c r="A8834" s="13"/>
      <c r="B8834" s="13"/>
      <c r="C8834" s="13"/>
      <c r="D8834" s="13"/>
    </row>
    <row r="8835" spans="1:4">
      <c r="A8835" s="13"/>
      <c r="B8835" s="13"/>
      <c r="C8835" s="13"/>
      <c r="D8835" s="13"/>
    </row>
    <row r="8836" spans="1:4">
      <c r="A8836" s="13"/>
      <c r="B8836" s="13"/>
      <c r="C8836" s="13"/>
      <c r="D8836" s="13"/>
    </row>
    <row r="8837" spans="1:4">
      <c r="A8837" s="13"/>
      <c r="B8837" s="13"/>
      <c r="C8837" s="13"/>
      <c r="D8837" s="13"/>
    </row>
    <row r="8838" spans="1:4">
      <c r="A8838" s="13"/>
      <c r="B8838" s="13"/>
      <c r="C8838" s="13"/>
      <c r="D8838" s="13"/>
    </row>
    <row r="8839" spans="1:4">
      <c r="A8839" s="13"/>
      <c r="B8839" s="13"/>
      <c r="C8839" s="13"/>
      <c r="D8839" s="13"/>
    </row>
    <row r="8840" spans="1:4">
      <c r="A8840" s="13"/>
      <c r="B8840" s="13"/>
      <c r="C8840" s="13"/>
      <c r="D8840" s="13"/>
    </row>
    <row r="8841" spans="1:4">
      <c r="A8841" s="13"/>
      <c r="B8841" s="13"/>
      <c r="C8841" s="13"/>
      <c r="D8841" s="13"/>
    </row>
    <row r="8842" spans="1:4">
      <c r="A8842" s="13"/>
      <c r="B8842" s="13"/>
      <c r="C8842" s="13"/>
      <c r="D8842" s="13"/>
    </row>
    <row r="8843" spans="1:4">
      <c r="A8843" s="13"/>
      <c r="B8843" s="13"/>
      <c r="C8843" s="13"/>
      <c r="D8843" s="13"/>
    </row>
    <row r="8844" spans="1:4">
      <c r="A8844" s="13"/>
      <c r="B8844" s="13"/>
      <c r="C8844" s="13"/>
      <c r="D8844" s="13"/>
    </row>
    <row r="8845" spans="1:4">
      <c r="A8845" s="13"/>
      <c r="B8845" s="13"/>
      <c r="C8845" s="13"/>
      <c r="D8845" s="13"/>
    </row>
    <row r="8846" spans="1:4">
      <c r="A8846" s="13"/>
      <c r="B8846" s="13"/>
      <c r="C8846" s="13"/>
      <c r="D8846" s="13"/>
    </row>
    <row r="8847" spans="1:4">
      <c r="A8847" s="13"/>
      <c r="B8847" s="13"/>
      <c r="C8847" s="13"/>
      <c r="D8847" s="13"/>
    </row>
    <row r="8848" spans="1:4">
      <c r="A8848" s="13"/>
      <c r="B8848" s="13"/>
      <c r="C8848" s="13"/>
      <c r="D8848" s="13"/>
    </row>
    <row r="8849" spans="1:4">
      <c r="A8849" s="13"/>
      <c r="B8849" s="13"/>
      <c r="C8849" s="13"/>
      <c r="D8849" s="13"/>
    </row>
    <row r="8850" spans="1:4">
      <c r="A8850" s="13"/>
      <c r="B8850" s="13"/>
      <c r="C8850" s="13"/>
      <c r="D8850" s="13"/>
    </row>
    <row r="8851" spans="1:4">
      <c r="A8851" s="13"/>
      <c r="B8851" s="13"/>
      <c r="C8851" s="13"/>
      <c r="D8851" s="13"/>
    </row>
    <row r="8852" spans="1:4">
      <c r="A8852" s="13"/>
      <c r="B8852" s="13"/>
      <c r="C8852" s="13"/>
      <c r="D8852" s="13"/>
    </row>
    <row r="8853" spans="1:4">
      <c r="A8853" s="13"/>
      <c r="B8853" s="13"/>
      <c r="C8853" s="13"/>
      <c r="D8853" s="13"/>
    </row>
    <row r="8854" spans="1:4">
      <c r="A8854" s="13"/>
      <c r="B8854" s="13"/>
      <c r="C8854" s="13"/>
      <c r="D8854" s="13"/>
    </row>
    <row r="8855" spans="1:4">
      <c r="A8855" s="13"/>
      <c r="B8855" s="13"/>
      <c r="C8855" s="13"/>
      <c r="D8855" s="13"/>
    </row>
    <row r="8856" spans="1:4">
      <c r="A8856" s="13"/>
      <c r="B8856" s="13"/>
      <c r="C8856" s="13"/>
      <c r="D8856" s="13"/>
    </row>
    <row r="8857" spans="1:4">
      <c r="A8857" s="13"/>
      <c r="B8857" s="13"/>
      <c r="C8857" s="13"/>
      <c r="D8857" s="13"/>
    </row>
    <row r="8858" spans="1:4">
      <c r="A8858" s="13"/>
      <c r="B8858" s="13"/>
      <c r="C8858" s="13"/>
      <c r="D8858" s="13"/>
    </row>
    <row r="8859" spans="1:4">
      <c r="A8859" s="13"/>
      <c r="B8859" s="13"/>
      <c r="C8859" s="13"/>
      <c r="D8859" s="13"/>
    </row>
    <row r="8860" spans="1:4">
      <c r="A8860" s="13"/>
      <c r="B8860" s="13"/>
      <c r="C8860" s="13"/>
      <c r="D8860" s="13"/>
    </row>
    <row r="8861" spans="1:4">
      <c r="A8861" s="13"/>
      <c r="B8861" s="13"/>
      <c r="C8861" s="13"/>
      <c r="D8861" s="13"/>
    </row>
    <row r="8862" spans="1:4">
      <c r="A8862" s="13"/>
      <c r="B8862" s="13"/>
      <c r="C8862" s="13"/>
      <c r="D8862" s="13"/>
    </row>
    <row r="8863" spans="1:4">
      <c r="A8863" s="13"/>
      <c r="B8863" s="13"/>
      <c r="C8863" s="13"/>
      <c r="D8863" s="13"/>
    </row>
    <row r="8864" spans="1:4">
      <c r="A8864" s="13"/>
      <c r="B8864" s="13"/>
      <c r="C8864" s="13"/>
      <c r="D8864" s="13"/>
    </row>
    <row r="8865" spans="1:4">
      <c r="A8865" s="13"/>
      <c r="B8865" s="13"/>
      <c r="C8865" s="13"/>
      <c r="D8865" s="13"/>
    </row>
    <row r="8866" spans="1:4">
      <c r="A8866" s="13"/>
      <c r="B8866" s="13"/>
      <c r="C8866" s="13"/>
      <c r="D8866" s="13"/>
    </row>
    <row r="8867" spans="1:4">
      <c r="A8867" s="13"/>
      <c r="B8867" s="13"/>
      <c r="C8867" s="13"/>
      <c r="D8867" s="13"/>
    </row>
    <row r="8868" spans="1:4">
      <c r="A8868" s="13"/>
      <c r="B8868" s="13"/>
      <c r="C8868" s="13"/>
      <c r="D8868" s="13"/>
    </row>
    <row r="8869" spans="1:4">
      <c r="A8869" s="13"/>
      <c r="B8869" s="13"/>
      <c r="C8869" s="13"/>
      <c r="D8869" s="13"/>
    </row>
    <row r="8870" spans="1:4">
      <c r="A8870" s="13"/>
      <c r="B8870" s="13"/>
      <c r="C8870" s="13"/>
      <c r="D8870" s="13"/>
    </row>
    <row r="8871" spans="1:4">
      <c r="A8871" s="13"/>
      <c r="B8871" s="13"/>
      <c r="C8871" s="13"/>
      <c r="D8871" s="13"/>
    </row>
    <row r="8872" spans="1:4">
      <c r="A8872" s="13"/>
      <c r="B8872" s="13"/>
      <c r="C8872" s="13"/>
      <c r="D8872" s="13"/>
    </row>
    <row r="8873" spans="1:4">
      <c r="A8873" s="13"/>
      <c r="B8873" s="13"/>
      <c r="C8873" s="13"/>
      <c r="D8873" s="13"/>
    </row>
    <row r="8874" spans="1:4">
      <c r="A8874" s="13"/>
      <c r="B8874" s="13"/>
      <c r="C8874" s="13"/>
      <c r="D8874" s="13"/>
    </row>
    <row r="8875" spans="1:4">
      <c r="A8875" s="13"/>
      <c r="B8875" s="13"/>
      <c r="C8875" s="13"/>
      <c r="D8875" s="13"/>
    </row>
    <row r="8876" spans="1:4">
      <c r="A8876" s="13"/>
      <c r="B8876" s="13"/>
      <c r="C8876" s="13"/>
      <c r="D8876" s="13"/>
    </row>
    <row r="8877" spans="1:4">
      <c r="A8877" s="13"/>
      <c r="B8877" s="13"/>
      <c r="C8877" s="13"/>
      <c r="D8877" s="13"/>
    </row>
    <row r="8878" spans="1:4">
      <c r="A8878" s="13"/>
      <c r="B8878" s="13"/>
      <c r="C8878" s="13"/>
      <c r="D8878" s="13"/>
    </row>
    <row r="8879" spans="1:4">
      <c r="A8879" s="13"/>
      <c r="B8879" s="13"/>
      <c r="C8879" s="13"/>
      <c r="D8879" s="13"/>
    </row>
    <row r="8880" spans="1:4">
      <c r="A8880" s="13"/>
      <c r="B8880" s="13"/>
      <c r="C8880" s="13"/>
      <c r="D8880" s="13"/>
    </row>
    <row r="8881" spans="1:4">
      <c r="A8881" s="13"/>
      <c r="B8881" s="13"/>
      <c r="C8881" s="13"/>
      <c r="D8881" s="13"/>
    </row>
    <row r="8882" spans="1:4">
      <c r="A8882" s="13"/>
      <c r="B8882" s="13"/>
      <c r="C8882" s="13"/>
      <c r="D8882" s="13"/>
    </row>
    <row r="8883" spans="1:4">
      <c r="A8883" s="13"/>
      <c r="B8883" s="13"/>
      <c r="C8883" s="13"/>
      <c r="D8883" s="13"/>
    </row>
    <row r="8884" spans="1:4">
      <c r="A8884" s="13"/>
      <c r="B8884" s="13"/>
      <c r="C8884" s="13"/>
      <c r="D8884" s="13"/>
    </row>
    <row r="8885" spans="1:4">
      <c r="A8885" s="13"/>
      <c r="B8885" s="13"/>
      <c r="C8885" s="13"/>
      <c r="D8885" s="13"/>
    </row>
    <row r="8886" spans="1:4">
      <c r="A8886" s="13"/>
      <c r="B8886" s="13"/>
      <c r="C8886" s="13"/>
      <c r="D8886" s="13"/>
    </row>
    <row r="8887" spans="1:4">
      <c r="A8887" s="13"/>
      <c r="B8887" s="13"/>
      <c r="C8887" s="13"/>
      <c r="D8887" s="13"/>
    </row>
    <row r="8888" spans="1:4">
      <c r="A8888" s="13"/>
      <c r="B8888" s="13"/>
      <c r="C8888" s="13"/>
      <c r="D8888" s="13"/>
    </row>
    <row r="8889" spans="1:4">
      <c r="A8889" s="13"/>
      <c r="B8889" s="13"/>
      <c r="C8889" s="13"/>
      <c r="D8889" s="13"/>
    </row>
    <row r="8890" spans="1:4">
      <c r="A8890" s="13"/>
      <c r="B8890" s="13"/>
      <c r="C8890" s="13"/>
      <c r="D8890" s="13"/>
    </row>
    <row r="8891" spans="1:4">
      <c r="A8891" s="13"/>
      <c r="B8891" s="13"/>
      <c r="C8891" s="13"/>
      <c r="D8891" s="13"/>
    </row>
    <row r="8892" spans="1:4">
      <c r="A8892" s="13"/>
      <c r="B8892" s="13"/>
      <c r="C8892" s="13"/>
      <c r="D8892" s="13"/>
    </row>
    <row r="8893" spans="1:4">
      <c r="A8893" s="13"/>
      <c r="B8893" s="13"/>
      <c r="C8893" s="13"/>
      <c r="D8893" s="13"/>
    </row>
    <row r="8894" spans="1:4">
      <c r="A8894" s="13"/>
      <c r="B8894" s="13"/>
      <c r="C8894" s="13"/>
      <c r="D8894" s="13"/>
    </row>
    <row r="8895" spans="1:4">
      <c r="A8895" s="13"/>
      <c r="B8895" s="13"/>
      <c r="C8895" s="13"/>
      <c r="D8895" s="13"/>
    </row>
    <row r="8896" spans="1:4">
      <c r="A8896" s="13"/>
      <c r="B8896" s="13"/>
      <c r="C8896" s="13"/>
      <c r="D8896" s="13"/>
    </row>
    <row r="8897" spans="1:4">
      <c r="A8897" s="13"/>
      <c r="B8897" s="13"/>
      <c r="C8897" s="13"/>
      <c r="D8897" s="13"/>
    </row>
    <row r="8898" spans="1:4">
      <c r="A8898" s="13"/>
      <c r="B8898" s="13"/>
      <c r="C8898" s="13"/>
      <c r="D8898" s="13"/>
    </row>
    <row r="8899" spans="1:4">
      <c r="A8899" s="13"/>
      <c r="B8899" s="13"/>
      <c r="C8899" s="13"/>
      <c r="D8899" s="13"/>
    </row>
    <row r="8900" spans="1:4">
      <c r="A8900" s="13"/>
      <c r="B8900" s="13"/>
      <c r="C8900" s="13"/>
      <c r="D8900" s="13"/>
    </row>
    <row r="8901" spans="1:4">
      <c r="A8901" s="13"/>
      <c r="B8901" s="13"/>
      <c r="C8901" s="13"/>
      <c r="D8901" s="13"/>
    </row>
    <row r="8902" spans="1:4">
      <c r="A8902" s="13"/>
      <c r="B8902" s="13"/>
      <c r="C8902" s="13"/>
      <c r="D8902" s="13"/>
    </row>
    <row r="8903" spans="1:4">
      <c r="A8903" s="13"/>
      <c r="B8903" s="13"/>
      <c r="C8903" s="13"/>
      <c r="D8903" s="13"/>
    </row>
    <row r="8904" spans="1:4">
      <c r="A8904" s="13"/>
      <c r="B8904" s="13"/>
      <c r="C8904" s="13"/>
      <c r="D8904" s="13"/>
    </row>
    <row r="8905" spans="1:4">
      <c r="A8905" s="13"/>
      <c r="B8905" s="13"/>
      <c r="C8905" s="13"/>
      <c r="D8905" s="13"/>
    </row>
    <row r="8906" spans="1:4">
      <c r="A8906" s="13"/>
      <c r="B8906" s="13"/>
      <c r="C8906" s="13"/>
      <c r="D8906" s="13"/>
    </row>
    <row r="8907" spans="1:4">
      <c r="A8907" s="13"/>
      <c r="B8907" s="13"/>
      <c r="C8907" s="13"/>
      <c r="D8907" s="13"/>
    </row>
    <row r="8908" spans="1:4">
      <c r="A8908" s="13"/>
      <c r="B8908" s="13"/>
      <c r="C8908" s="13"/>
      <c r="D8908" s="13"/>
    </row>
    <row r="8909" spans="1:4">
      <c r="A8909" s="13"/>
      <c r="B8909" s="13"/>
      <c r="C8909" s="13"/>
      <c r="D8909" s="13"/>
    </row>
    <row r="8910" spans="1:4">
      <c r="A8910" s="13"/>
      <c r="B8910" s="13"/>
      <c r="C8910" s="13"/>
      <c r="D8910" s="13"/>
    </row>
    <row r="8911" spans="1:4">
      <c r="A8911" s="13"/>
      <c r="B8911" s="13"/>
      <c r="C8911" s="13"/>
      <c r="D8911" s="13"/>
    </row>
    <row r="8912" spans="1:4">
      <c r="A8912" s="13"/>
      <c r="B8912" s="13"/>
      <c r="C8912" s="13"/>
      <c r="D8912" s="13"/>
    </row>
    <row r="8913" spans="1:4">
      <c r="A8913" s="13"/>
      <c r="B8913" s="13"/>
      <c r="C8913" s="13"/>
      <c r="D8913" s="13"/>
    </row>
    <row r="8914" spans="1:4">
      <c r="A8914" s="13"/>
      <c r="B8914" s="13"/>
      <c r="C8914" s="13"/>
      <c r="D8914" s="13"/>
    </row>
    <row r="8915" spans="1:4">
      <c r="A8915" s="13"/>
      <c r="B8915" s="13"/>
      <c r="C8915" s="13"/>
      <c r="D8915" s="13"/>
    </row>
    <row r="8916" spans="1:4">
      <c r="A8916" s="13"/>
      <c r="B8916" s="13"/>
      <c r="C8916" s="13"/>
      <c r="D8916" s="13"/>
    </row>
    <row r="8917" spans="1:4">
      <c r="A8917" s="13"/>
      <c r="B8917" s="13"/>
      <c r="C8917" s="13"/>
      <c r="D8917" s="13"/>
    </row>
    <row r="8918" spans="1:4">
      <c r="A8918" s="13"/>
      <c r="B8918" s="13"/>
      <c r="C8918" s="13"/>
      <c r="D8918" s="13"/>
    </row>
    <row r="8919" spans="1:4">
      <c r="A8919" s="13"/>
      <c r="B8919" s="13"/>
      <c r="C8919" s="13"/>
      <c r="D8919" s="13"/>
    </row>
    <row r="8920" spans="1:4">
      <c r="A8920" s="13"/>
      <c r="B8920" s="13"/>
      <c r="C8920" s="13"/>
      <c r="D8920" s="13"/>
    </row>
    <row r="8921" spans="1:4">
      <c r="A8921" s="13"/>
      <c r="B8921" s="13"/>
      <c r="C8921" s="13"/>
      <c r="D8921" s="13"/>
    </row>
    <row r="8922" spans="1:4">
      <c r="A8922" s="13"/>
      <c r="B8922" s="13"/>
      <c r="C8922" s="13"/>
      <c r="D8922" s="13"/>
    </row>
    <row r="8923" spans="1:4">
      <c r="A8923" s="13"/>
      <c r="B8923" s="13"/>
      <c r="C8923" s="13"/>
      <c r="D8923" s="13"/>
    </row>
    <row r="8924" spans="1:4">
      <c r="A8924" s="13"/>
      <c r="B8924" s="13"/>
      <c r="C8924" s="13"/>
      <c r="D8924" s="13"/>
    </row>
    <row r="8925" spans="1:4">
      <c r="A8925" s="13"/>
      <c r="B8925" s="13"/>
      <c r="C8925" s="13"/>
      <c r="D8925" s="13"/>
    </row>
    <row r="8926" spans="1:4">
      <c r="A8926" s="13"/>
      <c r="B8926" s="13"/>
      <c r="C8926" s="13"/>
      <c r="D8926" s="13"/>
    </row>
    <row r="8927" spans="1:4">
      <c r="A8927" s="13"/>
      <c r="B8927" s="13"/>
      <c r="C8927" s="13"/>
      <c r="D8927" s="13"/>
    </row>
    <row r="8928" spans="1:4">
      <c r="A8928" s="13"/>
      <c r="B8928" s="13"/>
      <c r="C8928" s="13"/>
      <c r="D8928" s="13"/>
    </row>
    <row r="8929" spans="1:4">
      <c r="A8929" s="13"/>
      <c r="B8929" s="13"/>
      <c r="C8929" s="13"/>
      <c r="D8929" s="13"/>
    </row>
    <row r="8930" spans="1:4">
      <c r="A8930" s="13"/>
      <c r="B8930" s="13"/>
      <c r="C8930" s="13"/>
      <c r="D8930" s="13"/>
    </row>
    <row r="8931" spans="1:4">
      <c r="A8931" s="13"/>
      <c r="B8931" s="13"/>
      <c r="C8931" s="13"/>
      <c r="D8931" s="13"/>
    </row>
    <row r="8932" spans="1:4">
      <c r="A8932" s="13"/>
      <c r="B8932" s="13"/>
      <c r="C8932" s="13"/>
      <c r="D8932" s="13"/>
    </row>
    <row r="8933" spans="1:4">
      <c r="A8933" s="13"/>
      <c r="B8933" s="13"/>
      <c r="C8933" s="13"/>
      <c r="D8933" s="13"/>
    </row>
    <row r="8934" spans="1:4">
      <c r="A8934" s="13"/>
      <c r="B8934" s="13"/>
      <c r="C8934" s="13"/>
      <c r="D8934" s="13"/>
    </row>
    <row r="8935" spans="1:4">
      <c r="A8935" s="13"/>
      <c r="B8935" s="13"/>
      <c r="C8935" s="13"/>
      <c r="D8935" s="13"/>
    </row>
    <row r="8936" spans="1:4">
      <c r="A8936" s="13"/>
      <c r="B8936" s="13"/>
      <c r="C8936" s="13"/>
      <c r="D8936" s="13"/>
    </row>
    <row r="8937" spans="1:4">
      <c r="A8937" s="13"/>
      <c r="B8937" s="13"/>
      <c r="C8937" s="13"/>
      <c r="D8937" s="13"/>
    </row>
    <row r="8938" spans="1:4">
      <c r="A8938" s="13"/>
      <c r="B8938" s="13"/>
      <c r="C8938" s="13"/>
      <c r="D8938" s="13"/>
    </row>
    <row r="8939" spans="1:4">
      <c r="A8939" s="13"/>
      <c r="B8939" s="13"/>
      <c r="C8939" s="13"/>
      <c r="D8939" s="13"/>
    </row>
    <row r="8940" spans="1:4">
      <c r="A8940" s="13"/>
      <c r="B8940" s="13"/>
      <c r="C8940" s="13"/>
      <c r="D8940" s="13"/>
    </row>
    <row r="8941" spans="1:4">
      <c r="A8941" s="13"/>
      <c r="B8941" s="13"/>
      <c r="C8941" s="13"/>
      <c r="D8941" s="13"/>
    </row>
    <row r="8942" spans="1:4">
      <c r="A8942" s="13"/>
      <c r="B8942" s="13"/>
      <c r="C8942" s="13"/>
      <c r="D8942" s="13"/>
    </row>
    <row r="8943" spans="1:4">
      <c r="A8943" s="13"/>
      <c r="B8943" s="13"/>
      <c r="C8943" s="13"/>
      <c r="D8943" s="13"/>
    </row>
    <row r="8944" spans="1:4">
      <c r="A8944" s="13"/>
      <c r="B8944" s="13"/>
      <c r="C8944" s="13"/>
      <c r="D8944" s="13"/>
    </row>
    <row r="8945" spans="1:4">
      <c r="A8945" s="13"/>
      <c r="B8945" s="13"/>
      <c r="C8945" s="13"/>
      <c r="D8945" s="13"/>
    </row>
    <row r="8946" spans="1:4">
      <c r="A8946" s="13"/>
      <c r="B8946" s="13"/>
      <c r="C8946" s="13"/>
      <c r="D8946" s="13"/>
    </row>
    <row r="8947" spans="1:4">
      <c r="A8947" s="13"/>
      <c r="B8947" s="13"/>
      <c r="C8947" s="13"/>
      <c r="D8947" s="13"/>
    </row>
    <row r="8948" spans="1:4">
      <c r="A8948" s="13"/>
      <c r="B8948" s="13"/>
      <c r="C8948" s="13"/>
      <c r="D8948" s="13"/>
    </row>
    <row r="8949" spans="1:4">
      <c r="A8949" s="13"/>
      <c r="B8949" s="13"/>
      <c r="C8949" s="13"/>
      <c r="D8949" s="13"/>
    </row>
    <row r="8950" spans="1:4">
      <c r="A8950" s="13"/>
      <c r="B8950" s="13"/>
      <c r="C8950" s="13"/>
      <c r="D8950" s="13"/>
    </row>
    <row r="8951" spans="1:4">
      <c r="A8951" s="13"/>
      <c r="B8951" s="13"/>
      <c r="C8951" s="13"/>
      <c r="D8951" s="13"/>
    </row>
    <row r="8952" spans="1:4">
      <c r="A8952" s="13"/>
      <c r="B8952" s="13"/>
      <c r="C8952" s="13"/>
      <c r="D8952" s="13"/>
    </row>
    <row r="8953" spans="1:4">
      <c r="A8953" s="13"/>
      <c r="B8953" s="13"/>
      <c r="C8953" s="13"/>
      <c r="D8953" s="13"/>
    </row>
    <row r="8954" spans="1:4">
      <c r="A8954" s="13"/>
      <c r="B8954" s="13"/>
      <c r="C8954" s="13"/>
      <c r="D8954" s="13"/>
    </row>
    <row r="8955" spans="1:4">
      <c r="A8955" s="13"/>
      <c r="B8955" s="13"/>
      <c r="C8955" s="13"/>
      <c r="D8955" s="13"/>
    </row>
    <row r="8956" spans="1:4">
      <c r="A8956" s="13"/>
      <c r="B8956" s="13"/>
      <c r="C8956" s="13"/>
      <c r="D8956" s="13"/>
    </row>
    <row r="8957" spans="1:4">
      <c r="A8957" s="13"/>
      <c r="B8957" s="13"/>
      <c r="C8957" s="13"/>
      <c r="D8957" s="13"/>
    </row>
    <row r="8958" spans="1:4">
      <c r="A8958" s="13"/>
      <c r="B8958" s="13"/>
      <c r="C8958" s="13"/>
      <c r="D8958" s="13"/>
    </row>
    <row r="8959" spans="1:4">
      <c r="A8959" s="13"/>
      <c r="B8959" s="13"/>
      <c r="C8959" s="13"/>
      <c r="D8959" s="13"/>
    </row>
    <row r="8960" spans="1:4">
      <c r="A8960" s="13"/>
      <c r="B8960" s="13"/>
      <c r="C8960" s="13"/>
      <c r="D8960" s="13"/>
    </row>
    <row r="8961" spans="1:4">
      <c r="A8961" s="13"/>
      <c r="B8961" s="13"/>
      <c r="C8961" s="13"/>
      <c r="D8961" s="13"/>
    </row>
    <row r="8962" spans="1:4">
      <c r="A8962" s="13"/>
      <c r="B8962" s="13"/>
      <c r="C8962" s="13"/>
      <c r="D8962" s="13"/>
    </row>
    <row r="8963" spans="1:4">
      <c r="A8963" s="13"/>
      <c r="B8963" s="13"/>
      <c r="C8963" s="13"/>
      <c r="D8963" s="13"/>
    </row>
    <row r="8964" spans="1:4">
      <c r="A8964" s="13"/>
      <c r="B8964" s="13"/>
      <c r="C8964" s="13"/>
      <c r="D8964" s="13"/>
    </row>
    <row r="8965" spans="1:4">
      <c r="A8965" s="13"/>
      <c r="B8965" s="13"/>
      <c r="C8965" s="13"/>
      <c r="D8965" s="13"/>
    </row>
    <row r="8966" spans="1:4">
      <c r="A8966" s="13"/>
      <c r="B8966" s="13"/>
      <c r="C8966" s="13"/>
      <c r="D8966" s="13"/>
    </row>
    <row r="8967" spans="1:4">
      <c r="A8967" s="13"/>
      <c r="B8967" s="13"/>
      <c r="C8967" s="13"/>
      <c r="D8967" s="13"/>
    </row>
    <row r="8968" spans="1:4">
      <c r="A8968" s="13"/>
      <c r="B8968" s="13"/>
      <c r="C8968" s="13"/>
      <c r="D8968" s="13"/>
    </row>
    <row r="8969" spans="1:4">
      <c r="A8969" s="13"/>
      <c r="B8969" s="13"/>
      <c r="C8969" s="13"/>
      <c r="D8969" s="13"/>
    </row>
    <row r="8970" spans="1:4">
      <c r="A8970" s="13"/>
      <c r="B8970" s="13"/>
      <c r="C8970" s="13"/>
      <c r="D8970" s="13"/>
    </row>
    <row r="8971" spans="1:4">
      <c r="A8971" s="13"/>
      <c r="B8971" s="13"/>
      <c r="C8971" s="13"/>
      <c r="D8971" s="13"/>
    </row>
    <row r="8972" spans="1:4">
      <c r="A8972" s="13"/>
      <c r="B8972" s="13"/>
      <c r="C8972" s="13"/>
      <c r="D8972" s="13"/>
    </row>
    <row r="8973" spans="1:4">
      <c r="A8973" s="13"/>
      <c r="B8973" s="13"/>
      <c r="C8973" s="13"/>
      <c r="D8973" s="13"/>
    </row>
    <row r="8974" spans="1:4">
      <c r="A8974" s="13"/>
      <c r="B8974" s="13"/>
      <c r="C8974" s="13"/>
      <c r="D8974" s="13"/>
    </row>
    <row r="8975" spans="1:4">
      <c r="A8975" s="13"/>
      <c r="B8975" s="13"/>
      <c r="C8975" s="13"/>
      <c r="D8975" s="13"/>
    </row>
    <row r="8976" spans="1:4">
      <c r="A8976" s="13"/>
      <c r="B8976" s="13"/>
      <c r="C8976" s="13"/>
      <c r="D8976" s="13"/>
    </row>
    <row r="8977" spans="1:4">
      <c r="A8977" s="13"/>
      <c r="B8977" s="13"/>
      <c r="C8977" s="13"/>
      <c r="D8977" s="13"/>
    </row>
    <row r="8978" spans="1:4">
      <c r="A8978" s="13"/>
      <c r="B8978" s="13"/>
      <c r="C8978" s="13"/>
      <c r="D8978" s="13"/>
    </row>
    <row r="8979" spans="1:4">
      <c r="A8979" s="13"/>
      <c r="B8979" s="13"/>
      <c r="C8979" s="13"/>
      <c r="D8979" s="13"/>
    </row>
    <row r="8980" spans="1:4">
      <c r="A8980" s="13"/>
      <c r="B8980" s="13"/>
      <c r="C8980" s="13"/>
      <c r="D8980" s="13"/>
    </row>
    <row r="8981" spans="1:4">
      <c r="A8981" s="13"/>
      <c r="B8981" s="13"/>
      <c r="C8981" s="13"/>
      <c r="D8981" s="13"/>
    </row>
    <row r="8982" spans="1:4">
      <c r="A8982" s="13"/>
      <c r="B8982" s="13"/>
      <c r="C8982" s="13"/>
      <c r="D8982" s="13"/>
    </row>
    <row r="8983" spans="1:4">
      <c r="A8983" s="13"/>
      <c r="B8983" s="13"/>
      <c r="C8983" s="13"/>
      <c r="D8983" s="13"/>
    </row>
    <row r="8984" spans="1:4">
      <c r="A8984" s="13"/>
      <c r="B8984" s="13"/>
      <c r="C8984" s="13"/>
      <c r="D8984" s="13"/>
    </row>
    <row r="8985" spans="1:4">
      <c r="A8985" s="13"/>
      <c r="B8985" s="13"/>
      <c r="C8985" s="13"/>
      <c r="D8985" s="13"/>
    </row>
    <row r="8986" spans="1:4">
      <c r="A8986" s="13"/>
      <c r="B8986" s="13"/>
      <c r="C8986" s="13"/>
      <c r="D8986" s="13"/>
    </row>
    <row r="8987" spans="1:4">
      <c r="A8987" s="13"/>
      <c r="B8987" s="13"/>
      <c r="C8987" s="13"/>
      <c r="D8987" s="13"/>
    </row>
    <row r="8988" spans="1:4">
      <c r="A8988" s="13"/>
      <c r="B8988" s="13"/>
      <c r="C8988" s="13"/>
      <c r="D8988" s="13"/>
    </row>
    <row r="8989" spans="1:4">
      <c r="A8989" s="13"/>
      <c r="B8989" s="13"/>
      <c r="C8989" s="13"/>
      <c r="D8989" s="13"/>
    </row>
    <row r="8990" spans="1:4">
      <c r="A8990" s="13"/>
      <c r="B8990" s="13"/>
      <c r="C8990" s="13"/>
      <c r="D8990" s="13"/>
    </row>
    <row r="8991" spans="1:4">
      <c r="A8991" s="13"/>
      <c r="B8991" s="13"/>
      <c r="C8991" s="13"/>
      <c r="D8991" s="13"/>
    </row>
    <row r="8992" spans="1:4">
      <c r="A8992" s="13"/>
      <c r="B8992" s="13"/>
      <c r="C8992" s="13"/>
      <c r="D8992" s="13"/>
    </row>
    <row r="8993" spans="1:4">
      <c r="A8993" s="13"/>
      <c r="B8993" s="13"/>
      <c r="C8993" s="13"/>
      <c r="D8993" s="13"/>
    </row>
    <row r="8994" spans="1:4">
      <c r="A8994" s="13"/>
      <c r="B8994" s="13"/>
      <c r="C8994" s="13"/>
      <c r="D8994" s="13"/>
    </row>
    <row r="8995" spans="1:4">
      <c r="A8995" s="13"/>
      <c r="B8995" s="13"/>
      <c r="C8995" s="13"/>
      <c r="D8995" s="13"/>
    </row>
    <row r="8996" spans="1:4">
      <c r="A8996" s="13"/>
      <c r="B8996" s="13"/>
      <c r="C8996" s="13"/>
      <c r="D8996" s="13"/>
    </row>
    <row r="8997" spans="1:4">
      <c r="A8997" s="13"/>
      <c r="B8997" s="13"/>
      <c r="C8997" s="13"/>
      <c r="D8997" s="13"/>
    </row>
    <row r="8998" spans="1:4">
      <c r="A8998" s="13"/>
      <c r="B8998" s="13"/>
      <c r="C8998" s="13"/>
      <c r="D8998" s="13"/>
    </row>
    <row r="8999" spans="1:4">
      <c r="A8999" s="13"/>
      <c r="B8999" s="13"/>
      <c r="C8999" s="13"/>
      <c r="D8999" s="13"/>
    </row>
    <row r="9000" spans="1:4">
      <c r="A9000" s="13"/>
      <c r="B9000" s="13"/>
      <c r="C9000" s="13"/>
      <c r="D9000" s="13"/>
    </row>
    <row r="9001" spans="1:4">
      <c r="A9001" s="13"/>
      <c r="B9001" s="13"/>
      <c r="C9001" s="13"/>
      <c r="D9001" s="13"/>
    </row>
    <row r="9002" spans="1:4">
      <c r="A9002" s="13"/>
      <c r="B9002" s="13"/>
      <c r="C9002" s="13"/>
      <c r="D9002" s="13"/>
    </row>
    <row r="9003" spans="1:4">
      <c r="A9003" s="13"/>
      <c r="B9003" s="13"/>
      <c r="C9003" s="13"/>
      <c r="D9003" s="13"/>
    </row>
    <row r="9004" spans="1:4">
      <c r="A9004" s="13"/>
      <c r="B9004" s="13"/>
      <c r="C9004" s="13"/>
      <c r="D9004" s="13"/>
    </row>
    <row r="9005" spans="1:4">
      <c r="A9005" s="13"/>
      <c r="B9005" s="13"/>
      <c r="C9005" s="13"/>
      <c r="D9005" s="13"/>
    </row>
    <row r="9006" spans="1:4">
      <c r="A9006" s="13"/>
      <c r="B9006" s="13"/>
      <c r="C9006" s="13"/>
      <c r="D9006" s="13"/>
    </row>
    <row r="9007" spans="1:4">
      <c r="A9007" s="13"/>
      <c r="B9007" s="13"/>
      <c r="C9007" s="13"/>
      <c r="D9007" s="13"/>
    </row>
    <row r="9008" spans="1:4">
      <c r="A9008" s="13"/>
      <c r="B9008" s="13"/>
      <c r="C9008" s="13"/>
      <c r="D9008" s="13"/>
    </row>
    <row r="9009" spans="1:4">
      <c r="A9009" s="13"/>
      <c r="B9009" s="13"/>
      <c r="C9009" s="13"/>
      <c r="D9009" s="13"/>
    </row>
    <row r="9010" spans="1:4">
      <c r="A9010" s="13"/>
      <c r="B9010" s="13"/>
      <c r="C9010" s="13"/>
      <c r="D9010" s="13"/>
    </row>
    <row r="9011" spans="1:4">
      <c r="A9011" s="13"/>
      <c r="B9011" s="13"/>
      <c r="C9011" s="13"/>
      <c r="D9011" s="13"/>
    </row>
    <row r="9012" spans="1:4">
      <c r="A9012" s="13"/>
      <c r="B9012" s="13"/>
      <c r="C9012" s="13"/>
      <c r="D9012" s="13"/>
    </row>
    <row r="9013" spans="1:4">
      <c r="A9013" s="13"/>
      <c r="B9013" s="13"/>
      <c r="C9013" s="13"/>
      <c r="D9013" s="13"/>
    </row>
    <row r="9014" spans="1:4">
      <c r="A9014" s="13"/>
      <c r="B9014" s="13"/>
      <c r="C9014" s="13"/>
      <c r="D9014" s="13"/>
    </row>
    <row r="9015" spans="1:4">
      <c r="A9015" s="13"/>
      <c r="B9015" s="13"/>
      <c r="C9015" s="13"/>
      <c r="D9015" s="13"/>
    </row>
    <row r="9016" spans="1:4">
      <c r="A9016" s="13"/>
      <c r="B9016" s="13"/>
      <c r="C9016" s="13"/>
      <c r="D9016" s="13"/>
    </row>
    <row r="9017" spans="1:4">
      <c r="A9017" s="13"/>
      <c r="B9017" s="13"/>
      <c r="C9017" s="13"/>
      <c r="D9017" s="13"/>
    </row>
    <row r="9018" spans="1:4">
      <c r="A9018" s="13"/>
      <c r="B9018" s="13"/>
      <c r="C9018" s="13"/>
      <c r="D9018" s="13"/>
    </row>
    <row r="9019" spans="1:4">
      <c r="A9019" s="13"/>
      <c r="B9019" s="13"/>
      <c r="C9019" s="13"/>
      <c r="D9019" s="13"/>
    </row>
    <row r="9020" spans="1:4">
      <c r="A9020" s="13"/>
      <c r="B9020" s="13"/>
      <c r="C9020" s="13"/>
      <c r="D9020" s="13"/>
    </row>
    <row r="9021" spans="1:4">
      <c r="A9021" s="13"/>
      <c r="B9021" s="13"/>
      <c r="C9021" s="13"/>
      <c r="D9021" s="13"/>
    </row>
    <row r="9022" spans="1:4">
      <c r="A9022" s="13"/>
      <c r="B9022" s="13"/>
      <c r="C9022" s="13"/>
      <c r="D9022" s="13"/>
    </row>
    <row r="9023" spans="1:4">
      <c r="A9023" s="13"/>
      <c r="B9023" s="13"/>
      <c r="C9023" s="13"/>
      <c r="D9023" s="13"/>
    </row>
    <row r="9024" spans="1:4">
      <c r="A9024" s="13"/>
      <c r="B9024" s="13"/>
      <c r="C9024" s="13"/>
      <c r="D9024" s="13"/>
    </row>
    <row r="9025" spans="1:4">
      <c r="A9025" s="13"/>
      <c r="B9025" s="13"/>
      <c r="C9025" s="13"/>
      <c r="D9025" s="13"/>
    </row>
    <row r="9026" spans="1:4">
      <c r="A9026" s="13"/>
      <c r="B9026" s="13"/>
      <c r="C9026" s="13"/>
      <c r="D9026" s="13"/>
    </row>
    <row r="9027" spans="1:4">
      <c r="A9027" s="13"/>
      <c r="B9027" s="13"/>
      <c r="C9027" s="13"/>
      <c r="D9027" s="13"/>
    </row>
    <row r="9028" spans="1:4">
      <c r="A9028" s="13"/>
      <c r="B9028" s="13"/>
      <c r="C9028" s="13"/>
      <c r="D9028" s="13"/>
    </row>
    <row r="9029" spans="1:4">
      <c r="A9029" s="13"/>
      <c r="B9029" s="13"/>
      <c r="C9029" s="13"/>
      <c r="D9029" s="13"/>
    </row>
    <row r="9030" spans="1:4">
      <c r="A9030" s="13"/>
      <c r="B9030" s="13"/>
      <c r="C9030" s="13"/>
      <c r="D9030" s="13"/>
    </row>
    <row r="9031" spans="1:4">
      <c r="A9031" s="13"/>
      <c r="B9031" s="13"/>
      <c r="C9031" s="13"/>
      <c r="D9031" s="13"/>
    </row>
    <row r="9032" spans="1:4">
      <c r="A9032" s="13"/>
      <c r="B9032" s="13"/>
      <c r="C9032" s="13"/>
      <c r="D9032" s="13"/>
    </row>
    <row r="9033" spans="1:4">
      <c r="A9033" s="13"/>
      <c r="B9033" s="13"/>
      <c r="C9033" s="13"/>
      <c r="D9033" s="13"/>
    </row>
    <row r="9034" spans="1:4">
      <c r="A9034" s="13"/>
      <c r="B9034" s="13"/>
      <c r="C9034" s="13"/>
      <c r="D9034" s="13"/>
    </row>
    <row r="9035" spans="1:4">
      <c r="A9035" s="13"/>
      <c r="B9035" s="13"/>
      <c r="C9035" s="13"/>
      <c r="D9035" s="13"/>
    </row>
    <row r="9036" spans="1:4">
      <c r="A9036" s="13"/>
      <c r="B9036" s="13"/>
      <c r="C9036" s="13"/>
      <c r="D9036" s="13"/>
    </row>
    <row r="9037" spans="1:4">
      <c r="A9037" s="13"/>
      <c r="B9037" s="13"/>
      <c r="C9037" s="13"/>
      <c r="D9037" s="13"/>
    </row>
    <row r="9038" spans="1:4">
      <c r="A9038" s="13"/>
      <c r="B9038" s="13"/>
      <c r="C9038" s="13"/>
      <c r="D9038" s="13"/>
    </row>
    <row r="9039" spans="1:4">
      <c r="A9039" s="13"/>
      <c r="B9039" s="13"/>
      <c r="C9039" s="13"/>
      <c r="D9039" s="13"/>
    </row>
    <row r="9040" spans="1:4">
      <c r="A9040" s="13"/>
      <c r="B9040" s="13"/>
      <c r="C9040" s="13"/>
      <c r="D9040" s="13"/>
    </row>
    <row r="9041" spans="1:4">
      <c r="A9041" s="13"/>
      <c r="B9041" s="13"/>
      <c r="C9041" s="13"/>
      <c r="D9041" s="13"/>
    </row>
    <row r="9042" spans="1:4">
      <c r="A9042" s="13"/>
      <c r="B9042" s="13"/>
      <c r="C9042" s="13"/>
      <c r="D9042" s="13"/>
    </row>
    <row r="9043" spans="1:4">
      <c r="A9043" s="13"/>
      <c r="B9043" s="13"/>
      <c r="C9043" s="13"/>
      <c r="D9043" s="13"/>
    </row>
    <row r="9044" spans="1:4">
      <c r="A9044" s="13"/>
      <c r="B9044" s="13"/>
      <c r="C9044" s="13"/>
      <c r="D9044" s="13"/>
    </row>
    <row r="9045" spans="1:4">
      <c r="A9045" s="13"/>
      <c r="B9045" s="13"/>
      <c r="C9045" s="13"/>
      <c r="D9045" s="13"/>
    </row>
    <row r="9046" spans="1:4">
      <c r="A9046" s="13"/>
      <c r="B9046" s="13"/>
      <c r="C9046" s="13"/>
      <c r="D9046" s="13"/>
    </row>
    <row r="9047" spans="1:4">
      <c r="A9047" s="13"/>
      <c r="B9047" s="13"/>
      <c r="C9047" s="13"/>
      <c r="D9047" s="13"/>
    </row>
    <row r="9048" spans="1:4">
      <c r="A9048" s="13"/>
      <c r="B9048" s="13"/>
      <c r="C9048" s="13"/>
      <c r="D9048" s="13"/>
    </row>
    <row r="9049" spans="1:4">
      <c r="A9049" s="13"/>
      <c r="B9049" s="13"/>
      <c r="C9049" s="13"/>
      <c r="D9049" s="13"/>
    </row>
    <row r="9050" spans="1:4">
      <c r="A9050" s="13"/>
      <c r="B9050" s="13"/>
      <c r="C9050" s="13"/>
      <c r="D9050" s="13"/>
    </row>
    <row r="9051" spans="1:4">
      <c r="A9051" s="13"/>
      <c r="B9051" s="13"/>
      <c r="C9051" s="13"/>
      <c r="D9051" s="13"/>
    </row>
    <row r="9052" spans="1:4">
      <c r="A9052" s="13"/>
      <c r="B9052" s="13"/>
      <c r="C9052" s="13"/>
      <c r="D9052" s="13"/>
    </row>
    <row r="9053" spans="1:4">
      <c r="A9053" s="13"/>
      <c r="B9053" s="13"/>
      <c r="C9053" s="13"/>
      <c r="D9053" s="13"/>
    </row>
    <row r="9054" spans="1:4">
      <c r="A9054" s="13"/>
      <c r="B9054" s="13"/>
      <c r="C9054" s="13"/>
      <c r="D9054" s="13"/>
    </row>
    <row r="9055" spans="1:4">
      <c r="A9055" s="13"/>
      <c r="B9055" s="13"/>
      <c r="C9055" s="13"/>
      <c r="D9055" s="13"/>
    </row>
    <row r="9056" spans="1:4">
      <c r="A9056" s="13"/>
      <c r="B9056" s="13"/>
      <c r="C9056" s="13"/>
      <c r="D9056" s="13"/>
    </row>
    <row r="9057" spans="1:4">
      <c r="A9057" s="13"/>
      <c r="B9057" s="13"/>
      <c r="C9057" s="13"/>
      <c r="D9057" s="13"/>
    </row>
    <row r="9058" spans="1:4">
      <c r="A9058" s="13"/>
      <c r="B9058" s="13"/>
      <c r="C9058" s="13"/>
      <c r="D9058" s="13"/>
    </row>
    <row r="9059" spans="1:4">
      <c r="A9059" s="13"/>
      <c r="B9059" s="13"/>
      <c r="C9059" s="13"/>
      <c r="D9059" s="13"/>
    </row>
    <row r="9060" spans="1:4">
      <c r="A9060" s="13"/>
      <c r="B9060" s="13"/>
      <c r="C9060" s="13"/>
      <c r="D9060" s="13"/>
    </row>
    <row r="9061" spans="1:4">
      <c r="A9061" s="13"/>
      <c r="B9061" s="13"/>
      <c r="C9061" s="13"/>
      <c r="D9061" s="13"/>
    </row>
    <row r="9062" spans="1:4">
      <c r="A9062" s="13"/>
      <c r="B9062" s="13"/>
      <c r="C9062" s="13"/>
      <c r="D9062" s="13"/>
    </row>
    <row r="9063" spans="1:4">
      <c r="A9063" s="13"/>
      <c r="B9063" s="13"/>
      <c r="C9063" s="13"/>
      <c r="D9063" s="13"/>
    </row>
    <row r="9064" spans="1:4">
      <c r="A9064" s="13"/>
      <c r="B9064" s="13"/>
      <c r="C9064" s="13"/>
      <c r="D9064" s="13"/>
    </row>
    <row r="9065" spans="1:4">
      <c r="A9065" s="13"/>
      <c r="B9065" s="13"/>
      <c r="C9065" s="13"/>
      <c r="D9065" s="13"/>
    </row>
    <row r="9066" spans="1:4">
      <c r="A9066" s="13"/>
      <c r="B9066" s="13"/>
      <c r="C9066" s="13"/>
      <c r="D9066" s="13"/>
    </row>
    <row r="9067" spans="1:4">
      <c r="A9067" s="13"/>
      <c r="B9067" s="13"/>
      <c r="C9067" s="13"/>
      <c r="D9067" s="13"/>
    </row>
    <row r="9068" spans="1:4">
      <c r="A9068" s="13"/>
      <c r="B9068" s="13"/>
      <c r="C9068" s="13"/>
      <c r="D9068" s="13"/>
    </row>
    <row r="9069" spans="1:4">
      <c r="A9069" s="13"/>
      <c r="B9069" s="13"/>
      <c r="C9069" s="13"/>
      <c r="D9069" s="13"/>
    </row>
    <row r="9070" spans="1:4">
      <c r="A9070" s="13"/>
      <c r="B9070" s="13"/>
      <c r="C9070" s="13"/>
      <c r="D9070" s="13"/>
    </row>
    <row r="9071" spans="1:4">
      <c r="A9071" s="13"/>
      <c r="B9071" s="13"/>
      <c r="C9071" s="13"/>
      <c r="D9071" s="13"/>
    </row>
    <row r="9072" spans="1:4">
      <c r="A9072" s="13"/>
      <c r="B9072" s="13"/>
      <c r="C9072" s="13"/>
      <c r="D9072" s="13"/>
    </row>
    <row r="9073" spans="1:4">
      <c r="A9073" s="13"/>
      <c r="B9073" s="13"/>
      <c r="C9073" s="13"/>
      <c r="D9073" s="13"/>
    </row>
    <row r="9074" spans="1:4">
      <c r="A9074" s="13"/>
      <c r="B9074" s="13"/>
      <c r="C9074" s="13"/>
      <c r="D9074" s="13"/>
    </row>
    <row r="9075" spans="1:4">
      <c r="A9075" s="13"/>
      <c r="B9075" s="13"/>
      <c r="C9075" s="13"/>
      <c r="D9075" s="13"/>
    </row>
    <row r="9076" spans="1:4">
      <c r="A9076" s="13"/>
      <c r="B9076" s="13"/>
      <c r="C9076" s="13"/>
      <c r="D9076" s="13"/>
    </row>
    <row r="9077" spans="1:4">
      <c r="A9077" s="13"/>
      <c r="B9077" s="13"/>
      <c r="C9077" s="13"/>
      <c r="D9077" s="13"/>
    </row>
    <row r="9078" spans="1:4">
      <c r="A9078" s="13"/>
      <c r="B9078" s="13"/>
      <c r="C9078" s="13"/>
      <c r="D9078" s="13"/>
    </row>
    <row r="9079" spans="1:4">
      <c r="A9079" s="13"/>
      <c r="B9079" s="13"/>
      <c r="C9079" s="13"/>
      <c r="D9079" s="13"/>
    </row>
    <row r="9080" spans="1:4">
      <c r="A9080" s="13"/>
      <c r="B9080" s="13"/>
      <c r="C9080" s="13"/>
      <c r="D9080" s="13"/>
    </row>
    <row r="9081" spans="1:4">
      <c r="A9081" s="13"/>
      <c r="B9081" s="13"/>
      <c r="C9081" s="13"/>
      <c r="D9081" s="13"/>
    </row>
    <row r="9082" spans="1:4">
      <c r="A9082" s="13"/>
      <c r="B9082" s="13"/>
      <c r="C9082" s="13"/>
      <c r="D9082" s="13"/>
    </row>
    <row r="9083" spans="1:4">
      <c r="A9083" s="13"/>
      <c r="B9083" s="13"/>
      <c r="C9083" s="13"/>
      <c r="D9083" s="13"/>
    </row>
    <row r="9084" spans="1:4">
      <c r="A9084" s="13"/>
      <c r="B9084" s="13"/>
      <c r="C9084" s="13"/>
      <c r="D9084" s="13"/>
    </row>
    <row r="9085" spans="1:4">
      <c r="A9085" s="13"/>
      <c r="B9085" s="13"/>
      <c r="C9085" s="13"/>
      <c r="D9085" s="13"/>
    </row>
    <row r="9086" spans="1:4">
      <c r="A9086" s="13"/>
      <c r="B9086" s="13"/>
      <c r="C9086" s="13"/>
      <c r="D9086" s="13"/>
    </row>
    <row r="9087" spans="1:4">
      <c r="A9087" s="13"/>
      <c r="B9087" s="13"/>
      <c r="C9087" s="13"/>
      <c r="D9087" s="13"/>
    </row>
    <row r="9088" spans="1:4">
      <c r="A9088" s="13"/>
      <c r="B9088" s="13"/>
      <c r="C9088" s="13"/>
      <c r="D9088" s="13"/>
    </row>
    <row r="9089" spans="1:4">
      <c r="A9089" s="13"/>
      <c r="B9089" s="13"/>
      <c r="C9089" s="13"/>
      <c r="D9089" s="13"/>
    </row>
    <row r="9090" spans="1:4">
      <c r="A9090" s="13"/>
      <c r="B9090" s="13"/>
      <c r="C9090" s="13"/>
      <c r="D9090" s="13"/>
    </row>
    <row r="9091" spans="1:4">
      <c r="A9091" s="13"/>
      <c r="B9091" s="13"/>
      <c r="C9091" s="13"/>
      <c r="D9091" s="13"/>
    </row>
    <row r="9092" spans="1:4">
      <c r="A9092" s="13"/>
      <c r="B9092" s="13"/>
      <c r="C9092" s="13"/>
      <c r="D9092" s="13"/>
    </row>
    <row r="9093" spans="1:4">
      <c r="A9093" s="13"/>
      <c r="B9093" s="13"/>
      <c r="C9093" s="13"/>
      <c r="D9093" s="13"/>
    </row>
    <row r="9094" spans="1:4">
      <c r="A9094" s="13"/>
      <c r="B9094" s="13"/>
      <c r="C9094" s="13"/>
      <c r="D9094" s="13"/>
    </row>
    <row r="9095" spans="1:4">
      <c r="A9095" s="13"/>
      <c r="B9095" s="13"/>
      <c r="C9095" s="13"/>
      <c r="D9095" s="13"/>
    </row>
    <row r="9096" spans="1:4">
      <c r="A9096" s="13"/>
      <c r="B9096" s="13"/>
      <c r="C9096" s="13"/>
      <c r="D9096" s="13"/>
    </row>
    <row r="9097" spans="1:4">
      <c r="A9097" s="13"/>
      <c r="B9097" s="13"/>
      <c r="C9097" s="13"/>
      <c r="D9097" s="13"/>
    </row>
    <row r="9098" spans="1:4">
      <c r="A9098" s="13"/>
      <c r="B9098" s="13"/>
      <c r="C9098" s="13"/>
      <c r="D9098" s="13"/>
    </row>
    <row r="9099" spans="1:4">
      <c r="A9099" s="13"/>
      <c r="B9099" s="13"/>
      <c r="C9099" s="13"/>
      <c r="D9099" s="13"/>
    </row>
    <row r="9100" spans="1:4">
      <c r="A9100" s="13"/>
      <c r="B9100" s="13"/>
      <c r="C9100" s="13"/>
      <c r="D9100" s="13"/>
    </row>
    <row r="9101" spans="1:4">
      <c r="A9101" s="13"/>
      <c r="B9101" s="13"/>
      <c r="C9101" s="13"/>
      <c r="D9101" s="13"/>
    </row>
    <row r="9102" spans="1:4">
      <c r="A9102" s="13"/>
      <c r="B9102" s="13"/>
      <c r="C9102" s="13"/>
      <c r="D9102" s="13"/>
    </row>
    <row r="9103" spans="1:4">
      <c r="A9103" s="13"/>
      <c r="B9103" s="13"/>
      <c r="C9103" s="13"/>
      <c r="D9103" s="13"/>
    </row>
    <row r="9104" spans="1:4">
      <c r="A9104" s="13"/>
      <c r="B9104" s="13"/>
      <c r="C9104" s="13"/>
      <c r="D9104" s="13"/>
    </row>
    <row r="9105" spans="1:4">
      <c r="A9105" s="13"/>
      <c r="B9105" s="13"/>
      <c r="C9105" s="13"/>
      <c r="D9105" s="13"/>
    </row>
    <row r="9106" spans="1:4">
      <c r="A9106" s="13"/>
      <c r="B9106" s="13"/>
      <c r="C9106" s="13"/>
      <c r="D9106" s="13"/>
    </row>
    <row r="9107" spans="1:4">
      <c r="A9107" s="13"/>
      <c r="B9107" s="13"/>
      <c r="C9107" s="13"/>
      <c r="D9107" s="13"/>
    </row>
    <row r="9108" spans="1:4">
      <c r="A9108" s="13"/>
      <c r="B9108" s="13"/>
      <c r="C9108" s="13"/>
      <c r="D9108" s="13"/>
    </row>
    <row r="9109" spans="1:4">
      <c r="A9109" s="13"/>
      <c r="B9109" s="13"/>
      <c r="C9109" s="13"/>
      <c r="D9109" s="13"/>
    </row>
    <row r="9110" spans="1:4">
      <c r="A9110" s="13"/>
      <c r="B9110" s="13"/>
      <c r="C9110" s="13"/>
      <c r="D9110" s="13"/>
    </row>
    <row r="9111" spans="1:4">
      <c r="A9111" s="13"/>
      <c r="B9111" s="13"/>
      <c r="C9111" s="13"/>
      <c r="D9111" s="13"/>
    </row>
    <row r="9112" spans="1:4">
      <c r="A9112" s="13"/>
      <c r="B9112" s="13"/>
      <c r="C9112" s="13"/>
      <c r="D9112" s="13"/>
    </row>
    <row r="9113" spans="1:4">
      <c r="A9113" s="13"/>
      <c r="B9113" s="13"/>
      <c r="C9113" s="13"/>
      <c r="D9113" s="13"/>
    </row>
    <row r="9114" spans="1:4">
      <c r="A9114" s="13"/>
      <c r="B9114" s="13"/>
      <c r="C9114" s="13"/>
      <c r="D9114" s="13"/>
    </row>
    <row r="9115" spans="1:4">
      <c r="A9115" s="13"/>
      <c r="B9115" s="13"/>
      <c r="C9115" s="13"/>
      <c r="D9115" s="13"/>
    </row>
    <row r="9116" spans="1:4">
      <c r="A9116" s="13"/>
      <c r="B9116" s="13"/>
      <c r="C9116" s="13"/>
      <c r="D9116" s="13"/>
    </row>
    <row r="9117" spans="1:4">
      <c r="A9117" s="13"/>
      <c r="B9117" s="13"/>
      <c r="C9117" s="13"/>
      <c r="D9117" s="13"/>
    </row>
    <row r="9118" spans="1:4">
      <c r="A9118" s="13"/>
      <c r="B9118" s="13"/>
      <c r="C9118" s="13"/>
      <c r="D9118" s="13"/>
    </row>
    <row r="9119" spans="1:4">
      <c r="A9119" s="13"/>
      <c r="B9119" s="13"/>
      <c r="C9119" s="13"/>
      <c r="D9119" s="13"/>
    </row>
    <row r="9120" spans="1:4">
      <c r="A9120" s="13"/>
      <c r="B9120" s="13"/>
      <c r="C9120" s="13"/>
      <c r="D9120" s="13"/>
    </row>
    <row r="9121" spans="1:4">
      <c r="A9121" s="13"/>
      <c r="B9121" s="13"/>
      <c r="C9121" s="13"/>
      <c r="D9121" s="13"/>
    </row>
    <row r="9122" spans="1:4">
      <c r="A9122" s="13"/>
      <c r="B9122" s="13"/>
      <c r="C9122" s="13"/>
      <c r="D9122" s="13"/>
    </row>
    <row r="9123" spans="1:4">
      <c r="A9123" s="13"/>
      <c r="B9123" s="13"/>
      <c r="C9123" s="13"/>
      <c r="D9123" s="13"/>
    </row>
    <row r="9124" spans="1:4">
      <c r="A9124" s="13"/>
      <c r="B9124" s="13"/>
      <c r="C9124" s="13"/>
      <c r="D9124" s="13"/>
    </row>
    <row r="9125" spans="1:4">
      <c r="A9125" s="13"/>
      <c r="B9125" s="13"/>
      <c r="C9125" s="13"/>
      <c r="D9125" s="13"/>
    </row>
    <row r="9126" spans="1:4">
      <c r="A9126" s="13"/>
      <c r="B9126" s="13"/>
      <c r="C9126" s="13"/>
      <c r="D9126" s="13"/>
    </row>
    <row r="9127" spans="1:4">
      <c r="A9127" s="13"/>
      <c r="B9127" s="13"/>
      <c r="C9127" s="13"/>
      <c r="D9127" s="13"/>
    </row>
    <row r="9128" spans="1:4">
      <c r="A9128" s="13"/>
      <c r="B9128" s="13"/>
      <c r="C9128" s="13"/>
      <c r="D9128" s="13"/>
    </row>
    <row r="9129" spans="1:4">
      <c r="A9129" s="13"/>
      <c r="B9129" s="13"/>
      <c r="C9129" s="13"/>
      <c r="D9129" s="13"/>
    </row>
    <row r="9130" spans="1:4">
      <c r="A9130" s="13"/>
      <c r="B9130" s="13"/>
      <c r="C9130" s="13"/>
      <c r="D9130" s="13"/>
    </row>
    <row r="9131" spans="1:4">
      <c r="A9131" s="13"/>
      <c r="B9131" s="13"/>
      <c r="C9131" s="13"/>
      <c r="D9131" s="13"/>
    </row>
    <row r="9132" spans="1:4">
      <c r="A9132" s="13"/>
      <c r="B9132" s="13"/>
      <c r="C9132" s="13"/>
      <c r="D9132" s="13"/>
    </row>
    <row r="9133" spans="1:4">
      <c r="A9133" s="13"/>
      <c r="B9133" s="13"/>
      <c r="C9133" s="13"/>
      <c r="D9133" s="13"/>
    </row>
    <row r="9134" spans="1:4">
      <c r="A9134" s="13"/>
      <c r="B9134" s="13"/>
      <c r="C9134" s="13"/>
      <c r="D9134" s="13"/>
    </row>
    <row r="9135" spans="1:4">
      <c r="A9135" s="13"/>
      <c r="B9135" s="13"/>
      <c r="C9135" s="13"/>
      <c r="D9135" s="13"/>
    </row>
    <row r="9136" spans="1:4">
      <c r="A9136" s="13"/>
      <c r="B9136" s="13"/>
      <c r="C9136" s="13"/>
      <c r="D9136" s="13"/>
    </row>
    <row r="9137" spans="1:4">
      <c r="A9137" s="13"/>
      <c r="B9137" s="13"/>
      <c r="C9137" s="13"/>
      <c r="D9137" s="13"/>
    </row>
    <row r="9138" spans="1:4">
      <c r="A9138" s="13"/>
      <c r="B9138" s="13"/>
      <c r="C9138" s="13"/>
      <c r="D9138" s="13"/>
    </row>
    <row r="9139" spans="1:4">
      <c r="A9139" s="13"/>
      <c r="B9139" s="13"/>
      <c r="C9139" s="13"/>
      <c r="D9139" s="13"/>
    </row>
    <row r="9140" spans="1:4">
      <c r="A9140" s="13"/>
      <c r="B9140" s="13"/>
      <c r="C9140" s="13"/>
      <c r="D9140" s="13"/>
    </row>
    <row r="9141" spans="1:4">
      <c r="A9141" s="13"/>
      <c r="B9141" s="13"/>
      <c r="C9141" s="13"/>
      <c r="D9141" s="13"/>
    </row>
    <row r="9142" spans="1:4">
      <c r="A9142" s="13"/>
      <c r="B9142" s="13"/>
      <c r="C9142" s="13"/>
      <c r="D9142" s="13"/>
    </row>
    <row r="9143" spans="1:4">
      <c r="A9143" s="13"/>
      <c r="B9143" s="13"/>
      <c r="C9143" s="13"/>
      <c r="D9143" s="13"/>
    </row>
    <row r="9144" spans="1:4">
      <c r="A9144" s="13"/>
      <c r="B9144" s="13"/>
      <c r="C9144" s="13"/>
      <c r="D9144" s="13"/>
    </row>
    <row r="9145" spans="1:4">
      <c r="A9145" s="13"/>
      <c r="B9145" s="13"/>
      <c r="C9145" s="13"/>
      <c r="D9145" s="13"/>
    </row>
    <row r="9146" spans="1:4">
      <c r="A9146" s="13"/>
      <c r="B9146" s="13"/>
      <c r="C9146" s="13"/>
      <c r="D9146" s="13"/>
    </row>
    <row r="9147" spans="1:4">
      <c r="A9147" s="13"/>
      <c r="B9147" s="13"/>
      <c r="C9147" s="13"/>
      <c r="D9147" s="13"/>
    </row>
    <row r="9148" spans="1:4">
      <c r="A9148" s="13"/>
      <c r="B9148" s="13"/>
      <c r="C9148" s="13"/>
      <c r="D9148" s="13"/>
    </row>
    <row r="9149" spans="1:4">
      <c r="A9149" s="13"/>
      <c r="B9149" s="13"/>
      <c r="C9149" s="13"/>
      <c r="D9149" s="13"/>
    </row>
    <row r="9150" spans="1:4">
      <c r="A9150" s="13"/>
      <c r="B9150" s="13"/>
      <c r="C9150" s="13"/>
      <c r="D9150" s="13"/>
    </row>
    <row r="9151" spans="1:4">
      <c r="A9151" s="13"/>
      <c r="B9151" s="13"/>
      <c r="C9151" s="13"/>
      <c r="D9151" s="13"/>
    </row>
    <row r="9152" spans="1:4">
      <c r="A9152" s="13"/>
      <c r="B9152" s="13"/>
      <c r="C9152" s="13"/>
      <c r="D9152" s="13"/>
    </row>
    <row r="9153" spans="1:4">
      <c r="A9153" s="13"/>
      <c r="B9153" s="13"/>
      <c r="C9153" s="13"/>
      <c r="D9153" s="13"/>
    </row>
    <row r="9154" spans="1:4">
      <c r="A9154" s="13"/>
      <c r="B9154" s="13"/>
      <c r="C9154" s="13"/>
      <c r="D9154" s="13"/>
    </row>
    <row r="9155" spans="1:4">
      <c r="A9155" s="13"/>
      <c r="B9155" s="13"/>
      <c r="C9155" s="13"/>
      <c r="D9155" s="13"/>
    </row>
    <row r="9156" spans="1:4">
      <c r="A9156" s="13"/>
      <c r="B9156" s="13"/>
      <c r="C9156" s="13"/>
      <c r="D9156" s="13"/>
    </row>
    <row r="9157" spans="1:4">
      <c r="A9157" s="13"/>
      <c r="B9157" s="13"/>
      <c r="C9157" s="13"/>
      <c r="D9157" s="13"/>
    </row>
    <row r="9158" spans="1:4">
      <c r="A9158" s="13"/>
      <c r="B9158" s="13"/>
      <c r="C9158" s="13"/>
      <c r="D9158" s="13"/>
    </row>
    <row r="9159" spans="1:4">
      <c r="A9159" s="13"/>
      <c r="B9159" s="13"/>
      <c r="C9159" s="13"/>
      <c r="D9159" s="13"/>
    </row>
    <row r="9160" spans="1:4">
      <c r="A9160" s="13"/>
      <c r="B9160" s="13"/>
      <c r="C9160" s="13"/>
      <c r="D9160" s="13"/>
    </row>
    <row r="9161" spans="1:4">
      <c r="A9161" s="13"/>
      <c r="B9161" s="13"/>
      <c r="C9161" s="13"/>
      <c r="D9161" s="13"/>
    </row>
    <row r="9162" spans="1:4">
      <c r="A9162" s="13"/>
      <c r="B9162" s="13"/>
      <c r="C9162" s="13"/>
      <c r="D9162" s="13"/>
    </row>
    <row r="9163" spans="1:4">
      <c r="A9163" s="13"/>
      <c r="B9163" s="13"/>
      <c r="C9163" s="13"/>
      <c r="D9163" s="13"/>
    </row>
    <row r="9164" spans="1:4">
      <c r="A9164" s="13"/>
      <c r="B9164" s="13"/>
      <c r="C9164" s="13"/>
      <c r="D9164" s="13"/>
    </row>
    <row r="9165" spans="1:4">
      <c r="A9165" s="13"/>
      <c r="B9165" s="13"/>
      <c r="C9165" s="13"/>
      <c r="D9165" s="13"/>
    </row>
    <row r="9166" spans="1:4">
      <c r="A9166" s="13"/>
      <c r="B9166" s="13"/>
      <c r="C9166" s="13"/>
      <c r="D9166" s="13"/>
    </row>
    <row r="9167" spans="1:4">
      <c r="A9167" s="13"/>
      <c r="B9167" s="13"/>
      <c r="C9167" s="13"/>
      <c r="D9167" s="13"/>
    </row>
    <row r="9168" spans="1:4">
      <c r="A9168" s="13"/>
      <c r="B9168" s="13"/>
      <c r="C9168" s="13"/>
      <c r="D9168" s="13"/>
    </row>
    <row r="9169" spans="1:4">
      <c r="A9169" s="13"/>
      <c r="B9169" s="13"/>
      <c r="C9169" s="13"/>
      <c r="D9169" s="13"/>
    </row>
    <row r="9170" spans="1:4">
      <c r="A9170" s="13"/>
      <c r="B9170" s="13"/>
      <c r="C9170" s="13"/>
      <c r="D9170" s="13"/>
    </row>
    <row r="9171" spans="1:4">
      <c r="A9171" s="13"/>
      <c r="B9171" s="13"/>
      <c r="C9171" s="13"/>
      <c r="D9171" s="13"/>
    </row>
    <row r="9172" spans="1:4">
      <c r="A9172" s="13"/>
      <c r="B9172" s="13"/>
      <c r="C9172" s="13"/>
      <c r="D9172" s="13"/>
    </row>
    <row r="9173" spans="1:4">
      <c r="A9173" s="13"/>
      <c r="B9173" s="13"/>
      <c r="C9173" s="13"/>
      <c r="D9173" s="13"/>
    </row>
    <row r="9174" spans="1:4">
      <c r="A9174" s="13"/>
      <c r="B9174" s="13"/>
      <c r="C9174" s="13"/>
      <c r="D9174" s="13"/>
    </row>
    <row r="9175" spans="1:4">
      <c r="A9175" s="13"/>
      <c r="B9175" s="13"/>
      <c r="C9175" s="13"/>
      <c r="D9175" s="13"/>
    </row>
    <row r="9176" spans="1:4">
      <c r="A9176" s="13"/>
      <c r="B9176" s="13"/>
      <c r="C9176" s="13"/>
      <c r="D9176" s="13"/>
    </row>
    <row r="9177" spans="1:4">
      <c r="A9177" s="13"/>
      <c r="B9177" s="13"/>
      <c r="C9177" s="13"/>
      <c r="D9177" s="13"/>
    </row>
    <row r="9178" spans="1:4">
      <c r="A9178" s="13"/>
      <c r="B9178" s="13"/>
      <c r="C9178" s="13"/>
      <c r="D9178" s="13"/>
    </row>
    <row r="9179" spans="1:4">
      <c r="A9179" s="13"/>
      <c r="B9179" s="13"/>
      <c r="C9179" s="13"/>
      <c r="D9179" s="13"/>
    </row>
    <row r="9180" spans="1:4">
      <c r="A9180" s="13"/>
      <c r="B9180" s="13"/>
      <c r="C9180" s="13"/>
      <c r="D9180" s="13"/>
    </row>
    <row r="9181" spans="1:4">
      <c r="A9181" s="13"/>
      <c r="B9181" s="13"/>
      <c r="C9181" s="13"/>
      <c r="D9181" s="13"/>
    </row>
    <row r="9182" spans="1:4">
      <c r="A9182" s="13"/>
      <c r="B9182" s="13"/>
      <c r="C9182" s="13"/>
      <c r="D9182" s="13"/>
    </row>
    <row r="9183" spans="1:4">
      <c r="A9183" s="13"/>
      <c r="B9183" s="13"/>
      <c r="C9183" s="13"/>
      <c r="D9183" s="13"/>
    </row>
    <row r="9184" spans="1:4">
      <c r="A9184" s="13"/>
      <c r="B9184" s="13"/>
      <c r="C9184" s="13"/>
      <c r="D9184" s="13"/>
    </row>
    <row r="9185" spans="1:4">
      <c r="A9185" s="13"/>
      <c r="B9185" s="13"/>
      <c r="C9185" s="13"/>
      <c r="D9185" s="13"/>
    </row>
    <row r="9186" spans="1:4">
      <c r="A9186" s="13"/>
      <c r="B9186" s="13"/>
      <c r="C9186" s="13"/>
      <c r="D9186" s="13"/>
    </row>
    <row r="9187" spans="1:4">
      <c r="A9187" s="13"/>
      <c r="B9187" s="13"/>
      <c r="C9187" s="13"/>
      <c r="D9187" s="13"/>
    </row>
    <row r="9188" spans="1:4">
      <c r="A9188" s="13"/>
      <c r="B9188" s="13"/>
      <c r="C9188" s="13"/>
      <c r="D9188" s="13"/>
    </row>
    <row r="9189" spans="1:4">
      <c r="A9189" s="13"/>
      <c r="B9189" s="13"/>
      <c r="C9189" s="13"/>
      <c r="D9189" s="13"/>
    </row>
    <row r="9190" spans="1:4">
      <c r="A9190" s="13"/>
      <c r="B9190" s="13"/>
      <c r="C9190" s="13"/>
      <c r="D9190" s="13"/>
    </row>
    <row r="9191" spans="1:4">
      <c r="A9191" s="13"/>
      <c r="B9191" s="13"/>
      <c r="C9191" s="13"/>
      <c r="D9191" s="13"/>
    </row>
    <row r="9192" spans="1:4">
      <c r="A9192" s="13"/>
      <c r="B9192" s="13"/>
      <c r="C9192" s="13"/>
      <c r="D9192" s="13"/>
    </row>
    <row r="9193" spans="1:4">
      <c r="A9193" s="13"/>
      <c r="B9193" s="13"/>
      <c r="C9193" s="13"/>
      <c r="D9193" s="13"/>
    </row>
    <row r="9194" spans="1:4">
      <c r="A9194" s="13"/>
      <c r="B9194" s="13"/>
      <c r="C9194" s="13"/>
      <c r="D9194" s="13"/>
    </row>
    <row r="9195" spans="1:4">
      <c r="A9195" s="13"/>
      <c r="B9195" s="13"/>
      <c r="C9195" s="13"/>
      <c r="D9195" s="13"/>
    </row>
    <row r="9196" spans="1:4">
      <c r="A9196" s="13"/>
      <c r="B9196" s="13"/>
      <c r="C9196" s="13"/>
      <c r="D9196" s="13"/>
    </row>
    <row r="9197" spans="1:4">
      <c r="A9197" s="13"/>
      <c r="B9197" s="13"/>
      <c r="C9197" s="13"/>
      <c r="D9197" s="13"/>
    </row>
    <row r="9198" spans="1:4">
      <c r="A9198" s="13"/>
      <c r="B9198" s="13"/>
      <c r="C9198" s="13"/>
      <c r="D9198" s="13"/>
    </row>
    <row r="9199" spans="1:4">
      <c r="A9199" s="13"/>
      <c r="B9199" s="13"/>
      <c r="C9199" s="13"/>
      <c r="D9199" s="13"/>
    </row>
    <row r="9200" spans="1:4">
      <c r="A9200" s="13"/>
      <c r="B9200" s="13"/>
      <c r="C9200" s="13"/>
      <c r="D9200" s="13"/>
    </row>
    <row r="9201" spans="1:4">
      <c r="A9201" s="13"/>
      <c r="B9201" s="13"/>
      <c r="C9201" s="13"/>
      <c r="D9201" s="13"/>
    </row>
    <row r="9202" spans="1:4">
      <c r="A9202" s="13"/>
      <c r="B9202" s="13"/>
      <c r="C9202" s="13"/>
      <c r="D9202" s="13"/>
    </row>
    <row r="9203" spans="1:4">
      <c r="A9203" s="13"/>
      <c r="B9203" s="13"/>
      <c r="C9203" s="13"/>
      <c r="D9203" s="13"/>
    </row>
    <row r="9204" spans="1:4">
      <c r="A9204" s="13"/>
      <c r="B9204" s="13"/>
      <c r="C9204" s="13"/>
      <c r="D9204" s="13"/>
    </row>
    <row r="9205" spans="1:4">
      <c r="A9205" s="13"/>
      <c r="B9205" s="13"/>
      <c r="C9205" s="13"/>
      <c r="D9205" s="13"/>
    </row>
    <row r="9206" spans="1:4">
      <c r="A9206" s="13"/>
      <c r="B9206" s="13"/>
      <c r="C9206" s="13"/>
      <c r="D9206" s="13"/>
    </row>
    <row r="9207" spans="1:4">
      <c r="A9207" s="13"/>
      <c r="B9207" s="13"/>
      <c r="C9207" s="13"/>
      <c r="D9207" s="13"/>
    </row>
    <row r="9208" spans="1:4">
      <c r="A9208" s="13"/>
      <c r="B9208" s="13"/>
      <c r="C9208" s="13"/>
      <c r="D9208" s="13"/>
    </row>
    <row r="9209" spans="1:4">
      <c r="A9209" s="13"/>
      <c r="B9209" s="13"/>
      <c r="C9209" s="13"/>
      <c r="D9209" s="13"/>
    </row>
    <row r="9210" spans="1:4">
      <c r="A9210" s="13"/>
      <c r="B9210" s="13"/>
      <c r="C9210" s="13"/>
      <c r="D9210" s="13"/>
    </row>
    <row r="9211" spans="1:4">
      <c r="A9211" s="13"/>
      <c r="B9211" s="13"/>
      <c r="C9211" s="13"/>
      <c r="D9211" s="13"/>
    </row>
    <row r="9212" spans="1:4">
      <c r="A9212" s="13"/>
      <c r="B9212" s="13"/>
      <c r="C9212" s="13"/>
      <c r="D9212" s="13"/>
    </row>
    <row r="9213" spans="1:4">
      <c r="A9213" s="13"/>
      <c r="B9213" s="13"/>
      <c r="C9213" s="13"/>
      <c r="D9213" s="13"/>
    </row>
    <row r="9214" spans="1:4">
      <c r="A9214" s="13"/>
      <c r="B9214" s="13"/>
      <c r="C9214" s="13"/>
      <c r="D9214" s="13"/>
    </row>
    <row r="9215" spans="1:4">
      <c r="A9215" s="13"/>
      <c r="B9215" s="13"/>
      <c r="C9215" s="13"/>
      <c r="D9215" s="13"/>
    </row>
    <row r="9216" spans="1:4">
      <c r="A9216" s="13"/>
      <c r="B9216" s="13"/>
      <c r="C9216" s="13"/>
      <c r="D9216" s="13"/>
    </row>
    <row r="9217" spans="1:4">
      <c r="A9217" s="13"/>
      <c r="B9217" s="13"/>
      <c r="C9217" s="13"/>
      <c r="D9217" s="13"/>
    </row>
    <row r="9218" spans="1:4">
      <c r="A9218" s="13"/>
      <c r="B9218" s="13"/>
      <c r="C9218" s="13"/>
      <c r="D9218" s="13"/>
    </row>
    <row r="9219" spans="1:4">
      <c r="A9219" s="13"/>
      <c r="B9219" s="13"/>
      <c r="C9219" s="13"/>
      <c r="D9219" s="13"/>
    </row>
    <row r="9220" spans="1:4">
      <c r="A9220" s="13"/>
      <c r="B9220" s="13"/>
      <c r="C9220" s="13"/>
      <c r="D9220" s="13"/>
    </row>
    <row r="9221" spans="1:4">
      <c r="A9221" s="13"/>
      <c r="B9221" s="13"/>
      <c r="C9221" s="13"/>
      <c r="D9221" s="13"/>
    </row>
    <row r="9222" spans="1:4">
      <c r="A9222" s="13"/>
      <c r="B9222" s="13"/>
      <c r="C9222" s="13"/>
      <c r="D9222" s="13"/>
    </row>
    <row r="9223" spans="1:4">
      <c r="A9223" s="13"/>
      <c r="B9223" s="13"/>
      <c r="C9223" s="13"/>
      <c r="D9223" s="13"/>
    </row>
    <row r="9224" spans="1:4">
      <c r="A9224" s="13"/>
      <c r="B9224" s="13"/>
      <c r="C9224" s="13"/>
      <c r="D9224" s="13"/>
    </row>
    <row r="9225" spans="1:4">
      <c r="A9225" s="13"/>
      <c r="B9225" s="13"/>
      <c r="C9225" s="13"/>
      <c r="D9225" s="13"/>
    </row>
    <row r="9226" spans="1:4">
      <c r="A9226" s="13"/>
      <c r="B9226" s="13"/>
      <c r="C9226" s="13"/>
      <c r="D9226" s="13"/>
    </row>
    <row r="9227" spans="1:4">
      <c r="A9227" s="13"/>
      <c r="B9227" s="13"/>
      <c r="C9227" s="13"/>
      <c r="D9227" s="13"/>
    </row>
    <row r="9228" spans="1:4">
      <c r="A9228" s="13"/>
      <c r="B9228" s="13"/>
      <c r="C9228" s="13"/>
      <c r="D9228" s="13"/>
    </row>
    <row r="9229" spans="1:4">
      <c r="A9229" s="13"/>
      <c r="B9229" s="13"/>
      <c r="C9229" s="13"/>
      <c r="D9229" s="13"/>
    </row>
    <row r="9230" spans="1:4">
      <c r="A9230" s="13"/>
      <c r="B9230" s="13"/>
      <c r="C9230" s="13"/>
      <c r="D9230" s="13"/>
    </row>
    <row r="9231" spans="1:4">
      <c r="A9231" s="13"/>
      <c r="B9231" s="13"/>
      <c r="C9231" s="13"/>
      <c r="D9231" s="13"/>
    </row>
    <row r="9232" spans="1:4">
      <c r="A9232" s="13"/>
      <c r="B9232" s="13"/>
      <c r="C9232" s="13"/>
      <c r="D9232" s="13"/>
    </row>
    <row r="9233" spans="1:4">
      <c r="A9233" s="13"/>
      <c r="B9233" s="13"/>
      <c r="C9233" s="13"/>
      <c r="D9233" s="13"/>
    </row>
    <row r="9234" spans="1:4">
      <c r="A9234" s="13"/>
      <c r="B9234" s="13"/>
      <c r="C9234" s="13"/>
      <c r="D9234" s="13"/>
    </row>
    <row r="9235" spans="1:4">
      <c r="A9235" s="13"/>
      <c r="B9235" s="13"/>
      <c r="C9235" s="13"/>
      <c r="D9235" s="13"/>
    </row>
    <row r="9236" spans="1:4">
      <c r="A9236" s="13"/>
      <c r="B9236" s="13"/>
      <c r="C9236" s="13"/>
      <c r="D9236" s="13"/>
    </row>
    <row r="9237" spans="1:4">
      <c r="A9237" s="13"/>
      <c r="B9237" s="13"/>
      <c r="C9237" s="13"/>
      <c r="D9237" s="13"/>
    </row>
    <row r="9238" spans="1:4">
      <c r="A9238" s="13"/>
      <c r="B9238" s="13"/>
      <c r="C9238" s="13"/>
      <c r="D9238" s="13"/>
    </row>
    <row r="9239" spans="1:4">
      <c r="A9239" s="13"/>
      <c r="B9239" s="13"/>
      <c r="C9239" s="13"/>
      <c r="D9239" s="13"/>
    </row>
    <row r="9240" spans="1:4">
      <c r="A9240" s="13"/>
      <c r="B9240" s="13"/>
      <c r="C9240" s="13"/>
      <c r="D9240" s="13"/>
    </row>
    <row r="9241" spans="1:4">
      <c r="A9241" s="13"/>
      <c r="B9241" s="13"/>
      <c r="C9241" s="13"/>
      <c r="D9241" s="13"/>
    </row>
    <row r="9242" spans="1:4">
      <c r="A9242" s="13"/>
      <c r="B9242" s="13"/>
      <c r="C9242" s="13"/>
      <c r="D9242" s="13"/>
    </row>
    <row r="9243" spans="1:4">
      <c r="A9243" s="13"/>
      <c r="B9243" s="13"/>
      <c r="C9243" s="13"/>
      <c r="D9243" s="13"/>
    </row>
    <row r="9244" spans="1:4">
      <c r="A9244" s="13"/>
      <c r="B9244" s="13"/>
      <c r="C9244" s="13"/>
      <c r="D9244" s="13"/>
    </row>
    <row r="9245" spans="1:4">
      <c r="A9245" s="13"/>
      <c r="B9245" s="13"/>
      <c r="C9245" s="13"/>
      <c r="D9245" s="13"/>
    </row>
    <row r="9246" spans="1:4">
      <c r="A9246" s="13"/>
      <c r="B9246" s="13"/>
      <c r="C9246" s="13"/>
      <c r="D9246" s="13"/>
    </row>
    <row r="9247" spans="1:4">
      <c r="A9247" s="13"/>
      <c r="B9247" s="13"/>
      <c r="C9247" s="13"/>
      <c r="D9247" s="13"/>
    </row>
    <row r="9248" spans="1:4">
      <c r="A9248" s="13"/>
      <c r="B9248" s="13"/>
      <c r="C9248" s="13"/>
      <c r="D9248" s="13"/>
    </row>
    <row r="9249" spans="1:4">
      <c r="A9249" s="13"/>
      <c r="B9249" s="13"/>
      <c r="C9249" s="13"/>
      <c r="D9249" s="13"/>
    </row>
    <row r="9250" spans="1:4">
      <c r="A9250" s="13"/>
      <c r="B9250" s="13"/>
      <c r="C9250" s="13"/>
      <c r="D9250" s="13"/>
    </row>
    <row r="9251" spans="1:4">
      <c r="A9251" s="13"/>
      <c r="B9251" s="13"/>
      <c r="C9251" s="13"/>
      <c r="D9251" s="13"/>
    </row>
    <row r="9252" spans="1:4">
      <c r="A9252" s="13"/>
      <c r="B9252" s="13"/>
      <c r="C9252" s="13"/>
      <c r="D9252" s="13"/>
    </row>
    <row r="9253" spans="1:4">
      <c r="A9253" s="13"/>
      <c r="B9253" s="13"/>
      <c r="C9253" s="13"/>
      <c r="D9253" s="13"/>
    </row>
    <row r="9254" spans="1:4">
      <c r="A9254" s="13"/>
      <c r="B9254" s="13"/>
      <c r="C9254" s="13"/>
      <c r="D9254" s="13"/>
    </row>
    <row r="9255" spans="1:4">
      <c r="A9255" s="13"/>
      <c r="B9255" s="13"/>
      <c r="C9255" s="13"/>
      <c r="D9255" s="13"/>
    </row>
    <row r="9256" spans="1:4">
      <c r="A9256" s="13"/>
      <c r="B9256" s="13"/>
      <c r="C9256" s="13"/>
      <c r="D9256" s="13"/>
    </row>
    <row r="9257" spans="1:4">
      <c r="A9257" s="13"/>
      <c r="B9257" s="13"/>
      <c r="C9257" s="13"/>
      <c r="D9257" s="13"/>
    </row>
    <row r="9258" spans="1:4">
      <c r="A9258" s="13"/>
      <c r="B9258" s="13"/>
      <c r="C9258" s="13"/>
      <c r="D9258" s="13"/>
    </row>
    <row r="9259" spans="1:4">
      <c r="A9259" s="13"/>
      <c r="B9259" s="13"/>
      <c r="C9259" s="13"/>
      <c r="D9259" s="13"/>
    </row>
    <row r="9260" spans="1:4">
      <c r="A9260" s="13"/>
      <c r="B9260" s="13"/>
      <c r="C9260" s="13"/>
      <c r="D9260" s="13"/>
    </row>
    <row r="9261" spans="1:4">
      <c r="A9261" s="13"/>
      <c r="B9261" s="13"/>
      <c r="C9261" s="13"/>
      <c r="D9261" s="13"/>
    </row>
    <row r="9262" spans="1:4">
      <c r="A9262" s="13"/>
      <c r="B9262" s="13"/>
      <c r="C9262" s="13"/>
      <c r="D9262" s="13"/>
    </row>
    <row r="9263" spans="1:4">
      <c r="A9263" s="13"/>
      <c r="B9263" s="13"/>
      <c r="C9263" s="13"/>
      <c r="D9263" s="13"/>
    </row>
    <row r="9264" spans="1:4">
      <c r="A9264" s="13"/>
      <c r="B9264" s="13"/>
      <c r="C9264" s="13"/>
      <c r="D9264" s="13"/>
    </row>
    <row r="9265" spans="1:4">
      <c r="A9265" s="13"/>
      <c r="B9265" s="13"/>
      <c r="C9265" s="13"/>
      <c r="D9265" s="13"/>
    </row>
    <row r="9266" spans="1:4">
      <c r="A9266" s="13"/>
      <c r="B9266" s="13"/>
      <c r="C9266" s="13"/>
      <c r="D9266" s="13"/>
    </row>
    <row r="9267" spans="1:4">
      <c r="A9267" s="13"/>
      <c r="B9267" s="13"/>
      <c r="C9267" s="13"/>
      <c r="D9267" s="13"/>
    </row>
    <row r="9268" spans="1:4">
      <c r="A9268" s="13"/>
      <c r="B9268" s="13"/>
      <c r="C9268" s="13"/>
      <c r="D9268" s="13"/>
    </row>
    <row r="9269" spans="1:4">
      <c r="A9269" s="13"/>
      <c r="B9269" s="13"/>
      <c r="C9269" s="13"/>
      <c r="D9269" s="13"/>
    </row>
    <row r="9270" spans="1:4">
      <c r="A9270" s="13"/>
      <c r="B9270" s="13"/>
      <c r="C9270" s="13"/>
      <c r="D9270" s="13"/>
    </row>
    <row r="9271" spans="1:4">
      <c r="A9271" s="13"/>
      <c r="B9271" s="13"/>
      <c r="C9271" s="13"/>
      <c r="D9271" s="13"/>
    </row>
    <row r="9272" spans="1:4">
      <c r="A9272" s="13"/>
      <c r="B9272" s="13"/>
      <c r="C9272" s="13"/>
      <c r="D9272" s="13"/>
    </row>
    <row r="9273" spans="1:4">
      <c r="A9273" s="13"/>
      <c r="B9273" s="13"/>
      <c r="C9273" s="13"/>
      <c r="D9273" s="13"/>
    </row>
    <row r="9274" spans="1:4">
      <c r="A9274" s="13"/>
      <c r="B9274" s="13"/>
      <c r="C9274" s="13"/>
      <c r="D9274" s="13"/>
    </row>
    <row r="9275" spans="1:4">
      <c r="A9275" s="13"/>
      <c r="B9275" s="13"/>
      <c r="C9275" s="13"/>
      <c r="D9275" s="13"/>
    </row>
    <row r="9276" spans="1:4">
      <c r="A9276" s="13"/>
      <c r="B9276" s="13"/>
      <c r="C9276" s="13"/>
      <c r="D9276" s="13"/>
    </row>
    <row r="9277" spans="1:4">
      <c r="A9277" s="13"/>
      <c r="B9277" s="13"/>
      <c r="C9277" s="13"/>
      <c r="D9277" s="13"/>
    </row>
    <row r="9278" spans="1:4">
      <c r="A9278" s="13"/>
      <c r="B9278" s="13"/>
      <c r="C9278" s="13"/>
      <c r="D9278" s="13"/>
    </row>
    <row r="9279" spans="1:4">
      <c r="A9279" s="13"/>
      <c r="B9279" s="13"/>
      <c r="C9279" s="13"/>
      <c r="D9279" s="13"/>
    </row>
    <row r="9280" spans="1:4">
      <c r="A9280" s="13"/>
      <c r="B9280" s="13"/>
      <c r="C9280" s="13"/>
      <c r="D9280" s="13"/>
    </row>
    <row r="9281" spans="1:4">
      <c r="A9281" s="13"/>
      <c r="B9281" s="13"/>
      <c r="C9281" s="13"/>
      <c r="D9281" s="13"/>
    </row>
    <row r="9282" spans="1:4">
      <c r="A9282" s="13"/>
      <c r="B9282" s="13"/>
      <c r="C9282" s="13"/>
      <c r="D9282" s="13"/>
    </row>
    <row r="9283" spans="1:4">
      <c r="A9283" s="13"/>
      <c r="B9283" s="13"/>
      <c r="C9283" s="13"/>
      <c r="D9283" s="13"/>
    </row>
    <row r="9284" spans="1:4">
      <c r="A9284" s="13"/>
      <c r="B9284" s="13"/>
      <c r="C9284" s="13"/>
      <c r="D9284" s="13"/>
    </row>
    <row r="9285" spans="1:4">
      <c r="A9285" s="13"/>
      <c r="B9285" s="13"/>
      <c r="C9285" s="13"/>
      <c r="D9285" s="13"/>
    </row>
    <row r="9286" spans="1:4">
      <c r="A9286" s="13"/>
      <c r="B9286" s="13"/>
      <c r="C9286" s="13"/>
      <c r="D9286" s="13"/>
    </row>
    <row r="9287" spans="1:4">
      <c r="A9287" s="13"/>
      <c r="B9287" s="13"/>
      <c r="C9287" s="13"/>
      <c r="D9287" s="13"/>
    </row>
    <row r="9288" spans="1:4">
      <c r="A9288" s="13"/>
      <c r="B9288" s="13"/>
      <c r="C9288" s="13"/>
      <c r="D9288" s="13"/>
    </row>
    <row r="9289" spans="1:4">
      <c r="A9289" s="13"/>
      <c r="B9289" s="13"/>
      <c r="C9289" s="13"/>
      <c r="D9289" s="13"/>
    </row>
    <row r="9290" spans="1:4">
      <c r="A9290" s="13"/>
      <c r="B9290" s="13"/>
      <c r="C9290" s="13"/>
      <c r="D9290" s="13"/>
    </row>
    <row r="9291" spans="1:4">
      <c r="A9291" s="13"/>
      <c r="B9291" s="13"/>
      <c r="C9291" s="13"/>
      <c r="D9291" s="13"/>
    </row>
    <row r="9292" spans="1:4">
      <c r="A9292" s="13"/>
      <c r="B9292" s="13"/>
      <c r="C9292" s="13"/>
      <c r="D9292" s="13"/>
    </row>
    <row r="9293" spans="1:4">
      <c r="A9293" s="13"/>
      <c r="B9293" s="13"/>
      <c r="C9293" s="13"/>
      <c r="D9293" s="13"/>
    </row>
    <row r="9294" spans="1:4">
      <c r="A9294" s="13"/>
      <c r="B9294" s="13"/>
      <c r="C9294" s="13"/>
      <c r="D9294" s="13"/>
    </row>
    <row r="9295" spans="1:4">
      <c r="A9295" s="13"/>
      <c r="B9295" s="13"/>
      <c r="C9295" s="13"/>
      <c r="D9295" s="13"/>
    </row>
    <row r="9296" spans="1:4">
      <c r="A9296" s="13"/>
      <c r="B9296" s="13"/>
      <c r="C9296" s="13"/>
      <c r="D9296" s="13"/>
    </row>
    <row r="9297" spans="1:4">
      <c r="A9297" s="13"/>
      <c r="B9297" s="13"/>
      <c r="C9297" s="13"/>
      <c r="D9297" s="13"/>
    </row>
    <row r="9298" spans="1:4">
      <c r="A9298" s="13"/>
      <c r="B9298" s="13"/>
      <c r="C9298" s="13"/>
      <c r="D9298" s="13"/>
    </row>
    <row r="9299" spans="1:4">
      <c r="A9299" s="13"/>
      <c r="B9299" s="13"/>
      <c r="C9299" s="13"/>
      <c r="D9299" s="13"/>
    </row>
    <row r="9300" spans="1:4">
      <c r="A9300" s="13"/>
      <c r="B9300" s="13"/>
      <c r="C9300" s="13"/>
      <c r="D9300" s="13"/>
    </row>
    <row r="9301" spans="1:4">
      <c r="A9301" s="13"/>
      <c r="B9301" s="13"/>
      <c r="C9301" s="13"/>
      <c r="D9301" s="13"/>
    </row>
    <row r="9302" spans="1:4">
      <c r="A9302" s="13"/>
      <c r="B9302" s="13"/>
      <c r="C9302" s="13"/>
      <c r="D9302" s="13"/>
    </row>
    <row r="9303" spans="1:4">
      <c r="A9303" s="13"/>
      <c r="B9303" s="13"/>
      <c r="C9303" s="13"/>
      <c r="D9303" s="13"/>
    </row>
    <row r="9304" spans="1:4">
      <c r="A9304" s="13"/>
      <c r="B9304" s="13"/>
      <c r="C9304" s="13"/>
      <c r="D9304" s="13"/>
    </row>
    <row r="9305" spans="1:4">
      <c r="A9305" s="13"/>
      <c r="B9305" s="13"/>
      <c r="C9305" s="13"/>
      <c r="D9305" s="13"/>
    </row>
    <row r="9306" spans="1:4">
      <c r="A9306" s="13"/>
      <c r="B9306" s="13"/>
      <c r="C9306" s="13"/>
      <c r="D9306" s="13"/>
    </row>
    <row r="9307" spans="1:4">
      <c r="A9307" s="13"/>
      <c r="B9307" s="13"/>
      <c r="C9307" s="13"/>
      <c r="D9307" s="13"/>
    </row>
    <row r="9308" spans="1:4">
      <c r="A9308" s="13"/>
      <c r="B9308" s="13"/>
      <c r="C9308" s="13"/>
      <c r="D9308" s="13"/>
    </row>
    <row r="9309" spans="1:4">
      <c r="A9309" s="13"/>
      <c r="B9309" s="13"/>
      <c r="C9309" s="13"/>
      <c r="D9309" s="13"/>
    </row>
    <row r="9310" spans="1:4">
      <c r="A9310" s="13"/>
      <c r="B9310" s="13"/>
      <c r="C9310" s="13"/>
      <c r="D9310" s="13"/>
    </row>
    <row r="9311" spans="1:4">
      <c r="A9311" s="13"/>
      <c r="B9311" s="13"/>
      <c r="C9311" s="13"/>
      <c r="D9311" s="13"/>
    </row>
    <row r="9312" spans="1:4">
      <c r="A9312" s="13"/>
      <c r="B9312" s="13"/>
      <c r="C9312" s="13"/>
      <c r="D9312" s="13"/>
    </row>
    <row r="9313" spans="1:4">
      <c r="A9313" s="13"/>
      <c r="B9313" s="13"/>
      <c r="C9313" s="13"/>
      <c r="D9313" s="13"/>
    </row>
    <row r="9314" spans="1:4">
      <c r="A9314" s="13"/>
      <c r="B9314" s="13"/>
      <c r="C9314" s="13"/>
      <c r="D9314" s="13"/>
    </row>
    <row r="9315" spans="1:4">
      <c r="A9315" s="13"/>
      <c r="B9315" s="13"/>
      <c r="C9315" s="13"/>
      <c r="D9315" s="13"/>
    </row>
    <row r="9316" spans="1:4">
      <c r="A9316" s="13"/>
      <c r="B9316" s="13"/>
      <c r="C9316" s="13"/>
      <c r="D9316" s="13"/>
    </row>
    <row r="9317" spans="1:4">
      <c r="A9317" s="13"/>
      <c r="B9317" s="13"/>
      <c r="C9317" s="13"/>
      <c r="D9317" s="13"/>
    </row>
    <row r="9318" spans="1:4">
      <c r="A9318" s="13"/>
      <c r="B9318" s="13"/>
      <c r="C9318" s="13"/>
      <c r="D9318" s="13"/>
    </row>
    <row r="9319" spans="1:4">
      <c r="A9319" s="13"/>
      <c r="B9319" s="13"/>
      <c r="C9319" s="13"/>
      <c r="D9319" s="13"/>
    </row>
    <row r="9320" spans="1:4">
      <c r="A9320" s="13"/>
      <c r="B9320" s="13"/>
      <c r="C9320" s="13"/>
      <c r="D9320" s="13"/>
    </row>
    <row r="9321" spans="1:4">
      <c r="A9321" s="13"/>
      <c r="B9321" s="13"/>
      <c r="C9321" s="13"/>
      <c r="D9321" s="13"/>
    </row>
    <row r="9322" spans="1:4">
      <c r="A9322" s="13"/>
      <c r="B9322" s="13"/>
      <c r="C9322" s="13"/>
      <c r="D9322" s="13"/>
    </row>
    <row r="9323" spans="1:4">
      <c r="A9323" s="13"/>
      <c r="B9323" s="13"/>
      <c r="C9323" s="13"/>
      <c r="D9323" s="13"/>
    </row>
    <row r="9324" spans="1:4">
      <c r="A9324" s="13"/>
      <c r="B9324" s="13"/>
      <c r="C9324" s="13"/>
      <c r="D9324" s="13"/>
    </row>
    <row r="9325" spans="1:4">
      <c r="A9325" s="13"/>
      <c r="B9325" s="13"/>
      <c r="C9325" s="13"/>
      <c r="D9325" s="13"/>
    </row>
    <row r="9326" spans="1:4">
      <c r="A9326" s="13"/>
      <c r="B9326" s="13"/>
      <c r="C9326" s="13"/>
      <c r="D9326" s="13"/>
    </row>
    <row r="9327" spans="1:4">
      <c r="A9327" s="13"/>
      <c r="B9327" s="13"/>
      <c r="C9327" s="13"/>
      <c r="D9327" s="13"/>
    </row>
    <row r="9328" spans="1:4">
      <c r="A9328" s="13"/>
      <c r="B9328" s="13"/>
      <c r="C9328" s="13"/>
      <c r="D9328" s="13"/>
    </row>
    <row r="9329" spans="1:4">
      <c r="A9329" s="13"/>
      <c r="B9329" s="13"/>
      <c r="C9329" s="13"/>
      <c r="D9329" s="13"/>
    </row>
    <row r="9330" spans="1:4">
      <c r="A9330" s="13"/>
      <c r="B9330" s="13"/>
      <c r="C9330" s="13"/>
      <c r="D9330" s="13"/>
    </row>
    <row r="9331" spans="1:4">
      <c r="A9331" s="13"/>
      <c r="B9331" s="13"/>
      <c r="C9331" s="13"/>
      <c r="D9331" s="13"/>
    </row>
    <row r="9332" spans="1:4">
      <c r="A9332" s="13"/>
      <c r="B9332" s="13"/>
      <c r="C9332" s="13"/>
      <c r="D9332" s="13"/>
    </row>
    <row r="9333" spans="1:4">
      <c r="A9333" s="13"/>
      <c r="B9333" s="13"/>
      <c r="C9333" s="13"/>
      <c r="D9333" s="13"/>
    </row>
    <row r="9334" spans="1:4">
      <c r="A9334" s="13"/>
      <c r="B9334" s="13"/>
      <c r="C9334" s="13"/>
      <c r="D9334" s="13"/>
    </row>
    <row r="9335" spans="1:4">
      <c r="A9335" s="13"/>
      <c r="B9335" s="13"/>
      <c r="C9335" s="13"/>
      <c r="D9335" s="13"/>
    </row>
    <row r="9336" spans="1:4">
      <c r="A9336" s="13"/>
      <c r="B9336" s="13"/>
      <c r="C9336" s="13"/>
      <c r="D9336" s="13"/>
    </row>
    <row r="9337" spans="1:4">
      <c r="A9337" s="13"/>
      <c r="B9337" s="13"/>
      <c r="C9337" s="13"/>
      <c r="D9337" s="13"/>
    </row>
    <row r="9338" spans="1:4">
      <c r="A9338" s="13"/>
      <c r="B9338" s="13"/>
      <c r="C9338" s="13"/>
      <c r="D9338" s="13"/>
    </row>
    <row r="9339" spans="1:4">
      <c r="A9339" s="13"/>
      <c r="B9339" s="13"/>
      <c r="C9339" s="13"/>
      <c r="D9339" s="13"/>
    </row>
    <row r="9340" spans="1:4">
      <c r="A9340" s="13"/>
      <c r="B9340" s="13"/>
      <c r="C9340" s="13"/>
      <c r="D9340" s="13"/>
    </row>
    <row r="9341" spans="1:4">
      <c r="A9341" s="13"/>
      <c r="B9341" s="13"/>
      <c r="C9341" s="13"/>
      <c r="D9341" s="13"/>
    </row>
    <row r="9342" spans="1:4">
      <c r="A9342" s="13"/>
      <c r="B9342" s="13"/>
      <c r="C9342" s="13"/>
      <c r="D9342" s="13"/>
    </row>
    <row r="9343" spans="1:4">
      <c r="A9343" s="13"/>
      <c r="B9343" s="13"/>
      <c r="C9343" s="13"/>
      <c r="D9343" s="13"/>
    </row>
    <row r="9344" spans="1:4">
      <c r="A9344" s="13"/>
      <c r="B9344" s="13"/>
      <c r="C9344" s="13"/>
      <c r="D9344" s="13"/>
    </row>
    <row r="9345" spans="1:4">
      <c r="A9345" s="13"/>
      <c r="B9345" s="13"/>
      <c r="C9345" s="13"/>
      <c r="D9345" s="13"/>
    </row>
    <row r="9346" spans="1:4">
      <c r="A9346" s="13"/>
      <c r="B9346" s="13"/>
      <c r="C9346" s="13"/>
      <c r="D9346" s="13"/>
    </row>
    <row r="9347" spans="1:4">
      <c r="A9347" s="13"/>
      <c r="B9347" s="13"/>
      <c r="C9347" s="13"/>
      <c r="D9347" s="13"/>
    </row>
    <row r="9348" spans="1:4">
      <c r="A9348" s="13"/>
      <c r="B9348" s="13"/>
      <c r="C9348" s="13"/>
      <c r="D9348" s="13"/>
    </row>
    <row r="9349" spans="1:4">
      <c r="A9349" s="13"/>
      <c r="B9349" s="13"/>
      <c r="C9349" s="13"/>
      <c r="D9349" s="13"/>
    </row>
    <row r="9350" spans="1:4">
      <c r="A9350" s="13"/>
      <c r="B9350" s="13"/>
      <c r="C9350" s="13"/>
      <c r="D9350" s="13"/>
    </row>
    <row r="9351" spans="1:4">
      <c r="A9351" s="13"/>
      <c r="B9351" s="13"/>
      <c r="C9351" s="13"/>
      <c r="D9351" s="13"/>
    </row>
    <row r="9352" spans="1:4">
      <c r="A9352" s="13"/>
      <c r="B9352" s="13"/>
      <c r="C9352" s="13"/>
      <c r="D9352" s="13"/>
    </row>
    <row r="9353" spans="1:4">
      <c r="A9353" s="13"/>
      <c r="B9353" s="13"/>
      <c r="C9353" s="13"/>
      <c r="D9353" s="13"/>
    </row>
    <row r="9354" spans="1:4">
      <c r="A9354" s="13"/>
      <c r="B9354" s="13"/>
      <c r="C9354" s="13"/>
      <c r="D9354" s="13"/>
    </row>
    <row r="9355" spans="1:4">
      <c r="A9355" s="13"/>
      <c r="B9355" s="13"/>
      <c r="C9355" s="13"/>
      <c r="D9355" s="13"/>
    </row>
    <row r="9356" spans="1:4">
      <c r="A9356" s="13"/>
      <c r="B9356" s="13"/>
      <c r="C9356" s="13"/>
      <c r="D9356" s="13"/>
    </row>
    <row r="9357" spans="1:4">
      <c r="A9357" s="13"/>
      <c r="B9357" s="13"/>
      <c r="C9357" s="13"/>
      <c r="D9357" s="13"/>
    </row>
    <row r="9358" spans="1:4">
      <c r="A9358" s="13"/>
      <c r="B9358" s="13"/>
      <c r="C9358" s="13"/>
      <c r="D9358" s="13"/>
    </row>
    <row r="9359" spans="1:4">
      <c r="A9359" s="13"/>
      <c r="B9359" s="13"/>
      <c r="C9359" s="13"/>
      <c r="D9359" s="13"/>
    </row>
    <row r="9360" spans="1:4">
      <c r="A9360" s="13"/>
      <c r="B9360" s="13"/>
      <c r="C9360" s="13"/>
      <c r="D9360" s="13"/>
    </row>
    <row r="9361" spans="1:4">
      <c r="A9361" s="13"/>
      <c r="B9361" s="13"/>
      <c r="C9361" s="13"/>
      <c r="D9361" s="13"/>
    </row>
    <row r="9362" spans="1:4">
      <c r="A9362" s="13"/>
      <c r="B9362" s="13"/>
      <c r="C9362" s="13"/>
      <c r="D9362" s="13"/>
    </row>
    <row r="9363" spans="1:4">
      <c r="A9363" s="13"/>
      <c r="B9363" s="13"/>
      <c r="C9363" s="13"/>
      <c r="D9363" s="13"/>
    </row>
    <row r="9364" spans="1:4">
      <c r="A9364" s="13"/>
      <c r="B9364" s="13"/>
      <c r="C9364" s="13"/>
      <c r="D9364" s="13"/>
    </row>
    <row r="9365" spans="1:4">
      <c r="A9365" s="13"/>
      <c r="B9365" s="13"/>
      <c r="C9365" s="13"/>
      <c r="D9365" s="13"/>
    </row>
    <row r="9366" spans="1:4">
      <c r="A9366" s="13"/>
      <c r="B9366" s="13"/>
      <c r="C9366" s="13"/>
      <c r="D9366" s="13"/>
    </row>
    <row r="9367" spans="1:4">
      <c r="A9367" s="13"/>
      <c r="B9367" s="13"/>
      <c r="C9367" s="13"/>
      <c r="D9367" s="13"/>
    </row>
    <row r="9368" spans="1:4">
      <c r="A9368" s="13"/>
      <c r="B9368" s="13"/>
      <c r="C9368" s="13"/>
      <c r="D9368" s="13"/>
    </row>
    <row r="9369" spans="1:4">
      <c r="A9369" s="13"/>
      <c r="B9369" s="13"/>
      <c r="C9369" s="13"/>
      <c r="D9369" s="13"/>
    </row>
    <row r="9370" spans="1:4">
      <c r="A9370" s="13"/>
      <c r="B9370" s="13"/>
      <c r="C9370" s="13"/>
      <c r="D9370" s="13"/>
    </row>
    <row r="9371" spans="1:4">
      <c r="A9371" s="13"/>
      <c r="B9371" s="13"/>
      <c r="C9371" s="13"/>
      <c r="D9371" s="13"/>
    </row>
    <row r="9372" spans="1:4">
      <c r="A9372" s="13"/>
      <c r="B9372" s="13"/>
      <c r="C9372" s="13"/>
      <c r="D9372" s="13"/>
    </row>
    <row r="9373" spans="1:4">
      <c r="A9373" s="13"/>
      <c r="B9373" s="13"/>
      <c r="C9373" s="13"/>
      <c r="D9373" s="13"/>
    </row>
    <row r="9374" spans="1:4">
      <c r="A9374" s="13"/>
      <c r="B9374" s="13"/>
      <c r="C9374" s="13"/>
      <c r="D9374" s="13"/>
    </row>
    <row r="9375" spans="1:4">
      <c r="A9375" s="13"/>
      <c r="B9375" s="13"/>
      <c r="C9375" s="13"/>
      <c r="D9375" s="13"/>
    </row>
    <row r="9376" spans="1:4">
      <c r="A9376" s="13"/>
      <c r="B9376" s="13"/>
      <c r="C9376" s="13"/>
      <c r="D9376" s="13"/>
    </row>
    <row r="9377" spans="1:4">
      <c r="A9377" s="13"/>
      <c r="B9377" s="13"/>
      <c r="C9377" s="13"/>
      <c r="D9377" s="13"/>
    </row>
    <row r="9378" spans="1:4">
      <c r="A9378" s="13"/>
      <c r="B9378" s="13"/>
      <c r="C9378" s="13"/>
      <c r="D9378" s="13"/>
    </row>
    <row r="9379" spans="1:4">
      <c r="A9379" s="13"/>
      <c r="B9379" s="13"/>
      <c r="C9379" s="13"/>
      <c r="D9379" s="13"/>
    </row>
    <row r="9380" spans="1:4">
      <c r="A9380" s="13"/>
      <c r="B9380" s="13"/>
      <c r="C9380" s="13"/>
      <c r="D9380" s="13"/>
    </row>
    <row r="9381" spans="1:4">
      <c r="A9381" s="13"/>
      <c r="B9381" s="13"/>
      <c r="C9381" s="13"/>
      <c r="D9381" s="13"/>
    </row>
    <row r="9382" spans="1:4">
      <c r="A9382" s="13"/>
      <c r="B9382" s="13"/>
      <c r="C9382" s="13"/>
      <c r="D9382" s="13"/>
    </row>
    <row r="9383" spans="1:4">
      <c r="A9383" s="13"/>
      <c r="B9383" s="13"/>
      <c r="C9383" s="13"/>
      <c r="D9383" s="13"/>
    </row>
    <row r="9384" spans="1:4">
      <c r="A9384" s="13"/>
      <c r="B9384" s="13"/>
      <c r="C9384" s="13"/>
      <c r="D9384" s="13"/>
    </row>
    <row r="9385" spans="1:4">
      <c r="A9385" s="13"/>
      <c r="B9385" s="13"/>
      <c r="C9385" s="13"/>
      <c r="D9385" s="13"/>
    </row>
    <row r="9386" spans="1:4">
      <c r="A9386" s="13"/>
      <c r="B9386" s="13"/>
      <c r="C9386" s="13"/>
      <c r="D9386" s="13"/>
    </row>
    <row r="9387" spans="1:4">
      <c r="A9387" s="13"/>
      <c r="B9387" s="13"/>
      <c r="C9387" s="13"/>
      <c r="D9387" s="13"/>
    </row>
    <row r="9388" spans="1:4">
      <c r="A9388" s="13"/>
      <c r="B9388" s="13"/>
      <c r="C9388" s="13"/>
      <c r="D9388" s="13"/>
    </row>
    <row r="9389" spans="1:4">
      <c r="A9389" s="13"/>
      <c r="B9389" s="13"/>
      <c r="C9389" s="13"/>
      <c r="D9389" s="13"/>
    </row>
    <row r="9390" spans="1:4">
      <c r="A9390" s="13"/>
      <c r="B9390" s="13"/>
      <c r="C9390" s="13"/>
      <c r="D9390" s="13"/>
    </row>
    <row r="9391" spans="1:4">
      <c r="A9391" s="13"/>
      <c r="B9391" s="13"/>
      <c r="C9391" s="13"/>
      <c r="D9391" s="13"/>
    </row>
    <row r="9392" spans="1:4">
      <c r="A9392" s="13"/>
      <c r="B9392" s="13"/>
      <c r="C9392" s="13"/>
      <c r="D9392" s="13"/>
    </row>
    <row r="9393" spans="1:4">
      <c r="A9393" s="13"/>
      <c r="B9393" s="13"/>
      <c r="C9393" s="13"/>
      <c r="D9393" s="13"/>
    </row>
    <row r="9394" spans="1:4">
      <c r="A9394" s="13"/>
      <c r="B9394" s="13"/>
      <c r="C9394" s="13"/>
      <c r="D9394" s="13"/>
    </row>
    <row r="9395" spans="1:4">
      <c r="A9395" s="13"/>
      <c r="B9395" s="13"/>
      <c r="C9395" s="13"/>
      <c r="D9395" s="13"/>
    </row>
    <row r="9396" spans="1:4">
      <c r="A9396" s="13"/>
      <c r="B9396" s="13"/>
      <c r="C9396" s="13"/>
      <c r="D9396" s="13"/>
    </row>
    <row r="9397" spans="1:4">
      <c r="A9397" s="13"/>
      <c r="B9397" s="13"/>
      <c r="C9397" s="13"/>
      <c r="D9397" s="13"/>
    </row>
    <row r="9398" spans="1:4">
      <c r="A9398" s="13"/>
      <c r="B9398" s="13"/>
      <c r="C9398" s="13"/>
      <c r="D9398" s="13"/>
    </row>
    <row r="9399" spans="1:4">
      <c r="A9399" s="13"/>
      <c r="B9399" s="13"/>
      <c r="C9399" s="13"/>
      <c r="D9399" s="13"/>
    </row>
    <row r="9400" spans="1:4">
      <c r="A9400" s="13"/>
      <c r="B9400" s="13"/>
      <c r="C9400" s="13"/>
      <c r="D9400" s="13"/>
    </row>
    <row r="9401" spans="1:4">
      <c r="A9401" s="13"/>
      <c r="B9401" s="13"/>
      <c r="C9401" s="13"/>
      <c r="D9401" s="13"/>
    </row>
    <row r="9402" spans="1:4">
      <c r="A9402" s="13"/>
      <c r="B9402" s="13"/>
      <c r="C9402" s="13"/>
      <c r="D9402" s="13"/>
    </row>
    <row r="9403" spans="1:4">
      <c r="A9403" s="13"/>
      <c r="B9403" s="13"/>
      <c r="C9403" s="13"/>
      <c r="D9403" s="13"/>
    </row>
    <row r="9404" spans="1:4">
      <c r="A9404" s="13"/>
      <c r="B9404" s="13"/>
      <c r="C9404" s="13"/>
      <c r="D9404" s="13"/>
    </row>
    <row r="9405" spans="1:4">
      <c r="A9405" s="13"/>
      <c r="B9405" s="13"/>
      <c r="C9405" s="13"/>
      <c r="D9405" s="13"/>
    </row>
    <row r="9406" spans="1:4">
      <c r="A9406" s="13"/>
      <c r="B9406" s="13"/>
      <c r="C9406" s="13"/>
      <c r="D9406" s="13"/>
    </row>
    <row r="9407" spans="1:4">
      <c r="A9407" s="13"/>
      <c r="B9407" s="13"/>
      <c r="C9407" s="13"/>
      <c r="D9407" s="13"/>
    </row>
    <row r="9408" spans="1:4">
      <c r="A9408" s="13"/>
      <c r="B9408" s="13"/>
      <c r="C9408" s="13"/>
      <c r="D9408" s="13"/>
    </row>
    <row r="9409" spans="1:4">
      <c r="A9409" s="13"/>
      <c r="B9409" s="13"/>
      <c r="C9409" s="13"/>
      <c r="D9409" s="13"/>
    </row>
    <row r="9410" spans="1:4">
      <c r="A9410" s="13"/>
      <c r="B9410" s="13"/>
      <c r="C9410" s="13"/>
      <c r="D9410" s="13"/>
    </row>
    <row r="9411" spans="1:4">
      <c r="A9411" s="13"/>
      <c r="B9411" s="13"/>
      <c r="C9411" s="13"/>
      <c r="D9411" s="13"/>
    </row>
    <row r="9412" spans="1:4">
      <c r="A9412" s="13"/>
      <c r="B9412" s="13"/>
      <c r="C9412" s="13"/>
      <c r="D9412" s="13"/>
    </row>
    <row r="9413" spans="1:4">
      <c r="A9413" s="13"/>
      <c r="B9413" s="13"/>
      <c r="C9413" s="13"/>
      <c r="D9413" s="13"/>
    </row>
    <row r="9414" spans="1:4">
      <c r="A9414" s="13"/>
      <c r="B9414" s="13"/>
      <c r="C9414" s="13"/>
      <c r="D9414" s="13"/>
    </row>
    <row r="9415" spans="1:4">
      <c r="A9415" s="13"/>
      <c r="B9415" s="13"/>
      <c r="C9415" s="13"/>
      <c r="D9415" s="13"/>
    </row>
    <row r="9416" spans="1:4">
      <c r="A9416" s="13"/>
      <c r="B9416" s="13"/>
      <c r="C9416" s="13"/>
      <c r="D9416" s="13"/>
    </row>
    <row r="9417" spans="1:4">
      <c r="A9417" s="13"/>
      <c r="B9417" s="13"/>
      <c r="C9417" s="13"/>
      <c r="D9417" s="13"/>
    </row>
    <row r="9418" spans="1:4">
      <c r="A9418" s="13"/>
      <c r="B9418" s="13"/>
      <c r="C9418" s="13"/>
      <c r="D9418" s="13"/>
    </row>
    <row r="9419" spans="1:4">
      <c r="A9419" s="13"/>
      <c r="B9419" s="13"/>
      <c r="C9419" s="13"/>
      <c r="D9419" s="13"/>
    </row>
    <row r="9420" spans="1:4">
      <c r="A9420" s="13"/>
      <c r="B9420" s="13"/>
      <c r="C9420" s="13"/>
      <c r="D9420" s="13"/>
    </row>
    <row r="9421" spans="1:4">
      <c r="A9421" s="13"/>
      <c r="B9421" s="13"/>
      <c r="C9421" s="13"/>
      <c r="D9421" s="13"/>
    </row>
    <row r="9422" spans="1:4">
      <c r="A9422" s="13"/>
      <c r="B9422" s="13"/>
      <c r="C9422" s="13"/>
      <c r="D9422" s="13"/>
    </row>
    <row r="9423" spans="1:4">
      <c r="A9423" s="13"/>
      <c r="B9423" s="13"/>
      <c r="C9423" s="13"/>
      <c r="D9423" s="13"/>
    </row>
    <row r="9424" spans="1:4">
      <c r="A9424" s="13"/>
      <c r="B9424" s="13"/>
      <c r="C9424" s="13"/>
      <c r="D9424" s="13"/>
    </row>
    <row r="9425" spans="1:4">
      <c r="A9425" s="13"/>
      <c r="B9425" s="13"/>
      <c r="C9425" s="13"/>
      <c r="D9425" s="13"/>
    </row>
    <row r="9426" spans="1:4">
      <c r="A9426" s="13"/>
      <c r="B9426" s="13"/>
      <c r="C9426" s="13"/>
      <c r="D9426" s="13"/>
    </row>
    <row r="9427" spans="1:4">
      <c r="A9427" s="13"/>
      <c r="B9427" s="13"/>
      <c r="C9427" s="13"/>
      <c r="D9427" s="13"/>
    </row>
    <row r="9428" spans="1:4">
      <c r="A9428" s="13"/>
      <c r="B9428" s="13"/>
      <c r="C9428" s="13"/>
      <c r="D9428" s="13"/>
    </row>
    <row r="9429" spans="1:4">
      <c r="A9429" s="13"/>
      <c r="B9429" s="13"/>
      <c r="C9429" s="13"/>
      <c r="D9429" s="13"/>
    </row>
    <row r="9430" spans="1:4">
      <c r="A9430" s="13"/>
      <c r="B9430" s="13"/>
      <c r="C9430" s="13"/>
      <c r="D9430" s="13"/>
    </row>
    <row r="9431" spans="1:4">
      <c r="A9431" s="13"/>
      <c r="B9431" s="13"/>
      <c r="C9431" s="13"/>
      <c r="D9431" s="13"/>
    </row>
    <row r="9432" spans="1:4">
      <c r="A9432" s="13"/>
      <c r="B9432" s="13"/>
      <c r="C9432" s="13"/>
      <c r="D9432" s="13"/>
    </row>
    <row r="9433" spans="1:4">
      <c r="A9433" s="13"/>
      <c r="B9433" s="13"/>
      <c r="C9433" s="13"/>
      <c r="D9433" s="13"/>
    </row>
    <row r="9434" spans="1:4">
      <c r="A9434" s="13"/>
      <c r="B9434" s="13"/>
      <c r="C9434" s="13"/>
      <c r="D9434" s="13"/>
    </row>
    <row r="9435" spans="1:4">
      <c r="A9435" s="13"/>
      <c r="B9435" s="13"/>
      <c r="C9435" s="13"/>
      <c r="D9435" s="13"/>
    </row>
    <row r="9436" spans="1:4">
      <c r="A9436" s="13"/>
      <c r="B9436" s="13"/>
      <c r="C9436" s="13"/>
      <c r="D9436" s="13"/>
    </row>
    <row r="9437" spans="1:4">
      <c r="A9437" s="13"/>
      <c r="B9437" s="13"/>
      <c r="C9437" s="13"/>
      <c r="D9437" s="13"/>
    </row>
    <row r="9438" spans="1:4">
      <c r="A9438" s="13"/>
      <c r="B9438" s="13"/>
      <c r="C9438" s="13"/>
      <c r="D9438" s="13"/>
    </row>
    <row r="9439" spans="1:4">
      <c r="A9439" s="13"/>
      <c r="B9439" s="13"/>
      <c r="C9439" s="13"/>
      <c r="D9439" s="13"/>
    </row>
    <row r="9440" spans="1:4">
      <c r="A9440" s="13"/>
      <c r="B9440" s="13"/>
      <c r="C9440" s="13"/>
      <c r="D9440" s="13"/>
    </row>
    <row r="9441" spans="1:4">
      <c r="A9441" s="13"/>
      <c r="B9441" s="13"/>
      <c r="C9441" s="13"/>
      <c r="D9441" s="13"/>
    </row>
    <row r="9442" spans="1:4">
      <c r="A9442" s="13"/>
      <c r="B9442" s="13"/>
      <c r="C9442" s="13"/>
      <c r="D9442" s="13"/>
    </row>
    <row r="9443" spans="1:4">
      <c r="A9443" s="13"/>
      <c r="B9443" s="13"/>
      <c r="C9443" s="13"/>
      <c r="D9443" s="13"/>
    </row>
    <row r="9444" spans="1:4">
      <c r="A9444" s="13"/>
      <c r="B9444" s="13"/>
      <c r="C9444" s="13"/>
      <c r="D9444" s="13"/>
    </row>
    <row r="9445" spans="1:4">
      <c r="A9445" s="13"/>
      <c r="B9445" s="13"/>
      <c r="C9445" s="13"/>
      <c r="D9445" s="13"/>
    </row>
    <row r="9446" spans="1:4">
      <c r="A9446" s="13"/>
      <c r="B9446" s="13"/>
      <c r="C9446" s="13"/>
      <c r="D9446" s="13"/>
    </row>
    <row r="9447" spans="1:4">
      <c r="A9447" s="13"/>
      <c r="B9447" s="13"/>
      <c r="C9447" s="13"/>
      <c r="D9447" s="13"/>
    </row>
    <row r="9448" spans="1:4">
      <c r="A9448" s="13"/>
      <c r="B9448" s="13"/>
      <c r="C9448" s="13"/>
      <c r="D9448" s="13"/>
    </row>
    <row r="9449" spans="1:4">
      <c r="A9449" s="13"/>
      <c r="B9449" s="13"/>
      <c r="C9449" s="13"/>
      <c r="D9449" s="13"/>
    </row>
    <row r="9450" spans="1:4">
      <c r="A9450" s="13"/>
      <c r="B9450" s="13"/>
      <c r="C9450" s="13"/>
      <c r="D9450" s="13"/>
    </row>
    <row r="9451" spans="1:4">
      <c r="A9451" s="13"/>
      <c r="B9451" s="13"/>
      <c r="C9451" s="13"/>
      <c r="D9451" s="13"/>
    </row>
    <row r="9452" spans="1:4">
      <c r="A9452" s="13"/>
      <c r="B9452" s="13"/>
      <c r="C9452" s="13"/>
      <c r="D9452" s="13"/>
    </row>
    <row r="9453" spans="1:4">
      <c r="A9453" s="13"/>
      <c r="B9453" s="13"/>
      <c r="C9453" s="13"/>
      <c r="D9453" s="13"/>
    </row>
    <row r="9454" spans="1:4">
      <c r="A9454" s="13"/>
      <c r="B9454" s="13"/>
      <c r="C9454" s="13"/>
      <c r="D9454" s="13"/>
    </row>
    <row r="9455" spans="1:4">
      <c r="A9455" s="13"/>
      <c r="B9455" s="13"/>
      <c r="C9455" s="13"/>
      <c r="D9455" s="13"/>
    </row>
    <row r="9456" spans="1:4">
      <c r="A9456" s="13"/>
      <c r="B9456" s="13"/>
      <c r="C9456" s="13"/>
      <c r="D9456" s="13"/>
    </row>
    <row r="9457" spans="1:4">
      <c r="A9457" s="13"/>
      <c r="B9457" s="13"/>
      <c r="C9457" s="13"/>
      <c r="D9457" s="13"/>
    </row>
    <row r="9458" spans="1:4">
      <c r="A9458" s="13"/>
      <c r="B9458" s="13"/>
      <c r="C9458" s="13"/>
      <c r="D9458" s="13"/>
    </row>
    <row r="9459" spans="1:4">
      <c r="A9459" s="13"/>
      <c r="B9459" s="13"/>
      <c r="C9459" s="13"/>
      <c r="D9459" s="13"/>
    </row>
    <row r="9460" spans="1:4">
      <c r="A9460" s="13"/>
      <c r="B9460" s="13"/>
      <c r="C9460" s="13"/>
      <c r="D9460" s="13"/>
    </row>
    <row r="9461" spans="1:4">
      <c r="A9461" s="13"/>
      <c r="B9461" s="13"/>
      <c r="C9461" s="13"/>
      <c r="D9461" s="13"/>
    </row>
    <row r="9462" spans="1:4">
      <c r="A9462" s="13"/>
      <c r="B9462" s="13"/>
      <c r="C9462" s="13"/>
      <c r="D9462" s="13"/>
    </row>
    <row r="9463" spans="1:4">
      <c r="A9463" s="13"/>
      <c r="B9463" s="13"/>
      <c r="C9463" s="13"/>
      <c r="D9463" s="13"/>
    </row>
    <row r="9464" spans="1:4">
      <c r="A9464" s="13"/>
      <c r="B9464" s="13"/>
      <c r="C9464" s="13"/>
      <c r="D9464" s="13"/>
    </row>
    <row r="9465" spans="1:4">
      <c r="A9465" s="13"/>
      <c r="B9465" s="13"/>
      <c r="C9465" s="13"/>
      <c r="D9465" s="13"/>
    </row>
    <row r="9466" spans="1:4">
      <c r="A9466" s="13"/>
      <c r="B9466" s="13"/>
      <c r="C9466" s="13"/>
      <c r="D9466" s="13"/>
    </row>
    <row r="9467" spans="1:4">
      <c r="A9467" s="13"/>
      <c r="B9467" s="13"/>
      <c r="C9467" s="13"/>
      <c r="D9467" s="13"/>
    </row>
    <row r="9468" spans="1:4">
      <c r="A9468" s="13"/>
      <c r="B9468" s="13"/>
      <c r="C9468" s="13"/>
      <c r="D9468" s="13"/>
    </row>
    <row r="9469" spans="1:4">
      <c r="A9469" s="13"/>
      <c r="B9469" s="13"/>
      <c r="C9469" s="13"/>
      <c r="D9469" s="13"/>
    </row>
    <row r="9470" spans="1:4">
      <c r="A9470" s="13"/>
      <c r="B9470" s="13"/>
      <c r="C9470" s="13"/>
      <c r="D9470" s="13"/>
    </row>
    <row r="9471" spans="1:4">
      <c r="A9471" s="13"/>
      <c r="B9471" s="13"/>
      <c r="C9471" s="13"/>
      <c r="D9471" s="13"/>
    </row>
    <row r="9472" spans="1:4">
      <c r="A9472" s="13"/>
      <c r="B9472" s="13"/>
      <c r="C9472" s="13"/>
      <c r="D9472" s="13"/>
    </row>
    <row r="9473" spans="1:4">
      <c r="A9473" s="13"/>
      <c r="B9473" s="13"/>
      <c r="C9473" s="13"/>
      <c r="D9473" s="13"/>
    </row>
    <row r="9474" spans="1:4">
      <c r="A9474" s="13"/>
      <c r="B9474" s="13"/>
      <c r="C9474" s="13"/>
      <c r="D9474" s="13"/>
    </row>
    <row r="9475" spans="1:4">
      <c r="A9475" s="13"/>
      <c r="B9475" s="13"/>
      <c r="C9475" s="13"/>
      <c r="D9475" s="13"/>
    </row>
    <row r="9476" spans="1:4">
      <c r="A9476" s="13"/>
      <c r="B9476" s="13"/>
      <c r="C9476" s="13"/>
      <c r="D9476" s="13"/>
    </row>
    <row r="9477" spans="1:4">
      <c r="A9477" s="13"/>
      <c r="B9477" s="13"/>
      <c r="C9477" s="13"/>
      <c r="D9477" s="13"/>
    </row>
    <row r="9478" spans="1:4">
      <c r="A9478" s="13"/>
      <c r="B9478" s="13"/>
      <c r="C9478" s="13"/>
      <c r="D9478" s="13"/>
    </row>
    <row r="9479" spans="1:4">
      <c r="A9479" s="13"/>
      <c r="B9479" s="13"/>
      <c r="C9479" s="13"/>
      <c r="D9479" s="13"/>
    </row>
    <row r="9480" spans="1:4">
      <c r="A9480" s="13"/>
      <c r="B9480" s="13"/>
      <c r="C9480" s="13"/>
      <c r="D9480" s="13"/>
    </row>
    <row r="9481" spans="1:4">
      <c r="A9481" s="13"/>
      <c r="B9481" s="13"/>
      <c r="C9481" s="13"/>
      <c r="D9481" s="13"/>
    </row>
    <row r="9482" spans="1:4">
      <c r="A9482" s="13"/>
      <c r="B9482" s="13"/>
      <c r="C9482" s="13"/>
      <c r="D9482" s="13"/>
    </row>
    <row r="9483" spans="1:4">
      <c r="A9483" s="13"/>
      <c r="B9483" s="13"/>
      <c r="C9483" s="13"/>
      <c r="D9483" s="13"/>
    </row>
    <row r="9484" spans="1:4">
      <c r="A9484" s="13"/>
      <c r="B9484" s="13"/>
      <c r="C9484" s="13"/>
      <c r="D9484" s="13"/>
    </row>
    <row r="9485" spans="1:4">
      <c r="A9485" s="13"/>
      <c r="B9485" s="13"/>
      <c r="C9485" s="13"/>
      <c r="D9485" s="13"/>
    </row>
    <row r="9486" spans="1:4">
      <c r="A9486" s="13"/>
      <c r="B9486" s="13"/>
      <c r="C9486" s="13"/>
      <c r="D9486" s="13"/>
    </row>
    <row r="9487" spans="1:4">
      <c r="A9487" s="13"/>
      <c r="B9487" s="13"/>
      <c r="C9487" s="13"/>
      <c r="D9487" s="13"/>
    </row>
    <row r="9488" spans="1:4">
      <c r="A9488" s="13"/>
      <c r="B9488" s="13"/>
      <c r="C9488" s="13"/>
      <c r="D9488" s="13"/>
    </row>
    <row r="9489" spans="1:4">
      <c r="A9489" s="13"/>
      <c r="B9489" s="13"/>
      <c r="C9489" s="13"/>
      <c r="D9489" s="13"/>
    </row>
    <row r="9490" spans="1:4">
      <c r="A9490" s="13"/>
      <c r="B9490" s="13"/>
      <c r="C9490" s="13"/>
      <c r="D9490" s="13"/>
    </row>
    <row r="9491" spans="1:4">
      <c r="A9491" s="13"/>
      <c r="B9491" s="13"/>
      <c r="C9491" s="13"/>
      <c r="D9491" s="13"/>
    </row>
    <row r="9492" spans="1:4">
      <c r="A9492" s="13"/>
      <c r="B9492" s="13"/>
      <c r="C9492" s="13"/>
      <c r="D9492" s="13"/>
    </row>
    <row r="9493" spans="1:4">
      <c r="A9493" s="13"/>
      <c r="B9493" s="13"/>
      <c r="C9493" s="13"/>
      <c r="D9493" s="13"/>
    </row>
    <row r="9494" spans="1:4">
      <c r="A9494" s="13"/>
      <c r="B9494" s="13"/>
      <c r="C9494" s="13"/>
      <c r="D9494" s="13"/>
    </row>
    <row r="9495" spans="1:4">
      <c r="A9495" s="13"/>
      <c r="B9495" s="13"/>
      <c r="C9495" s="13"/>
      <c r="D9495" s="13"/>
    </row>
    <row r="9496" spans="1:4">
      <c r="A9496" s="13"/>
      <c r="B9496" s="13"/>
      <c r="C9496" s="13"/>
      <c r="D9496" s="13"/>
    </row>
    <row r="9497" spans="1:4">
      <c r="A9497" s="13"/>
      <c r="B9497" s="13"/>
      <c r="C9497" s="13"/>
      <c r="D9497" s="13"/>
    </row>
    <row r="9498" spans="1:4">
      <c r="A9498" s="13"/>
      <c r="B9498" s="13"/>
      <c r="C9498" s="13"/>
      <c r="D9498" s="13"/>
    </row>
    <row r="9499" spans="1:4">
      <c r="A9499" s="13"/>
      <c r="B9499" s="13"/>
      <c r="C9499" s="13"/>
      <c r="D9499" s="13"/>
    </row>
    <row r="9500" spans="1:4">
      <c r="A9500" s="13"/>
      <c r="B9500" s="13"/>
      <c r="C9500" s="13"/>
      <c r="D9500" s="13"/>
    </row>
    <row r="9501" spans="1:4">
      <c r="A9501" s="13"/>
      <c r="B9501" s="13"/>
      <c r="C9501" s="13"/>
      <c r="D9501" s="13"/>
    </row>
    <row r="9502" spans="1:4">
      <c r="A9502" s="13"/>
      <c r="B9502" s="13"/>
      <c r="C9502" s="13"/>
      <c r="D9502" s="13"/>
    </row>
    <row r="9503" spans="1:4">
      <c r="A9503" s="13"/>
      <c r="B9503" s="13"/>
      <c r="C9503" s="13"/>
      <c r="D9503" s="13"/>
    </row>
    <row r="9504" spans="1:4">
      <c r="A9504" s="13"/>
      <c r="B9504" s="13"/>
      <c r="C9504" s="13"/>
      <c r="D9504" s="13"/>
    </row>
    <row r="9505" spans="1:4">
      <c r="A9505" s="13"/>
      <c r="B9505" s="13"/>
      <c r="C9505" s="13"/>
      <c r="D9505" s="13"/>
    </row>
    <row r="9506" spans="1:4">
      <c r="A9506" s="13"/>
      <c r="B9506" s="13"/>
      <c r="C9506" s="13"/>
      <c r="D9506" s="13"/>
    </row>
    <row r="9507" spans="1:4">
      <c r="A9507" s="13"/>
      <c r="B9507" s="13"/>
      <c r="C9507" s="13"/>
      <c r="D9507" s="13"/>
    </row>
    <row r="9508" spans="1:4">
      <c r="A9508" s="13"/>
      <c r="B9508" s="13"/>
      <c r="C9508" s="13"/>
      <c r="D9508" s="13"/>
    </row>
    <row r="9509" spans="1:4">
      <c r="A9509" s="13"/>
      <c r="B9509" s="13"/>
      <c r="C9509" s="13"/>
      <c r="D9509" s="13"/>
    </row>
    <row r="9510" spans="1:4">
      <c r="A9510" s="13"/>
      <c r="B9510" s="13"/>
      <c r="C9510" s="13"/>
      <c r="D9510" s="13"/>
    </row>
    <row r="9511" spans="1:4">
      <c r="A9511" s="13"/>
      <c r="B9511" s="13"/>
      <c r="C9511" s="13"/>
      <c r="D9511" s="13"/>
    </row>
    <row r="9512" spans="1:4">
      <c r="A9512" s="13"/>
      <c r="B9512" s="13"/>
      <c r="C9512" s="13"/>
      <c r="D9512" s="13"/>
    </row>
    <row r="9513" spans="1:4">
      <c r="A9513" s="13"/>
      <c r="B9513" s="13"/>
      <c r="C9513" s="13"/>
      <c r="D9513" s="13"/>
    </row>
    <row r="9514" spans="1:4">
      <c r="A9514" s="13"/>
      <c r="B9514" s="13"/>
      <c r="C9514" s="13"/>
      <c r="D9514" s="13"/>
    </row>
    <row r="9515" spans="1:4">
      <c r="A9515" s="13"/>
      <c r="B9515" s="13"/>
      <c r="C9515" s="13"/>
      <c r="D9515" s="13"/>
    </row>
    <row r="9516" spans="1:4">
      <c r="A9516" s="13"/>
      <c r="B9516" s="13"/>
      <c r="C9516" s="13"/>
      <c r="D9516" s="13"/>
    </row>
    <row r="9517" spans="1:4">
      <c r="A9517" s="13"/>
      <c r="B9517" s="13"/>
      <c r="C9517" s="13"/>
      <c r="D9517" s="13"/>
    </row>
    <row r="9518" spans="1:4">
      <c r="A9518" s="13"/>
      <c r="B9518" s="13"/>
      <c r="C9518" s="13"/>
      <c r="D9518" s="13"/>
    </row>
    <row r="9519" spans="1:4">
      <c r="A9519" s="13"/>
      <c r="B9519" s="13"/>
      <c r="C9519" s="13"/>
      <c r="D9519" s="13"/>
    </row>
    <row r="9520" spans="1:4">
      <c r="A9520" s="13"/>
      <c r="B9520" s="13"/>
      <c r="C9520" s="13"/>
      <c r="D9520" s="13"/>
    </row>
    <row r="9521" spans="1:4">
      <c r="A9521" s="13"/>
      <c r="B9521" s="13"/>
      <c r="C9521" s="13"/>
      <c r="D9521" s="13"/>
    </row>
    <row r="9522" spans="1:4">
      <c r="A9522" s="13"/>
      <c r="B9522" s="13"/>
      <c r="C9522" s="13"/>
      <c r="D9522" s="13"/>
    </row>
    <row r="9523" spans="1:4">
      <c r="A9523" s="13"/>
      <c r="B9523" s="13"/>
      <c r="C9523" s="13"/>
      <c r="D9523" s="13"/>
    </row>
    <row r="9524" spans="1:4">
      <c r="A9524" s="13"/>
      <c r="B9524" s="13"/>
      <c r="C9524" s="13"/>
      <c r="D9524" s="13"/>
    </row>
    <row r="9525" spans="1:4">
      <c r="A9525" s="13"/>
      <c r="B9525" s="13"/>
      <c r="C9525" s="13"/>
      <c r="D9525" s="13"/>
    </row>
    <row r="9526" spans="1:4">
      <c r="A9526" s="13"/>
      <c r="B9526" s="13"/>
      <c r="C9526" s="13"/>
      <c r="D9526" s="13"/>
    </row>
    <row r="9527" spans="1:4">
      <c r="A9527" s="13"/>
      <c r="B9527" s="13"/>
      <c r="C9527" s="13"/>
      <c r="D9527" s="13"/>
    </row>
    <row r="9528" spans="1:4">
      <c r="A9528" s="13"/>
      <c r="B9528" s="13"/>
      <c r="C9528" s="13"/>
      <c r="D9528" s="13"/>
    </row>
    <row r="9529" spans="1:4">
      <c r="A9529" s="13"/>
      <c r="B9529" s="13"/>
      <c r="C9529" s="13"/>
      <c r="D9529" s="13"/>
    </row>
    <row r="9530" spans="1:4">
      <c r="A9530" s="13"/>
      <c r="B9530" s="13"/>
      <c r="C9530" s="13"/>
      <c r="D9530" s="13"/>
    </row>
    <row r="9531" spans="1:4">
      <c r="A9531" s="13"/>
      <c r="B9531" s="13"/>
      <c r="C9531" s="13"/>
      <c r="D9531" s="13"/>
    </row>
    <row r="9532" spans="1:4">
      <c r="A9532" s="13"/>
      <c r="B9532" s="13"/>
      <c r="C9532" s="13"/>
      <c r="D9532" s="13"/>
    </row>
    <row r="9533" spans="1:4">
      <c r="A9533" s="13"/>
      <c r="B9533" s="13"/>
      <c r="C9533" s="13"/>
      <c r="D9533" s="13"/>
    </row>
    <row r="9534" spans="1:4">
      <c r="A9534" s="13"/>
      <c r="B9534" s="13"/>
      <c r="C9534" s="13"/>
      <c r="D9534" s="13"/>
    </row>
    <row r="9535" spans="1:4">
      <c r="A9535" s="13"/>
      <c r="B9535" s="13"/>
      <c r="C9535" s="13"/>
      <c r="D9535" s="13"/>
    </row>
    <row r="9536" spans="1:4">
      <c r="A9536" s="13"/>
      <c r="B9536" s="13"/>
      <c r="C9536" s="13"/>
      <c r="D9536" s="13"/>
    </row>
    <row r="9537" spans="1:4">
      <c r="A9537" s="13"/>
      <c r="B9537" s="13"/>
      <c r="C9537" s="13"/>
      <c r="D9537" s="13"/>
    </row>
    <row r="9538" spans="1:4">
      <c r="A9538" s="13"/>
      <c r="B9538" s="13"/>
      <c r="C9538" s="13"/>
      <c r="D9538" s="13"/>
    </row>
    <row r="9539" spans="1:4">
      <c r="A9539" s="13"/>
      <c r="B9539" s="13"/>
      <c r="C9539" s="13"/>
      <c r="D9539" s="13"/>
    </row>
    <row r="9540" spans="1:4">
      <c r="A9540" s="13"/>
      <c r="B9540" s="13"/>
      <c r="C9540" s="13"/>
      <c r="D9540" s="13"/>
    </row>
    <row r="9541" spans="1:4">
      <c r="A9541" s="13"/>
      <c r="B9541" s="13"/>
      <c r="C9541" s="13"/>
      <c r="D9541" s="13"/>
    </row>
    <row r="9542" spans="1:4">
      <c r="A9542" s="13"/>
      <c r="B9542" s="13"/>
      <c r="C9542" s="13"/>
      <c r="D9542" s="13"/>
    </row>
    <row r="9543" spans="1:4">
      <c r="A9543" s="13"/>
      <c r="B9543" s="13"/>
      <c r="C9543" s="13"/>
      <c r="D9543" s="13"/>
    </row>
    <row r="9544" spans="1:4">
      <c r="A9544" s="13"/>
      <c r="B9544" s="13"/>
      <c r="C9544" s="13"/>
      <c r="D9544" s="13"/>
    </row>
    <row r="9545" spans="1:4">
      <c r="A9545" s="13"/>
      <c r="B9545" s="13"/>
      <c r="C9545" s="13"/>
      <c r="D9545" s="13"/>
    </row>
    <row r="9546" spans="1:4">
      <c r="A9546" s="13"/>
      <c r="B9546" s="13"/>
      <c r="C9546" s="13"/>
      <c r="D9546" s="13"/>
    </row>
    <row r="9547" spans="1:4">
      <c r="A9547" s="13"/>
      <c r="B9547" s="13"/>
      <c r="C9547" s="13"/>
      <c r="D9547" s="13"/>
    </row>
    <row r="9548" spans="1:4">
      <c r="A9548" s="13"/>
      <c r="B9548" s="13"/>
      <c r="C9548" s="13"/>
      <c r="D9548" s="13"/>
    </row>
    <row r="9549" spans="1:4">
      <c r="A9549" s="13"/>
      <c r="B9549" s="13"/>
      <c r="C9549" s="13"/>
      <c r="D9549" s="13"/>
    </row>
    <row r="9550" spans="1:4">
      <c r="A9550" s="13"/>
      <c r="B9550" s="13"/>
      <c r="C9550" s="13"/>
      <c r="D9550" s="13"/>
    </row>
    <row r="9551" spans="1:4">
      <c r="A9551" s="13"/>
      <c r="B9551" s="13"/>
      <c r="C9551" s="13"/>
      <c r="D9551" s="13"/>
    </row>
    <row r="9552" spans="1:4">
      <c r="A9552" s="13"/>
      <c r="B9552" s="13"/>
      <c r="C9552" s="13"/>
      <c r="D9552" s="13"/>
    </row>
    <row r="9553" spans="1:4">
      <c r="A9553" s="13"/>
      <c r="B9553" s="13"/>
      <c r="C9553" s="13"/>
      <c r="D9553" s="13"/>
    </row>
    <row r="9554" spans="1:4">
      <c r="A9554" s="13"/>
      <c r="B9554" s="13"/>
      <c r="C9554" s="13"/>
      <c r="D9554" s="13"/>
    </row>
    <row r="9555" spans="1:4">
      <c r="A9555" s="13"/>
      <c r="B9555" s="13"/>
      <c r="C9555" s="13"/>
      <c r="D9555" s="13"/>
    </row>
    <row r="9556" spans="1:4">
      <c r="A9556" s="13"/>
      <c r="B9556" s="13"/>
      <c r="C9556" s="13"/>
      <c r="D9556" s="13"/>
    </row>
    <row r="9557" spans="1:4">
      <c r="A9557" s="13"/>
      <c r="B9557" s="13"/>
      <c r="C9557" s="13"/>
      <c r="D9557" s="13"/>
    </row>
    <row r="9558" spans="1:4">
      <c r="A9558" s="13"/>
      <c r="B9558" s="13"/>
      <c r="C9558" s="13"/>
      <c r="D9558" s="13"/>
    </row>
    <row r="9559" spans="1:4">
      <c r="A9559" s="13"/>
      <c r="B9559" s="13"/>
      <c r="C9559" s="13"/>
      <c r="D9559" s="13"/>
    </row>
    <row r="9560" spans="1:4">
      <c r="A9560" s="13"/>
      <c r="B9560" s="13"/>
      <c r="C9560" s="13"/>
      <c r="D9560" s="13"/>
    </row>
    <row r="9561" spans="1:4">
      <c r="A9561" s="13"/>
      <c r="B9561" s="13"/>
      <c r="C9561" s="13"/>
      <c r="D9561" s="13"/>
    </row>
    <row r="9562" spans="1:4">
      <c r="A9562" s="13"/>
      <c r="B9562" s="13"/>
      <c r="C9562" s="13"/>
      <c r="D9562" s="13"/>
    </row>
    <row r="9563" spans="1:4">
      <c r="A9563" s="13"/>
      <c r="B9563" s="13"/>
      <c r="C9563" s="13"/>
      <c r="D9563" s="13"/>
    </row>
    <row r="9564" spans="1:4">
      <c r="A9564" s="13"/>
      <c r="B9564" s="13"/>
      <c r="C9564" s="13"/>
      <c r="D9564" s="13"/>
    </row>
    <row r="9565" spans="1:4">
      <c r="A9565" s="13"/>
      <c r="B9565" s="13"/>
      <c r="C9565" s="13"/>
      <c r="D9565" s="13"/>
    </row>
    <row r="9566" spans="1:4">
      <c r="A9566" s="13"/>
      <c r="B9566" s="13"/>
      <c r="C9566" s="13"/>
      <c r="D9566" s="13"/>
    </row>
    <row r="9567" spans="1:4">
      <c r="A9567" s="13"/>
      <c r="B9567" s="13"/>
      <c r="C9567" s="13"/>
      <c r="D9567" s="13"/>
    </row>
    <row r="9568" spans="1:4">
      <c r="A9568" s="13"/>
      <c r="B9568" s="13"/>
      <c r="C9568" s="13"/>
      <c r="D9568" s="13"/>
    </row>
    <row r="9569" spans="1:4">
      <c r="A9569" s="13"/>
      <c r="B9569" s="13"/>
      <c r="C9569" s="13"/>
      <c r="D9569" s="13"/>
    </row>
    <row r="9570" spans="1:4">
      <c r="A9570" s="13"/>
      <c r="B9570" s="13"/>
      <c r="C9570" s="13"/>
      <c r="D9570" s="13"/>
    </row>
    <row r="9571" spans="1:4">
      <c r="A9571" s="13"/>
      <c r="B9571" s="13"/>
      <c r="C9571" s="13"/>
      <c r="D9571" s="13"/>
    </row>
    <row r="9572" spans="1:4">
      <c r="A9572" s="13"/>
      <c r="B9572" s="13"/>
      <c r="C9572" s="13"/>
      <c r="D9572" s="13"/>
    </row>
    <row r="9573" spans="1:4">
      <c r="A9573" s="13"/>
      <c r="B9573" s="13"/>
      <c r="C9573" s="13"/>
      <c r="D9573" s="13"/>
    </row>
    <row r="9574" spans="1:4">
      <c r="A9574" s="13"/>
      <c r="B9574" s="13"/>
      <c r="C9574" s="13"/>
      <c r="D9574" s="13"/>
    </row>
    <row r="9575" spans="1:4">
      <c r="A9575" s="13"/>
      <c r="B9575" s="13"/>
      <c r="C9575" s="13"/>
      <c r="D9575" s="13"/>
    </row>
    <row r="9576" spans="1:4">
      <c r="A9576" s="13"/>
      <c r="B9576" s="13"/>
      <c r="C9576" s="13"/>
      <c r="D9576" s="13"/>
    </row>
    <row r="9577" spans="1:4">
      <c r="A9577" s="13"/>
      <c r="B9577" s="13"/>
      <c r="C9577" s="13"/>
      <c r="D9577" s="13"/>
    </row>
    <row r="9578" spans="1:4">
      <c r="A9578" s="13"/>
      <c r="B9578" s="13"/>
      <c r="C9578" s="13"/>
      <c r="D9578" s="13"/>
    </row>
    <row r="9579" spans="1:4">
      <c r="A9579" s="13"/>
      <c r="B9579" s="13"/>
      <c r="C9579" s="13"/>
      <c r="D9579" s="13"/>
    </row>
    <row r="9580" spans="1:4">
      <c r="A9580" s="13"/>
      <c r="B9580" s="13"/>
      <c r="C9580" s="13"/>
      <c r="D9580" s="13"/>
    </row>
    <row r="9581" spans="1:4">
      <c r="A9581" s="13"/>
      <c r="B9581" s="13"/>
      <c r="C9581" s="13"/>
      <c r="D9581" s="13"/>
    </row>
    <row r="9582" spans="1:4">
      <c r="A9582" s="13"/>
      <c r="B9582" s="13"/>
      <c r="C9582" s="13"/>
      <c r="D9582" s="13"/>
    </row>
    <row r="9583" spans="1:4">
      <c r="A9583" s="13"/>
      <c r="B9583" s="13"/>
      <c r="C9583" s="13"/>
      <c r="D9583" s="13"/>
    </row>
    <row r="9584" spans="1:4">
      <c r="A9584" s="13"/>
      <c r="B9584" s="13"/>
      <c r="C9584" s="13"/>
      <c r="D9584" s="13"/>
    </row>
    <row r="9585" spans="1:4">
      <c r="A9585" s="13"/>
      <c r="B9585" s="13"/>
      <c r="C9585" s="13"/>
      <c r="D9585" s="13"/>
    </row>
    <row r="9586" spans="1:4">
      <c r="A9586" s="13"/>
      <c r="B9586" s="13"/>
      <c r="C9586" s="13"/>
      <c r="D9586" s="13"/>
    </row>
    <row r="9587" spans="1:4">
      <c r="A9587" s="13"/>
      <c r="B9587" s="13"/>
      <c r="C9587" s="13"/>
      <c r="D9587" s="13"/>
    </row>
    <row r="9588" spans="1:4">
      <c r="A9588" s="13"/>
      <c r="B9588" s="13"/>
      <c r="C9588" s="13"/>
      <c r="D9588" s="13"/>
    </row>
    <row r="9589" spans="1:4">
      <c r="A9589" s="13"/>
      <c r="B9589" s="13"/>
      <c r="C9589" s="13"/>
      <c r="D9589" s="13"/>
    </row>
    <row r="9590" spans="1:4">
      <c r="A9590" s="13"/>
      <c r="B9590" s="13"/>
      <c r="C9590" s="13"/>
      <c r="D9590" s="13"/>
    </row>
    <row r="9591" spans="1:4">
      <c r="A9591" s="13"/>
      <c r="B9591" s="13"/>
      <c r="C9591" s="13"/>
      <c r="D9591" s="13"/>
    </row>
    <row r="9592" spans="1:4">
      <c r="A9592" s="13"/>
      <c r="B9592" s="13"/>
      <c r="C9592" s="13"/>
      <c r="D9592" s="13"/>
    </row>
    <row r="9593" spans="1:4">
      <c r="A9593" s="13"/>
      <c r="B9593" s="13"/>
      <c r="C9593" s="13"/>
      <c r="D9593" s="13"/>
    </row>
    <row r="9594" spans="1:4">
      <c r="A9594" s="13"/>
      <c r="B9594" s="13"/>
      <c r="C9594" s="13"/>
      <c r="D9594" s="13"/>
    </row>
    <row r="9595" spans="1:4">
      <c r="A9595" s="13"/>
      <c r="B9595" s="13"/>
      <c r="C9595" s="13"/>
      <c r="D9595" s="13"/>
    </row>
    <row r="9596" spans="1:4">
      <c r="A9596" s="13"/>
      <c r="B9596" s="13"/>
      <c r="C9596" s="13"/>
      <c r="D9596" s="13"/>
    </row>
    <row r="9597" spans="1:4">
      <c r="A9597" s="13"/>
      <c r="B9597" s="13"/>
      <c r="C9597" s="13"/>
      <c r="D9597" s="13"/>
    </row>
    <row r="9598" spans="1:4">
      <c r="A9598" s="13"/>
      <c r="B9598" s="13"/>
      <c r="C9598" s="13"/>
      <c r="D9598" s="13"/>
    </row>
    <row r="9599" spans="1:4">
      <c r="A9599" s="13"/>
      <c r="B9599" s="13"/>
      <c r="C9599" s="13"/>
      <c r="D9599" s="13"/>
    </row>
    <row r="9600" spans="1:4">
      <c r="A9600" s="13"/>
      <c r="B9600" s="13"/>
      <c r="C9600" s="13"/>
      <c r="D9600" s="13"/>
    </row>
    <row r="9601" spans="1:4">
      <c r="A9601" s="13"/>
      <c r="B9601" s="13"/>
      <c r="C9601" s="13"/>
      <c r="D9601" s="13"/>
    </row>
    <row r="9602" spans="1:4">
      <c r="A9602" s="13"/>
      <c r="B9602" s="13"/>
      <c r="C9602" s="13"/>
      <c r="D9602" s="13"/>
    </row>
    <row r="9603" spans="1:4">
      <c r="A9603" s="13"/>
      <c r="B9603" s="13"/>
      <c r="C9603" s="13"/>
      <c r="D9603" s="13"/>
    </row>
    <row r="9604" spans="1:4">
      <c r="A9604" s="13"/>
      <c r="B9604" s="13"/>
      <c r="C9604" s="13"/>
      <c r="D9604" s="13"/>
    </row>
    <row r="9605" spans="1:4">
      <c r="A9605" s="13"/>
      <c r="B9605" s="13"/>
      <c r="C9605" s="13"/>
      <c r="D9605" s="13"/>
    </row>
    <row r="9606" spans="1:4">
      <c r="A9606" s="13"/>
      <c r="B9606" s="13"/>
      <c r="C9606" s="13"/>
      <c r="D9606" s="13"/>
    </row>
    <row r="9607" spans="1:4">
      <c r="A9607" s="13"/>
      <c r="B9607" s="13"/>
      <c r="C9607" s="13"/>
      <c r="D9607" s="13"/>
    </row>
    <row r="9608" spans="1:4">
      <c r="A9608" s="13"/>
      <c r="B9608" s="13"/>
      <c r="C9608" s="13"/>
      <c r="D9608" s="13"/>
    </row>
    <row r="9609" spans="1:4">
      <c r="A9609" s="13"/>
      <c r="B9609" s="13"/>
      <c r="C9609" s="13"/>
      <c r="D9609" s="13"/>
    </row>
    <row r="9610" spans="1:4">
      <c r="A9610" s="13"/>
      <c r="B9610" s="13"/>
      <c r="C9610" s="13"/>
      <c r="D9610" s="13"/>
    </row>
    <row r="9611" spans="1:4">
      <c r="A9611" s="13"/>
      <c r="B9611" s="13"/>
      <c r="C9611" s="13"/>
      <c r="D9611" s="13"/>
    </row>
    <row r="9612" spans="1:4">
      <c r="A9612" s="13"/>
      <c r="B9612" s="13"/>
      <c r="C9612" s="13"/>
      <c r="D9612" s="13"/>
    </row>
    <row r="9613" spans="1:4">
      <c r="A9613" s="13"/>
      <c r="B9613" s="13"/>
      <c r="C9613" s="13"/>
      <c r="D9613" s="13"/>
    </row>
    <row r="9614" spans="1:4">
      <c r="A9614" s="13"/>
      <c r="B9614" s="13"/>
      <c r="C9614" s="13"/>
      <c r="D9614" s="13"/>
    </row>
    <row r="9615" spans="1:4">
      <c r="A9615" s="13"/>
      <c r="B9615" s="13"/>
      <c r="C9615" s="13"/>
      <c r="D9615" s="13"/>
    </row>
    <row r="9616" spans="1:4">
      <c r="A9616" s="13"/>
      <c r="B9616" s="13"/>
      <c r="C9616" s="13"/>
      <c r="D9616" s="13"/>
    </row>
    <row r="9617" spans="1:4">
      <c r="A9617" s="13"/>
      <c r="B9617" s="13"/>
      <c r="C9617" s="13"/>
      <c r="D9617" s="13"/>
    </row>
    <row r="9618" spans="1:4">
      <c r="A9618" s="13"/>
      <c r="B9618" s="13"/>
      <c r="C9618" s="13"/>
      <c r="D9618" s="13"/>
    </row>
    <row r="9619" spans="1:4">
      <c r="A9619" s="13"/>
      <c r="B9619" s="13"/>
      <c r="C9619" s="13"/>
      <c r="D9619" s="13"/>
    </row>
    <row r="9620" spans="1:4">
      <c r="A9620" s="13"/>
      <c r="B9620" s="13"/>
      <c r="C9620" s="13"/>
      <c r="D9620" s="13"/>
    </row>
    <row r="9621" spans="1:4">
      <c r="A9621" s="13"/>
      <c r="B9621" s="13"/>
      <c r="C9621" s="13"/>
      <c r="D9621" s="13"/>
    </row>
    <row r="9622" spans="1:4">
      <c r="A9622" s="13"/>
      <c r="B9622" s="13"/>
      <c r="C9622" s="13"/>
      <c r="D9622" s="13"/>
    </row>
    <row r="9623" spans="1:4">
      <c r="A9623" s="13"/>
      <c r="B9623" s="13"/>
      <c r="C9623" s="13"/>
      <c r="D9623" s="13"/>
    </row>
    <row r="9624" spans="1:4">
      <c r="A9624" s="13"/>
      <c r="B9624" s="13"/>
      <c r="C9624" s="13"/>
      <c r="D9624" s="13"/>
    </row>
    <row r="9625" spans="1:4">
      <c r="A9625" s="13"/>
      <c r="B9625" s="13"/>
      <c r="C9625" s="13"/>
      <c r="D9625" s="13"/>
    </row>
    <row r="9626" spans="1:4">
      <c r="A9626" s="13"/>
      <c r="B9626" s="13"/>
      <c r="C9626" s="13"/>
      <c r="D9626" s="13"/>
    </row>
    <row r="9627" spans="1:4">
      <c r="A9627" s="13"/>
      <c r="B9627" s="13"/>
      <c r="C9627" s="13"/>
      <c r="D9627" s="13"/>
    </row>
    <row r="9628" spans="1:4">
      <c r="A9628" s="13"/>
      <c r="B9628" s="13"/>
      <c r="C9628" s="13"/>
      <c r="D9628" s="13"/>
    </row>
    <row r="9629" spans="1:4">
      <c r="A9629" s="13"/>
      <c r="B9629" s="13"/>
      <c r="C9629" s="13"/>
      <c r="D9629" s="13"/>
    </row>
    <row r="9630" spans="1:4">
      <c r="A9630" s="13"/>
      <c r="B9630" s="13"/>
      <c r="C9630" s="13"/>
      <c r="D9630" s="13"/>
    </row>
    <row r="9631" spans="1:4">
      <c r="A9631" s="13"/>
      <c r="B9631" s="13"/>
      <c r="C9631" s="13"/>
      <c r="D9631" s="13"/>
    </row>
    <row r="9632" spans="1:4">
      <c r="A9632" s="13"/>
      <c r="B9632" s="13"/>
      <c r="C9632" s="13"/>
      <c r="D9632" s="13"/>
    </row>
    <row r="9633" spans="1:4">
      <c r="A9633" s="13"/>
      <c r="B9633" s="13"/>
      <c r="C9633" s="13"/>
      <c r="D9633" s="13"/>
    </row>
    <row r="9634" spans="1:4">
      <c r="A9634" s="13"/>
      <c r="B9634" s="13"/>
      <c r="C9634" s="13"/>
      <c r="D9634" s="13"/>
    </row>
    <row r="9635" spans="1:4">
      <c r="A9635" s="13"/>
      <c r="B9635" s="13"/>
      <c r="C9635" s="13"/>
      <c r="D9635" s="13"/>
    </row>
    <row r="9636" spans="1:4">
      <c r="A9636" s="13"/>
      <c r="B9636" s="13"/>
      <c r="C9636" s="13"/>
      <c r="D9636" s="13"/>
    </row>
    <row r="9637" spans="1:4">
      <c r="A9637" s="13"/>
      <c r="B9637" s="13"/>
      <c r="C9637" s="13"/>
      <c r="D9637" s="13"/>
    </row>
    <row r="9638" spans="1:4">
      <c r="A9638" s="13"/>
      <c r="B9638" s="13"/>
      <c r="C9638" s="13"/>
      <c r="D9638" s="13"/>
    </row>
    <row r="9639" spans="1:4">
      <c r="A9639" s="13"/>
      <c r="B9639" s="13"/>
      <c r="C9639" s="13"/>
      <c r="D9639" s="13"/>
    </row>
    <row r="9640" spans="1:4">
      <c r="A9640" s="13"/>
      <c r="B9640" s="13"/>
      <c r="C9640" s="13"/>
      <c r="D9640" s="13"/>
    </row>
    <row r="9641" spans="1:4">
      <c r="A9641" s="13"/>
      <c r="B9641" s="13"/>
      <c r="C9641" s="13"/>
      <c r="D9641" s="13"/>
    </row>
    <row r="9642" spans="1:4">
      <c r="A9642" s="13"/>
      <c r="B9642" s="13"/>
      <c r="C9642" s="13"/>
      <c r="D9642" s="13"/>
    </row>
    <row r="9643" spans="1:4">
      <c r="A9643" s="13"/>
      <c r="B9643" s="13"/>
      <c r="C9643" s="13"/>
      <c r="D9643" s="13"/>
    </row>
    <row r="9644" spans="1:4">
      <c r="A9644" s="13"/>
      <c r="B9644" s="13"/>
      <c r="C9644" s="13"/>
      <c r="D9644" s="13"/>
    </row>
    <row r="9645" spans="1:4">
      <c r="A9645" s="13"/>
      <c r="B9645" s="13"/>
      <c r="C9645" s="13"/>
      <c r="D9645" s="13"/>
    </row>
    <row r="9646" spans="1:4">
      <c r="A9646" s="13"/>
      <c r="B9646" s="13"/>
      <c r="C9646" s="13"/>
      <c r="D9646" s="13"/>
    </row>
    <row r="9647" spans="1:4">
      <c r="A9647" s="13"/>
      <c r="B9647" s="13"/>
      <c r="C9647" s="13"/>
      <c r="D9647" s="13"/>
    </row>
    <row r="9648" spans="1:4">
      <c r="A9648" s="13"/>
      <c r="B9648" s="13"/>
      <c r="C9648" s="13"/>
      <c r="D9648" s="13"/>
    </row>
    <row r="9649" spans="1:4">
      <c r="A9649" s="13"/>
      <c r="B9649" s="13"/>
      <c r="C9649" s="13"/>
      <c r="D9649" s="13"/>
    </row>
    <row r="9650" spans="1:4">
      <c r="A9650" s="13"/>
      <c r="B9650" s="13"/>
      <c r="C9650" s="13"/>
      <c r="D9650" s="13"/>
    </row>
    <row r="9651" spans="1:4">
      <c r="A9651" s="13"/>
      <c r="B9651" s="13"/>
      <c r="C9651" s="13"/>
      <c r="D9651" s="13"/>
    </row>
    <row r="9652" spans="1:4">
      <c r="A9652" s="13"/>
      <c r="B9652" s="13"/>
      <c r="C9652" s="13"/>
      <c r="D9652" s="13"/>
    </row>
    <row r="9653" spans="1:4">
      <c r="A9653" s="13"/>
      <c r="B9653" s="13"/>
      <c r="C9653" s="13"/>
      <c r="D9653" s="13"/>
    </row>
    <row r="9654" spans="1:4">
      <c r="A9654" s="13"/>
      <c r="B9654" s="13"/>
      <c r="C9654" s="13"/>
      <c r="D9654" s="13"/>
    </row>
    <row r="9655" spans="1:4">
      <c r="A9655" s="13"/>
      <c r="B9655" s="13"/>
      <c r="C9655" s="13"/>
      <c r="D9655" s="13"/>
    </row>
    <row r="9656" spans="1:4">
      <c r="A9656" s="13"/>
      <c r="B9656" s="13"/>
      <c r="C9656" s="13"/>
      <c r="D9656" s="13"/>
    </row>
    <row r="9657" spans="1:4">
      <c r="A9657" s="13"/>
      <c r="B9657" s="13"/>
      <c r="C9657" s="13"/>
      <c r="D9657" s="13"/>
    </row>
    <row r="9658" spans="1:4">
      <c r="A9658" s="13"/>
      <c r="B9658" s="13"/>
      <c r="C9658" s="13"/>
      <c r="D9658" s="13"/>
    </row>
    <row r="9659" spans="1:4">
      <c r="A9659" s="13"/>
      <c r="B9659" s="13"/>
      <c r="C9659" s="13"/>
      <c r="D9659" s="13"/>
    </row>
    <row r="9660" spans="1:4">
      <c r="A9660" s="13"/>
      <c r="B9660" s="13"/>
      <c r="C9660" s="13"/>
      <c r="D9660" s="13"/>
    </row>
    <row r="9661" spans="1:4">
      <c r="A9661" s="13"/>
      <c r="B9661" s="13"/>
      <c r="C9661" s="13"/>
      <c r="D9661" s="13"/>
    </row>
    <row r="9662" spans="1:4">
      <c r="A9662" s="13"/>
      <c r="B9662" s="13"/>
      <c r="C9662" s="13"/>
      <c r="D9662" s="13"/>
    </row>
    <row r="9663" spans="1:4">
      <c r="A9663" s="13"/>
      <c r="B9663" s="13"/>
      <c r="C9663" s="13"/>
      <c r="D9663" s="13"/>
    </row>
    <row r="9664" spans="1:4">
      <c r="A9664" s="13"/>
      <c r="B9664" s="13"/>
      <c r="C9664" s="13"/>
      <c r="D9664" s="13"/>
    </row>
    <row r="9665" spans="1:4">
      <c r="A9665" s="13"/>
      <c r="B9665" s="13"/>
      <c r="C9665" s="13"/>
      <c r="D9665" s="13"/>
    </row>
    <row r="9666" spans="1:4">
      <c r="A9666" s="13"/>
      <c r="B9666" s="13"/>
      <c r="C9666" s="13"/>
      <c r="D9666" s="13"/>
    </row>
    <row r="9667" spans="1:4">
      <c r="A9667" s="13"/>
      <c r="B9667" s="13"/>
      <c r="C9667" s="13"/>
      <c r="D9667" s="13"/>
    </row>
    <row r="9668" spans="1:4">
      <c r="A9668" s="13"/>
      <c r="B9668" s="13"/>
      <c r="C9668" s="13"/>
      <c r="D9668" s="13"/>
    </row>
    <row r="9669" spans="1:4">
      <c r="A9669" s="13"/>
      <c r="B9669" s="13"/>
      <c r="C9669" s="13"/>
      <c r="D9669" s="13"/>
    </row>
    <row r="9670" spans="1:4">
      <c r="A9670" s="13"/>
      <c r="B9670" s="13"/>
      <c r="C9670" s="13"/>
      <c r="D9670" s="13"/>
    </row>
    <row r="9671" spans="1:4">
      <c r="A9671" s="13"/>
      <c r="B9671" s="13"/>
      <c r="C9671" s="13"/>
      <c r="D9671" s="13"/>
    </row>
    <row r="9672" spans="1:4">
      <c r="A9672" s="13"/>
      <c r="B9672" s="13"/>
      <c r="C9672" s="13"/>
      <c r="D9672" s="13"/>
    </row>
    <row r="9673" spans="1:4">
      <c r="A9673" s="13"/>
      <c r="B9673" s="13"/>
      <c r="C9673" s="13"/>
      <c r="D9673" s="13"/>
    </row>
    <row r="9674" spans="1:4">
      <c r="A9674" s="13"/>
      <c r="B9674" s="13"/>
      <c r="C9674" s="13"/>
      <c r="D9674" s="13"/>
    </row>
    <row r="9675" spans="1:4">
      <c r="A9675" s="13"/>
      <c r="B9675" s="13"/>
      <c r="C9675" s="13"/>
      <c r="D9675" s="13"/>
    </row>
    <row r="9676" spans="1:4">
      <c r="A9676" s="13"/>
      <c r="B9676" s="13"/>
      <c r="C9676" s="13"/>
      <c r="D9676" s="13"/>
    </row>
    <row r="9677" spans="1:4">
      <c r="A9677" s="13"/>
      <c r="B9677" s="13"/>
      <c r="C9677" s="13"/>
      <c r="D9677" s="13"/>
    </row>
    <row r="9678" spans="1:4">
      <c r="A9678" s="13"/>
      <c r="B9678" s="13"/>
      <c r="C9678" s="13"/>
      <c r="D9678" s="13"/>
    </row>
    <row r="9679" spans="1:4">
      <c r="A9679" s="13"/>
      <c r="B9679" s="13"/>
      <c r="C9679" s="13"/>
      <c r="D9679" s="13"/>
    </row>
    <row r="9680" spans="1:4">
      <c r="A9680" s="13"/>
      <c r="B9680" s="13"/>
      <c r="C9680" s="13"/>
      <c r="D9680" s="13"/>
    </row>
    <row r="9681" spans="1:4">
      <c r="A9681" s="13"/>
      <c r="B9681" s="13"/>
      <c r="C9681" s="13"/>
      <c r="D9681" s="13"/>
    </row>
    <row r="9682" spans="1:4">
      <c r="A9682" s="13"/>
      <c r="B9682" s="13"/>
      <c r="C9682" s="13"/>
      <c r="D9682" s="13"/>
    </row>
    <row r="9683" spans="1:4">
      <c r="A9683" s="13"/>
      <c r="B9683" s="13"/>
      <c r="C9683" s="13"/>
      <c r="D9683" s="13"/>
    </row>
    <row r="9684" spans="1:4">
      <c r="A9684" s="13"/>
      <c r="B9684" s="13"/>
      <c r="C9684" s="13"/>
      <c r="D9684" s="13"/>
    </row>
    <row r="9685" spans="1:4">
      <c r="A9685" s="13"/>
      <c r="B9685" s="13"/>
      <c r="C9685" s="13"/>
      <c r="D9685" s="13"/>
    </row>
    <row r="9686" spans="1:4">
      <c r="A9686" s="13"/>
      <c r="B9686" s="13"/>
      <c r="C9686" s="13"/>
      <c r="D9686" s="13"/>
    </row>
    <row r="9687" spans="1:4">
      <c r="A9687" s="13"/>
      <c r="B9687" s="13"/>
      <c r="C9687" s="13"/>
      <c r="D9687" s="13"/>
    </row>
    <row r="9688" spans="1:4">
      <c r="A9688" s="13"/>
      <c r="B9688" s="13"/>
      <c r="C9688" s="13"/>
      <c r="D9688" s="13"/>
    </row>
    <row r="9689" spans="1:4">
      <c r="A9689" s="13"/>
      <c r="B9689" s="13"/>
      <c r="C9689" s="13"/>
      <c r="D9689" s="13"/>
    </row>
    <row r="9690" spans="1:4">
      <c r="A9690" s="13"/>
      <c r="B9690" s="13"/>
      <c r="C9690" s="13"/>
      <c r="D9690" s="13"/>
    </row>
    <row r="9691" spans="1:4">
      <c r="A9691" s="13"/>
      <c r="B9691" s="13"/>
      <c r="C9691" s="13"/>
      <c r="D9691" s="13"/>
    </row>
    <row r="9692" spans="1:4">
      <c r="A9692" s="13"/>
      <c r="B9692" s="13"/>
      <c r="C9692" s="13"/>
      <c r="D9692" s="13"/>
    </row>
    <row r="9693" spans="1:4">
      <c r="A9693" s="13"/>
      <c r="B9693" s="13"/>
      <c r="C9693" s="13"/>
      <c r="D9693" s="13"/>
    </row>
    <row r="9694" spans="1:4">
      <c r="A9694" s="13"/>
      <c r="B9694" s="13"/>
      <c r="C9694" s="13"/>
      <c r="D9694" s="13"/>
    </row>
    <row r="9695" spans="1:4">
      <c r="A9695" s="13"/>
      <c r="B9695" s="13"/>
      <c r="C9695" s="13"/>
      <c r="D9695" s="13"/>
    </row>
    <row r="9696" spans="1:4">
      <c r="A9696" s="13"/>
      <c r="B9696" s="13"/>
      <c r="C9696" s="13"/>
      <c r="D9696" s="13"/>
    </row>
    <row r="9697" spans="1:4">
      <c r="A9697" s="13"/>
      <c r="B9697" s="13"/>
      <c r="C9697" s="13"/>
      <c r="D9697" s="13"/>
    </row>
    <row r="9698" spans="1:4">
      <c r="A9698" s="13"/>
      <c r="B9698" s="13"/>
      <c r="C9698" s="13"/>
      <c r="D9698" s="13"/>
    </row>
    <row r="9699" spans="1:4">
      <c r="A9699" s="13"/>
      <c r="B9699" s="13"/>
      <c r="C9699" s="13"/>
      <c r="D9699" s="13"/>
    </row>
    <row r="9700" spans="1:4">
      <c r="A9700" s="13"/>
      <c r="B9700" s="13"/>
      <c r="C9700" s="13"/>
      <c r="D9700" s="13"/>
    </row>
    <row r="9701" spans="1:4">
      <c r="A9701" s="13"/>
      <c r="B9701" s="13"/>
      <c r="C9701" s="13"/>
      <c r="D9701" s="13"/>
    </row>
    <row r="9702" spans="1:4">
      <c r="A9702" s="13"/>
      <c r="B9702" s="13"/>
      <c r="C9702" s="13"/>
      <c r="D9702" s="13"/>
    </row>
    <row r="9703" spans="1:4">
      <c r="A9703" s="13"/>
      <c r="B9703" s="13"/>
      <c r="C9703" s="13"/>
      <c r="D9703" s="13"/>
    </row>
    <row r="9704" spans="1:4">
      <c r="A9704" s="13"/>
      <c r="B9704" s="13"/>
      <c r="C9704" s="13"/>
      <c r="D9704" s="13"/>
    </row>
    <row r="9705" spans="1:4">
      <c r="A9705" s="13"/>
      <c r="B9705" s="13"/>
      <c r="C9705" s="13"/>
      <c r="D9705" s="13"/>
    </row>
    <row r="9706" spans="1:4">
      <c r="A9706" s="13"/>
      <c r="B9706" s="13"/>
      <c r="C9706" s="13"/>
      <c r="D9706" s="13"/>
    </row>
    <row r="9707" spans="1:4">
      <c r="A9707" s="13"/>
      <c r="B9707" s="13"/>
      <c r="C9707" s="13"/>
      <c r="D9707" s="13"/>
    </row>
    <row r="9708" spans="1:4">
      <c r="A9708" s="13"/>
      <c r="B9708" s="13"/>
      <c r="C9708" s="13"/>
      <c r="D9708" s="13"/>
    </row>
    <row r="9709" spans="1:4">
      <c r="A9709" s="13"/>
      <c r="B9709" s="13"/>
      <c r="C9709" s="13"/>
      <c r="D9709" s="13"/>
    </row>
    <row r="9710" spans="1:4">
      <c r="A9710" s="13"/>
      <c r="B9710" s="13"/>
      <c r="C9710" s="13"/>
      <c r="D9710" s="13"/>
    </row>
    <row r="9711" spans="1:4">
      <c r="A9711" s="13"/>
      <c r="B9711" s="13"/>
      <c r="C9711" s="13"/>
      <c r="D9711" s="13"/>
    </row>
    <row r="9712" spans="1:4">
      <c r="A9712" s="13"/>
      <c r="B9712" s="13"/>
      <c r="C9712" s="13"/>
      <c r="D9712" s="13"/>
    </row>
    <row r="9713" spans="1:4">
      <c r="A9713" s="13"/>
      <c r="B9713" s="13"/>
      <c r="C9713" s="13"/>
      <c r="D9713" s="13"/>
    </row>
    <row r="9714" spans="1:4">
      <c r="A9714" s="13"/>
      <c r="B9714" s="13"/>
      <c r="C9714" s="13"/>
      <c r="D9714" s="13"/>
    </row>
    <row r="9715" spans="1:4">
      <c r="A9715" s="13"/>
      <c r="B9715" s="13"/>
      <c r="C9715" s="13"/>
      <c r="D9715" s="13"/>
    </row>
    <row r="9716" spans="1:4">
      <c r="A9716" s="13"/>
      <c r="B9716" s="13"/>
      <c r="C9716" s="13"/>
      <c r="D9716" s="13"/>
    </row>
    <row r="9717" spans="1:4">
      <c r="A9717" s="13"/>
      <c r="B9717" s="13"/>
      <c r="C9717" s="13"/>
      <c r="D9717" s="13"/>
    </row>
    <row r="9718" spans="1:4">
      <c r="A9718" s="13"/>
      <c r="B9718" s="13"/>
      <c r="C9718" s="13"/>
      <c r="D9718" s="13"/>
    </row>
    <row r="9719" spans="1:4">
      <c r="A9719" s="13"/>
      <c r="B9719" s="13"/>
      <c r="C9719" s="13"/>
      <c r="D9719" s="13"/>
    </row>
    <row r="9720" spans="1:4">
      <c r="A9720" s="13"/>
      <c r="B9720" s="13"/>
      <c r="C9720" s="13"/>
      <c r="D9720" s="13"/>
    </row>
    <row r="9721" spans="1:4">
      <c r="A9721" s="13"/>
      <c r="B9721" s="13"/>
      <c r="C9721" s="13"/>
      <c r="D9721" s="13"/>
    </row>
    <row r="9722" spans="1:4">
      <c r="A9722" s="13"/>
      <c r="B9722" s="13"/>
      <c r="C9722" s="13"/>
      <c r="D9722" s="13"/>
    </row>
    <row r="9723" spans="1:4">
      <c r="A9723" s="13"/>
      <c r="B9723" s="13"/>
      <c r="C9723" s="13"/>
      <c r="D9723" s="13"/>
    </row>
    <row r="9724" spans="1:4">
      <c r="A9724" s="13"/>
      <c r="B9724" s="13"/>
      <c r="C9724" s="13"/>
      <c r="D9724" s="13"/>
    </row>
    <row r="9725" spans="1:4">
      <c r="A9725" s="13"/>
      <c r="B9725" s="13"/>
      <c r="C9725" s="13"/>
      <c r="D9725" s="13"/>
    </row>
    <row r="9726" spans="1:4">
      <c r="A9726" s="13"/>
      <c r="B9726" s="13"/>
      <c r="C9726" s="13"/>
      <c r="D9726" s="13"/>
    </row>
    <row r="9727" spans="1:4">
      <c r="A9727" s="13"/>
      <c r="B9727" s="13"/>
      <c r="C9727" s="13"/>
      <c r="D9727" s="13"/>
    </row>
    <row r="9728" spans="1:4">
      <c r="A9728" s="13"/>
      <c r="B9728" s="13"/>
      <c r="C9728" s="13"/>
      <c r="D9728" s="13"/>
    </row>
    <row r="9729" spans="1:4">
      <c r="A9729" s="13"/>
      <c r="B9729" s="13"/>
      <c r="C9729" s="13"/>
      <c r="D9729" s="13"/>
    </row>
    <row r="9730" spans="1:4">
      <c r="A9730" s="13"/>
      <c r="B9730" s="13"/>
      <c r="C9730" s="13"/>
      <c r="D9730" s="13"/>
    </row>
    <row r="9731" spans="1:4">
      <c r="A9731" s="13"/>
      <c r="B9731" s="13"/>
      <c r="C9731" s="13"/>
      <c r="D9731" s="13"/>
    </row>
    <row r="9732" spans="1:4">
      <c r="A9732" s="13"/>
      <c r="B9732" s="13"/>
      <c r="C9732" s="13"/>
      <c r="D9732" s="13"/>
    </row>
    <row r="9733" spans="1:4">
      <c r="A9733" s="13"/>
      <c r="B9733" s="13"/>
      <c r="C9733" s="13"/>
      <c r="D9733" s="13"/>
    </row>
    <row r="9734" spans="1:4">
      <c r="A9734" s="13"/>
      <c r="B9734" s="13"/>
      <c r="C9734" s="13"/>
      <c r="D9734" s="13"/>
    </row>
    <row r="9735" spans="1:4">
      <c r="A9735" s="13"/>
      <c r="B9735" s="13"/>
      <c r="C9735" s="13"/>
      <c r="D9735" s="13"/>
    </row>
    <row r="9736" spans="1:4">
      <c r="A9736" s="13"/>
      <c r="B9736" s="13"/>
      <c r="C9736" s="13"/>
      <c r="D9736" s="13"/>
    </row>
    <row r="9737" spans="1:4">
      <c r="A9737" s="13"/>
      <c r="B9737" s="13"/>
      <c r="C9737" s="13"/>
      <c r="D9737" s="13"/>
    </row>
    <row r="9738" spans="1:4">
      <c r="A9738" s="13"/>
      <c r="B9738" s="13"/>
      <c r="C9738" s="13"/>
      <c r="D9738" s="13"/>
    </row>
    <row r="9739" spans="1:4">
      <c r="A9739" s="13"/>
      <c r="B9739" s="13"/>
      <c r="C9739" s="13"/>
      <c r="D9739" s="13"/>
    </row>
    <row r="9740" spans="1:4">
      <c r="A9740" s="13"/>
      <c r="B9740" s="13"/>
      <c r="C9740" s="13"/>
      <c r="D9740" s="13"/>
    </row>
    <row r="9741" spans="1:4">
      <c r="A9741" s="13"/>
      <c r="B9741" s="13"/>
      <c r="C9741" s="13"/>
      <c r="D9741" s="13"/>
    </row>
    <row r="9742" spans="1:4">
      <c r="A9742" s="13"/>
      <c r="B9742" s="13"/>
      <c r="C9742" s="13"/>
      <c r="D9742" s="13"/>
    </row>
    <row r="9743" spans="1:4">
      <c r="A9743" s="13"/>
      <c r="B9743" s="13"/>
      <c r="C9743" s="13"/>
      <c r="D9743" s="13"/>
    </row>
    <row r="9744" spans="1:4">
      <c r="A9744" s="13"/>
      <c r="B9744" s="13"/>
      <c r="C9744" s="13"/>
      <c r="D9744" s="13"/>
    </row>
    <row r="9745" spans="1:4">
      <c r="A9745" s="13"/>
      <c r="B9745" s="13"/>
      <c r="C9745" s="13"/>
      <c r="D9745" s="13"/>
    </row>
    <row r="9746" spans="1:4">
      <c r="A9746" s="13"/>
      <c r="B9746" s="13"/>
      <c r="C9746" s="13"/>
      <c r="D9746" s="13"/>
    </row>
    <row r="9747" spans="1:4">
      <c r="A9747" s="13"/>
      <c r="B9747" s="13"/>
      <c r="C9747" s="13"/>
      <c r="D9747" s="13"/>
    </row>
    <row r="9748" spans="1:4">
      <c r="A9748" s="13"/>
      <c r="B9748" s="13"/>
      <c r="C9748" s="13"/>
      <c r="D9748" s="13"/>
    </row>
    <row r="9749" spans="1:4">
      <c r="A9749" s="13"/>
      <c r="B9749" s="13"/>
      <c r="C9749" s="13"/>
      <c r="D9749" s="13"/>
    </row>
    <row r="9750" spans="1:4">
      <c r="A9750" s="13"/>
      <c r="B9750" s="13"/>
      <c r="C9750" s="13"/>
      <c r="D9750" s="13"/>
    </row>
    <row r="9751" spans="1:4">
      <c r="A9751" s="13"/>
      <c r="B9751" s="13"/>
      <c r="C9751" s="13"/>
      <c r="D9751" s="13"/>
    </row>
    <row r="9752" spans="1:4">
      <c r="A9752" s="13"/>
      <c r="B9752" s="13"/>
      <c r="C9752" s="13"/>
      <c r="D9752" s="13"/>
    </row>
    <row r="9753" spans="1:4">
      <c r="A9753" s="13"/>
      <c r="B9753" s="13"/>
      <c r="C9753" s="13"/>
      <c r="D9753" s="13"/>
    </row>
    <row r="9754" spans="1:4">
      <c r="A9754" s="13"/>
      <c r="B9754" s="13"/>
      <c r="C9754" s="13"/>
      <c r="D9754" s="13"/>
    </row>
    <row r="9755" spans="1:4">
      <c r="A9755" s="13"/>
      <c r="B9755" s="13"/>
      <c r="C9755" s="13"/>
      <c r="D9755" s="13"/>
    </row>
    <row r="9756" spans="1:4">
      <c r="A9756" s="13"/>
      <c r="B9756" s="13"/>
      <c r="C9756" s="13"/>
      <c r="D9756" s="13"/>
    </row>
    <row r="9757" spans="1:4">
      <c r="A9757" s="13"/>
      <c r="B9757" s="13"/>
      <c r="C9757" s="13"/>
      <c r="D9757" s="13"/>
    </row>
    <row r="9758" spans="1:4">
      <c r="A9758" s="13"/>
      <c r="B9758" s="13"/>
      <c r="C9758" s="13"/>
      <c r="D9758" s="13"/>
    </row>
    <row r="9759" spans="1:4">
      <c r="A9759" s="13"/>
      <c r="B9759" s="13"/>
      <c r="C9759" s="13"/>
      <c r="D9759" s="13"/>
    </row>
    <row r="9760" spans="1:4">
      <c r="A9760" s="13"/>
      <c r="B9760" s="13"/>
      <c r="C9760" s="13"/>
      <c r="D9760" s="13"/>
    </row>
    <row r="9761" spans="1:4">
      <c r="A9761" s="13"/>
      <c r="B9761" s="13"/>
      <c r="C9761" s="13"/>
      <c r="D9761" s="13"/>
    </row>
    <row r="9762" spans="1:4">
      <c r="A9762" s="13"/>
      <c r="B9762" s="13"/>
      <c r="C9762" s="13"/>
      <c r="D9762" s="13"/>
    </row>
    <row r="9763" spans="1:4">
      <c r="A9763" s="13"/>
      <c r="B9763" s="13"/>
      <c r="C9763" s="13"/>
      <c r="D9763" s="13"/>
    </row>
    <row r="9764" spans="1:4">
      <c r="A9764" s="13"/>
      <c r="B9764" s="13"/>
      <c r="C9764" s="13"/>
      <c r="D9764" s="13"/>
    </row>
    <row r="9765" spans="1:4">
      <c r="A9765" s="13"/>
      <c r="B9765" s="13"/>
      <c r="C9765" s="13"/>
      <c r="D9765" s="13"/>
    </row>
    <row r="9766" spans="1:4">
      <c r="A9766" s="13"/>
      <c r="B9766" s="13"/>
      <c r="C9766" s="13"/>
      <c r="D9766" s="13"/>
    </row>
    <row r="9767" spans="1:4">
      <c r="A9767" s="13"/>
      <c r="B9767" s="13"/>
      <c r="C9767" s="13"/>
      <c r="D9767" s="13"/>
    </row>
    <row r="9768" spans="1:4">
      <c r="A9768" s="13"/>
      <c r="B9768" s="13"/>
      <c r="C9768" s="13"/>
      <c r="D9768" s="13"/>
    </row>
    <row r="9769" spans="1:4">
      <c r="A9769" s="13"/>
      <c r="B9769" s="13"/>
      <c r="C9769" s="13"/>
      <c r="D9769" s="13"/>
    </row>
    <row r="9770" spans="1:4">
      <c r="A9770" s="13"/>
      <c r="B9770" s="13"/>
      <c r="C9770" s="13"/>
      <c r="D9770" s="13"/>
    </row>
    <row r="9771" spans="1:4">
      <c r="A9771" s="13"/>
      <c r="B9771" s="13"/>
      <c r="C9771" s="13"/>
      <c r="D9771" s="13"/>
    </row>
    <row r="9772" spans="1:4">
      <c r="A9772" s="13"/>
      <c r="B9772" s="13"/>
      <c r="C9772" s="13"/>
      <c r="D9772" s="13"/>
    </row>
    <row r="9773" spans="1:4">
      <c r="A9773" s="13"/>
      <c r="B9773" s="13"/>
      <c r="C9773" s="13"/>
      <c r="D9773" s="13"/>
    </row>
    <row r="9774" spans="1:4">
      <c r="A9774" s="13"/>
      <c r="B9774" s="13"/>
      <c r="C9774" s="13"/>
      <c r="D9774" s="13"/>
    </row>
    <row r="9775" spans="1:4">
      <c r="A9775" s="13"/>
      <c r="B9775" s="13"/>
      <c r="C9775" s="13"/>
      <c r="D9775" s="13"/>
    </row>
    <row r="9776" spans="1:4">
      <c r="A9776" s="13"/>
      <c r="B9776" s="13"/>
      <c r="C9776" s="13"/>
      <c r="D9776" s="13"/>
    </row>
    <row r="9777" spans="1:4">
      <c r="A9777" s="13"/>
      <c r="B9777" s="13"/>
      <c r="C9777" s="13"/>
      <c r="D9777" s="13"/>
    </row>
    <row r="9778" spans="1:4">
      <c r="A9778" s="13"/>
      <c r="B9778" s="13"/>
      <c r="C9778" s="13"/>
      <c r="D9778" s="13"/>
    </row>
    <row r="9779" spans="1:4">
      <c r="A9779" s="13"/>
      <c r="B9779" s="13"/>
      <c r="C9779" s="13"/>
      <c r="D9779" s="13"/>
    </row>
    <row r="9780" spans="1:4">
      <c r="A9780" s="13"/>
      <c r="B9780" s="13"/>
      <c r="C9780" s="13"/>
      <c r="D9780" s="13"/>
    </row>
    <row r="9781" spans="1:4">
      <c r="A9781" s="13"/>
      <c r="B9781" s="13"/>
      <c r="C9781" s="13"/>
      <c r="D9781" s="13"/>
    </row>
    <row r="9782" spans="1:4">
      <c r="A9782" s="13"/>
      <c r="B9782" s="13"/>
      <c r="C9782" s="13"/>
      <c r="D9782" s="13"/>
    </row>
    <row r="9783" spans="1:4">
      <c r="A9783" s="13"/>
      <c r="B9783" s="13"/>
      <c r="C9783" s="13"/>
      <c r="D9783" s="13"/>
    </row>
    <row r="9784" spans="1:4">
      <c r="A9784" s="13"/>
      <c r="B9784" s="13"/>
      <c r="C9784" s="13"/>
      <c r="D9784" s="13"/>
    </row>
    <row r="9785" spans="1:4">
      <c r="A9785" s="13"/>
      <c r="B9785" s="13"/>
      <c r="C9785" s="13"/>
      <c r="D9785" s="13"/>
    </row>
    <row r="9786" spans="1:4">
      <c r="A9786" s="13"/>
      <c r="B9786" s="13"/>
      <c r="C9786" s="13"/>
      <c r="D9786" s="13"/>
    </row>
    <row r="9787" spans="1:4">
      <c r="A9787" s="13"/>
      <c r="B9787" s="13"/>
      <c r="C9787" s="13"/>
      <c r="D9787" s="13"/>
    </row>
    <row r="9788" spans="1:4">
      <c r="A9788" s="13"/>
      <c r="B9788" s="13"/>
      <c r="C9788" s="13"/>
      <c r="D9788" s="13"/>
    </row>
    <row r="9789" spans="1:4">
      <c r="A9789" s="13"/>
      <c r="B9789" s="13"/>
      <c r="C9789" s="13"/>
      <c r="D9789" s="13"/>
    </row>
    <row r="9790" spans="1:4">
      <c r="A9790" s="13"/>
      <c r="B9790" s="13"/>
      <c r="C9790" s="13"/>
      <c r="D9790" s="13"/>
    </row>
    <row r="9791" spans="1:4">
      <c r="A9791" s="13"/>
      <c r="B9791" s="13"/>
      <c r="C9791" s="13"/>
      <c r="D9791" s="13"/>
    </row>
    <row r="9792" spans="1:4">
      <c r="A9792" s="13"/>
      <c r="B9792" s="13"/>
      <c r="C9792" s="13"/>
      <c r="D9792" s="13"/>
    </row>
    <row r="9793" spans="1:4">
      <c r="A9793" s="13"/>
      <c r="B9793" s="13"/>
      <c r="C9793" s="13"/>
      <c r="D9793" s="13"/>
    </row>
    <row r="9794" spans="1:4">
      <c r="A9794" s="13"/>
      <c r="B9794" s="13"/>
      <c r="C9794" s="13"/>
      <c r="D9794" s="13"/>
    </row>
    <row r="9795" spans="1:4">
      <c r="A9795" s="13"/>
      <c r="B9795" s="13"/>
      <c r="C9795" s="13"/>
      <c r="D9795" s="13"/>
    </row>
    <row r="9796" spans="1:4">
      <c r="A9796" s="13"/>
      <c r="B9796" s="13"/>
      <c r="C9796" s="13"/>
      <c r="D9796" s="13"/>
    </row>
    <row r="9797" spans="1:4">
      <c r="A9797" s="13"/>
      <c r="B9797" s="13"/>
      <c r="C9797" s="13"/>
      <c r="D9797" s="13"/>
    </row>
    <row r="9798" spans="1:4">
      <c r="A9798" s="13"/>
      <c r="B9798" s="13"/>
      <c r="C9798" s="13"/>
      <c r="D9798" s="13"/>
    </row>
    <row r="9799" spans="1:4">
      <c r="A9799" s="13"/>
      <c r="B9799" s="13"/>
      <c r="C9799" s="13"/>
      <c r="D9799" s="13"/>
    </row>
    <row r="9800" spans="1:4">
      <c r="A9800" s="13"/>
      <c r="B9800" s="13"/>
      <c r="C9800" s="13"/>
      <c r="D9800" s="13"/>
    </row>
    <row r="9801" spans="1:4">
      <c r="A9801" s="13"/>
      <c r="B9801" s="13"/>
      <c r="C9801" s="13"/>
      <c r="D9801" s="13"/>
    </row>
    <row r="9802" spans="1:4">
      <c r="A9802" s="13"/>
      <c r="B9802" s="13"/>
      <c r="C9802" s="13"/>
      <c r="D9802" s="13"/>
    </row>
    <row r="9803" spans="1:4">
      <c r="A9803" s="13"/>
      <c r="B9803" s="13"/>
      <c r="C9803" s="13"/>
      <c r="D9803" s="13"/>
    </row>
    <row r="9804" spans="1:4">
      <c r="A9804" s="13"/>
      <c r="B9804" s="13"/>
      <c r="C9804" s="13"/>
      <c r="D9804" s="13"/>
    </row>
    <row r="9805" spans="1:4">
      <c r="A9805" s="13"/>
      <c r="B9805" s="13"/>
      <c r="C9805" s="13"/>
      <c r="D9805" s="13"/>
    </row>
    <row r="9806" spans="1:4">
      <c r="A9806" s="13"/>
      <c r="B9806" s="13"/>
      <c r="C9806" s="13"/>
      <c r="D9806" s="13"/>
    </row>
    <row r="9807" spans="1:4">
      <c r="A9807" s="13"/>
      <c r="B9807" s="13"/>
      <c r="C9807" s="13"/>
      <c r="D9807" s="13"/>
    </row>
    <row r="9808" spans="1:4">
      <c r="A9808" s="13"/>
      <c r="B9808" s="13"/>
      <c r="C9808" s="13"/>
      <c r="D9808" s="13"/>
    </row>
    <row r="9809" spans="1:4">
      <c r="A9809" s="13"/>
      <c r="B9809" s="13"/>
      <c r="C9809" s="13"/>
      <c r="D9809" s="13"/>
    </row>
    <row r="9810" spans="1:4">
      <c r="A9810" s="13"/>
      <c r="B9810" s="13"/>
      <c r="C9810" s="13"/>
      <c r="D9810" s="13"/>
    </row>
    <row r="9811" spans="1:4">
      <c r="A9811" s="13"/>
      <c r="B9811" s="13"/>
      <c r="C9811" s="13"/>
      <c r="D9811" s="13"/>
    </row>
    <row r="9812" spans="1:4">
      <c r="A9812" s="13"/>
      <c r="B9812" s="13"/>
      <c r="C9812" s="13"/>
      <c r="D9812" s="13"/>
    </row>
    <row r="9813" spans="1:4">
      <c r="A9813" s="13"/>
      <c r="B9813" s="13"/>
      <c r="C9813" s="13"/>
      <c r="D9813" s="13"/>
    </row>
    <row r="9814" spans="1:4">
      <c r="A9814" s="13"/>
      <c r="B9814" s="13"/>
      <c r="C9814" s="13"/>
      <c r="D9814" s="13"/>
    </row>
    <row r="9815" spans="1:4">
      <c r="A9815" s="13"/>
      <c r="B9815" s="13"/>
      <c r="C9815" s="13"/>
      <c r="D9815" s="13"/>
    </row>
    <row r="9816" spans="1:4">
      <c r="A9816" s="13"/>
      <c r="B9816" s="13"/>
      <c r="C9816" s="13"/>
      <c r="D9816" s="13"/>
    </row>
    <row r="9817" spans="1:4">
      <c r="A9817" s="13"/>
      <c r="B9817" s="13"/>
      <c r="C9817" s="13"/>
      <c r="D9817" s="13"/>
    </row>
    <row r="9818" spans="1:4">
      <c r="A9818" s="13"/>
      <c r="B9818" s="13"/>
      <c r="C9818" s="13"/>
      <c r="D9818" s="13"/>
    </row>
    <row r="9819" spans="1:4">
      <c r="A9819" s="13"/>
      <c r="B9819" s="13"/>
      <c r="C9819" s="13"/>
      <c r="D9819" s="13"/>
    </row>
    <row r="9820" spans="1:4">
      <c r="A9820" s="13"/>
      <c r="B9820" s="13"/>
      <c r="C9820" s="13"/>
      <c r="D9820" s="13"/>
    </row>
    <row r="9821" spans="1:4">
      <c r="A9821" s="13"/>
      <c r="B9821" s="13"/>
      <c r="C9821" s="13"/>
      <c r="D9821" s="13"/>
    </row>
    <row r="9822" spans="1:4">
      <c r="A9822" s="13"/>
      <c r="B9822" s="13"/>
      <c r="C9822" s="13"/>
      <c r="D9822" s="13"/>
    </row>
    <row r="9823" spans="1:4">
      <c r="A9823" s="13"/>
      <c r="B9823" s="13"/>
      <c r="C9823" s="13"/>
      <c r="D9823" s="13"/>
    </row>
    <row r="9824" spans="1:4">
      <c r="A9824" s="13"/>
      <c r="B9824" s="13"/>
      <c r="C9824" s="13"/>
      <c r="D9824" s="13"/>
    </row>
    <row r="9825" spans="1:4">
      <c r="A9825" s="13"/>
      <c r="B9825" s="13"/>
      <c r="C9825" s="13"/>
      <c r="D9825" s="13"/>
    </row>
    <row r="9826" spans="1:4">
      <c r="A9826" s="13"/>
      <c r="B9826" s="13"/>
      <c r="C9826" s="13"/>
      <c r="D9826" s="13"/>
    </row>
    <row r="9827" spans="1:4">
      <c r="A9827" s="13"/>
      <c r="B9827" s="13"/>
      <c r="C9827" s="13"/>
      <c r="D9827" s="13"/>
    </row>
    <row r="9828" spans="1:4">
      <c r="A9828" s="13"/>
      <c r="B9828" s="13"/>
      <c r="C9828" s="13"/>
      <c r="D9828" s="13"/>
    </row>
    <row r="9829" spans="1:4">
      <c r="A9829" s="13"/>
      <c r="B9829" s="13"/>
      <c r="C9829" s="13"/>
      <c r="D9829" s="13"/>
    </row>
    <row r="9830" spans="1:4">
      <c r="A9830" s="13"/>
      <c r="B9830" s="13"/>
      <c r="C9830" s="13"/>
      <c r="D9830" s="13"/>
    </row>
    <row r="9831" spans="1:4">
      <c r="A9831" s="13"/>
      <c r="B9831" s="13"/>
      <c r="C9831" s="13"/>
      <c r="D9831" s="13"/>
    </row>
    <row r="9832" spans="1:4">
      <c r="A9832" s="13"/>
      <c r="B9832" s="13"/>
      <c r="C9832" s="13"/>
      <c r="D9832" s="13"/>
    </row>
    <row r="9833" spans="1:4">
      <c r="A9833" s="13"/>
      <c r="B9833" s="13"/>
      <c r="C9833" s="13"/>
      <c r="D9833" s="13"/>
    </row>
    <row r="9834" spans="1:4">
      <c r="A9834" s="13"/>
      <c r="B9834" s="13"/>
      <c r="C9834" s="13"/>
      <c r="D9834" s="13"/>
    </row>
    <row r="9835" spans="1:4">
      <c r="A9835" s="13"/>
      <c r="B9835" s="13"/>
      <c r="C9835" s="13"/>
      <c r="D9835" s="13"/>
    </row>
    <row r="9836" spans="1:4">
      <c r="A9836" s="13"/>
      <c r="B9836" s="13"/>
      <c r="C9836" s="13"/>
      <c r="D9836" s="13"/>
    </row>
    <row r="9837" spans="1:4">
      <c r="A9837" s="13"/>
      <c r="B9837" s="13"/>
      <c r="C9837" s="13"/>
      <c r="D9837" s="13"/>
    </row>
    <row r="9838" spans="1:4">
      <c r="A9838" s="13"/>
      <c r="B9838" s="13"/>
      <c r="C9838" s="13"/>
      <c r="D9838" s="13"/>
    </row>
    <row r="9839" spans="1:4">
      <c r="A9839" s="13"/>
      <c r="B9839" s="13"/>
      <c r="C9839" s="13"/>
      <c r="D9839" s="13"/>
    </row>
    <row r="9840" spans="1:4">
      <c r="A9840" s="13"/>
      <c r="B9840" s="13"/>
      <c r="C9840" s="13"/>
      <c r="D9840" s="13"/>
    </row>
    <row r="9841" spans="1:4">
      <c r="A9841" s="13"/>
      <c r="B9841" s="13"/>
      <c r="C9841" s="13"/>
      <c r="D9841" s="13"/>
    </row>
    <row r="9842" spans="1:4">
      <c r="A9842" s="13"/>
      <c r="B9842" s="13"/>
      <c r="C9842" s="13"/>
      <c r="D9842" s="13"/>
    </row>
    <row r="9843" spans="1:4">
      <c r="A9843" s="13"/>
      <c r="B9843" s="13"/>
      <c r="C9843" s="13"/>
      <c r="D9843" s="13"/>
    </row>
    <row r="9844" spans="1:4">
      <c r="A9844" s="13"/>
      <c r="B9844" s="13"/>
      <c r="C9844" s="13"/>
      <c r="D9844" s="13"/>
    </row>
    <row r="9845" spans="1:4">
      <c r="A9845" s="13"/>
      <c r="B9845" s="13"/>
      <c r="C9845" s="13"/>
      <c r="D9845" s="13"/>
    </row>
    <row r="9846" spans="1:4">
      <c r="A9846" s="13"/>
      <c r="B9846" s="13"/>
      <c r="C9846" s="13"/>
      <c r="D9846" s="13"/>
    </row>
    <row r="9847" spans="1:4">
      <c r="A9847" s="13"/>
      <c r="B9847" s="13"/>
      <c r="C9847" s="13"/>
      <c r="D9847" s="13"/>
    </row>
    <row r="9848" spans="1:4">
      <c r="A9848" s="13"/>
      <c r="B9848" s="13"/>
      <c r="C9848" s="13"/>
      <c r="D9848" s="13"/>
    </row>
    <row r="9849" spans="1:4">
      <c r="A9849" s="13"/>
      <c r="B9849" s="13"/>
      <c r="C9849" s="13"/>
      <c r="D9849" s="13"/>
    </row>
    <row r="9850" spans="1:4">
      <c r="A9850" s="13"/>
      <c r="B9850" s="13"/>
      <c r="C9850" s="13"/>
      <c r="D9850" s="13"/>
    </row>
    <row r="9851" spans="1:4">
      <c r="A9851" s="13"/>
      <c r="B9851" s="13"/>
      <c r="C9851" s="13"/>
      <c r="D9851" s="13"/>
    </row>
    <row r="9852" spans="1:4">
      <c r="A9852" s="13"/>
      <c r="B9852" s="13"/>
      <c r="C9852" s="13"/>
      <c r="D9852" s="13"/>
    </row>
    <row r="9853" spans="1:4">
      <c r="A9853" s="13"/>
      <c r="B9853" s="13"/>
      <c r="C9853" s="13"/>
      <c r="D9853" s="13"/>
    </row>
    <row r="9854" spans="1:4">
      <c r="A9854" s="13"/>
      <c r="B9854" s="13"/>
      <c r="C9854" s="13"/>
      <c r="D9854" s="13"/>
    </row>
    <row r="9855" spans="1:4">
      <c r="A9855" s="13"/>
      <c r="B9855" s="13"/>
      <c r="C9855" s="13"/>
      <c r="D9855" s="13"/>
    </row>
    <row r="9856" spans="1:4">
      <c r="A9856" s="13"/>
      <c r="B9856" s="13"/>
      <c r="C9856" s="13"/>
      <c r="D9856" s="13"/>
    </row>
    <row r="9857" spans="1:4">
      <c r="A9857" s="13"/>
      <c r="B9857" s="13"/>
      <c r="C9857" s="13"/>
      <c r="D9857" s="13"/>
    </row>
    <row r="9858" spans="1:4">
      <c r="A9858" s="13"/>
      <c r="B9858" s="13"/>
      <c r="C9858" s="13"/>
      <c r="D9858" s="13"/>
    </row>
    <row r="9859" spans="1:4">
      <c r="A9859" s="13"/>
      <c r="B9859" s="13"/>
      <c r="C9859" s="13"/>
      <c r="D9859" s="13"/>
    </row>
    <row r="9860" spans="1:4">
      <c r="A9860" s="13"/>
      <c r="B9860" s="13"/>
      <c r="C9860" s="13"/>
      <c r="D9860" s="13"/>
    </row>
    <row r="9861" spans="1:4">
      <c r="A9861" s="13"/>
      <c r="B9861" s="13"/>
      <c r="C9861" s="13"/>
      <c r="D9861" s="13"/>
    </row>
    <row r="9862" spans="1:4">
      <c r="A9862" s="13"/>
      <c r="B9862" s="13"/>
      <c r="C9862" s="13"/>
      <c r="D9862" s="13"/>
    </row>
    <row r="9863" spans="1:4">
      <c r="A9863" s="13"/>
      <c r="B9863" s="13"/>
      <c r="C9863" s="13"/>
      <c r="D9863" s="13"/>
    </row>
    <row r="9864" spans="1:4">
      <c r="A9864" s="13"/>
      <c r="B9864" s="13"/>
      <c r="C9864" s="13"/>
      <c r="D9864" s="13"/>
    </row>
    <row r="9865" spans="1:4">
      <c r="A9865" s="13"/>
      <c r="B9865" s="13"/>
      <c r="C9865" s="13"/>
      <c r="D9865" s="13"/>
    </row>
    <row r="9866" spans="1:4">
      <c r="A9866" s="13"/>
      <c r="B9866" s="13"/>
      <c r="C9866" s="13"/>
      <c r="D9866" s="13"/>
    </row>
    <row r="9867" spans="1:4">
      <c r="A9867" s="13"/>
      <c r="B9867" s="13"/>
      <c r="C9867" s="13"/>
      <c r="D9867" s="13"/>
    </row>
    <row r="9868" spans="1:4">
      <c r="A9868" s="13"/>
      <c r="B9868" s="13"/>
      <c r="C9868" s="13"/>
      <c r="D9868" s="13"/>
    </row>
    <row r="9869" spans="1:4">
      <c r="A9869" s="13"/>
      <c r="B9869" s="13"/>
      <c r="C9869" s="13"/>
      <c r="D9869" s="13"/>
    </row>
    <row r="9870" spans="1:4">
      <c r="A9870" s="13"/>
      <c r="B9870" s="13"/>
      <c r="C9870" s="13"/>
      <c r="D9870" s="13"/>
    </row>
    <row r="9871" spans="1:4">
      <c r="A9871" s="13"/>
      <c r="B9871" s="13"/>
      <c r="C9871" s="13"/>
      <c r="D9871" s="13"/>
    </row>
    <row r="9872" spans="1:4">
      <c r="A9872" s="13"/>
      <c r="B9872" s="13"/>
      <c r="C9872" s="13"/>
      <c r="D9872" s="13"/>
    </row>
    <row r="9873" spans="1:4">
      <c r="A9873" s="13"/>
      <c r="B9873" s="13"/>
      <c r="C9873" s="13"/>
      <c r="D9873" s="13"/>
    </row>
    <row r="9874" spans="1:4">
      <c r="A9874" s="13"/>
      <c r="B9874" s="13"/>
      <c r="C9874" s="13"/>
      <c r="D9874" s="13"/>
    </row>
    <row r="9875" spans="1:4">
      <c r="A9875" s="13"/>
      <c r="B9875" s="13"/>
      <c r="C9875" s="13"/>
      <c r="D9875" s="13"/>
    </row>
    <row r="9876" spans="1:4">
      <c r="A9876" s="13"/>
      <c r="B9876" s="13"/>
      <c r="C9876" s="13"/>
      <c r="D9876" s="13"/>
    </row>
    <row r="9877" spans="1:4">
      <c r="A9877" s="13"/>
      <c r="B9877" s="13"/>
      <c r="C9877" s="13"/>
      <c r="D9877" s="13"/>
    </row>
    <row r="9878" spans="1:4">
      <c r="A9878" s="13"/>
      <c r="B9878" s="13"/>
      <c r="C9878" s="13"/>
      <c r="D9878" s="13"/>
    </row>
    <row r="9879" spans="1:4">
      <c r="A9879" s="13"/>
      <c r="B9879" s="13"/>
      <c r="C9879" s="13"/>
      <c r="D9879" s="13"/>
    </row>
    <row r="9880" spans="1:4">
      <c r="A9880" s="13"/>
      <c r="B9880" s="13"/>
      <c r="C9880" s="13"/>
      <c r="D9880" s="13"/>
    </row>
    <row r="9881" spans="1:4">
      <c r="A9881" s="13"/>
      <c r="B9881" s="13"/>
      <c r="C9881" s="13"/>
      <c r="D9881" s="13"/>
    </row>
    <row r="9882" spans="1:4">
      <c r="A9882" s="13"/>
      <c r="B9882" s="13"/>
      <c r="C9882" s="13"/>
      <c r="D9882" s="13"/>
    </row>
    <row r="9883" spans="1:4">
      <c r="A9883" s="13"/>
      <c r="B9883" s="13"/>
      <c r="C9883" s="13"/>
      <c r="D9883" s="13"/>
    </row>
    <row r="9884" spans="1:4">
      <c r="A9884" s="13"/>
      <c r="B9884" s="13"/>
      <c r="C9884" s="13"/>
      <c r="D9884" s="13"/>
    </row>
    <row r="9885" spans="1:4">
      <c r="A9885" s="13"/>
      <c r="B9885" s="13"/>
      <c r="C9885" s="13"/>
      <c r="D9885" s="13"/>
    </row>
    <row r="9886" spans="1:4">
      <c r="A9886" s="13"/>
      <c r="B9886" s="13"/>
      <c r="C9886" s="13"/>
      <c r="D9886" s="13"/>
    </row>
    <row r="9887" spans="1:4">
      <c r="A9887" s="13"/>
      <c r="B9887" s="13"/>
      <c r="C9887" s="13"/>
      <c r="D9887" s="13"/>
    </row>
    <row r="9888" spans="1:4">
      <c r="A9888" s="13"/>
      <c r="B9888" s="13"/>
      <c r="C9888" s="13"/>
      <c r="D9888" s="13"/>
    </row>
    <row r="9889" spans="1:4">
      <c r="A9889" s="13"/>
      <c r="B9889" s="13"/>
      <c r="C9889" s="13"/>
      <c r="D9889" s="13"/>
    </row>
    <row r="9890" spans="1:4">
      <c r="A9890" s="13"/>
      <c r="B9890" s="13"/>
      <c r="C9890" s="13"/>
      <c r="D9890" s="13"/>
    </row>
    <row r="9891" spans="1:4">
      <c r="A9891" s="13"/>
      <c r="B9891" s="13"/>
      <c r="C9891" s="13"/>
      <c r="D9891" s="13"/>
    </row>
    <row r="9892" spans="1:4">
      <c r="A9892" s="13"/>
      <c r="B9892" s="13"/>
      <c r="C9892" s="13"/>
      <c r="D9892" s="13"/>
    </row>
    <row r="9893" spans="1:4">
      <c r="A9893" s="13"/>
      <c r="B9893" s="13"/>
      <c r="C9893" s="13"/>
      <c r="D9893" s="13"/>
    </row>
    <row r="9894" spans="1:4">
      <c r="A9894" s="13"/>
      <c r="B9894" s="13"/>
      <c r="C9894" s="13"/>
      <c r="D9894" s="13"/>
    </row>
    <row r="9895" spans="1:4">
      <c r="A9895" s="13"/>
      <c r="B9895" s="13"/>
      <c r="C9895" s="13"/>
      <c r="D9895" s="13"/>
    </row>
    <row r="9896" spans="1:4">
      <c r="A9896" s="13"/>
      <c r="B9896" s="13"/>
      <c r="C9896" s="13"/>
      <c r="D9896" s="13"/>
    </row>
    <row r="9897" spans="1:4">
      <c r="A9897" s="13"/>
      <c r="B9897" s="13"/>
      <c r="C9897" s="13"/>
      <c r="D9897" s="13"/>
    </row>
    <row r="9898" spans="1:4">
      <c r="A9898" s="13"/>
      <c r="B9898" s="13"/>
      <c r="C9898" s="13"/>
      <c r="D9898" s="13"/>
    </row>
    <row r="9899" spans="1:4">
      <c r="A9899" s="13"/>
      <c r="B9899" s="13"/>
      <c r="C9899" s="13"/>
      <c r="D9899" s="13"/>
    </row>
    <row r="9900" spans="1:4">
      <c r="A9900" s="13"/>
      <c r="B9900" s="13"/>
      <c r="C9900" s="13"/>
      <c r="D9900" s="13"/>
    </row>
    <row r="9901" spans="1:4">
      <c r="A9901" s="13"/>
      <c r="B9901" s="13"/>
      <c r="C9901" s="13"/>
      <c r="D9901" s="13"/>
    </row>
    <row r="9902" spans="1:4">
      <c r="A9902" s="13"/>
      <c r="B9902" s="13"/>
      <c r="C9902" s="13"/>
      <c r="D9902" s="13"/>
    </row>
    <row r="9903" spans="1:4">
      <c r="A9903" s="13"/>
      <c r="B9903" s="13"/>
      <c r="C9903" s="13"/>
      <c r="D9903" s="13"/>
    </row>
    <row r="9904" spans="1:4">
      <c r="A9904" s="13"/>
      <c r="B9904" s="13"/>
      <c r="C9904" s="13"/>
      <c r="D9904" s="13"/>
    </row>
    <row r="9905" spans="1:4">
      <c r="A9905" s="13"/>
      <c r="B9905" s="13"/>
      <c r="C9905" s="13"/>
      <c r="D9905" s="13"/>
    </row>
    <row r="9906" spans="1:4">
      <c r="A9906" s="13"/>
      <c r="B9906" s="13"/>
      <c r="C9906" s="13"/>
      <c r="D9906" s="13"/>
    </row>
    <row r="9907" spans="1:4">
      <c r="A9907" s="13"/>
      <c r="B9907" s="13"/>
      <c r="C9907" s="13"/>
      <c r="D9907" s="13"/>
    </row>
    <row r="9908" spans="1:4">
      <c r="A9908" s="13"/>
      <c r="B9908" s="13"/>
      <c r="C9908" s="13"/>
      <c r="D9908" s="13"/>
    </row>
    <row r="9909" spans="1:4">
      <c r="A9909" s="13"/>
      <c r="B9909" s="13"/>
      <c r="C9909" s="13"/>
      <c r="D9909" s="13"/>
    </row>
    <row r="9910" spans="1:4">
      <c r="A9910" s="13"/>
      <c r="B9910" s="13"/>
      <c r="C9910" s="13"/>
      <c r="D9910" s="13"/>
    </row>
    <row r="9911" spans="1:4">
      <c r="A9911" s="13"/>
      <c r="B9911" s="13"/>
      <c r="C9911" s="13"/>
      <c r="D9911" s="13"/>
    </row>
    <row r="9912" spans="1:4">
      <c r="A9912" s="13"/>
      <c r="B9912" s="13"/>
      <c r="C9912" s="13"/>
      <c r="D9912" s="13"/>
    </row>
    <row r="9913" spans="1:4">
      <c r="A9913" s="13"/>
      <c r="B9913" s="13"/>
      <c r="C9913" s="13"/>
      <c r="D9913" s="13"/>
    </row>
    <row r="9914" spans="1:4">
      <c r="A9914" s="13"/>
      <c r="B9914" s="13"/>
      <c r="C9914" s="13"/>
      <c r="D9914" s="13"/>
    </row>
    <row r="9915" spans="1:4">
      <c r="A9915" s="13"/>
      <c r="B9915" s="13"/>
      <c r="C9915" s="13"/>
      <c r="D9915" s="13"/>
    </row>
    <row r="9916" spans="1:4">
      <c r="A9916" s="13"/>
      <c r="B9916" s="13"/>
      <c r="C9916" s="13"/>
      <c r="D9916" s="13"/>
    </row>
    <row r="9917" spans="1:4">
      <c r="A9917" s="13"/>
      <c r="B9917" s="13"/>
      <c r="C9917" s="13"/>
      <c r="D9917" s="13"/>
    </row>
    <row r="9918" spans="1:4">
      <c r="A9918" s="13"/>
      <c r="B9918" s="13"/>
      <c r="C9918" s="13"/>
      <c r="D9918" s="13"/>
    </row>
    <row r="9919" spans="1:4">
      <c r="A9919" s="13"/>
      <c r="B9919" s="13"/>
      <c r="C9919" s="13"/>
      <c r="D9919" s="13"/>
    </row>
    <row r="9920" spans="1:4">
      <c r="A9920" s="13"/>
      <c r="B9920" s="13"/>
      <c r="C9920" s="13"/>
      <c r="D9920" s="13"/>
    </row>
    <row r="9921" spans="1:4">
      <c r="A9921" s="13"/>
      <c r="B9921" s="13"/>
      <c r="C9921" s="13"/>
      <c r="D9921" s="13"/>
    </row>
    <row r="9922" spans="1:4">
      <c r="A9922" s="13"/>
      <c r="B9922" s="13"/>
      <c r="C9922" s="13"/>
      <c r="D9922" s="13"/>
    </row>
    <row r="9923" spans="1:4">
      <c r="A9923" s="13"/>
      <c r="B9923" s="13"/>
      <c r="C9923" s="13"/>
      <c r="D9923" s="13"/>
    </row>
    <row r="9924" spans="1:4">
      <c r="A9924" s="13"/>
      <c r="B9924" s="13"/>
      <c r="C9924" s="13"/>
      <c r="D9924" s="13"/>
    </row>
    <row r="9925" spans="1:4">
      <c r="A9925" s="13"/>
      <c r="B9925" s="13"/>
      <c r="C9925" s="13"/>
      <c r="D9925" s="13"/>
    </row>
    <row r="9926" spans="1:4">
      <c r="A9926" s="13"/>
      <c r="B9926" s="13"/>
      <c r="C9926" s="13"/>
      <c r="D9926" s="13"/>
    </row>
    <row r="9927" spans="1:4">
      <c r="A9927" s="13"/>
      <c r="B9927" s="13"/>
      <c r="C9927" s="13"/>
      <c r="D9927" s="13"/>
    </row>
    <row r="9928" spans="1:4">
      <c r="A9928" s="13"/>
      <c r="B9928" s="13"/>
      <c r="C9928" s="13"/>
      <c r="D9928" s="13"/>
    </row>
    <row r="9929" spans="1:4">
      <c r="A9929" s="13"/>
      <c r="B9929" s="13"/>
      <c r="C9929" s="13"/>
      <c r="D9929" s="13"/>
    </row>
    <row r="9930" spans="1:4">
      <c r="A9930" s="13"/>
      <c r="B9930" s="13"/>
      <c r="C9930" s="13"/>
      <c r="D9930" s="13"/>
    </row>
    <row r="9931" spans="1:4">
      <c r="A9931" s="13"/>
      <c r="B9931" s="13"/>
      <c r="C9931" s="13"/>
      <c r="D9931" s="13"/>
    </row>
    <row r="9932" spans="1:4">
      <c r="A9932" s="13"/>
      <c r="B9932" s="13"/>
      <c r="C9932" s="13"/>
      <c r="D9932" s="13"/>
    </row>
    <row r="9933" spans="1:4">
      <c r="A9933" s="13"/>
      <c r="B9933" s="13"/>
      <c r="C9933" s="13"/>
      <c r="D9933" s="13"/>
    </row>
    <row r="9934" spans="1:4">
      <c r="A9934" s="13"/>
      <c r="B9934" s="13"/>
      <c r="C9934" s="13"/>
      <c r="D9934" s="13"/>
    </row>
    <row r="9935" spans="1:4">
      <c r="A9935" s="13"/>
      <c r="B9935" s="13"/>
      <c r="C9935" s="13"/>
      <c r="D9935" s="13"/>
    </row>
    <row r="9936" spans="1:4">
      <c r="A9936" s="13"/>
      <c r="B9936" s="13"/>
      <c r="C9936" s="13"/>
      <c r="D9936" s="13"/>
    </row>
    <row r="9937" spans="1:4">
      <c r="A9937" s="13"/>
      <c r="B9937" s="13"/>
      <c r="C9937" s="13"/>
      <c r="D9937" s="13"/>
    </row>
    <row r="9938" spans="1:4">
      <c r="A9938" s="13"/>
      <c r="B9938" s="13"/>
      <c r="C9938" s="13"/>
      <c r="D9938" s="13"/>
    </row>
    <row r="9939" spans="1:4">
      <c r="A9939" s="13"/>
      <c r="B9939" s="13"/>
      <c r="C9939" s="13"/>
      <c r="D9939" s="13"/>
    </row>
    <row r="9940" spans="1:4">
      <c r="A9940" s="13"/>
      <c r="B9940" s="13"/>
      <c r="C9940" s="13"/>
      <c r="D9940" s="13"/>
    </row>
    <row r="9941" spans="1:4">
      <c r="A9941" s="13"/>
      <c r="B9941" s="13"/>
      <c r="C9941" s="13"/>
      <c r="D9941" s="13"/>
    </row>
    <row r="9942" spans="1:4">
      <c r="A9942" s="13"/>
      <c r="B9942" s="13"/>
      <c r="C9942" s="13"/>
      <c r="D9942" s="13"/>
    </row>
    <row r="9943" spans="1:4">
      <c r="A9943" s="13"/>
      <c r="B9943" s="13"/>
      <c r="C9943" s="13"/>
      <c r="D9943" s="13"/>
    </row>
    <row r="9944" spans="1:4">
      <c r="A9944" s="13"/>
      <c r="B9944" s="13"/>
      <c r="C9944" s="13"/>
      <c r="D9944" s="13"/>
    </row>
    <row r="9945" spans="1:4">
      <c r="A9945" s="13"/>
      <c r="B9945" s="13"/>
      <c r="C9945" s="13"/>
      <c r="D9945" s="13"/>
    </row>
    <row r="9946" spans="1:4">
      <c r="A9946" s="13"/>
      <c r="B9946" s="13"/>
      <c r="C9946" s="13"/>
      <c r="D9946" s="13"/>
    </row>
    <row r="9947" spans="1:4">
      <c r="A9947" s="13"/>
      <c r="B9947" s="13"/>
      <c r="C9947" s="13"/>
      <c r="D9947" s="13"/>
    </row>
    <row r="9948" spans="1:4">
      <c r="A9948" s="13"/>
      <c r="B9948" s="13"/>
      <c r="C9948" s="13"/>
      <c r="D9948" s="13"/>
    </row>
    <row r="9949" spans="1:4">
      <c r="A9949" s="13"/>
      <c r="B9949" s="13"/>
      <c r="C9949" s="13"/>
      <c r="D9949" s="13"/>
    </row>
    <row r="9950" spans="1:4">
      <c r="A9950" s="13"/>
      <c r="B9950" s="13"/>
      <c r="C9950" s="13"/>
      <c r="D9950" s="13"/>
    </row>
    <row r="9951" spans="1:4">
      <c r="A9951" s="13"/>
      <c r="B9951" s="13"/>
      <c r="C9951" s="13"/>
      <c r="D9951" s="13"/>
    </row>
    <row r="9952" spans="1:4">
      <c r="A9952" s="13"/>
      <c r="B9952" s="13"/>
      <c r="C9952" s="13"/>
      <c r="D9952" s="13"/>
    </row>
    <row r="9953" spans="1:4">
      <c r="A9953" s="13"/>
      <c r="B9953" s="13"/>
      <c r="C9953" s="13"/>
      <c r="D9953" s="13"/>
    </row>
    <row r="9954" spans="1:4">
      <c r="A9954" s="13"/>
      <c r="B9954" s="13"/>
      <c r="C9954" s="13"/>
      <c r="D9954" s="13"/>
    </row>
    <row r="9955" spans="1:4">
      <c r="A9955" s="13"/>
      <c r="B9955" s="13"/>
      <c r="C9955" s="13"/>
      <c r="D9955" s="13"/>
    </row>
    <row r="9956" spans="1:4">
      <c r="A9956" s="13"/>
      <c r="B9956" s="13"/>
      <c r="C9956" s="13"/>
      <c r="D9956" s="13"/>
    </row>
    <row r="9957" spans="1:4">
      <c r="A9957" s="13"/>
      <c r="B9957" s="13"/>
      <c r="C9957" s="13"/>
      <c r="D9957" s="13"/>
    </row>
    <row r="9958" spans="1:4">
      <c r="A9958" s="13"/>
      <c r="B9958" s="13"/>
      <c r="C9958" s="13"/>
      <c r="D9958" s="13"/>
    </row>
    <row r="9959" spans="1:4">
      <c r="A9959" s="13"/>
      <c r="B9959" s="13"/>
      <c r="C9959" s="13"/>
      <c r="D9959" s="13"/>
    </row>
    <row r="9960" spans="1:4">
      <c r="A9960" s="13"/>
      <c r="B9960" s="13"/>
      <c r="C9960" s="13"/>
      <c r="D9960" s="13"/>
    </row>
    <row r="9961" spans="1:4">
      <c r="A9961" s="13"/>
      <c r="B9961" s="13"/>
      <c r="C9961" s="13"/>
      <c r="D9961" s="13"/>
    </row>
    <row r="9962" spans="1:4">
      <c r="A9962" s="13"/>
      <c r="B9962" s="13"/>
      <c r="C9962" s="13"/>
      <c r="D9962" s="13"/>
    </row>
    <row r="9963" spans="1:4">
      <c r="A9963" s="13"/>
      <c r="B9963" s="13"/>
      <c r="C9963" s="13"/>
      <c r="D9963" s="13"/>
    </row>
    <row r="9964" spans="1:4">
      <c r="A9964" s="13"/>
      <c r="B9964" s="13"/>
      <c r="C9964" s="13"/>
      <c r="D9964" s="13"/>
    </row>
    <row r="9965" spans="1:4">
      <c r="A9965" s="13"/>
      <c r="B9965" s="13"/>
      <c r="C9965" s="13"/>
      <c r="D9965" s="13"/>
    </row>
    <row r="9966" spans="1:4">
      <c r="A9966" s="13"/>
      <c r="B9966" s="13"/>
      <c r="C9966" s="13"/>
      <c r="D9966" s="13"/>
    </row>
    <row r="9967" spans="1:4">
      <c r="A9967" s="13"/>
      <c r="B9967" s="13"/>
      <c r="C9967" s="13"/>
      <c r="D9967" s="13"/>
    </row>
    <row r="9968" spans="1:4">
      <c r="A9968" s="13"/>
      <c r="B9968" s="13"/>
      <c r="C9968" s="13"/>
      <c r="D9968" s="13"/>
    </row>
    <row r="9969" spans="1:4">
      <c r="A9969" s="13"/>
      <c r="B9969" s="13"/>
      <c r="C9969" s="13"/>
      <c r="D9969" s="13"/>
    </row>
    <row r="9970" spans="1:4">
      <c r="A9970" s="13"/>
      <c r="B9970" s="13"/>
      <c r="C9970" s="13"/>
      <c r="D9970" s="13"/>
    </row>
    <row r="9971" spans="1:4">
      <c r="A9971" s="13"/>
      <c r="B9971" s="13"/>
      <c r="C9971" s="13"/>
      <c r="D9971" s="13"/>
    </row>
    <row r="9972" spans="1:4">
      <c r="A9972" s="13"/>
      <c r="B9972" s="13"/>
      <c r="C9972" s="13"/>
      <c r="D9972" s="13"/>
    </row>
    <row r="9973" spans="1:4">
      <c r="A9973" s="13"/>
      <c r="B9973" s="13"/>
      <c r="C9973" s="13"/>
      <c r="D9973" s="13"/>
    </row>
    <row r="9974" spans="1:4">
      <c r="A9974" s="13"/>
      <c r="B9974" s="13"/>
      <c r="C9974" s="13"/>
      <c r="D9974" s="13"/>
    </row>
    <row r="9975" spans="1:4">
      <c r="A9975" s="13"/>
      <c r="B9975" s="13"/>
      <c r="C9975" s="13"/>
      <c r="D9975" s="13"/>
    </row>
    <row r="9976" spans="1:4">
      <c r="A9976" s="13"/>
      <c r="B9976" s="13"/>
      <c r="C9976" s="13"/>
      <c r="D9976" s="13"/>
    </row>
    <row r="9977" spans="1:4">
      <c r="A9977" s="13"/>
      <c r="B9977" s="13"/>
      <c r="C9977" s="13"/>
      <c r="D9977" s="13"/>
    </row>
    <row r="9978" spans="1:4">
      <c r="A9978" s="13"/>
      <c r="B9978" s="13"/>
      <c r="C9978" s="13"/>
      <c r="D9978" s="13"/>
    </row>
    <row r="9979" spans="1:4">
      <c r="A9979" s="13"/>
      <c r="B9979" s="13"/>
      <c r="C9979" s="13"/>
      <c r="D9979" s="13"/>
    </row>
    <row r="9980" spans="1:4">
      <c r="A9980" s="13"/>
      <c r="B9980" s="13"/>
      <c r="C9980" s="13"/>
      <c r="D9980" s="13"/>
    </row>
    <row r="9981" spans="1:4">
      <c r="A9981" s="13"/>
      <c r="B9981" s="13"/>
      <c r="C9981" s="13"/>
      <c r="D9981" s="13"/>
    </row>
    <row r="9982" spans="1:4">
      <c r="A9982" s="13"/>
      <c r="B9982" s="13"/>
      <c r="C9982" s="13"/>
      <c r="D9982" s="13"/>
    </row>
    <row r="9983" spans="1:4">
      <c r="A9983" s="13"/>
      <c r="B9983" s="13"/>
      <c r="C9983" s="13"/>
      <c r="D9983" s="13"/>
    </row>
    <row r="9984" spans="1:4">
      <c r="A9984" s="13"/>
      <c r="B9984" s="13"/>
      <c r="C9984" s="13"/>
      <c r="D9984" s="13"/>
    </row>
    <row r="9985" spans="1:4">
      <c r="A9985" s="13"/>
      <c r="B9985" s="13"/>
      <c r="C9985" s="13"/>
      <c r="D9985" s="13"/>
    </row>
    <row r="9986" spans="1:4">
      <c r="A9986" s="13"/>
      <c r="B9986" s="13"/>
      <c r="C9986" s="13"/>
      <c r="D9986" s="13"/>
    </row>
    <row r="9987" spans="1:4">
      <c r="A9987" s="13"/>
      <c r="B9987" s="13"/>
      <c r="C9987" s="13"/>
      <c r="D9987" s="13"/>
    </row>
    <row r="9988" spans="1:4">
      <c r="A9988" s="13"/>
      <c r="B9988" s="13"/>
      <c r="C9988" s="13"/>
      <c r="D9988" s="13"/>
    </row>
    <row r="9989" spans="1:4">
      <c r="A9989" s="13"/>
      <c r="B9989" s="13"/>
      <c r="C9989" s="13"/>
      <c r="D9989" s="13"/>
    </row>
    <row r="9990" spans="1:4">
      <c r="A9990" s="13"/>
      <c r="B9990" s="13"/>
      <c r="C9990" s="13"/>
      <c r="D9990" s="13"/>
    </row>
    <row r="9991" spans="1:4">
      <c r="A9991" s="13"/>
      <c r="B9991" s="13"/>
      <c r="C9991" s="13"/>
      <c r="D9991" s="13"/>
    </row>
    <row r="9992" spans="1:4">
      <c r="A9992" s="13"/>
      <c r="B9992" s="13"/>
      <c r="C9992" s="13"/>
      <c r="D9992" s="13"/>
    </row>
    <row r="9993" spans="1:4">
      <c r="A9993" s="13"/>
      <c r="B9993" s="13"/>
      <c r="C9993" s="13"/>
      <c r="D9993" s="13"/>
    </row>
    <row r="9994" spans="1:4">
      <c r="A9994" s="13"/>
      <c r="B9994" s="13"/>
      <c r="C9994" s="13"/>
      <c r="D9994" s="13"/>
    </row>
    <row r="9995" spans="1:4">
      <c r="A9995" s="13"/>
      <c r="B9995" s="13"/>
      <c r="C9995" s="13"/>
      <c r="D9995" s="13"/>
    </row>
    <row r="9996" spans="1:4">
      <c r="A9996" s="13"/>
      <c r="B9996" s="13"/>
      <c r="C9996" s="13"/>
      <c r="D9996" s="13"/>
    </row>
    <row r="9997" spans="1:4">
      <c r="A9997" s="13"/>
      <c r="B9997" s="13"/>
      <c r="C9997" s="13"/>
      <c r="D9997" s="13"/>
    </row>
    <row r="9998" spans="1:4">
      <c r="A9998" s="13"/>
      <c r="B9998" s="13"/>
      <c r="C9998" s="13"/>
      <c r="D9998" s="13"/>
    </row>
    <row r="9999" spans="1:4">
      <c r="A9999" s="13"/>
      <c r="B9999" s="13"/>
      <c r="C9999" s="13"/>
      <c r="D9999" s="13"/>
    </row>
    <row r="10000" spans="1:4">
      <c r="A10000" s="13"/>
      <c r="B10000" s="13"/>
      <c r="C10000" s="13"/>
      <c r="D10000" s="13"/>
    </row>
    <row r="10001" spans="1:4">
      <c r="A10001" s="13"/>
      <c r="B10001" s="13"/>
      <c r="C10001" s="13"/>
      <c r="D10001" s="13"/>
    </row>
    <row r="10002" spans="1:4">
      <c r="A10002" s="13"/>
      <c r="B10002" s="13"/>
      <c r="C10002" s="13"/>
      <c r="D10002" s="13"/>
    </row>
    <row r="10003" spans="1:4">
      <c r="A10003" s="13"/>
      <c r="B10003" s="13"/>
      <c r="C10003" s="13"/>
      <c r="D10003" s="13"/>
    </row>
    <row r="10004" spans="1:4">
      <c r="A10004" s="13"/>
      <c r="B10004" s="13"/>
      <c r="C10004" s="13"/>
      <c r="D10004" s="13"/>
    </row>
    <row r="10005" spans="1:4">
      <c r="A10005" s="13"/>
      <c r="B10005" s="13"/>
      <c r="C10005" s="13"/>
      <c r="D10005" s="13"/>
    </row>
    <row r="10006" spans="1:4">
      <c r="A10006" s="13"/>
      <c r="B10006" s="13"/>
      <c r="C10006" s="13"/>
      <c r="D10006" s="13"/>
    </row>
    <row r="10007" spans="1:4">
      <c r="A10007" s="13"/>
      <c r="B10007" s="13"/>
      <c r="C10007" s="13"/>
      <c r="D10007" s="13"/>
    </row>
    <row r="10008" spans="1:4">
      <c r="A10008" s="13"/>
      <c r="B10008" s="13"/>
      <c r="C10008" s="13"/>
      <c r="D10008" s="13"/>
    </row>
    <row r="10009" spans="1:4">
      <c r="A10009" s="13"/>
      <c r="B10009" s="13"/>
      <c r="C10009" s="13"/>
      <c r="D10009" s="13"/>
    </row>
    <row r="10010" spans="1:4">
      <c r="A10010" s="13"/>
      <c r="B10010" s="13"/>
      <c r="C10010" s="13"/>
      <c r="D10010" s="13"/>
    </row>
    <row r="10011" spans="1:4">
      <c r="A10011" s="13"/>
      <c r="B10011" s="13"/>
      <c r="C10011" s="13"/>
      <c r="D10011" s="13"/>
    </row>
    <row r="10012" spans="1:4">
      <c r="A10012" s="13"/>
      <c r="B10012" s="13"/>
      <c r="C10012" s="13"/>
      <c r="D10012" s="13"/>
    </row>
    <row r="10013" spans="1:4">
      <c r="A10013" s="13"/>
      <c r="B10013" s="13"/>
      <c r="C10013" s="13"/>
      <c r="D10013" s="13"/>
    </row>
    <row r="10014" spans="1:4">
      <c r="A10014" s="13"/>
      <c r="B10014" s="13"/>
      <c r="C10014" s="13"/>
      <c r="D10014" s="13"/>
    </row>
    <row r="10015" spans="1:4">
      <c r="A10015" s="13"/>
      <c r="B10015" s="13"/>
      <c r="C10015" s="13"/>
      <c r="D10015" s="13"/>
    </row>
    <row r="10016" spans="1:4">
      <c r="A10016" s="13"/>
      <c r="B10016" s="13"/>
      <c r="C10016" s="13"/>
      <c r="D10016" s="13"/>
    </row>
    <row r="10017" spans="1:4">
      <c r="A10017" s="13"/>
      <c r="B10017" s="13"/>
      <c r="C10017" s="13"/>
      <c r="D10017" s="13"/>
    </row>
    <row r="10018" spans="1:4">
      <c r="A10018" s="13"/>
      <c r="B10018" s="13"/>
      <c r="C10018" s="13"/>
      <c r="D10018" s="13"/>
    </row>
    <row r="10019" spans="1:4">
      <c r="A10019" s="13"/>
      <c r="B10019" s="13"/>
      <c r="C10019" s="13"/>
      <c r="D10019" s="13"/>
    </row>
    <row r="10020" spans="1:4">
      <c r="A10020" s="13"/>
      <c r="B10020" s="13"/>
      <c r="C10020" s="13"/>
      <c r="D10020" s="13"/>
    </row>
    <row r="10021" spans="1:4">
      <c r="A10021" s="13"/>
      <c r="B10021" s="13"/>
      <c r="C10021" s="13"/>
      <c r="D10021" s="13"/>
    </row>
    <row r="10022" spans="1:4">
      <c r="A10022" s="13"/>
      <c r="B10022" s="13"/>
      <c r="C10022" s="13"/>
      <c r="D10022" s="13"/>
    </row>
    <row r="10023" spans="1:4">
      <c r="A10023" s="13"/>
      <c r="B10023" s="13"/>
      <c r="C10023" s="13"/>
      <c r="D10023" s="13"/>
    </row>
    <row r="10024" spans="1:4">
      <c r="A10024" s="13"/>
      <c r="B10024" s="13"/>
      <c r="C10024" s="13"/>
      <c r="D10024" s="13"/>
    </row>
    <row r="10025" spans="1:4">
      <c r="A10025" s="13"/>
      <c r="B10025" s="13"/>
      <c r="C10025" s="13"/>
      <c r="D10025" s="13"/>
    </row>
    <row r="10026" spans="1:4">
      <c r="A10026" s="13"/>
      <c r="B10026" s="13"/>
      <c r="C10026" s="13"/>
      <c r="D10026" s="13"/>
    </row>
    <row r="10027" spans="1:4">
      <c r="A10027" s="13"/>
      <c r="B10027" s="13"/>
      <c r="C10027" s="13"/>
      <c r="D10027" s="13"/>
    </row>
    <row r="10028" spans="1:4">
      <c r="A10028" s="13"/>
      <c r="B10028" s="13"/>
      <c r="C10028" s="13"/>
      <c r="D10028" s="13"/>
    </row>
    <row r="10029" spans="1:4">
      <c r="A10029" s="13"/>
      <c r="B10029" s="13"/>
      <c r="C10029" s="13"/>
      <c r="D10029" s="13"/>
    </row>
    <row r="10030" spans="1:4">
      <c r="A10030" s="13"/>
      <c r="B10030" s="13"/>
      <c r="C10030" s="13"/>
      <c r="D10030" s="13"/>
    </row>
    <row r="10031" spans="1:4">
      <c r="A10031" s="13"/>
      <c r="B10031" s="13"/>
      <c r="C10031" s="13"/>
      <c r="D10031" s="13"/>
    </row>
    <row r="10032" spans="1:4">
      <c r="A10032" s="13"/>
      <c r="B10032" s="13"/>
      <c r="C10032" s="13"/>
      <c r="D10032" s="13"/>
    </row>
    <row r="10033" spans="1:4">
      <c r="A10033" s="13"/>
      <c r="B10033" s="13"/>
      <c r="C10033" s="13"/>
      <c r="D10033" s="13"/>
    </row>
    <row r="10034" spans="1:4">
      <c r="A10034" s="13"/>
      <c r="B10034" s="13"/>
      <c r="C10034" s="13"/>
      <c r="D10034" s="13"/>
    </row>
    <row r="10035" spans="1:4">
      <c r="A10035" s="13"/>
      <c r="B10035" s="13"/>
      <c r="C10035" s="13"/>
      <c r="D10035" s="13"/>
    </row>
    <row r="10036" spans="1:4">
      <c r="A10036" s="13"/>
      <c r="B10036" s="13"/>
      <c r="C10036" s="13"/>
      <c r="D10036" s="13"/>
    </row>
    <row r="10037" spans="1:4">
      <c r="A10037" s="13"/>
      <c r="B10037" s="13"/>
      <c r="C10037" s="13"/>
      <c r="D10037" s="13"/>
    </row>
    <row r="10038" spans="1:4">
      <c r="A10038" s="13"/>
      <c r="B10038" s="13"/>
      <c r="C10038" s="13"/>
      <c r="D10038" s="13"/>
    </row>
    <row r="10039" spans="1:4">
      <c r="A10039" s="13"/>
      <c r="B10039" s="13"/>
      <c r="C10039" s="13"/>
      <c r="D10039" s="13"/>
    </row>
    <row r="10040" spans="1:4">
      <c r="A10040" s="13"/>
      <c r="B10040" s="13"/>
      <c r="C10040" s="13"/>
      <c r="D10040" s="13"/>
    </row>
    <row r="10041" spans="1:4">
      <c r="A10041" s="13"/>
      <c r="B10041" s="13"/>
      <c r="C10041" s="13"/>
      <c r="D10041" s="13"/>
    </row>
    <row r="10042" spans="1:4">
      <c r="A10042" s="13"/>
      <c r="B10042" s="13"/>
      <c r="C10042" s="13"/>
      <c r="D10042" s="13"/>
    </row>
    <row r="10043" spans="1:4">
      <c r="A10043" s="13"/>
      <c r="B10043" s="13"/>
      <c r="C10043" s="13"/>
      <c r="D10043" s="13"/>
    </row>
    <row r="10044" spans="1:4">
      <c r="A10044" s="13"/>
      <c r="B10044" s="13"/>
      <c r="C10044" s="13"/>
      <c r="D10044" s="13"/>
    </row>
    <row r="10045" spans="1:4">
      <c r="A10045" s="13"/>
      <c r="B10045" s="13"/>
      <c r="C10045" s="13"/>
      <c r="D10045" s="13"/>
    </row>
    <row r="10046" spans="1:4">
      <c r="A10046" s="13"/>
      <c r="B10046" s="13"/>
      <c r="C10046" s="13"/>
      <c r="D10046" s="13"/>
    </row>
    <row r="10047" spans="1:4">
      <c r="A10047" s="13"/>
      <c r="B10047" s="13"/>
      <c r="C10047" s="13"/>
      <c r="D10047" s="13"/>
    </row>
    <row r="10048" spans="1:4">
      <c r="A10048" s="13"/>
      <c r="B10048" s="13"/>
      <c r="C10048" s="13"/>
      <c r="D10048" s="13"/>
    </row>
    <row r="10049" spans="1:4">
      <c r="A10049" s="13"/>
      <c r="B10049" s="13"/>
      <c r="C10049" s="13"/>
      <c r="D10049" s="13"/>
    </row>
    <row r="10050" spans="1:4">
      <c r="A10050" s="13"/>
      <c r="B10050" s="13"/>
      <c r="C10050" s="13"/>
      <c r="D10050" s="13"/>
    </row>
    <row r="10051" spans="1:4">
      <c r="A10051" s="13"/>
      <c r="B10051" s="13"/>
      <c r="C10051" s="13"/>
      <c r="D10051" s="13"/>
    </row>
    <row r="10052" spans="1:4">
      <c r="A10052" s="13"/>
      <c r="B10052" s="13"/>
      <c r="C10052" s="13"/>
      <c r="D10052" s="13"/>
    </row>
    <row r="10053" spans="1:4">
      <c r="A10053" s="13"/>
      <c r="B10053" s="13"/>
      <c r="C10053" s="13"/>
      <c r="D10053" s="13"/>
    </row>
    <row r="10054" spans="1:4">
      <c r="A10054" s="13"/>
      <c r="B10054" s="13"/>
      <c r="C10054" s="13"/>
      <c r="D10054" s="13"/>
    </row>
    <row r="10055" spans="1:4">
      <c r="A10055" s="13"/>
      <c r="B10055" s="13"/>
      <c r="C10055" s="13"/>
      <c r="D10055" s="13"/>
    </row>
    <row r="10056" spans="1:4">
      <c r="A10056" s="13"/>
      <c r="B10056" s="13"/>
      <c r="C10056" s="13"/>
      <c r="D10056" s="13"/>
    </row>
    <row r="10057" spans="1:4">
      <c r="A10057" s="13"/>
      <c r="B10057" s="13"/>
      <c r="C10057" s="13"/>
      <c r="D10057" s="13"/>
    </row>
    <row r="10058" spans="1:4">
      <c r="A10058" s="13"/>
      <c r="B10058" s="13"/>
      <c r="C10058" s="13"/>
      <c r="D10058" s="13"/>
    </row>
    <row r="10059" spans="1:4">
      <c r="A10059" s="13"/>
      <c r="B10059" s="13"/>
      <c r="C10059" s="13"/>
      <c r="D10059" s="13"/>
    </row>
    <row r="10060" spans="1:4">
      <c r="A10060" s="13"/>
      <c r="B10060" s="13"/>
      <c r="C10060" s="13"/>
      <c r="D10060" s="13"/>
    </row>
    <row r="10061" spans="1:4">
      <c r="A10061" s="13"/>
      <c r="B10061" s="13"/>
      <c r="C10061" s="13"/>
      <c r="D10061" s="13"/>
    </row>
    <row r="10062" spans="1:4">
      <c r="A10062" s="13"/>
      <c r="B10062" s="13"/>
      <c r="C10062" s="13"/>
      <c r="D10062" s="13"/>
    </row>
    <row r="10063" spans="1:4">
      <c r="A10063" s="13"/>
      <c r="B10063" s="13"/>
      <c r="C10063" s="13"/>
      <c r="D10063" s="13"/>
    </row>
    <row r="10064" spans="1:4">
      <c r="A10064" s="13"/>
      <c r="B10064" s="13"/>
      <c r="C10064" s="13"/>
      <c r="D10064" s="13"/>
    </row>
    <row r="10065" spans="1:4">
      <c r="A10065" s="13"/>
      <c r="B10065" s="13"/>
      <c r="C10065" s="13"/>
      <c r="D10065" s="13"/>
    </row>
    <row r="10066" spans="1:4">
      <c r="A10066" s="13"/>
      <c r="B10066" s="13"/>
      <c r="C10066" s="13"/>
      <c r="D10066" s="13"/>
    </row>
    <row r="10067" spans="1:4">
      <c r="A10067" s="13"/>
      <c r="B10067" s="13"/>
      <c r="C10067" s="13"/>
      <c r="D10067" s="13"/>
    </row>
    <row r="10068" spans="1:4">
      <c r="A10068" s="13"/>
      <c r="B10068" s="13"/>
      <c r="C10068" s="13"/>
      <c r="D10068" s="13"/>
    </row>
    <row r="10069" spans="1:4">
      <c r="A10069" s="13"/>
      <c r="B10069" s="13"/>
      <c r="C10069" s="13"/>
      <c r="D10069" s="13"/>
    </row>
    <row r="10070" spans="1:4">
      <c r="A10070" s="13"/>
      <c r="B10070" s="13"/>
      <c r="C10070" s="13"/>
      <c r="D10070" s="13"/>
    </row>
    <row r="10071" spans="1:4">
      <c r="A10071" s="13"/>
      <c r="B10071" s="13"/>
      <c r="C10071" s="13"/>
      <c r="D10071" s="13"/>
    </row>
    <row r="10072" spans="1:4">
      <c r="A10072" s="13"/>
      <c r="B10072" s="13"/>
      <c r="C10072" s="13"/>
      <c r="D10072" s="13"/>
    </row>
    <row r="10073" spans="1:4">
      <c r="A10073" s="13"/>
      <c r="B10073" s="13"/>
      <c r="C10073" s="13"/>
      <c r="D10073" s="13"/>
    </row>
    <row r="10074" spans="1:4">
      <c r="A10074" s="13"/>
      <c r="B10074" s="13"/>
      <c r="C10074" s="13"/>
      <c r="D10074" s="13"/>
    </row>
    <row r="10075" spans="1:4">
      <c r="A10075" s="13"/>
      <c r="B10075" s="13"/>
      <c r="C10075" s="13"/>
      <c r="D10075" s="13"/>
    </row>
    <row r="10076" spans="1:4">
      <c r="A10076" s="13"/>
      <c r="B10076" s="13"/>
      <c r="C10076" s="13"/>
      <c r="D10076" s="13"/>
    </row>
    <row r="10077" spans="1:4">
      <c r="A10077" s="13"/>
      <c r="B10077" s="13"/>
      <c r="C10077" s="13"/>
      <c r="D10077" s="13"/>
    </row>
    <row r="10078" spans="1:4">
      <c r="A10078" s="13"/>
      <c r="B10078" s="13"/>
      <c r="C10078" s="13"/>
      <c r="D10078" s="13"/>
    </row>
    <row r="10079" spans="1:4">
      <c r="A10079" s="13"/>
      <c r="B10079" s="13"/>
      <c r="C10079" s="13"/>
      <c r="D10079" s="13"/>
    </row>
    <row r="10080" spans="1:4">
      <c r="A10080" s="13"/>
      <c r="B10080" s="13"/>
      <c r="C10080" s="13"/>
      <c r="D10080" s="13"/>
    </row>
    <row r="10081" spans="1:4">
      <c r="A10081" s="13"/>
      <c r="B10081" s="13"/>
      <c r="C10081" s="13"/>
      <c r="D10081" s="13"/>
    </row>
    <row r="10082" spans="1:4">
      <c r="A10082" s="13"/>
      <c r="B10082" s="13"/>
      <c r="C10082" s="13"/>
      <c r="D10082" s="13"/>
    </row>
    <row r="10083" spans="1:4">
      <c r="A10083" s="13"/>
      <c r="B10083" s="13"/>
      <c r="C10083" s="13"/>
      <c r="D10083" s="13"/>
    </row>
    <row r="10084" spans="1:4">
      <c r="A10084" s="13"/>
      <c r="B10084" s="13"/>
      <c r="C10084" s="13"/>
      <c r="D10084" s="13"/>
    </row>
    <row r="10085" spans="1:4">
      <c r="A10085" s="13"/>
      <c r="B10085" s="13"/>
      <c r="C10085" s="13"/>
      <c r="D10085" s="13"/>
    </row>
    <row r="10086" spans="1:4">
      <c r="A10086" s="13"/>
      <c r="B10086" s="13"/>
      <c r="C10086" s="13"/>
      <c r="D10086" s="13"/>
    </row>
    <row r="10087" spans="1:4">
      <c r="A10087" s="13"/>
      <c r="B10087" s="13"/>
      <c r="C10087" s="13"/>
      <c r="D10087" s="13"/>
    </row>
    <row r="10088" spans="1:4">
      <c r="A10088" s="13"/>
      <c r="B10088" s="13"/>
      <c r="C10088" s="13"/>
      <c r="D10088" s="13"/>
    </row>
    <row r="10089" spans="1:4">
      <c r="A10089" s="13"/>
      <c r="B10089" s="13"/>
      <c r="C10089" s="13"/>
      <c r="D10089" s="13"/>
    </row>
    <row r="10090" spans="1:4">
      <c r="A10090" s="13"/>
      <c r="B10090" s="13"/>
      <c r="C10090" s="13"/>
      <c r="D10090" s="13"/>
    </row>
    <row r="10091" spans="1:4">
      <c r="A10091" s="13"/>
      <c r="B10091" s="13"/>
      <c r="C10091" s="13"/>
      <c r="D10091" s="13"/>
    </row>
    <row r="10092" spans="1:4">
      <c r="A10092" s="13"/>
      <c r="B10092" s="13"/>
      <c r="C10092" s="13"/>
      <c r="D10092" s="13"/>
    </row>
    <row r="10093" spans="1:4">
      <c r="A10093" s="13"/>
      <c r="B10093" s="13"/>
      <c r="C10093" s="13"/>
      <c r="D10093" s="13"/>
    </row>
    <row r="10094" spans="1:4">
      <c r="A10094" s="13"/>
      <c r="B10094" s="13"/>
      <c r="C10094" s="13"/>
      <c r="D10094" s="13"/>
    </row>
    <row r="10095" spans="1:4">
      <c r="A10095" s="13"/>
      <c r="B10095" s="13"/>
      <c r="C10095" s="13"/>
      <c r="D10095" s="13"/>
    </row>
    <row r="10096" spans="1:4">
      <c r="A10096" s="13"/>
      <c r="B10096" s="13"/>
      <c r="C10096" s="13"/>
      <c r="D10096" s="13"/>
    </row>
    <row r="10097" spans="1:4">
      <c r="A10097" s="13"/>
      <c r="B10097" s="13"/>
      <c r="C10097" s="13"/>
      <c r="D10097" s="13"/>
    </row>
    <row r="10098" spans="1:4">
      <c r="A10098" s="13"/>
      <c r="B10098" s="13"/>
      <c r="C10098" s="13"/>
      <c r="D10098" s="13"/>
    </row>
    <row r="10099" spans="1:4">
      <c r="A10099" s="13"/>
      <c r="B10099" s="13"/>
      <c r="C10099" s="13"/>
      <c r="D10099" s="13"/>
    </row>
    <row r="10100" spans="1:4">
      <c r="A10100" s="13"/>
      <c r="B10100" s="13"/>
      <c r="C10100" s="13"/>
      <c r="D10100" s="13"/>
    </row>
    <row r="10101" spans="1:4">
      <c r="A10101" s="13"/>
      <c r="B10101" s="13"/>
      <c r="C10101" s="13"/>
      <c r="D10101" s="13"/>
    </row>
    <row r="10102" spans="1:4">
      <c r="A10102" s="13"/>
      <c r="B10102" s="13"/>
      <c r="C10102" s="13"/>
      <c r="D10102" s="13"/>
    </row>
    <row r="10103" spans="1:4">
      <c r="A10103" s="13"/>
      <c r="B10103" s="13"/>
      <c r="C10103" s="13"/>
      <c r="D10103" s="13"/>
    </row>
    <row r="10104" spans="1:4">
      <c r="A10104" s="13"/>
      <c r="B10104" s="13"/>
      <c r="C10104" s="13"/>
      <c r="D10104" s="13"/>
    </row>
    <row r="10105" spans="1:4">
      <c r="A10105" s="13"/>
      <c r="B10105" s="13"/>
      <c r="C10105" s="13"/>
      <c r="D10105" s="13"/>
    </row>
    <row r="10106" spans="1:4">
      <c r="A10106" s="13"/>
      <c r="B10106" s="13"/>
      <c r="C10106" s="13"/>
      <c r="D10106" s="13"/>
    </row>
    <row r="10107" spans="1:4">
      <c r="A10107" s="13"/>
      <c r="B10107" s="13"/>
      <c r="C10107" s="13"/>
      <c r="D10107" s="13"/>
    </row>
    <row r="10108" spans="1:4">
      <c r="A10108" s="13"/>
      <c r="B10108" s="13"/>
      <c r="C10108" s="13"/>
      <c r="D10108" s="13"/>
    </row>
    <row r="10109" spans="1:4">
      <c r="A10109" s="13"/>
      <c r="B10109" s="13"/>
      <c r="C10109" s="13"/>
      <c r="D10109" s="13"/>
    </row>
    <row r="10110" spans="1:4">
      <c r="A10110" s="13"/>
      <c r="B10110" s="13"/>
      <c r="C10110" s="13"/>
      <c r="D10110" s="13"/>
    </row>
    <row r="10111" spans="1:4">
      <c r="A10111" s="13"/>
      <c r="B10111" s="13"/>
      <c r="C10111" s="13"/>
      <c r="D10111" s="13"/>
    </row>
    <row r="10112" spans="1:4">
      <c r="A10112" s="13"/>
      <c r="B10112" s="13"/>
      <c r="C10112" s="13"/>
      <c r="D10112" s="13"/>
    </row>
    <row r="10113" spans="1:4">
      <c r="A10113" s="13"/>
      <c r="B10113" s="13"/>
      <c r="C10113" s="13"/>
      <c r="D10113" s="13"/>
    </row>
    <row r="10114" spans="1:4">
      <c r="A10114" s="13"/>
      <c r="B10114" s="13"/>
      <c r="C10114" s="13"/>
      <c r="D10114" s="13"/>
    </row>
    <row r="10115" spans="1:4">
      <c r="A10115" s="13"/>
      <c r="B10115" s="13"/>
      <c r="C10115" s="13"/>
      <c r="D10115" s="13"/>
    </row>
    <row r="10116" spans="1:4">
      <c r="A10116" s="13"/>
      <c r="B10116" s="13"/>
      <c r="C10116" s="13"/>
      <c r="D10116" s="13"/>
    </row>
    <row r="10117" spans="1:4">
      <c r="A10117" s="13"/>
      <c r="B10117" s="13"/>
      <c r="C10117" s="13"/>
      <c r="D10117" s="13"/>
    </row>
    <row r="10118" spans="1:4">
      <c r="A10118" s="13"/>
      <c r="B10118" s="13"/>
      <c r="C10118" s="13"/>
      <c r="D10118" s="13"/>
    </row>
    <row r="10119" spans="1:4">
      <c r="A10119" s="13"/>
      <c r="B10119" s="13"/>
      <c r="C10119" s="13"/>
      <c r="D10119" s="13"/>
    </row>
    <row r="10120" spans="1:4">
      <c r="A10120" s="13"/>
      <c r="B10120" s="13"/>
      <c r="C10120" s="13"/>
      <c r="D10120" s="13"/>
    </row>
    <row r="10121" spans="1:4">
      <c r="A10121" s="13"/>
      <c r="B10121" s="13"/>
      <c r="C10121" s="13"/>
      <c r="D10121" s="13"/>
    </row>
    <row r="10122" spans="1:4">
      <c r="A10122" s="13"/>
      <c r="B10122" s="13"/>
      <c r="C10122" s="13"/>
      <c r="D10122" s="13"/>
    </row>
    <row r="10123" spans="1:4">
      <c r="A10123" s="13"/>
      <c r="B10123" s="13"/>
      <c r="C10123" s="13"/>
      <c r="D10123" s="13"/>
    </row>
    <row r="10124" spans="1:4">
      <c r="A10124" s="13"/>
      <c r="B10124" s="13"/>
      <c r="C10124" s="13"/>
      <c r="D10124" s="13"/>
    </row>
    <row r="10125" spans="1:4">
      <c r="A10125" s="13"/>
      <c r="B10125" s="13"/>
      <c r="C10125" s="13"/>
      <c r="D10125" s="13"/>
    </row>
    <row r="10126" spans="1:4">
      <c r="A10126" s="13"/>
      <c r="B10126" s="13"/>
      <c r="C10126" s="13"/>
      <c r="D10126" s="13"/>
    </row>
    <row r="10127" spans="1:4">
      <c r="A10127" s="13"/>
      <c r="B10127" s="13"/>
      <c r="C10127" s="13"/>
      <c r="D10127" s="13"/>
    </row>
    <row r="10128" spans="1:4">
      <c r="A10128" s="13"/>
      <c r="B10128" s="13"/>
      <c r="C10128" s="13"/>
      <c r="D10128" s="13"/>
    </row>
    <row r="10129" spans="1:4">
      <c r="A10129" s="13"/>
      <c r="B10129" s="13"/>
      <c r="C10129" s="13"/>
      <c r="D10129" s="13"/>
    </row>
    <row r="10130" spans="1:4">
      <c r="A10130" s="13"/>
      <c r="B10130" s="13"/>
      <c r="C10130" s="13"/>
      <c r="D10130" s="13"/>
    </row>
    <row r="10131" spans="1:4">
      <c r="A10131" s="13"/>
      <c r="B10131" s="13"/>
      <c r="C10131" s="13"/>
      <c r="D10131" s="13"/>
    </row>
    <row r="10132" spans="1:4">
      <c r="A10132" s="13"/>
      <c r="B10132" s="13"/>
      <c r="C10132" s="13"/>
      <c r="D10132" s="13"/>
    </row>
    <row r="10133" spans="1:4">
      <c r="A10133" s="13"/>
      <c r="B10133" s="13"/>
      <c r="C10133" s="13"/>
      <c r="D10133" s="13"/>
    </row>
    <row r="10134" spans="1:4">
      <c r="A10134" s="13"/>
      <c r="B10134" s="13"/>
      <c r="C10134" s="13"/>
      <c r="D10134" s="13"/>
    </row>
    <row r="10135" spans="1:4">
      <c r="A10135" s="13"/>
      <c r="B10135" s="13"/>
      <c r="C10135" s="13"/>
      <c r="D10135" s="13"/>
    </row>
    <row r="10136" spans="1:4">
      <c r="A10136" s="13"/>
      <c r="B10136" s="13"/>
      <c r="C10136" s="13"/>
      <c r="D10136" s="13"/>
    </row>
    <row r="10137" spans="1:4">
      <c r="A10137" s="13"/>
      <c r="B10137" s="13"/>
      <c r="C10137" s="13"/>
      <c r="D10137" s="13"/>
    </row>
    <row r="10138" spans="1:4">
      <c r="A10138" s="13"/>
      <c r="B10138" s="13"/>
      <c r="C10138" s="13"/>
      <c r="D10138" s="13"/>
    </row>
    <row r="10139" spans="1:4">
      <c r="A10139" s="13"/>
      <c r="B10139" s="13"/>
      <c r="C10139" s="13"/>
      <c r="D10139" s="13"/>
    </row>
    <row r="10140" spans="1:4">
      <c r="A10140" s="13"/>
      <c r="B10140" s="13"/>
      <c r="C10140" s="13"/>
      <c r="D10140" s="13"/>
    </row>
    <row r="10141" spans="1:4">
      <c r="A10141" s="13"/>
      <c r="B10141" s="13"/>
      <c r="C10141" s="13"/>
      <c r="D10141" s="13"/>
    </row>
    <row r="10142" spans="1:4">
      <c r="A10142" s="13"/>
      <c r="B10142" s="13"/>
      <c r="C10142" s="13"/>
      <c r="D10142" s="13"/>
    </row>
    <row r="10143" spans="1:4">
      <c r="A10143" s="13"/>
      <c r="B10143" s="13"/>
      <c r="C10143" s="13"/>
      <c r="D10143" s="13"/>
    </row>
    <row r="10144" spans="1:4">
      <c r="A10144" s="13"/>
      <c r="B10144" s="13"/>
      <c r="C10144" s="13"/>
      <c r="D10144" s="13"/>
    </row>
    <row r="10145" spans="1:4">
      <c r="A10145" s="13"/>
      <c r="B10145" s="13"/>
      <c r="C10145" s="13"/>
      <c r="D10145" s="13"/>
    </row>
    <row r="10146" spans="1:4">
      <c r="A10146" s="13"/>
      <c r="B10146" s="13"/>
      <c r="C10146" s="13"/>
      <c r="D10146" s="13"/>
    </row>
    <row r="10147" spans="1:4">
      <c r="A10147" s="13"/>
      <c r="B10147" s="13"/>
      <c r="C10147" s="13"/>
      <c r="D10147" s="13"/>
    </row>
    <row r="10148" spans="1:4">
      <c r="A10148" s="13"/>
      <c r="B10148" s="13"/>
      <c r="C10148" s="13"/>
      <c r="D10148" s="13"/>
    </row>
    <row r="10149" spans="1:4">
      <c r="A10149" s="13"/>
      <c r="B10149" s="13"/>
      <c r="C10149" s="13"/>
      <c r="D10149" s="13"/>
    </row>
    <row r="10150" spans="1:4">
      <c r="A10150" s="13"/>
      <c r="B10150" s="13"/>
      <c r="C10150" s="13"/>
      <c r="D10150" s="13"/>
    </row>
    <row r="10151" spans="1:4">
      <c r="A10151" s="13"/>
      <c r="B10151" s="13"/>
      <c r="C10151" s="13"/>
      <c r="D10151" s="13"/>
    </row>
    <row r="10152" spans="1:4">
      <c r="A10152" s="13"/>
      <c r="B10152" s="13"/>
      <c r="C10152" s="13"/>
      <c r="D10152" s="13"/>
    </row>
    <row r="10153" spans="1:4">
      <c r="A10153" s="13"/>
      <c r="B10153" s="13"/>
      <c r="C10153" s="13"/>
      <c r="D10153" s="13"/>
    </row>
    <row r="10154" spans="1:4">
      <c r="A10154" s="13"/>
      <c r="B10154" s="13"/>
      <c r="C10154" s="13"/>
      <c r="D10154" s="13"/>
    </row>
    <row r="10155" spans="1:4">
      <c r="A10155" s="13"/>
      <c r="B10155" s="13"/>
      <c r="C10155" s="13"/>
      <c r="D10155" s="13"/>
    </row>
    <row r="10156" spans="1:4">
      <c r="A10156" s="13"/>
      <c r="B10156" s="13"/>
      <c r="C10156" s="13"/>
      <c r="D10156" s="13"/>
    </row>
    <row r="10157" spans="1:4">
      <c r="A10157" s="13"/>
      <c r="B10157" s="13"/>
      <c r="C10157" s="13"/>
      <c r="D10157" s="13"/>
    </row>
    <row r="10158" spans="1:4">
      <c r="A10158" s="13"/>
      <c r="B10158" s="13"/>
      <c r="C10158" s="13"/>
      <c r="D10158" s="13"/>
    </row>
    <row r="10159" spans="1:4">
      <c r="A10159" s="13"/>
      <c r="B10159" s="13"/>
      <c r="C10159" s="13"/>
      <c r="D10159" s="13"/>
    </row>
    <row r="10160" spans="1:4">
      <c r="A10160" s="13"/>
      <c r="B10160" s="13"/>
      <c r="C10160" s="13"/>
      <c r="D10160" s="13"/>
    </row>
    <row r="10161" spans="1:4">
      <c r="A10161" s="13"/>
      <c r="B10161" s="13"/>
      <c r="C10161" s="13"/>
      <c r="D10161" s="13"/>
    </row>
    <row r="10162" spans="1:4">
      <c r="A10162" s="13"/>
      <c r="B10162" s="13"/>
      <c r="C10162" s="13"/>
      <c r="D10162" s="13"/>
    </row>
    <row r="10163" spans="1:4">
      <c r="A10163" s="13"/>
      <c r="B10163" s="13"/>
      <c r="C10163" s="13"/>
      <c r="D10163" s="13"/>
    </row>
    <row r="10164" spans="1:4">
      <c r="A10164" s="13"/>
      <c r="B10164" s="13"/>
      <c r="C10164" s="13"/>
      <c r="D10164" s="13"/>
    </row>
    <row r="10165" spans="1:4">
      <c r="A10165" s="13"/>
      <c r="B10165" s="13"/>
      <c r="C10165" s="13"/>
      <c r="D10165" s="13"/>
    </row>
    <row r="10166" spans="1:4">
      <c r="A10166" s="13"/>
      <c r="B10166" s="13"/>
      <c r="C10166" s="13"/>
      <c r="D10166" s="13"/>
    </row>
    <row r="10167" spans="1:4">
      <c r="A10167" s="13"/>
      <c r="B10167" s="13"/>
      <c r="C10167" s="13"/>
      <c r="D10167" s="13"/>
    </row>
    <row r="10168" spans="1:4">
      <c r="A10168" s="13"/>
      <c r="B10168" s="13"/>
      <c r="C10168" s="13"/>
      <c r="D10168" s="13"/>
    </row>
    <row r="10169" spans="1:4">
      <c r="A10169" s="13"/>
      <c r="B10169" s="13"/>
      <c r="C10169" s="13"/>
      <c r="D10169" s="13"/>
    </row>
    <row r="10170" spans="1:4">
      <c r="A10170" s="13"/>
      <c r="B10170" s="13"/>
      <c r="C10170" s="13"/>
      <c r="D10170" s="13"/>
    </row>
    <row r="10171" spans="1:4">
      <c r="A10171" s="13"/>
      <c r="B10171" s="13"/>
      <c r="C10171" s="13"/>
      <c r="D10171" s="13"/>
    </row>
    <row r="10172" spans="1:4">
      <c r="A10172" s="13"/>
      <c r="B10172" s="13"/>
      <c r="C10172" s="13"/>
      <c r="D10172" s="13"/>
    </row>
    <row r="10173" spans="1:4">
      <c r="A10173" s="13"/>
      <c r="B10173" s="13"/>
      <c r="C10173" s="13"/>
      <c r="D10173" s="13"/>
    </row>
    <row r="10174" spans="1:4">
      <c r="A10174" s="13"/>
      <c r="B10174" s="13"/>
      <c r="C10174" s="13"/>
      <c r="D10174" s="13"/>
    </row>
    <row r="10175" spans="1:4">
      <c r="A10175" s="13"/>
      <c r="B10175" s="13"/>
      <c r="C10175" s="13"/>
      <c r="D10175" s="13"/>
    </row>
    <row r="10176" spans="1:4">
      <c r="A10176" s="13"/>
      <c r="B10176" s="13"/>
      <c r="C10176" s="13"/>
      <c r="D10176" s="13"/>
    </row>
    <row r="10177" spans="1:4">
      <c r="A10177" s="13"/>
      <c r="B10177" s="13"/>
      <c r="C10177" s="13"/>
      <c r="D10177" s="13"/>
    </row>
    <row r="10178" spans="1:4">
      <c r="A10178" s="13"/>
      <c r="B10178" s="13"/>
      <c r="C10178" s="13"/>
      <c r="D10178" s="13"/>
    </row>
    <row r="10179" spans="1:4">
      <c r="A10179" s="13"/>
      <c r="B10179" s="13"/>
      <c r="C10179" s="13"/>
      <c r="D10179" s="13"/>
    </row>
    <row r="10180" spans="1:4">
      <c r="A10180" s="13"/>
      <c r="B10180" s="13"/>
      <c r="C10180" s="13"/>
      <c r="D10180" s="13"/>
    </row>
    <row r="10181" spans="1:4">
      <c r="A10181" s="13"/>
      <c r="B10181" s="13"/>
      <c r="C10181" s="13"/>
      <c r="D10181" s="13"/>
    </row>
    <row r="10182" spans="1:4">
      <c r="A10182" s="13"/>
      <c r="B10182" s="13"/>
      <c r="C10182" s="13"/>
      <c r="D10182" s="13"/>
    </row>
    <row r="10183" spans="1:4">
      <c r="A10183" s="13"/>
      <c r="B10183" s="13"/>
      <c r="C10183" s="13"/>
      <c r="D10183" s="13"/>
    </row>
    <row r="10184" spans="1:4">
      <c r="A10184" s="13"/>
      <c r="B10184" s="13"/>
      <c r="C10184" s="13"/>
      <c r="D10184" s="13"/>
    </row>
    <row r="10185" spans="1:4">
      <c r="A10185" s="13"/>
      <c r="B10185" s="13"/>
      <c r="C10185" s="13"/>
      <c r="D10185" s="13"/>
    </row>
    <row r="10186" spans="1:4">
      <c r="A10186" s="13"/>
      <c r="B10186" s="13"/>
      <c r="C10186" s="13"/>
      <c r="D10186" s="13"/>
    </row>
    <row r="10187" spans="1:4">
      <c r="A10187" s="13"/>
      <c r="B10187" s="13"/>
      <c r="C10187" s="13"/>
      <c r="D10187" s="13"/>
    </row>
    <row r="10188" spans="1:4">
      <c r="A10188" s="13"/>
      <c r="B10188" s="13"/>
      <c r="C10188" s="13"/>
      <c r="D10188" s="13"/>
    </row>
    <row r="10189" spans="1:4">
      <c r="A10189" s="13"/>
      <c r="B10189" s="13"/>
      <c r="C10189" s="13"/>
      <c r="D10189" s="13"/>
    </row>
    <row r="10190" spans="1:4">
      <c r="A10190" s="13"/>
      <c r="B10190" s="13"/>
      <c r="C10190" s="13"/>
      <c r="D10190" s="13"/>
    </row>
    <row r="10191" spans="1:4">
      <c r="A10191" s="13"/>
      <c r="B10191" s="13"/>
      <c r="C10191" s="13"/>
      <c r="D10191" s="13"/>
    </row>
    <row r="10192" spans="1:4">
      <c r="A10192" s="13"/>
      <c r="B10192" s="13"/>
      <c r="C10192" s="13"/>
      <c r="D10192" s="13"/>
    </row>
    <row r="10193" spans="1:4">
      <c r="A10193" s="13"/>
      <c r="B10193" s="13"/>
      <c r="C10193" s="13"/>
      <c r="D10193" s="13"/>
    </row>
    <row r="10194" spans="1:4">
      <c r="A10194" s="13"/>
      <c r="B10194" s="13"/>
      <c r="C10194" s="13"/>
      <c r="D10194" s="13"/>
    </row>
    <row r="10195" spans="1:4">
      <c r="A10195" s="13"/>
      <c r="B10195" s="13"/>
      <c r="C10195" s="13"/>
      <c r="D10195" s="13"/>
    </row>
    <row r="10196" spans="1:4">
      <c r="A10196" s="13"/>
      <c r="B10196" s="13"/>
      <c r="C10196" s="13"/>
      <c r="D10196" s="13"/>
    </row>
    <row r="10197" spans="1:4">
      <c r="A10197" s="13"/>
      <c r="B10197" s="13"/>
      <c r="C10197" s="13"/>
      <c r="D10197" s="13"/>
    </row>
    <row r="10198" spans="1:4">
      <c r="A10198" s="13"/>
      <c r="B10198" s="13"/>
      <c r="C10198" s="13"/>
      <c r="D10198" s="13"/>
    </row>
    <row r="10199" spans="1:4">
      <c r="A10199" s="13"/>
      <c r="B10199" s="13"/>
      <c r="C10199" s="13"/>
      <c r="D10199" s="13"/>
    </row>
    <row r="10200" spans="1:4">
      <c r="A10200" s="13"/>
      <c r="B10200" s="13"/>
      <c r="C10200" s="13"/>
      <c r="D10200" s="13"/>
    </row>
    <row r="10201" spans="1:4">
      <c r="A10201" s="13"/>
      <c r="B10201" s="13"/>
      <c r="C10201" s="13"/>
      <c r="D10201" s="13"/>
    </row>
    <row r="10202" spans="1:4">
      <c r="A10202" s="13"/>
      <c r="B10202" s="13"/>
      <c r="C10202" s="13"/>
      <c r="D10202" s="13"/>
    </row>
    <row r="10203" spans="1:4">
      <c r="A10203" s="13"/>
      <c r="B10203" s="13"/>
      <c r="C10203" s="13"/>
      <c r="D10203" s="13"/>
    </row>
    <row r="10204" spans="1:4">
      <c r="A10204" s="13"/>
      <c r="B10204" s="13"/>
      <c r="C10204" s="13"/>
      <c r="D10204" s="13"/>
    </row>
    <row r="10205" spans="1:4">
      <c r="A10205" s="13"/>
      <c r="B10205" s="13"/>
      <c r="C10205" s="13"/>
      <c r="D10205" s="13"/>
    </row>
    <row r="10206" spans="1:4">
      <c r="A10206" s="13"/>
      <c r="B10206" s="13"/>
      <c r="C10206" s="13"/>
      <c r="D10206" s="13"/>
    </row>
    <row r="10207" spans="1:4">
      <c r="A10207" s="13"/>
      <c r="B10207" s="13"/>
      <c r="C10207" s="13"/>
      <c r="D10207" s="13"/>
    </row>
    <row r="10208" spans="1:4">
      <c r="A10208" s="13"/>
      <c r="B10208" s="13"/>
      <c r="C10208" s="13"/>
      <c r="D10208" s="13"/>
    </row>
    <row r="10209" spans="1:4">
      <c r="A10209" s="13"/>
      <c r="B10209" s="13"/>
      <c r="C10209" s="13"/>
      <c r="D10209" s="13"/>
    </row>
    <row r="10210" spans="1:4">
      <c r="A10210" s="13"/>
      <c r="B10210" s="13"/>
      <c r="C10210" s="13"/>
      <c r="D10210" s="13"/>
    </row>
    <row r="10211" spans="1:4">
      <c r="A10211" s="13"/>
      <c r="B10211" s="13"/>
      <c r="C10211" s="13"/>
      <c r="D10211" s="13"/>
    </row>
    <row r="10212" spans="1:4">
      <c r="A10212" s="13"/>
      <c r="B10212" s="13"/>
      <c r="C10212" s="13"/>
      <c r="D10212" s="13"/>
    </row>
    <row r="10213" spans="1:4">
      <c r="A10213" s="13"/>
      <c r="B10213" s="13"/>
      <c r="C10213" s="13"/>
      <c r="D10213" s="13"/>
    </row>
    <row r="10214" spans="1:4">
      <c r="A10214" s="13"/>
      <c r="B10214" s="13"/>
      <c r="C10214" s="13"/>
      <c r="D10214" s="13"/>
    </row>
    <row r="10215" spans="1:4">
      <c r="A10215" s="13"/>
      <c r="B10215" s="13"/>
      <c r="C10215" s="13"/>
      <c r="D10215" s="13"/>
    </row>
    <row r="10216" spans="1:4">
      <c r="A10216" s="13"/>
      <c r="B10216" s="13"/>
      <c r="C10216" s="13"/>
      <c r="D10216" s="13"/>
    </row>
    <row r="10217" spans="1:4">
      <c r="A10217" s="13"/>
      <c r="B10217" s="13"/>
      <c r="C10217" s="13"/>
      <c r="D10217" s="13"/>
    </row>
    <row r="10218" spans="1:4">
      <c r="A10218" s="13"/>
      <c r="B10218" s="13"/>
      <c r="C10218" s="13"/>
      <c r="D10218" s="13"/>
    </row>
    <row r="10219" spans="1:4">
      <c r="A10219" s="13"/>
      <c r="B10219" s="13"/>
      <c r="C10219" s="13"/>
      <c r="D10219" s="13"/>
    </row>
    <row r="10220" spans="1:4">
      <c r="A10220" s="13"/>
      <c r="B10220" s="13"/>
      <c r="C10220" s="13"/>
      <c r="D10220" s="13"/>
    </row>
    <row r="10221" spans="1:4">
      <c r="A10221" s="13"/>
      <c r="B10221" s="13"/>
      <c r="C10221" s="13"/>
      <c r="D10221" s="13"/>
    </row>
    <row r="10222" spans="1:4">
      <c r="A10222" s="13"/>
      <c r="B10222" s="13"/>
      <c r="C10222" s="13"/>
      <c r="D10222" s="13"/>
    </row>
    <row r="10223" spans="1:4">
      <c r="A10223" s="13"/>
      <c r="B10223" s="13"/>
      <c r="C10223" s="13"/>
      <c r="D10223" s="13"/>
    </row>
    <row r="10224" spans="1:4">
      <c r="A10224" s="13"/>
      <c r="B10224" s="13"/>
      <c r="C10224" s="13"/>
      <c r="D10224" s="13"/>
    </row>
    <row r="10225" spans="1:4">
      <c r="A10225" s="13"/>
      <c r="B10225" s="13"/>
      <c r="C10225" s="13"/>
      <c r="D10225" s="13"/>
    </row>
    <row r="10226" spans="1:4">
      <c r="A10226" s="13"/>
      <c r="B10226" s="13"/>
      <c r="C10226" s="13"/>
      <c r="D10226" s="13"/>
    </row>
    <row r="10227" spans="1:4">
      <c r="A10227" s="13"/>
      <c r="B10227" s="13"/>
      <c r="C10227" s="13"/>
      <c r="D10227" s="13"/>
    </row>
    <row r="10228" spans="1:4">
      <c r="A10228" s="13"/>
      <c r="B10228" s="13"/>
      <c r="C10228" s="13"/>
      <c r="D10228" s="13"/>
    </row>
    <row r="10229" spans="1:4">
      <c r="A10229" s="13"/>
      <c r="B10229" s="13"/>
      <c r="C10229" s="13"/>
      <c r="D10229" s="13"/>
    </row>
    <row r="10230" spans="1:4">
      <c r="A10230" s="13"/>
      <c r="B10230" s="13"/>
      <c r="C10230" s="13"/>
      <c r="D10230" s="13"/>
    </row>
    <row r="10231" spans="1:4">
      <c r="A10231" s="13"/>
      <c r="B10231" s="13"/>
      <c r="C10231" s="13"/>
      <c r="D10231" s="13"/>
    </row>
    <row r="10232" spans="1:4">
      <c r="A10232" s="13"/>
      <c r="B10232" s="13"/>
      <c r="C10232" s="13"/>
      <c r="D10232" s="13"/>
    </row>
    <row r="10233" spans="1:4">
      <c r="A10233" s="13"/>
      <c r="B10233" s="13"/>
      <c r="C10233" s="13"/>
      <c r="D10233" s="13"/>
    </row>
    <row r="10234" spans="1:4">
      <c r="A10234" s="13"/>
      <c r="B10234" s="13"/>
      <c r="C10234" s="13"/>
      <c r="D10234" s="13"/>
    </row>
    <row r="10235" spans="1:4">
      <c r="A10235" s="13"/>
      <c r="B10235" s="13"/>
      <c r="C10235" s="13"/>
      <c r="D10235" s="13"/>
    </row>
    <row r="10236" spans="1:4">
      <c r="A10236" s="13"/>
      <c r="B10236" s="13"/>
      <c r="C10236" s="13"/>
      <c r="D10236" s="13"/>
    </row>
    <row r="10237" spans="1:4">
      <c r="A10237" s="13"/>
      <c r="B10237" s="13"/>
      <c r="C10237" s="13"/>
      <c r="D10237" s="13"/>
    </row>
    <row r="10238" spans="1:4">
      <c r="A10238" s="13"/>
      <c r="B10238" s="13"/>
      <c r="C10238" s="13"/>
      <c r="D10238" s="13"/>
    </row>
    <row r="10239" spans="1:4">
      <c r="A10239" s="13"/>
      <c r="B10239" s="13"/>
      <c r="C10239" s="13"/>
      <c r="D10239" s="13"/>
    </row>
    <row r="10240" spans="1:4">
      <c r="A10240" s="13"/>
      <c r="B10240" s="13"/>
      <c r="C10240" s="13"/>
      <c r="D10240" s="13"/>
    </row>
    <row r="10241" spans="1:4">
      <c r="A10241" s="13"/>
      <c r="B10241" s="13"/>
      <c r="C10241" s="13"/>
      <c r="D10241" s="13"/>
    </row>
    <row r="10242" spans="1:4">
      <c r="A10242" s="13"/>
      <c r="B10242" s="13"/>
      <c r="C10242" s="13"/>
      <c r="D10242" s="13"/>
    </row>
    <row r="10243" spans="1:4">
      <c r="A10243" s="13"/>
      <c r="B10243" s="13"/>
      <c r="C10243" s="13"/>
      <c r="D10243" s="13"/>
    </row>
    <row r="10244" spans="1:4">
      <c r="A10244" s="13"/>
      <c r="B10244" s="13"/>
      <c r="C10244" s="13"/>
      <c r="D10244" s="13"/>
    </row>
    <row r="10245" spans="1:4">
      <c r="A10245" s="13"/>
      <c r="B10245" s="13"/>
      <c r="C10245" s="13"/>
      <c r="D10245" s="13"/>
    </row>
    <row r="10246" spans="1:4">
      <c r="A10246" s="13"/>
      <c r="B10246" s="13"/>
      <c r="C10246" s="13"/>
      <c r="D10246" s="13"/>
    </row>
    <row r="10247" spans="1:4">
      <c r="A10247" s="13"/>
      <c r="B10247" s="13"/>
      <c r="C10247" s="13"/>
      <c r="D10247" s="13"/>
    </row>
    <row r="10248" spans="1:4">
      <c r="A10248" s="13"/>
      <c r="B10248" s="13"/>
      <c r="C10248" s="13"/>
      <c r="D10248" s="13"/>
    </row>
    <row r="10249" spans="1:4">
      <c r="A10249" s="13"/>
      <c r="B10249" s="13"/>
      <c r="C10249" s="13"/>
      <c r="D10249" s="13"/>
    </row>
    <row r="10250" spans="1:4">
      <c r="A10250" s="13"/>
      <c r="B10250" s="13"/>
      <c r="C10250" s="13"/>
      <c r="D10250" s="13"/>
    </row>
    <row r="10251" spans="1:4">
      <c r="A10251" s="13"/>
      <c r="B10251" s="13"/>
      <c r="C10251" s="13"/>
      <c r="D10251" s="13"/>
    </row>
    <row r="10252" spans="1:4">
      <c r="A10252" s="13"/>
      <c r="B10252" s="13"/>
      <c r="C10252" s="13"/>
      <c r="D10252" s="13"/>
    </row>
    <row r="10253" spans="1:4">
      <c r="A10253" s="13"/>
      <c r="B10253" s="13"/>
      <c r="C10253" s="13"/>
      <c r="D10253" s="13"/>
    </row>
    <row r="10254" spans="1:4">
      <c r="A10254" s="13"/>
      <c r="B10254" s="13"/>
      <c r="C10254" s="13"/>
      <c r="D10254" s="13"/>
    </row>
    <row r="10255" spans="1:4">
      <c r="A10255" s="13"/>
      <c r="B10255" s="13"/>
      <c r="C10255" s="13"/>
      <c r="D10255" s="13"/>
    </row>
    <row r="10256" spans="1:4">
      <c r="A10256" s="13"/>
      <c r="B10256" s="13"/>
      <c r="C10256" s="13"/>
      <c r="D10256" s="13"/>
    </row>
    <row r="10257" spans="1:4">
      <c r="A10257" s="13"/>
      <c r="B10257" s="13"/>
      <c r="C10257" s="13"/>
      <c r="D10257" s="13"/>
    </row>
    <row r="10258" spans="1:4">
      <c r="A10258" s="13"/>
      <c r="B10258" s="13"/>
      <c r="C10258" s="13"/>
      <c r="D10258" s="13"/>
    </row>
    <row r="10259" spans="1:4">
      <c r="A10259" s="13"/>
      <c r="B10259" s="13"/>
      <c r="C10259" s="13"/>
      <c r="D10259" s="13"/>
    </row>
    <row r="10260" spans="1:4">
      <c r="A10260" s="13"/>
      <c r="B10260" s="13"/>
      <c r="C10260" s="13"/>
      <c r="D10260" s="13"/>
    </row>
    <row r="10261" spans="1:4">
      <c r="A10261" s="13"/>
      <c r="B10261" s="13"/>
      <c r="C10261" s="13"/>
      <c r="D10261" s="13"/>
    </row>
    <row r="10262" spans="1:4">
      <c r="A10262" s="13"/>
      <c r="B10262" s="13"/>
      <c r="C10262" s="13"/>
      <c r="D10262" s="13"/>
    </row>
    <row r="10263" spans="1:4">
      <c r="A10263" s="13"/>
      <c r="B10263" s="13"/>
      <c r="C10263" s="13"/>
      <c r="D10263" s="13"/>
    </row>
    <row r="10264" spans="1:4">
      <c r="A10264" s="13"/>
      <c r="B10264" s="13"/>
      <c r="C10264" s="13"/>
      <c r="D10264" s="13"/>
    </row>
    <row r="10265" spans="1:4">
      <c r="A10265" s="13"/>
      <c r="B10265" s="13"/>
      <c r="C10265" s="13"/>
      <c r="D10265" s="13"/>
    </row>
    <row r="10266" spans="1:4">
      <c r="A10266" s="13"/>
      <c r="B10266" s="13"/>
      <c r="C10266" s="13"/>
      <c r="D10266" s="13"/>
    </row>
    <row r="10267" spans="1:4">
      <c r="A10267" s="13"/>
      <c r="B10267" s="13"/>
      <c r="C10267" s="13"/>
      <c r="D10267" s="13"/>
    </row>
    <row r="10268" spans="1:4">
      <c r="A10268" s="13"/>
      <c r="B10268" s="13"/>
      <c r="C10268" s="13"/>
      <c r="D10268" s="13"/>
    </row>
    <row r="10269" spans="1:4">
      <c r="A10269" s="13"/>
      <c r="B10269" s="13"/>
      <c r="C10269" s="13"/>
      <c r="D10269" s="13"/>
    </row>
    <row r="10270" spans="1:4">
      <c r="A10270" s="13"/>
      <c r="B10270" s="13"/>
      <c r="C10270" s="13"/>
      <c r="D10270" s="13"/>
    </row>
    <row r="10271" spans="1:4">
      <c r="A10271" s="13"/>
      <c r="B10271" s="13"/>
      <c r="C10271" s="13"/>
      <c r="D10271" s="13"/>
    </row>
    <row r="10272" spans="1:4">
      <c r="A10272" s="13"/>
      <c r="B10272" s="13"/>
      <c r="C10272" s="13"/>
      <c r="D10272" s="13"/>
    </row>
    <row r="10273" spans="1:4">
      <c r="A10273" s="13"/>
      <c r="B10273" s="13"/>
      <c r="C10273" s="13"/>
      <c r="D10273" s="13"/>
    </row>
    <row r="10274" spans="1:4">
      <c r="A10274" s="13"/>
      <c r="B10274" s="13"/>
      <c r="C10274" s="13"/>
      <c r="D10274" s="13"/>
    </row>
    <row r="10275" spans="1:4">
      <c r="A10275" s="13"/>
      <c r="B10275" s="13"/>
      <c r="C10275" s="13"/>
      <c r="D10275" s="13"/>
    </row>
    <row r="10276" spans="1:4">
      <c r="A10276" s="13"/>
      <c r="B10276" s="13"/>
      <c r="C10276" s="13"/>
      <c r="D10276" s="13"/>
    </row>
    <row r="10277" spans="1:4">
      <c r="A10277" s="13"/>
      <c r="B10277" s="13"/>
      <c r="C10277" s="13"/>
      <c r="D10277" s="13"/>
    </row>
    <row r="10278" spans="1:4">
      <c r="A10278" s="13"/>
      <c r="B10278" s="13"/>
      <c r="C10278" s="13"/>
      <c r="D10278" s="13"/>
    </row>
    <row r="10279" spans="1:4">
      <c r="A10279" s="13"/>
      <c r="B10279" s="13"/>
      <c r="C10279" s="13"/>
      <c r="D10279" s="13"/>
    </row>
    <row r="10280" spans="1:4">
      <c r="A10280" s="13"/>
      <c r="B10280" s="13"/>
      <c r="C10280" s="13"/>
      <c r="D10280" s="13"/>
    </row>
    <row r="10281" spans="1:4">
      <c r="A10281" s="13"/>
      <c r="B10281" s="13"/>
      <c r="C10281" s="13"/>
      <c r="D10281" s="13"/>
    </row>
    <row r="10282" spans="1:4">
      <c r="A10282" s="13"/>
      <c r="B10282" s="13"/>
      <c r="C10282" s="13"/>
      <c r="D10282" s="13"/>
    </row>
    <row r="10283" spans="1:4">
      <c r="A10283" s="13"/>
      <c r="B10283" s="13"/>
      <c r="C10283" s="13"/>
      <c r="D10283" s="13"/>
    </row>
    <row r="10284" spans="1:4">
      <c r="A10284" s="13"/>
      <c r="B10284" s="13"/>
      <c r="C10284" s="13"/>
      <c r="D10284" s="13"/>
    </row>
    <row r="10285" spans="1:4">
      <c r="A10285" s="13"/>
      <c r="B10285" s="13"/>
      <c r="C10285" s="13"/>
      <c r="D10285" s="13"/>
    </row>
    <row r="10286" spans="1:4">
      <c r="A10286" s="13"/>
      <c r="B10286" s="13"/>
      <c r="C10286" s="13"/>
      <c r="D10286" s="13"/>
    </row>
    <row r="10287" spans="1:4">
      <c r="A10287" s="13"/>
      <c r="B10287" s="13"/>
      <c r="C10287" s="13"/>
      <c r="D10287" s="13"/>
    </row>
    <row r="10288" spans="1:4">
      <c r="A10288" s="13"/>
      <c r="B10288" s="13"/>
      <c r="C10288" s="13"/>
      <c r="D10288" s="13"/>
    </row>
    <row r="10289" spans="1:4">
      <c r="A10289" s="13"/>
      <c r="B10289" s="13"/>
      <c r="C10289" s="13"/>
      <c r="D10289" s="13"/>
    </row>
    <row r="10290" spans="1:4">
      <c r="A10290" s="13"/>
      <c r="B10290" s="13"/>
      <c r="C10290" s="13"/>
      <c r="D10290" s="13"/>
    </row>
    <row r="10291" spans="1:4">
      <c r="A10291" s="13"/>
      <c r="B10291" s="13"/>
      <c r="C10291" s="13"/>
      <c r="D10291" s="13"/>
    </row>
    <row r="10292" spans="1:4">
      <c r="A10292" s="13"/>
      <c r="B10292" s="13"/>
      <c r="C10292" s="13"/>
      <c r="D10292" s="13"/>
    </row>
    <row r="10293" spans="1:4">
      <c r="A10293" s="13"/>
      <c r="B10293" s="13"/>
      <c r="C10293" s="13"/>
      <c r="D10293" s="13"/>
    </row>
    <row r="10294" spans="1:4">
      <c r="A10294" s="13"/>
      <c r="B10294" s="13"/>
      <c r="C10294" s="13"/>
      <c r="D10294" s="13"/>
    </row>
    <row r="10295" spans="1:4">
      <c r="A10295" s="13"/>
      <c r="B10295" s="13"/>
      <c r="C10295" s="13"/>
      <c r="D10295" s="13"/>
    </row>
    <row r="10296" spans="1:4">
      <c r="A10296" s="13"/>
      <c r="B10296" s="13"/>
      <c r="C10296" s="13"/>
      <c r="D10296" s="13"/>
    </row>
    <row r="10297" spans="1:4">
      <c r="A10297" s="13"/>
      <c r="B10297" s="13"/>
      <c r="C10297" s="13"/>
      <c r="D10297" s="13"/>
    </row>
    <row r="10298" spans="1:4">
      <c r="A10298" s="13"/>
      <c r="B10298" s="13"/>
      <c r="C10298" s="13"/>
      <c r="D10298" s="13"/>
    </row>
    <row r="10299" spans="1:4">
      <c r="A10299" s="13"/>
      <c r="B10299" s="13"/>
      <c r="C10299" s="13"/>
      <c r="D10299" s="13"/>
    </row>
    <row r="10300" spans="1:4">
      <c r="A10300" s="13"/>
      <c r="B10300" s="13"/>
      <c r="C10300" s="13"/>
      <c r="D10300" s="13"/>
    </row>
    <row r="10301" spans="1:4">
      <c r="A10301" s="13"/>
      <c r="B10301" s="13"/>
      <c r="C10301" s="13"/>
      <c r="D10301" s="13"/>
    </row>
    <row r="10302" spans="1:4">
      <c r="A10302" s="13"/>
      <c r="B10302" s="13"/>
      <c r="C10302" s="13"/>
      <c r="D10302" s="13"/>
    </row>
    <row r="10303" spans="1:4">
      <c r="A10303" s="13"/>
      <c r="B10303" s="13"/>
      <c r="C10303" s="13"/>
      <c r="D10303" s="13"/>
    </row>
    <row r="10304" spans="1:4">
      <c r="A10304" s="13"/>
      <c r="B10304" s="13"/>
      <c r="C10304" s="13"/>
      <c r="D10304" s="13"/>
    </row>
    <row r="10305" spans="1:4">
      <c r="A10305" s="13"/>
      <c r="B10305" s="13"/>
      <c r="C10305" s="13"/>
      <c r="D10305" s="13"/>
    </row>
    <row r="10306" spans="1:4">
      <c r="A10306" s="13"/>
      <c r="B10306" s="13"/>
      <c r="C10306" s="13"/>
      <c r="D10306" s="13"/>
    </row>
    <row r="10307" spans="1:4">
      <c r="A10307" s="13"/>
      <c r="B10307" s="13"/>
      <c r="C10307" s="13"/>
      <c r="D10307" s="13"/>
    </row>
    <row r="10308" spans="1:4">
      <c r="A10308" s="13"/>
      <c r="B10308" s="13"/>
      <c r="C10308" s="13"/>
      <c r="D10308" s="13"/>
    </row>
    <row r="10309" spans="1:4">
      <c r="A10309" s="13"/>
      <c r="B10309" s="13"/>
      <c r="C10309" s="13"/>
      <c r="D10309" s="13"/>
    </row>
    <row r="10310" spans="1:4">
      <c r="A10310" s="13"/>
      <c r="B10310" s="13"/>
      <c r="C10310" s="13"/>
      <c r="D10310" s="13"/>
    </row>
    <row r="10311" spans="1:4">
      <c r="A10311" s="13"/>
      <c r="B10311" s="13"/>
      <c r="C10311" s="13"/>
      <c r="D10311" s="13"/>
    </row>
    <row r="10312" spans="1:4">
      <c r="A10312" s="13"/>
      <c r="B10312" s="13"/>
      <c r="C10312" s="13"/>
      <c r="D10312" s="13"/>
    </row>
    <row r="10313" spans="1:4">
      <c r="A10313" s="13"/>
      <c r="B10313" s="13"/>
      <c r="C10313" s="13"/>
      <c r="D10313" s="13"/>
    </row>
    <row r="10314" spans="1:4">
      <c r="A10314" s="13"/>
      <c r="B10314" s="13"/>
      <c r="C10314" s="13"/>
      <c r="D10314" s="13"/>
    </row>
    <row r="10315" spans="1:4">
      <c r="A10315" s="13"/>
      <c r="B10315" s="13"/>
      <c r="C10315" s="13"/>
      <c r="D10315" s="13"/>
    </row>
    <row r="10316" spans="1:4">
      <c r="A10316" s="13"/>
      <c r="B10316" s="13"/>
      <c r="C10316" s="13"/>
      <c r="D10316" s="13"/>
    </row>
    <row r="10317" spans="1:4">
      <c r="A10317" s="13"/>
      <c r="B10317" s="13"/>
      <c r="C10317" s="13"/>
      <c r="D10317" s="13"/>
    </row>
    <row r="10318" spans="1:4">
      <c r="A10318" s="13"/>
      <c r="B10318" s="13"/>
      <c r="C10318" s="13"/>
      <c r="D10318" s="13"/>
    </row>
    <row r="10319" spans="1:4">
      <c r="A10319" s="13"/>
      <c r="B10319" s="13"/>
      <c r="C10319" s="13"/>
      <c r="D10319" s="13"/>
    </row>
    <row r="10320" spans="1:4">
      <c r="A10320" s="13"/>
      <c r="B10320" s="13"/>
      <c r="C10320" s="13"/>
      <c r="D10320" s="13"/>
    </row>
    <row r="10321" spans="1:4">
      <c r="A10321" s="13"/>
      <c r="B10321" s="13"/>
      <c r="C10321" s="13"/>
      <c r="D10321" s="13"/>
    </row>
    <row r="10322" spans="1:4">
      <c r="A10322" s="13"/>
      <c r="B10322" s="13"/>
      <c r="C10322" s="13"/>
      <c r="D10322" s="13"/>
    </row>
    <row r="10323" spans="1:4">
      <c r="A10323" s="13"/>
      <c r="B10323" s="13"/>
      <c r="C10323" s="13"/>
      <c r="D10323" s="13"/>
    </row>
    <row r="10324" spans="1:4">
      <c r="A10324" s="13"/>
      <c r="B10324" s="13"/>
      <c r="C10324" s="13"/>
      <c r="D10324" s="13"/>
    </row>
    <row r="10325" spans="1:4">
      <c r="A10325" s="13"/>
      <c r="B10325" s="13"/>
      <c r="C10325" s="13"/>
      <c r="D10325" s="13"/>
    </row>
    <row r="10326" spans="1:4">
      <c r="A10326" s="13"/>
      <c r="B10326" s="13"/>
      <c r="C10326" s="13"/>
      <c r="D10326" s="13"/>
    </row>
    <row r="10327" spans="1:4">
      <c r="A10327" s="13"/>
      <c r="B10327" s="13"/>
      <c r="C10327" s="13"/>
      <c r="D10327" s="13"/>
    </row>
    <row r="10328" spans="1:4">
      <c r="A10328" s="13"/>
      <c r="B10328" s="13"/>
      <c r="C10328" s="13"/>
      <c r="D10328" s="13"/>
    </row>
    <row r="10329" spans="1:4">
      <c r="A10329" s="13"/>
      <c r="B10329" s="13"/>
      <c r="C10329" s="13"/>
      <c r="D10329" s="13"/>
    </row>
    <row r="10330" spans="1:4">
      <c r="A10330" s="13"/>
      <c r="B10330" s="13"/>
      <c r="C10330" s="13"/>
      <c r="D10330" s="13"/>
    </row>
    <row r="10331" spans="1:4">
      <c r="A10331" s="13"/>
      <c r="B10331" s="13"/>
      <c r="C10331" s="13"/>
      <c r="D10331" s="13"/>
    </row>
    <row r="10332" spans="1:4">
      <c r="A10332" s="13"/>
      <c r="B10332" s="13"/>
      <c r="C10332" s="13"/>
      <c r="D10332" s="13"/>
    </row>
    <row r="10333" spans="1:4">
      <c r="A10333" s="13"/>
      <c r="B10333" s="13"/>
      <c r="C10333" s="13"/>
      <c r="D10333" s="13"/>
    </row>
    <row r="10334" spans="1:4">
      <c r="A10334" s="13"/>
      <c r="B10334" s="13"/>
      <c r="C10334" s="13"/>
      <c r="D10334" s="13"/>
    </row>
    <row r="10335" spans="1:4">
      <c r="A10335" s="13"/>
      <c r="B10335" s="13"/>
      <c r="C10335" s="13"/>
      <c r="D10335" s="13"/>
    </row>
    <row r="10336" spans="1:4">
      <c r="A10336" s="13"/>
      <c r="B10336" s="13"/>
      <c r="C10336" s="13"/>
      <c r="D10336" s="13"/>
    </row>
    <row r="10337" spans="1:4">
      <c r="A10337" s="13"/>
      <c r="B10337" s="13"/>
      <c r="C10337" s="13"/>
      <c r="D10337" s="13"/>
    </row>
    <row r="10338" spans="1:4">
      <c r="A10338" s="13"/>
      <c r="B10338" s="13"/>
      <c r="C10338" s="13"/>
      <c r="D10338" s="13"/>
    </row>
    <row r="10339" spans="1:4">
      <c r="A10339" s="13"/>
      <c r="B10339" s="13"/>
      <c r="C10339" s="13"/>
      <c r="D10339" s="13"/>
    </row>
    <row r="10340" spans="1:4">
      <c r="A10340" s="13"/>
      <c r="B10340" s="13"/>
      <c r="C10340" s="13"/>
      <c r="D10340" s="13"/>
    </row>
    <row r="10341" spans="1:4">
      <c r="A10341" s="13"/>
      <c r="B10341" s="13"/>
      <c r="C10341" s="13"/>
      <c r="D10341" s="13"/>
    </row>
    <row r="10342" spans="1:4">
      <c r="A10342" s="13"/>
      <c r="B10342" s="13"/>
      <c r="C10342" s="13"/>
      <c r="D10342" s="13"/>
    </row>
    <row r="10343" spans="1:4">
      <c r="A10343" s="13"/>
      <c r="B10343" s="13"/>
      <c r="C10343" s="13"/>
      <c r="D10343" s="13"/>
    </row>
    <row r="10344" spans="1:4">
      <c r="A10344" s="13"/>
      <c r="B10344" s="13"/>
      <c r="C10344" s="13"/>
      <c r="D10344" s="13"/>
    </row>
    <row r="10345" spans="1:4">
      <c r="A10345" s="13"/>
      <c r="B10345" s="13"/>
      <c r="C10345" s="13"/>
      <c r="D10345" s="13"/>
    </row>
    <row r="10346" spans="1:4">
      <c r="A10346" s="13"/>
      <c r="B10346" s="13"/>
      <c r="C10346" s="13"/>
      <c r="D10346" s="13"/>
    </row>
    <row r="10347" spans="1:4">
      <c r="A10347" s="13"/>
      <c r="B10347" s="13"/>
      <c r="C10347" s="13"/>
      <c r="D10347" s="13"/>
    </row>
    <row r="10348" spans="1:4">
      <c r="A10348" s="13"/>
      <c r="B10348" s="13"/>
      <c r="C10348" s="13"/>
      <c r="D10348" s="13"/>
    </row>
    <row r="10349" spans="1:4">
      <c r="A10349" s="13"/>
      <c r="B10349" s="13"/>
      <c r="C10349" s="13"/>
      <c r="D10349" s="13"/>
    </row>
    <row r="10350" spans="1:4">
      <c r="A10350" s="13"/>
      <c r="B10350" s="13"/>
      <c r="C10350" s="13"/>
      <c r="D10350" s="13"/>
    </row>
    <row r="10351" spans="1:4">
      <c r="A10351" s="13"/>
      <c r="B10351" s="13"/>
      <c r="C10351" s="13"/>
      <c r="D10351" s="13"/>
    </row>
    <row r="10352" spans="1:4">
      <c r="A10352" s="13"/>
      <c r="B10352" s="13"/>
      <c r="C10352" s="13"/>
      <c r="D10352" s="13"/>
    </row>
    <row r="10353" spans="1:4">
      <c r="A10353" s="13"/>
      <c r="B10353" s="13"/>
      <c r="C10353" s="13"/>
      <c r="D10353" s="13"/>
    </row>
    <row r="10354" spans="1:4">
      <c r="A10354" s="13"/>
      <c r="B10354" s="13"/>
      <c r="C10354" s="13"/>
      <c r="D10354" s="13"/>
    </row>
    <row r="10355" spans="1:4">
      <c r="A10355" s="13"/>
      <c r="B10355" s="13"/>
      <c r="C10355" s="13"/>
      <c r="D10355" s="13"/>
    </row>
    <row r="10356" spans="1:4">
      <c r="A10356" s="13"/>
      <c r="B10356" s="13"/>
      <c r="C10356" s="13"/>
      <c r="D10356" s="13"/>
    </row>
    <row r="10357" spans="1:4">
      <c r="A10357" s="13"/>
      <c r="B10357" s="13"/>
      <c r="C10357" s="13"/>
      <c r="D10357" s="13"/>
    </row>
    <row r="10358" spans="1:4">
      <c r="A10358" s="13"/>
      <c r="B10358" s="13"/>
      <c r="C10358" s="13"/>
      <c r="D10358" s="13"/>
    </row>
    <row r="10359" spans="1:4">
      <c r="A10359" s="13"/>
      <c r="B10359" s="13"/>
      <c r="C10359" s="13"/>
      <c r="D10359" s="13"/>
    </row>
    <row r="10360" spans="1:4">
      <c r="A10360" s="13"/>
      <c r="B10360" s="13"/>
      <c r="C10360" s="13"/>
      <c r="D10360" s="13"/>
    </row>
    <row r="10361" spans="1:4">
      <c r="A10361" s="13"/>
      <c r="B10361" s="13"/>
      <c r="C10361" s="13"/>
      <c r="D10361" s="13"/>
    </row>
    <row r="10362" spans="1:4">
      <c r="A10362" s="13"/>
      <c r="B10362" s="13"/>
      <c r="C10362" s="13"/>
      <c r="D10362" s="13"/>
    </row>
    <row r="10363" spans="1:4">
      <c r="A10363" s="13"/>
      <c r="B10363" s="13"/>
      <c r="C10363" s="13"/>
      <c r="D10363" s="13"/>
    </row>
    <row r="10364" spans="1:4">
      <c r="A10364" s="13"/>
      <c r="B10364" s="13"/>
      <c r="C10364" s="13"/>
      <c r="D10364" s="13"/>
    </row>
    <row r="10365" spans="1:4">
      <c r="A10365" s="13"/>
      <c r="B10365" s="13"/>
      <c r="C10365" s="13"/>
      <c r="D10365" s="13"/>
    </row>
    <row r="10366" spans="1:4">
      <c r="A10366" s="13"/>
      <c r="B10366" s="13"/>
      <c r="C10366" s="13"/>
      <c r="D10366" s="13"/>
    </row>
    <row r="10367" spans="1:4">
      <c r="A10367" s="13"/>
      <c r="B10367" s="13"/>
      <c r="C10367" s="13"/>
      <c r="D10367" s="13"/>
    </row>
    <row r="10368" spans="1:4">
      <c r="A10368" s="13"/>
      <c r="B10368" s="13"/>
      <c r="C10368" s="13"/>
      <c r="D10368" s="13"/>
    </row>
    <row r="10369" spans="1:4">
      <c r="A10369" s="13"/>
      <c r="B10369" s="13"/>
      <c r="C10369" s="13"/>
      <c r="D10369" s="13"/>
    </row>
    <row r="10370" spans="1:4">
      <c r="A10370" s="13"/>
      <c r="B10370" s="13"/>
      <c r="C10370" s="13"/>
      <c r="D10370" s="13"/>
    </row>
    <row r="10371" spans="1:4">
      <c r="A10371" s="13"/>
      <c r="B10371" s="13"/>
      <c r="C10371" s="13"/>
      <c r="D10371" s="13"/>
    </row>
    <row r="10372" spans="1:4">
      <c r="A10372" s="13"/>
      <c r="B10372" s="13"/>
      <c r="C10372" s="13"/>
      <c r="D10372" s="13"/>
    </row>
    <row r="10373" spans="1:4">
      <c r="A10373" s="13"/>
      <c r="B10373" s="13"/>
      <c r="C10373" s="13"/>
      <c r="D10373" s="13"/>
    </row>
    <row r="10374" spans="1:4">
      <c r="A10374" s="13"/>
      <c r="B10374" s="13"/>
      <c r="C10374" s="13"/>
      <c r="D10374" s="13"/>
    </row>
    <row r="10375" spans="1:4">
      <c r="A10375" s="13"/>
      <c r="B10375" s="13"/>
      <c r="C10375" s="13"/>
      <c r="D10375" s="13"/>
    </row>
    <row r="10376" spans="1:4">
      <c r="A10376" s="13"/>
      <c r="B10376" s="13"/>
      <c r="C10376" s="13"/>
      <c r="D10376" s="13"/>
    </row>
    <row r="10377" spans="1:4">
      <c r="A10377" s="13"/>
      <c r="B10377" s="13"/>
      <c r="C10377" s="13"/>
      <c r="D10377" s="13"/>
    </row>
    <row r="10378" spans="1:4">
      <c r="A10378" s="13"/>
      <c r="B10378" s="13"/>
      <c r="C10378" s="13"/>
      <c r="D10378" s="13"/>
    </row>
    <row r="10379" spans="1:4">
      <c r="A10379" s="13"/>
      <c r="B10379" s="13"/>
      <c r="C10379" s="13"/>
      <c r="D10379" s="13"/>
    </row>
    <row r="10380" spans="1:4">
      <c r="A10380" s="13"/>
      <c r="B10380" s="13"/>
      <c r="C10380" s="13"/>
      <c r="D10380" s="13"/>
    </row>
    <row r="10381" spans="1:4">
      <c r="A10381" s="13"/>
      <c r="B10381" s="13"/>
      <c r="C10381" s="13"/>
      <c r="D10381" s="13"/>
    </row>
    <row r="10382" spans="1:4">
      <c r="A10382" s="13"/>
      <c r="B10382" s="13"/>
      <c r="C10382" s="13"/>
      <c r="D10382" s="13"/>
    </row>
    <row r="10383" spans="1:4">
      <c r="A10383" s="13"/>
      <c r="B10383" s="13"/>
      <c r="C10383" s="13"/>
      <c r="D10383" s="13"/>
    </row>
    <row r="10384" spans="1:4">
      <c r="A10384" s="13"/>
      <c r="B10384" s="13"/>
      <c r="C10384" s="13"/>
      <c r="D10384" s="13"/>
    </row>
    <row r="10385" spans="1:4">
      <c r="A10385" s="13"/>
      <c r="B10385" s="13"/>
      <c r="C10385" s="13"/>
      <c r="D10385" s="13"/>
    </row>
    <row r="10386" spans="1:4">
      <c r="A10386" s="13"/>
      <c r="B10386" s="13"/>
      <c r="C10386" s="13"/>
      <c r="D10386" s="13"/>
    </row>
    <row r="10387" spans="1:4">
      <c r="A10387" s="13"/>
      <c r="B10387" s="13"/>
      <c r="C10387" s="13"/>
      <c r="D10387" s="13"/>
    </row>
    <row r="10388" spans="1:4">
      <c r="A10388" s="13"/>
      <c r="B10388" s="13"/>
      <c r="C10388" s="13"/>
      <c r="D10388" s="13"/>
    </row>
    <row r="10389" spans="1:4">
      <c r="A10389" s="13"/>
      <c r="B10389" s="13"/>
      <c r="C10389" s="13"/>
      <c r="D10389" s="13"/>
    </row>
    <row r="10390" spans="1:4">
      <c r="A10390" s="13"/>
      <c r="B10390" s="13"/>
      <c r="C10390" s="13"/>
      <c r="D10390" s="13"/>
    </row>
    <row r="10391" spans="1:4">
      <c r="A10391" s="13"/>
      <c r="B10391" s="13"/>
      <c r="C10391" s="13"/>
      <c r="D10391" s="13"/>
    </row>
    <row r="10392" spans="1:4">
      <c r="A10392" s="13"/>
      <c r="B10392" s="13"/>
      <c r="C10392" s="13"/>
      <c r="D10392" s="13"/>
    </row>
    <row r="10393" spans="1:4">
      <c r="A10393" s="13"/>
      <c r="B10393" s="13"/>
      <c r="C10393" s="13"/>
      <c r="D10393" s="13"/>
    </row>
    <row r="10394" spans="1:4">
      <c r="A10394" s="13"/>
      <c r="B10394" s="13"/>
      <c r="C10394" s="13"/>
      <c r="D10394" s="13"/>
    </row>
    <row r="10395" spans="1:4">
      <c r="A10395" s="13"/>
      <c r="B10395" s="13"/>
      <c r="C10395" s="13"/>
      <c r="D10395" s="13"/>
    </row>
    <row r="10396" spans="1:4">
      <c r="A10396" s="13"/>
      <c r="B10396" s="13"/>
      <c r="C10396" s="13"/>
      <c r="D10396" s="13"/>
    </row>
    <row r="10397" spans="1:4">
      <c r="A10397" s="13"/>
      <c r="B10397" s="13"/>
      <c r="C10397" s="13"/>
      <c r="D10397" s="13"/>
    </row>
    <row r="10398" spans="1:4">
      <c r="A10398" s="13"/>
      <c r="B10398" s="13"/>
      <c r="C10398" s="13"/>
      <c r="D10398" s="13"/>
    </row>
    <row r="10399" spans="1:4">
      <c r="A10399" s="13"/>
      <c r="B10399" s="13"/>
      <c r="C10399" s="13"/>
      <c r="D10399" s="13"/>
    </row>
    <row r="10400" spans="1:4">
      <c r="A10400" s="13"/>
      <c r="B10400" s="13"/>
      <c r="C10400" s="13"/>
      <c r="D10400" s="13"/>
    </row>
    <row r="10401" spans="1:4">
      <c r="A10401" s="13"/>
      <c r="B10401" s="13"/>
      <c r="C10401" s="13"/>
      <c r="D10401" s="13"/>
    </row>
    <row r="10402" spans="1:4">
      <c r="A10402" s="13"/>
      <c r="B10402" s="13"/>
      <c r="C10402" s="13"/>
      <c r="D10402" s="13"/>
    </row>
    <row r="10403" spans="1:4">
      <c r="A10403" s="13"/>
      <c r="B10403" s="13"/>
      <c r="C10403" s="13"/>
      <c r="D10403" s="13"/>
    </row>
    <row r="10404" spans="1:4">
      <c r="A10404" s="13"/>
      <c r="B10404" s="13"/>
      <c r="C10404" s="13"/>
      <c r="D10404" s="13"/>
    </row>
    <row r="10405" spans="1:4">
      <c r="A10405" s="13"/>
      <c r="B10405" s="13"/>
      <c r="C10405" s="13"/>
      <c r="D10405" s="13"/>
    </row>
    <row r="10406" spans="1:4">
      <c r="A10406" s="13"/>
      <c r="B10406" s="13"/>
      <c r="C10406" s="13"/>
      <c r="D10406" s="13"/>
    </row>
    <row r="10407" spans="1:4">
      <c r="A10407" s="13"/>
      <c r="B10407" s="13"/>
      <c r="C10407" s="13"/>
      <c r="D10407" s="13"/>
    </row>
    <row r="10408" spans="1:4">
      <c r="A10408" s="13"/>
      <c r="B10408" s="13"/>
      <c r="C10408" s="13"/>
      <c r="D10408" s="13"/>
    </row>
    <row r="10409" spans="1:4">
      <c r="A10409" s="13"/>
      <c r="B10409" s="13"/>
      <c r="C10409" s="13"/>
      <c r="D10409" s="13"/>
    </row>
    <row r="10410" spans="1:4">
      <c r="A10410" s="13"/>
      <c r="B10410" s="13"/>
      <c r="C10410" s="13"/>
      <c r="D10410" s="13"/>
    </row>
    <row r="10411" spans="1:4">
      <c r="A10411" s="13"/>
      <c r="B10411" s="13"/>
      <c r="C10411" s="13"/>
      <c r="D10411" s="13"/>
    </row>
    <row r="10412" spans="1:4">
      <c r="A10412" s="13"/>
      <c r="B10412" s="13"/>
      <c r="C10412" s="13"/>
      <c r="D10412" s="13"/>
    </row>
    <row r="10413" spans="1:4">
      <c r="A10413" s="13"/>
      <c r="B10413" s="13"/>
      <c r="C10413" s="13"/>
      <c r="D10413" s="13"/>
    </row>
    <row r="10414" spans="1:4">
      <c r="A10414" s="13"/>
      <c r="B10414" s="13"/>
      <c r="C10414" s="13"/>
      <c r="D10414" s="13"/>
    </row>
    <row r="10415" spans="1:4">
      <c r="A10415" s="13"/>
      <c r="B10415" s="13"/>
      <c r="C10415" s="13"/>
      <c r="D10415" s="13"/>
    </row>
    <row r="10416" spans="1:4">
      <c r="A10416" s="13"/>
      <c r="B10416" s="13"/>
      <c r="C10416" s="13"/>
      <c r="D10416" s="13"/>
    </row>
    <row r="10417" spans="1:4">
      <c r="A10417" s="13"/>
      <c r="B10417" s="13"/>
      <c r="C10417" s="13"/>
      <c r="D10417" s="13"/>
    </row>
    <row r="10418" spans="1:4">
      <c r="A10418" s="13"/>
      <c r="B10418" s="13"/>
      <c r="C10418" s="13"/>
      <c r="D10418" s="13"/>
    </row>
    <row r="10419" spans="1:4">
      <c r="A10419" s="13"/>
      <c r="B10419" s="13"/>
      <c r="C10419" s="13"/>
      <c r="D10419" s="13"/>
    </row>
    <row r="10420" spans="1:4">
      <c r="A10420" s="13"/>
      <c r="B10420" s="13"/>
      <c r="C10420" s="13"/>
      <c r="D10420" s="13"/>
    </row>
    <row r="10421" spans="1:4">
      <c r="A10421" s="13"/>
      <c r="B10421" s="13"/>
      <c r="C10421" s="13"/>
      <c r="D10421" s="13"/>
    </row>
    <row r="10422" spans="1:4">
      <c r="A10422" s="13"/>
      <c r="B10422" s="13"/>
      <c r="C10422" s="13"/>
      <c r="D10422" s="13"/>
    </row>
    <row r="10423" spans="1:4">
      <c r="A10423" s="13"/>
      <c r="B10423" s="13"/>
      <c r="C10423" s="13"/>
      <c r="D10423" s="13"/>
    </row>
    <row r="10424" spans="1:4">
      <c r="A10424" s="13"/>
      <c r="B10424" s="13"/>
      <c r="C10424" s="13"/>
      <c r="D10424" s="13"/>
    </row>
    <row r="10425" spans="1:4">
      <c r="A10425" s="13"/>
      <c r="B10425" s="13"/>
      <c r="C10425" s="13"/>
      <c r="D10425" s="13"/>
    </row>
    <row r="10426" spans="1:4">
      <c r="A10426" s="13"/>
      <c r="B10426" s="13"/>
      <c r="C10426" s="13"/>
      <c r="D10426" s="13"/>
    </row>
    <row r="10427" spans="1:4">
      <c r="A10427" s="13"/>
      <c r="B10427" s="13"/>
      <c r="C10427" s="13"/>
      <c r="D10427" s="13"/>
    </row>
    <row r="10428" spans="1:4">
      <c r="A10428" s="13"/>
      <c r="B10428" s="13"/>
      <c r="C10428" s="13"/>
      <c r="D10428" s="13"/>
    </row>
    <row r="10429" spans="1:4">
      <c r="A10429" s="13"/>
      <c r="B10429" s="13"/>
      <c r="C10429" s="13"/>
      <c r="D10429" s="13"/>
    </row>
    <row r="10430" spans="1:4">
      <c r="A10430" s="13"/>
      <c r="B10430" s="13"/>
      <c r="C10430" s="13"/>
      <c r="D10430" s="13"/>
    </row>
    <row r="10431" spans="1:4">
      <c r="A10431" s="13"/>
      <c r="B10431" s="13"/>
      <c r="C10431" s="13"/>
      <c r="D10431" s="13"/>
    </row>
    <row r="10432" spans="1:4">
      <c r="A10432" s="13"/>
      <c r="B10432" s="13"/>
      <c r="C10432" s="13"/>
      <c r="D10432" s="13"/>
    </row>
    <row r="10433" spans="1:4">
      <c r="A10433" s="13"/>
      <c r="B10433" s="13"/>
      <c r="C10433" s="13"/>
      <c r="D10433" s="13"/>
    </row>
    <row r="10434" spans="1:4">
      <c r="A10434" s="13"/>
      <c r="B10434" s="13"/>
      <c r="C10434" s="13"/>
      <c r="D10434" s="13"/>
    </row>
    <row r="10435" spans="1:4">
      <c r="A10435" s="13"/>
      <c r="B10435" s="13"/>
      <c r="C10435" s="13"/>
      <c r="D10435" s="13"/>
    </row>
    <row r="10436" spans="1:4">
      <c r="A10436" s="13"/>
      <c r="B10436" s="13"/>
      <c r="C10436" s="13"/>
      <c r="D10436" s="13"/>
    </row>
    <row r="10437" spans="1:4">
      <c r="A10437" s="13"/>
      <c r="B10437" s="13"/>
      <c r="C10437" s="13"/>
      <c r="D10437" s="13"/>
    </row>
    <row r="10438" spans="1:4">
      <c r="A10438" s="13"/>
      <c r="B10438" s="13"/>
      <c r="C10438" s="13"/>
      <c r="D10438" s="13"/>
    </row>
    <row r="10439" spans="1:4">
      <c r="A10439" s="13"/>
      <c r="B10439" s="13"/>
      <c r="C10439" s="13"/>
      <c r="D10439" s="13"/>
    </row>
    <row r="10440" spans="1:4">
      <c r="A10440" s="13"/>
      <c r="B10440" s="13"/>
      <c r="C10440" s="13"/>
      <c r="D10440" s="13"/>
    </row>
    <row r="10441" spans="1:4">
      <c r="A10441" s="13"/>
      <c r="B10441" s="13"/>
      <c r="C10441" s="13"/>
      <c r="D10441" s="13"/>
    </row>
    <row r="10442" spans="1:4">
      <c r="A10442" s="13"/>
      <c r="B10442" s="13"/>
      <c r="C10442" s="13"/>
      <c r="D10442" s="13"/>
    </row>
    <row r="10443" spans="1:4">
      <c r="A10443" s="13"/>
      <c r="B10443" s="13"/>
      <c r="C10443" s="13"/>
      <c r="D10443" s="13"/>
    </row>
    <row r="10444" spans="1:4">
      <c r="A10444" s="13"/>
      <c r="B10444" s="13"/>
      <c r="C10444" s="13"/>
      <c r="D10444" s="13"/>
    </row>
    <row r="10445" spans="1:4">
      <c r="A10445" s="13"/>
      <c r="B10445" s="13"/>
      <c r="C10445" s="13"/>
      <c r="D10445" s="13"/>
    </row>
    <row r="10446" spans="1:4">
      <c r="A10446" s="13"/>
      <c r="B10446" s="13"/>
      <c r="C10446" s="13"/>
      <c r="D10446" s="13"/>
    </row>
    <row r="10447" spans="1:4">
      <c r="A10447" s="13"/>
      <c r="B10447" s="13"/>
      <c r="C10447" s="13"/>
      <c r="D10447" s="13"/>
    </row>
    <row r="10448" spans="1:4">
      <c r="A10448" s="13"/>
      <c r="B10448" s="13"/>
      <c r="C10448" s="13"/>
      <c r="D10448" s="13"/>
    </row>
    <row r="10449" spans="1:4">
      <c r="A10449" s="13"/>
      <c r="B10449" s="13"/>
      <c r="C10449" s="13"/>
      <c r="D10449" s="13"/>
    </row>
    <row r="10450" spans="1:4">
      <c r="A10450" s="13"/>
      <c r="B10450" s="13"/>
      <c r="C10450" s="13"/>
      <c r="D10450" s="13"/>
    </row>
    <row r="10451" spans="1:4">
      <c r="A10451" s="13"/>
      <c r="B10451" s="13"/>
      <c r="C10451" s="13"/>
      <c r="D10451" s="13"/>
    </row>
    <row r="10452" spans="1:4">
      <c r="A10452" s="13"/>
      <c r="B10452" s="13"/>
      <c r="C10452" s="13"/>
      <c r="D10452" s="13"/>
    </row>
    <row r="10453" spans="1:4">
      <c r="A10453" s="13"/>
      <c r="B10453" s="13"/>
      <c r="C10453" s="13"/>
      <c r="D10453" s="13"/>
    </row>
    <row r="10454" spans="1:4">
      <c r="A10454" s="13"/>
      <c r="B10454" s="13"/>
      <c r="C10454" s="13"/>
      <c r="D10454" s="13"/>
    </row>
    <row r="10455" spans="1:4">
      <c r="A10455" s="13"/>
      <c r="B10455" s="13"/>
      <c r="C10455" s="13"/>
      <c r="D10455" s="13"/>
    </row>
    <row r="10456" spans="1:4">
      <c r="A10456" s="13"/>
      <c r="B10456" s="13"/>
      <c r="C10456" s="13"/>
      <c r="D10456" s="13"/>
    </row>
    <row r="10457" spans="1:4">
      <c r="A10457" s="13"/>
      <c r="B10457" s="13"/>
      <c r="C10457" s="13"/>
      <c r="D10457" s="13"/>
    </row>
    <row r="10458" spans="1:4">
      <c r="A10458" s="13"/>
      <c r="B10458" s="13"/>
      <c r="C10458" s="13"/>
      <c r="D10458" s="13"/>
    </row>
    <row r="10459" spans="1:4">
      <c r="A10459" s="13"/>
      <c r="B10459" s="13"/>
      <c r="C10459" s="13"/>
      <c r="D10459" s="13"/>
    </row>
    <row r="10460" spans="1:4">
      <c r="A10460" s="13"/>
      <c r="B10460" s="13"/>
      <c r="C10460" s="13"/>
      <c r="D10460" s="13"/>
    </row>
    <row r="10461" spans="1:4">
      <c r="A10461" s="13"/>
      <c r="B10461" s="13"/>
      <c r="C10461" s="13"/>
      <c r="D10461" s="13"/>
    </row>
    <row r="10462" spans="1:4">
      <c r="A10462" s="13"/>
      <c r="B10462" s="13"/>
      <c r="C10462" s="13"/>
      <c r="D10462" s="13"/>
    </row>
    <row r="10463" spans="1:4">
      <c r="A10463" s="13"/>
      <c r="B10463" s="13"/>
      <c r="C10463" s="13"/>
      <c r="D10463" s="13"/>
    </row>
    <row r="10464" spans="1:4">
      <c r="A10464" s="13"/>
      <c r="B10464" s="13"/>
      <c r="C10464" s="13"/>
      <c r="D10464" s="13"/>
    </row>
    <row r="10465" spans="1:4">
      <c r="A10465" s="13"/>
      <c r="B10465" s="13"/>
      <c r="C10465" s="13"/>
      <c r="D10465" s="13"/>
    </row>
    <row r="10466" spans="1:4">
      <c r="A10466" s="13"/>
      <c r="B10466" s="13"/>
      <c r="C10466" s="13"/>
      <c r="D10466" s="13"/>
    </row>
    <row r="10467" spans="1:4">
      <c r="A10467" s="13"/>
      <c r="B10467" s="13"/>
      <c r="C10467" s="13"/>
      <c r="D10467" s="13"/>
    </row>
    <row r="10468" spans="1:4">
      <c r="A10468" s="13"/>
      <c r="B10468" s="13"/>
      <c r="C10468" s="13"/>
      <c r="D10468" s="13"/>
    </row>
    <row r="10469" spans="1:4">
      <c r="A10469" s="13"/>
      <c r="B10469" s="13"/>
      <c r="C10469" s="13"/>
      <c r="D10469" s="13"/>
    </row>
    <row r="10470" spans="1:4">
      <c r="A10470" s="13"/>
      <c r="B10470" s="13"/>
      <c r="C10470" s="13"/>
      <c r="D10470" s="13"/>
    </row>
    <row r="10471" spans="1:4">
      <c r="A10471" s="13"/>
      <c r="B10471" s="13"/>
      <c r="C10471" s="13"/>
      <c r="D10471" s="13"/>
    </row>
    <row r="10472" spans="1:4">
      <c r="A10472" s="13"/>
      <c r="B10472" s="13"/>
      <c r="C10472" s="13"/>
      <c r="D10472" s="13"/>
    </row>
    <row r="10473" spans="1:4">
      <c r="A10473" s="13"/>
      <c r="B10473" s="13"/>
      <c r="C10473" s="13"/>
      <c r="D10473" s="13"/>
    </row>
    <row r="10474" spans="1:4">
      <c r="A10474" s="13"/>
      <c r="B10474" s="13"/>
      <c r="C10474" s="13"/>
      <c r="D10474" s="13"/>
    </row>
    <row r="10475" spans="1:4">
      <c r="A10475" s="13"/>
      <c r="B10475" s="13"/>
      <c r="C10475" s="13"/>
      <c r="D10475" s="13"/>
    </row>
    <row r="10476" spans="1:4">
      <c r="A10476" s="13"/>
      <c r="B10476" s="13"/>
      <c r="C10476" s="13"/>
      <c r="D10476" s="13"/>
    </row>
    <row r="10477" spans="1:4">
      <c r="A10477" s="13"/>
      <c r="B10477" s="13"/>
      <c r="C10477" s="13"/>
      <c r="D10477" s="13"/>
    </row>
    <row r="10478" spans="1:4">
      <c r="A10478" s="13"/>
      <c r="B10478" s="13"/>
      <c r="C10478" s="13"/>
      <c r="D10478" s="13"/>
    </row>
    <row r="10479" spans="1:4">
      <c r="A10479" s="13"/>
      <c r="B10479" s="13"/>
      <c r="C10479" s="13"/>
      <c r="D10479" s="13"/>
    </row>
    <row r="10480" spans="1:4">
      <c r="A10480" s="13"/>
      <c r="B10480" s="13"/>
      <c r="C10480" s="13"/>
      <c r="D10480" s="13"/>
    </row>
    <row r="10481" spans="1:4">
      <c r="A10481" s="13"/>
      <c r="B10481" s="13"/>
      <c r="C10481" s="13"/>
      <c r="D10481" s="13"/>
    </row>
    <row r="10482" spans="1:4">
      <c r="A10482" s="13"/>
      <c r="B10482" s="13"/>
      <c r="C10482" s="13"/>
      <c r="D10482" s="13"/>
    </row>
    <row r="10483" spans="1:4">
      <c r="A10483" s="13"/>
      <c r="B10483" s="13"/>
      <c r="C10483" s="13"/>
      <c r="D10483" s="13"/>
    </row>
    <row r="10484" spans="1:4">
      <c r="A10484" s="13"/>
      <c r="B10484" s="13"/>
      <c r="C10484" s="13"/>
      <c r="D10484" s="13"/>
    </row>
    <row r="10485" spans="1:4">
      <c r="A10485" s="13"/>
      <c r="B10485" s="13"/>
      <c r="C10485" s="13"/>
      <c r="D10485" s="13"/>
    </row>
    <row r="10486" spans="1:4">
      <c r="A10486" s="13"/>
      <c r="B10486" s="13"/>
      <c r="C10486" s="13"/>
      <c r="D10486" s="13"/>
    </row>
    <row r="10487" spans="1:4">
      <c r="A10487" s="13"/>
      <c r="B10487" s="13"/>
      <c r="C10487" s="13"/>
      <c r="D10487" s="13"/>
    </row>
    <row r="10488" spans="1:4">
      <c r="A10488" s="13"/>
      <c r="B10488" s="13"/>
      <c r="C10488" s="13"/>
      <c r="D10488" s="13"/>
    </row>
    <row r="10489" spans="1:4">
      <c r="A10489" s="13"/>
      <c r="B10489" s="13"/>
      <c r="C10489" s="13"/>
      <c r="D10489" s="13"/>
    </row>
    <row r="10490" spans="1:4">
      <c r="A10490" s="13"/>
      <c r="B10490" s="13"/>
      <c r="C10490" s="13"/>
      <c r="D10490" s="13"/>
    </row>
    <row r="10491" spans="1:4">
      <c r="A10491" s="13"/>
      <c r="B10491" s="13"/>
      <c r="C10491" s="13"/>
      <c r="D10491" s="13"/>
    </row>
    <row r="10492" spans="1:4">
      <c r="A10492" s="13"/>
      <c r="B10492" s="13"/>
      <c r="C10492" s="13"/>
      <c r="D10492" s="13"/>
    </row>
    <row r="10493" spans="1:4">
      <c r="A10493" s="13"/>
      <c r="B10493" s="13"/>
      <c r="C10493" s="13"/>
      <c r="D10493" s="13"/>
    </row>
    <row r="10494" spans="1:4">
      <c r="A10494" s="13"/>
      <c r="B10494" s="13"/>
      <c r="C10494" s="13"/>
      <c r="D10494" s="13"/>
    </row>
    <row r="10495" spans="1:4">
      <c r="A10495" s="13"/>
      <c r="B10495" s="13"/>
      <c r="C10495" s="13"/>
      <c r="D10495" s="13"/>
    </row>
    <row r="10496" spans="1:4">
      <c r="A10496" s="13"/>
      <c r="B10496" s="13"/>
      <c r="C10496" s="13"/>
      <c r="D10496" s="13"/>
    </row>
    <row r="10497" spans="1:4">
      <c r="A10497" s="13"/>
      <c r="B10497" s="13"/>
      <c r="C10497" s="13"/>
      <c r="D10497" s="13"/>
    </row>
    <row r="10498" spans="1:4">
      <c r="A10498" s="13"/>
      <c r="B10498" s="13"/>
      <c r="C10498" s="13"/>
      <c r="D10498" s="13"/>
    </row>
    <row r="10499" spans="1:4">
      <c r="A10499" s="13"/>
      <c r="B10499" s="13"/>
      <c r="C10499" s="13"/>
      <c r="D10499" s="13"/>
    </row>
    <row r="10500" spans="1:4">
      <c r="A10500" s="13"/>
      <c r="B10500" s="13"/>
      <c r="C10500" s="13"/>
      <c r="D10500" s="13"/>
    </row>
    <row r="10501" spans="1:4">
      <c r="A10501" s="13"/>
      <c r="B10501" s="13"/>
      <c r="C10501" s="13"/>
      <c r="D10501" s="13"/>
    </row>
    <row r="10502" spans="1:4">
      <c r="A10502" s="13"/>
      <c r="B10502" s="13"/>
      <c r="C10502" s="13"/>
      <c r="D10502" s="13"/>
    </row>
    <row r="10503" spans="1:4">
      <c r="A10503" s="13"/>
      <c r="B10503" s="13"/>
      <c r="C10503" s="13"/>
      <c r="D10503" s="13"/>
    </row>
    <row r="10504" spans="1:4">
      <c r="A10504" s="13"/>
      <c r="B10504" s="13"/>
      <c r="C10504" s="13"/>
      <c r="D10504" s="13"/>
    </row>
    <row r="10505" spans="1:4">
      <c r="A10505" s="13"/>
      <c r="B10505" s="13"/>
      <c r="C10505" s="13"/>
      <c r="D10505" s="13"/>
    </row>
    <row r="10506" spans="1:4">
      <c r="A10506" s="13"/>
      <c r="B10506" s="13"/>
      <c r="C10506" s="13"/>
      <c r="D10506" s="13"/>
    </row>
    <row r="10507" spans="1:4">
      <c r="A10507" s="13"/>
      <c r="B10507" s="13"/>
      <c r="C10507" s="13"/>
      <c r="D10507" s="13"/>
    </row>
    <row r="10508" spans="1:4">
      <c r="A10508" s="13"/>
      <c r="B10508" s="13"/>
      <c r="C10508" s="13"/>
      <c r="D10508" s="13"/>
    </row>
    <row r="10509" spans="1:4">
      <c r="A10509" s="13"/>
      <c r="B10509" s="13"/>
      <c r="C10509" s="13"/>
      <c r="D10509" s="13"/>
    </row>
    <row r="10510" spans="1:4">
      <c r="A10510" s="13"/>
      <c r="B10510" s="13"/>
      <c r="C10510" s="13"/>
      <c r="D10510" s="13"/>
    </row>
    <row r="10511" spans="1:4">
      <c r="A10511" s="13"/>
      <c r="B10511" s="13"/>
      <c r="C10511" s="13"/>
      <c r="D10511" s="13"/>
    </row>
    <row r="10512" spans="1:4">
      <c r="A10512" s="13"/>
      <c r="B10512" s="13"/>
      <c r="C10512" s="13"/>
      <c r="D10512" s="13"/>
    </row>
    <row r="10513" spans="1:4">
      <c r="A10513" s="13"/>
      <c r="B10513" s="13"/>
      <c r="C10513" s="13"/>
      <c r="D10513" s="13"/>
    </row>
    <row r="10514" spans="1:4">
      <c r="A10514" s="13"/>
      <c r="B10514" s="13"/>
      <c r="C10514" s="13"/>
      <c r="D10514" s="13"/>
    </row>
    <row r="10515" spans="1:4">
      <c r="A10515" s="13"/>
      <c r="B10515" s="13"/>
      <c r="C10515" s="13"/>
      <c r="D10515" s="13"/>
    </row>
    <row r="10516" spans="1:4">
      <c r="A10516" s="13"/>
      <c r="B10516" s="13"/>
      <c r="C10516" s="13"/>
      <c r="D10516" s="13"/>
    </row>
    <row r="10517" spans="1:4">
      <c r="A10517" s="13"/>
      <c r="B10517" s="13"/>
      <c r="C10517" s="13"/>
      <c r="D10517" s="13"/>
    </row>
    <row r="10518" spans="1:4">
      <c r="A10518" s="13"/>
      <c r="B10518" s="13"/>
      <c r="C10518" s="13"/>
      <c r="D10518" s="13"/>
    </row>
    <row r="10519" spans="1:4">
      <c r="A10519" s="13"/>
      <c r="B10519" s="13"/>
      <c r="C10519" s="13"/>
      <c r="D10519" s="13"/>
    </row>
    <row r="10520" spans="1:4">
      <c r="A10520" s="13"/>
      <c r="B10520" s="13"/>
      <c r="C10520" s="13"/>
      <c r="D10520" s="13"/>
    </row>
    <row r="10521" spans="1:4">
      <c r="A10521" s="13"/>
      <c r="B10521" s="13"/>
      <c r="C10521" s="13"/>
      <c r="D10521" s="13"/>
    </row>
    <row r="10522" spans="1:4">
      <c r="A10522" s="13"/>
      <c r="B10522" s="13"/>
      <c r="C10522" s="13"/>
      <c r="D10522" s="13"/>
    </row>
    <row r="10523" spans="1:4">
      <c r="A10523" s="13"/>
      <c r="B10523" s="13"/>
      <c r="C10523" s="13"/>
      <c r="D10523" s="13"/>
    </row>
    <row r="10524" spans="1:4">
      <c r="A10524" s="13"/>
      <c r="B10524" s="13"/>
      <c r="C10524" s="13"/>
      <c r="D10524" s="13"/>
    </row>
    <row r="10525" spans="1:4">
      <c r="A10525" s="13"/>
      <c r="B10525" s="13"/>
      <c r="C10525" s="13"/>
      <c r="D10525" s="13"/>
    </row>
    <row r="10526" spans="1:4">
      <c r="A10526" s="13"/>
      <c r="B10526" s="13"/>
      <c r="C10526" s="13"/>
      <c r="D10526" s="13"/>
    </row>
    <row r="10527" spans="1:4">
      <c r="A10527" s="13"/>
      <c r="B10527" s="13"/>
      <c r="C10527" s="13"/>
      <c r="D10527" s="13"/>
    </row>
    <row r="10528" spans="1:4">
      <c r="A10528" s="13"/>
      <c r="B10528" s="13"/>
      <c r="C10528" s="13"/>
      <c r="D10528" s="13"/>
    </row>
    <row r="10529" spans="1:4">
      <c r="A10529" s="13"/>
      <c r="B10529" s="13"/>
      <c r="C10529" s="13"/>
      <c r="D10529" s="13"/>
    </row>
    <row r="10530" spans="1:4">
      <c r="A10530" s="13"/>
      <c r="B10530" s="13"/>
      <c r="C10530" s="13"/>
      <c r="D10530" s="13"/>
    </row>
    <row r="10531" spans="1:4">
      <c r="A10531" s="13"/>
      <c r="B10531" s="13"/>
      <c r="C10531" s="13"/>
      <c r="D10531" s="13"/>
    </row>
    <row r="10532" spans="1:4">
      <c r="A10532" s="13"/>
      <c r="B10532" s="13"/>
      <c r="C10532" s="13"/>
      <c r="D10532" s="13"/>
    </row>
    <row r="10533" spans="1:4">
      <c r="A10533" s="13"/>
      <c r="B10533" s="13"/>
      <c r="C10533" s="13"/>
      <c r="D10533" s="13"/>
    </row>
    <row r="10534" spans="1:4">
      <c r="A10534" s="13"/>
      <c r="B10534" s="13"/>
      <c r="C10534" s="13"/>
      <c r="D10534" s="13"/>
    </row>
    <row r="10535" spans="1:4">
      <c r="A10535" s="13"/>
      <c r="B10535" s="13"/>
      <c r="C10535" s="13"/>
      <c r="D10535" s="13"/>
    </row>
    <row r="10536" spans="1:4">
      <c r="A10536" s="13"/>
      <c r="B10536" s="13"/>
      <c r="C10536" s="13"/>
      <c r="D10536" s="13"/>
    </row>
    <row r="10537" spans="1:4">
      <c r="A10537" s="13"/>
      <c r="B10537" s="13"/>
      <c r="C10537" s="13"/>
      <c r="D10537" s="13"/>
    </row>
    <row r="10538" spans="1:4">
      <c r="A10538" s="13"/>
      <c r="B10538" s="13"/>
      <c r="C10538" s="13"/>
      <c r="D10538" s="13"/>
    </row>
    <row r="10539" spans="1:4">
      <c r="A10539" s="13"/>
      <c r="B10539" s="13"/>
      <c r="C10539" s="13"/>
      <c r="D10539" s="13"/>
    </row>
    <row r="10540" spans="1:4">
      <c r="A10540" s="13"/>
      <c r="B10540" s="13"/>
      <c r="C10540" s="13"/>
      <c r="D10540" s="13"/>
    </row>
    <row r="10541" spans="1:4">
      <c r="A10541" s="13"/>
      <c r="B10541" s="13"/>
      <c r="C10541" s="13"/>
      <c r="D10541" s="13"/>
    </row>
    <row r="10542" spans="1:4">
      <c r="A10542" s="13"/>
      <c r="B10542" s="13"/>
      <c r="C10542" s="13"/>
      <c r="D10542" s="13"/>
    </row>
    <row r="10543" spans="1:4">
      <c r="A10543" s="13"/>
      <c r="B10543" s="13"/>
      <c r="C10543" s="13"/>
      <c r="D10543" s="13"/>
    </row>
    <row r="10544" spans="1:4">
      <c r="A10544" s="13"/>
      <c r="B10544" s="13"/>
      <c r="C10544" s="13"/>
      <c r="D10544" s="13"/>
    </row>
    <row r="10545" spans="1:4">
      <c r="A10545" s="13"/>
      <c r="B10545" s="13"/>
      <c r="C10545" s="13"/>
      <c r="D10545" s="13"/>
    </row>
    <row r="10546" spans="1:4">
      <c r="A10546" s="13"/>
      <c r="B10546" s="13"/>
      <c r="C10546" s="13"/>
      <c r="D10546" s="13"/>
    </row>
    <row r="10547" spans="1:4">
      <c r="A10547" s="13"/>
      <c r="B10547" s="13"/>
      <c r="C10547" s="13"/>
      <c r="D10547" s="13"/>
    </row>
    <row r="10548" spans="1:4">
      <c r="A10548" s="13"/>
      <c r="B10548" s="13"/>
      <c r="C10548" s="13"/>
      <c r="D10548" s="13"/>
    </row>
    <row r="10549" spans="1:4">
      <c r="A10549" s="13"/>
      <c r="B10549" s="13"/>
      <c r="C10549" s="13"/>
      <c r="D10549" s="13"/>
    </row>
    <row r="10550" spans="1:4">
      <c r="A10550" s="13"/>
      <c r="B10550" s="13"/>
      <c r="C10550" s="13"/>
      <c r="D10550" s="13"/>
    </row>
    <row r="10551" spans="1:4">
      <c r="A10551" s="13"/>
      <c r="B10551" s="13"/>
      <c r="C10551" s="13"/>
      <c r="D10551" s="13"/>
    </row>
    <row r="10552" spans="1:4">
      <c r="A10552" s="13"/>
      <c r="B10552" s="13"/>
      <c r="C10552" s="13"/>
      <c r="D10552" s="13"/>
    </row>
    <row r="10553" spans="1:4">
      <c r="A10553" s="13"/>
      <c r="B10553" s="13"/>
      <c r="C10553" s="13"/>
      <c r="D10553" s="13"/>
    </row>
    <row r="10554" spans="1:4">
      <c r="A10554" s="13"/>
      <c r="B10554" s="13"/>
      <c r="C10554" s="13"/>
      <c r="D10554" s="13"/>
    </row>
    <row r="10555" spans="1:4">
      <c r="A10555" s="13"/>
      <c r="B10555" s="13"/>
      <c r="C10555" s="13"/>
      <c r="D10555" s="13"/>
    </row>
    <row r="10556" spans="1:4">
      <c r="A10556" s="13"/>
      <c r="B10556" s="13"/>
      <c r="C10556" s="13"/>
      <c r="D10556" s="13"/>
    </row>
    <row r="10557" spans="1:4">
      <c r="A10557" s="13"/>
      <c r="B10557" s="13"/>
      <c r="C10557" s="13"/>
      <c r="D10557" s="13"/>
    </row>
    <row r="10558" spans="1:4">
      <c r="A10558" s="13"/>
      <c r="B10558" s="13"/>
      <c r="C10558" s="13"/>
      <c r="D10558" s="13"/>
    </row>
    <row r="10559" spans="1:4">
      <c r="A10559" s="13"/>
      <c r="B10559" s="13"/>
      <c r="C10559" s="13"/>
      <c r="D10559" s="13"/>
    </row>
    <row r="10560" spans="1:4">
      <c r="A10560" s="13"/>
      <c r="B10560" s="13"/>
      <c r="C10560" s="13"/>
      <c r="D10560" s="13"/>
    </row>
    <row r="10561" spans="1:4">
      <c r="A10561" s="13"/>
      <c r="B10561" s="13"/>
      <c r="C10561" s="13"/>
      <c r="D10561" s="13"/>
    </row>
    <row r="10562" spans="1:4">
      <c r="A10562" s="13"/>
      <c r="B10562" s="13"/>
      <c r="C10562" s="13"/>
      <c r="D10562" s="13"/>
    </row>
    <row r="10563" spans="1:4">
      <c r="A10563" s="13"/>
      <c r="B10563" s="13"/>
      <c r="C10563" s="13"/>
      <c r="D10563" s="13"/>
    </row>
    <row r="10564" spans="1:4">
      <c r="A10564" s="13"/>
      <c r="B10564" s="13"/>
      <c r="C10564" s="13"/>
      <c r="D10564" s="13"/>
    </row>
    <row r="10565" spans="1:4">
      <c r="A10565" s="13"/>
      <c r="B10565" s="13"/>
      <c r="C10565" s="13"/>
      <c r="D10565" s="13"/>
    </row>
    <row r="10566" spans="1:4">
      <c r="A10566" s="13"/>
      <c r="B10566" s="13"/>
      <c r="C10566" s="13"/>
      <c r="D10566" s="13"/>
    </row>
    <row r="10567" spans="1:4">
      <c r="A10567" s="13"/>
      <c r="B10567" s="13"/>
      <c r="C10567" s="13"/>
      <c r="D10567" s="13"/>
    </row>
    <row r="10568" spans="1:4">
      <c r="A10568" s="13"/>
      <c r="B10568" s="13"/>
      <c r="C10568" s="13"/>
      <c r="D10568" s="13"/>
    </row>
    <row r="10569" spans="1:4">
      <c r="A10569" s="13"/>
      <c r="B10569" s="13"/>
      <c r="C10569" s="13"/>
      <c r="D10569" s="13"/>
    </row>
    <row r="10570" spans="1:4">
      <c r="A10570" s="13"/>
      <c r="B10570" s="13"/>
      <c r="C10570" s="13"/>
      <c r="D10570" s="13"/>
    </row>
    <row r="10571" spans="1:4">
      <c r="A10571" s="13"/>
      <c r="B10571" s="13"/>
      <c r="C10571" s="13"/>
      <c r="D10571" s="13"/>
    </row>
    <row r="10572" spans="1:4">
      <c r="A10572" s="13"/>
      <c r="B10572" s="13"/>
      <c r="C10572" s="13"/>
      <c r="D10572" s="13"/>
    </row>
    <row r="10573" spans="1:4">
      <c r="A10573" s="13"/>
      <c r="B10573" s="13"/>
      <c r="C10573" s="13"/>
      <c r="D10573" s="13"/>
    </row>
    <row r="10574" spans="1:4">
      <c r="A10574" s="13"/>
      <c r="B10574" s="13"/>
      <c r="C10574" s="13"/>
      <c r="D10574" s="13"/>
    </row>
    <row r="10575" spans="1:4">
      <c r="A10575" s="13"/>
      <c r="B10575" s="13"/>
      <c r="C10575" s="13"/>
      <c r="D10575" s="13"/>
    </row>
    <row r="10576" spans="1:4">
      <c r="A10576" s="13"/>
      <c r="B10576" s="13"/>
      <c r="C10576" s="13"/>
      <c r="D10576" s="13"/>
    </row>
    <row r="10577" spans="1:4">
      <c r="A10577" s="13"/>
      <c r="B10577" s="13"/>
      <c r="C10577" s="13"/>
      <c r="D10577" s="13"/>
    </row>
    <row r="10578" spans="1:4">
      <c r="A10578" s="13"/>
      <c r="B10578" s="13"/>
      <c r="C10578" s="13"/>
      <c r="D10578" s="13"/>
    </row>
    <row r="10579" spans="1:4">
      <c r="A10579" s="13"/>
      <c r="B10579" s="13"/>
      <c r="C10579" s="13"/>
      <c r="D10579" s="13"/>
    </row>
    <row r="10580" spans="1:4">
      <c r="A10580" s="13"/>
      <c r="B10580" s="13"/>
      <c r="C10580" s="13"/>
      <c r="D10580" s="13"/>
    </row>
    <row r="10581" spans="1:4">
      <c r="A10581" s="13"/>
      <c r="B10581" s="13"/>
      <c r="C10581" s="13"/>
      <c r="D10581" s="13"/>
    </row>
    <row r="10582" spans="1:4">
      <c r="A10582" s="13"/>
      <c r="B10582" s="13"/>
      <c r="C10582" s="13"/>
      <c r="D10582" s="13"/>
    </row>
    <row r="10583" spans="1:4">
      <c r="A10583" s="13"/>
      <c r="B10583" s="13"/>
      <c r="C10583" s="13"/>
      <c r="D10583" s="13"/>
    </row>
    <row r="10584" spans="1:4">
      <c r="A10584" s="13"/>
      <c r="B10584" s="13"/>
      <c r="C10584" s="13"/>
      <c r="D10584" s="13"/>
    </row>
    <row r="10585" spans="1:4">
      <c r="A10585" s="13"/>
      <c r="B10585" s="13"/>
      <c r="C10585" s="13"/>
      <c r="D10585" s="13"/>
    </row>
    <row r="10586" spans="1:4">
      <c r="A10586" s="13"/>
      <c r="B10586" s="13"/>
      <c r="C10586" s="13"/>
      <c r="D10586" s="13"/>
    </row>
    <row r="10587" spans="1:4">
      <c r="A10587" s="13"/>
      <c r="B10587" s="13"/>
      <c r="C10587" s="13"/>
      <c r="D10587" s="13"/>
    </row>
    <row r="10588" spans="1:4">
      <c r="A10588" s="13"/>
      <c r="B10588" s="13"/>
      <c r="C10588" s="13"/>
      <c r="D10588" s="13"/>
    </row>
    <row r="10589" spans="1:4">
      <c r="A10589" s="13"/>
      <c r="B10589" s="13"/>
      <c r="C10589" s="13"/>
      <c r="D10589" s="13"/>
    </row>
    <row r="10590" spans="1:4">
      <c r="A10590" s="13"/>
      <c r="B10590" s="13"/>
      <c r="C10590" s="13"/>
      <c r="D10590" s="13"/>
    </row>
    <row r="10591" spans="1:4">
      <c r="A10591" s="13"/>
      <c r="B10591" s="13"/>
      <c r="C10591" s="13"/>
      <c r="D10591" s="13"/>
    </row>
    <row r="10592" spans="1:4">
      <c r="A10592" s="13"/>
      <c r="B10592" s="13"/>
      <c r="C10592" s="13"/>
      <c r="D10592" s="13"/>
    </row>
    <row r="10593" spans="1:4">
      <c r="A10593" s="13"/>
      <c r="B10593" s="13"/>
      <c r="C10593" s="13"/>
      <c r="D10593" s="13"/>
    </row>
    <row r="10594" spans="1:4">
      <c r="A10594" s="13"/>
      <c r="B10594" s="13"/>
      <c r="C10594" s="13"/>
      <c r="D10594" s="13"/>
    </row>
    <row r="10595" spans="1:4">
      <c r="A10595" s="13"/>
      <c r="B10595" s="13"/>
      <c r="C10595" s="13"/>
      <c r="D10595" s="13"/>
    </row>
    <row r="10596" spans="1:4">
      <c r="A10596" s="13"/>
      <c r="B10596" s="13"/>
      <c r="C10596" s="13"/>
      <c r="D10596" s="13"/>
    </row>
    <row r="10597" spans="1:4">
      <c r="A10597" s="13"/>
      <c r="B10597" s="13"/>
      <c r="C10597" s="13"/>
      <c r="D10597" s="13"/>
    </row>
    <row r="10598" spans="1:4">
      <c r="A10598" s="13"/>
      <c r="B10598" s="13"/>
      <c r="C10598" s="13"/>
      <c r="D10598" s="13"/>
    </row>
    <row r="10599" spans="1:4">
      <c r="A10599" s="13"/>
      <c r="B10599" s="13"/>
      <c r="C10599" s="13"/>
      <c r="D10599" s="13"/>
    </row>
    <row r="10600" spans="1:4">
      <c r="A10600" s="13"/>
      <c r="B10600" s="13"/>
      <c r="C10600" s="13"/>
      <c r="D10600" s="13"/>
    </row>
    <row r="10601" spans="1:4">
      <c r="A10601" s="13"/>
      <c r="B10601" s="13"/>
      <c r="C10601" s="13"/>
      <c r="D10601" s="13"/>
    </row>
    <row r="10602" spans="1:4">
      <c r="A10602" s="13"/>
      <c r="B10602" s="13"/>
      <c r="C10602" s="13"/>
      <c r="D10602" s="13"/>
    </row>
    <row r="10603" spans="1:4">
      <c r="A10603" s="13"/>
      <c r="B10603" s="13"/>
      <c r="C10603" s="13"/>
      <c r="D10603" s="13"/>
    </row>
    <row r="10604" spans="1:4">
      <c r="A10604" s="13"/>
      <c r="B10604" s="13"/>
      <c r="C10604" s="13"/>
      <c r="D10604" s="13"/>
    </row>
    <row r="10605" spans="1:4">
      <c r="A10605" s="13"/>
      <c r="B10605" s="13"/>
      <c r="C10605" s="13"/>
      <c r="D10605" s="13"/>
    </row>
    <row r="10606" spans="1:4">
      <c r="A10606" s="13"/>
      <c r="B10606" s="13"/>
      <c r="C10606" s="13"/>
      <c r="D10606" s="13"/>
    </row>
    <row r="10607" spans="1:4">
      <c r="A10607" s="13"/>
      <c r="B10607" s="13"/>
      <c r="C10607" s="13"/>
      <c r="D10607" s="13"/>
    </row>
    <row r="10608" spans="1:4">
      <c r="A10608" s="13"/>
      <c r="B10608" s="13"/>
      <c r="C10608" s="13"/>
      <c r="D10608" s="13"/>
    </row>
    <row r="10609" spans="1:4">
      <c r="A10609" s="13"/>
      <c r="B10609" s="13"/>
      <c r="C10609" s="13"/>
      <c r="D10609" s="13"/>
    </row>
    <row r="10610" spans="1:4">
      <c r="A10610" s="13"/>
      <c r="B10610" s="13"/>
      <c r="C10610" s="13"/>
      <c r="D10610" s="13"/>
    </row>
    <row r="10611" spans="1:4">
      <c r="A10611" s="13"/>
      <c r="B10611" s="13"/>
      <c r="C10611" s="13"/>
      <c r="D10611" s="13"/>
    </row>
    <row r="10612" spans="1:4">
      <c r="A10612" s="13"/>
      <c r="B10612" s="13"/>
      <c r="C10612" s="13"/>
      <c r="D10612" s="13"/>
    </row>
    <row r="10613" spans="1:4">
      <c r="A10613" s="13"/>
      <c r="B10613" s="13"/>
      <c r="C10613" s="13"/>
      <c r="D10613" s="13"/>
    </row>
    <row r="10614" spans="1:4">
      <c r="A10614" s="13"/>
      <c r="B10614" s="13"/>
      <c r="C10614" s="13"/>
      <c r="D10614" s="13"/>
    </row>
    <row r="10615" spans="1:4">
      <c r="A10615" s="13"/>
      <c r="B10615" s="13"/>
      <c r="C10615" s="13"/>
      <c r="D10615" s="13"/>
    </row>
    <row r="10616" spans="1:4">
      <c r="A10616" s="13"/>
      <c r="B10616" s="13"/>
      <c r="C10616" s="13"/>
      <c r="D10616" s="13"/>
    </row>
    <row r="10617" spans="1:4">
      <c r="A10617" s="13"/>
      <c r="B10617" s="13"/>
      <c r="C10617" s="13"/>
      <c r="D10617" s="13"/>
    </row>
    <row r="10618" spans="1:4">
      <c r="A10618" s="13"/>
      <c r="B10618" s="13"/>
      <c r="C10618" s="13"/>
      <c r="D10618" s="13"/>
    </row>
    <row r="10619" spans="1:4">
      <c r="A10619" s="13"/>
      <c r="B10619" s="13"/>
      <c r="C10619" s="13"/>
      <c r="D10619" s="13"/>
    </row>
    <row r="10620" spans="1:4">
      <c r="A10620" s="13"/>
      <c r="B10620" s="13"/>
      <c r="C10620" s="13"/>
      <c r="D10620" s="13"/>
    </row>
    <row r="10621" spans="1:4">
      <c r="A10621" s="13"/>
      <c r="B10621" s="13"/>
      <c r="C10621" s="13"/>
      <c r="D10621" s="13"/>
    </row>
    <row r="10622" spans="1:4">
      <c r="A10622" s="13"/>
      <c r="B10622" s="13"/>
      <c r="C10622" s="13"/>
      <c r="D10622" s="13"/>
    </row>
    <row r="10623" spans="1:4">
      <c r="A10623" s="13"/>
      <c r="B10623" s="13"/>
      <c r="C10623" s="13"/>
      <c r="D10623" s="13"/>
    </row>
    <row r="10624" spans="1:4">
      <c r="A10624" s="13"/>
      <c r="B10624" s="13"/>
      <c r="C10624" s="13"/>
      <c r="D10624" s="13"/>
    </row>
    <row r="10625" spans="1:4">
      <c r="A10625" s="13"/>
      <c r="B10625" s="13"/>
      <c r="C10625" s="13"/>
      <c r="D10625" s="13"/>
    </row>
    <row r="10626" spans="1:4">
      <c r="A10626" s="13"/>
      <c r="B10626" s="13"/>
      <c r="C10626" s="13"/>
      <c r="D10626" s="13"/>
    </row>
    <row r="10627" spans="1:4">
      <c r="A10627" s="13"/>
      <c r="B10627" s="13"/>
      <c r="C10627" s="13"/>
      <c r="D10627" s="13"/>
    </row>
    <row r="10628" spans="1:4">
      <c r="A10628" s="13"/>
      <c r="B10628" s="13"/>
      <c r="C10628" s="13"/>
      <c r="D10628" s="13"/>
    </row>
    <row r="10629" spans="1:4">
      <c r="A10629" s="13"/>
      <c r="B10629" s="13"/>
      <c r="C10629" s="13"/>
      <c r="D10629" s="13"/>
    </row>
    <row r="10630" spans="1:4">
      <c r="A10630" s="13"/>
      <c r="B10630" s="13"/>
      <c r="C10630" s="13"/>
      <c r="D10630" s="13"/>
    </row>
    <row r="10631" spans="1:4">
      <c r="A10631" s="13"/>
      <c r="B10631" s="13"/>
      <c r="C10631" s="13"/>
      <c r="D10631" s="13"/>
    </row>
    <row r="10632" spans="1:4">
      <c r="A10632" s="13"/>
      <c r="B10632" s="13"/>
      <c r="C10632" s="13"/>
      <c r="D10632" s="13"/>
    </row>
    <row r="10633" spans="1:4">
      <c r="A10633" s="13"/>
      <c r="B10633" s="13"/>
      <c r="C10633" s="13"/>
      <c r="D10633" s="13"/>
    </row>
    <row r="10634" spans="1:4">
      <c r="A10634" s="13"/>
      <c r="B10634" s="13"/>
      <c r="C10634" s="13"/>
      <c r="D10634" s="13"/>
    </row>
    <row r="10635" spans="1:4">
      <c r="A10635" s="13"/>
      <c r="B10635" s="13"/>
      <c r="C10635" s="13"/>
      <c r="D10635" s="13"/>
    </row>
    <row r="10636" spans="1:4">
      <c r="A10636" s="13"/>
      <c r="B10636" s="13"/>
      <c r="C10636" s="13"/>
      <c r="D10636" s="13"/>
    </row>
    <row r="10637" spans="1:4">
      <c r="A10637" s="13"/>
      <c r="B10637" s="13"/>
      <c r="C10637" s="13"/>
      <c r="D10637" s="13"/>
    </row>
    <row r="10638" spans="1:4">
      <c r="A10638" s="13"/>
      <c r="B10638" s="13"/>
      <c r="C10638" s="13"/>
      <c r="D10638" s="13"/>
    </row>
    <row r="10639" spans="1:4">
      <c r="A10639" s="13"/>
      <c r="B10639" s="13"/>
      <c r="C10639" s="13"/>
      <c r="D10639" s="13"/>
    </row>
    <row r="10640" spans="1:4">
      <c r="A10640" s="13"/>
      <c r="B10640" s="13"/>
      <c r="C10640" s="13"/>
      <c r="D10640" s="13"/>
    </row>
    <row r="10641" spans="1:4">
      <c r="A10641" s="13"/>
      <c r="B10641" s="13"/>
      <c r="C10641" s="13"/>
      <c r="D10641" s="13"/>
    </row>
    <row r="10642" spans="1:4">
      <c r="A10642" s="13"/>
      <c r="B10642" s="13"/>
      <c r="C10642" s="13"/>
      <c r="D10642" s="13"/>
    </row>
    <row r="10643" spans="1:4">
      <c r="A10643" s="13"/>
      <c r="B10643" s="13"/>
      <c r="C10643" s="13"/>
      <c r="D10643" s="13"/>
    </row>
    <row r="10644" spans="1:4">
      <c r="A10644" s="13"/>
      <c r="B10644" s="13"/>
      <c r="C10644" s="13"/>
      <c r="D10644" s="13"/>
    </row>
    <row r="10645" spans="1:4">
      <c r="A10645" s="13"/>
      <c r="B10645" s="13"/>
      <c r="C10645" s="13"/>
      <c r="D10645" s="13"/>
    </row>
    <row r="10646" spans="1:4">
      <c r="A10646" s="13"/>
      <c r="B10646" s="13"/>
      <c r="C10646" s="13"/>
      <c r="D10646" s="13"/>
    </row>
    <row r="10647" spans="1:4">
      <c r="A10647" s="13"/>
      <c r="B10647" s="13"/>
      <c r="C10647" s="13"/>
      <c r="D10647" s="13"/>
    </row>
    <row r="10648" spans="1:4">
      <c r="A10648" s="13"/>
      <c r="B10648" s="13"/>
      <c r="C10648" s="13"/>
      <c r="D10648" s="13"/>
    </row>
    <row r="10649" spans="1:4">
      <c r="A10649" s="13"/>
      <c r="B10649" s="13"/>
      <c r="C10649" s="13"/>
      <c r="D10649" s="13"/>
    </row>
    <row r="10650" spans="1:4">
      <c r="A10650" s="13"/>
      <c r="B10650" s="13"/>
      <c r="C10650" s="13"/>
      <c r="D10650" s="13"/>
    </row>
    <row r="10651" spans="1:4">
      <c r="A10651" s="13"/>
      <c r="B10651" s="13"/>
      <c r="C10651" s="13"/>
      <c r="D10651" s="13"/>
    </row>
    <row r="10652" spans="1:4">
      <c r="A10652" s="13"/>
      <c r="B10652" s="13"/>
      <c r="C10652" s="13"/>
      <c r="D10652" s="13"/>
    </row>
    <row r="10653" spans="1:4">
      <c r="A10653" s="13"/>
      <c r="B10653" s="13"/>
      <c r="C10653" s="13"/>
      <c r="D10653" s="13"/>
    </row>
    <row r="10654" spans="1:4">
      <c r="A10654" s="13"/>
      <c r="B10654" s="13"/>
      <c r="C10654" s="13"/>
      <c r="D10654" s="13"/>
    </row>
    <row r="10655" spans="1:4">
      <c r="A10655" s="13"/>
      <c r="B10655" s="13"/>
      <c r="C10655" s="13"/>
      <c r="D10655" s="13"/>
    </row>
    <row r="10656" spans="1:4">
      <c r="A10656" s="13"/>
      <c r="B10656" s="13"/>
      <c r="C10656" s="13"/>
      <c r="D10656" s="13"/>
    </row>
    <row r="10657" spans="1:4">
      <c r="A10657" s="13"/>
      <c r="B10657" s="13"/>
      <c r="C10657" s="13"/>
      <c r="D10657" s="13"/>
    </row>
    <row r="10658" spans="1:4">
      <c r="A10658" s="13"/>
      <c r="B10658" s="13"/>
      <c r="C10658" s="13"/>
      <c r="D10658" s="13"/>
    </row>
    <row r="10659" spans="1:4">
      <c r="A10659" s="13"/>
      <c r="B10659" s="13"/>
      <c r="C10659" s="13"/>
      <c r="D10659" s="13"/>
    </row>
    <row r="10660" spans="1:4">
      <c r="A10660" s="13"/>
      <c r="B10660" s="13"/>
      <c r="C10660" s="13"/>
      <c r="D10660" s="13"/>
    </row>
    <row r="10661" spans="1:4">
      <c r="A10661" s="13"/>
      <c r="B10661" s="13"/>
      <c r="C10661" s="13"/>
      <c r="D10661" s="13"/>
    </row>
    <row r="10662" spans="1:4">
      <c r="A10662" s="13"/>
      <c r="B10662" s="13"/>
      <c r="C10662" s="13"/>
      <c r="D10662" s="13"/>
    </row>
    <row r="10663" spans="1:4">
      <c r="A10663" s="13"/>
      <c r="B10663" s="13"/>
      <c r="C10663" s="13"/>
      <c r="D10663" s="13"/>
    </row>
    <row r="10664" spans="1:4">
      <c r="A10664" s="13"/>
      <c r="B10664" s="13"/>
      <c r="C10664" s="13"/>
      <c r="D10664" s="13"/>
    </row>
    <row r="10665" spans="1:4">
      <c r="A10665" s="13"/>
      <c r="B10665" s="13"/>
      <c r="C10665" s="13"/>
      <c r="D10665" s="13"/>
    </row>
    <row r="10666" spans="1:4">
      <c r="A10666" s="13"/>
      <c r="B10666" s="13"/>
      <c r="C10666" s="13"/>
      <c r="D10666" s="13"/>
    </row>
    <row r="10667" spans="1:4">
      <c r="A10667" s="13"/>
      <c r="B10667" s="13"/>
      <c r="C10667" s="13"/>
      <c r="D10667" s="13"/>
    </row>
    <row r="10668" spans="1:4">
      <c r="A10668" s="13"/>
      <c r="B10668" s="13"/>
      <c r="C10668" s="13"/>
      <c r="D10668" s="13"/>
    </row>
    <row r="10669" spans="1:4">
      <c r="A10669" s="13"/>
      <c r="B10669" s="13"/>
      <c r="C10669" s="13"/>
      <c r="D10669" s="13"/>
    </row>
    <row r="10670" spans="1:4">
      <c r="A10670" s="13"/>
      <c r="B10670" s="13"/>
      <c r="C10670" s="13"/>
      <c r="D10670" s="13"/>
    </row>
    <row r="10671" spans="1:4">
      <c r="A10671" s="13"/>
      <c r="B10671" s="13"/>
      <c r="C10671" s="13"/>
      <c r="D10671" s="13"/>
    </row>
    <row r="10672" spans="1:4">
      <c r="A10672" s="13"/>
      <c r="B10672" s="13"/>
      <c r="C10672" s="13"/>
      <c r="D10672" s="13"/>
    </row>
    <row r="10673" spans="1:4">
      <c r="A10673" s="13"/>
      <c r="B10673" s="13"/>
      <c r="C10673" s="13"/>
      <c r="D10673" s="13"/>
    </row>
    <row r="10674" spans="1:4">
      <c r="A10674" s="13"/>
      <c r="B10674" s="13"/>
      <c r="C10674" s="13"/>
      <c r="D10674" s="13"/>
    </row>
    <row r="10675" spans="1:4">
      <c r="A10675" s="13"/>
      <c r="B10675" s="13"/>
      <c r="C10675" s="13"/>
      <c r="D10675" s="13"/>
    </row>
    <row r="10676" spans="1:4">
      <c r="A10676" s="13"/>
      <c r="B10676" s="13"/>
      <c r="C10676" s="13"/>
      <c r="D10676" s="13"/>
    </row>
    <row r="10677" spans="1:4">
      <c r="A10677" s="13"/>
      <c r="B10677" s="13"/>
      <c r="C10677" s="13"/>
      <c r="D10677" s="13"/>
    </row>
    <row r="10678" spans="1:4">
      <c r="A10678" s="13"/>
      <c r="B10678" s="13"/>
      <c r="C10678" s="13"/>
      <c r="D10678" s="13"/>
    </row>
    <row r="10679" spans="1:4">
      <c r="A10679" s="13"/>
      <c r="B10679" s="13"/>
      <c r="C10679" s="13"/>
      <c r="D10679" s="13"/>
    </row>
    <row r="10680" spans="1:4">
      <c r="A10680" s="13"/>
      <c r="B10680" s="13"/>
      <c r="C10680" s="13"/>
      <c r="D10680" s="13"/>
    </row>
    <row r="10681" spans="1:4">
      <c r="A10681" s="13"/>
      <c r="B10681" s="13"/>
      <c r="C10681" s="13"/>
      <c r="D10681" s="13"/>
    </row>
    <row r="10682" spans="1:4">
      <c r="A10682" s="13"/>
      <c r="B10682" s="13"/>
      <c r="C10682" s="13"/>
      <c r="D10682" s="13"/>
    </row>
    <row r="10683" spans="1:4">
      <c r="A10683" s="13"/>
      <c r="B10683" s="13"/>
      <c r="C10683" s="13"/>
      <c r="D10683" s="13"/>
    </row>
    <row r="10684" spans="1:4">
      <c r="A10684" s="13"/>
      <c r="B10684" s="13"/>
      <c r="C10684" s="13"/>
      <c r="D10684" s="13"/>
    </row>
    <row r="10685" spans="1:4">
      <c r="A10685" s="13"/>
      <c r="B10685" s="13"/>
      <c r="C10685" s="13"/>
      <c r="D10685" s="13"/>
    </row>
    <row r="10686" spans="1:4">
      <c r="A10686" s="13"/>
      <c r="B10686" s="13"/>
      <c r="C10686" s="13"/>
      <c r="D10686" s="13"/>
    </row>
    <row r="10687" spans="1:4">
      <c r="A10687" s="13"/>
      <c r="B10687" s="13"/>
      <c r="C10687" s="13"/>
      <c r="D10687" s="13"/>
    </row>
    <row r="10688" spans="1:4">
      <c r="A10688" s="13"/>
      <c r="B10688" s="13"/>
      <c r="C10688" s="13"/>
      <c r="D10688" s="13"/>
    </row>
    <row r="10689" spans="1:4">
      <c r="A10689" s="13"/>
      <c r="B10689" s="13"/>
      <c r="C10689" s="13"/>
      <c r="D10689" s="13"/>
    </row>
    <row r="10690" spans="1:4">
      <c r="A10690" s="13"/>
      <c r="B10690" s="13"/>
      <c r="C10690" s="13"/>
      <c r="D10690" s="13"/>
    </row>
    <row r="10691" spans="1:4">
      <c r="A10691" s="13"/>
      <c r="B10691" s="13"/>
      <c r="C10691" s="13"/>
      <c r="D10691" s="13"/>
    </row>
    <row r="10692" spans="1:4">
      <c r="A10692" s="13"/>
      <c r="B10692" s="13"/>
      <c r="C10692" s="13"/>
      <c r="D10692" s="13"/>
    </row>
    <row r="10693" spans="1:4">
      <c r="A10693" s="13"/>
      <c r="B10693" s="13"/>
      <c r="C10693" s="13"/>
      <c r="D10693" s="13"/>
    </row>
    <row r="10694" spans="1:4">
      <c r="A10694" s="13"/>
      <c r="B10694" s="13"/>
      <c r="C10694" s="13"/>
      <c r="D10694" s="13"/>
    </row>
    <row r="10695" spans="1:4">
      <c r="A10695" s="13"/>
      <c r="B10695" s="13"/>
      <c r="C10695" s="13"/>
      <c r="D10695" s="13"/>
    </row>
    <row r="10696" spans="1:4">
      <c r="A10696" s="13"/>
      <c r="B10696" s="13"/>
      <c r="C10696" s="13"/>
      <c r="D10696" s="13"/>
    </row>
    <row r="10697" spans="1:4">
      <c r="A10697" s="13"/>
      <c r="B10697" s="13"/>
      <c r="C10697" s="13"/>
      <c r="D10697" s="13"/>
    </row>
    <row r="10698" spans="1:4">
      <c r="A10698" s="13"/>
      <c r="B10698" s="13"/>
      <c r="C10698" s="13"/>
      <c r="D10698" s="13"/>
    </row>
    <row r="10699" spans="1:4">
      <c r="A10699" s="13"/>
      <c r="B10699" s="13"/>
      <c r="C10699" s="13"/>
      <c r="D10699" s="13"/>
    </row>
    <row r="10700" spans="1:4">
      <c r="A10700" s="13"/>
      <c r="B10700" s="13"/>
      <c r="C10700" s="13"/>
      <c r="D10700" s="13"/>
    </row>
    <row r="10701" spans="1:4">
      <c r="A10701" s="13"/>
      <c r="B10701" s="13"/>
      <c r="C10701" s="13"/>
      <c r="D10701" s="13"/>
    </row>
    <row r="10702" spans="1:4">
      <c r="A10702" s="13"/>
      <c r="B10702" s="13"/>
      <c r="C10702" s="13"/>
      <c r="D10702" s="13"/>
    </row>
    <row r="10703" spans="1:4">
      <c r="A10703" s="13"/>
      <c r="B10703" s="13"/>
      <c r="C10703" s="13"/>
      <c r="D10703" s="13"/>
    </row>
    <row r="10704" spans="1:4">
      <c r="A10704" s="13"/>
      <c r="B10704" s="13"/>
      <c r="C10704" s="13"/>
      <c r="D10704" s="13"/>
    </row>
    <row r="10705" spans="1:4">
      <c r="A10705" s="13"/>
      <c r="B10705" s="13"/>
      <c r="C10705" s="13"/>
      <c r="D10705" s="13"/>
    </row>
    <row r="10706" spans="1:4">
      <c r="A10706" s="13"/>
      <c r="B10706" s="13"/>
      <c r="C10706" s="13"/>
      <c r="D10706" s="13"/>
    </row>
    <row r="10707" spans="1:4">
      <c r="A10707" s="13"/>
      <c r="B10707" s="13"/>
      <c r="C10707" s="13"/>
      <c r="D10707" s="13"/>
    </row>
    <row r="10708" spans="1:4">
      <c r="A10708" s="13"/>
      <c r="B10708" s="13"/>
      <c r="C10708" s="13"/>
      <c r="D10708" s="13"/>
    </row>
    <row r="10709" spans="1:4">
      <c r="A10709" s="13"/>
      <c r="B10709" s="13"/>
      <c r="C10709" s="13"/>
      <c r="D10709" s="13"/>
    </row>
    <row r="10710" spans="1:4">
      <c r="A10710" s="13"/>
      <c r="B10710" s="13"/>
      <c r="C10710" s="13"/>
      <c r="D10710" s="13"/>
    </row>
    <row r="10711" spans="1:4">
      <c r="A10711" s="13"/>
      <c r="B10711" s="13"/>
      <c r="C10711" s="13"/>
      <c r="D10711" s="13"/>
    </row>
    <row r="10712" spans="1:4">
      <c r="A10712" s="13"/>
      <c r="B10712" s="13"/>
      <c r="C10712" s="13"/>
      <c r="D10712" s="13"/>
    </row>
    <row r="10713" spans="1:4">
      <c r="A10713" s="13"/>
      <c r="B10713" s="13"/>
      <c r="C10713" s="13"/>
      <c r="D10713" s="13"/>
    </row>
    <row r="10714" spans="1:4">
      <c r="A10714" s="13"/>
      <c r="B10714" s="13"/>
      <c r="C10714" s="13"/>
      <c r="D10714" s="13"/>
    </row>
    <row r="10715" spans="1:4">
      <c r="A10715" s="13"/>
      <c r="B10715" s="13"/>
      <c r="C10715" s="13"/>
      <c r="D10715" s="13"/>
    </row>
    <row r="10716" spans="1:4">
      <c r="A10716" s="13"/>
      <c r="B10716" s="13"/>
      <c r="C10716" s="13"/>
      <c r="D10716" s="13"/>
    </row>
    <row r="10717" spans="1:4">
      <c r="A10717" s="13"/>
      <c r="B10717" s="13"/>
      <c r="C10717" s="13"/>
      <c r="D10717" s="13"/>
    </row>
    <row r="10718" spans="1:4">
      <c r="A10718" s="13"/>
      <c r="B10718" s="13"/>
      <c r="C10718" s="13"/>
      <c r="D10718" s="13"/>
    </row>
    <row r="10719" spans="1:4">
      <c r="A10719" s="13"/>
      <c r="B10719" s="13"/>
      <c r="C10719" s="13"/>
      <c r="D10719" s="13"/>
    </row>
    <row r="10720" spans="1:4">
      <c r="A10720" s="13"/>
      <c r="B10720" s="13"/>
      <c r="C10720" s="13"/>
      <c r="D10720" s="13"/>
    </row>
    <row r="10721" spans="1:4">
      <c r="A10721" s="13"/>
      <c r="B10721" s="13"/>
      <c r="C10721" s="13"/>
      <c r="D10721" s="13"/>
    </row>
    <row r="10722" spans="1:4">
      <c r="A10722" s="13"/>
      <c r="B10722" s="13"/>
      <c r="C10722" s="13"/>
      <c r="D10722" s="13"/>
    </row>
    <row r="10723" spans="1:4">
      <c r="A10723" s="13"/>
      <c r="B10723" s="13"/>
      <c r="C10723" s="13"/>
      <c r="D10723" s="13"/>
    </row>
    <row r="10724" spans="1:4">
      <c r="A10724" s="13"/>
      <c r="B10724" s="13"/>
      <c r="C10724" s="13"/>
      <c r="D10724" s="13"/>
    </row>
    <row r="10725" spans="1:4">
      <c r="A10725" s="13"/>
      <c r="B10725" s="13"/>
      <c r="C10725" s="13"/>
      <c r="D10725" s="13"/>
    </row>
    <row r="10726" spans="1:4">
      <c r="A10726" s="13"/>
      <c r="B10726" s="13"/>
      <c r="C10726" s="13"/>
      <c r="D10726" s="13"/>
    </row>
    <row r="10727" spans="1:4">
      <c r="A10727" s="13"/>
      <c r="B10727" s="13"/>
      <c r="C10727" s="13"/>
      <c r="D10727" s="13"/>
    </row>
    <row r="10728" spans="1:4">
      <c r="A10728" s="13"/>
      <c r="B10728" s="13"/>
      <c r="C10728" s="13"/>
      <c r="D10728" s="13"/>
    </row>
    <row r="10729" spans="1:4">
      <c r="A10729" s="13"/>
      <c r="B10729" s="13"/>
      <c r="C10729" s="13"/>
      <c r="D10729" s="13"/>
    </row>
    <row r="10730" spans="1:4">
      <c r="A10730" s="13"/>
      <c r="B10730" s="13"/>
      <c r="C10730" s="13"/>
      <c r="D10730" s="13"/>
    </row>
    <row r="10731" spans="1:4">
      <c r="A10731" s="13"/>
      <c r="B10731" s="13"/>
      <c r="C10731" s="13"/>
      <c r="D10731" s="13"/>
    </row>
    <row r="10732" spans="1:4">
      <c r="A10732" s="13"/>
      <c r="B10732" s="13"/>
      <c r="C10732" s="13"/>
      <c r="D10732" s="13"/>
    </row>
    <row r="10733" spans="1:4">
      <c r="A10733" s="13"/>
      <c r="B10733" s="13"/>
      <c r="C10733" s="13"/>
      <c r="D10733" s="13"/>
    </row>
    <row r="10734" spans="1:4">
      <c r="A10734" s="13"/>
      <c r="B10734" s="13"/>
      <c r="C10734" s="13"/>
      <c r="D10734" s="13"/>
    </row>
    <row r="10735" spans="1:4">
      <c r="A10735" s="13"/>
      <c r="B10735" s="13"/>
      <c r="C10735" s="13"/>
      <c r="D10735" s="13"/>
    </row>
    <row r="10736" spans="1:4">
      <c r="A10736" s="13"/>
      <c r="B10736" s="13"/>
      <c r="C10736" s="13"/>
      <c r="D10736" s="13"/>
    </row>
    <row r="10737" spans="1:4">
      <c r="A10737" s="13"/>
      <c r="B10737" s="13"/>
      <c r="C10737" s="13"/>
      <c r="D10737" s="13"/>
    </row>
    <row r="10738" spans="1:4">
      <c r="A10738" s="13"/>
      <c r="B10738" s="13"/>
      <c r="C10738" s="13"/>
      <c r="D10738" s="13"/>
    </row>
    <row r="10739" spans="1:4">
      <c r="A10739" s="13"/>
      <c r="B10739" s="13"/>
      <c r="C10739" s="13"/>
      <c r="D10739" s="13"/>
    </row>
    <row r="10740" spans="1:4">
      <c r="A10740" s="13"/>
      <c r="B10740" s="13"/>
      <c r="C10740" s="13"/>
      <c r="D10740" s="13"/>
    </row>
    <row r="10741" spans="1:4">
      <c r="A10741" s="13"/>
      <c r="B10741" s="13"/>
      <c r="C10741" s="13"/>
      <c r="D10741" s="13"/>
    </row>
    <row r="10742" spans="1:4">
      <c r="A10742" s="13"/>
      <c r="B10742" s="13"/>
      <c r="C10742" s="13"/>
      <c r="D10742" s="13"/>
    </row>
    <row r="10743" spans="1:4">
      <c r="A10743" s="13"/>
      <c r="B10743" s="13"/>
      <c r="C10743" s="13"/>
      <c r="D10743" s="13"/>
    </row>
    <row r="10744" spans="1:4">
      <c r="A10744" s="13"/>
      <c r="B10744" s="13"/>
      <c r="C10744" s="13"/>
      <c r="D10744" s="13"/>
    </row>
    <row r="10745" spans="1:4">
      <c r="A10745" s="13"/>
      <c r="B10745" s="13"/>
      <c r="C10745" s="13"/>
      <c r="D10745" s="13"/>
    </row>
    <row r="10746" spans="1:4">
      <c r="A10746" s="13"/>
      <c r="B10746" s="13"/>
      <c r="C10746" s="13"/>
      <c r="D10746" s="13"/>
    </row>
    <row r="10747" spans="1:4">
      <c r="A10747" s="13"/>
      <c r="B10747" s="13"/>
      <c r="C10747" s="13"/>
      <c r="D10747" s="13"/>
    </row>
    <row r="10748" spans="1:4">
      <c r="A10748" s="13"/>
      <c r="B10748" s="13"/>
      <c r="C10748" s="13"/>
      <c r="D10748" s="13"/>
    </row>
    <row r="10749" spans="1:4">
      <c r="A10749" s="13"/>
      <c r="B10749" s="13"/>
      <c r="C10749" s="13"/>
      <c r="D10749" s="13"/>
    </row>
    <row r="10750" spans="1:4">
      <c r="A10750" s="13"/>
      <c r="B10750" s="13"/>
      <c r="C10750" s="13"/>
      <c r="D10750" s="13"/>
    </row>
    <row r="10751" spans="1:4">
      <c r="A10751" s="13"/>
      <c r="B10751" s="13"/>
      <c r="C10751" s="13"/>
      <c r="D10751" s="13"/>
    </row>
    <row r="10752" spans="1:4">
      <c r="A10752" s="13"/>
      <c r="B10752" s="13"/>
      <c r="C10752" s="13"/>
      <c r="D10752" s="13"/>
    </row>
    <row r="10753" spans="1:4">
      <c r="A10753" s="13"/>
      <c r="B10753" s="13"/>
      <c r="C10753" s="13"/>
      <c r="D10753" s="13"/>
    </row>
    <row r="10754" spans="1:4">
      <c r="A10754" s="13"/>
      <c r="B10754" s="13"/>
      <c r="C10754" s="13"/>
      <c r="D10754" s="13"/>
    </row>
    <row r="10755" spans="1:4">
      <c r="A10755" s="13"/>
      <c r="B10755" s="13"/>
      <c r="C10755" s="13"/>
      <c r="D10755" s="13"/>
    </row>
    <row r="10756" spans="1:4">
      <c r="A10756" s="13"/>
      <c r="B10756" s="13"/>
      <c r="C10756" s="13"/>
      <c r="D10756" s="13"/>
    </row>
    <row r="10757" spans="1:4">
      <c r="A10757" s="13"/>
      <c r="B10757" s="13"/>
      <c r="C10757" s="13"/>
      <c r="D10757" s="13"/>
    </row>
    <row r="10758" spans="1:4">
      <c r="A10758" s="13"/>
      <c r="B10758" s="13"/>
      <c r="C10758" s="13"/>
      <c r="D10758" s="13"/>
    </row>
    <row r="10759" spans="1:4">
      <c r="A10759" s="13"/>
      <c r="B10759" s="13"/>
      <c r="C10759" s="13"/>
      <c r="D10759" s="13"/>
    </row>
    <row r="10760" spans="1:4">
      <c r="A10760" s="13"/>
      <c r="B10760" s="13"/>
      <c r="C10760" s="13"/>
      <c r="D10760" s="13"/>
    </row>
    <row r="10761" spans="1:4">
      <c r="A10761" s="13"/>
      <c r="B10761" s="13"/>
      <c r="C10761" s="13"/>
      <c r="D10761" s="13"/>
    </row>
    <row r="10762" spans="1:4">
      <c r="A10762" s="13"/>
      <c r="B10762" s="13"/>
      <c r="C10762" s="13"/>
      <c r="D10762" s="13"/>
    </row>
    <row r="10763" spans="1:4">
      <c r="A10763" s="13"/>
      <c r="B10763" s="13"/>
      <c r="C10763" s="13"/>
      <c r="D10763" s="13"/>
    </row>
    <row r="10764" spans="1:4">
      <c r="A10764" s="13"/>
      <c r="B10764" s="13"/>
      <c r="C10764" s="13"/>
      <c r="D10764" s="13"/>
    </row>
    <row r="10765" spans="1:4">
      <c r="A10765" s="13"/>
      <c r="B10765" s="13"/>
      <c r="C10765" s="13"/>
      <c r="D10765" s="13"/>
    </row>
    <row r="10766" spans="1:4">
      <c r="A10766" s="13"/>
      <c r="B10766" s="13"/>
      <c r="C10766" s="13"/>
      <c r="D10766" s="13"/>
    </row>
    <row r="10767" spans="1:4">
      <c r="A10767" s="13"/>
      <c r="B10767" s="13"/>
      <c r="C10767" s="13"/>
      <c r="D10767" s="13"/>
    </row>
    <row r="10768" spans="1:4">
      <c r="A10768" s="13"/>
      <c r="B10768" s="13"/>
      <c r="C10768" s="13"/>
      <c r="D10768" s="13"/>
    </row>
    <row r="10769" spans="1:4">
      <c r="A10769" s="13"/>
      <c r="B10769" s="13"/>
      <c r="C10769" s="13"/>
      <c r="D10769" s="13"/>
    </row>
    <row r="10770" spans="1:4">
      <c r="A10770" s="13"/>
      <c r="B10770" s="13"/>
      <c r="C10770" s="13"/>
      <c r="D10770" s="13"/>
    </row>
    <row r="10771" spans="1:4">
      <c r="A10771" s="13"/>
      <c r="B10771" s="13"/>
      <c r="C10771" s="13"/>
      <c r="D10771" s="13"/>
    </row>
    <row r="10772" spans="1:4">
      <c r="A10772" s="13"/>
      <c r="B10772" s="13"/>
      <c r="C10772" s="13"/>
      <c r="D10772" s="13"/>
    </row>
    <row r="10773" spans="1:4">
      <c r="A10773" s="13"/>
      <c r="B10773" s="13"/>
      <c r="C10773" s="13"/>
      <c r="D10773" s="13"/>
    </row>
    <row r="10774" spans="1:4">
      <c r="A10774" s="13"/>
      <c r="B10774" s="13"/>
      <c r="C10774" s="13"/>
      <c r="D10774" s="13"/>
    </row>
    <row r="10775" spans="1:4">
      <c r="A10775" s="13"/>
      <c r="B10775" s="13"/>
      <c r="C10775" s="13"/>
      <c r="D10775" s="13"/>
    </row>
    <row r="10776" spans="1:4">
      <c r="A10776" s="13"/>
      <c r="B10776" s="13"/>
      <c r="C10776" s="13"/>
      <c r="D10776" s="13"/>
    </row>
    <row r="10777" spans="1:4">
      <c r="A10777" s="13"/>
      <c r="B10777" s="13"/>
      <c r="C10777" s="13"/>
      <c r="D10777" s="13"/>
    </row>
    <row r="10778" spans="1:4">
      <c r="A10778" s="13"/>
      <c r="B10778" s="13"/>
      <c r="C10778" s="13"/>
      <c r="D10778" s="13"/>
    </row>
    <row r="10779" spans="1:4">
      <c r="A10779" s="13"/>
      <c r="B10779" s="13"/>
      <c r="C10779" s="13"/>
      <c r="D10779" s="13"/>
    </row>
    <row r="10780" spans="1:4">
      <c r="A10780" s="13"/>
      <c r="B10780" s="13"/>
      <c r="C10780" s="13"/>
      <c r="D10780" s="13"/>
    </row>
    <row r="10781" spans="1:4">
      <c r="A10781" s="13"/>
      <c r="B10781" s="13"/>
      <c r="C10781" s="13"/>
      <c r="D10781" s="13"/>
    </row>
    <row r="10782" spans="1:4">
      <c r="A10782" s="13"/>
      <c r="B10782" s="13"/>
      <c r="C10782" s="13"/>
      <c r="D10782" s="13"/>
    </row>
    <row r="10783" spans="1:4">
      <c r="A10783" s="13"/>
      <c r="B10783" s="13"/>
      <c r="C10783" s="13"/>
      <c r="D10783" s="13"/>
    </row>
    <row r="10784" spans="1:4">
      <c r="A10784" s="13"/>
      <c r="B10784" s="13"/>
      <c r="C10784" s="13"/>
      <c r="D10784" s="13"/>
    </row>
    <row r="10785" spans="1:4">
      <c r="A10785" s="13"/>
      <c r="B10785" s="13"/>
      <c r="C10785" s="13"/>
      <c r="D10785" s="13"/>
    </row>
    <row r="10786" spans="1:4">
      <c r="A10786" s="13"/>
      <c r="B10786" s="13"/>
      <c r="C10786" s="13"/>
      <c r="D10786" s="13"/>
    </row>
    <row r="10787" spans="1:4">
      <c r="A10787" s="13"/>
      <c r="B10787" s="13"/>
      <c r="C10787" s="13"/>
      <c r="D10787" s="13"/>
    </row>
    <row r="10788" spans="1:4">
      <c r="A10788" s="13"/>
      <c r="B10788" s="13"/>
      <c r="C10788" s="13"/>
      <c r="D10788" s="13"/>
    </row>
    <row r="10789" spans="1:4">
      <c r="A10789" s="13"/>
      <c r="B10789" s="13"/>
      <c r="C10789" s="13"/>
      <c r="D10789" s="13"/>
    </row>
    <row r="10790" spans="1:4">
      <c r="A10790" s="13"/>
      <c r="B10790" s="13"/>
      <c r="C10790" s="13"/>
      <c r="D10790" s="13"/>
    </row>
    <row r="10791" spans="1:4">
      <c r="A10791" s="13"/>
      <c r="B10791" s="13"/>
      <c r="C10791" s="13"/>
      <c r="D10791" s="13"/>
    </row>
    <row r="10792" spans="1:4">
      <c r="A10792" s="13"/>
      <c r="B10792" s="13"/>
      <c r="C10792" s="13"/>
      <c r="D10792" s="13"/>
    </row>
    <row r="10793" spans="1:4">
      <c r="A10793" s="13"/>
      <c r="B10793" s="13"/>
      <c r="C10793" s="13"/>
      <c r="D10793" s="13"/>
    </row>
    <row r="10794" spans="1:4">
      <c r="A10794" s="13"/>
      <c r="B10794" s="13"/>
      <c r="C10794" s="13"/>
      <c r="D10794" s="13"/>
    </row>
    <row r="10795" spans="1:4">
      <c r="A10795" s="13"/>
      <c r="B10795" s="13"/>
      <c r="C10795" s="13"/>
      <c r="D10795" s="13"/>
    </row>
    <row r="10796" spans="1:4">
      <c r="A10796" s="13"/>
      <c r="B10796" s="13"/>
      <c r="C10796" s="13"/>
      <c r="D10796" s="13"/>
    </row>
    <row r="10797" spans="1:4">
      <c r="A10797" s="13"/>
      <c r="B10797" s="13"/>
      <c r="C10797" s="13"/>
      <c r="D10797" s="13"/>
    </row>
    <row r="10798" spans="1:4">
      <c r="A10798" s="13"/>
      <c r="B10798" s="13"/>
      <c r="C10798" s="13"/>
      <c r="D10798" s="13"/>
    </row>
    <row r="10799" spans="1:4">
      <c r="A10799" s="13"/>
      <c r="B10799" s="13"/>
      <c r="C10799" s="13"/>
      <c r="D10799" s="13"/>
    </row>
    <row r="10800" spans="1:4">
      <c r="A10800" s="13"/>
      <c r="B10800" s="13"/>
      <c r="C10800" s="13"/>
      <c r="D10800" s="13"/>
    </row>
    <row r="10801" spans="1:4">
      <c r="A10801" s="13"/>
      <c r="B10801" s="13"/>
      <c r="C10801" s="13"/>
      <c r="D10801" s="13"/>
    </row>
    <row r="10802" spans="1:4">
      <c r="A10802" s="13"/>
      <c r="B10802" s="13"/>
      <c r="C10802" s="13"/>
      <c r="D10802" s="13"/>
    </row>
    <row r="10803" spans="1:4">
      <c r="A10803" s="13"/>
      <c r="B10803" s="13"/>
      <c r="C10803" s="13"/>
      <c r="D10803" s="13"/>
    </row>
    <row r="10804" spans="1:4">
      <c r="A10804" s="13"/>
      <c r="B10804" s="13"/>
      <c r="C10804" s="13"/>
      <c r="D10804" s="13"/>
    </row>
    <row r="10805" spans="1:4">
      <c r="A10805" s="13"/>
      <c r="B10805" s="13"/>
      <c r="C10805" s="13"/>
      <c r="D10805" s="13"/>
    </row>
    <row r="10806" spans="1:4">
      <c r="A10806" s="13"/>
      <c r="B10806" s="13"/>
      <c r="C10806" s="13"/>
      <c r="D10806" s="13"/>
    </row>
    <row r="10807" spans="1:4">
      <c r="A10807" s="13"/>
      <c r="B10807" s="13"/>
      <c r="C10807" s="13"/>
      <c r="D10807" s="13"/>
    </row>
    <row r="10808" spans="1:4">
      <c r="A10808" s="13"/>
      <c r="B10808" s="13"/>
      <c r="C10808" s="13"/>
      <c r="D10808" s="13"/>
    </row>
    <row r="10809" spans="1:4">
      <c r="A10809" s="13"/>
      <c r="B10809" s="13"/>
      <c r="C10809" s="13"/>
      <c r="D10809" s="13"/>
    </row>
    <row r="10810" spans="1:4">
      <c r="A10810" s="13"/>
      <c r="B10810" s="13"/>
      <c r="C10810" s="13"/>
      <c r="D10810" s="13"/>
    </row>
    <row r="10811" spans="1:4">
      <c r="A10811" s="13"/>
      <c r="B10811" s="13"/>
      <c r="C10811" s="13"/>
      <c r="D10811" s="13"/>
    </row>
    <row r="10812" spans="1:4">
      <c r="A10812" s="13"/>
      <c r="B10812" s="13"/>
      <c r="C10812" s="13"/>
      <c r="D10812" s="13"/>
    </row>
    <row r="10813" spans="1:4">
      <c r="A10813" s="13"/>
      <c r="B10813" s="13"/>
      <c r="C10813" s="13"/>
      <c r="D10813" s="13"/>
    </row>
    <row r="10814" spans="1:4">
      <c r="A10814" s="13"/>
      <c r="B10814" s="13"/>
      <c r="C10814" s="13"/>
      <c r="D10814" s="13"/>
    </row>
    <row r="10815" spans="1:4">
      <c r="A10815" s="13"/>
      <c r="B10815" s="13"/>
      <c r="C10815" s="13"/>
      <c r="D10815" s="13"/>
    </row>
    <row r="10816" spans="1:4">
      <c r="A10816" s="13"/>
      <c r="B10816" s="13"/>
      <c r="C10816" s="13"/>
      <c r="D10816" s="13"/>
    </row>
    <row r="10817" spans="1:4">
      <c r="A10817" s="13"/>
      <c r="B10817" s="13"/>
      <c r="C10817" s="13"/>
      <c r="D10817" s="13"/>
    </row>
    <row r="10818" spans="1:4">
      <c r="A10818" s="13"/>
      <c r="B10818" s="13"/>
      <c r="C10818" s="13"/>
      <c r="D10818" s="13"/>
    </row>
    <row r="10819" spans="1:4">
      <c r="A10819" s="13"/>
      <c r="B10819" s="13"/>
      <c r="C10819" s="13"/>
      <c r="D10819" s="13"/>
    </row>
    <row r="10820" spans="1:4">
      <c r="A10820" s="13"/>
      <c r="B10820" s="13"/>
      <c r="C10820" s="13"/>
      <c r="D10820" s="13"/>
    </row>
    <row r="10821" spans="1:4">
      <c r="A10821" s="13"/>
      <c r="B10821" s="13"/>
      <c r="C10821" s="13"/>
      <c r="D10821" s="13"/>
    </row>
    <row r="10822" spans="1:4">
      <c r="A10822" s="13"/>
      <c r="B10822" s="13"/>
      <c r="C10822" s="13"/>
      <c r="D10822" s="13"/>
    </row>
    <row r="10823" spans="1:4">
      <c r="A10823" s="13"/>
      <c r="B10823" s="13"/>
      <c r="C10823" s="13"/>
      <c r="D10823" s="13"/>
    </row>
    <row r="10824" spans="1:4">
      <c r="A10824" s="13"/>
      <c r="B10824" s="13"/>
      <c r="C10824" s="13"/>
      <c r="D10824" s="13"/>
    </row>
    <row r="10825" spans="1:4">
      <c r="A10825" s="13"/>
      <c r="B10825" s="13"/>
      <c r="C10825" s="13"/>
      <c r="D10825" s="13"/>
    </row>
    <row r="10826" spans="1:4">
      <c r="A10826" s="13"/>
      <c r="B10826" s="13"/>
      <c r="C10826" s="13"/>
      <c r="D10826" s="13"/>
    </row>
    <row r="10827" spans="1:4">
      <c r="A10827" s="13"/>
      <c r="B10827" s="13"/>
      <c r="C10827" s="13"/>
      <c r="D10827" s="13"/>
    </row>
    <row r="10828" spans="1:4">
      <c r="A10828" s="13"/>
      <c r="B10828" s="13"/>
      <c r="C10828" s="13"/>
      <c r="D10828" s="13"/>
    </row>
    <row r="10829" spans="1:4">
      <c r="A10829" s="13"/>
      <c r="B10829" s="13"/>
      <c r="C10829" s="13"/>
      <c r="D10829" s="13"/>
    </row>
    <row r="10830" spans="1:4">
      <c r="A10830" s="13"/>
      <c r="B10830" s="13"/>
      <c r="C10830" s="13"/>
      <c r="D10830" s="13"/>
    </row>
    <row r="10831" spans="1:4">
      <c r="A10831" s="13"/>
      <c r="B10831" s="13"/>
      <c r="C10831" s="13"/>
      <c r="D10831" s="13"/>
    </row>
    <row r="10832" spans="1:4">
      <c r="A10832" s="13"/>
      <c r="B10832" s="13"/>
      <c r="C10832" s="13"/>
      <c r="D10832" s="13"/>
    </row>
    <row r="10833" spans="1:4">
      <c r="A10833" s="13"/>
      <c r="B10833" s="13"/>
      <c r="C10833" s="13"/>
      <c r="D10833" s="13"/>
    </row>
    <row r="10834" spans="1:4">
      <c r="A10834" s="13"/>
      <c r="B10834" s="13"/>
      <c r="C10834" s="13"/>
      <c r="D10834" s="13"/>
    </row>
    <row r="10835" spans="1:4">
      <c r="A10835" s="13"/>
      <c r="B10835" s="13"/>
      <c r="C10835" s="13"/>
      <c r="D10835" s="13"/>
    </row>
    <row r="10836" spans="1:4">
      <c r="A10836" s="13"/>
      <c r="B10836" s="13"/>
      <c r="C10836" s="13"/>
      <c r="D10836" s="13"/>
    </row>
    <row r="10837" spans="1:4">
      <c r="A10837" s="13"/>
      <c r="B10837" s="13"/>
      <c r="C10837" s="13"/>
      <c r="D10837" s="13"/>
    </row>
    <row r="10838" spans="1:4">
      <c r="A10838" s="13"/>
      <c r="B10838" s="13"/>
      <c r="C10838" s="13"/>
      <c r="D10838" s="13"/>
    </row>
    <row r="10839" spans="1:4">
      <c r="A10839" s="13"/>
      <c r="B10839" s="13"/>
      <c r="C10839" s="13"/>
      <c r="D10839" s="13"/>
    </row>
    <row r="10840" spans="1:4">
      <c r="A10840" s="13"/>
      <c r="B10840" s="13"/>
      <c r="C10840" s="13"/>
      <c r="D10840" s="13"/>
    </row>
    <row r="10841" spans="1:4">
      <c r="A10841" s="13"/>
      <c r="B10841" s="13"/>
      <c r="C10841" s="13"/>
      <c r="D10841" s="13"/>
    </row>
    <row r="10842" spans="1:4">
      <c r="A10842" s="13"/>
      <c r="B10842" s="13"/>
      <c r="C10842" s="13"/>
      <c r="D10842" s="13"/>
    </row>
    <row r="10843" spans="1:4">
      <c r="A10843" s="13"/>
      <c r="B10843" s="13"/>
      <c r="C10843" s="13"/>
      <c r="D10843" s="13"/>
    </row>
    <row r="10844" spans="1:4">
      <c r="A10844" s="13"/>
      <c r="B10844" s="13"/>
      <c r="C10844" s="13"/>
      <c r="D10844" s="13"/>
    </row>
    <row r="10845" spans="1:4">
      <c r="A10845" s="13"/>
      <c r="B10845" s="13"/>
      <c r="C10845" s="13"/>
      <c r="D10845" s="13"/>
    </row>
    <row r="10846" spans="1:4">
      <c r="A10846" s="13"/>
      <c r="B10846" s="13"/>
      <c r="C10846" s="13"/>
      <c r="D10846" s="13"/>
    </row>
    <row r="10847" spans="1:4">
      <c r="A10847" s="13"/>
      <c r="B10847" s="13"/>
      <c r="C10847" s="13"/>
      <c r="D10847" s="13"/>
    </row>
    <row r="10848" spans="1:4">
      <c r="A10848" s="13"/>
      <c r="B10848" s="13"/>
      <c r="C10848" s="13"/>
      <c r="D10848" s="13"/>
    </row>
    <row r="10849" spans="1:4">
      <c r="A10849" s="13"/>
      <c r="B10849" s="13"/>
      <c r="C10849" s="13"/>
      <c r="D10849" s="13"/>
    </row>
    <row r="10850" spans="1:4">
      <c r="A10850" s="13"/>
      <c r="B10850" s="13"/>
      <c r="C10850" s="13"/>
      <c r="D10850" s="13"/>
    </row>
    <row r="10851" spans="1:4">
      <c r="A10851" s="13"/>
      <c r="B10851" s="13"/>
      <c r="C10851" s="13"/>
      <c r="D10851" s="13"/>
    </row>
    <row r="10852" spans="1:4">
      <c r="A10852" s="13"/>
      <c r="B10852" s="13"/>
      <c r="C10852" s="13"/>
      <c r="D10852" s="13"/>
    </row>
    <row r="10853" spans="1:4">
      <c r="A10853" s="13"/>
      <c r="B10853" s="13"/>
      <c r="C10853" s="13"/>
      <c r="D10853" s="13"/>
    </row>
    <row r="10854" spans="1:4">
      <c r="A10854" s="13"/>
      <c r="B10854" s="13"/>
      <c r="C10854" s="13"/>
      <c r="D10854" s="13"/>
    </row>
    <row r="10855" spans="1:4">
      <c r="A10855" s="13"/>
      <c r="B10855" s="13"/>
      <c r="C10855" s="13"/>
      <c r="D10855" s="13"/>
    </row>
    <row r="10856" spans="1:4">
      <c r="A10856" s="13"/>
      <c r="B10856" s="13"/>
      <c r="C10856" s="13"/>
      <c r="D10856" s="13"/>
    </row>
    <row r="10857" spans="1:4">
      <c r="A10857" s="13"/>
      <c r="B10857" s="13"/>
      <c r="C10857" s="13"/>
      <c r="D10857" s="13"/>
    </row>
    <row r="10858" spans="1:4">
      <c r="A10858" s="13"/>
      <c r="B10858" s="13"/>
      <c r="C10858" s="13"/>
      <c r="D10858" s="13"/>
    </row>
    <row r="10859" spans="1:4">
      <c r="A10859" s="13"/>
      <c r="B10859" s="13"/>
      <c r="C10859" s="13"/>
      <c r="D10859" s="13"/>
    </row>
    <row r="10860" spans="1:4">
      <c r="A10860" s="13"/>
      <c r="B10860" s="13"/>
      <c r="C10860" s="13"/>
      <c r="D10860" s="13"/>
    </row>
    <row r="10861" spans="1:4">
      <c r="A10861" s="13"/>
      <c r="B10861" s="13"/>
      <c r="C10861" s="13"/>
      <c r="D10861" s="13"/>
    </row>
    <row r="10862" spans="1:4">
      <c r="A10862" s="13"/>
      <c r="B10862" s="13"/>
      <c r="C10862" s="13"/>
      <c r="D10862" s="13"/>
    </row>
    <row r="10863" spans="1:4">
      <c r="A10863" s="13"/>
      <c r="B10863" s="13"/>
      <c r="C10863" s="13"/>
      <c r="D10863" s="13"/>
    </row>
    <row r="10864" spans="1:4">
      <c r="A10864" s="13"/>
      <c r="B10864" s="13"/>
      <c r="C10864" s="13"/>
      <c r="D10864" s="13"/>
    </row>
    <row r="10865" spans="1:4">
      <c r="A10865" s="13"/>
      <c r="B10865" s="13"/>
      <c r="C10865" s="13"/>
      <c r="D10865" s="13"/>
    </row>
    <row r="10866" spans="1:4">
      <c r="A10866" s="13"/>
      <c r="B10866" s="13"/>
      <c r="C10866" s="13"/>
      <c r="D10866" s="13"/>
    </row>
    <row r="10867" spans="1:4">
      <c r="A10867" s="13"/>
      <c r="B10867" s="13"/>
      <c r="C10867" s="13"/>
      <c r="D10867" s="13"/>
    </row>
    <row r="10868" spans="1:4">
      <c r="A10868" s="13"/>
      <c r="B10868" s="13"/>
      <c r="C10868" s="13"/>
      <c r="D10868" s="13"/>
    </row>
    <row r="10869" spans="1:4">
      <c r="A10869" s="13"/>
      <c r="B10869" s="13"/>
      <c r="C10869" s="13"/>
      <c r="D10869" s="13"/>
    </row>
    <row r="10870" spans="1:4">
      <c r="A10870" s="13"/>
      <c r="B10870" s="13"/>
      <c r="C10870" s="13"/>
      <c r="D10870" s="13"/>
    </row>
    <row r="10871" spans="1:4">
      <c r="A10871" s="13"/>
      <c r="B10871" s="13"/>
      <c r="C10871" s="13"/>
      <c r="D10871" s="13"/>
    </row>
    <row r="10872" spans="1:4">
      <c r="A10872" s="13"/>
      <c r="B10872" s="13"/>
      <c r="C10872" s="13"/>
      <c r="D10872" s="13"/>
    </row>
    <row r="10873" spans="1:4">
      <c r="A10873" s="13"/>
      <c r="B10873" s="13"/>
      <c r="C10873" s="13"/>
      <c r="D10873" s="13"/>
    </row>
    <row r="10874" spans="1:4">
      <c r="A10874" s="13"/>
      <c r="B10874" s="13"/>
      <c r="C10874" s="13"/>
      <c r="D10874" s="13"/>
    </row>
    <row r="10875" spans="1:4">
      <c r="A10875" s="13"/>
      <c r="B10875" s="13"/>
      <c r="C10875" s="13"/>
      <c r="D10875" s="13"/>
    </row>
    <row r="10876" spans="1:4">
      <c r="A10876" s="13"/>
      <c r="B10876" s="13"/>
      <c r="C10876" s="13"/>
      <c r="D10876" s="13"/>
    </row>
    <row r="10877" spans="1:4">
      <c r="A10877" s="13"/>
      <c r="B10877" s="13"/>
      <c r="C10877" s="13"/>
      <c r="D10877" s="13"/>
    </row>
    <row r="10878" spans="1:4">
      <c r="A10878" s="13"/>
      <c r="B10878" s="13"/>
      <c r="C10878" s="13"/>
      <c r="D10878" s="13"/>
    </row>
    <row r="10879" spans="1:4">
      <c r="A10879" s="13"/>
      <c r="B10879" s="13"/>
      <c r="C10879" s="13"/>
      <c r="D10879" s="13"/>
    </row>
    <row r="10880" spans="1:4">
      <c r="A10880" s="13"/>
      <c r="B10880" s="13"/>
      <c r="C10880" s="13"/>
      <c r="D10880" s="13"/>
    </row>
    <row r="10881" spans="1:4">
      <c r="A10881" s="13"/>
      <c r="B10881" s="13"/>
      <c r="C10881" s="13"/>
      <c r="D10881" s="13"/>
    </row>
    <row r="10882" spans="1:4">
      <c r="A10882" s="13"/>
      <c r="B10882" s="13"/>
      <c r="C10882" s="13"/>
      <c r="D10882" s="13"/>
    </row>
    <row r="10883" spans="1:4">
      <c r="A10883" s="13"/>
      <c r="B10883" s="13"/>
      <c r="C10883" s="13"/>
      <c r="D10883" s="13"/>
    </row>
    <row r="10884" spans="1:4">
      <c r="A10884" s="13"/>
      <c r="B10884" s="13"/>
      <c r="C10884" s="13"/>
      <c r="D10884" s="13"/>
    </row>
    <row r="10885" spans="1:4">
      <c r="A10885" s="13"/>
      <c r="B10885" s="13"/>
      <c r="C10885" s="13"/>
      <c r="D10885" s="13"/>
    </row>
    <row r="10886" spans="1:4">
      <c r="A10886" s="13"/>
      <c r="B10886" s="13"/>
      <c r="C10886" s="13"/>
      <c r="D10886" s="13"/>
    </row>
    <row r="10887" spans="1:4">
      <c r="A10887" s="13"/>
      <c r="B10887" s="13"/>
      <c r="C10887" s="13"/>
      <c r="D10887" s="13"/>
    </row>
    <row r="10888" spans="1:4">
      <c r="A10888" s="13"/>
      <c r="B10888" s="13"/>
      <c r="C10888" s="13"/>
      <c r="D10888" s="13"/>
    </row>
    <row r="10889" spans="1:4">
      <c r="A10889" s="13"/>
      <c r="B10889" s="13"/>
      <c r="C10889" s="13"/>
      <c r="D10889" s="13"/>
    </row>
    <row r="10890" spans="1:4">
      <c r="A10890" s="13"/>
      <c r="B10890" s="13"/>
      <c r="C10890" s="13"/>
      <c r="D10890" s="13"/>
    </row>
    <row r="10891" spans="1:4">
      <c r="A10891" s="13"/>
      <c r="B10891" s="13"/>
      <c r="C10891" s="13"/>
      <c r="D10891" s="13"/>
    </row>
    <row r="10892" spans="1:4">
      <c r="A10892" s="13"/>
      <c r="B10892" s="13"/>
      <c r="C10892" s="13"/>
      <c r="D10892" s="13"/>
    </row>
    <row r="10893" spans="1:4">
      <c r="A10893" s="13"/>
      <c r="B10893" s="13"/>
      <c r="C10893" s="13"/>
      <c r="D10893" s="13"/>
    </row>
    <row r="10894" spans="1:4">
      <c r="A10894" s="13"/>
      <c r="B10894" s="13"/>
      <c r="C10894" s="13"/>
      <c r="D10894" s="13"/>
    </row>
    <row r="10895" spans="1:4">
      <c r="A10895" s="13"/>
      <c r="B10895" s="13"/>
      <c r="C10895" s="13"/>
      <c r="D10895" s="13"/>
    </row>
    <row r="10896" spans="1:4">
      <c r="A10896" s="13"/>
      <c r="B10896" s="13"/>
      <c r="C10896" s="13"/>
      <c r="D10896" s="13"/>
    </row>
    <row r="10897" spans="1:4">
      <c r="A10897" s="13"/>
      <c r="B10897" s="13"/>
      <c r="C10897" s="13"/>
      <c r="D10897" s="13"/>
    </row>
    <row r="10898" spans="1:4">
      <c r="A10898" s="13"/>
      <c r="B10898" s="13"/>
      <c r="C10898" s="13"/>
      <c r="D10898" s="13"/>
    </row>
    <row r="10899" spans="1:4">
      <c r="A10899" s="13"/>
      <c r="B10899" s="13"/>
      <c r="C10899" s="13"/>
      <c r="D10899" s="13"/>
    </row>
    <row r="10900" spans="1:4">
      <c r="A10900" s="13"/>
      <c r="B10900" s="13"/>
      <c r="C10900" s="13"/>
      <c r="D10900" s="13"/>
    </row>
    <row r="10901" spans="1:4">
      <c r="A10901" s="13"/>
      <c r="B10901" s="13"/>
      <c r="C10901" s="13"/>
      <c r="D10901" s="13"/>
    </row>
    <row r="10902" spans="1:4">
      <c r="A10902" s="13"/>
      <c r="B10902" s="13"/>
      <c r="C10902" s="13"/>
      <c r="D10902" s="13"/>
    </row>
    <row r="10903" spans="1:4">
      <c r="A10903" s="13"/>
      <c r="B10903" s="13"/>
      <c r="C10903" s="13"/>
      <c r="D10903" s="13"/>
    </row>
    <row r="10904" spans="1:4">
      <c r="A10904" s="13"/>
      <c r="B10904" s="13"/>
      <c r="C10904" s="13"/>
      <c r="D10904" s="13"/>
    </row>
    <row r="10905" spans="1:4">
      <c r="A10905" s="13"/>
      <c r="B10905" s="13"/>
      <c r="C10905" s="13"/>
      <c r="D10905" s="13"/>
    </row>
    <row r="10906" spans="1:4">
      <c r="A10906" s="13"/>
      <c r="B10906" s="13"/>
      <c r="C10906" s="13"/>
      <c r="D10906" s="13"/>
    </row>
    <row r="10907" spans="1:4">
      <c r="A10907" s="13"/>
      <c r="B10907" s="13"/>
      <c r="C10907" s="13"/>
      <c r="D10907" s="13"/>
    </row>
    <row r="10908" spans="1:4">
      <c r="A10908" s="13"/>
      <c r="B10908" s="13"/>
      <c r="C10908" s="13"/>
      <c r="D10908" s="13"/>
    </row>
    <row r="10909" spans="1:4">
      <c r="A10909" s="13"/>
      <c r="B10909" s="13"/>
      <c r="C10909" s="13"/>
      <c r="D10909" s="13"/>
    </row>
    <row r="10910" spans="1:4">
      <c r="A10910" s="13"/>
      <c r="B10910" s="13"/>
      <c r="C10910" s="13"/>
      <c r="D10910" s="13"/>
    </row>
    <row r="10911" spans="1:4">
      <c r="A10911" s="13"/>
      <c r="B10911" s="13"/>
      <c r="C10911" s="13"/>
      <c r="D10911" s="13"/>
    </row>
    <row r="10912" spans="1:4">
      <c r="A10912" s="13"/>
      <c r="B10912" s="13"/>
      <c r="C10912" s="13"/>
      <c r="D10912" s="13"/>
    </row>
    <row r="10913" spans="1:4">
      <c r="A10913" s="13"/>
      <c r="B10913" s="13"/>
      <c r="C10913" s="13"/>
      <c r="D10913" s="13"/>
    </row>
    <row r="10914" spans="1:4">
      <c r="A10914" s="13"/>
      <c r="B10914" s="13"/>
      <c r="C10914" s="13"/>
      <c r="D10914" s="13"/>
    </row>
    <row r="10915" spans="1:4">
      <c r="A10915" s="13"/>
      <c r="B10915" s="13"/>
      <c r="C10915" s="13"/>
      <c r="D10915" s="13"/>
    </row>
    <row r="10916" spans="1:4">
      <c r="A10916" s="13"/>
      <c r="B10916" s="13"/>
      <c r="C10916" s="13"/>
      <c r="D10916" s="13"/>
    </row>
    <row r="10917" spans="1:4">
      <c r="A10917" s="13"/>
      <c r="B10917" s="13"/>
      <c r="C10917" s="13"/>
      <c r="D10917" s="13"/>
    </row>
    <row r="10918" spans="1:4">
      <c r="A10918" s="13"/>
      <c r="B10918" s="13"/>
      <c r="C10918" s="13"/>
      <c r="D10918" s="13"/>
    </row>
    <row r="10919" spans="1:4">
      <c r="A10919" s="13"/>
      <c r="B10919" s="13"/>
      <c r="C10919" s="13"/>
      <c r="D10919" s="13"/>
    </row>
    <row r="10920" spans="1:4">
      <c r="A10920" s="13"/>
      <c r="B10920" s="13"/>
      <c r="C10920" s="13"/>
      <c r="D10920" s="13"/>
    </row>
    <row r="10921" spans="1:4">
      <c r="A10921" s="13"/>
      <c r="B10921" s="13"/>
      <c r="C10921" s="13"/>
      <c r="D10921" s="13"/>
    </row>
    <row r="10922" spans="1:4">
      <c r="A10922" s="13"/>
      <c r="B10922" s="13"/>
      <c r="C10922" s="13"/>
      <c r="D10922" s="13"/>
    </row>
    <row r="10923" spans="1:4">
      <c r="A10923" s="13"/>
      <c r="B10923" s="13"/>
      <c r="C10923" s="13"/>
      <c r="D10923" s="13"/>
    </row>
    <row r="10924" spans="1:4">
      <c r="A10924" s="13"/>
      <c r="B10924" s="13"/>
      <c r="C10924" s="13"/>
      <c r="D10924" s="13"/>
    </row>
    <row r="10925" spans="1:4">
      <c r="A10925" s="13"/>
      <c r="B10925" s="13"/>
      <c r="C10925" s="13"/>
      <c r="D10925" s="13"/>
    </row>
    <row r="10926" spans="1:4">
      <c r="A10926" s="13"/>
      <c r="B10926" s="13"/>
      <c r="C10926" s="13"/>
      <c r="D10926" s="13"/>
    </row>
    <row r="10927" spans="1:4">
      <c r="A10927" s="13"/>
      <c r="B10927" s="13"/>
      <c r="C10927" s="13"/>
      <c r="D10927" s="13"/>
    </row>
    <row r="10928" spans="1:4">
      <c r="A10928" s="13"/>
      <c r="B10928" s="13"/>
      <c r="C10928" s="13"/>
      <c r="D10928" s="13"/>
    </row>
    <row r="10929" spans="1:4">
      <c r="A10929" s="13"/>
      <c r="B10929" s="13"/>
      <c r="C10929" s="13"/>
      <c r="D10929" s="13"/>
    </row>
    <row r="10930" spans="1:4">
      <c r="A10930" s="13"/>
      <c r="B10930" s="13"/>
      <c r="C10930" s="13"/>
      <c r="D10930" s="13"/>
    </row>
    <row r="10931" spans="1:4">
      <c r="A10931" s="13"/>
      <c r="B10931" s="13"/>
      <c r="C10931" s="13"/>
      <c r="D10931" s="13"/>
    </row>
    <row r="10932" spans="1:4">
      <c r="A10932" s="13"/>
      <c r="B10932" s="13"/>
      <c r="C10932" s="13"/>
      <c r="D10932" s="13"/>
    </row>
    <row r="10933" spans="1:4">
      <c r="A10933" s="13"/>
      <c r="B10933" s="13"/>
      <c r="C10933" s="13"/>
      <c r="D10933" s="13"/>
    </row>
    <row r="10934" spans="1:4">
      <c r="A10934" s="13"/>
      <c r="B10934" s="13"/>
      <c r="C10934" s="13"/>
      <c r="D10934" s="13"/>
    </row>
    <row r="10935" spans="1:4">
      <c r="A10935" s="13"/>
      <c r="B10935" s="13"/>
      <c r="C10935" s="13"/>
      <c r="D10935" s="13"/>
    </row>
    <row r="10936" spans="1:4">
      <c r="A10936" s="13"/>
      <c r="B10936" s="13"/>
      <c r="C10936" s="13"/>
      <c r="D10936" s="13"/>
    </row>
    <row r="10937" spans="1:4">
      <c r="A10937" s="13"/>
      <c r="B10937" s="13"/>
      <c r="C10937" s="13"/>
      <c r="D10937" s="13"/>
    </row>
    <row r="10938" spans="1:4">
      <c r="A10938" s="13"/>
      <c r="B10938" s="13"/>
      <c r="C10938" s="13"/>
      <c r="D10938" s="13"/>
    </row>
    <row r="10939" spans="1:4">
      <c r="A10939" s="13"/>
      <c r="B10939" s="13"/>
      <c r="C10939" s="13"/>
      <c r="D10939" s="13"/>
    </row>
    <row r="10940" spans="1:4">
      <c r="A10940" s="13"/>
      <c r="B10940" s="13"/>
      <c r="C10940" s="13"/>
      <c r="D10940" s="13"/>
    </row>
    <row r="10941" spans="1:4">
      <c r="A10941" s="13"/>
      <c r="B10941" s="13"/>
      <c r="C10941" s="13"/>
      <c r="D10941" s="13"/>
    </row>
    <row r="10942" spans="1:4">
      <c r="A10942" s="13"/>
      <c r="B10942" s="13"/>
      <c r="C10942" s="13"/>
      <c r="D10942" s="13"/>
    </row>
    <row r="10943" spans="1:4">
      <c r="A10943" s="13"/>
      <c r="B10943" s="13"/>
      <c r="C10943" s="13"/>
      <c r="D10943" s="13"/>
    </row>
    <row r="10944" spans="1:4">
      <c r="A10944" s="13"/>
      <c r="B10944" s="13"/>
      <c r="C10944" s="13"/>
      <c r="D10944" s="13"/>
    </row>
    <row r="10945" spans="1:4">
      <c r="A10945" s="13"/>
      <c r="B10945" s="13"/>
      <c r="C10945" s="13"/>
      <c r="D10945" s="13"/>
    </row>
    <row r="10946" spans="1:4">
      <c r="A10946" s="13"/>
      <c r="B10946" s="13"/>
      <c r="C10946" s="13"/>
      <c r="D10946" s="13"/>
    </row>
    <row r="10947" spans="1:4">
      <c r="A10947" s="13"/>
      <c r="B10947" s="13"/>
      <c r="C10947" s="13"/>
      <c r="D10947" s="13"/>
    </row>
    <row r="10948" spans="1:4">
      <c r="A10948" s="13"/>
      <c r="B10948" s="13"/>
      <c r="C10948" s="13"/>
      <c r="D10948" s="13"/>
    </row>
    <row r="10949" spans="1:4">
      <c r="A10949" s="13"/>
      <c r="B10949" s="13"/>
      <c r="C10949" s="13"/>
      <c r="D10949" s="13"/>
    </row>
    <row r="10950" spans="1:4">
      <c r="A10950" s="13"/>
      <c r="B10950" s="13"/>
      <c r="C10950" s="13"/>
      <c r="D10950" s="13"/>
    </row>
    <row r="10951" spans="1:4">
      <c r="A10951" s="13"/>
      <c r="B10951" s="13"/>
      <c r="C10951" s="13"/>
      <c r="D10951" s="13"/>
    </row>
    <row r="10952" spans="1:4">
      <c r="A10952" s="13"/>
      <c r="B10952" s="13"/>
      <c r="C10952" s="13"/>
      <c r="D10952" s="13"/>
    </row>
    <row r="10953" spans="1:4">
      <c r="A10953" s="13"/>
      <c r="B10953" s="13"/>
      <c r="C10953" s="13"/>
      <c r="D10953" s="13"/>
    </row>
    <row r="10954" spans="1:4">
      <c r="A10954" s="13"/>
      <c r="B10954" s="13"/>
      <c r="C10954" s="13"/>
      <c r="D10954" s="13"/>
    </row>
    <row r="10955" spans="1:4">
      <c r="A10955" s="13"/>
      <c r="B10955" s="13"/>
      <c r="C10955" s="13"/>
      <c r="D10955" s="13"/>
    </row>
    <row r="10956" spans="1:4">
      <c r="A10956" s="13"/>
      <c r="B10956" s="13"/>
      <c r="C10956" s="13"/>
      <c r="D10956" s="13"/>
    </row>
    <row r="10957" spans="1:4">
      <c r="A10957" s="13"/>
      <c r="B10957" s="13"/>
      <c r="C10957" s="13"/>
      <c r="D10957" s="13"/>
    </row>
    <row r="10958" spans="1:4">
      <c r="A10958" s="13"/>
      <c r="B10958" s="13"/>
      <c r="C10958" s="13"/>
      <c r="D10958" s="13"/>
    </row>
    <row r="10959" spans="1:4">
      <c r="A10959" s="13"/>
      <c r="B10959" s="13"/>
      <c r="C10959" s="13"/>
      <c r="D10959" s="13"/>
    </row>
    <row r="10960" spans="1:4">
      <c r="A10960" s="13"/>
      <c r="B10960" s="13"/>
      <c r="C10960" s="13"/>
      <c r="D10960" s="13"/>
    </row>
    <row r="10961" spans="1:4">
      <c r="A10961" s="13"/>
      <c r="B10961" s="13"/>
      <c r="C10961" s="13"/>
      <c r="D10961" s="13"/>
    </row>
    <row r="10962" spans="1:4">
      <c r="A10962" s="13"/>
      <c r="B10962" s="13"/>
      <c r="C10962" s="13"/>
      <c r="D10962" s="13"/>
    </row>
    <row r="10963" spans="1:4">
      <c r="A10963" s="13"/>
      <c r="B10963" s="13"/>
      <c r="C10963" s="13"/>
      <c r="D10963" s="13"/>
    </row>
    <row r="10964" spans="1:4">
      <c r="A10964" s="13"/>
      <c r="B10964" s="13"/>
      <c r="C10964" s="13"/>
      <c r="D10964" s="13"/>
    </row>
    <row r="10965" spans="1:4">
      <c r="A10965" s="13"/>
      <c r="B10965" s="13"/>
      <c r="C10965" s="13"/>
      <c r="D10965" s="13"/>
    </row>
    <row r="10966" spans="1:4">
      <c r="A10966" s="13"/>
      <c r="B10966" s="13"/>
      <c r="C10966" s="13"/>
      <c r="D10966" s="13"/>
    </row>
    <row r="10967" spans="1:4">
      <c r="A10967" s="13"/>
      <c r="B10967" s="13"/>
      <c r="C10967" s="13"/>
      <c r="D10967" s="13"/>
    </row>
    <row r="10968" spans="1:4">
      <c r="A10968" s="13"/>
      <c r="B10968" s="13"/>
      <c r="C10968" s="13"/>
      <c r="D10968" s="13"/>
    </row>
    <row r="10969" spans="1:4">
      <c r="A10969" s="13"/>
      <c r="B10969" s="13"/>
      <c r="C10969" s="13"/>
      <c r="D10969" s="13"/>
    </row>
    <row r="10970" spans="1:4">
      <c r="A10970" s="13"/>
      <c r="B10970" s="13"/>
      <c r="C10970" s="13"/>
      <c r="D10970" s="13"/>
    </row>
    <row r="10971" spans="1:4">
      <c r="A10971" s="13"/>
      <c r="B10971" s="13"/>
      <c r="C10971" s="13"/>
      <c r="D10971" s="13"/>
    </row>
    <row r="10972" spans="1:4">
      <c r="A10972" s="13"/>
      <c r="B10972" s="13"/>
      <c r="C10972" s="13"/>
      <c r="D10972" s="13"/>
    </row>
    <row r="10973" spans="1:4">
      <c r="A10973" s="13"/>
      <c r="B10973" s="13"/>
      <c r="C10973" s="13"/>
      <c r="D10973" s="13"/>
    </row>
    <row r="10974" spans="1:4">
      <c r="A10974" s="13"/>
      <c r="B10974" s="13"/>
      <c r="C10974" s="13"/>
      <c r="D10974" s="13"/>
    </row>
    <row r="10975" spans="1:4">
      <c r="A10975" s="13"/>
      <c r="B10975" s="13"/>
      <c r="C10975" s="13"/>
      <c r="D10975" s="13"/>
    </row>
    <row r="10976" spans="1:4">
      <c r="A10976" s="13"/>
      <c r="B10976" s="13"/>
      <c r="C10976" s="13"/>
      <c r="D10976" s="13"/>
    </row>
    <row r="10977" spans="1:4">
      <c r="A10977" s="13"/>
      <c r="B10977" s="13"/>
      <c r="C10977" s="13"/>
      <c r="D10977" s="13"/>
    </row>
    <row r="10978" spans="1:4">
      <c r="A10978" s="13"/>
      <c r="B10978" s="13"/>
      <c r="C10978" s="13"/>
      <c r="D10978" s="13"/>
    </row>
    <row r="10979" spans="1:4">
      <c r="A10979" s="13"/>
      <c r="B10979" s="13"/>
      <c r="C10979" s="13"/>
      <c r="D10979" s="13"/>
    </row>
    <row r="10980" spans="1:4">
      <c r="A10980" s="13"/>
      <c r="B10980" s="13"/>
      <c r="C10980" s="13"/>
      <c r="D10980" s="13"/>
    </row>
    <row r="10981" spans="1:4">
      <c r="A10981" s="13"/>
      <c r="B10981" s="13"/>
      <c r="C10981" s="13"/>
      <c r="D10981" s="13"/>
    </row>
    <row r="10982" spans="1:4">
      <c r="A10982" s="13"/>
      <c r="B10982" s="13"/>
      <c r="C10982" s="13"/>
      <c r="D10982" s="13"/>
    </row>
    <row r="10983" spans="1:4">
      <c r="A10983" s="13"/>
      <c r="B10983" s="13"/>
      <c r="C10983" s="13"/>
      <c r="D10983" s="13"/>
    </row>
    <row r="10984" spans="1:4">
      <c r="A10984" s="13"/>
      <c r="B10984" s="13"/>
      <c r="C10984" s="13"/>
      <c r="D10984" s="13"/>
    </row>
    <row r="10985" spans="1:4">
      <c r="A10985" s="13"/>
      <c r="B10985" s="13"/>
      <c r="C10985" s="13"/>
      <c r="D10985" s="13"/>
    </row>
    <row r="10986" spans="1:4">
      <c r="A10986" s="13"/>
      <c r="B10986" s="13"/>
      <c r="C10986" s="13"/>
      <c r="D10986" s="13"/>
    </row>
    <row r="10987" spans="1:4">
      <c r="A10987" s="13"/>
      <c r="B10987" s="13"/>
      <c r="C10987" s="13"/>
      <c r="D10987" s="13"/>
    </row>
    <row r="10988" spans="1:4">
      <c r="A10988" s="13"/>
      <c r="B10988" s="13"/>
      <c r="C10988" s="13"/>
      <c r="D10988" s="13"/>
    </row>
    <row r="10989" spans="1:4">
      <c r="A10989" s="13"/>
      <c r="B10989" s="13"/>
      <c r="C10989" s="13"/>
      <c r="D10989" s="13"/>
    </row>
    <row r="10990" spans="1:4">
      <c r="A10990" s="13"/>
      <c r="B10990" s="13"/>
      <c r="C10990" s="13"/>
      <c r="D10990" s="13"/>
    </row>
    <row r="10991" spans="1:4">
      <c r="A10991" s="13"/>
      <c r="B10991" s="13"/>
      <c r="C10991" s="13"/>
      <c r="D10991" s="13"/>
    </row>
    <row r="10992" spans="1:4">
      <c r="A10992" s="13"/>
      <c r="B10992" s="13"/>
      <c r="C10992" s="13"/>
      <c r="D10992" s="13"/>
    </row>
    <row r="10993" spans="1:4">
      <c r="A10993" s="13"/>
      <c r="B10993" s="13"/>
      <c r="C10993" s="13"/>
      <c r="D10993" s="13"/>
    </row>
    <row r="10994" spans="1:4">
      <c r="A10994" s="13"/>
      <c r="B10994" s="13"/>
      <c r="C10994" s="13"/>
      <c r="D10994" s="13"/>
    </row>
    <row r="10995" spans="1:4">
      <c r="A10995" s="13"/>
      <c r="B10995" s="13"/>
      <c r="C10995" s="13"/>
      <c r="D10995" s="13"/>
    </row>
    <row r="10996" spans="1:4">
      <c r="A10996" s="13"/>
      <c r="B10996" s="13"/>
      <c r="C10996" s="13"/>
      <c r="D10996" s="13"/>
    </row>
    <row r="10997" spans="1:4">
      <c r="A10997" s="13"/>
      <c r="B10997" s="13"/>
      <c r="C10997" s="13"/>
      <c r="D10997" s="13"/>
    </row>
    <row r="10998" spans="1:4">
      <c r="A10998" s="13"/>
      <c r="B10998" s="13"/>
      <c r="C10998" s="13"/>
      <c r="D10998" s="13"/>
    </row>
    <row r="10999" spans="1:4">
      <c r="A10999" s="13"/>
      <c r="B10999" s="13"/>
      <c r="C10999" s="13"/>
      <c r="D10999" s="13"/>
    </row>
    <row r="11000" spans="1:4">
      <c r="A11000" s="13"/>
      <c r="B11000" s="13"/>
      <c r="C11000" s="13"/>
      <c r="D11000" s="13"/>
    </row>
    <row r="11001" spans="1:4">
      <c r="A11001" s="13"/>
      <c r="B11001" s="13"/>
      <c r="C11001" s="13"/>
      <c r="D11001" s="13"/>
    </row>
    <row r="11002" spans="1:4">
      <c r="A11002" s="13"/>
      <c r="B11002" s="13"/>
      <c r="C11002" s="13"/>
      <c r="D11002" s="13"/>
    </row>
    <row r="11003" spans="1:4">
      <c r="A11003" s="13"/>
      <c r="B11003" s="13"/>
      <c r="C11003" s="13"/>
      <c r="D11003" s="13"/>
    </row>
    <row r="11004" spans="1:4">
      <c r="A11004" s="13"/>
      <c r="B11004" s="13"/>
      <c r="C11004" s="13"/>
      <c r="D11004" s="13"/>
    </row>
    <row r="11005" spans="1:4">
      <c r="A11005" s="13"/>
      <c r="B11005" s="13"/>
      <c r="C11005" s="13"/>
      <c r="D11005" s="13"/>
    </row>
    <row r="11006" spans="1:4">
      <c r="A11006" s="13"/>
      <c r="B11006" s="13"/>
      <c r="C11006" s="13"/>
      <c r="D11006" s="13"/>
    </row>
    <row r="11007" spans="1:4">
      <c r="A11007" s="13"/>
      <c r="B11007" s="13"/>
      <c r="C11007" s="13"/>
      <c r="D11007" s="13"/>
    </row>
    <row r="11008" spans="1:4">
      <c r="A11008" s="13"/>
      <c r="B11008" s="13"/>
      <c r="C11008" s="13"/>
      <c r="D11008" s="13"/>
    </row>
    <row r="11009" spans="1:4">
      <c r="A11009" s="13"/>
      <c r="B11009" s="13"/>
      <c r="C11009" s="13"/>
      <c r="D11009" s="13"/>
    </row>
    <row r="11010" spans="1:4">
      <c r="A11010" s="13"/>
      <c r="B11010" s="13"/>
      <c r="C11010" s="13"/>
      <c r="D11010" s="13"/>
    </row>
    <row r="11011" spans="1:4">
      <c r="A11011" s="13"/>
      <c r="B11011" s="13"/>
      <c r="C11011" s="13"/>
      <c r="D11011" s="13"/>
    </row>
    <row r="11012" spans="1:4">
      <c r="A11012" s="13"/>
      <c r="B11012" s="13"/>
      <c r="C11012" s="13"/>
      <c r="D11012" s="13"/>
    </row>
    <row r="11013" spans="1:4">
      <c r="A11013" s="13"/>
      <c r="B11013" s="13"/>
      <c r="C11013" s="13"/>
      <c r="D11013" s="13"/>
    </row>
    <row r="11014" spans="1:4">
      <c r="A11014" s="13"/>
      <c r="B11014" s="13"/>
      <c r="C11014" s="13"/>
      <c r="D11014" s="13"/>
    </row>
    <row r="11015" spans="1:4">
      <c r="A11015" s="13"/>
      <c r="B11015" s="13"/>
      <c r="C11015" s="13"/>
      <c r="D11015" s="13"/>
    </row>
    <row r="11016" spans="1:4">
      <c r="A11016" s="13"/>
      <c r="B11016" s="13"/>
      <c r="C11016" s="13"/>
      <c r="D11016" s="13"/>
    </row>
    <row r="11017" spans="1:4">
      <c r="A11017" s="13"/>
      <c r="B11017" s="13"/>
      <c r="C11017" s="13"/>
      <c r="D11017" s="13"/>
    </row>
    <row r="11018" spans="1:4">
      <c r="A11018" s="13"/>
      <c r="B11018" s="13"/>
      <c r="C11018" s="13"/>
      <c r="D11018" s="13"/>
    </row>
    <row r="11019" spans="1:4">
      <c r="A11019" s="13"/>
      <c r="B11019" s="13"/>
      <c r="C11019" s="13"/>
      <c r="D11019" s="13"/>
    </row>
    <row r="11020" spans="1:4">
      <c r="A11020" s="13"/>
      <c r="B11020" s="13"/>
      <c r="C11020" s="13"/>
      <c r="D11020" s="13"/>
    </row>
    <row r="11021" spans="1:4">
      <c r="A11021" s="13"/>
      <c r="B11021" s="13"/>
      <c r="C11021" s="13"/>
      <c r="D11021" s="13"/>
    </row>
    <row r="11022" spans="1:4">
      <c r="A11022" s="13"/>
      <c r="B11022" s="13"/>
      <c r="C11022" s="13"/>
      <c r="D11022" s="13"/>
    </row>
    <row r="11023" spans="1:4">
      <c r="A11023" s="13"/>
      <c r="B11023" s="13"/>
      <c r="C11023" s="13"/>
      <c r="D11023" s="13"/>
    </row>
    <row r="11024" spans="1:4">
      <c r="A11024" s="13"/>
      <c r="B11024" s="13"/>
      <c r="C11024" s="13"/>
      <c r="D11024" s="13"/>
    </row>
    <row r="11025" spans="1:4">
      <c r="A11025" s="13"/>
      <c r="B11025" s="13"/>
      <c r="C11025" s="13"/>
      <c r="D11025" s="13"/>
    </row>
    <row r="11026" spans="1:4">
      <c r="A11026" s="13"/>
      <c r="B11026" s="13"/>
      <c r="C11026" s="13"/>
      <c r="D11026" s="13"/>
    </row>
    <row r="11027" spans="1:4">
      <c r="A11027" s="13"/>
      <c r="B11027" s="13"/>
      <c r="C11027" s="13"/>
      <c r="D11027" s="13"/>
    </row>
    <row r="11028" spans="1:4">
      <c r="A11028" s="13"/>
      <c r="B11028" s="13"/>
      <c r="C11028" s="13"/>
      <c r="D11028" s="13"/>
    </row>
    <row r="11029" spans="1:4">
      <c r="A11029" s="13"/>
      <c r="B11029" s="13"/>
      <c r="C11029" s="13"/>
      <c r="D11029" s="13"/>
    </row>
    <row r="11030" spans="1:4">
      <c r="A11030" s="13"/>
      <c r="B11030" s="13"/>
      <c r="C11030" s="13"/>
      <c r="D11030" s="13"/>
    </row>
    <row r="11031" spans="1:4">
      <c r="A11031" s="13"/>
      <c r="B11031" s="13"/>
      <c r="C11031" s="13"/>
      <c r="D11031" s="13"/>
    </row>
    <row r="11032" spans="1:4">
      <c r="A11032" s="13"/>
      <c r="B11032" s="13"/>
      <c r="C11032" s="13"/>
      <c r="D11032" s="13"/>
    </row>
    <row r="11033" spans="1:4">
      <c r="A11033" s="13"/>
      <c r="B11033" s="13"/>
      <c r="C11033" s="13"/>
      <c r="D11033" s="13"/>
    </row>
    <row r="11034" spans="1:4">
      <c r="A11034" s="13"/>
      <c r="B11034" s="13"/>
      <c r="C11034" s="13"/>
      <c r="D11034" s="13"/>
    </row>
    <row r="11035" spans="1:4">
      <c r="A11035" s="13"/>
      <c r="B11035" s="13"/>
      <c r="C11035" s="13"/>
      <c r="D11035" s="13"/>
    </row>
    <row r="11036" spans="1:4">
      <c r="A11036" s="13"/>
      <c r="B11036" s="13"/>
      <c r="C11036" s="13"/>
      <c r="D11036" s="13"/>
    </row>
    <row r="11037" spans="1:4">
      <c r="A11037" s="13"/>
      <c r="B11037" s="13"/>
      <c r="C11037" s="13"/>
      <c r="D11037" s="13"/>
    </row>
    <row r="11038" spans="1:4">
      <c r="A11038" s="13"/>
      <c r="B11038" s="13"/>
      <c r="C11038" s="13"/>
      <c r="D11038" s="13"/>
    </row>
    <row r="11039" spans="1:4">
      <c r="A11039" s="13"/>
      <c r="B11039" s="13"/>
      <c r="C11039" s="13"/>
      <c r="D11039" s="13"/>
    </row>
    <row r="11040" spans="1:4">
      <c r="A11040" s="13"/>
      <c r="B11040" s="13"/>
      <c r="C11040" s="13"/>
      <c r="D11040" s="13"/>
    </row>
    <row r="11041" spans="1:4">
      <c r="A11041" s="13"/>
      <c r="B11041" s="13"/>
      <c r="C11041" s="13"/>
      <c r="D11041" s="13"/>
    </row>
    <row r="11042" spans="1:4">
      <c r="A11042" s="13"/>
      <c r="B11042" s="13"/>
      <c r="C11042" s="13"/>
      <c r="D11042" s="13"/>
    </row>
    <row r="11043" spans="1:4">
      <c r="A11043" s="13"/>
      <c r="B11043" s="13"/>
      <c r="C11043" s="13"/>
      <c r="D11043" s="13"/>
    </row>
    <row r="11044" spans="1:4">
      <c r="A11044" s="13"/>
      <c r="B11044" s="13"/>
      <c r="C11044" s="13"/>
      <c r="D11044" s="13"/>
    </row>
    <row r="11045" spans="1:4">
      <c r="A11045" s="13"/>
      <c r="B11045" s="13"/>
      <c r="C11045" s="13"/>
      <c r="D11045" s="13"/>
    </row>
    <row r="11046" spans="1:4">
      <c r="A11046" s="13"/>
      <c r="B11046" s="13"/>
      <c r="C11046" s="13"/>
      <c r="D11046" s="13"/>
    </row>
    <row r="11047" spans="1:4">
      <c r="A11047" s="13"/>
      <c r="B11047" s="13"/>
      <c r="C11047" s="13"/>
      <c r="D11047" s="13"/>
    </row>
    <row r="11048" spans="1:4">
      <c r="A11048" s="13"/>
      <c r="B11048" s="13"/>
      <c r="C11048" s="13"/>
      <c r="D11048" s="13"/>
    </row>
    <row r="11049" spans="1:4">
      <c r="A11049" s="13"/>
      <c r="B11049" s="13"/>
      <c r="C11049" s="13"/>
      <c r="D11049" s="13"/>
    </row>
    <row r="11050" spans="1:4">
      <c r="A11050" s="13"/>
      <c r="B11050" s="13"/>
      <c r="C11050" s="13"/>
      <c r="D11050" s="13"/>
    </row>
    <row r="11051" spans="1:4">
      <c r="A11051" s="13"/>
      <c r="B11051" s="13"/>
      <c r="C11051" s="13"/>
      <c r="D11051" s="13"/>
    </row>
    <row r="11052" spans="1:4">
      <c r="A11052" s="13"/>
      <c r="B11052" s="13"/>
      <c r="C11052" s="13"/>
      <c r="D11052" s="13"/>
    </row>
    <row r="11053" spans="1:4">
      <c r="A11053" s="13"/>
      <c r="B11053" s="13"/>
      <c r="C11053" s="13"/>
      <c r="D11053" s="13"/>
    </row>
    <row r="11054" spans="1:4">
      <c r="A11054" s="13"/>
      <c r="B11054" s="13"/>
      <c r="C11054" s="13"/>
      <c r="D11054" s="13"/>
    </row>
    <row r="11055" spans="1:4">
      <c r="A11055" s="13"/>
      <c r="B11055" s="13"/>
      <c r="C11055" s="13"/>
      <c r="D11055" s="13"/>
    </row>
    <row r="11056" spans="1:4">
      <c r="A11056" s="13"/>
      <c r="B11056" s="13"/>
      <c r="C11056" s="13"/>
      <c r="D11056" s="13"/>
    </row>
    <row r="11057" spans="1:4">
      <c r="A11057" s="13"/>
      <c r="B11057" s="13"/>
      <c r="C11057" s="13"/>
      <c r="D11057" s="13"/>
    </row>
    <row r="11058" spans="1:4">
      <c r="A11058" s="13"/>
      <c r="B11058" s="13"/>
      <c r="C11058" s="13"/>
      <c r="D11058" s="13"/>
    </row>
    <row r="11059" spans="1:4">
      <c r="A11059" s="13"/>
      <c r="B11059" s="13"/>
      <c r="C11059" s="13"/>
      <c r="D11059" s="13"/>
    </row>
    <row r="11060" spans="1:4">
      <c r="A11060" s="13"/>
      <c r="B11060" s="13"/>
      <c r="C11060" s="13"/>
      <c r="D11060" s="13"/>
    </row>
    <row r="11061" spans="1:4">
      <c r="A11061" s="13"/>
      <c r="B11061" s="13"/>
      <c r="C11061" s="13"/>
      <c r="D11061" s="13"/>
    </row>
    <row r="11062" spans="1:4">
      <c r="A11062" s="13"/>
      <c r="B11062" s="13"/>
      <c r="C11062" s="13"/>
      <c r="D11062" s="13"/>
    </row>
    <row r="11063" spans="1:4">
      <c r="A11063" s="13"/>
      <c r="B11063" s="13"/>
      <c r="C11063" s="13"/>
      <c r="D11063" s="13"/>
    </row>
    <row r="11064" spans="1:4">
      <c r="A11064" s="13"/>
      <c r="B11064" s="13"/>
      <c r="C11064" s="13"/>
      <c r="D11064" s="13"/>
    </row>
    <row r="11065" spans="1:4">
      <c r="A11065" s="13"/>
      <c r="B11065" s="13"/>
      <c r="C11065" s="13"/>
      <c r="D11065" s="13"/>
    </row>
    <row r="11066" spans="1:4">
      <c r="A11066" s="13"/>
      <c r="B11066" s="13"/>
      <c r="C11066" s="13"/>
      <c r="D11066" s="13"/>
    </row>
    <row r="11067" spans="1:4">
      <c r="A11067" s="13"/>
      <c r="B11067" s="13"/>
      <c r="C11067" s="13"/>
      <c r="D11067" s="13"/>
    </row>
    <row r="11068" spans="1:4">
      <c r="A11068" s="13"/>
      <c r="B11068" s="13"/>
      <c r="C11068" s="13"/>
      <c r="D11068" s="13"/>
    </row>
    <row r="11069" spans="1:4">
      <c r="A11069" s="13"/>
      <c r="B11069" s="13"/>
      <c r="C11069" s="13"/>
      <c r="D11069" s="13"/>
    </row>
    <row r="11070" spans="1:4">
      <c r="A11070" s="13"/>
      <c r="B11070" s="13"/>
      <c r="C11070" s="13"/>
      <c r="D11070" s="13"/>
    </row>
    <row r="11071" spans="1:4">
      <c r="A11071" s="13"/>
      <c r="B11071" s="13"/>
      <c r="C11071" s="13"/>
      <c r="D11071" s="13"/>
    </row>
    <row r="11072" spans="1:4">
      <c r="A11072" s="13"/>
      <c r="B11072" s="13"/>
      <c r="C11072" s="13"/>
      <c r="D11072" s="13"/>
    </row>
    <row r="11073" spans="1:4">
      <c r="A11073" s="13"/>
      <c r="B11073" s="13"/>
      <c r="C11073" s="13"/>
      <c r="D11073" s="13"/>
    </row>
    <row r="11074" spans="1:4">
      <c r="A11074" s="13"/>
      <c r="B11074" s="13"/>
      <c r="C11074" s="13"/>
      <c r="D11074" s="13"/>
    </row>
    <row r="11075" spans="1:4">
      <c r="A11075" s="13"/>
      <c r="B11075" s="13"/>
      <c r="C11075" s="13"/>
      <c r="D11075" s="13"/>
    </row>
    <row r="11076" spans="1:4">
      <c r="A11076" s="13"/>
      <c r="B11076" s="13"/>
      <c r="C11076" s="13"/>
      <c r="D11076" s="13"/>
    </row>
    <row r="11077" spans="1:4">
      <c r="A11077" s="13"/>
      <c r="B11077" s="13"/>
      <c r="C11077" s="13"/>
      <c r="D11077" s="13"/>
    </row>
    <row r="11078" spans="1:4">
      <c r="A11078" s="13"/>
      <c r="B11078" s="13"/>
      <c r="C11078" s="13"/>
      <c r="D11078" s="13"/>
    </row>
    <row r="11079" spans="1:4">
      <c r="A11079" s="13"/>
      <c r="B11079" s="13"/>
      <c r="C11079" s="13"/>
      <c r="D11079" s="13"/>
    </row>
    <row r="11080" spans="1:4">
      <c r="A11080" s="13"/>
      <c r="B11080" s="13"/>
      <c r="C11080" s="13"/>
      <c r="D11080" s="13"/>
    </row>
    <row r="11081" spans="1:4">
      <c r="A11081" s="13"/>
      <c r="B11081" s="13"/>
      <c r="C11081" s="13"/>
      <c r="D11081" s="13"/>
    </row>
    <row r="11082" spans="1:4">
      <c r="A11082" s="13"/>
      <c r="B11082" s="13"/>
      <c r="C11082" s="13"/>
      <c r="D11082" s="13"/>
    </row>
    <row r="11083" spans="1:4">
      <c r="A11083" s="13"/>
      <c r="B11083" s="13"/>
      <c r="C11083" s="13"/>
      <c r="D11083" s="13"/>
    </row>
    <row r="11084" spans="1:4">
      <c r="A11084" s="13"/>
      <c r="B11084" s="13"/>
      <c r="C11084" s="13"/>
      <c r="D11084" s="13"/>
    </row>
    <row r="11085" spans="1:4">
      <c r="A11085" s="13"/>
      <c r="B11085" s="13"/>
      <c r="C11085" s="13"/>
      <c r="D11085" s="13"/>
    </row>
    <row r="11086" spans="1:4">
      <c r="A11086" s="13"/>
      <c r="B11086" s="13"/>
      <c r="C11086" s="13"/>
      <c r="D11086" s="13"/>
    </row>
    <row r="11087" spans="1:4">
      <c r="A11087" s="13"/>
      <c r="B11087" s="13"/>
      <c r="C11087" s="13"/>
      <c r="D11087" s="13"/>
    </row>
    <row r="11088" spans="1:4">
      <c r="A11088" s="13"/>
      <c r="B11088" s="13"/>
      <c r="C11088" s="13"/>
      <c r="D11088" s="13"/>
    </row>
    <row r="11089" spans="1:4">
      <c r="A11089" s="13"/>
      <c r="B11089" s="13"/>
      <c r="C11089" s="13"/>
      <c r="D11089" s="13"/>
    </row>
    <row r="11090" spans="1:4">
      <c r="A11090" s="13"/>
      <c r="B11090" s="13"/>
      <c r="C11090" s="13"/>
      <c r="D11090" s="13"/>
    </row>
    <row r="11091" spans="1:4">
      <c r="A11091" s="13"/>
      <c r="B11091" s="13"/>
      <c r="C11091" s="13"/>
      <c r="D11091" s="13"/>
    </row>
    <row r="11092" spans="1:4">
      <c r="A11092" s="13"/>
      <c r="B11092" s="13"/>
      <c r="C11092" s="13"/>
      <c r="D11092" s="13"/>
    </row>
    <row r="11093" spans="1:4">
      <c r="A11093" s="13"/>
      <c r="B11093" s="13"/>
      <c r="C11093" s="13"/>
      <c r="D11093" s="13"/>
    </row>
    <row r="11094" spans="1:4">
      <c r="A11094" s="13"/>
      <c r="B11094" s="13"/>
      <c r="C11094" s="13"/>
      <c r="D11094" s="13"/>
    </row>
    <row r="11095" spans="1:4">
      <c r="A11095" s="13"/>
      <c r="B11095" s="13"/>
      <c r="C11095" s="13"/>
      <c r="D11095" s="13"/>
    </row>
    <row r="11096" spans="1:4">
      <c r="A11096" s="13"/>
      <c r="B11096" s="13"/>
      <c r="C11096" s="13"/>
      <c r="D11096" s="13"/>
    </row>
    <row r="11097" spans="1:4">
      <c r="A11097" s="13"/>
      <c r="B11097" s="13"/>
      <c r="C11097" s="13"/>
      <c r="D11097" s="13"/>
    </row>
    <row r="11098" spans="1:4">
      <c r="A11098" s="13"/>
      <c r="B11098" s="13"/>
      <c r="C11098" s="13"/>
      <c r="D11098" s="13"/>
    </row>
    <row r="11099" spans="1:4">
      <c r="A11099" s="13"/>
      <c r="B11099" s="13"/>
      <c r="C11099" s="13"/>
      <c r="D11099" s="13"/>
    </row>
    <row r="11100" spans="1:4">
      <c r="A11100" s="13"/>
      <c r="B11100" s="13"/>
      <c r="C11100" s="13"/>
      <c r="D11100" s="13"/>
    </row>
    <row r="11101" spans="1:4">
      <c r="A11101" s="13"/>
      <c r="B11101" s="13"/>
      <c r="C11101" s="13"/>
      <c r="D11101" s="13"/>
    </row>
    <row r="11102" spans="1:4">
      <c r="A11102" s="13"/>
      <c r="B11102" s="13"/>
      <c r="C11102" s="13"/>
      <c r="D11102" s="13"/>
    </row>
    <row r="11103" spans="1:4">
      <c r="A11103" s="13"/>
      <c r="B11103" s="13"/>
      <c r="C11103" s="13"/>
      <c r="D11103" s="13"/>
    </row>
    <row r="11104" spans="1:4">
      <c r="A11104" s="13"/>
      <c r="B11104" s="13"/>
      <c r="C11104" s="13"/>
      <c r="D11104" s="13"/>
    </row>
    <row r="11105" spans="1:4">
      <c r="A11105" s="13"/>
      <c r="B11105" s="13"/>
      <c r="C11105" s="13"/>
      <c r="D11105" s="13"/>
    </row>
    <row r="11106" spans="1:4">
      <c r="A11106" s="13"/>
      <c r="B11106" s="13"/>
      <c r="C11106" s="13"/>
      <c r="D11106" s="13"/>
    </row>
    <row r="11107" spans="1:4">
      <c r="A11107" s="13"/>
      <c r="B11107" s="13"/>
      <c r="C11107" s="13"/>
      <c r="D11107" s="13"/>
    </row>
    <row r="11108" spans="1:4">
      <c r="A11108" s="13"/>
      <c r="B11108" s="13"/>
      <c r="C11108" s="13"/>
      <c r="D11108" s="13"/>
    </row>
    <row r="11109" spans="1:4">
      <c r="A11109" s="13"/>
      <c r="B11109" s="13"/>
      <c r="C11109" s="13"/>
      <c r="D11109" s="13"/>
    </row>
    <row r="11110" spans="1:4">
      <c r="A11110" s="13"/>
      <c r="B11110" s="13"/>
      <c r="C11110" s="13"/>
      <c r="D11110" s="13"/>
    </row>
    <row r="11111" spans="1:4">
      <c r="A11111" s="13"/>
      <c r="B11111" s="13"/>
      <c r="C11111" s="13"/>
      <c r="D11111" s="13"/>
    </row>
    <row r="11112" spans="1:4">
      <c r="A11112" s="13"/>
      <c r="B11112" s="13"/>
      <c r="C11112" s="13"/>
      <c r="D11112" s="13"/>
    </row>
    <row r="11113" spans="1:4">
      <c r="A11113" s="13"/>
      <c r="B11113" s="13"/>
      <c r="C11113" s="13"/>
      <c r="D11113" s="13"/>
    </row>
    <row r="11114" spans="1:4">
      <c r="A11114" s="13"/>
      <c r="B11114" s="13"/>
      <c r="C11114" s="13"/>
      <c r="D11114" s="13"/>
    </row>
    <row r="11115" spans="1:4">
      <c r="A11115" s="13"/>
      <c r="B11115" s="13"/>
      <c r="C11115" s="13"/>
      <c r="D11115" s="13"/>
    </row>
    <row r="11116" spans="1:4">
      <c r="A11116" s="13"/>
      <c r="B11116" s="13"/>
      <c r="C11116" s="13"/>
      <c r="D11116" s="13"/>
    </row>
    <row r="11117" spans="1:4">
      <c r="A11117" s="13"/>
      <c r="B11117" s="13"/>
      <c r="C11117" s="13"/>
      <c r="D11117" s="13"/>
    </row>
    <row r="11118" spans="1:4">
      <c r="A11118" s="13"/>
      <c r="B11118" s="13"/>
      <c r="C11118" s="13"/>
      <c r="D11118" s="13"/>
    </row>
    <row r="11119" spans="1:4">
      <c r="A11119" s="13"/>
      <c r="B11119" s="13"/>
      <c r="C11119" s="13"/>
      <c r="D11119" s="13"/>
    </row>
    <row r="11120" spans="1:4">
      <c r="A11120" s="13"/>
      <c r="B11120" s="13"/>
      <c r="C11120" s="13"/>
      <c r="D11120" s="13"/>
    </row>
    <row r="11121" spans="1:4">
      <c r="A11121" s="13"/>
      <c r="B11121" s="13"/>
      <c r="C11121" s="13"/>
      <c r="D11121" s="13"/>
    </row>
    <row r="11122" spans="1:4">
      <c r="A11122" s="13"/>
      <c r="B11122" s="13"/>
      <c r="C11122" s="13"/>
      <c r="D11122" s="13"/>
    </row>
    <row r="11123" spans="1:4">
      <c r="A11123" s="13"/>
      <c r="B11123" s="13"/>
      <c r="C11123" s="13"/>
      <c r="D11123" s="13"/>
    </row>
    <row r="11124" spans="1:4">
      <c r="A11124" s="13"/>
      <c r="B11124" s="13"/>
      <c r="C11124" s="13"/>
      <c r="D11124" s="13"/>
    </row>
    <row r="11125" spans="1:4">
      <c r="A11125" s="13"/>
      <c r="B11125" s="13"/>
      <c r="C11125" s="13"/>
      <c r="D11125" s="13"/>
    </row>
    <row r="11126" spans="1:4">
      <c r="A11126" s="13"/>
      <c r="B11126" s="13"/>
      <c r="C11126" s="13"/>
      <c r="D11126" s="13"/>
    </row>
    <row r="11127" spans="1:4">
      <c r="A11127" s="13"/>
      <c r="B11127" s="13"/>
      <c r="C11127" s="13"/>
      <c r="D11127" s="13"/>
    </row>
    <row r="11128" spans="1:4">
      <c r="A11128" s="13"/>
      <c r="B11128" s="13"/>
      <c r="C11128" s="13"/>
      <c r="D11128" s="13"/>
    </row>
    <row r="11129" spans="1:4">
      <c r="A11129" s="13"/>
      <c r="B11129" s="13"/>
      <c r="C11129" s="13"/>
      <c r="D11129" s="13"/>
    </row>
    <row r="11130" spans="1:4">
      <c r="A11130" s="13"/>
      <c r="B11130" s="13"/>
      <c r="C11130" s="13"/>
      <c r="D11130" s="13"/>
    </row>
    <row r="11131" spans="1:4">
      <c r="A11131" s="13"/>
      <c r="B11131" s="13"/>
      <c r="C11131" s="13"/>
      <c r="D11131" s="13"/>
    </row>
    <row r="11132" spans="1:4">
      <c r="A11132" s="13"/>
      <c r="B11132" s="13"/>
      <c r="C11132" s="13"/>
      <c r="D11132" s="13"/>
    </row>
    <row r="11133" spans="1:4">
      <c r="A11133" s="13"/>
      <c r="B11133" s="13"/>
      <c r="C11133" s="13"/>
      <c r="D11133" s="13"/>
    </row>
    <row r="11134" spans="1:4">
      <c r="A11134" s="13"/>
      <c r="B11134" s="13"/>
      <c r="C11134" s="13"/>
      <c r="D11134" s="13"/>
    </row>
    <row r="11135" spans="1:4">
      <c r="A11135" s="13"/>
      <c r="B11135" s="13"/>
      <c r="C11135" s="13"/>
      <c r="D11135" s="13"/>
    </row>
    <row r="11136" spans="1:4">
      <c r="A11136" s="13"/>
      <c r="B11136" s="13"/>
      <c r="C11136" s="13"/>
      <c r="D11136" s="13"/>
    </row>
    <row r="11137" spans="1:4">
      <c r="A11137" s="13"/>
      <c r="B11137" s="13"/>
      <c r="C11137" s="13"/>
      <c r="D11137" s="13"/>
    </row>
    <row r="11138" spans="1:4">
      <c r="A11138" s="13"/>
      <c r="B11138" s="13"/>
      <c r="C11138" s="13"/>
      <c r="D11138" s="13"/>
    </row>
    <row r="11139" spans="1:4">
      <c r="A11139" s="13"/>
      <c r="B11139" s="13"/>
      <c r="C11139" s="13"/>
      <c r="D11139" s="13"/>
    </row>
    <row r="11140" spans="1:4">
      <c r="A11140" s="13"/>
      <c r="B11140" s="13"/>
      <c r="C11140" s="13"/>
      <c r="D11140" s="13"/>
    </row>
    <row r="11141" spans="1:4">
      <c r="A11141" s="13"/>
      <c r="B11141" s="13"/>
      <c r="C11141" s="13"/>
      <c r="D11141" s="13"/>
    </row>
    <row r="11142" spans="1:4">
      <c r="A11142" s="13"/>
      <c r="B11142" s="13"/>
      <c r="C11142" s="13"/>
      <c r="D11142" s="13"/>
    </row>
    <row r="11143" spans="1:4">
      <c r="A11143" s="13"/>
      <c r="B11143" s="13"/>
      <c r="C11143" s="13"/>
      <c r="D11143" s="13"/>
    </row>
    <row r="11144" spans="1:4">
      <c r="A11144" s="13"/>
      <c r="B11144" s="13"/>
      <c r="C11144" s="13"/>
      <c r="D11144" s="13"/>
    </row>
    <row r="11145" spans="1:4">
      <c r="A11145" s="13"/>
      <c r="B11145" s="13"/>
      <c r="C11145" s="13"/>
      <c r="D11145" s="13"/>
    </row>
    <row r="11146" spans="1:4">
      <c r="A11146" s="13"/>
      <c r="B11146" s="13"/>
      <c r="C11146" s="13"/>
      <c r="D11146" s="13"/>
    </row>
    <row r="11147" spans="1:4">
      <c r="A11147" s="13"/>
      <c r="B11147" s="13"/>
      <c r="C11147" s="13"/>
      <c r="D11147" s="13"/>
    </row>
    <row r="11148" spans="1:4">
      <c r="A11148" s="13"/>
      <c r="B11148" s="13"/>
      <c r="C11148" s="13"/>
      <c r="D11148" s="13"/>
    </row>
    <row r="11149" spans="1:4">
      <c r="A11149" s="13"/>
      <c r="B11149" s="13"/>
      <c r="C11149" s="13"/>
      <c r="D11149" s="13"/>
    </row>
    <row r="11150" spans="1:4">
      <c r="A11150" s="13"/>
      <c r="B11150" s="13"/>
      <c r="C11150" s="13"/>
      <c r="D11150" s="13"/>
    </row>
    <row r="11151" spans="1:4">
      <c r="A11151" s="13"/>
      <c r="B11151" s="13"/>
      <c r="C11151" s="13"/>
      <c r="D11151" s="13"/>
    </row>
    <row r="11152" spans="1:4">
      <c r="A11152" s="13"/>
      <c r="B11152" s="13"/>
      <c r="C11152" s="13"/>
      <c r="D11152" s="13"/>
    </row>
    <row r="11153" spans="1:4">
      <c r="A11153" s="13"/>
      <c r="B11153" s="13"/>
      <c r="C11153" s="13"/>
      <c r="D11153" s="13"/>
    </row>
    <row r="11154" spans="1:4">
      <c r="A11154" s="13"/>
      <c r="B11154" s="13"/>
      <c r="C11154" s="13"/>
      <c r="D11154" s="13"/>
    </row>
    <row r="11155" spans="1:4">
      <c r="A11155" s="13"/>
      <c r="B11155" s="13"/>
      <c r="C11155" s="13"/>
      <c r="D11155" s="13"/>
    </row>
    <row r="11156" spans="1:4">
      <c r="A11156" s="13"/>
      <c r="B11156" s="13"/>
      <c r="C11156" s="13"/>
      <c r="D11156" s="13"/>
    </row>
    <row r="11157" spans="1:4">
      <c r="A11157" s="13"/>
      <c r="B11157" s="13"/>
      <c r="C11157" s="13"/>
      <c r="D11157" s="13"/>
    </row>
    <row r="11158" spans="1:4">
      <c r="A11158" s="13"/>
      <c r="B11158" s="13"/>
      <c r="C11158" s="13"/>
      <c r="D11158" s="13"/>
    </row>
    <row r="11159" spans="1:4">
      <c r="A11159" s="13"/>
      <c r="B11159" s="13"/>
      <c r="C11159" s="13"/>
      <c r="D11159" s="13"/>
    </row>
    <row r="11160" spans="1:4">
      <c r="A11160" s="13"/>
      <c r="B11160" s="13"/>
      <c r="C11160" s="13"/>
      <c r="D11160" s="13"/>
    </row>
    <row r="11161" spans="1:4">
      <c r="A11161" s="13"/>
      <c r="B11161" s="13"/>
      <c r="C11161" s="13"/>
      <c r="D11161" s="13"/>
    </row>
    <row r="11162" spans="1:4">
      <c r="A11162" s="13"/>
      <c r="B11162" s="13"/>
      <c r="C11162" s="13"/>
      <c r="D11162" s="13"/>
    </row>
    <row r="11163" spans="1:4">
      <c r="A11163" s="13"/>
      <c r="B11163" s="13"/>
      <c r="C11163" s="13"/>
      <c r="D11163" s="13"/>
    </row>
    <row r="11164" spans="1:4">
      <c r="A11164" s="13"/>
      <c r="B11164" s="13"/>
      <c r="C11164" s="13"/>
      <c r="D11164" s="13"/>
    </row>
    <row r="11165" spans="1:4">
      <c r="A11165" s="13"/>
      <c r="B11165" s="13"/>
      <c r="C11165" s="13"/>
      <c r="D11165" s="13"/>
    </row>
    <row r="11166" spans="1:4">
      <c r="A11166" s="13"/>
      <c r="B11166" s="13"/>
      <c r="C11166" s="13"/>
      <c r="D11166" s="13"/>
    </row>
    <row r="11167" spans="1:4">
      <c r="A11167" s="13"/>
      <c r="B11167" s="13"/>
      <c r="C11167" s="13"/>
      <c r="D11167" s="13"/>
    </row>
    <row r="11168" spans="1:4">
      <c r="A11168" s="13"/>
      <c r="B11168" s="13"/>
      <c r="C11168" s="13"/>
      <c r="D11168" s="13"/>
    </row>
    <row r="11169" spans="1:4">
      <c r="A11169" s="13"/>
      <c r="B11169" s="13"/>
      <c r="C11169" s="13"/>
      <c r="D11169" s="13"/>
    </row>
    <row r="11170" spans="1:4">
      <c r="A11170" s="13"/>
      <c r="B11170" s="13"/>
      <c r="C11170" s="13"/>
      <c r="D11170" s="13"/>
    </row>
    <row r="11171" spans="1:4">
      <c r="A11171" s="13"/>
      <c r="B11171" s="13"/>
      <c r="C11171" s="13"/>
      <c r="D11171" s="13"/>
    </row>
    <row r="11172" spans="1:4">
      <c r="A11172" s="13"/>
      <c r="B11172" s="13"/>
      <c r="C11172" s="13"/>
      <c r="D11172" s="13"/>
    </row>
    <row r="11173" spans="1:4">
      <c r="A11173" s="13"/>
      <c r="B11173" s="13"/>
      <c r="C11173" s="13"/>
      <c r="D11173" s="13"/>
    </row>
    <row r="11174" spans="1:4">
      <c r="A11174" s="13"/>
      <c r="B11174" s="13"/>
      <c r="C11174" s="13"/>
      <c r="D11174" s="13"/>
    </row>
    <row r="11175" spans="1:4">
      <c r="A11175" s="13"/>
      <c r="B11175" s="13"/>
      <c r="C11175" s="13"/>
      <c r="D11175" s="13"/>
    </row>
    <row r="11176" spans="1:4">
      <c r="A11176" s="13"/>
      <c r="B11176" s="13"/>
      <c r="C11176" s="13"/>
      <c r="D11176" s="13"/>
    </row>
    <row r="11177" spans="1:4">
      <c r="A11177" s="13"/>
      <c r="B11177" s="13"/>
      <c r="C11177" s="13"/>
      <c r="D11177" s="13"/>
    </row>
    <row r="11178" spans="1:4">
      <c r="A11178" s="13"/>
      <c r="B11178" s="13"/>
      <c r="C11178" s="13"/>
      <c r="D11178" s="13"/>
    </row>
    <row r="11179" spans="1:4">
      <c r="A11179" s="13"/>
      <c r="B11179" s="13"/>
      <c r="C11179" s="13"/>
      <c r="D11179" s="13"/>
    </row>
    <row r="11180" spans="1:4">
      <c r="A11180" s="13"/>
      <c r="B11180" s="13"/>
      <c r="C11180" s="13"/>
      <c r="D11180" s="13"/>
    </row>
    <row r="11181" spans="1:4">
      <c r="A11181" s="13"/>
      <c r="B11181" s="13"/>
      <c r="C11181" s="13"/>
      <c r="D11181" s="13"/>
    </row>
    <row r="11182" spans="1:4">
      <c r="A11182" s="13"/>
      <c r="B11182" s="13"/>
      <c r="C11182" s="13"/>
      <c r="D11182" s="13"/>
    </row>
    <row r="11183" spans="1:4">
      <c r="A11183" s="13"/>
      <c r="B11183" s="13"/>
      <c r="C11183" s="13"/>
      <c r="D11183" s="13"/>
    </row>
    <row r="11184" spans="1:4">
      <c r="A11184" s="13"/>
      <c r="B11184" s="13"/>
      <c r="C11184" s="13"/>
      <c r="D11184" s="13"/>
    </row>
    <row r="11185" spans="1:4">
      <c r="A11185" s="13"/>
      <c r="B11185" s="13"/>
      <c r="C11185" s="13"/>
      <c r="D11185" s="13"/>
    </row>
    <row r="11186" spans="1:4">
      <c r="A11186" s="13"/>
      <c r="B11186" s="13"/>
      <c r="C11186" s="13"/>
      <c r="D11186" s="13"/>
    </row>
    <row r="11187" spans="1:4">
      <c r="A11187" s="13"/>
      <c r="B11187" s="13"/>
      <c r="C11187" s="13"/>
      <c r="D11187" s="13"/>
    </row>
    <row r="11188" spans="1:4">
      <c r="A11188" s="13"/>
      <c r="B11188" s="13"/>
      <c r="C11188" s="13"/>
      <c r="D11188" s="13"/>
    </row>
    <row r="11189" spans="1:4">
      <c r="A11189" s="13"/>
      <c r="B11189" s="13"/>
      <c r="C11189" s="13"/>
      <c r="D11189" s="13"/>
    </row>
    <row r="11190" spans="1:4">
      <c r="A11190" s="13"/>
      <c r="B11190" s="13"/>
      <c r="C11190" s="13"/>
      <c r="D11190" s="13"/>
    </row>
    <row r="11191" spans="1:4">
      <c r="A11191" s="13"/>
      <c r="B11191" s="13"/>
      <c r="C11191" s="13"/>
      <c r="D11191" s="13"/>
    </row>
    <row r="11192" spans="1:4">
      <c r="A11192" s="13"/>
      <c r="B11192" s="13"/>
      <c r="C11192" s="13"/>
      <c r="D11192" s="13"/>
    </row>
    <row r="11193" spans="1:4">
      <c r="A11193" s="13"/>
      <c r="B11193" s="13"/>
      <c r="C11193" s="13"/>
      <c r="D11193" s="13"/>
    </row>
    <row r="11194" spans="1:4">
      <c r="A11194" s="13"/>
      <c r="B11194" s="13"/>
      <c r="C11194" s="13"/>
      <c r="D11194" s="13"/>
    </row>
    <row r="11195" spans="1:4">
      <c r="A11195" s="13"/>
      <c r="B11195" s="13"/>
      <c r="C11195" s="13"/>
      <c r="D11195" s="13"/>
    </row>
    <row r="11196" spans="1:4">
      <c r="A11196" s="13"/>
      <c r="B11196" s="13"/>
      <c r="C11196" s="13"/>
      <c r="D11196" s="13"/>
    </row>
    <row r="11197" spans="1:4">
      <c r="A11197" s="13"/>
      <c r="B11197" s="13"/>
      <c r="C11197" s="13"/>
      <c r="D11197" s="13"/>
    </row>
    <row r="11198" spans="1:4">
      <c r="A11198" s="13"/>
      <c r="B11198" s="13"/>
      <c r="C11198" s="13"/>
      <c r="D11198" s="13"/>
    </row>
    <row r="11199" spans="1:4">
      <c r="A11199" s="13"/>
      <c r="B11199" s="13"/>
      <c r="C11199" s="13"/>
      <c r="D11199" s="13"/>
    </row>
    <row r="11200" spans="1:4">
      <c r="A11200" s="13"/>
      <c r="B11200" s="13"/>
      <c r="C11200" s="13"/>
      <c r="D11200" s="13"/>
    </row>
    <row r="11201" spans="1:4">
      <c r="A11201" s="13"/>
      <c r="B11201" s="13"/>
      <c r="C11201" s="13"/>
      <c r="D11201" s="13"/>
    </row>
    <row r="11202" spans="1:4">
      <c r="A11202" s="13"/>
      <c r="B11202" s="13"/>
      <c r="C11202" s="13"/>
      <c r="D11202" s="13"/>
    </row>
    <row r="11203" spans="1:4">
      <c r="A11203" s="13"/>
      <c r="B11203" s="13"/>
      <c r="C11203" s="13"/>
      <c r="D11203" s="13"/>
    </row>
    <row r="11204" spans="1:4">
      <c r="A11204" s="13"/>
      <c r="B11204" s="13"/>
      <c r="C11204" s="13"/>
      <c r="D11204" s="13"/>
    </row>
    <row r="11205" spans="1:4">
      <c r="A11205" s="13"/>
      <c r="B11205" s="13"/>
      <c r="C11205" s="13"/>
      <c r="D11205" s="13"/>
    </row>
    <row r="11206" spans="1:4">
      <c r="A11206" s="13"/>
      <c r="B11206" s="13"/>
      <c r="C11206" s="13"/>
      <c r="D11206" s="13"/>
    </row>
    <row r="11207" spans="1:4">
      <c r="A11207" s="13"/>
      <c r="B11207" s="13"/>
      <c r="C11207" s="13"/>
      <c r="D11207" s="13"/>
    </row>
    <row r="11208" spans="1:4">
      <c r="A11208" s="13"/>
      <c r="B11208" s="13"/>
      <c r="C11208" s="13"/>
      <c r="D11208" s="13"/>
    </row>
    <row r="11209" spans="1:4">
      <c r="A11209" s="13"/>
      <c r="B11209" s="13"/>
      <c r="C11209" s="13"/>
      <c r="D11209" s="13"/>
    </row>
    <row r="11210" spans="1:4">
      <c r="A11210" s="13"/>
      <c r="B11210" s="13"/>
      <c r="C11210" s="13"/>
      <c r="D11210" s="13"/>
    </row>
    <row r="11211" spans="1:4">
      <c r="A11211" s="13"/>
      <c r="B11211" s="13"/>
      <c r="C11211" s="13"/>
      <c r="D11211" s="13"/>
    </row>
    <row r="11212" spans="1:4">
      <c r="A11212" s="13"/>
      <c r="B11212" s="13"/>
      <c r="C11212" s="13"/>
      <c r="D11212" s="13"/>
    </row>
    <row r="11213" spans="1:4">
      <c r="A11213" s="13"/>
      <c r="B11213" s="13"/>
      <c r="C11213" s="13"/>
      <c r="D11213" s="13"/>
    </row>
    <row r="11214" spans="1:4">
      <c r="A11214" s="13"/>
      <c r="B11214" s="13"/>
      <c r="C11214" s="13"/>
      <c r="D11214" s="13"/>
    </row>
    <row r="11215" spans="1:4">
      <c r="A11215" s="13"/>
      <c r="B11215" s="13"/>
      <c r="C11215" s="13"/>
      <c r="D11215" s="13"/>
    </row>
    <row r="11216" spans="1:4">
      <c r="A11216" s="13"/>
      <c r="B11216" s="13"/>
      <c r="C11216" s="13"/>
      <c r="D11216" s="13"/>
    </row>
    <row r="11217" spans="1:4">
      <c r="A11217" s="13"/>
      <c r="B11217" s="13"/>
      <c r="C11217" s="13"/>
      <c r="D11217" s="13"/>
    </row>
    <row r="11218" spans="1:4">
      <c r="A11218" s="13"/>
      <c r="B11218" s="13"/>
      <c r="C11218" s="13"/>
      <c r="D11218" s="13"/>
    </row>
    <row r="11219" spans="1:4">
      <c r="A11219" s="13"/>
      <c r="B11219" s="13"/>
      <c r="C11219" s="13"/>
      <c r="D11219" s="13"/>
    </row>
    <row r="11220" spans="1:4">
      <c r="A11220" s="13"/>
      <c r="B11220" s="13"/>
      <c r="C11220" s="13"/>
      <c r="D11220" s="13"/>
    </row>
    <row r="11221" spans="1:4">
      <c r="A11221" s="13"/>
      <c r="B11221" s="13"/>
      <c r="C11221" s="13"/>
      <c r="D11221" s="13"/>
    </row>
    <row r="11222" spans="1:4">
      <c r="A11222" s="13"/>
      <c r="B11222" s="13"/>
      <c r="C11222" s="13"/>
      <c r="D11222" s="13"/>
    </row>
    <row r="11223" spans="1:4">
      <c r="A11223" s="13"/>
      <c r="B11223" s="13"/>
      <c r="C11223" s="13"/>
      <c r="D11223" s="13"/>
    </row>
    <row r="11224" spans="1:4">
      <c r="A11224" s="13"/>
      <c r="B11224" s="13"/>
      <c r="C11224" s="13"/>
      <c r="D11224" s="13"/>
    </row>
    <row r="11225" spans="1:4">
      <c r="A11225" s="13"/>
      <c r="B11225" s="13"/>
      <c r="C11225" s="13"/>
      <c r="D11225" s="13"/>
    </row>
    <row r="11226" spans="1:4">
      <c r="A11226" s="13"/>
      <c r="B11226" s="13"/>
      <c r="C11226" s="13"/>
      <c r="D11226" s="13"/>
    </row>
    <row r="11227" spans="1:4">
      <c r="A11227" s="13"/>
      <c r="B11227" s="13"/>
      <c r="C11227" s="13"/>
      <c r="D11227" s="13"/>
    </row>
    <row r="11228" spans="1:4">
      <c r="A11228" s="13"/>
      <c r="B11228" s="13"/>
      <c r="C11228" s="13"/>
      <c r="D11228" s="13"/>
    </row>
    <row r="11229" spans="1:4">
      <c r="A11229" s="13"/>
      <c r="B11229" s="13"/>
      <c r="C11229" s="13"/>
      <c r="D11229" s="13"/>
    </row>
    <row r="11230" spans="1:4">
      <c r="A11230" s="13"/>
      <c r="B11230" s="13"/>
      <c r="C11230" s="13"/>
      <c r="D11230" s="13"/>
    </row>
    <row r="11231" spans="1:4">
      <c r="A11231" s="13"/>
      <c r="B11231" s="13"/>
      <c r="C11231" s="13"/>
      <c r="D11231" s="13"/>
    </row>
    <row r="11232" spans="1:4">
      <c r="A11232" s="13"/>
      <c r="B11232" s="13"/>
      <c r="C11232" s="13"/>
      <c r="D11232" s="13"/>
    </row>
    <row r="11233" spans="1:4">
      <c r="A11233" s="13"/>
      <c r="B11233" s="13"/>
      <c r="C11233" s="13"/>
      <c r="D11233" s="13"/>
    </row>
    <row r="11234" spans="1:4">
      <c r="A11234" s="13"/>
      <c r="B11234" s="13"/>
      <c r="C11234" s="13"/>
      <c r="D11234" s="13"/>
    </row>
    <row r="11235" spans="1:4">
      <c r="A11235" s="13"/>
      <c r="B11235" s="13"/>
      <c r="C11235" s="13"/>
      <c r="D11235" s="13"/>
    </row>
    <row r="11236" spans="1:4">
      <c r="A11236" s="13"/>
      <c r="B11236" s="13"/>
      <c r="C11236" s="13"/>
      <c r="D11236" s="13"/>
    </row>
    <row r="11237" spans="1:4">
      <c r="A11237" s="13"/>
      <c r="B11237" s="13"/>
      <c r="C11237" s="13"/>
      <c r="D11237" s="13"/>
    </row>
    <row r="11238" spans="1:4">
      <c r="A11238" s="13"/>
      <c r="B11238" s="13"/>
      <c r="C11238" s="13"/>
      <c r="D11238" s="13"/>
    </row>
    <row r="11239" spans="1:4">
      <c r="A11239" s="13"/>
      <c r="B11239" s="13"/>
      <c r="C11239" s="13"/>
      <c r="D11239" s="13"/>
    </row>
    <row r="11240" spans="1:4">
      <c r="A11240" s="13"/>
      <c r="B11240" s="13"/>
      <c r="C11240" s="13"/>
      <c r="D11240" s="13"/>
    </row>
    <row r="11241" spans="1:4">
      <c r="A11241" s="13"/>
      <c r="B11241" s="13"/>
      <c r="C11241" s="13"/>
      <c r="D11241" s="13"/>
    </row>
    <row r="11242" spans="1:4">
      <c r="A11242" s="13"/>
      <c r="B11242" s="13"/>
      <c r="C11242" s="13"/>
      <c r="D11242" s="13"/>
    </row>
    <row r="11243" spans="1:4">
      <c r="A11243" s="13"/>
      <c r="B11243" s="13"/>
      <c r="C11243" s="13"/>
      <c r="D11243" s="13"/>
    </row>
    <row r="11244" spans="1:4">
      <c r="A11244" s="13"/>
      <c r="B11244" s="13"/>
      <c r="C11244" s="13"/>
      <c r="D11244" s="13"/>
    </row>
    <row r="11245" spans="1:4">
      <c r="A11245" s="13"/>
      <c r="B11245" s="13"/>
      <c r="C11245" s="13"/>
      <c r="D11245" s="13"/>
    </row>
    <row r="11246" spans="1:4">
      <c r="A11246" s="13"/>
      <c r="B11246" s="13"/>
      <c r="C11246" s="13"/>
      <c r="D11246" s="13"/>
    </row>
    <row r="11247" spans="1:4">
      <c r="A11247" s="13"/>
      <c r="B11247" s="13"/>
      <c r="C11247" s="13"/>
      <c r="D11247" s="13"/>
    </row>
    <row r="11248" spans="1:4">
      <c r="A11248" s="13"/>
      <c r="B11248" s="13"/>
      <c r="C11248" s="13"/>
      <c r="D11248" s="13"/>
    </row>
    <row r="11249" spans="1:4">
      <c r="A11249" s="13"/>
      <c r="B11249" s="13"/>
      <c r="C11249" s="13"/>
      <c r="D11249" s="13"/>
    </row>
    <row r="11250" spans="1:4">
      <c r="A11250" s="13"/>
      <c r="B11250" s="13"/>
      <c r="C11250" s="13"/>
      <c r="D11250" s="13"/>
    </row>
    <row r="11251" spans="1:4">
      <c r="A11251" s="13"/>
      <c r="B11251" s="13"/>
      <c r="C11251" s="13"/>
      <c r="D11251" s="13"/>
    </row>
    <row r="11252" spans="1:4">
      <c r="A11252" s="13"/>
      <c r="B11252" s="13"/>
      <c r="C11252" s="13"/>
      <c r="D11252" s="13"/>
    </row>
    <row r="11253" spans="1:4">
      <c r="A11253" s="13"/>
      <c r="B11253" s="13"/>
      <c r="C11253" s="13"/>
      <c r="D11253" s="13"/>
    </row>
    <row r="11254" spans="1:4">
      <c r="A11254" s="13"/>
      <c r="B11254" s="13"/>
      <c r="C11254" s="13"/>
      <c r="D11254" s="13"/>
    </row>
    <row r="11255" spans="1:4">
      <c r="A11255" s="13"/>
      <c r="B11255" s="13"/>
      <c r="C11255" s="13"/>
      <c r="D11255" s="13"/>
    </row>
    <row r="11256" spans="1:4">
      <c r="A11256" s="13"/>
      <c r="B11256" s="13"/>
      <c r="C11256" s="13"/>
      <c r="D11256" s="13"/>
    </row>
    <row r="11257" spans="1:4">
      <c r="A11257" s="13"/>
      <c r="B11257" s="13"/>
      <c r="C11257" s="13"/>
      <c r="D11257" s="13"/>
    </row>
    <row r="11258" spans="1:4">
      <c r="A11258" s="13"/>
      <c r="B11258" s="13"/>
      <c r="C11258" s="13"/>
      <c r="D11258" s="13"/>
    </row>
    <row r="11259" spans="1:4">
      <c r="A11259" s="13"/>
      <c r="B11259" s="13"/>
      <c r="C11259" s="13"/>
      <c r="D11259" s="13"/>
    </row>
    <row r="11260" spans="1:4">
      <c r="A11260" s="13"/>
      <c r="B11260" s="13"/>
      <c r="C11260" s="13"/>
      <c r="D11260" s="13"/>
    </row>
    <row r="11261" spans="1:4">
      <c r="A11261" s="13"/>
      <c r="B11261" s="13"/>
      <c r="C11261" s="13"/>
      <c r="D11261" s="13"/>
    </row>
    <row r="11262" spans="1:4">
      <c r="A11262" s="13"/>
      <c r="B11262" s="13"/>
      <c r="C11262" s="13"/>
      <c r="D11262" s="13"/>
    </row>
    <row r="11263" spans="1:4">
      <c r="A11263" s="13"/>
      <c r="B11263" s="13"/>
      <c r="C11263" s="13"/>
      <c r="D11263" s="13"/>
    </row>
    <row r="11264" spans="1:4">
      <c r="A11264" s="13"/>
      <c r="B11264" s="13"/>
      <c r="C11264" s="13"/>
      <c r="D11264" s="13"/>
    </row>
    <row r="11265" spans="1:4">
      <c r="A11265" s="13"/>
      <c r="B11265" s="13"/>
      <c r="C11265" s="13"/>
      <c r="D11265" s="13"/>
    </row>
    <row r="11266" spans="1:4">
      <c r="A11266" s="13"/>
      <c r="B11266" s="13"/>
      <c r="C11266" s="13"/>
      <c r="D11266" s="13"/>
    </row>
    <row r="11267" spans="1:4">
      <c r="A11267" s="13"/>
      <c r="B11267" s="13"/>
      <c r="C11267" s="13"/>
      <c r="D11267" s="13"/>
    </row>
    <row r="11268" spans="1:4">
      <c r="A11268" s="13"/>
      <c r="B11268" s="13"/>
      <c r="C11268" s="13"/>
      <c r="D11268" s="13"/>
    </row>
    <row r="11269" spans="1:4">
      <c r="A11269" s="13"/>
      <c r="B11269" s="13"/>
      <c r="C11269" s="13"/>
      <c r="D11269" s="13"/>
    </row>
    <row r="11270" spans="1:4">
      <c r="A11270" s="13"/>
      <c r="B11270" s="13"/>
      <c r="C11270" s="13"/>
      <c r="D11270" s="13"/>
    </row>
    <row r="11271" spans="1:4">
      <c r="A11271" s="13"/>
      <c r="B11271" s="13"/>
      <c r="C11271" s="13"/>
      <c r="D11271" s="13"/>
    </row>
    <row r="11272" spans="1:4">
      <c r="A11272" s="13"/>
      <c r="B11272" s="13"/>
      <c r="C11272" s="13"/>
      <c r="D11272" s="13"/>
    </row>
    <row r="11273" spans="1:4">
      <c r="A11273" s="13"/>
      <c r="B11273" s="13"/>
      <c r="C11273" s="13"/>
      <c r="D11273" s="13"/>
    </row>
    <row r="11274" spans="1:4">
      <c r="A11274" s="13"/>
      <c r="B11274" s="13"/>
      <c r="C11274" s="13"/>
      <c r="D11274" s="13"/>
    </row>
    <row r="11275" spans="1:4">
      <c r="A11275" s="13"/>
      <c r="B11275" s="13"/>
      <c r="C11275" s="13"/>
      <c r="D11275" s="13"/>
    </row>
    <row r="11276" spans="1:4">
      <c r="A11276" s="13"/>
      <c r="B11276" s="13"/>
      <c r="C11276" s="13"/>
      <c r="D11276" s="13"/>
    </row>
    <row r="11277" spans="1:4">
      <c r="A11277" s="13"/>
      <c r="B11277" s="13"/>
      <c r="C11277" s="13"/>
      <c r="D11277" s="13"/>
    </row>
    <row r="11278" spans="1:4">
      <c r="A11278" s="13"/>
      <c r="B11278" s="13"/>
      <c r="C11278" s="13"/>
      <c r="D11278" s="13"/>
    </row>
    <row r="11279" spans="1:4">
      <c r="A11279" s="13"/>
      <c r="B11279" s="13"/>
      <c r="C11279" s="13"/>
      <c r="D11279" s="13"/>
    </row>
    <row r="11280" spans="1:4">
      <c r="A11280" s="13"/>
      <c r="B11280" s="13"/>
      <c r="C11280" s="13"/>
      <c r="D11280" s="13"/>
    </row>
    <row r="11281" spans="1:4">
      <c r="A11281" s="13"/>
      <c r="B11281" s="13"/>
      <c r="C11281" s="13"/>
      <c r="D11281" s="13"/>
    </row>
    <row r="11282" spans="1:4">
      <c r="A11282" s="13"/>
      <c r="B11282" s="13"/>
      <c r="C11282" s="13"/>
      <c r="D11282" s="13"/>
    </row>
    <row r="11283" spans="1:4">
      <c r="A11283" s="13"/>
      <c r="B11283" s="13"/>
      <c r="C11283" s="13"/>
      <c r="D11283" s="13"/>
    </row>
    <row r="11284" spans="1:4">
      <c r="A11284" s="13"/>
      <c r="B11284" s="13"/>
      <c r="C11284" s="13"/>
      <c r="D11284" s="13"/>
    </row>
    <row r="11285" spans="1:4">
      <c r="A11285" s="13"/>
      <c r="B11285" s="13"/>
      <c r="C11285" s="13"/>
      <c r="D11285" s="13"/>
    </row>
    <row r="11286" spans="1:4">
      <c r="A11286" s="13"/>
      <c r="B11286" s="13"/>
      <c r="C11286" s="13"/>
      <c r="D11286" s="13"/>
    </row>
    <row r="11287" spans="1:4">
      <c r="A11287" s="13"/>
      <c r="B11287" s="13"/>
      <c r="C11287" s="13"/>
      <c r="D11287" s="13"/>
    </row>
    <row r="11288" spans="1:4">
      <c r="A11288" s="13"/>
      <c r="B11288" s="13"/>
      <c r="C11288" s="13"/>
      <c r="D11288" s="13"/>
    </row>
    <row r="11289" spans="1:4">
      <c r="A11289" s="13"/>
      <c r="B11289" s="13"/>
      <c r="C11289" s="13"/>
      <c r="D11289" s="13"/>
    </row>
    <row r="11290" spans="1:4">
      <c r="A11290" s="13"/>
      <c r="B11290" s="13"/>
      <c r="C11290" s="13"/>
      <c r="D11290" s="13"/>
    </row>
    <row r="11291" spans="1:4">
      <c r="A11291" s="13"/>
      <c r="B11291" s="13"/>
      <c r="C11291" s="13"/>
      <c r="D11291" s="13"/>
    </row>
    <row r="11292" spans="1:4">
      <c r="A11292" s="13"/>
      <c r="B11292" s="13"/>
      <c r="C11292" s="13"/>
      <c r="D11292" s="13"/>
    </row>
    <row r="11293" spans="1:4">
      <c r="A11293" s="13"/>
      <c r="B11293" s="13"/>
      <c r="C11293" s="13"/>
      <c r="D11293" s="13"/>
    </row>
    <row r="11294" spans="1:4">
      <c r="A11294" s="13"/>
      <c r="B11294" s="13"/>
      <c r="C11294" s="13"/>
      <c r="D11294" s="13"/>
    </row>
    <row r="11295" spans="1:4">
      <c r="A11295" s="13"/>
      <c r="B11295" s="13"/>
      <c r="C11295" s="13"/>
      <c r="D11295" s="13"/>
    </row>
    <row r="11296" spans="1:4">
      <c r="A11296" s="13"/>
      <c r="B11296" s="13"/>
      <c r="C11296" s="13"/>
      <c r="D11296" s="13"/>
    </row>
    <row r="11297" spans="1:4">
      <c r="A11297" s="13"/>
      <c r="B11297" s="13"/>
      <c r="C11297" s="13"/>
      <c r="D11297" s="13"/>
    </row>
    <row r="11298" spans="1:4">
      <c r="A11298" s="13"/>
      <c r="B11298" s="13"/>
      <c r="C11298" s="13"/>
      <c r="D11298" s="13"/>
    </row>
    <row r="11299" spans="1:4">
      <c r="A11299" s="13"/>
      <c r="B11299" s="13"/>
      <c r="C11299" s="13"/>
      <c r="D11299" s="13"/>
    </row>
    <row r="11300" spans="1:4">
      <c r="A11300" s="13"/>
      <c r="B11300" s="13"/>
      <c r="C11300" s="13"/>
      <c r="D11300" s="13"/>
    </row>
    <row r="11301" spans="1:4">
      <c r="A11301" s="13"/>
      <c r="B11301" s="13"/>
      <c r="C11301" s="13"/>
      <c r="D11301" s="13"/>
    </row>
    <row r="11302" spans="1:4">
      <c r="A11302" s="13"/>
      <c r="B11302" s="13"/>
      <c r="C11302" s="13"/>
      <c r="D11302" s="13"/>
    </row>
    <row r="11303" spans="1:4">
      <c r="A11303" s="13"/>
      <c r="B11303" s="13"/>
      <c r="C11303" s="13"/>
      <c r="D11303" s="13"/>
    </row>
    <row r="11304" spans="1:4">
      <c r="A11304" s="13"/>
      <c r="B11304" s="13"/>
      <c r="C11304" s="13"/>
      <c r="D11304" s="13"/>
    </row>
    <row r="11305" spans="1:4">
      <c r="A11305" s="13"/>
      <c r="B11305" s="13"/>
      <c r="C11305" s="13"/>
      <c r="D11305" s="13"/>
    </row>
    <row r="11306" spans="1:4">
      <c r="A11306" s="13"/>
      <c r="B11306" s="13"/>
      <c r="C11306" s="13"/>
      <c r="D11306" s="13"/>
    </row>
    <row r="11307" spans="1:4">
      <c r="A11307" s="13"/>
      <c r="B11307" s="13"/>
      <c r="C11307" s="13"/>
      <c r="D11307" s="13"/>
    </row>
    <row r="11308" spans="1:4">
      <c r="A11308" s="13"/>
      <c r="B11308" s="13"/>
      <c r="C11308" s="13"/>
      <c r="D11308" s="13"/>
    </row>
    <row r="11309" spans="1:4">
      <c r="A11309" s="13"/>
      <c r="B11309" s="13"/>
      <c r="C11309" s="13"/>
      <c r="D11309" s="13"/>
    </row>
    <row r="11310" spans="1:4">
      <c r="A11310" s="13"/>
      <c r="B11310" s="13"/>
      <c r="C11310" s="13"/>
      <c r="D11310" s="13"/>
    </row>
    <row r="11311" spans="1:4">
      <c r="A11311" s="13"/>
      <c r="B11311" s="13"/>
      <c r="C11311" s="13"/>
      <c r="D11311" s="13"/>
    </row>
    <row r="11312" spans="1:4">
      <c r="A11312" s="13"/>
      <c r="B11312" s="13"/>
      <c r="C11312" s="13"/>
      <c r="D11312" s="13"/>
    </row>
    <row r="11313" spans="1:4">
      <c r="A11313" s="13"/>
      <c r="B11313" s="13"/>
      <c r="C11313" s="13"/>
      <c r="D11313" s="13"/>
    </row>
    <row r="11314" spans="1:4">
      <c r="A11314" s="13"/>
      <c r="B11314" s="13"/>
      <c r="C11314" s="13"/>
      <c r="D11314" s="13"/>
    </row>
    <row r="11315" spans="1:4">
      <c r="A11315" s="13"/>
      <c r="B11315" s="13"/>
      <c r="C11315" s="13"/>
      <c r="D11315" s="13"/>
    </row>
    <row r="11316" spans="1:4">
      <c r="A11316" s="13"/>
      <c r="B11316" s="13"/>
      <c r="C11316" s="13"/>
      <c r="D11316" s="13"/>
    </row>
    <row r="11317" spans="1:4">
      <c r="A11317" s="13"/>
      <c r="B11317" s="13"/>
      <c r="C11317" s="13"/>
      <c r="D11317" s="13"/>
    </row>
    <row r="11318" spans="1:4">
      <c r="A11318" s="13"/>
      <c r="B11318" s="13"/>
      <c r="C11318" s="13"/>
      <c r="D11318" s="13"/>
    </row>
    <row r="11319" spans="1:4">
      <c r="A11319" s="13"/>
      <c r="B11319" s="13"/>
      <c r="C11319" s="13"/>
      <c r="D11319" s="13"/>
    </row>
    <row r="11320" spans="1:4">
      <c r="A11320" s="13"/>
      <c r="B11320" s="13"/>
      <c r="C11320" s="13"/>
      <c r="D11320" s="13"/>
    </row>
    <row r="11321" spans="1:4">
      <c r="A11321" s="13"/>
      <c r="B11321" s="13"/>
      <c r="C11321" s="13"/>
      <c r="D11321" s="13"/>
    </row>
    <row r="11322" spans="1:4">
      <c r="A11322" s="13"/>
      <c r="B11322" s="13"/>
      <c r="C11322" s="13"/>
      <c r="D11322" s="13"/>
    </row>
    <row r="11323" spans="1:4">
      <c r="A11323" s="13"/>
      <c r="B11323" s="13"/>
      <c r="C11323" s="13"/>
      <c r="D11323" s="13"/>
    </row>
    <row r="11324" spans="1:4">
      <c r="A11324" s="13"/>
      <c r="B11324" s="13"/>
      <c r="C11324" s="13"/>
      <c r="D11324" s="13"/>
    </row>
    <row r="11325" spans="1:4">
      <c r="A11325" s="13"/>
      <c r="B11325" s="13"/>
      <c r="C11325" s="13"/>
      <c r="D11325" s="13"/>
    </row>
    <row r="11326" spans="1:4">
      <c r="A11326" s="13"/>
      <c r="B11326" s="13"/>
      <c r="C11326" s="13"/>
      <c r="D11326" s="13"/>
    </row>
    <row r="11327" spans="1:4">
      <c r="A11327" s="13"/>
      <c r="B11327" s="13"/>
      <c r="C11327" s="13"/>
      <c r="D11327" s="13"/>
    </row>
    <row r="11328" spans="1:4">
      <c r="A11328" s="13"/>
      <c r="B11328" s="13"/>
      <c r="C11328" s="13"/>
      <c r="D11328" s="13"/>
    </row>
    <row r="11329" spans="1:4">
      <c r="A11329" s="13"/>
      <c r="B11329" s="13"/>
      <c r="C11329" s="13"/>
      <c r="D11329" s="13"/>
    </row>
    <row r="11330" spans="1:4">
      <c r="A11330" s="13"/>
      <c r="B11330" s="13"/>
      <c r="C11330" s="13"/>
      <c r="D11330" s="13"/>
    </row>
    <row r="11331" spans="1:4">
      <c r="A11331" s="13"/>
      <c r="B11331" s="13"/>
      <c r="C11331" s="13"/>
      <c r="D11331" s="13"/>
    </row>
    <row r="11332" spans="1:4">
      <c r="A11332" s="13"/>
      <c r="B11332" s="13"/>
      <c r="C11332" s="13"/>
      <c r="D11332" s="13"/>
    </row>
    <row r="11333" spans="1:4">
      <c r="A11333" s="13"/>
      <c r="B11333" s="13"/>
      <c r="C11333" s="13"/>
      <c r="D11333" s="13"/>
    </row>
    <row r="11334" spans="1:4">
      <c r="A11334" s="13"/>
      <c r="B11334" s="13"/>
      <c r="C11334" s="13"/>
      <c r="D11334" s="13"/>
    </row>
    <row r="11335" spans="1:4">
      <c r="A11335" s="13"/>
      <c r="B11335" s="13"/>
      <c r="C11335" s="13"/>
      <c r="D11335" s="13"/>
    </row>
    <row r="11336" spans="1:4">
      <c r="A11336" s="13"/>
      <c r="B11336" s="13"/>
      <c r="C11336" s="13"/>
      <c r="D11336" s="13"/>
    </row>
    <row r="11337" spans="1:4">
      <c r="A11337" s="13"/>
      <c r="B11337" s="13"/>
      <c r="C11337" s="13"/>
      <c r="D11337" s="13"/>
    </row>
    <row r="11338" spans="1:4">
      <c r="A11338" s="13"/>
      <c r="B11338" s="13"/>
      <c r="C11338" s="13"/>
      <c r="D11338" s="13"/>
    </row>
    <row r="11339" spans="1:4">
      <c r="A11339" s="13"/>
      <c r="B11339" s="13"/>
      <c r="C11339" s="13"/>
      <c r="D11339" s="13"/>
    </row>
    <row r="11340" spans="1:4">
      <c r="A11340" s="13"/>
      <c r="B11340" s="13"/>
      <c r="C11340" s="13"/>
      <c r="D11340" s="13"/>
    </row>
    <row r="11341" spans="1:4">
      <c r="A11341" s="13"/>
      <c r="B11341" s="13"/>
      <c r="C11341" s="13"/>
      <c r="D11341" s="13"/>
    </row>
    <row r="11342" spans="1:4">
      <c r="A11342" s="13"/>
      <c r="B11342" s="13"/>
      <c r="C11342" s="13"/>
      <c r="D11342" s="13"/>
    </row>
    <row r="11343" spans="1:4">
      <c r="A11343" s="13"/>
      <c r="B11343" s="13"/>
      <c r="C11343" s="13"/>
      <c r="D11343" s="13"/>
    </row>
    <row r="11344" spans="1:4">
      <c r="A11344" s="13"/>
      <c r="B11344" s="13"/>
      <c r="C11344" s="13"/>
      <c r="D11344" s="13"/>
    </row>
    <row r="11345" spans="1:4">
      <c r="A11345" s="13"/>
      <c r="B11345" s="13"/>
      <c r="C11345" s="13"/>
      <c r="D11345" s="13"/>
    </row>
    <row r="11346" spans="1:4">
      <c r="A11346" s="13"/>
      <c r="B11346" s="13"/>
      <c r="C11346" s="13"/>
      <c r="D11346" s="13"/>
    </row>
    <row r="11347" spans="1:4">
      <c r="A11347" s="13"/>
      <c r="B11347" s="13"/>
      <c r="C11347" s="13"/>
      <c r="D11347" s="13"/>
    </row>
    <row r="11348" spans="1:4">
      <c r="A11348" s="13"/>
      <c r="B11348" s="13"/>
      <c r="C11348" s="13"/>
      <c r="D11348" s="13"/>
    </row>
    <row r="11349" spans="1:4">
      <c r="A11349" s="13"/>
      <c r="B11349" s="13"/>
      <c r="C11349" s="13"/>
      <c r="D11349" s="13"/>
    </row>
    <row r="11350" spans="1:4">
      <c r="A11350" s="13"/>
      <c r="B11350" s="13"/>
      <c r="C11350" s="13"/>
      <c r="D11350" s="13"/>
    </row>
    <row r="11351" spans="1:4">
      <c r="A11351" s="13"/>
      <c r="B11351" s="13"/>
      <c r="C11351" s="13"/>
      <c r="D11351" s="13"/>
    </row>
    <row r="11352" spans="1:4">
      <c r="A11352" s="13"/>
      <c r="B11352" s="13"/>
      <c r="C11352" s="13"/>
      <c r="D11352" s="13"/>
    </row>
    <row r="11353" spans="1:4">
      <c r="A11353" s="13"/>
      <c r="B11353" s="13"/>
      <c r="C11353" s="13"/>
      <c r="D11353" s="13"/>
    </row>
    <row r="11354" spans="1:4">
      <c r="A11354" s="13"/>
      <c r="B11354" s="13"/>
      <c r="C11354" s="13"/>
      <c r="D11354" s="13"/>
    </row>
    <row r="11355" spans="1:4">
      <c r="A11355" s="13"/>
      <c r="B11355" s="13"/>
      <c r="C11355" s="13"/>
      <c r="D11355" s="13"/>
    </row>
    <row r="11356" spans="1:4">
      <c r="A11356" s="13"/>
      <c r="B11356" s="13"/>
      <c r="C11356" s="13"/>
      <c r="D11356" s="13"/>
    </row>
    <row r="11357" spans="1:4">
      <c r="A11357" s="13"/>
      <c r="B11357" s="13"/>
      <c r="C11357" s="13"/>
      <c r="D11357" s="13"/>
    </row>
    <row r="11358" spans="1:4">
      <c r="A11358" s="13"/>
      <c r="B11358" s="13"/>
      <c r="C11358" s="13"/>
      <c r="D11358" s="13"/>
    </row>
    <row r="11359" spans="1:4">
      <c r="A11359" s="13"/>
      <c r="B11359" s="13"/>
      <c r="C11359" s="13"/>
      <c r="D11359" s="13"/>
    </row>
    <row r="11360" spans="1:4">
      <c r="A11360" s="13"/>
      <c r="B11360" s="13"/>
      <c r="C11360" s="13"/>
      <c r="D11360" s="13"/>
    </row>
    <row r="11361" spans="1:4">
      <c r="A11361" s="13"/>
      <c r="B11361" s="13"/>
      <c r="C11361" s="13"/>
      <c r="D11361" s="13"/>
    </row>
    <row r="11362" spans="1:4">
      <c r="A11362" s="13"/>
      <c r="B11362" s="13"/>
      <c r="C11362" s="13"/>
      <c r="D11362" s="13"/>
    </row>
    <row r="11363" spans="1:4">
      <c r="A11363" s="13"/>
      <c r="B11363" s="13"/>
      <c r="C11363" s="13"/>
      <c r="D11363" s="13"/>
    </row>
    <row r="11364" spans="1:4">
      <c r="A11364" s="13"/>
      <c r="B11364" s="13"/>
      <c r="C11364" s="13"/>
      <c r="D11364" s="13"/>
    </row>
    <row r="11365" spans="1:4">
      <c r="A11365" s="13"/>
      <c r="B11365" s="13"/>
      <c r="C11365" s="13"/>
      <c r="D11365" s="13"/>
    </row>
    <row r="11366" spans="1:4">
      <c r="A11366" s="13"/>
      <c r="B11366" s="13"/>
      <c r="C11366" s="13"/>
      <c r="D11366" s="13"/>
    </row>
    <row r="11367" spans="1:4">
      <c r="A11367" s="13"/>
      <c r="B11367" s="13"/>
      <c r="C11367" s="13"/>
      <c r="D11367" s="13"/>
    </row>
    <row r="11368" spans="1:4">
      <c r="A11368" s="13"/>
      <c r="B11368" s="13"/>
      <c r="C11368" s="13"/>
      <c r="D11368" s="13"/>
    </row>
    <row r="11369" spans="1:4">
      <c r="A11369" s="13"/>
      <c r="B11369" s="13"/>
      <c r="C11369" s="13"/>
      <c r="D11369" s="13"/>
    </row>
    <row r="11370" spans="1:4">
      <c r="A11370" s="13"/>
      <c r="B11370" s="13"/>
      <c r="C11370" s="13"/>
      <c r="D11370" s="13"/>
    </row>
    <row r="11371" spans="1:4">
      <c r="A11371" s="13"/>
      <c r="B11371" s="13"/>
      <c r="C11371" s="13"/>
      <c r="D11371" s="13"/>
    </row>
    <row r="11372" spans="1:4">
      <c r="A11372" s="13"/>
      <c r="B11372" s="13"/>
      <c r="C11372" s="13"/>
      <c r="D11372" s="13"/>
    </row>
    <row r="11373" spans="1:4">
      <c r="A11373" s="13"/>
      <c r="B11373" s="13"/>
      <c r="C11373" s="13"/>
      <c r="D11373" s="13"/>
    </row>
    <row r="11374" spans="1:4">
      <c r="A11374" s="13"/>
      <c r="B11374" s="13"/>
      <c r="C11374" s="13"/>
      <c r="D11374" s="13"/>
    </row>
    <row r="11375" spans="1:4">
      <c r="A11375" s="13"/>
      <c r="B11375" s="13"/>
      <c r="C11375" s="13"/>
      <c r="D11375" s="13"/>
    </row>
    <row r="11376" spans="1:4">
      <c r="A11376" s="13"/>
      <c r="B11376" s="13"/>
      <c r="C11376" s="13"/>
      <c r="D11376" s="13"/>
    </row>
    <row r="11377" spans="1:4">
      <c r="A11377" s="13"/>
      <c r="B11377" s="13"/>
      <c r="C11377" s="13"/>
      <c r="D11377" s="13"/>
    </row>
    <row r="11378" spans="1:4">
      <c r="A11378" s="13"/>
      <c r="B11378" s="13"/>
      <c r="C11378" s="13"/>
      <c r="D11378" s="13"/>
    </row>
    <row r="11379" spans="1:4">
      <c r="A11379" s="13"/>
      <c r="B11379" s="13"/>
      <c r="C11379" s="13"/>
      <c r="D11379" s="13"/>
    </row>
    <row r="11380" spans="1:4">
      <c r="A11380" s="13"/>
      <c r="B11380" s="13"/>
      <c r="C11380" s="13"/>
      <c r="D11380" s="13"/>
    </row>
    <row r="11381" spans="1:4">
      <c r="A11381" s="13"/>
      <c r="B11381" s="13"/>
      <c r="C11381" s="13"/>
      <c r="D11381" s="13"/>
    </row>
    <row r="11382" spans="1:4">
      <c r="A11382" s="13"/>
      <c r="B11382" s="13"/>
      <c r="C11382" s="13"/>
      <c r="D11382" s="13"/>
    </row>
    <row r="11383" spans="1:4">
      <c r="A11383" s="13"/>
      <c r="B11383" s="13"/>
      <c r="C11383" s="13"/>
      <c r="D11383" s="13"/>
    </row>
    <row r="11384" spans="1:4">
      <c r="A11384" s="13"/>
      <c r="B11384" s="13"/>
      <c r="C11384" s="13"/>
      <c r="D11384" s="13"/>
    </row>
    <row r="11385" spans="1:4">
      <c r="A11385" s="13"/>
      <c r="B11385" s="13"/>
      <c r="C11385" s="13"/>
      <c r="D11385" s="13"/>
    </row>
    <row r="11386" spans="1:4">
      <c r="A11386" s="13"/>
      <c r="B11386" s="13"/>
      <c r="C11386" s="13"/>
      <c r="D11386" s="13"/>
    </row>
    <row r="11387" spans="1:4">
      <c r="A11387" s="13"/>
      <c r="B11387" s="13"/>
      <c r="C11387" s="13"/>
      <c r="D11387" s="13"/>
    </row>
    <row r="11388" spans="1:4">
      <c r="A11388" s="13"/>
      <c r="B11388" s="13"/>
      <c r="C11388" s="13"/>
      <c r="D11388" s="13"/>
    </row>
    <row r="11389" spans="1:4">
      <c r="A11389" s="13"/>
      <c r="B11389" s="13"/>
      <c r="C11389" s="13"/>
      <c r="D11389" s="13"/>
    </row>
    <row r="11390" spans="1:4">
      <c r="A11390" s="13"/>
      <c r="B11390" s="13"/>
      <c r="C11390" s="13"/>
      <c r="D11390" s="13"/>
    </row>
    <row r="11391" spans="1:4">
      <c r="A11391" s="13"/>
      <c r="B11391" s="13"/>
      <c r="C11391" s="13"/>
      <c r="D11391" s="13"/>
    </row>
    <row r="11392" spans="1:4">
      <c r="A11392" s="13"/>
      <c r="B11392" s="13"/>
      <c r="C11392" s="13"/>
      <c r="D11392" s="13"/>
    </row>
    <row r="11393" spans="1:4">
      <c r="A11393" s="13"/>
      <c r="B11393" s="13"/>
      <c r="C11393" s="13"/>
      <c r="D11393" s="13"/>
    </row>
    <row r="11394" spans="1:4">
      <c r="A11394" s="13"/>
      <c r="B11394" s="13"/>
      <c r="C11394" s="13"/>
      <c r="D11394" s="13"/>
    </row>
    <row r="11395" spans="1:4">
      <c r="A11395" s="13"/>
      <c r="B11395" s="13"/>
      <c r="C11395" s="13"/>
      <c r="D11395" s="13"/>
    </row>
    <row r="11396" spans="1:4">
      <c r="A11396" s="13"/>
      <c r="B11396" s="13"/>
      <c r="C11396" s="13"/>
      <c r="D11396" s="13"/>
    </row>
    <row r="11397" spans="1:4">
      <c r="A11397" s="13"/>
      <c r="B11397" s="13"/>
      <c r="C11397" s="13"/>
      <c r="D11397" s="13"/>
    </row>
    <row r="11398" spans="1:4">
      <c r="A11398" s="13"/>
      <c r="B11398" s="13"/>
      <c r="C11398" s="13"/>
      <c r="D11398" s="13"/>
    </row>
    <row r="11399" spans="1:4">
      <c r="A11399" s="13"/>
      <c r="B11399" s="13"/>
      <c r="C11399" s="13"/>
      <c r="D11399" s="13"/>
    </row>
    <row r="11400" spans="1:4">
      <c r="A11400" s="13"/>
      <c r="B11400" s="13"/>
      <c r="C11400" s="13"/>
      <c r="D11400" s="13"/>
    </row>
    <row r="11401" spans="1:4">
      <c r="A11401" s="13"/>
      <c r="B11401" s="13"/>
      <c r="C11401" s="13"/>
      <c r="D11401" s="13"/>
    </row>
    <row r="11402" spans="1:4">
      <c r="A11402" s="13"/>
      <c r="B11402" s="13"/>
      <c r="C11402" s="13"/>
      <c r="D11402" s="13"/>
    </row>
    <row r="11403" spans="1:4">
      <c r="A11403" s="13"/>
      <c r="B11403" s="13"/>
      <c r="C11403" s="13"/>
      <c r="D11403" s="13"/>
    </row>
    <row r="11404" spans="1:4">
      <c r="A11404" s="13"/>
      <c r="B11404" s="13"/>
      <c r="C11404" s="13"/>
      <c r="D11404" s="13"/>
    </row>
    <row r="11405" spans="1:4">
      <c r="A11405" s="13"/>
      <c r="B11405" s="13"/>
      <c r="C11405" s="13"/>
      <c r="D11405" s="13"/>
    </row>
    <row r="11406" spans="1:4">
      <c r="A11406" s="13"/>
      <c r="B11406" s="13"/>
      <c r="C11406" s="13"/>
      <c r="D11406" s="13"/>
    </row>
    <row r="11407" spans="1:4">
      <c r="A11407" s="13"/>
      <c r="B11407" s="13"/>
      <c r="C11407" s="13"/>
      <c r="D11407" s="13"/>
    </row>
    <row r="11408" spans="1:4">
      <c r="A11408" s="13"/>
      <c r="B11408" s="13"/>
      <c r="C11408" s="13"/>
      <c r="D11408" s="13"/>
    </row>
    <row r="11409" spans="1:4">
      <c r="A11409" s="13"/>
      <c r="B11409" s="13"/>
      <c r="C11409" s="13"/>
      <c r="D11409" s="13"/>
    </row>
    <row r="11410" spans="1:4">
      <c r="A11410" s="13"/>
      <c r="B11410" s="13"/>
      <c r="C11410" s="13"/>
      <c r="D11410" s="13"/>
    </row>
    <row r="11411" spans="1:4">
      <c r="A11411" s="13"/>
      <c r="B11411" s="13"/>
      <c r="C11411" s="13"/>
      <c r="D11411" s="13"/>
    </row>
    <row r="11412" spans="1:4">
      <c r="A11412" s="13"/>
      <c r="B11412" s="13"/>
      <c r="C11412" s="13"/>
      <c r="D11412" s="13"/>
    </row>
    <row r="11413" spans="1:4">
      <c r="A11413" s="13"/>
      <c r="B11413" s="13"/>
      <c r="C11413" s="13"/>
      <c r="D11413" s="13"/>
    </row>
    <row r="11414" spans="1:4">
      <c r="A11414" s="13"/>
      <c r="B11414" s="13"/>
      <c r="C11414" s="13"/>
      <c r="D11414" s="13"/>
    </row>
    <row r="11415" spans="1:4">
      <c r="A11415" s="13"/>
      <c r="B11415" s="13"/>
      <c r="C11415" s="13"/>
      <c r="D11415" s="13"/>
    </row>
    <row r="11416" spans="1:4">
      <c r="A11416" s="13"/>
      <c r="B11416" s="13"/>
      <c r="C11416" s="13"/>
      <c r="D11416" s="13"/>
    </row>
    <row r="11417" spans="1:4">
      <c r="A11417" s="13"/>
      <c r="B11417" s="13"/>
      <c r="C11417" s="13"/>
      <c r="D11417" s="13"/>
    </row>
    <row r="11418" spans="1:4">
      <c r="A11418" s="13"/>
      <c r="B11418" s="13"/>
      <c r="C11418" s="13"/>
      <c r="D11418" s="13"/>
    </row>
    <row r="11419" spans="1:4">
      <c r="A11419" s="13"/>
      <c r="B11419" s="13"/>
      <c r="C11419" s="13"/>
      <c r="D11419" s="13"/>
    </row>
    <row r="11420" spans="1:4">
      <c r="A11420" s="13"/>
      <c r="B11420" s="13"/>
      <c r="C11420" s="13"/>
      <c r="D11420" s="13"/>
    </row>
    <row r="11421" spans="1:4">
      <c r="A11421" s="13"/>
      <c r="B11421" s="13"/>
      <c r="C11421" s="13"/>
      <c r="D11421" s="13"/>
    </row>
    <row r="11422" spans="1:4">
      <c r="A11422" s="13"/>
      <c r="B11422" s="13"/>
      <c r="C11422" s="13"/>
      <c r="D11422" s="13"/>
    </row>
    <row r="11423" spans="1:4">
      <c r="A11423" s="13"/>
      <c r="B11423" s="13"/>
      <c r="C11423" s="13"/>
      <c r="D11423" s="13"/>
    </row>
    <row r="11424" spans="1:4">
      <c r="A11424" s="13"/>
      <c r="B11424" s="13"/>
      <c r="C11424" s="13"/>
      <c r="D11424" s="13"/>
    </row>
    <row r="11425" spans="1:4">
      <c r="A11425" s="13"/>
      <c r="B11425" s="13"/>
      <c r="C11425" s="13"/>
      <c r="D11425" s="13"/>
    </row>
    <row r="11426" spans="1:4">
      <c r="A11426" s="13"/>
      <c r="B11426" s="13"/>
      <c r="C11426" s="13"/>
      <c r="D11426" s="13"/>
    </row>
    <row r="11427" spans="1:4">
      <c r="A11427" s="13"/>
      <c r="B11427" s="13"/>
      <c r="C11427" s="13"/>
      <c r="D11427" s="13"/>
    </row>
    <row r="11428" spans="1:4">
      <c r="A11428" s="13"/>
      <c r="B11428" s="13"/>
      <c r="C11428" s="13"/>
      <c r="D11428" s="13"/>
    </row>
    <row r="11429" spans="1:4">
      <c r="A11429" s="13"/>
      <c r="B11429" s="13"/>
      <c r="C11429" s="13"/>
      <c r="D11429" s="13"/>
    </row>
    <row r="11430" spans="1:4">
      <c r="A11430" s="13"/>
      <c r="B11430" s="13"/>
      <c r="C11430" s="13"/>
      <c r="D11430" s="13"/>
    </row>
    <row r="11431" spans="1:4">
      <c r="A11431" s="13"/>
      <c r="B11431" s="13"/>
      <c r="C11431" s="13"/>
      <c r="D11431" s="13"/>
    </row>
    <row r="11432" spans="1:4">
      <c r="A11432" s="13"/>
      <c r="B11432" s="13"/>
      <c r="C11432" s="13"/>
      <c r="D11432" s="13"/>
    </row>
    <row r="11433" spans="1:4">
      <c r="A11433" s="13"/>
      <c r="B11433" s="13"/>
      <c r="C11433" s="13"/>
      <c r="D11433" s="13"/>
    </row>
    <row r="11434" spans="1:4">
      <c r="A11434" s="13"/>
      <c r="B11434" s="13"/>
      <c r="C11434" s="13"/>
      <c r="D11434" s="13"/>
    </row>
    <row r="11435" spans="1:4">
      <c r="A11435" s="13"/>
      <c r="B11435" s="13"/>
      <c r="C11435" s="13"/>
      <c r="D11435" s="13"/>
    </row>
    <row r="11436" spans="1:4">
      <c r="A11436" s="13"/>
      <c r="B11436" s="13"/>
      <c r="C11436" s="13"/>
      <c r="D11436" s="13"/>
    </row>
    <row r="11437" spans="1:4">
      <c r="A11437" s="13"/>
      <c r="B11437" s="13"/>
      <c r="C11437" s="13"/>
      <c r="D11437" s="13"/>
    </row>
    <row r="11438" spans="1:4">
      <c r="A11438" s="13"/>
      <c r="B11438" s="13"/>
      <c r="C11438" s="13"/>
      <c r="D11438" s="13"/>
    </row>
    <row r="11439" spans="1:4">
      <c r="A11439" s="13"/>
      <c r="B11439" s="13"/>
      <c r="C11439" s="13"/>
      <c r="D11439" s="13"/>
    </row>
    <row r="11440" spans="1:4">
      <c r="A11440" s="13"/>
      <c r="B11440" s="13"/>
      <c r="C11440" s="13"/>
      <c r="D11440" s="13"/>
    </row>
    <row r="11441" spans="1:4">
      <c r="A11441" s="13"/>
      <c r="B11441" s="13"/>
      <c r="C11441" s="13"/>
      <c r="D11441" s="13"/>
    </row>
    <row r="11442" spans="1:4">
      <c r="A11442" s="13"/>
      <c r="B11442" s="13"/>
      <c r="C11442" s="13"/>
      <c r="D11442" s="13"/>
    </row>
    <row r="11443" spans="1:4">
      <c r="A11443" s="13"/>
      <c r="B11443" s="13"/>
      <c r="C11443" s="13"/>
      <c r="D11443" s="13"/>
    </row>
    <row r="11444" spans="1:4">
      <c r="A11444" s="13"/>
      <c r="B11444" s="13"/>
      <c r="C11444" s="13"/>
      <c r="D11444" s="13"/>
    </row>
    <row r="11445" spans="1:4">
      <c r="A11445" s="13"/>
      <c r="B11445" s="13"/>
      <c r="C11445" s="13"/>
      <c r="D11445" s="13"/>
    </row>
    <row r="11446" spans="1:4">
      <c r="A11446" s="13"/>
      <c r="B11446" s="13"/>
      <c r="C11446" s="13"/>
      <c r="D11446" s="13"/>
    </row>
    <row r="11447" spans="1:4">
      <c r="A11447" s="13"/>
      <c r="B11447" s="13"/>
      <c r="C11447" s="13"/>
      <c r="D11447" s="13"/>
    </row>
    <row r="11448" spans="1:4">
      <c r="A11448" s="13"/>
      <c r="B11448" s="13"/>
      <c r="C11448" s="13"/>
      <c r="D11448" s="13"/>
    </row>
    <row r="11449" spans="1:4">
      <c r="A11449" s="13"/>
      <c r="B11449" s="13"/>
      <c r="C11449" s="13"/>
      <c r="D11449" s="13"/>
    </row>
    <row r="11450" spans="1:4">
      <c r="A11450" s="13"/>
      <c r="B11450" s="13"/>
      <c r="C11450" s="13"/>
      <c r="D11450" s="13"/>
    </row>
    <row r="11451" spans="1:4">
      <c r="A11451" s="13"/>
      <c r="B11451" s="13"/>
      <c r="C11451" s="13"/>
      <c r="D11451" s="13"/>
    </row>
    <row r="11452" spans="1:4">
      <c r="A11452" s="13"/>
      <c r="B11452" s="13"/>
      <c r="C11452" s="13"/>
      <c r="D11452" s="13"/>
    </row>
    <row r="11453" spans="1:4">
      <c r="A11453" s="13"/>
      <c r="B11453" s="13"/>
      <c r="C11453" s="13"/>
      <c r="D11453" s="13"/>
    </row>
    <row r="11454" spans="1:4">
      <c r="A11454" s="13"/>
      <c r="B11454" s="13"/>
      <c r="C11454" s="13"/>
      <c r="D11454" s="13"/>
    </row>
    <row r="11455" spans="1:4">
      <c r="A11455" s="13"/>
      <c r="B11455" s="13"/>
      <c r="C11455" s="13"/>
      <c r="D11455" s="13"/>
    </row>
    <row r="11456" spans="1:4">
      <c r="A11456" s="13"/>
      <c r="B11456" s="13"/>
      <c r="C11456" s="13"/>
      <c r="D11456" s="13"/>
    </row>
    <row r="11457" spans="1:4">
      <c r="A11457" s="13"/>
      <c r="B11457" s="13"/>
      <c r="C11457" s="13"/>
      <c r="D11457" s="13"/>
    </row>
    <row r="11458" spans="1:4">
      <c r="A11458" s="13"/>
      <c r="B11458" s="13"/>
      <c r="C11458" s="13"/>
      <c r="D11458" s="13"/>
    </row>
    <row r="11459" spans="1:4">
      <c r="A11459" s="13"/>
      <c r="B11459" s="13"/>
      <c r="C11459" s="13"/>
      <c r="D11459" s="13"/>
    </row>
    <row r="11460" spans="1:4">
      <c r="A11460" s="13"/>
      <c r="B11460" s="13"/>
      <c r="C11460" s="13"/>
      <c r="D11460" s="13"/>
    </row>
    <row r="11461" spans="1:4">
      <c r="A11461" s="13"/>
      <c r="B11461" s="13"/>
      <c r="C11461" s="13"/>
      <c r="D11461" s="13"/>
    </row>
    <row r="11462" spans="1:4">
      <c r="A11462" s="13"/>
      <c r="B11462" s="13"/>
      <c r="C11462" s="13"/>
      <c r="D11462" s="13"/>
    </row>
    <row r="11463" spans="1:4">
      <c r="A11463" s="13"/>
      <c r="B11463" s="13"/>
      <c r="C11463" s="13"/>
      <c r="D11463" s="13"/>
    </row>
    <row r="11464" spans="1:4">
      <c r="A11464" s="13"/>
      <c r="B11464" s="13"/>
      <c r="C11464" s="13"/>
      <c r="D11464" s="13"/>
    </row>
    <row r="11465" spans="1:4">
      <c r="A11465" s="13"/>
      <c r="B11465" s="13"/>
      <c r="C11465" s="13"/>
      <c r="D11465" s="13"/>
    </row>
    <row r="11466" spans="1:4">
      <c r="A11466" s="13"/>
      <c r="B11466" s="13"/>
      <c r="C11466" s="13"/>
      <c r="D11466" s="13"/>
    </row>
    <row r="11467" spans="1:4">
      <c r="A11467" s="13"/>
      <c r="B11467" s="13"/>
      <c r="C11467" s="13"/>
      <c r="D11467" s="13"/>
    </row>
    <row r="11468" spans="1:4">
      <c r="A11468" s="13"/>
      <c r="B11468" s="13"/>
      <c r="C11468" s="13"/>
      <c r="D11468" s="13"/>
    </row>
    <row r="11469" spans="1:4">
      <c r="A11469" s="13"/>
      <c r="B11469" s="13"/>
      <c r="C11469" s="13"/>
      <c r="D11469" s="13"/>
    </row>
    <row r="11470" spans="1:4">
      <c r="A11470" s="13"/>
      <c r="B11470" s="13"/>
      <c r="C11470" s="13"/>
      <c r="D11470" s="13"/>
    </row>
    <row r="11471" spans="1:4">
      <c r="A11471" s="13"/>
      <c r="B11471" s="13"/>
      <c r="C11471" s="13"/>
      <c r="D11471" s="13"/>
    </row>
    <row r="11472" spans="1:4">
      <c r="A11472" s="13"/>
      <c r="B11472" s="13"/>
      <c r="C11472" s="13"/>
      <c r="D11472" s="13"/>
    </row>
    <row r="11473" spans="1:4">
      <c r="A11473" s="13"/>
      <c r="B11473" s="13"/>
      <c r="C11473" s="13"/>
      <c r="D11473" s="13"/>
    </row>
    <row r="11474" spans="1:4">
      <c r="A11474" s="13"/>
      <c r="B11474" s="13"/>
      <c r="C11474" s="13"/>
      <c r="D11474" s="13"/>
    </row>
    <row r="11475" spans="1:4">
      <c r="A11475" s="13"/>
      <c r="B11475" s="13"/>
      <c r="C11475" s="13"/>
      <c r="D11475" s="13"/>
    </row>
    <row r="11476" spans="1:4">
      <c r="A11476" s="13"/>
      <c r="B11476" s="13"/>
      <c r="C11476" s="13"/>
      <c r="D11476" s="13"/>
    </row>
    <row r="11477" spans="1:4">
      <c r="A11477" s="13"/>
      <c r="B11477" s="13"/>
      <c r="C11477" s="13"/>
      <c r="D11477" s="13"/>
    </row>
    <row r="11478" spans="1:4">
      <c r="A11478" s="13"/>
      <c r="B11478" s="13"/>
      <c r="C11478" s="13"/>
      <c r="D11478" s="13"/>
    </row>
    <row r="11479" spans="1:4">
      <c r="A11479" s="13"/>
      <c r="B11479" s="13"/>
      <c r="C11479" s="13"/>
      <c r="D11479" s="13"/>
    </row>
    <row r="11480" spans="1:4">
      <c r="A11480" s="13"/>
      <c r="B11480" s="13"/>
      <c r="C11480" s="13"/>
      <c r="D11480" s="13"/>
    </row>
    <row r="11481" spans="1:4">
      <c r="A11481" s="13"/>
      <c r="B11481" s="13"/>
      <c r="C11481" s="13"/>
      <c r="D11481" s="13"/>
    </row>
    <row r="11482" spans="1:4">
      <c r="A11482" s="13"/>
      <c r="B11482" s="13"/>
      <c r="C11482" s="13"/>
      <c r="D11482" s="13"/>
    </row>
    <row r="11483" spans="1:4">
      <c r="A11483" s="13"/>
      <c r="B11483" s="13"/>
      <c r="C11483" s="13"/>
      <c r="D11483" s="13"/>
    </row>
    <row r="11484" spans="1:4">
      <c r="A11484" s="13"/>
      <c r="B11484" s="13"/>
      <c r="C11484" s="13"/>
      <c r="D11484" s="13"/>
    </row>
    <row r="11485" spans="1:4">
      <c r="A11485" s="13"/>
      <c r="B11485" s="13"/>
      <c r="C11485" s="13"/>
      <c r="D11485" s="13"/>
    </row>
    <row r="11486" spans="1:4">
      <c r="A11486" s="13"/>
      <c r="B11486" s="13"/>
      <c r="C11486" s="13"/>
      <c r="D11486" s="13"/>
    </row>
    <row r="11487" spans="1:4">
      <c r="A11487" s="13"/>
      <c r="B11487" s="13"/>
      <c r="C11487" s="13"/>
      <c r="D11487" s="13"/>
    </row>
    <row r="11488" spans="1:4">
      <c r="A11488" s="13"/>
      <c r="B11488" s="13"/>
      <c r="C11488" s="13"/>
      <c r="D11488" s="13"/>
    </row>
    <row r="11489" spans="1:4">
      <c r="A11489" s="13"/>
      <c r="B11489" s="13"/>
      <c r="C11489" s="13"/>
      <c r="D11489" s="13"/>
    </row>
    <row r="11490" spans="1:4">
      <c r="A11490" s="13"/>
      <c r="B11490" s="13"/>
      <c r="C11490" s="13"/>
      <c r="D11490" s="13"/>
    </row>
    <row r="11491" spans="1:4">
      <c r="A11491" s="13"/>
      <c r="B11491" s="13"/>
      <c r="C11491" s="13"/>
      <c r="D11491" s="13"/>
    </row>
    <row r="11492" spans="1:4">
      <c r="A11492" s="13"/>
      <c r="B11492" s="13"/>
      <c r="C11492" s="13"/>
      <c r="D11492" s="13"/>
    </row>
    <row r="11493" spans="1:4">
      <c r="A11493" s="13"/>
      <c r="B11493" s="13"/>
      <c r="C11493" s="13"/>
      <c r="D11493" s="13"/>
    </row>
    <row r="11494" spans="1:4">
      <c r="A11494" s="13"/>
      <c r="B11494" s="13"/>
      <c r="C11494" s="13"/>
      <c r="D11494" s="13"/>
    </row>
    <row r="11495" spans="1:4">
      <c r="A11495" s="13"/>
      <c r="B11495" s="13"/>
      <c r="C11495" s="13"/>
      <c r="D11495" s="13"/>
    </row>
    <row r="11496" spans="1:4">
      <c r="A11496" s="13"/>
      <c r="B11496" s="13"/>
      <c r="C11496" s="13"/>
      <c r="D11496" s="13"/>
    </row>
    <row r="11497" spans="1:4">
      <c r="A11497" s="13"/>
      <c r="B11497" s="13"/>
      <c r="C11497" s="13"/>
      <c r="D11497" s="13"/>
    </row>
    <row r="11498" spans="1:4">
      <c r="A11498" s="13"/>
      <c r="B11498" s="13"/>
      <c r="C11498" s="13"/>
      <c r="D11498" s="13"/>
    </row>
    <row r="11499" spans="1:4">
      <c r="A11499" s="13"/>
      <c r="B11499" s="13"/>
      <c r="C11499" s="13"/>
      <c r="D11499" s="13"/>
    </row>
    <row r="11500" spans="1:4">
      <c r="A11500" s="13"/>
      <c r="B11500" s="13"/>
      <c r="C11500" s="13"/>
      <c r="D11500" s="13"/>
    </row>
    <row r="11501" spans="1:4">
      <c r="A11501" s="13"/>
      <c r="B11501" s="13"/>
      <c r="C11501" s="13"/>
      <c r="D11501" s="13"/>
    </row>
    <row r="11502" spans="1:4">
      <c r="A11502" s="13"/>
      <c r="B11502" s="13"/>
      <c r="C11502" s="13"/>
      <c r="D11502" s="13"/>
    </row>
    <row r="11503" spans="1:4">
      <c r="A11503" s="13"/>
      <c r="B11503" s="13"/>
      <c r="C11503" s="13"/>
      <c r="D11503" s="13"/>
    </row>
    <row r="11504" spans="1:4">
      <c r="A11504" s="13"/>
      <c r="B11504" s="13"/>
      <c r="C11504" s="13"/>
      <c r="D11504" s="13"/>
    </row>
    <row r="11505" spans="1:4">
      <c r="A11505" s="13"/>
      <c r="B11505" s="13"/>
      <c r="C11505" s="13"/>
      <c r="D11505" s="13"/>
    </row>
    <row r="11506" spans="1:4">
      <c r="A11506" s="13"/>
      <c r="B11506" s="13"/>
      <c r="C11506" s="13"/>
      <c r="D11506" s="13"/>
    </row>
    <row r="11507" spans="1:4">
      <c r="A11507" s="13"/>
      <c r="B11507" s="13"/>
      <c r="C11507" s="13"/>
      <c r="D11507" s="13"/>
    </row>
    <row r="11508" spans="1:4">
      <c r="A11508" s="13"/>
      <c r="B11508" s="13"/>
      <c r="C11508" s="13"/>
      <c r="D11508" s="13"/>
    </row>
    <row r="11509" spans="1:4">
      <c r="A11509" s="13"/>
      <c r="B11509" s="13"/>
      <c r="C11509" s="13"/>
      <c r="D11509" s="13"/>
    </row>
    <row r="11510" spans="1:4">
      <c r="A11510" s="13"/>
      <c r="B11510" s="13"/>
      <c r="C11510" s="13"/>
      <c r="D11510" s="13"/>
    </row>
    <row r="11511" spans="1:4">
      <c r="A11511" s="13"/>
      <c r="B11511" s="13"/>
      <c r="C11511" s="13"/>
      <c r="D11511" s="13"/>
    </row>
    <row r="11512" spans="1:4">
      <c r="A11512" s="13"/>
      <c r="B11512" s="13"/>
      <c r="C11512" s="13"/>
      <c r="D11512" s="13"/>
    </row>
    <row r="11513" spans="1:4">
      <c r="A11513" s="13"/>
      <c r="B11513" s="13"/>
      <c r="C11513" s="13"/>
      <c r="D11513" s="13"/>
    </row>
    <row r="11514" spans="1:4">
      <c r="A11514" s="13"/>
      <c r="B11514" s="13"/>
      <c r="C11514" s="13"/>
      <c r="D11514" s="13"/>
    </row>
    <row r="11515" spans="1:4">
      <c r="A11515" s="13"/>
      <c r="B11515" s="13"/>
      <c r="C11515" s="13"/>
      <c r="D11515" s="13"/>
    </row>
    <row r="11516" spans="1:4">
      <c r="A11516" s="13"/>
      <c r="B11516" s="13"/>
      <c r="C11516" s="13"/>
      <c r="D11516" s="13"/>
    </row>
    <row r="11517" spans="1:4">
      <c r="A11517" s="13"/>
      <c r="B11517" s="13"/>
      <c r="C11517" s="13"/>
      <c r="D11517" s="13"/>
    </row>
    <row r="11518" spans="1:4">
      <c r="A11518" s="13"/>
      <c r="B11518" s="13"/>
      <c r="C11518" s="13"/>
      <c r="D11518" s="13"/>
    </row>
    <row r="11519" spans="1:4">
      <c r="A11519" s="13"/>
      <c r="B11519" s="13"/>
      <c r="C11519" s="13"/>
      <c r="D11519" s="13"/>
    </row>
    <row r="11520" spans="1:4">
      <c r="A11520" s="13"/>
      <c r="B11520" s="13"/>
      <c r="C11520" s="13"/>
      <c r="D11520" s="13"/>
    </row>
    <row r="11521" spans="1:4">
      <c r="A11521" s="13"/>
      <c r="B11521" s="13"/>
      <c r="C11521" s="13"/>
      <c r="D11521" s="13"/>
    </row>
    <row r="11522" spans="1:4">
      <c r="A11522" s="13"/>
      <c r="B11522" s="13"/>
      <c r="C11522" s="13"/>
      <c r="D11522" s="13"/>
    </row>
    <row r="11523" spans="1:4">
      <c r="A11523" s="13"/>
      <c r="B11523" s="13"/>
      <c r="C11523" s="13"/>
      <c r="D11523" s="13"/>
    </row>
    <row r="11524" spans="1:4">
      <c r="A11524" s="13"/>
      <c r="B11524" s="13"/>
      <c r="C11524" s="13"/>
      <c r="D11524" s="13"/>
    </row>
    <row r="11525" spans="1:4">
      <c r="A11525" s="13"/>
      <c r="B11525" s="13"/>
      <c r="C11525" s="13"/>
      <c r="D11525" s="13"/>
    </row>
    <row r="11526" spans="1:4">
      <c r="A11526" s="13"/>
      <c r="B11526" s="13"/>
      <c r="C11526" s="13"/>
      <c r="D11526" s="13"/>
    </row>
    <row r="11527" spans="1:4">
      <c r="A11527" s="13"/>
      <c r="B11527" s="13"/>
      <c r="C11527" s="13"/>
      <c r="D11527" s="13"/>
    </row>
    <row r="11528" spans="1:4">
      <c r="A11528" s="13"/>
      <c r="B11528" s="13"/>
      <c r="C11528" s="13"/>
      <c r="D11528" s="13"/>
    </row>
    <row r="11529" spans="1:4">
      <c r="A11529" s="13"/>
      <c r="B11529" s="13"/>
      <c r="C11529" s="13"/>
      <c r="D11529" s="13"/>
    </row>
    <row r="11530" spans="1:4">
      <c r="A11530" s="13"/>
      <c r="B11530" s="13"/>
      <c r="C11530" s="13"/>
      <c r="D11530" s="13"/>
    </row>
    <row r="11531" spans="1:4">
      <c r="A11531" s="13"/>
      <c r="B11531" s="13"/>
      <c r="C11531" s="13"/>
      <c r="D11531" s="13"/>
    </row>
    <row r="11532" spans="1:4">
      <c r="A11532" s="13"/>
      <c r="B11532" s="13"/>
      <c r="C11532" s="13"/>
      <c r="D11532" s="13"/>
    </row>
    <row r="11533" spans="1:4">
      <c r="A11533" s="13"/>
      <c r="B11533" s="13"/>
      <c r="C11533" s="13"/>
      <c r="D11533" s="13"/>
    </row>
    <row r="11534" spans="1:4">
      <c r="A11534" s="13"/>
      <c r="B11534" s="13"/>
      <c r="C11534" s="13"/>
      <c r="D11534" s="13"/>
    </row>
    <row r="11535" spans="1:4">
      <c r="A11535" s="13"/>
      <c r="B11535" s="13"/>
      <c r="C11535" s="13"/>
      <c r="D11535" s="13"/>
    </row>
    <row r="11536" spans="1:4">
      <c r="A11536" s="13"/>
      <c r="B11536" s="13"/>
      <c r="C11536" s="13"/>
      <c r="D11536" s="13"/>
    </row>
    <row r="11537" spans="1:4">
      <c r="A11537" s="13"/>
      <c r="B11537" s="13"/>
      <c r="C11537" s="13"/>
      <c r="D11537" s="13"/>
    </row>
    <row r="11538" spans="1:4">
      <c r="A11538" s="13"/>
      <c r="B11538" s="13"/>
      <c r="C11538" s="13"/>
      <c r="D11538" s="13"/>
    </row>
    <row r="11539" spans="1:4">
      <c r="A11539" s="13"/>
      <c r="B11539" s="13"/>
      <c r="C11539" s="13"/>
      <c r="D11539" s="13"/>
    </row>
    <row r="11540" spans="1:4">
      <c r="A11540" s="13"/>
      <c r="B11540" s="13"/>
      <c r="C11540" s="13"/>
      <c r="D11540" s="13"/>
    </row>
    <row r="11541" spans="1:4">
      <c r="A11541" s="13"/>
      <c r="B11541" s="13"/>
      <c r="C11541" s="13"/>
      <c r="D11541" s="13"/>
    </row>
    <row r="11542" spans="1:4">
      <c r="A11542" s="13"/>
      <c r="B11542" s="13"/>
      <c r="C11542" s="13"/>
      <c r="D11542" s="13"/>
    </row>
    <row r="11543" spans="1:4">
      <c r="A11543" s="13"/>
      <c r="B11543" s="13"/>
      <c r="C11543" s="13"/>
      <c r="D11543" s="13"/>
    </row>
    <row r="11544" spans="1:4">
      <c r="A11544" s="13"/>
      <c r="B11544" s="13"/>
      <c r="C11544" s="13"/>
      <c r="D11544" s="13"/>
    </row>
    <row r="11545" spans="1:4">
      <c r="A11545" s="13"/>
      <c r="B11545" s="13"/>
      <c r="C11545" s="13"/>
      <c r="D11545" s="13"/>
    </row>
    <row r="11546" spans="1:4">
      <c r="A11546" s="13"/>
      <c r="B11546" s="13"/>
      <c r="C11546" s="13"/>
      <c r="D11546" s="13"/>
    </row>
    <row r="11547" spans="1:4">
      <c r="A11547" s="13"/>
      <c r="B11547" s="13"/>
      <c r="C11547" s="13"/>
      <c r="D11547" s="13"/>
    </row>
    <row r="11548" spans="1:4">
      <c r="A11548" s="13"/>
      <c r="B11548" s="13"/>
      <c r="C11548" s="13"/>
      <c r="D11548" s="13"/>
    </row>
    <row r="11549" spans="1:4">
      <c r="A11549" s="13"/>
      <c r="B11549" s="13"/>
      <c r="C11549" s="13"/>
      <c r="D11549" s="13"/>
    </row>
    <row r="11550" spans="1:4">
      <c r="A11550" s="13"/>
      <c r="B11550" s="13"/>
      <c r="C11550" s="13"/>
      <c r="D11550" s="13"/>
    </row>
    <row r="11551" spans="1:4">
      <c r="A11551" s="13"/>
      <c r="B11551" s="13"/>
      <c r="C11551" s="13"/>
      <c r="D11551" s="13"/>
    </row>
    <row r="11552" spans="1:4">
      <c r="A11552" s="13"/>
      <c r="B11552" s="13"/>
      <c r="C11552" s="13"/>
      <c r="D11552" s="13"/>
    </row>
    <row r="11553" spans="1:4">
      <c r="A11553" s="13"/>
      <c r="B11553" s="13"/>
      <c r="C11553" s="13"/>
      <c r="D11553" s="13"/>
    </row>
    <row r="11554" spans="1:4">
      <c r="A11554" s="13"/>
      <c r="B11554" s="13"/>
      <c r="C11554" s="13"/>
      <c r="D11554" s="13"/>
    </row>
    <row r="11555" spans="1:4">
      <c r="A11555" s="13"/>
      <c r="B11555" s="13"/>
      <c r="C11555" s="13"/>
      <c r="D11555" s="13"/>
    </row>
    <row r="11556" spans="1:4">
      <c r="A11556" s="13"/>
      <c r="B11556" s="13"/>
      <c r="C11556" s="13"/>
      <c r="D11556" s="13"/>
    </row>
    <row r="11557" spans="1:4">
      <c r="A11557" s="13"/>
      <c r="B11557" s="13"/>
      <c r="C11557" s="13"/>
      <c r="D11557" s="13"/>
    </row>
    <row r="11558" spans="1:4">
      <c r="A11558" s="13"/>
      <c r="B11558" s="13"/>
      <c r="C11558" s="13"/>
      <c r="D11558" s="13"/>
    </row>
    <row r="11559" spans="1:4">
      <c r="A11559" s="13"/>
      <c r="B11559" s="13"/>
      <c r="C11559" s="13"/>
      <c r="D11559" s="13"/>
    </row>
    <row r="11560" spans="1:4">
      <c r="A11560" s="13"/>
      <c r="B11560" s="13"/>
      <c r="C11560" s="13"/>
      <c r="D11560" s="13"/>
    </row>
    <row r="11561" spans="1:4">
      <c r="A11561" s="13"/>
      <c r="B11561" s="13"/>
      <c r="C11561" s="13"/>
      <c r="D11561" s="13"/>
    </row>
    <row r="11562" spans="1:4">
      <c r="A11562" s="13"/>
      <c r="B11562" s="13"/>
      <c r="C11562" s="13"/>
      <c r="D11562" s="13"/>
    </row>
    <row r="11563" spans="1:4">
      <c r="A11563" s="13"/>
      <c r="B11563" s="13"/>
      <c r="C11563" s="13"/>
      <c r="D11563" s="13"/>
    </row>
    <row r="11564" spans="1:4">
      <c r="A11564" s="13"/>
      <c r="B11564" s="13"/>
      <c r="C11564" s="13"/>
      <c r="D11564" s="13"/>
    </row>
    <row r="11565" spans="1:4">
      <c r="A11565" s="13"/>
      <c r="B11565" s="13"/>
      <c r="C11565" s="13"/>
      <c r="D11565" s="13"/>
    </row>
    <row r="11566" spans="1:4">
      <c r="A11566" s="13"/>
      <c r="B11566" s="13"/>
      <c r="C11566" s="13"/>
      <c r="D11566" s="13"/>
    </row>
    <row r="11567" spans="1:4">
      <c r="A11567" s="13"/>
      <c r="B11567" s="13"/>
      <c r="C11567" s="13"/>
      <c r="D11567" s="13"/>
    </row>
    <row r="11568" spans="1:4">
      <c r="A11568" s="13"/>
      <c r="B11568" s="13"/>
      <c r="C11568" s="13"/>
      <c r="D11568" s="13"/>
    </row>
    <row r="11569" spans="1:4">
      <c r="A11569" s="13"/>
      <c r="B11569" s="13"/>
      <c r="C11569" s="13"/>
      <c r="D11569" s="13"/>
    </row>
    <row r="11570" spans="1:4">
      <c r="A11570" s="13"/>
      <c r="B11570" s="13"/>
      <c r="C11570" s="13"/>
      <c r="D11570" s="13"/>
    </row>
    <row r="11571" spans="1:4">
      <c r="A11571" s="13"/>
      <c r="B11571" s="13"/>
      <c r="C11571" s="13"/>
      <c r="D11571" s="13"/>
    </row>
    <row r="11572" spans="1:4">
      <c r="A11572" s="13"/>
      <c r="B11572" s="13"/>
      <c r="C11572" s="13"/>
      <c r="D11572" s="13"/>
    </row>
    <row r="11573" spans="1:4">
      <c r="A11573" s="13"/>
      <c r="B11573" s="13"/>
      <c r="C11573" s="13"/>
      <c r="D11573" s="13"/>
    </row>
    <row r="11574" spans="1:4">
      <c r="A11574" s="13"/>
      <c r="B11574" s="13"/>
      <c r="C11574" s="13"/>
      <c r="D11574" s="13"/>
    </row>
    <row r="11575" spans="1:4">
      <c r="A11575" s="13"/>
      <c r="B11575" s="13"/>
      <c r="C11575" s="13"/>
      <c r="D11575" s="13"/>
    </row>
    <row r="11576" spans="1:4">
      <c r="A11576" s="13"/>
      <c r="B11576" s="13"/>
      <c r="C11576" s="13"/>
      <c r="D11576" s="13"/>
    </row>
    <row r="11577" spans="1:4">
      <c r="A11577" s="13"/>
      <c r="B11577" s="13"/>
      <c r="C11577" s="13"/>
      <c r="D11577" s="13"/>
    </row>
    <row r="11578" spans="1:4">
      <c r="A11578" s="13"/>
      <c r="B11578" s="13"/>
      <c r="C11578" s="13"/>
      <c r="D11578" s="13"/>
    </row>
    <row r="11579" spans="1:4">
      <c r="A11579" s="13"/>
      <c r="B11579" s="13"/>
      <c r="C11579" s="13"/>
      <c r="D11579" s="13"/>
    </row>
    <row r="11580" spans="1:4">
      <c r="A11580" s="13"/>
      <c r="B11580" s="13"/>
      <c r="C11580" s="13"/>
      <c r="D11580" s="13"/>
    </row>
    <row r="11581" spans="1:4">
      <c r="A11581" s="13"/>
      <c r="B11581" s="13"/>
      <c r="C11581" s="13"/>
      <c r="D11581" s="13"/>
    </row>
    <row r="11582" spans="1:4">
      <c r="A11582" s="13"/>
      <c r="B11582" s="13"/>
      <c r="C11582" s="13"/>
      <c r="D11582" s="13"/>
    </row>
    <row r="11583" spans="1:4">
      <c r="A11583" s="13"/>
      <c r="B11583" s="13"/>
      <c r="C11583" s="13"/>
      <c r="D11583" s="13"/>
    </row>
    <row r="11584" spans="1:4">
      <c r="A11584" s="13"/>
      <c r="B11584" s="13"/>
      <c r="C11584" s="13"/>
      <c r="D11584" s="13"/>
    </row>
    <row r="11585" spans="1:4">
      <c r="A11585" s="13"/>
      <c r="B11585" s="13"/>
      <c r="C11585" s="13"/>
      <c r="D11585" s="13"/>
    </row>
    <row r="11586" spans="1:4">
      <c r="A11586" s="13"/>
      <c r="B11586" s="13"/>
      <c r="C11586" s="13"/>
      <c r="D11586" s="13"/>
    </row>
    <row r="11587" spans="1:4">
      <c r="A11587" s="13"/>
      <c r="B11587" s="13"/>
      <c r="C11587" s="13"/>
      <c r="D11587" s="13"/>
    </row>
    <row r="11588" spans="1:4">
      <c r="A11588" s="13"/>
      <c r="B11588" s="13"/>
      <c r="C11588" s="13"/>
      <c r="D11588" s="13"/>
    </row>
    <row r="11589" spans="1:4">
      <c r="A11589" s="13"/>
      <c r="B11589" s="13"/>
      <c r="C11589" s="13"/>
      <c r="D11589" s="13"/>
    </row>
    <row r="11590" spans="1:4">
      <c r="A11590" s="13"/>
      <c r="B11590" s="13"/>
      <c r="C11590" s="13"/>
      <c r="D11590" s="13"/>
    </row>
    <row r="11591" spans="1:4">
      <c r="A11591" s="13"/>
      <c r="B11591" s="13"/>
      <c r="C11591" s="13"/>
      <c r="D11591" s="13"/>
    </row>
    <row r="11592" spans="1:4">
      <c r="A11592" s="13"/>
      <c r="B11592" s="13"/>
      <c r="C11592" s="13"/>
      <c r="D11592" s="13"/>
    </row>
    <row r="11593" spans="1:4">
      <c r="A11593" s="13"/>
      <c r="B11593" s="13"/>
      <c r="C11593" s="13"/>
      <c r="D11593" s="13"/>
    </row>
    <row r="11594" spans="1:4">
      <c r="A11594" s="13"/>
      <c r="B11594" s="13"/>
      <c r="C11594" s="13"/>
      <c r="D11594" s="13"/>
    </row>
    <row r="11595" spans="1:4">
      <c r="A11595" s="13"/>
      <c r="B11595" s="13"/>
      <c r="C11595" s="13"/>
      <c r="D11595" s="13"/>
    </row>
    <row r="11596" spans="1:4">
      <c r="A11596" s="13"/>
      <c r="B11596" s="13"/>
      <c r="C11596" s="13"/>
      <c r="D11596" s="13"/>
    </row>
    <row r="11597" spans="1:4">
      <c r="A11597" s="13"/>
      <c r="B11597" s="13"/>
      <c r="C11597" s="13"/>
      <c r="D11597" s="13"/>
    </row>
    <row r="11598" spans="1:4">
      <c r="A11598" s="13"/>
      <c r="B11598" s="13"/>
      <c r="C11598" s="13"/>
      <c r="D11598" s="13"/>
    </row>
    <row r="11599" spans="1:4">
      <c r="A11599" s="13"/>
      <c r="B11599" s="13"/>
      <c r="C11599" s="13"/>
      <c r="D11599" s="13"/>
    </row>
    <row r="11600" spans="1:4">
      <c r="A11600" s="13"/>
      <c r="B11600" s="13"/>
      <c r="C11600" s="13"/>
      <c r="D11600" s="13"/>
    </row>
    <row r="11601" spans="1:4">
      <c r="A11601" s="13"/>
      <c r="B11601" s="13"/>
      <c r="C11601" s="13"/>
      <c r="D11601" s="13"/>
    </row>
    <row r="11602" spans="1:4">
      <c r="A11602" s="13"/>
      <c r="B11602" s="13"/>
      <c r="C11602" s="13"/>
      <c r="D11602" s="13"/>
    </row>
    <row r="11603" spans="1:4">
      <c r="A11603" s="13"/>
      <c r="B11603" s="13"/>
      <c r="C11603" s="13"/>
      <c r="D11603" s="13"/>
    </row>
    <row r="11604" spans="1:4">
      <c r="A11604" s="13"/>
      <c r="B11604" s="13"/>
      <c r="C11604" s="13"/>
      <c r="D11604" s="13"/>
    </row>
    <row r="11605" spans="1:4">
      <c r="A11605" s="13"/>
      <c r="B11605" s="13"/>
      <c r="C11605" s="13"/>
      <c r="D11605" s="13"/>
    </row>
    <row r="11606" spans="1:4">
      <c r="A11606" s="13"/>
      <c r="B11606" s="13"/>
      <c r="C11606" s="13"/>
      <c r="D11606" s="13"/>
    </row>
    <row r="11607" spans="1:4">
      <c r="A11607" s="13"/>
      <c r="B11607" s="13"/>
      <c r="C11607" s="13"/>
      <c r="D11607" s="13"/>
    </row>
    <row r="11608" spans="1:4">
      <c r="A11608" s="13"/>
      <c r="B11608" s="13"/>
      <c r="C11608" s="13"/>
      <c r="D11608" s="13"/>
    </row>
    <row r="11609" spans="1:4">
      <c r="A11609" s="13"/>
      <c r="B11609" s="13"/>
      <c r="C11609" s="13"/>
      <c r="D11609" s="13"/>
    </row>
    <row r="11610" spans="1:4">
      <c r="A11610" s="13"/>
      <c r="B11610" s="13"/>
      <c r="C11610" s="13"/>
      <c r="D11610" s="13"/>
    </row>
    <row r="11611" spans="1:4">
      <c r="A11611" s="13"/>
      <c r="B11611" s="13"/>
      <c r="C11611" s="13"/>
      <c r="D11611" s="13"/>
    </row>
    <row r="11612" spans="1:4">
      <c r="A11612" s="13"/>
      <c r="B11612" s="13"/>
      <c r="C11612" s="13"/>
      <c r="D11612" s="13"/>
    </row>
    <row r="11613" spans="1:4">
      <c r="A11613" s="13"/>
      <c r="B11613" s="13"/>
      <c r="C11613" s="13"/>
      <c r="D11613" s="13"/>
    </row>
    <row r="11614" spans="1:4">
      <c r="A11614" s="13"/>
      <c r="B11614" s="13"/>
      <c r="C11614" s="13"/>
      <c r="D11614" s="13"/>
    </row>
    <row r="11615" spans="1:4">
      <c r="A11615" s="13"/>
      <c r="B11615" s="13"/>
      <c r="C11615" s="13"/>
      <c r="D11615" s="13"/>
    </row>
    <row r="11616" spans="1:4">
      <c r="A11616" s="13"/>
      <c r="B11616" s="13"/>
      <c r="C11616" s="13"/>
      <c r="D11616" s="13"/>
    </row>
    <row r="11617" spans="1:4">
      <c r="A11617" s="13"/>
      <c r="B11617" s="13"/>
      <c r="C11617" s="13"/>
      <c r="D11617" s="13"/>
    </row>
    <row r="11618" spans="1:4">
      <c r="A11618" s="13"/>
      <c r="B11618" s="13"/>
      <c r="C11618" s="13"/>
      <c r="D11618" s="13"/>
    </row>
    <row r="11619" spans="1:4">
      <c r="A11619" s="13"/>
      <c r="B11619" s="13"/>
      <c r="C11619" s="13"/>
      <c r="D11619" s="13"/>
    </row>
    <row r="11620" spans="1:4">
      <c r="A11620" s="13"/>
      <c r="B11620" s="13"/>
      <c r="C11620" s="13"/>
      <c r="D11620" s="13"/>
    </row>
    <row r="11621" spans="1:4">
      <c r="A11621" s="13"/>
      <c r="B11621" s="13"/>
      <c r="C11621" s="13"/>
      <c r="D11621" s="13"/>
    </row>
    <row r="11622" spans="1:4">
      <c r="A11622" s="13"/>
      <c r="B11622" s="13"/>
      <c r="C11622" s="13"/>
      <c r="D11622" s="13"/>
    </row>
    <row r="11623" spans="1:4">
      <c r="A11623" s="13"/>
      <c r="B11623" s="13"/>
      <c r="C11623" s="13"/>
      <c r="D11623" s="13"/>
    </row>
    <row r="11624" spans="1:4">
      <c r="A11624" s="13"/>
      <c r="B11624" s="13"/>
      <c r="C11624" s="13"/>
      <c r="D11624" s="13"/>
    </row>
    <row r="11625" spans="1:4">
      <c r="A11625" s="13"/>
      <c r="B11625" s="13"/>
      <c r="C11625" s="13"/>
      <c r="D11625" s="13"/>
    </row>
    <row r="11626" spans="1:4">
      <c r="A11626" s="13"/>
      <c r="B11626" s="13"/>
      <c r="C11626" s="13"/>
      <c r="D11626" s="13"/>
    </row>
    <row r="11627" spans="1:4">
      <c r="A11627" s="13"/>
      <c r="B11627" s="13"/>
      <c r="C11627" s="13"/>
      <c r="D11627" s="13"/>
    </row>
    <row r="11628" spans="1:4">
      <c r="A11628" s="13"/>
      <c r="B11628" s="13"/>
      <c r="C11628" s="13"/>
      <c r="D11628" s="13"/>
    </row>
    <row r="11629" spans="1:4">
      <c r="A11629" s="13"/>
      <c r="B11629" s="13"/>
      <c r="C11629" s="13"/>
      <c r="D11629" s="13"/>
    </row>
    <row r="11630" spans="1:4">
      <c r="A11630" s="13"/>
      <c r="B11630" s="13"/>
      <c r="C11630" s="13"/>
      <c r="D11630" s="13"/>
    </row>
    <row r="11631" spans="1:4">
      <c r="A11631" s="13"/>
      <c r="B11631" s="13"/>
      <c r="C11631" s="13"/>
      <c r="D11631" s="13"/>
    </row>
    <row r="11632" spans="1:4">
      <c r="A11632" s="13"/>
      <c r="B11632" s="13"/>
      <c r="C11632" s="13"/>
      <c r="D11632" s="25" t="s">
        <v>8</v>
      </c>
    </row>
    <row r="11633" spans="1:4">
      <c r="A11633" s="13"/>
      <c r="B11633" s="13"/>
      <c r="C11633" s="13"/>
      <c r="D11633" s="13"/>
    </row>
    <row r="11634" spans="1:4">
      <c r="A11634" s="13"/>
      <c r="B11634" s="13"/>
      <c r="C11634" s="13"/>
      <c r="D11634" s="13"/>
    </row>
    <row r="11635" spans="1:4">
      <c r="A11635" s="13"/>
      <c r="B11635" s="13"/>
      <c r="C11635" s="13"/>
      <c r="D11635" s="13"/>
    </row>
    <row r="11636" spans="1:4">
      <c r="A11636" s="13"/>
      <c r="B11636" s="13"/>
      <c r="C11636" s="13"/>
      <c r="D11636" s="13"/>
    </row>
    <row r="11637" spans="1:4">
      <c r="A11637" s="13"/>
      <c r="B11637" s="13"/>
      <c r="C11637" s="13"/>
      <c r="D11637" s="13"/>
    </row>
    <row r="11638" spans="1:4">
      <c r="A11638" s="13"/>
      <c r="B11638" s="13"/>
      <c r="C11638" s="13"/>
      <c r="D11638" s="13"/>
    </row>
    <row r="11639" spans="1:4">
      <c r="A11639" s="13"/>
      <c r="B11639" s="13"/>
      <c r="C11639" s="13"/>
      <c r="D11639" s="13"/>
    </row>
    <row r="11640" spans="1:4">
      <c r="A11640" s="13"/>
      <c r="B11640" s="13"/>
      <c r="C11640" s="13"/>
      <c r="D11640" s="13"/>
    </row>
    <row r="11641" spans="1:4">
      <c r="A11641" s="13"/>
      <c r="B11641" s="13"/>
      <c r="C11641" s="13"/>
      <c r="D11641" s="13"/>
    </row>
    <row r="11642" spans="1:4">
      <c r="A11642" s="13"/>
      <c r="B11642" s="13"/>
      <c r="C11642" s="13"/>
      <c r="D11642" s="13"/>
    </row>
    <row r="11643" spans="1:4">
      <c r="A11643" s="13"/>
      <c r="B11643" s="13"/>
      <c r="C11643" s="13"/>
      <c r="D11643" s="13"/>
    </row>
    <row r="11644" spans="1:4">
      <c r="A11644" s="13"/>
      <c r="B11644" s="13"/>
      <c r="C11644" s="13"/>
      <c r="D11644" s="13"/>
    </row>
    <row r="11645" spans="1:4">
      <c r="A11645" s="13"/>
      <c r="B11645" s="13"/>
      <c r="C11645" s="13"/>
      <c r="D11645" s="13"/>
    </row>
    <row r="11646" spans="1:4">
      <c r="A11646" s="13"/>
      <c r="B11646" s="13"/>
      <c r="C11646" s="13"/>
      <c r="D11646" s="13"/>
    </row>
    <row r="11647" spans="1:4">
      <c r="A11647" s="13"/>
      <c r="B11647" s="13"/>
      <c r="C11647" s="13"/>
      <c r="D11647" s="13"/>
    </row>
    <row r="11648" spans="1:4">
      <c r="A11648" s="13"/>
      <c r="B11648" s="13"/>
      <c r="C11648" s="13"/>
      <c r="D11648" s="13"/>
    </row>
    <row r="11649" spans="1:4">
      <c r="A11649" s="13"/>
      <c r="B11649" s="13"/>
      <c r="C11649" s="13"/>
      <c r="D11649" s="13"/>
    </row>
    <row r="11650" spans="1:4">
      <c r="A11650" s="13"/>
      <c r="B11650" s="13"/>
      <c r="C11650" s="13"/>
      <c r="D11650" s="13"/>
    </row>
    <row r="11651" spans="1:4">
      <c r="A11651" s="13"/>
      <c r="B11651" s="13"/>
      <c r="C11651" s="13"/>
      <c r="D11651" s="13"/>
    </row>
    <row r="11652" spans="1:4">
      <c r="A11652" s="13"/>
      <c r="B11652" s="13"/>
      <c r="C11652" s="13"/>
      <c r="D11652" s="13"/>
    </row>
    <row r="11653" spans="1:4">
      <c r="A11653" s="13"/>
      <c r="B11653" s="13"/>
      <c r="C11653" s="13"/>
      <c r="D11653" s="13"/>
    </row>
    <row r="11654" spans="1:4">
      <c r="A11654" s="13"/>
      <c r="B11654" s="13"/>
      <c r="C11654" s="13"/>
      <c r="D11654" s="13"/>
    </row>
    <row r="11655" spans="1:4">
      <c r="A11655" s="13"/>
      <c r="B11655" s="13"/>
      <c r="C11655" s="13"/>
      <c r="D11655" s="13"/>
    </row>
    <row r="11656" spans="1:4">
      <c r="A11656" s="13"/>
      <c r="B11656" s="13"/>
      <c r="C11656" s="13"/>
      <c r="D11656" s="13"/>
    </row>
    <row r="11657" spans="1:4">
      <c r="A11657" s="13"/>
      <c r="B11657" s="13"/>
      <c r="C11657" s="13"/>
      <c r="D11657" s="13"/>
    </row>
    <row r="11658" spans="1:4">
      <c r="A11658" s="13"/>
      <c r="B11658" s="13"/>
      <c r="C11658" s="13"/>
      <c r="D11658" s="13"/>
    </row>
    <row r="11659" spans="1:4">
      <c r="A11659" s="13"/>
      <c r="B11659" s="13"/>
      <c r="C11659" s="13"/>
      <c r="D11659" s="13"/>
    </row>
    <row r="11660" spans="1:4">
      <c r="A11660" s="13"/>
      <c r="B11660" s="13"/>
      <c r="C11660" s="13"/>
      <c r="D11660" s="13"/>
    </row>
    <row r="11661" spans="1:4">
      <c r="A11661" s="13"/>
      <c r="B11661" s="13"/>
      <c r="C11661" s="13"/>
      <c r="D11661" s="13"/>
    </row>
    <row r="11662" spans="1:4">
      <c r="A11662" s="13"/>
      <c r="B11662" s="13"/>
      <c r="C11662" s="13"/>
      <c r="D11662" s="13"/>
    </row>
    <row r="11663" spans="1:4">
      <c r="A11663" s="13"/>
      <c r="B11663" s="13"/>
      <c r="C11663" s="13"/>
      <c r="D11663" s="13"/>
    </row>
    <row r="11664" spans="1:4">
      <c r="A11664" s="13"/>
      <c r="B11664" s="13"/>
      <c r="C11664" s="13"/>
      <c r="D11664" s="13"/>
    </row>
    <row r="11665" spans="1:4">
      <c r="A11665" s="13"/>
      <c r="B11665" s="13"/>
      <c r="C11665" s="13"/>
      <c r="D11665" s="13"/>
    </row>
    <row r="11666" spans="1:4">
      <c r="A11666" s="13"/>
      <c r="B11666" s="13"/>
      <c r="C11666" s="13"/>
      <c r="D11666" s="13"/>
    </row>
    <row r="11667" spans="1:4">
      <c r="A11667" s="13"/>
      <c r="B11667" s="13"/>
      <c r="C11667" s="13"/>
      <c r="D11667" s="13"/>
    </row>
    <row r="11668" spans="1:4">
      <c r="A11668" s="13"/>
      <c r="B11668" s="13"/>
      <c r="C11668" s="13"/>
      <c r="D11668" s="13"/>
    </row>
    <row r="11669" spans="1:4">
      <c r="A11669" s="13"/>
      <c r="B11669" s="13"/>
      <c r="C11669" s="13"/>
      <c r="D11669" s="13"/>
    </row>
    <row r="11670" spans="1:4">
      <c r="A11670" s="13"/>
      <c r="B11670" s="13"/>
      <c r="C11670" s="13"/>
      <c r="D11670" s="13"/>
    </row>
    <row r="11671" spans="1:4">
      <c r="A11671" s="13"/>
      <c r="B11671" s="13"/>
      <c r="C11671" s="13"/>
      <c r="D11671" s="13"/>
    </row>
    <row r="11672" spans="1:4">
      <c r="A11672" s="13"/>
      <c r="B11672" s="13"/>
      <c r="C11672" s="13"/>
      <c r="D11672" s="13"/>
    </row>
    <row r="11673" spans="1:4">
      <c r="A11673" s="13"/>
      <c r="B11673" s="13"/>
      <c r="C11673" s="13"/>
      <c r="D11673" s="13"/>
    </row>
    <row r="11674" spans="1:4">
      <c r="A11674" s="13"/>
      <c r="B11674" s="13"/>
      <c r="C11674" s="13"/>
      <c r="D11674" s="13"/>
    </row>
    <row r="11675" spans="1:4">
      <c r="A11675" s="13"/>
      <c r="B11675" s="13"/>
      <c r="C11675" s="13"/>
      <c r="D11675" s="13"/>
    </row>
    <row r="11676" spans="1:4">
      <c r="A11676" s="13"/>
      <c r="B11676" s="13"/>
      <c r="C11676" s="13"/>
      <c r="D11676" s="13"/>
    </row>
    <row r="11677" spans="1:4">
      <c r="A11677" s="13"/>
      <c r="B11677" s="13"/>
      <c r="C11677" s="13"/>
      <c r="D11677" s="13"/>
    </row>
    <row r="11678" spans="1:4">
      <c r="A11678" s="13"/>
      <c r="B11678" s="13"/>
      <c r="C11678" s="13"/>
      <c r="D11678" s="13"/>
    </row>
    <row r="11679" spans="1:4">
      <c r="A11679" s="13"/>
      <c r="B11679" s="13"/>
      <c r="C11679" s="13"/>
      <c r="D11679" s="13"/>
    </row>
    <row r="11680" spans="1:4">
      <c r="A11680" s="13"/>
      <c r="B11680" s="13"/>
      <c r="C11680" s="13"/>
      <c r="D11680" s="13"/>
    </row>
    <row r="11681" spans="1:4">
      <c r="A11681" s="13"/>
      <c r="B11681" s="13"/>
      <c r="C11681" s="13"/>
      <c r="D11681" s="13"/>
    </row>
    <row r="11682" spans="1:4">
      <c r="A11682" s="13"/>
      <c r="B11682" s="13"/>
      <c r="C11682" s="13"/>
      <c r="D11682" s="13"/>
    </row>
    <row r="11683" spans="1:4">
      <c r="A11683" s="13"/>
      <c r="B11683" s="13"/>
      <c r="C11683" s="13"/>
      <c r="D11683" s="13"/>
    </row>
    <row r="11684" spans="1:4">
      <c r="A11684" s="13"/>
      <c r="B11684" s="13"/>
      <c r="C11684" s="13"/>
      <c r="D11684" s="13"/>
    </row>
    <row r="11685" spans="1:4">
      <c r="A11685" s="13"/>
      <c r="B11685" s="13"/>
      <c r="C11685" s="13"/>
      <c r="D11685" s="13"/>
    </row>
    <row r="11686" spans="1:4">
      <c r="A11686" s="13"/>
      <c r="B11686" s="13"/>
      <c r="C11686" s="13"/>
      <c r="D11686" s="13"/>
    </row>
    <row r="11687" spans="1:4">
      <c r="A11687" s="13"/>
      <c r="B11687" s="13"/>
      <c r="C11687" s="13"/>
      <c r="D11687" s="13"/>
    </row>
    <row r="11688" spans="1:4">
      <c r="A11688" s="13"/>
      <c r="B11688" s="13"/>
      <c r="C11688" s="13"/>
      <c r="D11688" s="13"/>
    </row>
    <row r="11689" spans="1:4">
      <c r="A11689" s="13"/>
      <c r="B11689" s="13"/>
      <c r="C11689" s="13"/>
      <c r="D11689" s="13"/>
    </row>
    <row r="11690" spans="1:4">
      <c r="A11690" s="13"/>
      <c r="B11690" s="13"/>
      <c r="C11690" s="13"/>
      <c r="D11690" s="13"/>
    </row>
    <row r="11691" spans="1:4">
      <c r="A11691" s="13"/>
      <c r="B11691" s="13"/>
      <c r="C11691" s="13"/>
      <c r="D11691" s="13"/>
    </row>
    <row r="11692" spans="1:4">
      <c r="A11692" s="13"/>
      <c r="B11692" s="13"/>
      <c r="C11692" s="13"/>
      <c r="D11692" s="13"/>
    </row>
    <row r="11693" spans="1:4">
      <c r="A11693" s="13"/>
      <c r="B11693" s="13"/>
      <c r="C11693" s="13"/>
      <c r="D11693" s="13"/>
    </row>
    <row r="11694" spans="1:4">
      <c r="A11694" s="13"/>
      <c r="B11694" s="13"/>
      <c r="C11694" s="13"/>
      <c r="D11694" s="13"/>
    </row>
    <row r="11695" spans="1:4">
      <c r="A11695" s="13"/>
      <c r="B11695" s="13"/>
      <c r="C11695" s="13"/>
      <c r="D11695" s="13"/>
    </row>
    <row r="11696" spans="1:4">
      <c r="A11696" s="13"/>
      <c r="B11696" s="13"/>
      <c r="C11696" s="13"/>
      <c r="D11696" s="13"/>
    </row>
    <row r="11697" spans="1:4">
      <c r="A11697" s="13"/>
      <c r="B11697" s="13"/>
      <c r="C11697" s="13"/>
      <c r="D11697" s="13"/>
    </row>
    <row r="11698" spans="1:4">
      <c r="A11698" s="13"/>
      <c r="B11698" s="13"/>
      <c r="C11698" s="13"/>
      <c r="D11698" s="13"/>
    </row>
    <row r="11699" spans="1:4">
      <c r="A11699" s="13"/>
      <c r="B11699" s="13"/>
      <c r="C11699" s="13"/>
      <c r="D11699" s="13"/>
    </row>
    <row r="11700" spans="1:4">
      <c r="A11700" s="13"/>
      <c r="B11700" s="13"/>
      <c r="C11700" s="13"/>
      <c r="D11700" s="13"/>
    </row>
    <row r="11701" spans="1:4">
      <c r="A11701" s="13"/>
      <c r="B11701" s="13"/>
      <c r="C11701" s="13"/>
      <c r="D11701" s="13"/>
    </row>
    <row r="11702" spans="1:4">
      <c r="A11702" s="13"/>
      <c r="B11702" s="13"/>
      <c r="C11702" s="13"/>
      <c r="D11702" s="13"/>
    </row>
    <row r="11703" spans="1:4">
      <c r="A11703" s="13"/>
      <c r="B11703" s="13"/>
      <c r="C11703" s="13"/>
      <c r="D11703" s="13"/>
    </row>
    <row r="11704" spans="1:4">
      <c r="A11704" s="13"/>
      <c r="B11704" s="13"/>
      <c r="C11704" s="13"/>
      <c r="D11704" s="13"/>
    </row>
    <row r="11705" spans="1:4">
      <c r="A11705" s="13"/>
      <c r="B11705" s="13"/>
      <c r="C11705" s="13"/>
      <c r="D11705" s="13"/>
    </row>
    <row r="11706" spans="1:4">
      <c r="A11706" s="13"/>
      <c r="B11706" s="13"/>
      <c r="C11706" s="13"/>
      <c r="D11706" s="13"/>
    </row>
    <row r="11707" spans="1:4">
      <c r="A11707" s="13"/>
      <c r="B11707" s="13"/>
      <c r="C11707" s="13"/>
      <c r="D11707" s="13"/>
    </row>
    <row r="11708" spans="1:4">
      <c r="A11708" s="13"/>
      <c r="B11708" s="13"/>
      <c r="C11708" s="13"/>
      <c r="D11708" s="13"/>
    </row>
    <row r="11709" spans="1:4">
      <c r="A11709" s="13"/>
      <c r="B11709" s="13"/>
      <c r="C11709" s="13"/>
      <c r="D11709" s="13"/>
    </row>
    <row r="11710" spans="1:4">
      <c r="A11710" s="13"/>
      <c r="B11710" s="13"/>
      <c r="C11710" s="13"/>
      <c r="D11710" s="13"/>
    </row>
    <row r="11711" spans="1:4">
      <c r="A11711" s="13"/>
      <c r="B11711" s="13"/>
      <c r="C11711" s="13"/>
      <c r="D11711" s="13"/>
    </row>
    <row r="11712" spans="1:4">
      <c r="A11712" s="13"/>
      <c r="B11712" s="13"/>
      <c r="C11712" s="13"/>
      <c r="D11712" s="13"/>
    </row>
    <row r="11713" spans="1:4">
      <c r="A11713" s="13"/>
      <c r="B11713" s="13"/>
      <c r="C11713" s="13"/>
      <c r="D11713" s="13"/>
    </row>
    <row r="11714" spans="1:4">
      <c r="A11714" s="13"/>
      <c r="B11714" s="13"/>
      <c r="C11714" s="13"/>
      <c r="D11714" s="13"/>
    </row>
    <row r="11715" spans="1:4">
      <c r="A11715" s="13"/>
      <c r="B11715" s="13"/>
      <c r="C11715" s="13"/>
      <c r="D11715" s="13"/>
    </row>
    <row r="11716" spans="1:4">
      <c r="A11716" s="13"/>
      <c r="B11716" s="13"/>
      <c r="C11716" s="13"/>
      <c r="D11716" s="13"/>
    </row>
    <row r="11717" spans="1:4">
      <c r="A11717" s="13"/>
      <c r="B11717" s="13"/>
      <c r="C11717" s="13"/>
      <c r="D11717" s="13"/>
    </row>
    <row r="11718" spans="1:4">
      <c r="A11718" s="13"/>
      <c r="B11718" s="13"/>
      <c r="C11718" s="13"/>
      <c r="D11718" s="13"/>
    </row>
    <row r="11719" spans="1:4">
      <c r="A11719" s="13"/>
      <c r="B11719" s="13"/>
      <c r="C11719" s="13"/>
      <c r="D11719" s="13"/>
    </row>
    <row r="11720" spans="1:4">
      <c r="A11720" s="13"/>
      <c r="B11720" s="13"/>
      <c r="C11720" s="13"/>
      <c r="D11720" s="13"/>
    </row>
    <row r="11721" spans="1:4">
      <c r="A11721" s="13"/>
      <c r="B11721" s="13"/>
      <c r="C11721" s="13"/>
      <c r="D11721" s="13"/>
    </row>
    <row r="11722" spans="1:4">
      <c r="A11722" s="13"/>
      <c r="B11722" s="13"/>
      <c r="C11722" s="13"/>
      <c r="D11722" s="13"/>
    </row>
    <row r="11723" spans="1:4">
      <c r="A11723" s="13"/>
      <c r="B11723" s="13"/>
      <c r="C11723" s="13"/>
      <c r="D11723" s="13"/>
    </row>
    <row r="11724" spans="1:4">
      <c r="A11724" s="13"/>
      <c r="B11724" s="13"/>
      <c r="C11724" s="13"/>
      <c r="D11724" s="13"/>
    </row>
    <row r="11725" spans="1:4">
      <c r="A11725" s="13"/>
      <c r="B11725" s="13"/>
      <c r="C11725" s="13"/>
      <c r="D11725" s="13"/>
    </row>
    <row r="11726" spans="1:4">
      <c r="A11726" s="13"/>
      <c r="B11726" s="13"/>
      <c r="C11726" s="13"/>
      <c r="D11726" s="13"/>
    </row>
    <row r="11727" spans="1:4">
      <c r="A11727" s="13"/>
      <c r="B11727" s="13"/>
      <c r="C11727" s="13"/>
      <c r="D11727" s="13"/>
    </row>
    <row r="11728" spans="1:4">
      <c r="A11728" s="13"/>
      <c r="B11728" s="13"/>
      <c r="C11728" s="13"/>
      <c r="D11728" s="13"/>
    </row>
    <row r="11729" spans="1:4">
      <c r="A11729" s="13"/>
      <c r="B11729" s="13"/>
      <c r="C11729" s="13"/>
      <c r="D11729" s="13"/>
    </row>
    <row r="11730" spans="1:4">
      <c r="A11730" s="13"/>
      <c r="B11730" s="13"/>
      <c r="C11730" s="13"/>
      <c r="D11730" s="13"/>
    </row>
    <row r="11731" spans="1:4">
      <c r="A11731" s="13"/>
      <c r="B11731" s="13"/>
      <c r="C11731" s="13"/>
      <c r="D11731" s="13"/>
    </row>
    <row r="11732" spans="1:4">
      <c r="A11732" s="13"/>
      <c r="B11732" s="13"/>
      <c r="C11732" s="13"/>
      <c r="D11732" s="13"/>
    </row>
    <row r="11733" spans="1:4">
      <c r="A11733" s="13"/>
      <c r="B11733" s="13"/>
      <c r="C11733" s="13"/>
      <c r="D11733" s="13"/>
    </row>
    <row r="11734" spans="1:4">
      <c r="A11734" s="13"/>
      <c r="B11734" s="13"/>
      <c r="C11734" s="13"/>
      <c r="D11734" s="13"/>
    </row>
    <row r="11735" spans="1:4">
      <c r="A11735" s="13"/>
      <c r="B11735" s="13"/>
      <c r="C11735" s="13"/>
      <c r="D11735" s="13"/>
    </row>
    <row r="11736" spans="1:4">
      <c r="A11736" s="13"/>
      <c r="B11736" s="13"/>
      <c r="C11736" s="13"/>
      <c r="D11736" s="13"/>
    </row>
    <row r="11737" spans="1:4">
      <c r="A11737" s="13"/>
      <c r="B11737" s="13"/>
      <c r="C11737" s="13"/>
      <c r="D11737" s="13"/>
    </row>
    <row r="11738" spans="1:4">
      <c r="A11738" s="13"/>
      <c r="B11738" s="13"/>
      <c r="C11738" s="13"/>
      <c r="D11738" s="13"/>
    </row>
    <row r="11739" spans="1:4">
      <c r="A11739" s="13"/>
      <c r="B11739" s="13"/>
      <c r="C11739" s="13"/>
      <c r="D11739" s="13"/>
    </row>
    <row r="11740" spans="1:4">
      <c r="A11740" s="13"/>
      <c r="B11740" s="13"/>
      <c r="C11740" s="13"/>
      <c r="D11740" s="13"/>
    </row>
    <row r="11741" spans="1:4">
      <c r="A11741" s="13"/>
      <c r="B11741" s="13"/>
      <c r="C11741" s="13"/>
      <c r="D11741" s="13"/>
    </row>
    <row r="11742" spans="1:4">
      <c r="A11742" s="13"/>
      <c r="B11742" s="13"/>
      <c r="C11742" s="13"/>
      <c r="D11742" s="13"/>
    </row>
    <row r="11743" spans="1:4">
      <c r="A11743" s="13"/>
      <c r="B11743" s="13"/>
      <c r="C11743" s="13"/>
      <c r="D11743" s="13"/>
    </row>
    <row r="11744" spans="1:4">
      <c r="A11744" s="13"/>
      <c r="B11744" s="13"/>
      <c r="C11744" s="13"/>
      <c r="D11744" s="13"/>
    </row>
    <row r="11745" spans="1:4">
      <c r="A11745" s="13"/>
      <c r="B11745" s="13"/>
      <c r="C11745" s="13"/>
      <c r="D11745" s="13"/>
    </row>
    <row r="11746" spans="1:4">
      <c r="A11746" s="13"/>
      <c r="B11746" s="13"/>
      <c r="C11746" s="13"/>
      <c r="D11746" s="13"/>
    </row>
    <row r="11747" spans="1:4">
      <c r="A11747" s="13"/>
      <c r="B11747" s="13"/>
      <c r="C11747" s="13"/>
      <c r="D11747" s="13"/>
    </row>
    <row r="11748" spans="1:4">
      <c r="A11748" s="13"/>
      <c r="B11748" s="13"/>
      <c r="C11748" s="13"/>
      <c r="D11748" s="13"/>
    </row>
    <row r="11749" spans="1:4">
      <c r="A11749" s="13"/>
      <c r="B11749" s="13"/>
      <c r="C11749" s="13"/>
      <c r="D11749" s="13"/>
    </row>
    <row r="11750" spans="1:4">
      <c r="A11750" s="13"/>
      <c r="B11750" s="13"/>
      <c r="C11750" s="13"/>
      <c r="D11750" s="13"/>
    </row>
    <row r="11751" spans="1:4">
      <c r="A11751" s="13"/>
      <c r="B11751" s="13"/>
      <c r="C11751" s="13"/>
      <c r="D11751" s="13"/>
    </row>
    <row r="11752" spans="1:4">
      <c r="A11752" s="13"/>
      <c r="B11752" s="13"/>
      <c r="C11752" s="13"/>
      <c r="D11752" s="13"/>
    </row>
    <row r="11753" spans="1:4">
      <c r="A11753" s="13"/>
      <c r="B11753" s="13"/>
      <c r="C11753" s="13"/>
      <c r="D11753" s="13"/>
    </row>
    <row r="11754" spans="1:4">
      <c r="A11754" s="13"/>
      <c r="B11754" s="13"/>
      <c r="C11754" s="13"/>
      <c r="D11754" s="13"/>
    </row>
    <row r="11755" spans="1:4">
      <c r="A11755" s="13"/>
      <c r="B11755" s="13"/>
      <c r="C11755" s="13"/>
      <c r="D11755" s="13"/>
    </row>
    <row r="11756" spans="1:4">
      <c r="A11756" s="13"/>
      <c r="B11756" s="13"/>
      <c r="C11756" s="13"/>
      <c r="D11756" s="13"/>
    </row>
    <row r="11757" spans="1:4">
      <c r="A11757" s="13"/>
      <c r="B11757" s="13"/>
      <c r="C11757" s="13"/>
      <c r="D11757" s="13"/>
    </row>
    <row r="11758" spans="1:4">
      <c r="A11758" s="13"/>
      <c r="B11758" s="13"/>
      <c r="C11758" s="13"/>
      <c r="D11758" s="13"/>
    </row>
    <row r="11759" spans="1:4">
      <c r="A11759" s="13"/>
      <c r="B11759" s="13"/>
      <c r="C11759" s="13"/>
      <c r="D11759" s="13"/>
    </row>
    <row r="11760" spans="1:4">
      <c r="A11760" s="13"/>
      <c r="B11760" s="13"/>
      <c r="C11760" s="13"/>
      <c r="D11760" s="13"/>
    </row>
    <row r="11761" spans="1:4">
      <c r="A11761" s="13"/>
      <c r="B11761" s="13"/>
      <c r="C11761" s="13"/>
      <c r="D11761" s="13"/>
    </row>
    <row r="11762" spans="1:4">
      <c r="A11762" s="13"/>
      <c r="B11762" s="13"/>
      <c r="C11762" s="13"/>
      <c r="D11762" s="13"/>
    </row>
    <row r="11763" spans="1:4">
      <c r="A11763" s="13"/>
      <c r="B11763" s="13"/>
      <c r="C11763" s="13"/>
      <c r="D11763" s="13"/>
    </row>
    <row r="11764" spans="1:4">
      <c r="A11764" s="13"/>
      <c r="B11764" s="13"/>
      <c r="C11764" s="13"/>
      <c r="D11764" s="13"/>
    </row>
    <row r="11765" spans="1:4">
      <c r="A11765" s="13"/>
      <c r="B11765" s="13"/>
      <c r="C11765" s="13"/>
      <c r="D11765" s="13"/>
    </row>
    <row r="11766" spans="1:4">
      <c r="A11766" s="13"/>
      <c r="B11766" s="13"/>
      <c r="C11766" s="13"/>
      <c r="D11766" s="13"/>
    </row>
    <row r="11767" spans="1:4">
      <c r="A11767" s="13"/>
      <c r="B11767" s="13"/>
      <c r="C11767" s="13"/>
      <c r="D11767" s="13"/>
    </row>
    <row r="11768" spans="1:4">
      <c r="A11768" s="13"/>
      <c r="B11768" s="13"/>
      <c r="C11768" s="13"/>
      <c r="D11768" s="13"/>
    </row>
    <row r="11769" spans="1:4">
      <c r="A11769" s="13"/>
      <c r="B11769" s="13"/>
      <c r="C11769" s="13"/>
      <c r="D11769" s="13"/>
    </row>
    <row r="11770" spans="1:4">
      <c r="A11770" s="13"/>
      <c r="B11770" s="13"/>
      <c r="C11770" s="13"/>
      <c r="D11770" s="13"/>
    </row>
    <row r="11771" spans="1:4">
      <c r="A11771" s="13"/>
      <c r="B11771" s="13"/>
      <c r="C11771" s="13"/>
      <c r="D11771" s="13"/>
    </row>
    <row r="11772" spans="1:4">
      <c r="A11772" s="13"/>
      <c r="B11772" s="13"/>
      <c r="C11772" s="13"/>
      <c r="D11772" s="13"/>
    </row>
    <row r="11773" spans="1:4">
      <c r="A11773" s="13"/>
      <c r="B11773" s="13"/>
      <c r="C11773" s="13"/>
      <c r="D11773" s="13"/>
    </row>
    <row r="11774" spans="1:4">
      <c r="A11774" s="13"/>
      <c r="B11774" s="13"/>
      <c r="C11774" s="13"/>
      <c r="D11774" s="13"/>
    </row>
    <row r="11775" spans="1:4">
      <c r="A11775" s="13"/>
      <c r="B11775" s="13"/>
      <c r="C11775" s="13"/>
      <c r="D11775" s="13"/>
    </row>
    <row r="11776" spans="1:4">
      <c r="A11776" s="13"/>
      <c r="B11776" s="13"/>
      <c r="C11776" s="13"/>
      <c r="D11776" s="13"/>
    </row>
    <row r="11777" spans="1:4">
      <c r="A11777" s="13"/>
      <c r="B11777" s="13"/>
      <c r="C11777" s="13"/>
      <c r="D11777" s="13"/>
    </row>
    <row r="11778" spans="1:4">
      <c r="A11778" s="13"/>
      <c r="B11778" s="13"/>
      <c r="C11778" s="13"/>
      <c r="D11778" s="13"/>
    </row>
    <row r="11779" spans="1:4">
      <c r="A11779" s="13"/>
      <c r="B11779" s="13"/>
      <c r="C11779" s="13"/>
      <c r="D11779" s="13"/>
    </row>
    <row r="11780" spans="1:4">
      <c r="A11780" s="13"/>
      <c r="B11780" s="13"/>
      <c r="C11780" s="13"/>
      <c r="D11780" s="13"/>
    </row>
    <row r="11781" spans="1:4">
      <c r="A11781" s="13"/>
      <c r="B11781" s="13"/>
      <c r="C11781" s="13"/>
      <c r="D11781" s="13"/>
    </row>
    <row r="11782" spans="1:4">
      <c r="A11782" s="13"/>
      <c r="B11782" s="13"/>
      <c r="C11782" s="13"/>
      <c r="D11782" s="13"/>
    </row>
    <row r="11783" spans="1:4">
      <c r="A11783" s="13"/>
      <c r="B11783" s="13"/>
      <c r="C11783" s="13"/>
      <c r="D11783" s="13"/>
    </row>
    <row r="11784" spans="1:4">
      <c r="A11784" s="13"/>
      <c r="B11784" s="13"/>
      <c r="C11784" s="13"/>
      <c r="D11784" s="13"/>
    </row>
    <row r="11785" spans="1:4">
      <c r="A11785" s="13"/>
      <c r="B11785" s="13"/>
      <c r="C11785" s="13"/>
      <c r="D11785" s="13"/>
    </row>
    <row r="11786" spans="1:4">
      <c r="A11786" s="13"/>
      <c r="B11786" s="13"/>
      <c r="C11786" s="13"/>
      <c r="D11786" s="13"/>
    </row>
    <row r="11787" spans="1:4">
      <c r="A11787" s="13"/>
      <c r="B11787" s="13"/>
      <c r="C11787" s="13"/>
      <c r="D11787" s="13"/>
    </row>
    <row r="11788" spans="1:4">
      <c r="A11788" s="13"/>
      <c r="B11788" s="13"/>
      <c r="C11788" s="13"/>
      <c r="D11788" s="13"/>
    </row>
    <row r="11789" spans="1:4">
      <c r="A11789" s="13"/>
      <c r="B11789" s="13"/>
      <c r="C11789" s="13"/>
      <c r="D11789" s="13"/>
    </row>
    <row r="11790" spans="1:4">
      <c r="A11790" s="13"/>
      <c r="B11790" s="13"/>
      <c r="C11790" s="13"/>
      <c r="D11790" s="13"/>
    </row>
    <row r="11791" spans="1:4">
      <c r="A11791" s="13"/>
      <c r="B11791" s="13"/>
      <c r="C11791" s="13"/>
      <c r="D11791" s="13"/>
    </row>
    <row r="11792" spans="1:4">
      <c r="A11792" s="13"/>
      <c r="B11792" s="13"/>
      <c r="C11792" s="13"/>
      <c r="D11792" s="13"/>
    </row>
    <row r="11793" spans="1:4">
      <c r="A11793" s="13"/>
      <c r="B11793" s="13"/>
      <c r="C11793" s="13"/>
      <c r="D11793" s="13"/>
    </row>
    <row r="11794" spans="1:4">
      <c r="A11794" s="13"/>
      <c r="B11794" s="13"/>
      <c r="C11794" s="13"/>
      <c r="D11794" s="13"/>
    </row>
    <row r="11795" spans="1:4">
      <c r="A11795" s="13"/>
      <c r="B11795" s="13"/>
      <c r="C11795" s="13"/>
      <c r="D11795" s="13"/>
    </row>
    <row r="11796" spans="1:4">
      <c r="A11796" s="13"/>
      <c r="B11796" s="13"/>
      <c r="C11796" s="13"/>
      <c r="D11796" s="13"/>
    </row>
    <row r="11797" spans="1:4">
      <c r="A11797" s="13"/>
      <c r="B11797" s="13"/>
      <c r="C11797" s="13"/>
      <c r="D11797" s="13"/>
    </row>
    <row r="11798" spans="1:4">
      <c r="A11798" s="13"/>
      <c r="B11798" s="13"/>
      <c r="C11798" s="13"/>
      <c r="D11798" s="13"/>
    </row>
    <row r="11799" spans="1:4">
      <c r="A11799" s="13"/>
      <c r="B11799" s="13"/>
      <c r="C11799" s="13"/>
      <c r="D11799" s="13"/>
    </row>
    <row r="11800" spans="1:4">
      <c r="A11800" s="13"/>
      <c r="B11800" s="13"/>
      <c r="C11800" s="13"/>
      <c r="D11800" s="13"/>
    </row>
    <row r="11801" spans="1:4">
      <c r="A11801" s="13"/>
      <c r="B11801" s="13"/>
      <c r="C11801" s="13"/>
      <c r="D11801" s="13"/>
    </row>
    <row r="11802" spans="1:4">
      <c r="A11802" s="13"/>
      <c r="B11802" s="13"/>
      <c r="C11802" s="13"/>
      <c r="D11802" s="13"/>
    </row>
    <row r="11803" spans="1:4">
      <c r="A11803" s="13"/>
      <c r="B11803" s="13"/>
      <c r="C11803" s="13"/>
      <c r="D11803" s="13"/>
    </row>
    <row r="11804" spans="1:4">
      <c r="A11804" s="13"/>
      <c r="B11804" s="13"/>
      <c r="C11804" s="13"/>
      <c r="D11804" s="13"/>
    </row>
    <row r="11805" spans="1:4">
      <c r="A11805" s="13"/>
      <c r="B11805" s="13"/>
      <c r="C11805" s="13"/>
      <c r="D11805" s="13"/>
    </row>
    <row r="11806" spans="1:4">
      <c r="A11806" s="13"/>
      <c r="B11806" s="13"/>
      <c r="C11806" s="13"/>
      <c r="D11806" s="13"/>
    </row>
    <row r="11807" spans="1:4">
      <c r="A11807" s="13"/>
      <c r="B11807" s="13"/>
      <c r="C11807" s="13"/>
      <c r="D11807" s="13"/>
    </row>
    <row r="11808" spans="1:4">
      <c r="A11808" s="13"/>
      <c r="B11808" s="13"/>
      <c r="C11808" s="13"/>
      <c r="D11808" s="13"/>
    </row>
    <row r="11809" spans="1:4">
      <c r="A11809" s="13"/>
      <c r="B11809" s="13"/>
      <c r="C11809" s="13"/>
      <c r="D11809" s="13"/>
    </row>
    <row r="11810" spans="1:4">
      <c r="A11810" s="13"/>
      <c r="B11810" s="13"/>
      <c r="C11810" s="13"/>
      <c r="D11810" s="13"/>
    </row>
    <row r="11811" spans="1:4">
      <c r="A11811" s="13"/>
      <c r="B11811" s="13"/>
      <c r="C11811" s="13"/>
      <c r="D11811" s="13"/>
    </row>
    <row r="11812" spans="1:4">
      <c r="A11812" s="13"/>
      <c r="B11812" s="13"/>
      <c r="C11812" s="13"/>
      <c r="D11812" s="13"/>
    </row>
    <row r="11813" spans="1:4">
      <c r="A11813" s="13"/>
      <c r="B11813" s="13"/>
      <c r="C11813" s="13"/>
      <c r="D11813" s="13"/>
    </row>
    <row r="11814" spans="1:4">
      <c r="A11814" s="13"/>
      <c r="B11814" s="13"/>
      <c r="C11814" s="13"/>
      <c r="D11814" s="13"/>
    </row>
    <row r="11815" spans="1:4">
      <c r="A11815" s="13"/>
      <c r="B11815" s="13"/>
      <c r="C11815" s="13"/>
      <c r="D11815" s="13"/>
    </row>
    <row r="11816" spans="1:4">
      <c r="A11816" s="13"/>
      <c r="B11816" s="13"/>
      <c r="C11816" s="13"/>
      <c r="D11816" s="13"/>
    </row>
    <row r="11817" spans="1:4">
      <c r="A11817" s="13"/>
      <c r="B11817" s="13"/>
      <c r="C11817" s="13"/>
      <c r="D11817" s="13"/>
    </row>
    <row r="11818" spans="1:4">
      <c r="A11818" s="13"/>
      <c r="B11818" s="13"/>
      <c r="C11818" s="13"/>
      <c r="D11818" s="13"/>
    </row>
    <row r="11819" spans="1:4">
      <c r="A11819" s="13"/>
      <c r="B11819" s="13"/>
      <c r="C11819" s="13"/>
      <c r="D11819" s="13"/>
    </row>
    <row r="11820" spans="1:4">
      <c r="A11820" s="13"/>
      <c r="B11820" s="13"/>
      <c r="C11820" s="13"/>
      <c r="D11820" s="13"/>
    </row>
    <row r="11821" spans="1:4">
      <c r="A11821" s="13"/>
      <c r="B11821" s="13"/>
      <c r="C11821" s="13"/>
      <c r="D11821" s="13"/>
    </row>
    <row r="11822" spans="1:4">
      <c r="A11822" s="13"/>
      <c r="B11822" s="13"/>
      <c r="C11822" s="13"/>
      <c r="D11822" s="13"/>
    </row>
    <row r="11823" spans="1:4">
      <c r="A11823" s="13"/>
      <c r="B11823" s="13"/>
      <c r="C11823" s="13"/>
      <c r="D11823" s="13"/>
    </row>
    <row r="11824" spans="1:4">
      <c r="A11824" s="13"/>
      <c r="B11824" s="13"/>
      <c r="C11824" s="13"/>
      <c r="D11824" s="13"/>
    </row>
    <row r="11825" spans="1:4">
      <c r="A11825" s="13"/>
      <c r="B11825" s="13"/>
      <c r="C11825" s="13"/>
      <c r="D11825" s="13"/>
    </row>
    <row r="11826" spans="1:4">
      <c r="A11826" s="13"/>
      <c r="B11826" s="13"/>
      <c r="C11826" s="13"/>
      <c r="D11826" s="13"/>
    </row>
    <row r="11827" spans="1:4">
      <c r="A11827" s="13"/>
      <c r="B11827" s="13"/>
      <c r="C11827" s="13"/>
      <c r="D11827" s="13"/>
    </row>
    <row r="11828" spans="1:4">
      <c r="A11828" s="13"/>
      <c r="B11828" s="13"/>
      <c r="C11828" s="13"/>
      <c r="D11828" s="13"/>
    </row>
    <row r="11829" spans="1:4">
      <c r="A11829" s="13"/>
      <c r="B11829" s="13"/>
      <c r="C11829" s="13"/>
      <c r="D11829" s="13"/>
    </row>
    <row r="11830" spans="1:4">
      <c r="A11830" s="13"/>
      <c r="B11830" s="13"/>
      <c r="C11830" s="13"/>
      <c r="D11830" s="13"/>
    </row>
    <row r="11831" spans="1:4">
      <c r="A11831" s="13"/>
      <c r="B11831" s="13"/>
      <c r="C11831" s="13"/>
      <c r="D11831" s="13"/>
    </row>
    <row r="11832" spans="1:4">
      <c r="A11832" s="13"/>
      <c r="B11832" s="13"/>
      <c r="C11832" s="13"/>
      <c r="D11832" s="13"/>
    </row>
    <row r="11833" spans="1:4">
      <c r="A11833" s="13"/>
      <c r="B11833" s="13"/>
      <c r="C11833" s="13"/>
      <c r="D11833" s="13"/>
    </row>
    <row r="11834" spans="1:4">
      <c r="A11834" s="13"/>
      <c r="B11834" s="13"/>
      <c r="C11834" s="13"/>
      <c r="D11834" s="13"/>
    </row>
    <row r="11835" spans="1:4">
      <c r="A11835" s="13"/>
      <c r="B11835" s="13"/>
      <c r="C11835" s="13"/>
      <c r="D11835" s="13"/>
    </row>
    <row r="11836" spans="1:4">
      <c r="A11836" s="13"/>
      <c r="B11836" s="13"/>
      <c r="C11836" s="13"/>
      <c r="D11836" s="13"/>
    </row>
    <row r="11837" spans="1:4">
      <c r="A11837" s="13"/>
      <c r="B11837" s="13"/>
      <c r="C11837" s="13"/>
      <c r="D11837" s="13"/>
    </row>
    <row r="11838" spans="1:4">
      <c r="A11838" s="13"/>
      <c r="B11838" s="13"/>
      <c r="C11838" s="13"/>
      <c r="D11838" s="13"/>
    </row>
    <row r="11839" spans="1:4">
      <c r="A11839" s="13"/>
      <c r="B11839" s="13"/>
      <c r="C11839" s="13"/>
      <c r="D11839" s="13"/>
    </row>
    <row r="11840" spans="1:4">
      <c r="A11840" s="13"/>
      <c r="B11840" s="13"/>
      <c r="C11840" s="13"/>
      <c r="D11840" s="13"/>
    </row>
    <row r="11841" spans="1:4">
      <c r="A11841" s="13"/>
      <c r="B11841" s="13"/>
      <c r="C11841" s="13"/>
      <c r="D11841" s="13"/>
    </row>
    <row r="11842" spans="1:4">
      <c r="A11842" s="13"/>
      <c r="B11842" s="13"/>
      <c r="C11842" s="13"/>
      <c r="D11842" s="13"/>
    </row>
    <row r="11843" spans="1:4">
      <c r="A11843" s="13"/>
      <c r="B11843" s="13"/>
      <c r="C11843" s="13"/>
      <c r="D11843" s="13"/>
    </row>
    <row r="11844" spans="1:4">
      <c r="A11844" s="13"/>
      <c r="B11844" s="13"/>
      <c r="C11844" s="13"/>
      <c r="D11844" s="13"/>
    </row>
    <row r="11845" spans="1:4">
      <c r="A11845" s="13"/>
      <c r="B11845" s="13"/>
      <c r="C11845" s="13"/>
      <c r="D11845" s="13"/>
    </row>
    <row r="11846" spans="1:4">
      <c r="A11846" s="13"/>
      <c r="B11846" s="13"/>
      <c r="C11846" s="13"/>
      <c r="D11846" s="13"/>
    </row>
    <row r="11847" spans="1:4">
      <c r="A11847" s="13"/>
      <c r="B11847" s="13"/>
      <c r="C11847" s="13"/>
      <c r="D11847" s="13"/>
    </row>
    <row r="11848" spans="1:4">
      <c r="A11848" s="13"/>
      <c r="B11848" s="13"/>
      <c r="C11848" s="13"/>
      <c r="D11848" s="13"/>
    </row>
    <row r="11849" spans="1:4">
      <c r="A11849" s="13"/>
      <c r="B11849" s="13"/>
      <c r="C11849" s="13"/>
      <c r="D11849" s="13"/>
    </row>
    <row r="11850" spans="1:4">
      <c r="A11850" s="13"/>
      <c r="B11850" s="13"/>
      <c r="C11850" s="13"/>
      <c r="D11850" s="13"/>
    </row>
    <row r="11851" spans="1:4">
      <c r="A11851" s="13"/>
      <c r="B11851" s="13"/>
      <c r="C11851" s="13"/>
      <c r="D11851" s="13"/>
    </row>
    <row r="11852" spans="1:4">
      <c r="A11852" s="13"/>
      <c r="B11852" s="13"/>
      <c r="C11852" s="13"/>
      <c r="D11852" s="13"/>
    </row>
    <row r="11853" spans="1:4">
      <c r="A11853" s="13"/>
      <c r="B11853" s="13"/>
      <c r="C11853" s="13"/>
      <c r="D11853" s="13"/>
    </row>
    <row r="11854" spans="1:4">
      <c r="A11854" s="13"/>
      <c r="B11854" s="13"/>
      <c r="C11854" s="13"/>
      <c r="D11854" s="13"/>
    </row>
    <row r="11855" spans="1:4">
      <c r="A11855" s="13"/>
      <c r="B11855" s="13"/>
      <c r="C11855" s="13"/>
      <c r="D11855" s="13"/>
    </row>
    <row r="11856" spans="1:4">
      <c r="A11856" s="13"/>
      <c r="B11856" s="13"/>
      <c r="C11856" s="13"/>
      <c r="D11856" s="13"/>
    </row>
    <row r="11857" spans="1:4">
      <c r="A11857" s="13"/>
      <c r="B11857" s="13"/>
      <c r="C11857" s="13"/>
      <c r="D11857" s="13"/>
    </row>
    <row r="11858" spans="1:4">
      <c r="A11858" s="13"/>
      <c r="B11858" s="13"/>
      <c r="C11858" s="13"/>
      <c r="D11858" s="13"/>
    </row>
    <row r="11859" spans="1:4">
      <c r="A11859" s="13"/>
      <c r="B11859" s="13"/>
      <c r="C11859" s="13"/>
      <c r="D11859" s="13"/>
    </row>
    <row r="11860" spans="1:4">
      <c r="A11860" s="13"/>
      <c r="B11860" s="13"/>
      <c r="C11860" s="13"/>
      <c r="D11860" s="13"/>
    </row>
    <row r="11861" spans="1:4">
      <c r="A11861" s="13"/>
      <c r="B11861" s="13"/>
      <c r="C11861" s="13"/>
      <c r="D11861" s="13"/>
    </row>
    <row r="11862" spans="1:4">
      <c r="A11862" s="13"/>
      <c r="B11862" s="13"/>
      <c r="C11862" s="13"/>
      <c r="D11862" s="13"/>
    </row>
    <row r="11863" spans="1:4">
      <c r="A11863" s="13"/>
      <c r="B11863" s="13"/>
      <c r="C11863" s="13"/>
      <c r="D11863" s="13"/>
    </row>
    <row r="11864" spans="1:4">
      <c r="A11864" s="13"/>
      <c r="B11864" s="13"/>
      <c r="C11864" s="13"/>
      <c r="D11864" s="13"/>
    </row>
    <row r="11865" spans="1:4">
      <c r="A11865" s="13"/>
      <c r="B11865" s="13"/>
      <c r="C11865" s="13"/>
      <c r="D11865" s="13"/>
    </row>
    <row r="11866" spans="1:4">
      <c r="A11866" s="13"/>
      <c r="B11866" s="13"/>
      <c r="C11866" s="13"/>
      <c r="D11866" s="13"/>
    </row>
    <row r="11867" spans="1:4">
      <c r="A11867" s="13"/>
      <c r="B11867" s="13"/>
      <c r="C11867" s="13"/>
      <c r="D11867" s="13"/>
    </row>
    <row r="11868" spans="1:4">
      <c r="A11868" s="13"/>
      <c r="B11868" s="13"/>
      <c r="C11868" s="13"/>
      <c r="D11868" s="13"/>
    </row>
    <row r="11869" spans="1:4">
      <c r="A11869" s="13"/>
      <c r="B11869" s="13"/>
      <c r="C11869" s="13"/>
      <c r="D11869" s="13"/>
    </row>
    <row r="11870" spans="1:4">
      <c r="A11870" s="13"/>
      <c r="B11870" s="13"/>
      <c r="C11870" s="13"/>
      <c r="D11870" s="13"/>
    </row>
    <row r="11871" spans="1:4">
      <c r="A11871" s="13"/>
      <c r="B11871" s="13"/>
      <c r="C11871" s="13"/>
      <c r="D11871" s="13"/>
    </row>
    <row r="11872" spans="1:4">
      <c r="A11872" s="13"/>
      <c r="B11872" s="13"/>
      <c r="C11872" s="13"/>
      <c r="D11872" s="13"/>
    </row>
    <row r="11873" spans="1:4">
      <c r="A11873" s="13"/>
      <c r="B11873" s="13"/>
      <c r="C11873" s="13"/>
      <c r="D11873" s="13"/>
    </row>
    <row r="11874" spans="1:4">
      <c r="A11874" s="13"/>
      <c r="B11874" s="13"/>
      <c r="C11874" s="13"/>
      <c r="D11874" s="13"/>
    </row>
    <row r="11875" spans="1:4">
      <c r="A11875" s="13"/>
      <c r="B11875" s="13"/>
      <c r="C11875" s="13"/>
      <c r="D11875" s="13"/>
    </row>
    <row r="11876" spans="1:4">
      <c r="A11876" s="13"/>
      <c r="B11876" s="13"/>
      <c r="C11876" s="13"/>
      <c r="D11876" s="13"/>
    </row>
    <row r="11877" spans="1:4">
      <c r="A11877" s="13"/>
      <c r="B11877" s="13"/>
      <c r="C11877" s="13"/>
      <c r="D11877" s="13"/>
    </row>
    <row r="11878" spans="1:4">
      <c r="A11878" s="13"/>
      <c r="B11878" s="13"/>
      <c r="C11878" s="13"/>
      <c r="D11878" s="13"/>
    </row>
    <row r="11879" spans="1:4">
      <c r="A11879" s="13"/>
      <c r="B11879" s="13"/>
      <c r="C11879" s="13"/>
      <c r="D11879" s="13"/>
    </row>
    <row r="11880" spans="1:4">
      <c r="A11880" s="13"/>
      <c r="B11880" s="13"/>
      <c r="C11880" s="13"/>
      <c r="D11880" s="13"/>
    </row>
    <row r="11881" spans="1:4">
      <c r="A11881" s="13"/>
      <c r="B11881" s="13"/>
      <c r="C11881" s="13"/>
      <c r="D11881" s="13"/>
    </row>
    <row r="11882" spans="1:4">
      <c r="A11882" s="13"/>
      <c r="B11882" s="13"/>
      <c r="C11882" s="13"/>
      <c r="D11882" s="13"/>
    </row>
    <row r="11883" spans="1:4">
      <c r="A11883" s="13"/>
      <c r="B11883" s="13"/>
      <c r="C11883" s="13"/>
      <c r="D11883" s="13"/>
    </row>
    <row r="11884" spans="1:4">
      <c r="A11884" s="13"/>
      <c r="B11884" s="13"/>
      <c r="C11884" s="13"/>
      <c r="D11884" s="13"/>
    </row>
    <row r="11885" spans="1:4">
      <c r="A11885" s="13"/>
      <c r="B11885" s="13"/>
      <c r="C11885" s="13"/>
      <c r="D11885" s="13"/>
    </row>
    <row r="11886" spans="1:4">
      <c r="A11886" s="13"/>
      <c r="B11886" s="13"/>
      <c r="C11886" s="13"/>
      <c r="D11886" s="13"/>
    </row>
    <row r="11887" spans="1:4">
      <c r="A11887" s="13"/>
      <c r="B11887" s="13"/>
      <c r="C11887" s="13"/>
      <c r="D11887" s="13"/>
    </row>
    <row r="11888" spans="1:4">
      <c r="A11888" s="13"/>
      <c r="B11888" s="13"/>
      <c r="C11888" s="13"/>
      <c r="D11888" s="13"/>
    </row>
    <row r="11889" spans="1:4">
      <c r="A11889" s="13"/>
      <c r="B11889" s="13"/>
      <c r="C11889" s="13"/>
      <c r="D11889" s="13"/>
    </row>
    <row r="11890" spans="1:4">
      <c r="A11890" s="13"/>
      <c r="B11890" s="13"/>
      <c r="C11890" s="13"/>
      <c r="D11890" s="13"/>
    </row>
    <row r="11891" spans="1:4">
      <c r="A11891" s="13"/>
      <c r="B11891" s="13"/>
      <c r="C11891" s="13"/>
      <c r="D11891" s="13"/>
    </row>
    <row r="11892" spans="1:4">
      <c r="A11892" s="13"/>
      <c r="B11892" s="13"/>
      <c r="C11892" s="13"/>
      <c r="D11892" s="13"/>
    </row>
    <row r="11893" spans="1:4">
      <c r="A11893" s="13"/>
      <c r="B11893" s="13"/>
      <c r="C11893" s="13"/>
      <c r="D11893" s="13"/>
    </row>
    <row r="11894" spans="1:4">
      <c r="A11894" s="13"/>
      <c r="B11894" s="13"/>
      <c r="C11894" s="13"/>
      <c r="D11894" s="13"/>
    </row>
    <row r="11895" spans="1:4">
      <c r="A11895" s="13"/>
      <c r="B11895" s="13"/>
      <c r="C11895" s="13"/>
      <c r="D11895" s="13"/>
    </row>
    <row r="11896" spans="1:4">
      <c r="A11896" s="13"/>
      <c r="B11896" s="13"/>
      <c r="C11896" s="13"/>
      <c r="D11896" s="13"/>
    </row>
    <row r="11897" spans="1:4">
      <c r="A11897" s="13"/>
      <c r="B11897" s="13"/>
      <c r="C11897" s="13"/>
      <c r="D11897" s="13"/>
    </row>
    <row r="11898" spans="1:4">
      <c r="A11898" s="13"/>
      <c r="B11898" s="13"/>
      <c r="C11898" s="13"/>
      <c r="D11898" s="13"/>
    </row>
    <row r="11899" spans="1:4">
      <c r="A11899" s="13"/>
      <c r="B11899" s="13"/>
      <c r="C11899" s="13"/>
      <c r="D11899" s="13"/>
    </row>
    <row r="11900" spans="1:4">
      <c r="A11900" s="13"/>
      <c r="B11900" s="13"/>
      <c r="C11900" s="13"/>
      <c r="D11900" s="13"/>
    </row>
    <row r="11901" spans="1:4">
      <c r="A11901" s="13"/>
      <c r="B11901" s="13"/>
      <c r="C11901" s="13"/>
      <c r="D11901" s="13"/>
    </row>
    <row r="11902" spans="1:4">
      <c r="A11902" s="13"/>
      <c r="B11902" s="13"/>
      <c r="C11902" s="13"/>
      <c r="D11902" s="13"/>
    </row>
    <row r="11903" spans="1:4">
      <c r="A11903" s="13"/>
      <c r="B11903" s="13"/>
      <c r="C11903" s="13"/>
      <c r="D11903" s="13"/>
    </row>
    <row r="11904" spans="1:4">
      <c r="A11904" s="13"/>
      <c r="B11904" s="13"/>
      <c r="C11904" s="13"/>
      <c r="D11904" s="13"/>
    </row>
    <row r="11905" spans="1:4">
      <c r="A11905" s="13"/>
      <c r="B11905" s="13"/>
      <c r="C11905" s="13"/>
      <c r="D11905" s="13"/>
    </row>
    <row r="11906" spans="1:4">
      <c r="A11906" s="13"/>
      <c r="B11906" s="13"/>
      <c r="C11906" s="13"/>
      <c r="D11906" s="13"/>
    </row>
    <row r="11907" spans="1:4">
      <c r="A11907" s="13"/>
      <c r="B11907" s="13"/>
      <c r="C11907" s="13"/>
      <c r="D11907" s="13"/>
    </row>
    <row r="11908" spans="1:4">
      <c r="A11908" s="13"/>
      <c r="B11908" s="13"/>
      <c r="C11908" s="13"/>
      <c r="D11908" s="13"/>
    </row>
    <row r="11909" spans="1:4">
      <c r="A11909" s="13"/>
      <c r="B11909" s="13"/>
      <c r="C11909" s="13"/>
      <c r="D11909" s="13"/>
    </row>
    <row r="11910" spans="1:4">
      <c r="A11910" s="13"/>
      <c r="B11910" s="13"/>
      <c r="C11910" s="13"/>
      <c r="D11910" s="13"/>
    </row>
    <row r="11911" spans="1:4">
      <c r="A11911" s="13"/>
      <c r="B11911" s="13"/>
      <c r="C11911" s="13"/>
      <c r="D11911" s="13"/>
    </row>
    <row r="11912" spans="1:4">
      <c r="A11912" s="13"/>
      <c r="B11912" s="13"/>
      <c r="C11912" s="13"/>
      <c r="D11912" s="13"/>
    </row>
    <row r="11913" spans="1:4">
      <c r="A11913" s="13"/>
      <c r="B11913" s="13"/>
      <c r="C11913" s="13"/>
      <c r="D11913" s="13"/>
    </row>
    <row r="11914" spans="1:4">
      <c r="A11914" s="13"/>
      <c r="B11914" s="13"/>
      <c r="C11914" s="13"/>
      <c r="D11914" s="13"/>
    </row>
    <row r="11915" spans="1:4">
      <c r="A11915" s="13"/>
      <c r="B11915" s="13"/>
      <c r="C11915" s="13"/>
      <c r="D11915" s="13"/>
    </row>
    <row r="11916" spans="1:4">
      <c r="A11916" s="13"/>
      <c r="B11916" s="13"/>
      <c r="C11916" s="13"/>
      <c r="D11916" s="13"/>
    </row>
    <row r="11917" spans="1:4">
      <c r="A11917" s="13"/>
      <c r="B11917" s="13"/>
      <c r="C11917" s="13"/>
      <c r="D11917" s="13"/>
    </row>
    <row r="11918" spans="1:4">
      <c r="A11918" s="13"/>
      <c r="B11918" s="13"/>
      <c r="C11918" s="13"/>
      <c r="D11918" s="13"/>
    </row>
    <row r="11919" spans="1:4">
      <c r="A11919" s="13"/>
      <c r="B11919" s="13"/>
      <c r="C11919" s="13"/>
      <c r="D11919" s="13"/>
    </row>
    <row r="11920" spans="1:4">
      <c r="A11920" s="13"/>
      <c r="B11920" s="13"/>
      <c r="C11920" s="13"/>
      <c r="D11920" s="13"/>
    </row>
    <row r="11921" spans="1:4">
      <c r="A11921" s="13"/>
      <c r="B11921" s="13"/>
      <c r="C11921" s="13"/>
      <c r="D11921" s="13"/>
    </row>
    <row r="11922" spans="1:4">
      <c r="A11922" s="13"/>
      <c r="B11922" s="13"/>
      <c r="C11922" s="13"/>
      <c r="D11922" s="13"/>
    </row>
    <row r="11923" spans="1:4">
      <c r="A11923" s="13"/>
      <c r="B11923" s="13"/>
      <c r="C11923" s="13"/>
      <c r="D11923" s="13"/>
    </row>
    <row r="11924" spans="1:4">
      <c r="A11924" s="13"/>
      <c r="B11924" s="13"/>
      <c r="C11924" s="13"/>
      <c r="D11924" s="13"/>
    </row>
    <row r="11925" spans="1:4">
      <c r="A11925" s="13"/>
      <c r="B11925" s="13"/>
      <c r="C11925" s="13"/>
      <c r="D11925" s="13"/>
    </row>
    <row r="11926" spans="1:4">
      <c r="A11926" s="13"/>
      <c r="B11926" s="13"/>
      <c r="C11926" s="13"/>
      <c r="D11926" s="13"/>
    </row>
    <row r="11927" spans="1:4">
      <c r="A11927" s="13"/>
      <c r="B11927" s="13"/>
      <c r="C11927" s="13"/>
      <c r="D11927" s="13"/>
    </row>
    <row r="11928" spans="1:4">
      <c r="A11928" s="13"/>
      <c r="B11928" s="13"/>
      <c r="C11928" s="13"/>
      <c r="D11928" s="13"/>
    </row>
    <row r="11929" spans="1:4">
      <c r="A11929" s="13"/>
      <c r="B11929" s="13"/>
      <c r="C11929" s="13"/>
      <c r="D11929" s="13"/>
    </row>
    <row r="11930" spans="1:4">
      <c r="A11930" s="13"/>
      <c r="B11930" s="13"/>
      <c r="C11930" s="13"/>
      <c r="D11930" s="13"/>
    </row>
    <row r="11931" spans="1:4">
      <c r="A11931" s="13"/>
      <c r="B11931" s="13"/>
      <c r="C11931" s="13"/>
      <c r="D11931" s="13"/>
    </row>
    <row r="11932" spans="1:4">
      <c r="A11932" s="13"/>
      <c r="B11932" s="13"/>
      <c r="C11932" s="13"/>
      <c r="D11932" s="13"/>
    </row>
    <row r="11933" spans="1:4">
      <c r="A11933" s="13"/>
      <c r="B11933" s="13"/>
      <c r="C11933" s="13"/>
      <c r="D11933" s="13"/>
    </row>
    <row r="11934" spans="1:4">
      <c r="A11934" s="13"/>
      <c r="B11934" s="13"/>
      <c r="C11934" s="13"/>
      <c r="D11934" s="13"/>
    </row>
    <row r="11935" spans="1:4">
      <c r="A11935" s="13"/>
      <c r="B11935" s="13"/>
      <c r="C11935" s="13"/>
      <c r="D11935" s="13"/>
    </row>
    <row r="11936" spans="1:4">
      <c r="A11936" s="13"/>
      <c r="B11936" s="13"/>
      <c r="C11936" s="13"/>
      <c r="D11936" s="13"/>
    </row>
    <row r="11937" spans="1:4">
      <c r="A11937" s="13"/>
      <c r="B11937" s="13"/>
      <c r="C11937" s="13"/>
      <c r="D11937" s="13"/>
    </row>
    <row r="11938" spans="1:4">
      <c r="A11938" s="13"/>
      <c r="B11938" s="13"/>
      <c r="C11938" s="13"/>
      <c r="D11938" s="13"/>
    </row>
    <row r="11939" spans="1:4">
      <c r="A11939" s="13"/>
      <c r="B11939" s="13"/>
      <c r="C11939" s="13"/>
      <c r="D11939" s="13"/>
    </row>
    <row r="11940" spans="1:4">
      <c r="A11940" s="13"/>
      <c r="B11940" s="13"/>
      <c r="C11940" s="13"/>
      <c r="D11940" s="13"/>
    </row>
    <row r="11941" spans="1:4">
      <c r="A11941" s="13"/>
      <c r="B11941" s="13"/>
      <c r="C11941" s="13"/>
      <c r="D11941" s="13"/>
    </row>
    <row r="11942" spans="1:4">
      <c r="A11942" s="13"/>
      <c r="B11942" s="13"/>
      <c r="C11942" s="13"/>
      <c r="D11942" s="13"/>
    </row>
    <row r="11943" spans="1:4">
      <c r="A11943" s="13"/>
      <c r="B11943" s="13"/>
      <c r="C11943" s="13"/>
      <c r="D11943" s="13"/>
    </row>
    <row r="11944" spans="1:4">
      <c r="A11944" s="13"/>
      <c r="B11944" s="13"/>
      <c r="C11944" s="13"/>
      <c r="D11944" s="13"/>
    </row>
    <row r="11945" spans="1:4">
      <c r="A11945" s="13"/>
      <c r="B11945" s="13"/>
      <c r="C11945" s="13"/>
      <c r="D11945" s="13"/>
    </row>
    <row r="11946" spans="1:4">
      <c r="A11946" s="13"/>
      <c r="B11946" s="13"/>
      <c r="C11946" s="13"/>
      <c r="D11946" s="13"/>
    </row>
    <row r="11947" spans="1:4">
      <c r="A11947" s="13"/>
      <c r="B11947" s="13"/>
      <c r="C11947" s="13"/>
      <c r="D11947" s="13"/>
    </row>
    <row r="11948" spans="1:4">
      <c r="A11948" s="13"/>
      <c r="B11948" s="13"/>
      <c r="C11948" s="13"/>
      <c r="D11948" s="13"/>
    </row>
    <row r="11949" spans="1:4">
      <c r="A11949" s="13"/>
      <c r="B11949" s="13"/>
      <c r="C11949" s="13"/>
      <c r="D11949" s="13"/>
    </row>
    <row r="11950" spans="1:4">
      <c r="A11950" s="13"/>
      <c r="B11950" s="13"/>
      <c r="C11950" s="13"/>
      <c r="D11950" s="13"/>
    </row>
    <row r="11951" spans="1:4">
      <c r="A11951" s="13"/>
      <c r="B11951" s="13"/>
      <c r="C11951" s="13"/>
      <c r="D11951" s="13"/>
    </row>
    <row r="11952" spans="1:4">
      <c r="A11952" s="13"/>
      <c r="B11952" s="13"/>
      <c r="C11952" s="13"/>
      <c r="D11952" s="13"/>
    </row>
    <row r="11953" spans="1:4">
      <c r="A11953" s="13"/>
      <c r="B11953" s="13"/>
      <c r="C11953" s="13"/>
      <c r="D11953" s="13"/>
    </row>
    <row r="11954" spans="1:4">
      <c r="A11954" s="13"/>
      <c r="B11954" s="13"/>
      <c r="C11954" s="13"/>
      <c r="D11954" s="13"/>
    </row>
    <row r="11955" spans="1:4">
      <c r="A11955" s="13"/>
      <c r="B11955" s="13"/>
      <c r="C11955" s="13"/>
      <c r="D11955" s="13"/>
    </row>
    <row r="11956" spans="1:4">
      <c r="A11956" s="13"/>
      <c r="B11956" s="13"/>
      <c r="C11956" s="13"/>
      <c r="D11956" s="13"/>
    </row>
    <row r="11957" spans="1:4">
      <c r="A11957" s="13"/>
      <c r="B11957" s="13"/>
      <c r="C11957" s="13"/>
      <c r="D11957" s="13"/>
    </row>
    <row r="11958" spans="1:4">
      <c r="A11958" s="13"/>
      <c r="B11958" s="13"/>
      <c r="C11958" s="13"/>
      <c r="D11958" s="13"/>
    </row>
    <row r="11959" spans="1:4">
      <c r="A11959" s="13"/>
      <c r="B11959" s="13"/>
      <c r="C11959" s="13"/>
      <c r="D11959" s="13"/>
    </row>
    <row r="11960" spans="1:4">
      <c r="A11960" s="13"/>
      <c r="B11960" s="13"/>
      <c r="C11960" s="13"/>
      <c r="D11960" s="13"/>
    </row>
    <row r="11961" spans="1:4">
      <c r="A11961" s="13"/>
      <c r="B11961" s="13"/>
      <c r="C11961" s="13"/>
      <c r="D11961" s="13"/>
    </row>
    <row r="11962" spans="1:4">
      <c r="A11962" s="13"/>
      <c r="B11962" s="13"/>
      <c r="C11962" s="13"/>
      <c r="D11962" s="13"/>
    </row>
    <row r="11963" spans="1:4">
      <c r="A11963" s="13"/>
      <c r="B11963" s="13"/>
      <c r="C11963" s="13"/>
      <c r="D11963" s="13"/>
    </row>
    <row r="11964" spans="1:4">
      <c r="A11964" s="13"/>
      <c r="B11964" s="13"/>
      <c r="C11964" s="13"/>
      <c r="D11964" s="13"/>
    </row>
    <row r="11965" spans="1:4">
      <c r="A11965" s="13"/>
      <c r="B11965" s="13"/>
      <c r="C11965" s="13"/>
      <c r="D11965" s="13"/>
    </row>
    <row r="11966" spans="1:4">
      <c r="A11966" s="13"/>
      <c r="B11966" s="13"/>
      <c r="C11966" s="13"/>
      <c r="D11966" s="13"/>
    </row>
    <row r="11967" spans="1:4">
      <c r="A11967" s="13"/>
      <c r="B11967" s="13"/>
      <c r="C11967" s="13"/>
      <c r="D11967" s="13"/>
    </row>
    <row r="11968" spans="1:4">
      <c r="A11968" s="13"/>
      <c r="B11968" s="13"/>
      <c r="C11968" s="13"/>
      <c r="D11968" s="13"/>
    </row>
    <row r="11969" spans="1:4">
      <c r="A11969" s="13"/>
      <c r="B11969" s="13"/>
      <c r="C11969" s="13"/>
      <c r="D11969" s="13"/>
    </row>
    <row r="11970" spans="1:4">
      <c r="A11970" s="13"/>
      <c r="B11970" s="13"/>
      <c r="C11970" s="13"/>
      <c r="D11970" s="13"/>
    </row>
    <row r="11971" spans="1:4">
      <c r="A11971" s="13"/>
      <c r="B11971" s="13"/>
      <c r="C11971" s="13"/>
      <c r="D11971" s="13"/>
    </row>
    <row r="11972" spans="1:4">
      <c r="A11972" s="13"/>
      <c r="B11972" s="13"/>
      <c r="C11972" s="13"/>
      <c r="D11972" s="13"/>
    </row>
    <row r="11973" spans="1:4">
      <c r="A11973" s="13"/>
      <c r="B11973" s="13"/>
      <c r="C11973" s="13"/>
      <c r="D11973" s="13"/>
    </row>
    <row r="11974" spans="1:4">
      <c r="A11974" s="13"/>
      <c r="B11974" s="13"/>
      <c r="C11974" s="13"/>
      <c r="D11974" s="13"/>
    </row>
    <row r="11975" spans="1:4">
      <c r="A11975" s="13"/>
      <c r="B11975" s="13"/>
      <c r="C11975" s="13"/>
      <c r="D11975" s="13"/>
    </row>
    <row r="11976" spans="1:4">
      <c r="A11976" s="13"/>
      <c r="B11976" s="13"/>
      <c r="C11976" s="13"/>
      <c r="D11976" s="13"/>
    </row>
    <row r="11977" spans="1:4">
      <c r="A11977" s="13"/>
      <c r="B11977" s="13"/>
      <c r="C11977" s="13"/>
      <c r="D11977" s="13"/>
    </row>
    <row r="11978" spans="1:4">
      <c r="A11978" s="13"/>
      <c r="B11978" s="13"/>
      <c r="C11978" s="13"/>
      <c r="D11978" s="13"/>
    </row>
    <row r="11979" spans="1:4">
      <c r="A11979" s="13"/>
      <c r="B11979" s="13"/>
      <c r="C11979" s="13"/>
      <c r="D11979" s="13"/>
    </row>
    <row r="11980" spans="1:4">
      <c r="A11980" s="13"/>
      <c r="B11980" s="13"/>
      <c r="C11980" s="13"/>
      <c r="D11980" s="13"/>
    </row>
    <row r="11981" spans="1:4">
      <c r="A11981" s="13"/>
      <c r="B11981" s="13"/>
      <c r="C11981" s="13"/>
      <c r="D11981" s="13"/>
    </row>
    <row r="11982" spans="1:4">
      <c r="A11982" s="13"/>
      <c r="B11982" s="13"/>
      <c r="C11982" s="13"/>
      <c r="D11982" s="13"/>
    </row>
    <row r="11983" spans="1:4">
      <c r="A11983" s="13"/>
      <c r="B11983" s="13"/>
      <c r="C11983" s="13"/>
      <c r="D11983" s="13"/>
    </row>
    <row r="11984" spans="1:4">
      <c r="A11984" s="13"/>
      <c r="B11984" s="13"/>
      <c r="C11984" s="13"/>
      <c r="D11984" s="13"/>
    </row>
    <row r="11985" spans="1:4">
      <c r="A11985" s="13"/>
      <c r="B11985" s="13"/>
      <c r="C11985" s="13"/>
      <c r="D11985" s="13"/>
    </row>
    <row r="11986" spans="1:4">
      <c r="A11986" s="13"/>
      <c r="B11986" s="13"/>
      <c r="C11986" s="13"/>
      <c r="D11986" s="13"/>
    </row>
    <row r="11987" spans="1:4">
      <c r="A11987" s="13"/>
      <c r="B11987" s="13"/>
      <c r="C11987" s="13"/>
      <c r="D11987" s="13"/>
    </row>
    <row r="11988" spans="1:4">
      <c r="A11988" s="13"/>
      <c r="B11988" s="13"/>
      <c r="C11988" s="13"/>
      <c r="D11988" s="13"/>
    </row>
    <row r="11989" spans="1:4">
      <c r="A11989" s="13"/>
      <c r="B11989" s="13"/>
      <c r="C11989" s="13"/>
      <c r="D11989" s="13"/>
    </row>
    <row r="11990" spans="1:4">
      <c r="A11990" s="13"/>
      <c r="B11990" s="13"/>
      <c r="C11990" s="13"/>
      <c r="D11990" s="13"/>
    </row>
    <row r="11991" spans="1:4">
      <c r="A11991" s="13"/>
      <c r="B11991" s="13"/>
      <c r="C11991" s="13"/>
      <c r="D11991" s="13"/>
    </row>
    <row r="11992" spans="1:4">
      <c r="A11992" s="13"/>
      <c r="B11992" s="13"/>
      <c r="C11992" s="13"/>
      <c r="D11992" s="13"/>
    </row>
    <row r="11993" spans="1:4">
      <c r="A11993" s="13"/>
      <c r="B11993" s="13"/>
      <c r="C11993" s="13"/>
      <c r="D11993" s="13"/>
    </row>
    <row r="11994" spans="1:4">
      <c r="A11994" s="13"/>
      <c r="B11994" s="13"/>
      <c r="C11994" s="13"/>
      <c r="D11994" s="13"/>
    </row>
    <row r="11995" spans="1:4">
      <c r="A11995" s="13"/>
      <c r="B11995" s="13"/>
      <c r="C11995" s="13"/>
      <c r="D11995" s="13"/>
    </row>
    <row r="11996" spans="1:4">
      <c r="A11996" s="13"/>
      <c r="B11996" s="13"/>
      <c r="C11996" s="13"/>
      <c r="D11996" s="13"/>
    </row>
    <row r="11997" spans="1:4">
      <c r="A11997" s="13"/>
      <c r="B11997" s="13"/>
      <c r="C11997" s="13"/>
      <c r="D11997" s="13"/>
    </row>
    <row r="11998" spans="1:4">
      <c r="A11998" s="13"/>
      <c r="B11998" s="13"/>
      <c r="C11998" s="13"/>
      <c r="D11998" s="13"/>
    </row>
    <row r="11999" spans="1:4">
      <c r="A11999" s="13"/>
      <c r="B11999" s="13"/>
      <c r="C11999" s="13"/>
      <c r="D11999" s="13"/>
    </row>
    <row r="12000" spans="1:4">
      <c r="A12000" s="13"/>
      <c r="B12000" s="13"/>
      <c r="C12000" s="13"/>
      <c r="D12000" s="13"/>
    </row>
    <row r="12001" spans="1:4">
      <c r="A12001" s="13"/>
      <c r="B12001" s="13"/>
      <c r="C12001" s="13"/>
      <c r="D12001" s="13"/>
    </row>
    <row r="12002" spans="1:4">
      <c r="A12002" s="13"/>
      <c r="B12002" s="13"/>
      <c r="C12002" s="13"/>
      <c r="D12002" s="13"/>
    </row>
    <row r="12003" spans="1:4">
      <c r="A12003" s="13"/>
      <c r="B12003" s="13"/>
      <c r="C12003" s="13"/>
      <c r="D12003" s="13"/>
    </row>
    <row r="12004" spans="1:4">
      <c r="A12004" s="13"/>
      <c r="B12004" s="13"/>
      <c r="C12004" s="13"/>
      <c r="D12004" s="13"/>
    </row>
    <row r="12005" spans="1:4">
      <c r="A12005" s="13"/>
      <c r="B12005" s="13"/>
      <c r="C12005" s="13"/>
      <c r="D12005" s="13"/>
    </row>
    <row r="12006" spans="1:4">
      <c r="A12006" s="13"/>
      <c r="B12006" s="13"/>
      <c r="C12006" s="13"/>
      <c r="D12006" s="13"/>
    </row>
    <row r="12007" spans="1:4">
      <c r="A12007" s="13"/>
      <c r="B12007" s="13"/>
      <c r="C12007" s="13"/>
      <c r="D12007" s="13"/>
    </row>
    <row r="12008" spans="1:4">
      <c r="A12008" s="13"/>
      <c r="B12008" s="13"/>
      <c r="C12008" s="13"/>
      <c r="D12008" s="13"/>
    </row>
    <row r="12009" spans="1:4">
      <c r="A12009" s="13"/>
      <c r="B12009" s="13"/>
      <c r="C12009" s="13"/>
      <c r="D12009" s="13"/>
    </row>
    <row r="12010" spans="1:4">
      <c r="A12010" s="13"/>
      <c r="B12010" s="13"/>
      <c r="C12010" s="13"/>
      <c r="D12010" s="13"/>
    </row>
    <row r="12011" spans="1:4">
      <c r="A12011" s="13"/>
      <c r="B12011" s="13"/>
      <c r="C12011" s="13"/>
      <c r="D12011" s="13"/>
    </row>
    <row r="12012" spans="1:4">
      <c r="A12012" s="13"/>
      <c r="B12012" s="13"/>
      <c r="C12012" s="13"/>
      <c r="D12012" s="13"/>
    </row>
    <row r="12013" spans="1:4">
      <c r="A12013" s="13"/>
      <c r="B12013" s="13"/>
      <c r="C12013" s="13"/>
      <c r="D12013" s="13"/>
    </row>
    <row r="12014" spans="1:4">
      <c r="A12014" s="13"/>
      <c r="B12014" s="13"/>
      <c r="C12014" s="13"/>
      <c r="D12014" s="13"/>
    </row>
    <row r="12015" spans="1:4">
      <c r="A12015" s="13"/>
      <c r="B12015" s="13"/>
      <c r="C12015" s="13"/>
      <c r="D12015" s="13"/>
    </row>
    <row r="12016" spans="1:4">
      <c r="A12016" s="13"/>
      <c r="B12016" s="13"/>
      <c r="C12016" s="13"/>
      <c r="D12016" s="13"/>
    </row>
    <row r="12017" spans="1:4">
      <c r="A12017" s="13"/>
      <c r="B12017" s="13"/>
      <c r="C12017" s="13"/>
      <c r="D12017" s="13"/>
    </row>
    <row r="12018" spans="1:4">
      <c r="A12018" s="13"/>
      <c r="B12018" s="13"/>
      <c r="C12018" s="13"/>
      <c r="D12018" s="13"/>
    </row>
    <row r="12019" spans="1:4">
      <c r="A12019" s="13"/>
      <c r="B12019" s="13"/>
      <c r="C12019" s="13"/>
      <c r="D12019" s="13"/>
    </row>
    <row r="12020" spans="1:4">
      <c r="A12020" s="13"/>
      <c r="B12020" s="13"/>
      <c r="C12020" s="13"/>
      <c r="D12020" s="13"/>
    </row>
    <row r="12021" spans="1:4">
      <c r="A12021" s="13"/>
      <c r="B12021" s="13"/>
      <c r="C12021" s="13"/>
      <c r="D12021" s="13"/>
    </row>
    <row r="12022" spans="1:4">
      <c r="A12022" s="13"/>
      <c r="B12022" s="13"/>
      <c r="C12022" s="13"/>
      <c r="D12022" s="13"/>
    </row>
    <row r="12023" spans="1:4">
      <c r="A12023" s="13"/>
      <c r="B12023" s="13"/>
      <c r="C12023" s="13"/>
      <c r="D12023" s="13"/>
    </row>
    <row r="12024" spans="1:4">
      <c r="A12024" s="13"/>
      <c r="B12024" s="13"/>
      <c r="C12024" s="13"/>
      <c r="D12024" s="13"/>
    </row>
    <row r="12025" spans="1:4">
      <c r="A12025" s="13"/>
      <c r="B12025" s="13"/>
      <c r="C12025" s="13"/>
      <c r="D12025" s="13"/>
    </row>
    <row r="12026" spans="1:4">
      <c r="A12026" s="13"/>
      <c r="B12026" s="13"/>
      <c r="C12026" s="13"/>
      <c r="D12026" s="13"/>
    </row>
    <row r="12027" spans="1:4">
      <c r="A12027" s="13"/>
      <c r="B12027" s="13"/>
      <c r="C12027" s="13"/>
      <c r="D12027" s="13"/>
    </row>
    <row r="12028" spans="1:4">
      <c r="A12028" s="13"/>
      <c r="B12028" s="13"/>
      <c r="C12028" s="13"/>
      <c r="D12028" s="13"/>
    </row>
    <row r="12029" spans="1:4">
      <c r="A12029" s="13"/>
      <c r="B12029" s="13"/>
      <c r="C12029" s="13"/>
      <c r="D12029" s="13"/>
    </row>
    <row r="12030" spans="1:4">
      <c r="A12030" s="13"/>
      <c r="B12030" s="13"/>
      <c r="C12030" s="13"/>
      <c r="D12030" s="13"/>
    </row>
    <row r="12031" spans="1:4">
      <c r="A12031" s="13"/>
      <c r="B12031" s="13"/>
      <c r="C12031" s="13"/>
      <c r="D12031" s="13"/>
    </row>
    <row r="12032" spans="1:4">
      <c r="A12032" s="13"/>
      <c r="B12032" s="13"/>
      <c r="C12032" s="13"/>
      <c r="D12032" s="13"/>
    </row>
    <row r="12033" spans="1:4">
      <c r="A12033" s="13"/>
      <c r="B12033" s="13"/>
      <c r="C12033" s="13"/>
      <c r="D12033" s="13"/>
    </row>
    <row r="12034" spans="1:4">
      <c r="A12034" s="13"/>
      <c r="B12034" s="13"/>
      <c r="C12034" s="13"/>
      <c r="D12034" s="13"/>
    </row>
    <row r="12035" spans="1:4">
      <c r="A12035" s="13"/>
      <c r="B12035" s="13"/>
      <c r="C12035" s="13"/>
      <c r="D12035" s="13"/>
    </row>
    <row r="12036" spans="1:4">
      <c r="A12036" s="13"/>
      <c r="B12036" s="13"/>
      <c r="C12036" s="13"/>
      <c r="D12036" s="13"/>
    </row>
    <row r="12037" spans="1:4">
      <c r="A12037" s="13"/>
      <c r="B12037" s="13"/>
      <c r="C12037" s="13"/>
      <c r="D12037" s="13"/>
    </row>
    <row r="12038" spans="1:4">
      <c r="A12038" s="13"/>
      <c r="B12038" s="13"/>
      <c r="C12038" s="13"/>
      <c r="D12038" s="13"/>
    </row>
    <row r="12039" spans="1:4">
      <c r="A12039" s="13"/>
      <c r="B12039" s="13"/>
      <c r="C12039" s="13"/>
      <c r="D12039" s="13"/>
    </row>
    <row r="12040" spans="1:4">
      <c r="A12040" s="13"/>
      <c r="B12040" s="13"/>
      <c r="C12040" s="13"/>
      <c r="D12040" s="13"/>
    </row>
    <row r="12041" spans="1:4">
      <c r="A12041" s="13"/>
      <c r="B12041" s="13"/>
      <c r="C12041" s="13"/>
      <c r="D12041" s="13"/>
    </row>
    <row r="12042" spans="1:4">
      <c r="A12042" s="13"/>
      <c r="B12042" s="13"/>
      <c r="C12042" s="13"/>
      <c r="D12042" s="13"/>
    </row>
    <row r="12043" spans="1:4">
      <c r="A12043" s="13"/>
      <c r="B12043" s="13"/>
      <c r="C12043" s="13"/>
      <c r="D12043" s="13"/>
    </row>
    <row r="12044" spans="1:4">
      <c r="A12044" s="13"/>
      <c r="B12044" s="13"/>
      <c r="C12044" s="13"/>
      <c r="D12044" s="13"/>
    </row>
    <row r="12045" spans="1:4">
      <c r="A12045" s="13"/>
      <c r="B12045" s="13"/>
      <c r="C12045" s="13"/>
      <c r="D12045" s="13"/>
    </row>
    <row r="12046" spans="1:4">
      <c r="A12046" s="13"/>
      <c r="B12046" s="13"/>
      <c r="C12046" s="13"/>
      <c r="D12046" s="13"/>
    </row>
    <row r="12047" spans="1:4">
      <c r="A12047" s="13"/>
      <c r="B12047" s="13"/>
      <c r="C12047" s="13"/>
      <c r="D12047" s="13"/>
    </row>
    <row r="12048" spans="1:4">
      <c r="A12048" s="13"/>
      <c r="B12048" s="13"/>
      <c r="C12048" s="13"/>
      <c r="D12048" s="13"/>
    </row>
    <row r="12049" spans="1:4">
      <c r="A12049" s="13"/>
      <c r="B12049" s="13"/>
      <c r="C12049" s="13"/>
      <c r="D12049" s="13"/>
    </row>
    <row r="12050" spans="1:4">
      <c r="A12050" s="13"/>
      <c r="B12050" s="13"/>
      <c r="C12050" s="13"/>
      <c r="D12050" s="13"/>
    </row>
    <row r="12051" spans="1:4">
      <c r="A12051" s="13"/>
      <c r="B12051" s="13"/>
      <c r="C12051" s="13"/>
      <c r="D12051" s="13"/>
    </row>
    <row r="12052" spans="1:4">
      <c r="A12052" s="13"/>
      <c r="B12052" s="13"/>
      <c r="C12052" s="13"/>
      <c r="D12052" s="13"/>
    </row>
    <row r="12053" spans="1:4">
      <c r="A12053" s="13"/>
      <c r="B12053" s="13"/>
      <c r="C12053" s="13"/>
      <c r="D12053" s="13"/>
    </row>
    <row r="12054" spans="1:4">
      <c r="A12054" s="13"/>
      <c r="B12054" s="13"/>
      <c r="C12054" s="13"/>
      <c r="D12054" s="13"/>
    </row>
    <row r="12055" spans="1:4">
      <c r="A12055" s="13"/>
      <c r="B12055" s="13"/>
      <c r="C12055" s="13"/>
      <c r="D12055" s="13"/>
    </row>
    <row r="12056" spans="1:4">
      <c r="A12056" s="13"/>
      <c r="B12056" s="13"/>
      <c r="C12056" s="13"/>
      <c r="D12056" s="13"/>
    </row>
    <row r="12057" spans="1:4">
      <c r="A12057" s="13"/>
      <c r="B12057" s="13"/>
      <c r="C12057" s="13"/>
      <c r="D12057" s="13"/>
    </row>
    <row r="12058" spans="1:4">
      <c r="A12058" s="13"/>
      <c r="B12058" s="13"/>
      <c r="C12058" s="13"/>
      <c r="D12058" s="13"/>
    </row>
    <row r="12059" spans="1:4">
      <c r="A12059" s="13"/>
      <c r="B12059" s="13"/>
      <c r="C12059" s="13"/>
      <c r="D12059" s="13"/>
    </row>
    <row r="12060" spans="1:4">
      <c r="A12060" s="13"/>
      <c r="B12060" s="13"/>
      <c r="C12060" s="13"/>
      <c r="D12060" s="13"/>
    </row>
    <row r="12061" spans="1:4">
      <c r="A12061" s="13"/>
      <c r="B12061" s="13"/>
      <c r="C12061" s="13"/>
      <c r="D12061" s="13"/>
    </row>
    <row r="12062" spans="1:4">
      <c r="A12062" s="13"/>
      <c r="B12062" s="13"/>
      <c r="C12062" s="13"/>
      <c r="D12062" s="13"/>
    </row>
    <row r="12063" spans="1:4">
      <c r="A12063" s="13"/>
      <c r="B12063" s="13"/>
      <c r="C12063" s="13"/>
      <c r="D12063" s="13"/>
    </row>
    <row r="12064" spans="1:4">
      <c r="A12064" s="13"/>
      <c r="B12064" s="13"/>
      <c r="C12064" s="13"/>
      <c r="D12064" s="13"/>
    </row>
    <row r="12065" spans="1:4">
      <c r="A12065" s="13"/>
      <c r="B12065" s="13"/>
      <c r="C12065" s="13"/>
      <c r="D12065" s="13"/>
    </row>
    <row r="12066" spans="1:4">
      <c r="A12066" s="13"/>
      <c r="B12066" s="13"/>
      <c r="C12066" s="13"/>
      <c r="D12066" s="13"/>
    </row>
    <row r="12067" spans="1:4">
      <c r="A12067" s="13"/>
      <c r="B12067" s="13"/>
      <c r="C12067" s="13"/>
      <c r="D12067" s="13"/>
    </row>
    <row r="12068" spans="1:4">
      <c r="A12068" s="13"/>
      <c r="B12068" s="13"/>
      <c r="C12068" s="13"/>
      <c r="D12068" s="13"/>
    </row>
    <row r="12069" spans="1:4">
      <c r="A12069" s="13"/>
      <c r="B12069" s="13"/>
      <c r="C12069" s="13"/>
      <c r="D12069" s="13"/>
    </row>
    <row r="12070" spans="1:4">
      <c r="A12070" s="13"/>
      <c r="B12070" s="13"/>
      <c r="C12070" s="13"/>
      <c r="D12070" s="13"/>
    </row>
    <row r="12071" spans="1:4">
      <c r="A12071" s="13"/>
      <c r="B12071" s="13"/>
      <c r="C12071" s="13"/>
      <c r="D12071" s="13"/>
    </row>
    <row r="12072" spans="1:4">
      <c r="A12072" s="13"/>
      <c r="B12072" s="13"/>
      <c r="C12072" s="13"/>
      <c r="D12072" s="13"/>
    </row>
    <row r="12073" spans="1:4">
      <c r="A12073" s="13"/>
      <c r="B12073" s="13"/>
      <c r="C12073" s="13"/>
      <c r="D12073" s="13"/>
    </row>
    <row r="12074" spans="1:4">
      <c r="A12074" s="13"/>
      <c r="B12074" s="13"/>
      <c r="C12074" s="13"/>
      <c r="D12074" s="13"/>
    </row>
    <row r="12075" spans="1:4">
      <c r="A12075" s="13"/>
      <c r="B12075" s="13"/>
      <c r="C12075" s="13"/>
      <c r="D12075" s="13"/>
    </row>
    <row r="12076" spans="1:4">
      <c r="A12076" s="13"/>
      <c r="B12076" s="13"/>
      <c r="C12076" s="13"/>
      <c r="D12076" s="13"/>
    </row>
    <row r="12077" spans="1:4">
      <c r="A12077" s="13"/>
      <c r="B12077" s="13"/>
      <c r="C12077" s="13"/>
      <c r="D12077" s="13"/>
    </row>
    <row r="12078" spans="1:4">
      <c r="A12078" s="13"/>
      <c r="B12078" s="13"/>
      <c r="C12078" s="13"/>
      <c r="D12078" s="13"/>
    </row>
    <row r="12079" spans="1:4">
      <c r="A12079" s="13"/>
      <c r="B12079" s="13"/>
      <c r="C12079" s="13"/>
      <c r="D12079" s="13"/>
    </row>
    <row r="12080" spans="1:4">
      <c r="A12080" s="13"/>
      <c r="B12080" s="13"/>
      <c r="C12080" s="13"/>
      <c r="D12080" s="13"/>
    </row>
    <row r="12081" spans="1:4">
      <c r="A12081" s="13"/>
      <c r="B12081" s="13"/>
      <c r="C12081" s="13"/>
      <c r="D12081" s="13"/>
    </row>
    <row r="12082" spans="1:4">
      <c r="A12082" s="13"/>
      <c r="B12082" s="13"/>
      <c r="C12082" s="13"/>
      <c r="D12082" s="13"/>
    </row>
    <row r="12083" spans="1:4">
      <c r="A12083" s="13"/>
      <c r="B12083" s="13"/>
      <c r="C12083" s="13"/>
      <c r="D12083" s="13"/>
    </row>
    <row r="12084" spans="1:4">
      <c r="A12084" s="13"/>
      <c r="B12084" s="13"/>
      <c r="C12084" s="13"/>
      <c r="D12084" s="13"/>
    </row>
    <row r="12085" spans="1:4">
      <c r="A12085" s="13"/>
      <c r="B12085" s="13"/>
      <c r="C12085" s="13"/>
      <c r="D12085" s="13"/>
    </row>
    <row r="12086" spans="1:4">
      <c r="A12086" s="13"/>
      <c r="B12086" s="13"/>
      <c r="C12086" s="13"/>
      <c r="D12086" s="13"/>
    </row>
    <row r="12087" spans="1:4">
      <c r="A12087" s="13"/>
      <c r="B12087" s="13"/>
      <c r="C12087" s="13"/>
      <c r="D12087" s="13"/>
    </row>
    <row r="12088" spans="1:4">
      <c r="A12088" s="13"/>
      <c r="B12088" s="13"/>
      <c r="C12088" s="13"/>
      <c r="D12088" s="13"/>
    </row>
    <row r="12089" spans="1:4">
      <c r="A12089" s="13"/>
      <c r="B12089" s="13"/>
      <c r="C12089" s="13"/>
      <c r="D12089" s="13"/>
    </row>
    <row r="12090" spans="1:4">
      <c r="A12090" s="13"/>
      <c r="B12090" s="13"/>
      <c r="C12090" s="13"/>
      <c r="D12090" s="13"/>
    </row>
    <row r="12091" spans="1:4">
      <c r="A12091" s="13"/>
      <c r="B12091" s="13"/>
      <c r="C12091" s="13"/>
      <c r="D12091" s="13"/>
    </row>
    <row r="12092" spans="1:4">
      <c r="A12092" s="13"/>
      <c r="B12092" s="13"/>
      <c r="C12092" s="13"/>
      <c r="D12092" s="13"/>
    </row>
    <row r="12093" spans="1:4">
      <c r="A12093" s="13"/>
      <c r="B12093" s="13"/>
      <c r="C12093" s="13"/>
      <c r="D12093" s="13"/>
    </row>
    <row r="12094" spans="1:4">
      <c r="A12094" s="13"/>
      <c r="B12094" s="13"/>
      <c r="C12094" s="13"/>
      <c r="D12094" s="13"/>
    </row>
    <row r="12095" spans="1:4">
      <c r="A12095" s="13"/>
      <c r="B12095" s="13"/>
      <c r="C12095" s="13"/>
      <c r="D12095" s="13"/>
    </row>
    <row r="12096" spans="1:4">
      <c r="A12096" s="13"/>
      <c r="B12096" s="13"/>
      <c r="C12096" s="13"/>
      <c r="D12096" s="13"/>
    </row>
    <row r="12097" spans="1:4">
      <c r="A12097" s="13"/>
      <c r="B12097" s="13"/>
      <c r="C12097" s="13"/>
      <c r="D12097" s="13"/>
    </row>
    <row r="12098" spans="1:4">
      <c r="A12098" s="13"/>
      <c r="B12098" s="13"/>
      <c r="C12098" s="13"/>
      <c r="D12098" s="13"/>
    </row>
    <row r="12099" spans="1:4">
      <c r="A12099" s="13"/>
      <c r="B12099" s="13"/>
      <c r="C12099" s="13"/>
      <c r="D12099" s="13"/>
    </row>
    <row r="12100" spans="1:4">
      <c r="A12100" s="13"/>
      <c r="B12100" s="13"/>
      <c r="C12100" s="13"/>
      <c r="D12100" s="13"/>
    </row>
    <row r="12101" spans="1:4">
      <c r="A12101" s="13"/>
      <c r="B12101" s="13"/>
      <c r="C12101" s="13"/>
      <c r="D12101" s="13"/>
    </row>
    <row r="12102" spans="1:4">
      <c r="A12102" s="13"/>
      <c r="B12102" s="13"/>
      <c r="C12102" s="13"/>
      <c r="D12102" s="13"/>
    </row>
    <row r="12103" spans="1:4">
      <c r="A12103" s="13"/>
      <c r="B12103" s="13"/>
      <c r="C12103" s="13"/>
      <c r="D12103" s="13"/>
    </row>
    <row r="12104" spans="1:4">
      <c r="A12104" s="13"/>
      <c r="B12104" s="13"/>
      <c r="C12104" s="13"/>
      <c r="D12104" s="13"/>
    </row>
    <row r="12105" spans="1:4">
      <c r="A12105" s="13"/>
      <c r="B12105" s="13"/>
      <c r="C12105" s="13"/>
      <c r="D12105" s="13"/>
    </row>
    <row r="12106" spans="1:4">
      <c r="A12106" s="13"/>
      <c r="B12106" s="13"/>
      <c r="C12106" s="13"/>
      <c r="D12106" s="13"/>
    </row>
    <row r="12107" spans="1:4">
      <c r="A12107" s="13"/>
      <c r="B12107" s="13"/>
      <c r="C12107" s="13"/>
      <c r="D12107" s="13"/>
    </row>
    <row r="12108" spans="1:4">
      <c r="A12108" s="13"/>
      <c r="B12108" s="13"/>
      <c r="C12108" s="13"/>
      <c r="D12108" s="13"/>
    </row>
    <row r="12109" spans="1:4">
      <c r="A12109" s="13"/>
      <c r="B12109" s="13"/>
      <c r="C12109" s="13"/>
      <c r="D12109" s="13"/>
    </row>
    <row r="12110" spans="1:4">
      <c r="A12110" s="13"/>
      <c r="B12110" s="13"/>
      <c r="C12110" s="13"/>
      <c r="D12110" s="13"/>
    </row>
    <row r="12111" spans="1:4">
      <c r="A12111" s="13"/>
      <c r="B12111" s="13"/>
      <c r="C12111" s="13"/>
      <c r="D12111" s="13"/>
    </row>
    <row r="12112" spans="1:4">
      <c r="A12112" s="13"/>
      <c r="B12112" s="13"/>
      <c r="C12112" s="13"/>
      <c r="D12112" s="13"/>
    </row>
    <row r="12113" spans="1:4">
      <c r="A12113" s="13"/>
      <c r="B12113" s="13"/>
      <c r="C12113" s="13"/>
      <c r="D12113" s="13"/>
    </row>
    <row r="12114" spans="1:4">
      <c r="A12114" s="13"/>
      <c r="B12114" s="13"/>
      <c r="C12114" s="13"/>
      <c r="D12114" s="13"/>
    </row>
    <row r="12115" spans="1:4">
      <c r="A12115" s="13"/>
      <c r="B12115" s="13"/>
      <c r="C12115" s="13"/>
      <c r="D12115" s="13"/>
    </row>
    <row r="12116" spans="1:4">
      <c r="A12116" s="13"/>
      <c r="B12116" s="13"/>
      <c r="C12116" s="13"/>
      <c r="D12116" s="13"/>
    </row>
    <row r="12117" spans="1:4">
      <c r="A12117" s="13"/>
      <c r="B12117" s="13"/>
      <c r="C12117" s="13"/>
      <c r="D12117" s="13"/>
    </row>
    <row r="12118" spans="1:4">
      <c r="A12118" s="13"/>
      <c r="B12118" s="13"/>
      <c r="C12118" s="13"/>
      <c r="D12118" s="13"/>
    </row>
    <row r="12119" spans="1:4">
      <c r="A12119" s="13"/>
      <c r="B12119" s="13"/>
      <c r="C12119" s="13"/>
      <c r="D12119" s="13"/>
    </row>
    <row r="12120" spans="1:4">
      <c r="A12120" s="13"/>
      <c r="B12120" s="13"/>
      <c r="C12120" s="13"/>
      <c r="D12120" s="13"/>
    </row>
    <row r="12121" spans="1:4">
      <c r="A12121" s="13"/>
      <c r="B12121" s="13"/>
      <c r="C12121" s="13"/>
      <c r="D12121" s="13"/>
    </row>
    <row r="12122" spans="1:4">
      <c r="A12122" s="13"/>
      <c r="B12122" s="13"/>
      <c r="C12122" s="13"/>
      <c r="D12122" s="13"/>
    </row>
    <row r="12123" spans="1:4">
      <c r="A12123" s="13"/>
      <c r="B12123" s="13"/>
      <c r="C12123" s="13"/>
      <c r="D12123" s="13"/>
    </row>
    <row r="12124" spans="1:4">
      <c r="A12124" s="13"/>
      <c r="B12124" s="13"/>
      <c r="C12124" s="13"/>
      <c r="D12124" s="13"/>
    </row>
    <row r="12125" spans="1:4">
      <c r="A12125" s="13"/>
      <c r="B12125" s="13"/>
      <c r="C12125" s="13"/>
      <c r="D12125" s="13"/>
    </row>
    <row r="12126" spans="1:4">
      <c r="A12126" s="13"/>
      <c r="B12126" s="13"/>
      <c r="C12126" s="13"/>
      <c r="D12126" s="13"/>
    </row>
    <row r="12127" spans="1:4">
      <c r="A12127" s="13"/>
      <c r="B12127" s="13"/>
      <c r="C12127" s="13"/>
      <c r="D12127" s="13"/>
    </row>
    <row r="12128" spans="1:4">
      <c r="A12128" s="13"/>
      <c r="B12128" s="13"/>
      <c r="C12128" s="13"/>
      <c r="D12128" s="13"/>
    </row>
    <row r="12129" spans="1:4">
      <c r="A12129" s="13"/>
      <c r="B12129" s="13"/>
      <c r="C12129" s="13"/>
      <c r="D12129" s="13"/>
    </row>
    <row r="12130" spans="1:4">
      <c r="A12130" s="13"/>
      <c r="B12130" s="13"/>
      <c r="C12130" s="13"/>
      <c r="D12130" s="13"/>
    </row>
    <row r="12131" spans="1:4">
      <c r="A12131" s="13"/>
      <c r="B12131" s="13"/>
      <c r="C12131" s="13"/>
      <c r="D12131" s="13"/>
    </row>
    <row r="12132" spans="1:4">
      <c r="A12132" s="13"/>
      <c r="B12132" s="13"/>
      <c r="C12132" s="13"/>
      <c r="D12132" s="13"/>
    </row>
    <row r="12133" spans="1:4">
      <c r="A12133" s="13"/>
      <c r="B12133" s="13"/>
      <c r="C12133" s="13"/>
      <c r="D12133" s="13"/>
    </row>
    <row r="12134" spans="1:4">
      <c r="A12134" s="13"/>
      <c r="B12134" s="13"/>
      <c r="C12134" s="13"/>
      <c r="D12134" s="13"/>
    </row>
    <row r="12135" spans="1:4">
      <c r="A12135" s="13"/>
      <c r="B12135" s="13"/>
      <c r="C12135" s="13"/>
      <c r="D12135" s="13"/>
    </row>
    <row r="12136" spans="1:4">
      <c r="A12136" s="13"/>
      <c r="B12136" s="13"/>
      <c r="C12136" s="13"/>
      <c r="D12136" s="13"/>
    </row>
    <row r="12137" spans="1:4">
      <c r="A12137" s="13"/>
      <c r="B12137" s="13"/>
      <c r="C12137" s="13"/>
      <c r="D12137" s="13"/>
    </row>
    <row r="12138" spans="1:4">
      <c r="A12138" s="13"/>
      <c r="B12138" s="13"/>
      <c r="C12138" s="13"/>
      <c r="D12138" s="13"/>
    </row>
    <row r="12139" spans="1:4">
      <c r="A12139" s="13"/>
      <c r="B12139" s="13"/>
      <c r="C12139" s="13"/>
      <c r="D12139" s="13"/>
    </row>
    <row r="12140" spans="1:4">
      <c r="A12140" s="13"/>
      <c r="B12140" s="13"/>
      <c r="C12140" s="13"/>
      <c r="D12140" s="13"/>
    </row>
    <row r="12141" spans="1:4">
      <c r="A12141" s="13"/>
      <c r="B12141" s="13"/>
      <c r="C12141" s="13"/>
      <c r="D12141" s="13"/>
    </row>
    <row r="12142" spans="1:4">
      <c r="A12142" s="13"/>
      <c r="B12142" s="13"/>
      <c r="C12142" s="13"/>
      <c r="D12142" s="13"/>
    </row>
    <row r="12143" spans="1:4">
      <c r="A12143" s="13"/>
      <c r="B12143" s="13"/>
      <c r="C12143" s="13"/>
      <c r="D12143" s="13"/>
    </row>
    <row r="12144" spans="1:4">
      <c r="A12144" s="13"/>
      <c r="B12144" s="13"/>
      <c r="C12144" s="13"/>
      <c r="D12144" s="13"/>
    </row>
    <row r="12145" spans="1:4">
      <c r="A12145" s="13"/>
      <c r="B12145" s="13"/>
      <c r="C12145" s="13"/>
      <c r="D12145" s="13"/>
    </row>
    <row r="12146" spans="1:4">
      <c r="A12146" s="13"/>
      <c r="B12146" s="13"/>
      <c r="C12146" s="13"/>
      <c r="D12146" s="13"/>
    </row>
    <row r="12147" spans="1:4">
      <c r="A12147" s="13"/>
      <c r="B12147" s="13"/>
      <c r="C12147" s="13"/>
      <c r="D12147" s="13"/>
    </row>
    <row r="12148" spans="1:4">
      <c r="A12148" s="13"/>
      <c r="B12148" s="13"/>
      <c r="C12148" s="13"/>
      <c r="D12148" s="13"/>
    </row>
    <row r="12149" spans="1:4">
      <c r="A12149" s="13"/>
      <c r="B12149" s="13"/>
      <c r="C12149" s="13"/>
      <c r="D12149" s="13"/>
    </row>
    <row r="12150" spans="1:4">
      <c r="A12150" s="13"/>
      <c r="B12150" s="13"/>
      <c r="C12150" s="13"/>
      <c r="D12150" s="13"/>
    </row>
    <row r="12151" spans="1:4">
      <c r="A12151" s="13"/>
      <c r="B12151" s="13"/>
      <c r="C12151" s="13"/>
      <c r="D12151" s="13"/>
    </row>
    <row r="12152" spans="1:4">
      <c r="A12152" s="13"/>
      <c r="B12152" s="13"/>
      <c r="C12152" s="13"/>
      <c r="D12152" s="13"/>
    </row>
    <row r="12153" spans="1:4">
      <c r="A12153" s="13"/>
      <c r="B12153" s="13"/>
      <c r="C12153" s="13"/>
      <c r="D12153" s="13"/>
    </row>
    <row r="12154" spans="1:4">
      <c r="A12154" s="13"/>
      <c r="B12154" s="13"/>
      <c r="C12154" s="13"/>
      <c r="D12154" s="13"/>
    </row>
    <row r="12155" spans="1:4">
      <c r="A12155" s="13"/>
      <c r="B12155" s="13"/>
      <c r="C12155" s="13"/>
      <c r="D12155" s="13"/>
    </row>
    <row r="12156" spans="1:4">
      <c r="A12156" s="13"/>
      <c r="B12156" s="13"/>
      <c r="C12156" s="13"/>
      <c r="D12156" s="13"/>
    </row>
    <row r="12157" spans="1:4">
      <c r="A12157" s="13"/>
      <c r="B12157" s="13"/>
      <c r="C12157" s="13"/>
      <c r="D12157" s="13"/>
    </row>
    <row r="12158" spans="1:4">
      <c r="A12158" s="13"/>
      <c r="B12158" s="13"/>
      <c r="C12158" s="13"/>
      <c r="D12158" s="13"/>
    </row>
    <row r="12159" spans="1:4">
      <c r="A12159" s="13"/>
      <c r="B12159" s="13"/>
      <c r="C12159" s="13"/>
      <c r="D12159" s="13"/>
    </row>
    <row r="12160" spans="1:4">
      <c r="A12160" s="13"/>
      <c r="B12160" s="13"/>
      <c r="C12160" s="13"/>
      <c r="D12160" s="13"/>
    </row>
    <row r="12161" spans="1:4">
      <c r="A12161" s="13"/>
      <c r="B12161" s="13"/>
      <c r="C12161" s="13"/>
      <c r="D12161" s="13"/>
    </row>
    <row r="12162" spans="1:4">
      <c r="A12162" s="13"/>
      <c r="B12162" s="13"/>
      <c r="C12162" s="13"/>
      <c r="D12162" s="13"/>
    </row>
    <row r="12163" spans="1:4">
      <c r="A12163" s="13"/>
      <c r="B12163" s="13"/>
      <c r="C12163" s="13"/>
      <c r="D12163" s="13"/>
    </row>
    <row r="12164" spans="1:4">
      <c r="A12164" s="13"/>
      <c r="B12164" s="13"/>
      <c r="C12164" s="13"/>
      <c r="D12164" s="13"/>
    </row>
    <row r="12165" spans="1:4">
      <c r="A12165" s="13"/>
      <c r="B12165" s="13"/>
      <c r="C12165" s="13"/>
      <c r="D12165" s="13"/>
    </row>
    <row r="12166" spans="1:4">
      <c r="A12166" s="13"/>
      <c r="B12166" s="13"/>
      <c r="C12166" s="13"/>
      <c r="D12166" s="13"/>
    </row>
    <row r="12167" spans="1:4">
      <c r="A12167" s="13"/>
      <c r="B12167" s="13"/>
      <c r="C12167" s="13"/>
      <c r="D12167" s="13"/>
    </row>
    <row r="12168" spans="1:4">
      <c r="A12168" s="13"/>
      <c r="B12168" s="13"/>
      <c r="C12168" s="13"/>
      <c r="D12168" s="13"/>
    </row>
    <row r="12169" spans="1:4">
      <c r="A12169" s="13"/>
      <c r="B12169" s="13"/>
      <c r="C12169" s="13"/>
      <c r="D12169" s="13"/>
    </row>
    <row r="12170" spans="1:4">
      <c r="A12170" s="13"/>
      <c r="B12170" s="13"/>
      <c r="C12170" s="13"/>
      <c r="D12170" s="13"/>
    </row>
    <row r="12171" spans="1:4">
      <c r="A12171" s="13"/>
      <c r="B12171" s="13"/>
      <c r="C12171" s="13"/>
      <c r="D12171" s="13"/>
    </row>
    <row r="12172" spans="1:4">
      <c r="A12172" s="13"/>
      <c r="B12172" s="13"/>
      <c r="C12172" s="13"/>
      <c r="D12172" s="13"/>
    </row>
    <row r="12173" spans="1:4">
      <c r="A12173" s="13"/>
      <c r="B12173" s="13"/>
      <c r="C12173" s="13"/>
      <c r="D12173" s="13"/>
    </row>
    <row r="12174" spans="1:4">
      <c r="A12174" s="13"/>
      <c r="B12174" s="13"/>
      <c r="C12174" s="13"/>
      <c r="D12174" s="13"/>
    </row>
    <row r="12175" spans="1:4">
      <c r="A12175" s="13"/>
      <c r="B12175" s="13"/>
      <c r="C12175" s="13"/>
      <c r="D12175" s="13"/>
    </row>
    <row r="12176" spans="1:4">
      <c r="A12176" s="13"/>
      <c r="B12176" s="13"/>
      <c r="C12176" s="13"/>
      <c r="D12176" s="13"/>
    </row>
    <row r="12177" spans="1:4">
      <c r="A12177" s="13"/>
      <c r="B12177" s="13"/>
      <c r="C12177" s="13"/>
      <c r="D12177" s="13"/>
    </row>
    <row r="12178" spans="1:4">
      <c r="A12178" s="13"/>
      <c r="B12178" s="13"/>
      <c r="C12178" s="13"/>
      <c r="D12178" s="13"/>
    </row>
    <row r="12179" spans="1:4">
      <c r="A12179" s="13"/>
      <c r="B12179" s="13"/>
      <c r="C12179" s="13"/>
      <c r="D12179" s="13"/>
    </row>
    <row r="12180" spans="1:4">
      <c r="A12180" s="13"/>
      <c r="B12180" s="13"/>
      <c r="C12180" s="13"/>
      <c r="D12180" s="13"/>
    </row>
    <row r="12181" spans="1:4">
      <c r="A12181" s="13"/>
      <c r="B12181" s="13"/>
      <c r="C12181" s="13"/>
      <c r="D12181" s="13"/>
    </row>
    <row r="12182" spans="1:4">
      <c r="A12182" s="13"/>
      <c r="B12182" s="13"/>
      <c r="C12182" s="13"/>
      <c r="D12182" s="13"/>
    </row>
    <row r="12183" spans="1:4">
      <c r="A12183" s="13"/>
      <c r="B12183" s="13"/>
      <c r="C12183" s="13"/>
      <c r="D12183" s="13"/>
    </row>
    <row r="12184" spans="1:4">
      <c r="A12184" s="13"/>
      <c r="B12184" s="13"/>
      <c r="C12184" s="13"/>
      <c r="D12184" s="13"/>
    </row>
    <row r="12185" spans="1:4">
      <c r="A12185" s="13"/>
      <c r="B12185" s="13"/>
      <c r="C12185" s="13"/>
      <c r="D12185" s="13"/>
    </row>
    <row r="12186" spans="1:4">
      <c r="A12186" s="13"/>
      <c r="B12186" s="13"/>
      <c r="C12186" s="13"/>
      <c r="D12186" s="13"/>
    </row>
    <row r="12187" spans="1:4">
      <c r="A12187" s="13"/>
      <c r="B12187" s="13"/>
      <c r="C12187" s="13"/>
      <c r="D12187" s="13"/>
    </row>
    <row r="12188" spans="1:4">
      <c r="A12188" s="13"/>
      <c r="B12188" s="13"/>
      <c r="C12188" s="13"/>
      <c r="D12188" s="13"/>
    </row>
    <row r="12189" spans="1:4">
      <c r="A12189" s="13"/>
      <c r="B12189" s="13"/>
      <c r="C12189" s="13"/>
      <c r="D12189" s="13"/>
    </row>
    <row r="12190" spans="1:4">
      <c r="A12190" s="13"/>
      <c r="B12190" s="13"/>
      <c r="C12190" s="13"/>
      <c r="D12190" s="13"/>
    </row>
    <row r="12191" spans="1:4">
      <c r="A12191" s="13"/>
      <c r="B12191" s="13"/>
      <c r="C12191" s="13"/>
      <c r="D12191" s="13"/>
    </row>
    <row r="12192" spans="1:4">
      <c r="A12192" s="13"/>
      <c r="B12192" s="13"/>
      <c r="C12192" s="13"/>
      <c r="D12192" s="13"/>
    </row>
    <row r="12193" spans="1:4">
      <c r="A12193" s="13"/>
      <c r="B12193" s="13"/>
      <c r="C12193" s="13"/>
      <c r="D12193" s="13"/>
    </row>
    <row r="12194" spans="1:4">
      <c r="A12194" s="13"/>
      <c r="B12194" s="13"/>
      <c r="C12194" s="13"/>
      <c r="D12194" s="13"/>
    </row>
    <row r="12195" spans="1:4">
      <c r="A12195" s="13"/>
      <c r="B12195" s="13"/>
      <c r="C12195" s="13"/>
      <c r="D12195" s="13"/>
    </row>
    <row r="12196" spans="1:4">
      <c r="A12196" s="13"/>
      <c r="B12196" s="13"/>
      <c r="C12196" s="13"/>
      <c r="D12196" s="13"/>
    </row>
    <row r="12197" spans="1:4">
      <c r="A12197" s="13"/>
      <c r="B12197" s="13"/>
      <c r="C12197" s="13"/>
      <c r="D12197" s="13"/>
    </row>
    <row r="12198" spans="1:4">
      <c r="A12198" s="13"/>
      <c r="B12198" s="13"/>
      <c r="C12198" s="13"/>
      <c r="D12198" s="13"/>
    </row>
    <row r="12199" spans="1:4">
      <c r="A12199" s="13"/>
      <c r="B12199" s="13"/>
      <c r="C12199" s="13"/>
      <c r="D12199" s="13"/>
    </row>
    <row r="12200" spans="1:4">
      <c r="A12200" s="13"/>
      <c r="B12200" s="13"/>
      <c r="C12200" s="13"/>
      <c r="D12200" s="13"/>
    </row>
    <row r="12201" spans="1:4">
      <c r="A12201" s="13"/>
      <c r="B12201" s="13"/>
      <c r="C12201" s="13"/>
      <c r="D12201" s="13"/>
    </row>
    <row r="12202" spans="1:4">
      <c r="A12202" s="13"/>
      <c r="B12202" s="13"/>
      <c r="C12202" s="13"/>
      <c r="D12202" s="13"/>
    </row>
    <row r="12203" spans="1:4">
      <c r="A12203" s="13"/>
      <c r="B12203" s="13"/>
      <c r="C12203" s="13"/>
      <c r="D12203" s="13"/>
    </row>
    <row r="12204" spans="1:4">
      <c r="A12204" s="13"/>
      <c r="B12204" s="13"/>
      <c r="C12204" s="13"/>
      <c r="D12204" s="13"/>
    </row>
    <row r="12205" spans="1:4">
      <c r="A12205" s="13"/>
      <c r="B12205" s="13"/>
      <c r="C12205" s="13"/>
      <c r="D12205" s="13"/>
    </row>
    <row r="12206" spans="1:4">
      <c r="A12206" s="13"/>
      <c r="B12206" s="13"/>
      <c r="C12206" s="13"/>
      <c r="D12206" s="13"/>
    </row>
    <row r="12207" spans="1:4">
      <c r="A12207" s="13"/>
      <c r="B12207" s="13"/>
      <c r="C12207" s="13"/>
      <c r="D12207" s="13"/>
    </row>
    <row r="12208" spans="1:4">
      <c r="A12208" s="13"/>
      <c r="B12208" s="13"/>
      <c r="C12208" s="13"/>
      <c r="D12208" s="13"/>
    </row>
    <row r="12209" spans="1:4">
      <c r="A12209" s="13"/>
      <c r="B12209" s="13"/>
      <c r="C12209" s="13"/>
      <c r="D12209" s="13"/>
    </row>
    <row r="12210" spans="1:4">
      <c r="A12210" s="13"/>
      <c r="B12210" s="13"/>
      <c r="C12210" s="13"/>
      <c r="D12210" s="13"/>
    </row>
    <row r="12211" spans="1:4">
      <c r="A12211" s="13"/>
      <c r="B12211" s="13"/>
      <c r="C12211" s="13"/>
      <c r="D12211" s="13"/>
    </row>
    <row r="12212" spans="1:4">
      <c r="A12212" s="13"/>
      <c r="B12212" s="13"/>
      <c r="C12212" s="13"/>
      <c r="D12212" s="13"/>
    </row>
    <row r="12213" spans="1:4">
      <c r="A12213" s="13"/>
      <c r="B12213" s="13"/>
      <c r="C12213" s="13"/>
      <c r="D12213" s="13"/>
    </row>
    <row r="12214" spans="1:4">
      <c r="A12214" s="13"/>
      <c r="B12214" s="13"/>
      <c r="C12214" s="13"/>
      <c r="D12214" s="13"/>
    </row>
    <row r="12215" spans="1:4">
      <c r="A12215" s="13"/>
      <c r="B12215" s="13"/>
      <c r="C12215" s="13"/>
      <c r="D12215" s="13"/>
    </row>
    <row r="12216" spans="1:4">
      <c r="A12216" s="13"/>
      <c r="B12216" s="13"/>
      <c r="C12216" s="13"/>
      <c r="D12216" s="13"/>
    </row>
    <row r="12217" spans="1:4">
      <c r="A12217" s="13"/>
      <c r="B12217" s="13"/>
      <c r="C12217" s="13"/>
      <c r="D12217" s="13"/>
    </row>
    <row r="12218" spans="1:4">
      <c r="A12218" s="13"/>
      <c r="B12218" s="13"/>
      <c r="C12218" s="13"/>
      <c r="D12218" s="13"/>
    </row>
    <row r="12219" spans="1:4">
      <c r="A12219" s="13"/>
      <c r="B12219" s="13"/>
      <c r="C12219" s="13"/>
      <c r="D12219" s="13"/>
    </row>
    <row r="12220" spans="1:4">
      <c r="A12220" s="13"/>
      <c r="B12220" s="13"/>
      <c r="C12220" s="13"/>
      <c r="D12220" s="13"/>
    </row>
    <row r="12221" spans="1:4">
      <c r="A12221" s="13"/>
      <c r="B12221" s="13"/>
      <c r="C12221" s="13"/>
      <c r="D12221" s="13"/>
    </row>
    <row r="12222" spans="1:4">
      <c r="A12222" s="13"/>
      <c r="B12222" s="13"/>
      <c r="C12222" s="13"/>
      <c r="D12222" s="13"/>
    </row>
    <row r="12223" spans="1:4">
      <c r="A12223" s="13"/>
      <c r="B12223" s="13"/>
      <c r="C12223" s="13"/>
      <c r="D12223" s="13"/>
    </row>
    <row r="12224" spans="1:4">
      <c r="A12224" s="13"/>
      <c r="B12224" s="13"/>
      <c r="C12224" s="13"/>
      <c r="D12224" s="13"/>
    </row>
    <row r="12225" spans="1:4">
      <c r="A12225" s="13"/>
      <c r="B12225" s="13"/>
      <c r="C12225" s="13"/>
      <c r="D12225" s="13"/>
    </row>
    <row r="12226" spans="1:4">
      <c r="A12226" s="13"/>
      <c r="B12226" s="13"/>
      <c r="C12226" s="13"/>
      <c r="D12226" s="13"/>
    </row>
    <row r="12227" spans="1:4">
      <c r="A12227" s="13"/>
      <c r="B12227" s="13"/>
      <c r="C12227" s="13"/>
      <c r="D12227" s="13"/>
    </row>
    <row r="12228" spans="1:4">
      <c r="A12228" s="13"/>
      <c r="B12228" s="13"/>
      <c r="C12228" s="13"/>
      <c r="D12228" s="13"/>
    </row>
    <row r="12229" spans="1:4">
      <c r="A12229" s="13"/>
      <c r="B12229" s="13"/>
      <c r="C12229" s="13"/>
      <c r="D12229" s="13"/>
    </row>
    <row r="12230" spans="1:4">
      <c r="A12230" s="13"/>
      <c r="B12230" s="13"/>
      <c r="C12230" s="13"/>
      <c r="D12230" s="13"/>
    </row>
    <row r="12231" spans="1:4">
      <c r="A12231" s="13"/>
      <c r="B12231" s="13"/>
      <c r="C12231" s="13"/>
      <c r="D12231" s="13"/>
    </row>
    <row r="12232" spans="1:4">
      <c r="A12232" s="13"/>
      <c r="B12232" s="13"/>
      <c r="C12232" s="13"/>
      <c r="D12232" s="13"/>
    </row>
    <row r="12233" spans="1:4">
      <c r="A12233" s="13"/>
      <c r="B12233" s="13"/>
      <c r="C12233" s="13"/>
      <c r="D12233" s="13"/>
    </row>
    <row r="12234" spans="1:4">
      <c r="A12234" s="13"/>
      <c r="B12234" s="13"/>
      <c r="C12234" s="13"/>
      <c r="D12234" s="13"/>
    </row>
    <row r="12235" spans="1:4">
      <c r="A12235" s="13"/>
      <c r="B12235" s="13"/>
      <c r="C12235" s="13"/>
      <c r="D12235" s="13"/>
    </row>
    <row r="12236" spans="1:4">
      <c r="A12236" s="13"/>
      <c r="B12236" s="13"/>
      <c r="C12236" s="13"/>
      <c r="D12236" s="13"/>
    </row>
    <row r="12237" spans="1:4">
      <c r="A12237" s="13"/>
      <c r="B12237" s="13"/>
      <c r="C12237" s="13"/>
      <c r="D12237" s="13"/>
    </row>
    <row r="12238" spans="1:4">
      <c r="A12238" s="13"/>
      <c r="B12238" s="13"/>
      <c r="C12238" s="13"/>
      <c r="D12238" s="13"/>
    </row>
    <row r="12239" spans="1:4">
      <c r="A12239" s="13"/>
      <c r="B12239" s="13"/>
      <c r="C12239" s="13"/>
      <c r="D12239" s="13"/>
    </row>
    <row r="12240" spans="1:4">
      <c r="A12240" s="13"/>
      <c r="B12240" s="13"/>
      <c r="C12240" s="13"/>
      <c r="D12240" s="13"/>
    </row>
    <row r="12241" spans="1:4">
      <c r="A12241" s="13"/>
      <c r="B12241" s="13"/>
      <c r="C12241" s="13"/>
      <c r="D12241" s="13"/>
    </row>
    <row r="12242" spans="1:4">
      <c r="A12242" s="13"/>
      <c r="B12242" s="13"/>
      <c r="C12242" s="13"/>
      <c r="D12242" s="13"/>
    </row>
    <row r="12243" spans="1:4">
      <c r="A12243" s="13"/>
      <c r="B12243" s="13"/>
      <c r="C12243" s="13"/>
      <c r="D12243" s="13"/>
    </row>
    <row r="12244" spans="1:4">
      <c r="A12244" s="13"/>
      <c r="B12244" s="13"/>
      <c r="C12244" s="13"/>
      <c r="D12244" s="13"/>
    </row>
    <row r="12245" spans="1:4">
      <c r="A12245" s="13"/>
      <c r="B12245" s="13"/>
      <c r="C12245" s="13"/>
      <c r="D12245" s="13"/>
    </row>
    <row r="12246" spans="1:4">
      <c r="A12246" s="13"/>
      <c r="B12246" s="13"/>
      <c r="C12246" s="13"/>
      <c r="D12246" s="13"/>
    </row>
    <row r="12247" spans="1:4">
      <c r="A12247" s="13"/>
      <c r="B12247" s="13"/>
      <c r="C12247" s="13"/>
      <c r="D12247" s="13"/>
    </row>
    <row r="12248" spans="1:4">
      <c r="A12248" s="13"/>
      <c r="B12248" s="13"/>
      <c r="C12248" s="13"/>
      <c r="D12248" s="13"/>
    </row>
    <row r="12249" spans="1:4">
      <c r="A12249" s="13"/>
      <c r="B12249" s="13"/>
      <c r="C12249" s="13"/>
      <c r="D12249" s="13"/>
    </row>
    <row r="12250" spans="1:4">
      <c r="A12250" s="13"/>
      <c r="B12250" s="13"/>
      <c r="C12250" s="13"/>
      <c r="D12250" s="13"/>
    </row>
    <row r="12251" spans="1:4">
      <c r="A12251" s="13"/>
      <c r="B12251" s="13"/>
      <c r="C12251" s="13"/>
      <c r="D12251" s="13"/>
    </row>
    <row r="12252" spans="1:4">
      <c r="A12252" s="13"/>
      <c r="B12252" s="13"/>
      <c r="C12252" s="13"/>
      <c r="D12252" s="13"/>
    </row>
    <row r="12253" spans="1:4">
      <c r="A12253" s="13"/>
      <c r="B12253" s="13"/>
      <c r="C12253" s="13"/>
      <c r="D12253" s="13"/>
    </row>
    <row r="12254" spans="1:4">
      <c r="A12254" s="13"/>
      <c r="B12254" s="13"/>
      <c r="C12254" s="13"/>
      <c r="D12254" s="13"/>
    </row>
    <row r="12255" spans="1:4">
      <c r="A12255" s="13"/>
      <c r="B12255" s="13"/>
      <c r="C12255" s="13"/>
      <c r="D12255" s="13"/>
    </row>
    <row r="12256" spans="1:4">
      <c r="A12256" s="13"/>
      <c r="B12256" s="13"/>
      <c r="C12256" s="13"/>
      <c r="D12256" s="13"/>
    </row>
    <row r="12257" spans="1:4">
      <c r="A12257" s="13"/>
      <c r="B12257" s="13"/>
      <c r="C12257" s="13"/>
      <c r="D12257" s="13"/>
    </row>
    <row r="12258" spans="1:4">
      <c r="A12258" s="13"/>
      <c r="B12258" s="13"/>
      <c r="C12258" s="13"/>
      <c r="D12258" s="13"/>
    </row>
    <row r="12259" spans="1:4">
      <c r="A12259" s="13"/>
      <c r="B12259" s="13"/>
      <c r="C12259" s="13"/>
      <c r="D12259" s="13"/>
    </row>
    <row r="12260" spans="1:4">
      <c r="A12260" s="13"/>
      <c r="B12260" s="13"/>
      <c r="C12260" s="13"/>
      <c r="D12260" s="13"/>
    </row>
    <row r="12261" spans="1:4">
      <c r="A12261" s="13"/>
      <c r="B12261" s="13"/>
      <c r="C12261" s="13"/>
      <c r="D12261" s="13"/>
    </row>
    <row r="12262" spans="1:4">
      <c r="A12262" s="13"/>
      <c r="B12262" s="13"/>
      <c r="C12262" s="13"/>
      <c r="D12262" s="13"/>
    </row>
    <row r="12263" spans="1:4">
      <c r="A12263" s="13"/>
      <c r="B12263" s="13"/>
      <c r="C12263" s="13"/>
      <c r="D12263" s="13"/>
    </row>
    <row r="12264" spans="1:4">
      <c r="A12264" s="13"/>
      <c r="B12264" s="13"/>
      <c r="C12264" s="13"/>
      <c r="D12264" s="13"/>
    </row>
    <row r="12265" spans="1:4">
      <c r="A12265" s="13"/>
      <c r="B12265" s="13"/>
      <c r="C12265" s="13"/>
      <c r="D12265" s="13"/>
    </row>
    <row r="12266" spans="1:4">
      <c r="A12266" s="13"/>
      <c r="B12266" s="13"/>
      <c r="C12266" s="13"/>
      <c r="D12266" s="13"/>
    </row>
    <row r="12267" spans="1:4">
      <c r="A12267" s="13"/>
      <c r="B12267" s="13"/>
      <c r="C12267" s="13"/>
      <c r="D12267" s="13"/>
    </row>
    <row r="12268" spans="1:4">
      <c r="A12268" s="13"/>
      <c r="B12268" s="13"/>
      <c r="C12268" s="13"/>
      <c r="D12268" s="13"/>
    </row>
    <row r="12269" spans="1:4">
      <c r="A12269" s="13"/>
      <c r="B12269" s="13"/>
      <c r="C12269" s="13"/>
      <c r="D12269" s="13"/>
    </row>
    <row r="12270" spans="1:4">
      <c r="A12270" s="13"/>
      <c r="B12270" s="13"/>
      <c r="C12270" s="13"/>
      <c r="D12270" s="13"/>
    </row>
    <row r="12271" spans="1:4">
      <c r="A12271" s="13"/>
      <c r="B12271" s="13"/>
      <c r="C12271" s="13"/>
      <c r="D12271" s="13"/>
    </row>
    <row r="12272" spans="1:4">
      <c r="A12272" s="13"/>
      <c r="B12272" s="13"/>
      <c r="C12272" s="13"/>
      <c r="D12272" s="13"/>
    </row>
    <row r="12273" spans="1:4">
      <c r="A12273" s="13"/>
      <c r="B12273" s="13"/>
      <c r="C12273" s="13"/>
      <c r="D12273" s="13"/>
    </row>
    <row r="12274" spans="1:4">
      <c r="A12274" s="13"/>
      <c r="B12274" s="13"/>
      <c r="C12274" s="13"/>
      <c r="D12274" s="13"/>
    </row>
    <row r="12275" spans="1:4">
      <c r="A12275" s="13"/>
      <c r="B12275" s="13"/>
      <c r="C12275" s="13"/>
      <c r="D12275" s="13"/>
    </row>
    <row r="12276" spans="1:4">
      <c r="A12276" s="13"/>
      <c r="B12276" s="13"/>
      <c r="C12276" s="13"/>
      <c r="D12276" s="13"/>
    </row>
    <row r="12277" spans="1:4">
      <c r="A12277" s="13"/>
      <c r="B12277" s="13"/>
      <c r="C12277" s="13"/>
      <c r="D12277" s="13"/>
    </row>
    <row r="12278" spans="1:4">
      <c r="A12278" s="13"/>
      <c r="B12278" s="13"/>
      <c r="C12278" s="13"/>
      <c r="D12278" s="13"/>
    </row>
    <row r="12279" spans="1:4">
      <c r="A12279" s="13"/>
      <c r="B12279" s="13"/>
      <c r="C12279" s="13"/>
      <c r="D12279" s="13"/>
    </row>
    <row r="12280" spans="1:4">
      <c r="A12280" s="13"/>
      <c r="B12280" s="13"/>
      <c r="C12280" s="13"/>
      <c r="D12280" s="13"/>
    </row>
    <row r="12281" spans="1:4">
      <c r="A12281" s="13"/>
      <c r="B12281" s="13"/>
      <c r="C12281" s="13"/>
      <c r="D12281" s="13"/>
    </row>
    <row r="12282" spans="1:4">
      <c r="A12282" s="13"/>
      <c r="B12282" s="13"/>
      <c r="C12282" s="13"/>
      <c r="D12282" s="13"/>
    </row>
    <row r="12283" spans="1:4">
      <c r="A12283" s="13"/>
      <c r="B12283" s="13"/>
      <c r="C12283" s="13"/>
      <c r="D12283" s="13"/>
    </row>
    <row r="12284" spans="1:4">
      <c r="A12284" s="13"/>
      <c r="B12284" s="13"/>
      <c r="C12284" s="13"/>
      <c r="D12284" s="13"/>
    </row>
    <row r="12285" spans="1:4">
      <c r="A12285" s="13"/>
      <c r="B12285" s="13"/>
      <c r="C12285" s="13"/>
      <c r="D12285" s="13"/>
    </row>
    <row r="12286" spans="1:4">
      <c r="A12286" s="13"/>
      <c r="B12286" s="13"/>
      <c r="C12286" s="13"/>
      <c r="D12286" s="13"/>
    </row>
    <row r="12287" spans="1:4">
      <c r="A12287" s="13"/>
      <c r="B12287" s="13"/>
      <c r="C12287" s="13"/>
      <c r="D12287" s="13"/>
    </row>
    <row r="12288" spans="1:4">
      <c r="A12288" s="13"/>
      <c r="B12288" s="13"/>
      <c r="C12288" s="13"/>
      <c r="D12288" s="13"/>
    </row>
    <row r="12289" spans="1:4">
      <c r="A12289" s="13"/>
      <c r="B12289" s="13"/>
      <c r="C12289" s="13"/>
      <c r="D12289" s="13"/>
    </row>
    <row r="12290" spans="1:4">
      <c r="A12290" s="13"/>
      <c r="B12290" s="13"/>
      <c r="C12290" s="13"/>
      <c r="D12290" s="13"/>
    </row>
    <row r="12291" spans="1:4">
      <c r="A12291" s="13"/>
      <c r="B12291" s="13"/>
      <c r="C12291" s="13"/>
      <c r="D12291" s="13"/>
    </row>
    <row r="12292" spans="1:4">
      <c r="A12292" s="13"/>
      <c r="B12292" s="13"/>
      <c r="C12292" s="13"/>
      <c r="D12292" s="13"/>
    </row>
    <row r="12293" spans="1:4">
      <c r="A12293" s="13"/>
      <c r="B12293" s="13"/>
      <c r="C12293" s="13"/>
      <c r="D12293" s="13"/>
    </row>
    <row r="12294" spans="1:4">
      <c r="A12294" s="13"/>
      <c r="B12294" s="13"/>
      <c r="C12294" s="13"/>
      <c r="D12294" s="13"/>
    </row>
    <row r="12295" spans="1:4">
      <c r="A12295" s="13"/>
      <c r="B12295" s="13"/>
      <c r="C12295" s="13"/>
      <c r="D12295" s="13"/>
    </row>
    <row r="12296" spans="1:4">
      <c r="A12296" s="13"/>
      <c r="B12296" s="13"/>
      <c r="C12296" s="13"/>
      <c r="D12296" s="13"/>
    </row>
    <row r="12297" spans="1:4">
      <c r="A12297" s="13"/>
      <c r="B12297" s="13"/>
      <c r="C12297" s="13"/>
      <c r="D12297" s="13"/>
    </row>
    <row r="12298" spans="1:4">
      <c r="A12298" s="13"/>
      <c r="B12298" s="13"/>
      <c r="C12298" s="13"/>
      <c r="D12298" s="13"/>
    </row>
    <row r="12299" spans="1:4">
      <c r="A12299" s="13"/>
      <c r="B12299" s="13"/>
      <c r="C12299" s="13"/>
      <c r="D12299" s="13"/>
    </row>
    <row r="12300" spans="1:4">
      <c r="A12300" s="13"/>
      <c r="B12300" s="13"/>
      <c r="C12300" s="13"/>
      <c r="D12300" s="13"/>
    </row>
    <row r="12301" spans="1:4">
      <c r="A12301" s="13"/>
      <c r="B12301" s="13"/>
      <c r="C12301" s="13"/>
      <c r="D12301" s="13"/>
    </row>
    <row r="12302" spans="1:4">
      <c r="A12302" s="13"/>
      <c r="B12302" s="13"/>
      <c r="C12302" s="13"/>
      <c r="D12302" s="13"/>
    </row>
    <row r="12303" spans="1:4">
      <c r="A12303" s="13"/>
      <c r="B12303" s="13"/>
      <c r="C12303" s="13"/>
      <c r="D12303" s="13"/>
    </row>
    <row r="12304" spans="1:4">
      <c r="A12304" s="13"/>
      <c r="B12304" s="13"/>
      <c r="C12304" s="13"/>
      <c r="D12304" s="13"/>
    </row>
    <row r="12305" spans="1:4">
      <c r="A12305" s="13"/>
      <c r="B12305" s="13"/>
      <c r="C12305" s="13"/>
      <c r="D12305" s="13"/>
    </row>
    <row r="12306" spans="1:4">
      <c r="A12306" s="13"/>
      <c r="B12306" s="13"/>
      <c r="C12306" s="13"/>
      <c r="D12306" s="13"/>
    </row>
    <row r="12307" spans="1:4">
      <c r="A12307" s="13"/>
      <c r="B12307" s="13"/>
      <c r="C12307" s="13"/>
      <c r="D12307" s="13"/>
    </row>
    <row r="12308" spans="1:4">
      <c r="A12308" s="13"/>
      <c r="B12308" s="13"/>
      <c r="C12308" s="13"/>
      <c r="D12308" s="13"/>
    </row>
    <row r="12309" spans="1:4">
      <c r="A12309" s="13"/>
      <c r="B12309" s="13"/>
      <c r="C12309" s="13"/>
      <c r="D12309" s="13"/>
    </row>
    <row r="12310" spans="1:4">
      <c r="A12310" s="13"/>
      <c r="B12310" s="13"/>
      <c r="C12310" s="13"/>
      <c r="D12310" s="13"/>
    </row>
    <row r="12311" spans="1:4">
      <c r="A12311" s="13"/>
      <c r="B12311" s="13"/>
      <c r="C12311" s="13"/>
      <c r="D12311" s="13"/>
    </row>
    <row r="12312" spans="1:4">
      <c r="A12312" s="13"/>
      <c r="B12312" s="13"/>
      <c r="C12312" s="13"/>
      <c r="D12312" s="13"/>
    </row>
    <row r="12313" spans="1:4">
      <c r="A12313" s="13"/>
      <c r="B12313" s="13"/>
      <c r="C12313" s="13"/>
      <c r="D12313" s="13"/>
    </row>
    <row r="12314" spans="1:4">
      <c r="A12314" s="13"/>
      <c r="B12314" s="13"/>
      <c r="C12314" s="13"/>
      <c r="D12314" s="13"/>
    </row>
    <row r="12315" spans="1:4">
      <c r="A12315" s="13"/>
      <c r="B12315" s="13"/>
      <c r="C12315" s="13"/>
      <c r="D12315" s="13"/>
    </row>
    <row r="12316" spans="1:4">
      <c r="A12316" s="13"/>
      <c r="B12316" s="13"/>
      <c r="C12316" s="13"/>
      <c r="D12316" s="13"/>
    </row>
    <row r="12317" spans="1:4">
      <c r="A12317" s="13"/>
      <c r="B12317" s="13"/>
      <c r="C12317" s="13"/>
      <c r="D12317" s="13"/>
    </row>
    <row r="12318" spans="1:4">
      <c r="A12318" s="13"/>
      <c r="B12318" s="13"/>
      <c r="C12318" s="13"/>
      <c r="D12318" s="13"/>
    </row>
    <row r="12319" spans="1:4">
      <c r="A12319" s="13"/>
      <c r="B12319" s="13"/>
      <c r="C12319" s="13"/>
      <c r="D12319" s="13"/>
    </row>
    <row r="12320" spans="1:4">
      <c r="A12320" s="13"/>
      <c r="B12320" s="13"/>
      <c r="C12320" s="13"/>
      <c r="D12320" s="13"/>
    </row>
    <row r="12321" spans="1:4">
      <c r="A12321" s="13"/>
      <c r="B12321" s="13"/>
      <c r="C12321" s="13"/>
      <c r="D12321" s="13"/>
    </row>
    <row r="12322" spans="1:4">
      <c r="A12322" s="13"/>
      <c r="B12322" s="13"/>
      <c r="C12322" s="13"/>
      <c r="D12322" s="13"/>
    </row>
    <row r="12323" spans="1:4">
      <c r="A12323" s="13"/>
      <c r="B12323" s="13"/>
      <c r="C12323" s="13"/>
      <c r="D12323" s="13"/>
    </row>
    <row r="12324" spans="1:4">
      <c r="A12324" s="13"/>
      <c r="B12324" s="13"/>
      <c r="C12324" s="13"/>
      <c r="D12324" s="13"/>
    </row>
    <row r="12325" spans="1:4">
      <c r="A12325" s="13"/>
      <c r="B12325" s="13"/>
      <c r="C12325" s="13"/>
      <c r="D12325" s="13"/>
    </row>
    <row r="12326" spans="1:4">
      <c r="A12326" s="13"/>
      <c r="B12326" s="13"/>
      <c r="C12326" s="13"/>
      <c r="D12326" s="13"/>
    </row>
    <row r="12327" spans="1:4">
      <c r="A12327" s="13"/>
      <c r="B12327" s="13"/>
      <c r="C12327" s="13"/>
      <c r="D12327" s="13"/>
    </row>
    <row r="12328" spans="1:4">
      <c r="A12328" s="13"/>
      <c r="B12328" s="13"/>
      <c r="C12328" s="13"/>
      <c r="D12328" s="13"/>
    </row>
    <row r="12329" spans="1:4">
      <c r="A12329" s="13"/>
      <c r="B12329" s="13"/>
      <c r="C12329" s="13"/>
      <c r="D12329" s="13"/>
    </row>
    <row r="12330" spans="1:4">
      <c r="A12330" s="13"/>
      <c r="B12330" s="13"/>
      <c r="C12330" s="13"/>
      <c r="D12330" s="13"/>
    </row>
    <row r="12331" spans="1:4">
      <c r="A12331" s="13"/>
      <c r="B12331" s="13"/>
      <c r="C12331" s="13"/>
      <c r="D12331" s="13"/>
    </row>
    <row r="12332" spans="1:4">
      <c r="A12332" s="13"/>
      <c r="B12332" s="13"/>
      <c r="C12332" s="13"/>
      <c r="D12332" s="13"/>
    </row>
    <row r="12333" spans="1:4">
      <c r="A12333" s="13"/>
      <c r="B12333" s="13"/>
      <c r="C12333" s="13"/>
      <c r="D12333" s="13"/>
    </row>
    <row r="12334" spans="1:4">
      <c r="A12334" s="13"/>
      <c r="B12334" s="13"/>
      <c r="C12334" s="13"/>
      <c r="D12334" s="13"/>
    </row>
    <row r="12335" spans="1:4">
      <c r="A12335" s="13"/>
      <c r="B12335" s="13"/>
      <c r="C12335" s="13"/>
      <c r="D12335" s="13"/>
    </row>
    <row r="12336" spans="1:4">
      <c r="A12336" s="13"/>
      <c r="B12336" s="13"/>
      <c r="C12336" s="13"/>
      <c r="D12336" s="13"/>
    </row>
    <row r="12337" spans="1:4">
      <c r="A12337" s="13"/>
      <c r="B12337" s="13"/>
      <c r="C12337" s="13"/>
      <c r="D12337" s="13"/>
    </row>
    <row r="12338" spans="1:4">
      <c r="A12338" s="13"/>
      <c r="B12338" s="13"/>
      <c r="C12338" s="13"/>
      <c r="D12338" s="13"/>
    </row>
    <row r="12339" spans="1:4">
      <c r="A12339" s="13"/>
      <c r="B12339" s="13"/>
      <c r="C12339" s="13"/>
      <c r="D12339" s="13"/>
    </row>
    <row r="12340" spans="1:4">
      <c r="A12340" s="13"/>
      <c r="B12340" s="13"/>
      <c r="C12340" s="13"/>
      <c r="D12340" s="13"/>
    </row>
    <row r="12341" spans="1:4">
      <c r="A12341" s="13"/>
      <c r="B12341" s="13"/>
      <c r="C12341" s="13"/>
      <c r="D12341" s="13"/>
    </row>
    <row r="12342" spans="1:4">
      <c r="A12342" s="13"/>
      <c r="B12342" s="13"/>
      <c r="C12342" s="13"/>
      <c r="D12342" s="13"/>
    </row>
    <row r="12343" spans="1:4">
      <c r="A12343" s="13"/>
      <c r="B12343" s="13"/>
      <c r="C12343" s="13"/>
      <c r="D12343" s="13"/>
    </row>
    <row r="12344" spans="1:4">
      <c r="A12344" s="13"/>
      <c r="B12344" s="13"/>
      <c r="C12344" s="13"/>
      <c r="D12344" s="13"/>
    </row>
    <row r="12345" spans="1:4">
      <c r="A12345" s="13"/>
      <c r="B12345" s="13"/>
      <c r="C12345" s="13"/>
      <c r="D12345" s="13"/>
    </row>
    <row r="12346" spans="1:4">
      <c r="A12346" s="13"/>
      <c r="B12346" s="13"/>
      <c r="C12346" s="13"/>
      <c r="D12346" s="13"/>
    </row>
    <row r="12347" spans="1:4">
      <c r="A12347" s="13"/>
      <c r="B12347" s="13"/>
      <c r="C12347" s="13"/>
      <c r="D12347" s="13"/>
    </row>
    <row r="12348" spans="1:4">
      <c r="A12348" s="13"/>
      <c r="B12348" s="13"/>
      <c r="C12348" s="13"/>
      <c r="D12348" s="13"/>
    </row>
    <row r="12349" spans="1:4">
      <c r="A12349" s="13"/>
      <c r="B12349" s="13"/>
      <c r="C12349" s="13"/>
      <c r="D12349" s="13"/>
    </row>
    <row r="12350" spans="1:4">
      <c r="A12350" s="13"/>
      <c r="B12350" s="13"/>
      <c r="C12350" s="13"/>
      <c r="D12350" s="13"/>
    </row>
    <row r="12351" spans="1:4">
      <c r="A12351" s="13"/>
      <c r="B12351" s="13"/>
      <c r="C12351" s="13"/>
      <c r="D12351" s="13"/>
    </row>
    <row r="12352" spans="1:4">
      <c r="A12352" s="13"/>
      <c r="B12352" s="13"/>
      <c r="C12352" s="13"/>
      <c r="D12352" s="13"/>
    </row>
    <row r="12353" spans="1:4">
      <c r="A12353" s="13"/>
      <c r="B12353" s="13"/>
      <c r="C12353" s="13"/>
      <c r="D12353" s="13"/>
    </row>
    <row r="12354" spans="1:4">
      <c r="A12354" s="13"/>
      <c r="B12354" s="13"/>
      <c r="C12354" s="13"/>
      <c r="D12354" s="13"/>
    </row>
    <row r="12355" spans="1:4">
      <c r="A12355" s="13"/>
      <c r="B12355" s="13"/>
      <c r="C12355" s="13"/>
      <c r="D12355" s="13"/>
    </row>
    <row r="12356" spans="1:4">
      <c r="A12356" s="13"/>
      <c r="B12356" s="13"/>
      <c r="C12356" s="13"/>
      <c r="D12356" s="13"/>
    </row>
    <row r="12357" spans="1:4">
      <c r="A12357" s="13"/>
      <c r="B12357" s="13"/>
      <c r="C12357" s="13"/>
      <c r="D12357" s="13"/>
    </row>
    <row r="12358" spans="1:4">
      <c r="A12358" s="13"/>
      <c r="B12358" s="13"/>
      <c r="C12358" s="13"/>
      <c r="D12358" s="13"/>
    </row>
    <row r="12359" spans="1:4">
      <c r="A12359" s="13"/>
      <c r="B12359" s="13"/>
      <c r="C12359" s="13"/>
      <c r="D12359" s="13"/>
    </row>
    <row r="12360" spans="1:4">
      <c r="A12360" s="13"/>
      <c r="B12360" s="13"/>
      <c r="C12360" s="13"/>
      <c r="D12360" s="13"/>
    </row>
    <row r="12361" spans="1:4">
      <c r="A12361" s="13"/>
      <c r="B12361" s="13"/>
      <c r="C12361" s="13"/>
      <c r="D12361" s="13"/>
    </row>
    <row r="12362" spans="1:4">
      <c r="A12362" s="13"/>
      <c r="B12362" s="13"/>
      <c r="C12362" s="13"/>
      <c r="D12362" s="13"/>
    </row>
    <row r="12363" spans="1:4">
      <c r="A12363" s="13"/>
      <c r="B12363" s="13"/>
      <c r="C12363" s="13"/>
      <c r="D12363" s="13"/>
    </row>
    <row r="12364" spans="1:4">
      <c r="A12364" s="13"/>
      <c r="B12364" s="13"/>
      <c r="C12364" s="13"/>
      <c r="D12364" s="13"/>
    </row>
    <row r="12365" spans="1:4">
      <c r="A12365" s="13"/>
      <c r="B12365" s="13"/>
      <c r="C12365" s="13"/>
      <c r="D12365" s="13"/>
    </row>
    <row r="12366" spans="1:4">
      <c r="A12366" s="13"/>
      <c r="B12366" s="13"/>
      <c r="C12366" s="13"/>
      <c r="D12366" s="13"/>
    </row>
    <row r="12367" spans="1:4">
      <c r="A12367" s="13"/>
      <c r="B12367" s="13"/>
      <c r="C12367" s="13"/>
      <c r="D12367" s="13"/>
    </row>
    <row r="12368" spans="1:4">
      <c r="A12368" s="13"/>
      <c r="B12368" s="13"/>
      <c r="C12368" s="13"/>
      <c r="D12368" s="13"/>
    </row>
    <row r="12369" spans="1:4">
      <c r="A12369" s="13"/>
      <c r="B12369" s="13"/>
      <c r="C12369" s="13"/>
      <c r="D12369" s="13"/>
    </row>
    <row r="12370" spans="1:4">
      <c r="A12370" s="13"/>
      <c r="B12370" s="13"/>
      <c r="C12370" s="13"/>
      <c r="D12370" s="13"/>
    </row>
    <row r="12371" spans="1:4">
      <c r="A12371" s="13"/>
      <c r="B12371" s="13"/>
      <c r="C12371" s="13"/>
      <c r="D12371" s="13"/>
    </row>
    <row r="12372" spans="1:4">
      <c r="A12372" s="13"/>
      <c r="B12372" s="13"/>
      <c r="C12372" s="13"/>
      <c r="D12372" s="13"/>
    </row>
    <row r="12373" spans="1:4">
      <c r="A12373" s="13"/>
      <c r="B12373" s="13"/>
      <c r="C12373" s="13"/>
      <c r="D12373" s="13"/>
    </row>
    <row r="12374" spans="1:4">
      <c r="A12374" s="13"/>
      <c r="B12374" s="13"/>
      <c r="C12374" s="13"/>
      <c r="D12374" s="13"/>
    </row>
    <row r="12375" spans="1:4">
      <c r="A12375" s="13"/>
      <c r="B12375" s="13"/>
      <c r="C12375" s="13"/>
      <c r="D12375" s="13"/>
    </row>
    <row r="12376" spans="1:4">
      <c r="A12376" s="13"/>
      <c r="B12376" s="13"/>
      <c r="C12376" s="13"/>
      <c r="D12376" s="13"/>
    </row>
    <row r="12377" spans="1:4">
      <c r="A12377" s="13"/>
      <c r="B12377" s="13"/>
      <c r="C12377" s="13"/>
      <c r="D12377" s="13"/>
    </row>
    <row r="12378" spans="1:4">
      <c r="A12378" s="13"/>
      <c r="B12378" s="13"/>
      <c r="C12378" s="13"/>
      <c r="D12378" s="13"/>
    </row>
    <row r="12379" spans="1:4">
      <c r="A12379" s="13"/>
      <c r="B12379" s="13"/>
      <c r="C12379" s="13"/>
      <c r="D12379" s="13"/>
    </row>
    <row r="12380" spans="1:4">
      <c r="A12380" s="13"/>
      <c r="B12380" s="13"/>
      <c r="C12380" s="13"/>
      <c r="D12380" s="13"/>
    </row>
    <row r="12381" spans="1:4">
      <c r="A12381" s="13"/>
      <c r="B12381" s="13"/>
      <c r="C12381" s="13"/>
      <c r="D12381" s="13"/>
    </row>
    <row r="12382" spans="1:4">
      <c r="A12382" s="13"/>
      <c r="B12382" s="13"/>
      <c r="C12382" s="13"/>
      <c r="D12382" s="13"/>
    </row>
    <row r="12383" spans="1:4">
      <c r="A12383" s="13"/>
      <c r="B12383" s="13"/>
      <c r="C12383" s="13"/>
      <c r="D12383" s="13"/>
    </row>
    <row r="12384" spans="1:4">
      <c r="A12384" s="13"/>
      <c r="B12384" s="13"/>
      <c r="C12384" s="13"/>
      <c r="D12384" s="13"/>
    </row>
    <row r="12385" spans="1:4">
      <c r="A12385" s="13"/>
      <c r="B12385" s="13"/>
      <c r="C12385" s="13"/>
      <c r="D12385" s="13"/>
    </row>
    <row r="12386" spans="1:4">
      <c r="A12386" s="13"/>
      <c r="B12386" s="13"/>
      <c r="C12386" s="13"/>
      <c r="D12386" s="13"/>
    </row>
    <row r="12387" spans="1:4">
      <c r="A12387" s="13"/>
      <c r="B12387" s="13"/>
      <c r="C12387" s="13"/>
      <c r="D12387" s="13"/>
    </row>
    <row r="12388" spans="1:4">
      <c r="A12388" s="13"/>
      <c r="B12388" s="13"/>
      <c r="C12388" s="13"/>
      <c r="D12388" s="13"/>
    </row>
    <row r="12389" spans="1:4">
      <c r="A12389" s="13"/>
      <c r="B12389" s="13"/>
      <c r="C12389" s="13"/>
      <c r="D12389" s="13"/>
    </row>
    <row r="12390" spans="1:4">
      <c r="A12390" s="13"/>
      <c r="B12390" s="13"/>
      <c r="C12390" s="13"/>
      <c r="D12390" s="13"/>
    </row>
    <row r="12391" spans="1:4">
      <c r="A12391" s="13"/>
      <c r="B12391" s="13"/>
      <c r="C12391" s="13"/>
      <c r="D12391" s="13"/>
    </row>
    <row r="12392" spans="1:4">
      <c r="A12392" s="13"/>
      <c r="B12392" s="13"/>
      <c r="C12392" s="13"/>
      <c r="D12392" s="13"/>
    </row>
    <row r="12393" spans="1:4">
      <c r="A12393" s="13"/>
      <c r="B12393" s="13"/>
      <c r="C12393" s="13"/>
      <c r="D12393" s="13"/>
    </row>
    <row r="12394" spans="1:4">
      <c r="A12394" s="13"/>
      <c r="B12394" s="13"/>
      <c r="C12394" s="13"/>
      <c r="D12394" s="13"/>
    </row>
    <row r="12395" spans="1:4">
      <c r="A12395" s="13"/>
      <c r="B12395" s="13"/>
      <c r="C12395" s="13"/>
      <c r="D12395" s="13"/>
    </row>
    <row r="12396" spans="1:4">
      <c r="A12396" s="13"/>
      <c r="B12396" s="13"/>
      <c r="C12396" s="13"/>
      <c r="D12396" s="13"/>
    </row>
    <row r="12397" spans="1:4">
      <c r="A12397" s="13"/>
      <c r="B12397" s="13"/>
      <c r="C12397" s="13"/>
      <c r="D12397" s="13"/>
    </row>
    <row r="12398" spans="1:4">
      <c r="A12398" s="13"/>
      <c r="B12398" s="13"/>
      <c r="C12398" s="13"/>
      <c r="D12398" s="13"/>
    </row>
    <row r="12399" spans="1:4">
      <c r="A12399" s="13"/>
      <c r="B12399" s="13"/>
      <c r="C12399" s="13"/>
      <c r="D12399" s="13"/>
    </row>
    <row r="12400" spans="1:4">
      <c r="A12400" s="13"/>
      <c r="B12400" s="13"/>
      <c r="C12400" s="13"/>
      <c r="D12400" s="13"/>
    </row>
    <row r="12401" spans="1:4">
      <c r="A12401" s="13"/>
      <c r="B12401" s="13"/>
      <c r="C12401" s="13"/>
      <c r="D12401" s="13"/>
    </row>
    <row r="12402" spans="1:4">
      <c r="A12402" s="13"/>
      <c r="B12402" s="13"/>
      <c r="C12402" s="13"/>
      <c r="D12402" s="13"/>
    </row>
    <row r="12403" spans="1:4">
      <c r="A12403" s="13"/>
      <c r="B12403" s="13"/>
      <c r="C12403" s="13"/>
      <c r="D12403" s="13"/>
    </row>
    <row r="12404" spans="1:4">
      <c r="A12404" s="13"/>
      <c r="B12404" s="13"/>
      <c r="C12404" s="13"/>
      <c r="D12404" s="13"/>
    </row>
    <row r="12405" spans="1:4">
      <c r="A12405" s="13"/>
      <c r="B12405" s="13"/>
      <c r="C12405" s="13"/>
      <c r="D12405" s="13"/>
    </row>
    <row r="12406" spans="1:4">
      <c r="A12406" s="13"/>
      <c r="B12406" s="13"/>
      <c r="C12406" s="13"/>
      <c r="D12406" s="13"/>
    </row>
    <row r="12407" spans="1:4">
      <c r="A12407" s="13"/>
      <c r="B12407" s="13"/>
      <c r="C12407" s="13"/>
      <c r="D12407" s="13"/>
    </row>
    <row r="12408" spans="1:4">
      <c r="A12408" s="13"/>
      <c r="B12408" s="13"/>
      <c r="C12408" s="13"/>
      <c r="D12408" s="13"/>
    </row>
    <row r="12409" spans="1:4">
      <c r="A12409" s="13"/>
      <c r="B12409" s="13"/>
      <c r="C12409" s="13"/>
      <c r="D12409" s="13"/>
    </row>
    <row r="12410" spans="1:4">
      <c r="A12410" s="13"/>
      <c r="B12410" s="13"/>
      <c r="C12410" s="13"/>
      <c r="D12410" s="13"/>
    </row>
    <row r="12411" spans="1:4">
      <c r="A12411" s="13"/>
      <c r="B12411" s="13"/>
      <c r="C12411" s="13"/>
      <c r="D12411" s="13"/>
    </row>
    <row r="12412" spans="1:4">
      <c r="A12412" s="13"/>
      <c r="B12412" s="13"/>
      <c r="C12412" s="13"/>
      <c r="D12412" s="13"/>
    </row>
    <row r="12413" spans="1:4">
      <c r="A12413" s="13"/>
      <c r="B12413" s="13"/>
      <c r="C12413" s="13"/>
      <c r="D12413" s="13"/>
    </row>
    <row r="12414" spans="1:4">
      <c r="A12414" s="13"/>
      <c r="B12414" s="13"/>
      <c r="C12414" s="13"/>
      <c r="D12414" s="13"/>
    </row>
    <row r="12415" spans="1:4">
      <c r="A12415" s="13"/>
      <c r="B12415" s="13"/>
      <c r="C12415" s="13"/>
      <c r="D12415" s="13"/>
    </row>
    <row r="12416" spans="1:4">
      <c r="A12416" s="13"/>
      <c r="B12416" s="13"/>
      <c r="C12416" s="13"/>
      <c r="D12416" s="13"/>
    </row>
    <row r="12417" spans="1:4">
      <c r="A12417" s="13"/>
      <c r="B12417" s="13"/>
      <c r="C12417" s="13"/>
      <c r="D12417" s="13"/>
    </row>
    <row r="12418" spans="1:4">
      <c r="A12418" s="13"/>
      <c r="B12418" s="13"/>
      <c r="C12418" s="13"/>
      <c r="D12418" s="13"/>
    </row>
    <row r="12419" spans="1:4">
      <c r="A12419" s="13"/>
      <c r="B12419" s="13"/>
      <c r="C12419" s="13"/>
      <c r="D12419" s="13"/>
    </row>
    <row r="12420" spans="1:4">
      <c r="A12420" s="13"/>
      <c r="B12420" s="13"/>
      <c r="C12420" s="13"/>
      <c r="D12420" s="13"/>
    </row>
    <row r="12421" spans="1:4">
      <c r="A12421" s="13"/>
      <c r="B12421" s="13"/>
      <c r="C12421" s="13"/>
      <c r="D12421" s="13"/>
    </row>
    <row r="12422" spans="1:4">
      <c r="A12422" s="13"/>
      <c r="B12422" s="13"/>
      <c r="C12422" s="13"/>
      <c r="D12422" s="13"/>
    </row>
    <row r="12423" spans="1:4">
      <c r="A12423" s="13"/>
      <c r="B12423" s="13"/>
      <c r="C12423" s="13"/>
      <c r="D12423" s="13"/>
    </row>
    <row r="12424" spans="1:4">
      <c r="A12424" s="13"/>
      <c r="B12424" s="13"/>
      <c r="C12424" s="13"/>
      <c r="D12424" s="13"/>
    </row>
    <row r="12425" spans="1:4">
      <c r="A12425" s="13"/>
      <c r="B12425" s="13"/>
      <c r="C12425" s="13"/>
      <c r="D12425" s="13"/>
    </row>
    <row r="12426" spans="1:4">
      <c r="A12426" s="13"/>
      <c r="B12426" s="13"/>
      <c r="C12426" s="13"/>
      <c r="D12426" s="13"/>
    </row>
    <row r="12427" spans="1:4">
      <c r="A12427" s="13"/>
      <c r="B12427" s="13"/>
      <c r="C12427" s="13"/>
      <c r="D12427" s="13"/>
    </row>
    <row r="12428" spans="1:4">
      <c r="A12428" s="13"/>
      <c r="B12428" s="13"/>
      <c r="C12428" s="13"/>
      <c r="D12428" s="13"/>
    </row>
    <row r="12429" spans="1:4">
      <c r="A12429" s="13"/>
      <c r="B12429" s="13"/>
      <c r="C12429" s="13"/>
      <c r="D12429" s="13"/>
    </row>
    <row r="12430" spans="1:4">
      <c r="A12430" s="13"/>
      <c r="B12430" s="13"/>
      <c r="C12430" s="13"/>
      <c r="D12430" s="13"/>
    </row>
    <row r="12431" spans="1:4">
      <c r="A12431" s="13"/>
      <c r="B12431" s="13"/>
      <c r="C12431" s="13"/>
      <c r="D12431" s="13"/>
    </row>
    <row r="12432" spans="1:4">
      <c r="A12432" s="13"/>
      <c r="B12432" s="13"/>
      <c r="C12432" s="13"/>
      <c r="D12432" s="13"/>
    </row>
    <row r="12433" spans="1:4">
      <c r="A12433" s="13"/>
      <c r="B12433" s="13"/>
      <c r="C12433" s="13"/>
      <c r="D12433" s="13"/>
    </row>
    <row r="12434" spans="1:4">
      <c r="A12434" s="13"/>
      <c r="B12434" s="13"/>
      <c r="C12434" s="13"/>
      <c r="D12434" s="13"/>
    </row>
    <row r="12435" spans="1:4">
      <c r="A12435" s="13"/>
      <c r="B12435" s="13"/>
      <c r="C12435" s="13"/>
      <c r="D12435" s="13"/>
    </row>
    <row r="12436" spans="1:4">
      <c r="A12436" s="13"/>
      <c r="B12436" s="13"/>
      <c r="C12436" s="13"/>
      <c r="D12436" s="13"/>
    </row>
    <row r="12437" spans="1:4">
      <c r="A12437" s="13"/>
      <c r="B12437" s="13"/>
      <c r="C12437" s="13"/>
      <c r="D12437" s="13"/>
    </row>
    <row r="12438" spans="1:4">
      <c r="A12438" s="13"/>
      <c r="B12438" s="13"/>
      <c r="C12438" s="13"/>
      <c r="D12438" s="13"/>
    </row>
    <row r="12439" spans="1:4">
      <c r="A12439" s="13"/>
      <c r="B12439" s="13"/>
      <c r="C12439" s="13"/>
      <c r="D12439" s="13"/>
    </row>
    <row r="12440" spans="1:4">
      <c r="A12440" s="13"/>
      <c r="B12440" s="13"/>
      <c r="C12440" s="13"/>
      <c r="D12440" s="13"/>
    </row>
    <row r="12441" spans="1:4">
      <c r="A12441" s="13"/>
      <c r="B12441" s="13"/>
      <c r="C12441" s="13"/>
      <c r="D12441" s="13"/>
    </row>
    <row r="12442" spans="1:4">
      <c r="A12442" s="13"/>
      <c r="B12442" s="13"/>
      <c r="C12442" s="13"/>
      <c r="D12442" s="13"/>
    </row>
    <row r="12443" spans="1:4">
      <c r="A12443" s="13"/>
      <c r="B12443" s="13"/>
      <c r="C12443" s="13"/>
      <c r="D12443" s="13"/>
    </row>
    <row r="12444" spans="1:4">
      <c r="A12444" s="13"/>
      <c r="B12444" s="13"/>
      <c r="C12444" s="13"/>
      <c r="D12444" s="13"/>
    </row>
    <row r="12445" spans="1:4">
      <c r="A12445" s="13"/>
      <c r="B12445" s="13"/>
      <c r="C12445" s="13"/>
      <c r="D12445" s="13"/>
    </row>
    <row r="12446" spans="1:4">
      <c r="A12446" s="13"/>
      <c r="B12446" s="13"/>
      <c r="C12446" s="13"/>
      <c r="D12446" s="13"/>
    </row>
    <row r="12447" spans="1:4">
      <c r="A12447" s="13"/>
      <c r="B12447" s="13"/>
      <c r="C12447" s="13"/>
      <c r="D12447" s="13"/>
    </row>
    <row r="12448" spans="1:4">
      <c r="A12448" s="13"/>
      <c r="B12448" s="13"/>
      <c r="C12448" s="13"/>
      <c r="D12448" s="13"/>
    </row>
    <row r="12449" spans="1:4">
      <c r="A12449" s="13"/>
      <c r="B12449" s="13"/>
      <c r="C12449" s="13"/>
      <c r="D12449" s="13"/>
    </row>
    <row r="12450" spans="1:4">
      <c r="A12450" s="13"/>
      <c r="B12450" s="13"/>
      <c r="C12450" s="13"/>
      <c r="D12450" s="13"/>
    </row>
    <row r="12451" spans="1:4">
      <c r="A12451" s="13"/>
      <c r="B12451" s="13"/>
      <c r="C12451" s="13"/>
      <c r="D12451" s="13"/>
    </row>
    <row r="12452" spans="1:4">
      <c r="A12452" s="13"/>
      <c r="B12452" s="13"/>
      <c r="C12452" s="13"/>
      <c r="D12452" s="13"/>
    </row>
    <row r="12453" spans="1:4">
      <c r="A12453" s="13"/>
      <c r="B12453" s="13"/>
      <c r="C12453" s="13"/>
      <c r="D12453" s="13"/>
    </row>
    <row r="12454" spans="1:4">
      <c r="A12454" s="13"/>
      <c r="B12454" s="13"/>
      <c r="C12454" s="13"/>
      <c r="D12454" s="13"/>
    </row>
    <row r="12455" spans="1:4">
      <c r="A12455" s="13"/>
      <c r="B12455" s="13"/>
      <c r="C12455" s="13"/>
      <c r="D12455" s="13"/>
    </row>
    <row r="12456" spans="1:4">
      <c r="A12456" s="13"/>
      <c r="B12456" s="13"/>
      <c r="C12456" s="13"/>
      <c r="D12456" s="13"/>
    </row>
    <row r="12457" spans="1:4">
      <c r="A12457" s="13"/>
      <c r="B12457" s="13"/>
      <c r="C12457" s="13"/>
      <c r="D12457" s="13"/>
    </row>
    <row r="12458" spans="1:4">
      <c r="A12458" s="13"/>
      <c r="B12458" s="13"/>
      <c r="C12458" s="13"/>
      <c r="D12458" s="13"/>
    </row>
    <row r="12459" spans="1:4">
      <c r="A12459" s="13"/>
      <c r="B12459" s="13"/>
      <c r="C12459" s="13"/>
      <c r="D12459" s="13"/>
    </row>
    <row r="12460" spans="1:4">
      <c r="A12460" s="13"/>
      <c r="B12460" s="13"/>
      <c r="C12460" s="13"/>
      <c r="D12460" s="13"/>
    </row>
    <row r="12461" spans="1:4">
      <c r="A12461" s="13"/>
      <c r="B12461" s="13"/>
      <c r="C12461" s="13"/>
      <c r="D12461" s="13"/>
    </row>
    <row r="12462" spans="1:4">
      <c r="A12462" s="13"/>
      <c r="B12462" s="13"/>
      <c r="C12462" s="13"/>
      <c r="D12462" s="13"/>
    </row>
    <row r="12463" spans="1:4">
      <c r="A12463" s="13"/>
      <c r="B12463" s="13"/>
      <c r="C12463" s="13"/>
      <c r="D12463" s="13"/>
    </row>
    <row r="12464" spans="1:4">
      <c r="A12464" s="13"/>
      <c r="B12464" s="13"/>
      <c r="C12464" s="13"/>
      <c r="D12464" s="13"/>
    </row>
    <row r="12465" spans="1:4">
      <c r="A12465" s="13"/>
      <c r="B12465" s="13"/>
      <c r="C12465" s="13"/>
      <c r="D12465" s="13"/>
    </row>
    <row r="12466" spans="1:4">
      <c r="A12466" s="13"/>
      <c r="B12466" s="13"/>
      <c r="C12466" s="13"/>
      <c r="D12466" s="13"/>
    </row>
    <row r="12467" spans="1:4">
      <c r="A12467" s="13"/>
      <c r="B12467" s="13"/>
      <c r="C12467" s="13"/>
      <c r="D12467" s="13"/>
    </row>
    <row r="12468" spans="1:4">
      <c r="A12468" s="13"/>
      <c r="B12468" s="13"/>
      <c r="C12468" s="13"/>
      <c r="D12468" s="13"/>
    </row>
    <row r="12469" spans="1:4">
      <c r="A12469" s="13"/>
      <c r="B12469" s="13"/>
      <c r="C12469" s="13"/>
      <c r="D12469" s="13"/>
    </row>
    <row r="12470" spans="1:4">
      <c r="A12470" s="13"/>
      <c r="B12470" s="13"/>
      <c r="C12470" s="13"/>
      <c r="D12470" s="13"/>
    </row>
    <row r="12471" spans="1:4">
      <c r="A12471" s="13"/>
      <c r="B12471" s="13"/>
      <c r="C12471" s="13"/>
      <c r="D12471" s="13"/>
    </row>
    <row r="12472" spans="1:4">
      <c r="A12472" s="13"/>
      <c r="B12472" s="13"/>
      <c r="C12472" s="13"/>
      <c r="D12472" s="13"/>
    </row>
    <row r="12473" spans="1:4">
      <c r="A12473" s="13"/>
      <c r="B12473" s="13"/>
      <c r="C12473" s="13"/>
      <c r="D12473" s="13"/>
    </row>
    <row r="12474" spans="1:4">
      <c r="A12474" s="13"/>
      <c r="B12474" s="13"/>
      <c r="C12474" s="13"/>
      <c r="D12474" s="13"/>
    </row>
    <row r="12475" spans="1:4">
      <c r="A12475" s="13"/>
      <c r="B12475" s="13"/>
      <c r="C12475" s="13"/>
      <c r="D12475" s="13"/>
    </row>
    <row r="12476" spans="1:4">
      <c r="A12476" s="13"/>
      <c r="B12476" s="13"/>
      <c r="C12476" s="13"/>
      <c r="D12476" s="13"/>
    </row>
    <row r="12477" spans="1:4">
      <c r="A12477" s="13"/>
      <c r="B12477" s="13"/>
      <c r="C12477" s="13"/>
      <c r="D12477" s="13"/>
    </row>
    <row r="12478" spans="1:4">
      <c r="A12478" s="13"/>
      <c r="B12478" s="13"/>
      <c r="C12478" s="13"/>
      <c r="D12478" s="13"/>
    </row>
    <row r="12479" spans="1:4">
      <c r="A12479" s="13"/>
      <c r="B12479" s="13"/>
      <c r="C12479" s="13"/>
      <c r="D12479" s="13"/>
    </row>
    <row r="12480" spans="1:4">
      <c r="A12480" s="13"/>
      <c r="B12480" s="13"/>
      <c r="C12480" s="13"/>
      <c r="D12480" s="13"/>
    </row>
    <row r="12481" spans="1:4">
      <c r="A12481" s="13"/>
      <c r="B12481" s="13"/>
      <c r="C12481" s="13"/>
      <c r="D12481" s="13"/>
    </row>
    <row r="12482" spans="1:4">
      <c r="A12482" s="13"/>
      <c r="B12482" s="13"/>
      <c r="C12482" s="13"/>
      <c r="D12482" s="13"/>
    </row>
    <row r="12483" spans="1:4">
      <c r="A12483" s="13"/>
      <c r="B12483" s="13"/>
      <c r="C12483" s="13"/>
      <c r="D12483" s="13"/>
    </row>
    <row r="12484" spans="1:4">
      <c r="A12484" s="13"/>
      <c r="B12484" s="13"/>
      <c r="C12484" s="13"/>
      <c r="D12484" s="13"/>
    </row>
    <row r="12485" spans="1:4">
      <c r="A12485" s="13"/>
      <c r="B12485" s="13"/>
      <c r="C12485" s="13"/>
      <c r="D12485" s="13"/>
    </row>
    <row r="12486" spans="1:4">
      <c r="A12486" s="13"/>
      <c r="B12486" s="13"/>
      <c r="C12486" s="13"/>
      <c r="D12486" s="13"/>
    </row>
    <row r="12487" spans="1:4">
      <c r="A12487" s="13"/>
      <c r="B12487" s="13"/>
      <c r="C12487" s="13"/>
      <c r="D12487" s="13"/>
    </row>
    <row r="12488" spans="1:4">
      <c r="A12488" s="13"/>
      <c r="B12488" s="13"/>
      <c r="C12488" s="13"/>
      <c r="D12488" s="13"/>
    </row>
    <row r="12489" spans="1:4">
      <c r="A12489" s="13"/>
      <c r="B12489" s="13"/>
      <c r="C12489" s="13"/>
      <c r="D12489" s="13"/>
    </row>
    <row r="12490" spans="1:4">
      <c r="A12490" s="13"/>
      <c r="B12490" s="13"/>
      <c r="C12490" s="13"/>
      <c r="D12490" s="13"/>
    </row>
    <row r="12491" spans="1:4">
      <c r="A12491" s="13"/>
      <c r="B12491" s="13"/>
      <c r="C12491" s="13"/>
      <c r="D12491" s="13"/>
    </row>
    <row r="12492" spans="1:4">
      <c r="A12492" s="13"/>
      <c r="B12492" s="13"/>
      <c r="C12492" s="13"/>
      <c r="D12492" s="13"/>
    </row>
    <row r="12493" spans="1:4">
      <c r="A12493" s="13"/>
      <c r="B12493" s="13"/>
      <c r="C12493" s="13"/>
      <c r="D12493" s="13"/>
    </row>
    <row r="12494" spans="1:4">
      <c r="A12494" s="13"/>
      <c r="B12494" s="13"/>
      <c r="C12494" s="13"/>
      <c r="D12494" s="13"/>
    </row>
    <row r="12495" spans="1:4">
      <c r="A12495" s="13"/>
      <c r="B12495" s="13"/>
      <c r="C12495" s="13"/>
      <c r="D12495" s="13"/>
    </row>
    <row r="12496" spans="1:4">
      <c r="A12496" s="13"/>
      <c r="B12496" s="13"/>
      <c r="C12496" s="13"/>
      <c r="D12496" s="13"/>
    </row>
    <row r="12497" spans="1:4">
      <c r="A12497" s="13"/>
      <c r="B12497" s="13"/>
      <c r="C12497" s="13"/>
      <c r="D12497" s="13"/>
    </row>
    <row r="12498" spans="1:4">
      <c r="A12498" s="13"/>
      <c r="B12498" s="13"/>
      <c r="C12498" s="13"/>
      <c r="D12498" s="13"/>
    </row>
    <row r="12499" spans="1:4">
      <c r="A12499" s="13"/>
      <c r="B12499" s="13"/>
      <c r="C12499" s="13"/>
      <c r="D12499" s="13"/>
    </row>
    <row r="12500" spans="1:4">
      <c r="A12500" s="13"/>
      <c r="B12500" s="13"/>
      <c r="C12500" s="13"/>
      <c r="D12500" s="13"/>
    </row>
    <row r="12501" spans="1:4">
      <c r="A12501" s="13"/>
      <c r="B12501" s="13"/>
      <c r="C12501" s="13"/>
      <c r="D12501" s="13"/>
    </row>
    <row r="12502" spans="1:4">
      <c r="A12502" s="13"/>
      <c r="B12502" s="13"/>
      <c r="C12502" s="13"/>
      <c r="D12502" s="13"/>
    </row>
    <row r="12503" spans="1:4">
      <c r="A12503" s="13"/>
      <c r="B12503" s="13"/>
      <c r="C12503" s="13"/>
      <c r="D12503" s="13"/>
    </row>
    <row r="12504" spans="1:4">
      <c r="A12504" s="13"/>
      <c r="B12504" s="13"/>
      <c r="C12504" s="13"/>
      <c r="D12504" s="13"/>
    </row>
    <row r="12505" spans="1:4">
      <c r="A12505" s="13"/>
      <c r="B12505" s="13"/>
      <c r="C12505" s="13"/>
      <c r="D12505" s="13"/>
    </row>
    <row r="12506" spans="1:4">
      <c r="A12506" s="13"/>
      <c r="B12506" s="13"/>
      <c r="C12506" s="13"/>
      <c r="D12506" s="13"/>
    </row>
    <row r="12507" spans="1:4">
      <c r="A12507" s="13"/>
      <c r="B12507" s="13"/>
      <c r="C12507" s="13"/>
      <c r="D12507" s="13"/>
    </row>
    <row r="12508" spans="1:4">
      <c r="A12508" s="13"/>
      <c r="B12508" s="13"/>
      <c r="C12508" s="13"/>
      <c r="D12508" s="13"/>
    </row>
    <row r="12509" spans="1:4">
      <c r="A12509" s="13"/>
      <c r="B12509" s="13"/>
      <c r="C12509" s="13"/>
      <c r="D12509" s="13"/>
    </row>
    <row r="12510" spans="1:4">
      <c r="A12510" s="13"/>
      <c r="B12510" s="13"/>
      <c r="C12510" s="13"/>
      <c r="D12510" s="13"/>
    </row>
    <row r="12511" spans="1:4">
      <c r="A12511" s="13"/>
      <c r="B12511" s="13"/>
      <c r="C12511" s="13"/>
      <c r="D12511" s="13"/>
    </row>
    <row r="12512" spans="1:4">
      <c r="A12512" s="13"/>
      <c r="B12512" s="13"/>
      <c r="C12512" s="13"/>
      <c r="D12512" s="13"/>
    </row>
    <row r="12513" spans="1:4">
      <c r="A12513" s="13"/>
      <c r="B12513" s="13"/>
      <c r="C12513" s="13"/>
      <c r="D12513" s="13"/>
    </row>
    <row r="12514" spans="1:4">
      <c r="A12514" s="13"/>
      <c r="B12514" s="13"/>
      <c r="C12514" s="13"/>
      <c r="D12514" s="13"/>
    </row>
    <row r="12515" spans="1:4">
      <c r="A12515" s="13"/>
      <c r="B12515" s="13"/>
      <c r="C12515" s="13"/>
      <c r="D12515" s="13"/>
    </row>
    <row r="12516" spans="1:4">
      <c r="A12516" s="13"/>
      <c r="B12516" s="13"/>
      <c r="C12516" s="13"/>
      <c r="D12516" s="13"/>
    </row>
    <row r="12517" spans="1:4">
      <c r="A12517" s="13"/>
      <c r="B12517" s="13"/>
      <c r="C12517" s="13"/>
      <c r="D12517" s="13"/>
    </row>
    <row r="12518" spans="1:4">
      <c r="A12518" s="13"/>
      <c r="B12518" s="13"/>
      <c r="C12518" s="13"/>
      <c r="D12518" s="13"/>
    </row>
    <row r="12519" spans="1:4">
      <c r="A12519" s="13"/>
      <c r="B12519" s="13"/>
      <c r="C12519" s="13"/>
      <c r="D12519" s="13"/>
    </row>
    <row r="12520" spans="1:4">
      <c r="A12520" s="13"/>
      <c r="B12520" s="13"/>
      <c r="C12520" s="13"/>
      <c r="D12520" s="13"/>
    </row>
    <row r="12521" spans="1:4">
      <c r="A12521" s="13"/>
      <c r="B12521" s="13"/>
      <c r="C12521" s="13"/>
      <c r="D12521" s="13"/>
    </row>
    <row r="12522" spans="1:4">
      <c r="A12522" s="13"/>
      <c r="B12522" s="13"/>
      <c r="C12522" s="13"/>
      <c r="D12522" s="13"/>
    </row>
    <row r="12523" spans="1:4">
      <c r="A12523" s="13"/>
      <c r="B12523" s="13"/>
      <c r="C12523" s="13"/>
      <c r="D12523" s="13"/>
    </row>
    <row r="12524" spans="1:4">
      <c r="A12524" s="13"/>
      <c r="B12524" s="13"/>
      <c r="C12524" s="13"/>
      <c r="D12524" s="13"/>
    </row>
    <row r="12525" spans="1:4">
      <c r="A12525" s="13"/>
      <c r="B12525" s="13"/>
      <c r="C12525" s="13"/>
      <c r="D12525" s="13"/>
    </row>
    <row r="12526" spans="1:4">
      <c r="A12526" s="13"/>
      <c r="B12526" s="13"/>
      <c r="C12526" s="13"/>
      <c r="D12526" s="13"/>
    </row>
    <row r="12527" spans="1:4">
      <c r="A12527" s="13"/>
      <c r="B12527" s="13"/>
      <c r="C12527" s="13"/>
      <c r="D12527" s="13"/>
    </row>
    <row r="12528" spans="1:4">
      <c r="A12528" s="13"/>
      <c r="B12528" s="13"/>
      <c r="C12528" s="13"/>
      <c r="D12528" s="13"/>
    </row>
    <row r="12529" spans="1:4">
      <c r="A12529" s="13"/>
      <c r="B12529" s="13"/>
      <c r="C12529" s="13"/>
      <c r="D12529" s="13"/>
    </row>
    <row r="12530" spans="1:4">
      <c r="A12530" s="13"/>
      <c r="B12530" s="13"/>
      <c r="C12530" s="13"/>
      <c r="D12530" s="13"/>
    </row>
    <row r="12531" spans="1:4">
      <c r="A12531" s="13"/>
      <c r="B12531" s="13"/>
      <c r="C12531" s="13"/>
      <c r="D12531" s="13"/>
    </row>
    <row r="12532" spans="1:4">
      <c r="A12532" s="13"/>
      <c r="B12532" s="13"/>
      <c r="C12532" s="13"/>
      <c r="D12532" s="13"/>
    </row>
    <row r="12533" spans="1:4">
      <c r="A12533" s="13"/>
      <c r="B12533" s="13"/>
      <c r="C12533" s="13"/>
      <c r="D12533" s="13"/>
    </row>
    <row r="12534" spans="1:4">
      <c r="A12534" s="13"/>
      <c r="B12534" s="13"/>
      <c r="C12534" s="13"/>
      <c r="D12534" s="13"/>
    </row>
    <row r="12535" spans="1:4">
      <c r="A12535" s="13"/>
      <c r="B12535" s="13"/>
      <c r="C12535" s="13"/>
      <c r="D12535" s="13"/>
    </row>
    <row r="12536" spans="1:4">
      <c r="A12536" s="13"/>
      <c r="B12536" s="13"/>
      <c r="C12536" s="13"/>
      <c r="D12536" s="13"/>
    </row>
    <row r="12537" spans="1:4">
      <c r="A12537" s="13"/>
      <c r="B12537" s="13"/>
      <c r="C12537" s="13"/>
      <c r="D12537" s="13"/>
    </row>
    <row r="12538" spans="1:4">
      <c r="A12538" s="13"/>
      <c r="B12538" s="13"/>
      <c r="C12538" s="13"/>
      <c r="D12538" s="13"/>
    </row>
    <row r="12539" spans="1:4">
      <c r="A12539" s="13"/>
      <c r="B12539" s="13"/>
      <c r="C12539" s="13"/>
      <c r="D12539" s="13"/>
    </row>
    <row r="12540" spans="1:4">
      <c r="A12540" s="13"/>
      <c r="B12540" s="13"/>
      <c r="C12540" s="13"/>
      <c r="D12540" s="13"/>
    </row>
    <row r="12541" spans="1:4">
      <c r="A12541" s="13"/>
      <c r="B12541" s="13"/>
      <c r="C12541" s="13"/>
      <c r="D12541" s="13"/>
    </row>
    <row r="12542" spans="1:4">
      <c r="A12542" s="13"/>
      <c r="B12542" s="13"/>
      <c r="C12542" s="13"/>
      <c r="D12542" s="13"/>
    </row>
    <row r="12543" spans="1:4">
      <c r="A12543" s="13"/>
      <c r="B12543" s="13"/>
      <c r="C12543" s="13"/>
      <c r="D12543" s="13"/>
    </row>
    <row r="12544" spans="1:4">
      <c r="A12544" s="13"/>
      <c r="B12544" s="13"/>
      <c r="C12544" s="13"/>
      <c r="D12544" s="13"/>
    </row>
    <row r="12545" spans="1:4">
      <c r="A12545" s="13"/>
      <c r="B12545" s="13"/>
      <c r="C12545" s="13"/>
      <c r="D12545" s="13"/>
    </row>
    <row r="12546" spans="1:4">
      <c r="A12546" s="13"/>
      <c r="B12546" s="13"/>
      <c r="C12546" s="13"/>
      <c r="D12546" s="13"/>
    </row>
    <row r="12547" spans="1:4">
      <c r="A12547" s="13"/>
      <c r="B12547" s="13"/>
      <c r="C12547" s="13"/>
      <c r="D12547" s="13"/>
    </row>
    <row r="12548" spans="1:4">
      <c r="A12548" s="13"/>
      <c r="B12548" s="13"/>
      <c r="C12548" s="13"/>
      <c r="D12548" s="13"/>
    </row>
    <row r="12549" spans="1:4">
      <c r="A12549" s="13"/>
      <c r="B12549" s="13"/>
      <c r="C12549" s="13"/>
      <c r="D12549" s="13"/>
    </row>
    <row r="12550" spans="1:4">
      <c r="A12550" s="13"/>
      <c r="B12550" s="13"/>
      <c r="C12550" s="13"/>
      <c r="D12550" s="13"/>
    </row>
    <row r="12551" spans="1:4">
      <c r="A12551" s="13"/>
      <c r="B12551" s="13"/>
      <c r="C12551" s="13"/>
      <c r="D12551" s="13"/>
    </row>
    <row r="12552" spans="1:4">
      <c r="A12552" s="13"/>
      <c r="B12552" s="13"/>
      <c r="C12552" s="13"/>
      <c r="D12552" s="13"/>
    </row>
    <row r="12553" spans="1:4">
      <c r="A12553" s="13"/>
      <c r="B12553" s="13"/>
      <c r="C12553" s="13"/>
      <c r="D12553" s="13"/>
    </row>
    <row r="12554" spans="1:4">
      <c r="A12554" s="13"/>
      <c r="B12554" s="13"/>
      <c r="C12554" s="13"/>
      <c r="D12554" s="13"/>
    </row>
    <row r="12555" spans="1:4">
      <c r="A12555" s="13"/>
      <c r="B12555" s="13"/>
      <c r="C12555" s="13"/>
      <c r="D12555" s="13"/>
    </row>
    <row r="12556" spans="1:4">
      <c r="A12556" s="13"/>
      <c r="B12556" s="13"/>
      <c r="C12556" s="13"/>
      <c r="D12556" s="13"/>
    </row>
    <row r="12557" spans="1:4">
      <c r="A12557" s="13"/>
      <c r="B12557" s="13"/>
      <c r="C12557" s="13"/>
      <c r="D12557" s="13"/>
    </row>
    <row r="12558" spans="1:4">
      <c r="A12558" s="13"/>
      <c r="B12558" s="13"/>
      <c r="C12558" s="13"/>
      <c r="D12558" s="13"/>
    </row>
    <row r="12559" spans="1:4">
      <c r="A12559" s="13"/>
      <c r="B12559" s="13"/>
      <c r="C12559" s="13"/>
      <c r="D12559" s="13"/>
    </row>
    <row r="12560" spans="1:4">
      <c r="A12560" s="13"/>
      <c r="B12560" s="13"/>
      <c r="C12560" s="13"/>
      <c r="D12560" s="13"/>
    </row>
    <row r="12561" spans="1:4">
      <c r="A12561" s="13"/>
      <c r="B12561" s="13"/>
      <c r="C12561" s="13"/>
      <c r="D12561" s="13"/>
    </row>
    <row r="12562" spans="1:4">
      <c r="A12562" s="13"/>
      <c r="B12562" s="13"/>
      <c r="C12562" s="13"/>
      <c r="D12562" s="13"/>
    </row>
    <row r="12563" spans="1:4">
      <c r="A12563" s="13"/>
      <c r="B12563" s="13"/>
      <c r="C12563" s="13"/>
      <c r="D12563" s="13"/>
    </row>
    <row r="12564" spans="1:4">
      <c r="A12564" s="13"/>
      <c r="B12564" s="13"/>
      <c r="C12564" s="13"/>
      <c r="D12564" s="13"/>
    </row>
    <row r="12565" spans="1:4">
      <c r="A12565" s="13"/>
      <c r="B12565" s="13"/>
      <c r="C12565" s="13"/>
      <c r="D12565" s="13"/>
    </row>
    <row r="12566" spans="1:4">
      <c r="A12566" s="13"/>
      <c r="B12566" s="13"/>
      <c r="C12566" s="13"/>
      <c r="D12566" s="13"/>
    </row>
    <row r="12567" spans="1:4">
      <c r="A12567" s="13"/>
      <c r="B12567" s="13"/>
      <c r="C12567" s="13"/>
      <c r="D12567" s="13"/>
    </row>
    <row r="12568" spans="1:4">
      <c r="A12568" s="13"/>
      <c r="B12568" s="13"/>
      <c r="C12568" s="13"/>
      <c r="D12568" s="13"/>
    </row>
    <row r="12569" spans="1:4">
      <c r="A12569" s="13"/>
      <c r="B12569" s="13"/>
      <c r="C12569" s="13"/>
      <c r="D12569" s="13"/>
    </row>
    <row r="12570" spans="1:4">
      <c r="A12570" s="13"/>
      <c r="B12570" s="13"/>
      <c r="C12570" s="13"/>
      <c r="D12570" s="13"/>
    </row>
    <row r="12571" spans="1:4">
      <c r="A12571" s="13"/>
      <c r="B12571" s="13"/>
      <c r="C12571" s="13"/>
      <c r="D12571" s="13"/>
    </row>
    <row r="12572" spans="1:4">
      <c r="A12572" s="13"/>
      <c r="B12572" s="13"/>
      <c r="C12572" s="13"/>
      <c r="D12572" s="13"/>
    </row>
    <row r="12573" spans="1:4">
      <c r="A12573" s="13"/>
      <c r="B12573" s="13"/>
      <c r="C12573" s="13"/>
      <c r="D12573" s="13"/>
    </row>
    <row r="12574" spans="1:4">
      <c r="A12574" s="13"/>
      <c r="B12574" s="13"/>
      <c r="C12574" s="13"/>
      <c r="D12574" s="13"/>
    </row>
    <row r="12575" spans="1:4">
      <c r="A12575" s="13"/>
      <c r="B12575" s="13"/>
      <c r="C12575" s="13"/>
      <c r="D12575" s="13"/>
    </row>
    <row r="12576" spans="1:4">
      <c r="A12576" s="13"/>
      <c r="B12576" s="13"/>
      <c r="C12576" s="13"/>
      <c r="D12576" s="13"/>
    </row>
    <row r="12577" spans="1:4">
      <c r="A12577" s="13"/>
      <c r="B12577" s="13"/>
      <c r="C12577" s="13"/>
      <c r="D12577" s="13"/>
    </row>
    <row r="12578" spans="1:4">
      <c r="A12578" s="13"/>
      <c r="B12578" s="13"/>
      <c r="C12578" s="13"/>
      <c r="D12578" s="13"/>
    </row>
    <row r="12579" spans="1:4">
      <c r="A12579" s="13"/>
      <c r="B12579" s="13"/>
      <c r="C12579" s="13"/>
      <c r="D12579" s="13"/>
    </row>
    <row r="12580" spans="1:4">
      <c r="A12580" s="13"/>
      <c r="B12580" s="13"/>
      <c r="C12580" s="13"/>
      <c r="D12580" s="13"/>
    </row>
    <row r="12581" spans="1:4">
      <c r="A12581" s="13"/>
      <c r="B12581" s="13"/>
      <c r="C12581" s="13"/>
      <c r="D12581" s="13"/>
    </row>
    <row r="12582" spans="1:4">
      <c r="A12582" s="13"/>
      <c r="B12582" s="13"/>
      <c r="C12582" s="13"/>
      <c r="D12582" s="13"/>
    </row>
    <row r="12583" spans="1:4">
      <c r="A12583" s="13"/>
      <c r="B12583" s="13"/>
      <c r="C12583" s="13"/>
      <c r="D12583" s="13"/>
    </row>
    <row r="12584" spans="1:4">
      <c r="A12584" s="13"/>
      <c r="B12584" s="13"/>
      <c r="C12584" s="13"/>
      <c r="D12584" s="13"/>
    </row>
    <row r="12585" spans="1:4">
      <c r="A12585" s="13"/>
      <c r="B12585" s="13"/>
      <c r="C12585" s="13"/>
      <c r="D12585" s="13"/>
    </row>
    <row r="12586" spans="1:4">
      <c r="A12586" s="13"/>
      <c r="B12586" s="13"/>
      <c r="C12586" s="13"/>
      <c r="D12586" s="13"/>
    </row>
    <row r="12587" spans="1:4">
      <c r="A12587" s="13"/>
      <c r="B12587" s="13"/>
      <c r="C12587" s="13"/>
      <c r="D12587" s="13"/>
    </row>
    <row r="12588" spans="1:4">
      <c r="A12588" s="13"/>
      <c r="B12588" s="13"/>
      <c r="C12588" s="13"/>
      <c r="D12588" s="13"/>
    </row>
    <row r="12589" spans="1:4">
      <c r="A12589" s="13"/>
      <c r="B12589" s="13"/>
      <c r="C12589" s="13"/>
      <c r="D12589" s="13"/>
    </row>
    <row r="12590" spans="1:4">
      <c r="A12590" s="13"/>
      <c r="B12590" s="13"/>
      <c r="C12590" s="13"/>
      <c r="D12590" s="13"/>
    </row>
    <row r="12591" spans="1:4">
      <c r="A12591" s="13"/>
      <c r="B12591" s="13"/>
      <c r="C12591" s="13"/>
      <c r="D12591" s="13"/>
    </row>
    <row r="12592" spans="1:4">
      <c r="A12592" s="13"/>
      <c r="B12592" s="13"/>
      <c r="C12592" s="13"/>
      <c r="D12592" s="13"/>
    </row>
    <row r="12593" spans="1:4">
      <c r="A12593" s="13"/>
      <c r="B12593" s="13"/>
      <c r="C12593" s="13"/>
      <c r="D12593" s="13"/>
    </row>
    <row r="12594" spans="1:4">
      <c r="A12594" s="13"/>
      <c r="B12594" s="13"/>
      <c r="C12594" s="13"/>
      <c r="D12594" s="13"/>
    </row>
    <row r="12595" spans="1:4">
      <c r="A12595" s="13"/>
      <c r="B12595" s="13"/>
      <c r="C12595" s="13"/>
      <c r="D12595" s="13"/>
    </row>
    <row r="12596" spans="1:4">
      <c r="A12596" s="13"/>
      <c r="B12596" s="13"/>
      <c r="C12596" s="13"/>
      <c r="D12596" s="13"/>
    </row>
    <row r="12597" spans="1:4">
      <c r="A12597" s="13"/>
      <c r="B12597" s="13"/>
      <c r="C12597" s="13"/>
      <c r="D12597" s="13"/>
    </row>
    <row r="12598" spans="1:4">
      <c r="A12598" s="13"/>
      <c r="B12598" s="13"/>
      <c r="C12598" s="13"/>
      <c r="D12598" s="13"/>
    </row>
    <row r="12599" spans="1:4">
      <c r="A12599" s="13"/>
      <c r="B12599" s="13"/>
      <c r="C12599" s="13"/>
      <c r="D12599" s="13"/>
    </row>
    <row r="12600" spans="1:4">
      <c r="A12600" s="13"/>
      <c r="B12600" s="13"/>
      <c r="C12600" s="13"/>
      <c r="D12600" s="13"/>
    </row>
    <row r="12601" spans="1:4">
      <c r="A12601" s="13"/>
      <c r="B12601" s="13"/>
      <c r="C12601" s="13"/>
      <c r="D12601" s="13"/>
    </row>
    <row r="12602" spans="1:4">
      <c r="A12602" s="13"/>
      <c r="B12602" s="13"/>
      <c r="C12602" s="13"/>
      <c r="D12602" s="13"/>
    </row>
    <row r="12603" spans="1:4">
      <c r="A12603" s="13"/>
      <c r="B12603" s="13"/>
      <c r="C12603" s="13"/>
      <c r="D12603" s="13"/>
    </row>
    <row r="12604" spans="1:4">
      <c r="A12604" s="13"/>
      <c r="B12604" s="13"/>
      <c r="C12604" s="13"/>
      <c r="D12604" s="13"/>
    </row>
    <row r="12605" spans="1:4">
      <c r="A12605" s="13"/>
      <c r="B12605" s="13"/>
      <c r="C12605" s="13"/>
      <c r="D12605" s="13"/>
    </row>
    <row r="12606" spans="1:4">
      <c r="A12606" s="13"/>
      <c r="B12606" s="13"/>
      <c r="C12606" s="13"/>
      <c r="D12606" s="13"/>
    </row>
    <row r="12607" spans="1:4">
      <c r="A12607" s="13"/>
      <c r="B12607" s="13"/>
      <c r="C12607" s="13"/>
      <c r="D12607" s="13"/>
    </row>
    <row r="12608" spans="1:4">
      <c r="A12608" s="13"/>
      <c r="B12608" s="13"/>
      <c r="C12608" s="13"/>
      <c r="D12608" s="13"/>
    </row>
    <row r="12609" spans="1:4">
      <c r="A12609" s="13"/>
      <c r="B12609" s="13"/>
      <c r="C12609" s="13"/>
      <c r="D12609" s="13"/>
    </row>
    <row r="12610" spans="1:4">
      <c r="A12610" s="13"/>
      <c r="B12610" s="13"/>
      <c r="C12610" s="13"/>
      <c r="D12610" s="13"/>
    </row>
    <row r="12611" spans="1:4">
      <c r="A12611" s="13"/>
      <c r="B12611" s="13"/>
      <c r="C12611" s="13"/>
      <c r="D12611" s="13"/>
    </row>
    <row r="12612" spans="1:4">
      <c r="A12612" s="13"/>
      <c r="B12612" s="13"/>
      <c r="C12612" s="13"/>
      <c r="D12612" s="13"/>
    </row>
    <row r="12613" spans="1:4">
      <c r="A12613" s="13"/>
      <c r="B12613" s="13"/>
      <c r="C12613" s="13"/>
      <c r="D12613" s="13"/>
    </row>
    <row r="12614" spans="1:4">
      <c r="A12614" s="13"/>
      <c r="B12614" s="13"/>
      <c r="C12614" s="13"/>
      <c r="D12614" s="13"/>
    </row>
    <row r="12615" spans="1:4">
      <c r="A12615" s="13"/>
      <c r="B12615" s="13"/>
      <c r="C12615" s="13"/>
      <c r="D12615" s="13"/>
    </row>
    <row r="12616" spans="1:4">
      <c r="A12616" s="13"/>
      <c r="B12616" s="13"/>
      <c r="C12616" s="13"/>
      <c r="D12616" s="13"/>
    </row>
    <row r="12682" spans="1:4">
      <c r="A12682" s="13"/>
      <c r="B12682" s="13"/>
      <c r="C12682" s="13"/>
      <c r="D12682" s="13"/>
    </row>
    <row r="12683" spans="1:4">
      <c r="A12683" s="13"/>
      <c r="B12683" s="13"/>
      <c r="C12683" s="13"/>
      <c r="D12683" s="13"/>
    </row>
    <row r="12684" spans="1:4">
      <c r="A12684" s="13"/>
      <c r="B12684" s="13"/>
      <c r="C12684" s="13"/>
      <c r="D12684" s="13"/>
    </row>
    <row r="12685" spans="1:4">
      <c r="A12685" s="13"/>
      <c r="B12685" s="13"/>
      <c r="C12685" s="13"/>
      <c r="D12685" s="13"/>
    </row>
    <row r="12686" spans="1:4">
      <c r="A12686" s="13"/>
      <c r="B12686" s="13"/>
      <c r="C12686" s="13"/>
      <c r="D12686" s="13"/>
    </row>
    <row r="12687" spans="1:4">
      <c r="A12687" s="13"/>
      <c r="B12687" s="13"/>
      <c r="C12687" s="13"/>
      <c r="D12687" s="13"/>
    </row>
    <row r="12688" spans="1:4">
      <c r="A12688" s="13"/>
      <c r="B12688" s="13"/>
      <c r="C12688" s="13"/>
      <c r="D12688" s="13"/>
    </row>
    <row r="12689" spans="1:4">
      <c r="A12689" s="13"/>
      <c r="B12689" s="13"/>
      <c r="C12689" s="13"/>
      <c r="D12689" s="13"/>
    </row>
    <row r="12690" spans="1:4">
      <c r="A12690" s="13"/>
      <c r="B12690" s="13"/>
      <c r="C12690" s="13"/>
      <c r="D12690" s="13"/>
    </row>
    <row r="12691" spans="1:4">
      <c r="A12691" s="13"/>
      <c r="B12691" s="13"/>
      <c r="C12691" s="13"/>
      <c r="D12691" s="13"/>
    </row>
    <row r="12692" spans="1:4">
      <c r="A12692" s="13"/>
      <c r="B12692" s="13"/>
      <c r="C12692" s="13"/>
      <c r="D12692" s="13"/>
    </row>
    <row r="12693" spans="1:4">
      <c r="A12693" s="13"/>
      <c r="B12693" s="13"/>
      <c r="C12693" s="13"/>
      <c r="D12693" s="13"/>
    </row>
    <row r="12694" spans="1:4">
      <c r="A12694" s="13"/>
      <c r="B12694" s="13"/>
      <c r="C12694" s="13"/>
      <c r="D12694" s="13"/>
    </row>
    <row r="12695" spans="1:4">
      <c r="A12695" s="13"/>
      <c r="B12695" s="13"/>
      <c r="C12695" s="13"/>
      <c r="D12695" s="13"/>
    </row>
    <row r="12696" spans="1:4">
      <c r="A12696" s="13"/>
      <c r="B12696" s="13"/>
      <c r="C12696" s="13"/>
      <c r="D12696" s="13"/>
    </row>
    <row r="12697" spans="1:4">
      <c r="A12697" s="13"/>
      <c r="B12697" s="13"/>
      <c r="C12697" s="13"/>
      <c r="D12697" s="13"/>
    </row>
    <row r="12698" spans="1:4">
      <c r="A12698" s="13"/>
      <c r="B12698" s="13"/>
      <c r="C12698" s="13"/>
      <c r="D12698" s="13"/>
    </row>
    <row r="12699" spans="1:4">
      <c r="A12699" s="13"/>
      <c r="B12699" s="13"/>
      <c r="C12699" s="13"/>
      <c r="D12699" s="13"/>
    </row>
    <row r="12700" spans="1:4">
      <c r="A12700" s="13"/>
      <c r="B12700" s="13"/>
      <c r="C12700" s="13"/>
      <c r="D12700" s="13"/>
    </row>
    <row r="12701" spans="1:4">
      <c r="A12701" s="13"/>
      <c r="B12701" s="13"/>
      <c r="C12701" s="13"/>
      <c r="D12701" s="13"/>
    </row>
    <row r="12702" spans="1:4">
      <c r="A12702" s="13"/>
      <c r="B12702" s="13"/>
      <c r="C12702" s="13"/>
      <c r="D12702" s="13"/>
    </row>
    <row r="12703" spans="1:4">
      <c r="A12703" s="13"/>
      <c r="B12703" s="13"/>
      <c r="C12703" s="13"/>
      <c r="D12703" s="13"/>
    </row>
    <row r="12704" spans="1:4">
      <c r="A12704" s="13"/>
      <c r="B12704" s="13"/>
      <c r="C12704" s="13"/>
      <c r="D12704" s="13"/>
    </row>
    <row r="12705" spans="1:4">
      <c r="A12705" s="13"/>
      <c r="B12705" s="13"/>
      <c r="C12705" s="13"/>
      <c r="D12705" s="13"/>
    </row>
    <row r="12706" spans="1:4">
      <c r="A12706" s="13"/>
      <c r="B12706" s="13"/>
      <c r="C12706" s="13"/>
      <c r="D12706" s="13"/>
    </row>
    <row r="12707" spans="1:4">
      <c r="A12707" s="13"/>
      <c r="B12707" s="13"/>
      <c r="C12707" s="13"/>
      <c r="D12707" s="13"/>
    </row>
    <row r="12708" spans="1:4">
      <c r="A12708" s="13"/>
      <c r="B12708" s="13"/>
      <c r="C12708" s="13"/>
      <c r="D12708" s="13"/>
    </row>
    <row r="12709" spans="1:4">
      <c r="A12709" s="13"/>
      <c r="B12709" s="13"/>
      <c r="C12709" s="13"/>
      <c r="D12709" s="13"/>
    </row>
    <row r="12710" spans="1:4">
      <c r="A12710" s="13"/>
      <c r="B12710" s="13"/>
      <c r="C12710" s="13"/>
      <c r="D12710" s="13"/>
    </row>
    <row r="12711" spans="1:4">
      <c r="A12711" s="13"/>
      <c r="B12711" s="13"/>
      <c r="C12711" s="13"/>
      <c r="D12711" s="13"/>
    </row>
    <row r="12712" spans="1:4">
      <c r="A12712" s="13"/>
      <c r="B12712" s="13"/>
      <c r="C12712" s="13"/>
      <c r="D12712" s="13"/>
    </row>
    <row r="12713" spans="1:4">
      <c r="A12713" s="13"/>
      <c r="B12713" s="13"/>
      <c r="C12713" s="13"/>
      <c r="D12713" s="13"/>
    </row>
    <row r="12714" spans="1:4">
      <c r="A12714" s="13"/>
      <c r="B12714" s="13"/>
      <c r="C12714" s="13"/>
      <c r="D12714" s="13"/>
    </row>
    <row r="12715" spans="1:4">
      <c r="A12715" s="13"/>
      <c r="B12715" s="13"/>
      <c r="C12715" s="13"/>
      <c r="D12715" s="13"/>
    </row>
    <row r="12716" spans="1:4">
      <c r="A12716" s="13"/>
      <c r="B12716" s="13"/>
      <c r="C12716" s="13"/>
      <c r="D12716" s="13"/>
    </row>
    <row r="12717" spans="1:4">
      <c r="A12717" s="13"/>
      <c r="B12717" s="13"/>
      <c r="C12717" s="13"/>
      <c r="D12717" s="13"/>
    </row>
    <row r="12718" spans="1:4">
      <c r="A12718" s="13"/>
      <c r="B12718" s="13"/>
      <c r="C12718" s="13"/>
      <c r="D12718" s="13"/>
    </row>
    <row r="12719" spans="1:4">
      <c r="A12719" s="13"/>
      <c r="B12719" s="13"/>
      <c r="C12719" s="13"/>
      <c r="D12719" s="13"/>
    </row>
    <row r="12720" spans="1:4">
      <c r="A12720" s="13"/>
      <c r="B12720" s="13"/>
      <c r="C12720" s="13"/>
      <c r="D12720" s="13"/>
    </row>
    <row r="12721" spans="1:4">
      <c r="A12721" s="13"/>
      <c r="B12721" s="13"/>
      <c r="C12721" s="13"/>
      <c r="D12721" s="13"/>
    </row>
    <row r="12722" spans="1:4">
      <c r="A12722" s="13"/>
      <c r="B12722" s="13"/>
      <c r="C12722" s="13"/>
      <c r="D12722" s="13"/>
    </row>
    <row r="12723" spans="1:4">
      <c r="A12723" s="13"/>
      <c r="B12723" s="13"/>
      <c r="C12723" s="13"/>
      <c r="D12723" s="13"/>
    </row>
    <row r="12724" spans="1:4">
      <c r="A12724" s="13"/>
      <c r="B12724" s="13"/>
      <c r="C12724" s="13"/>
      <c r="D12724" s="13"/>
    </row>
    <row r="12725" spans="1:4">
      <c r="A12725" s="13"/>
      <c r="B12725" s="13"/>
      <c r="C12725" s="13"/>
      <c r="D12725" s="13"/>
    </row>
    <row r="12726" spans="1:4">
      <c r="A12726" s="13"/>
      <c r="B12726" s="13"/>
      <c r="C12726" s="13"/>
      <c r="D12726" s="13"/>
    </row>
    <row r="12727" spans="1:4">
      <c r="A12727" s="13"/>
      <c r="B12727" s="13"/>
      <c r="C12727" s="13"/>
      <c r="D12727" s="13"/>
    </row>
    <row r="12728" spans="1:4">
      <c r="A12728" s="13"/>
      <c r="B12728" s="13"/>
      <c r="C12728" s="13"/>
      <c r="D12728" s="13"/>
    </row>
    <row r="12729" spans="1:4">
      <c r="A12729" s="13"/>
      <c r="B12729" s="13"/>
      <c r="C12729" s="13"/>
      <c r="D12729" s="13"/>
    </row>
    <row r="12730" spans="1:4">
      <c r="A12730" s="13"/>
      <c r="B12730" s="13"/>
      <c r="C12730" s="13"/>
      <c r="D12730" s="13"/>
    </row>
    <row r="12731" spans="1:4">
      <c r="A12731" s="13"/>
      <c r="B12731" s="13"/>
      <c r="C12731" s="13"/>
      <c r="D12731" s="13"/>
    </row>
    <row r="12732" spans="1:4">
      <c r="A12732" s="13"/>
      <c r="B12732" s="13"/>
      <c r="C12732" s="13"/>
      <c r="D12732" s="13"/>
    </row>
    <row r="12733" spans="1:4">
      <c r="A12733" s="13"/>
      <c r="B12733" s="13"/>
      <c r="C12733" s="13"/>
      <c r="D12733" s="13"/>
    </row>
    <row r="12734" spans="1:4">
      <c r="A12734" s="13"/>
      <c r="B12734" s="13"/>
      <c r="C12734" s="13"/>
      <c r="D12734" s="13"/>
    </row>
    <row r="12735" spans="1:4">
      <c r="A12735" s="13"/>
      <c r="B12735" s="13"/>
      <c r="C12735" s="13"/>
      <c r="D12735" s="13"/>
    </row>
    <row r="12736" spans="1:4">
      <c r="A12736" s="13"/>
      <c r="B12736" s="13"/>
      <c r="C12736" s="13"/>
      <c r="D12736" s="13"/>
    </row>
    <row r="12737" spans="1:4">
      <c r="A12737" s="13"/>
      <c r="B12737" s="13"/>
      <c r="C12737" s="13"/>
      <c r="D12737" s="13"/>
    </row>
    <row r="12738" spans="1:4">
      <c r="A12738" s="13"/>
      <c r="B12738" s="13"/>
      <c r="C12738" s="13"/>
      <c r="D12738" s="13"/>
    </row>
    <row r="12739" spans="1:4">
      <c r="A12739" s="13"/>
      <c r="B12739" s="13"/>
      <c r="C12739" s="13"/>
      <c r="D12739" s="13"/>
    </row>
    <row r="12740" spans="1:4">
      <c r="A12740" s="13"/>
      <c r="B12740" s="13"/>
      <c r="C12740" s="13"/>
      <c r="D12740" s="13"/>
    </row>
    <row r="12741" spans="1:4">
      <c r="A12741" s="13"/>
      <c r="B12741" s="13"/>
      <c r="C12741" s="13"/>
      <c r="D12741" s="13"/>
    </row>
    <row r="12742" spans="1:4">
      <c r="A12742" s="13"/>
      <c r="B12742" s="13"/>
      <c r="C12742" s="13"/>
      <c r="D12742" s="13"/>
    </row>
    <row r="12743" spans="1:4">
      <c r="A12743" s="13"/>
      <c r="B12743" s="13"/>
      <c r="C12743" s="13"/>
      <c r="D12743" s="13"/>
    </row>
    <row r="12744" spans="1:4">
      <c r="A12744" s="13"/>
      <c r="B12744" s="13"/>
      <c r="C12744" s="13"/>
      <c r="D12744" s="13"/>
    </row>
    <row r="12745" spans="1:4">
      <c r="A12745" s="13"/>
      <c r="B12745" s="13"/>
      <c r="C12745" s="13"/>
      <c r="D12745" s="13"/>
    </row>
    <row r="12746" spans="1:4">
      <c r="A12746" s="13"/>
      <c r="B12746" s="13"/>
      <c r="C12746" s="13"/>
      <c r="D12746" s="13"/>
    </row>
    <row r="12747" spans="1:4">
      <c r="A12747" s="13"/>
      <c r="B12747" s="13"/>
      <c r="C12747" s="13"/>
      <c r="D12747" s="13"/>
    </row>
    <row r="12748" spans="1:4">
      <c r="A12748" s="13"/>
      <c r="B12748" s="13"/>
      <c r="C12748" s="13"/>
      <c r="D12748" s="13"/>
    </row>
    <row r="12749" spans="1:4">
      <c r="A12749" s="13"/>
      <c r="B12749" s="13"/>
      <c r="C12749" s="13"/>
      <c r="D12749" s="13"/>
    </row>
    <row r="12750" spans="1:4">
      <c r="A12750" s="13"/>
      <c r="B12750" s="13"/>
      <c r="C12750" s="13"/>
      <c r="D12750" s="13"/>
    </row>
    <row r="12751" spans="1:4">
      <c r="A12751" s="13"/>
      <c r="B12751" s="13"/>
      <c r="C12751" s="13"/>
      <c r="D12751" s="13"/>
    </row>
    <row r="12752" spans="1:4">
      <c r="A12752" s="13"/>
      <c r="B12752" s="13"/>
      <c r="C12752" s="13"/>
      <c r="D12752" s="13"/>
    </row>
    <row r="12753" spans="1:4">
      <c r="A12753" s="13"/>
      <c r="B12753" s="13"/>
      <c r="C12753" s="13"/>
      <c r="D12753" s="13"/>
    </row>
    <row r="12754" spans="1:4">
      <c r="A12754" s="13"/>
      <c r="B12754" s="13"/>
      <c r="C12754" s="13"/>
      <c r="D12754" s="13"/>
    </row>
    <row r="12755" spans="1:4">
      <c r="A12755" s="13"/>
      <c r="B12755" s="13"/>
      <c r="C12755" s="13"/>
      <c r="D12755" s="13"/>
    </row>
    <row r="12756" spans="1:4">
      <c r="A12756" s="13"/>
      <c r="B12756" s="13"/>
      <c r="C12756" s="13"/>
      <c r="D12756" s="13"/>
    </row>
    <row r="12757" spans="1:4">
      <c r="A12757" s="13"/>
      <c r="B12757" s="13"/>
      <c r="C12757" s="13"/>
      <c r="D12757" s="13"/>
    </row>
    <row r="12758" spans="1:4">
      <c r="A12758" s="13"/>
      <c r="B12758" s="13"/>
      <c r="C12758" s="13"/>
      <c r="D12758" s="13"/>
    </row>
    <row r="12759" spans="1:4">
      <c r="A12759" s="13"/>
      <c r="B12759" s="13"/>
      <c r="C12759" s="13"/>
      <c r="D12759" s="13"/>
    </row>
    <row r="12760" spans="1:4">
      <c r="A12760" s="13"/>
      <c r="B12760" s="13"/>
      <c r="C12760" s="13"/>
      <c r="D12760" s="13"/>
    </row>
    <row r="12761" spans="1:4">
      <c r="A12761" s="13"/>
      <c r="B12761" s="13"/>
      <c r="C12761" s="13"/>
      <c r="D12761" s="13"/>
    </row>
    <row r="12762" spans="1:4">
      <c r="A12762" s="13"/>
      <c r="B12762" s="13"/>
      <c r="C12762" s="13"/>
      <c r="D12762" s="13"/>
    </row>
    <row r="12763" spans="1:4">
      <c r="A12763" s="13"/>
      <c r="B12763" s="13"/>
      <c r="C12763" s="13"/>
      <c r="D12763" s="13"/>
    </row>
    <row r="12764" spans="1:4">
      <c r="A12764" s="13"/>
      <c r="B12764" s="13"/>
      <c r="C12764" s="13"/>
      <c r="D12764" s="13"/>
    </row>
    <row r="12765" spans="1:4">
      <c r="A12765" s="13"/>
      <c r="B12765" s="13"/>
      <c r="C12765" s="13"/>
      <c r="D12765" s="13"/>
    </row>
    <row r="12766" spans="1:4">
      <c r="A12766" s="13"/>
      <c r="B12766" s="13"/>
      <c r="C12766" s="13"/>
      <c r="D12766" s="13"/>
    </row>
    <row r="12767" spans="1:4">
      <c r="A12767" s="13"/>
      <c r="B12767" s="13"/>
      <c r="C12767" s="13"/>
      <c r="D12767" s="13"/>
    </row>
    <row r="12768" spans="1:4">
      <c r="A12768" s="13"/>
      <c r="B12768" s="13"/>
      <c r="C12768" s="13"/>
      <c r="D12768" s="13"/>
    </row>
    <row r="12769" spans="1:4">
      <c r="A12769" s="13"/>
      <c r="B12769" s="13"/>
      <c r="C12769" s="13"/>
      <c r="D12769" s="13"/>
    </row>
    <row r="12770" spans="1:4">
      <c r="A12770" s="13"/>
      <c r="B12770" s="13"/>
      <c r="C12770" s="13"/>
      <c r="D12770" s="13"/>
    </row>
    <row r="12771" spans="1:4">
      <c r="A12771" s="13"/>
      <c r="B12771" s="13"/>
      <c r="C12771" s="13"/>
      <c r="D12771" s="13"/>
    </row>
    <row r="12772" spans="1:4">
      <c r="A12772" s="13"/>
      <c r="B12772" s="13"/>
      <c r="C12772" s="13"/>
      <c r="D12772" s="13"/>
    </row>
    <row r="12773" spans="1:4">
      <c r="A12773" s="13"/>
      <c r="B12773" s="13"/>
      <c r="C12773" s="13"/>
      <c r="D12773" s="13"/>
    </row>
    <row r="12774" spans="1:4">
      <c r="A12774" s="13"/>
      <c r="B12774" s="13"/>
      <c r="C12774" s="13"/>
      <c r="D12774" s="13"/>
    </row>
    <row r="12775" spans="1:4">
      <c r="A12775" s="13"/>
      <c r="B12775" s="13"/>
      <c r="C12775" s="13"/>
      <c r="D12775" s="13"/>
    </row>
    <row r="12776" spans="1:4">
      <c r="A12776" s="13"/>
      <c r="B12776" s="13"/>
      <c r="C12776" s="13"/>
      <c r="D12776" s="13"/>
    </row>
    <row r="12777" spans="1:4">
      <c r="A12777" s="13"/>
      <c r="B12777" s="13"/>
      <c r="C12777" s="13"/>
      <c r="D12777" s="13"/>
    </row>
    <row r="12778" spans="1:4">
      <c r="A12778" s="13"/>
      <c r="B12778" s="13"/>
      <c r="C12778" s="13"/>
      <c r="D12778" s="13"/>
    </row>
    <row r="12779" spans="1:4">
      <c r="A12779" s="13"/>
      <c r="B12779" s="13"/>
      <c r="C12779" s="13"/>
      <c r="D12779" s="13"/>
    </row>
    <row r="12780" spans="1:4">
      <c r="A12780" s="13"/>
      <c r="B12780" s="13"/>
      <c r="C12780" s="13"/>
      <c r="D12780" s="13"/>
    </row>
    <row r="12781" spans="1:4">
      <c r="A12781" s="13"/>
      <c r="B12781" s="13"/>
      <c r="C12781" s="13"/>
      <c r="D12781" s="13"/>
    </row>
    <row r="12782" spans="1:4">
      <c r="A12782" s="13"/>
      <c r="B12782" s="13"/>
      <c r="C12782" s="13"/>
      <c r="D12782" s="13"/>
    </row>
    <row r="12783" spans="1:4">
      <c r="A12783" s="13"/>
      <c r="B12783" s="13"/>
      <c r="C12783" s="13"/>
      <c r="D12783" s="13"/>
    </row>
    <row r="12784" spans="1:4">
      <c r="A12784" s="13"/>
      <c r="B12784" s="13"/>
      <c r="C12784" s="13"/>
      <c r="D12784" s="13"/>
    </row>
    <row r="12785" spans="1:4">
      <c r="A12785" s="13"/>
      <c r="B12785" s="13"/>
      <c r="C12785" s="13"/>
      <c r="D12785" s="13"/>
    </row>
    <row r="12786" spans="1:4">
      <c r="A12786" s="13"/>
      <c r="B12786" s="13"/>
      <c r="C12786" s="13"/>
      <c r="D12786" s="13"/>
    </row>
    <row r="12787" spans="1:4">
      <c r="A12787" s="13"/>
      <c r="B12787" s="13"/>
      <c r="C12787" s="13"/>
      <c r="D12787" s="13"/>
    </row>
    <row r="12788" spans="1:4">
      <c r="A12788" s="13"/>
      <c r="B12788" s="13"/>
      <c r="C12788" s="13"/>
      <c r="D12788" s="13"/>
    </row>
    <row r="12789" spans="1:4">
      <c r="A12789" s="13"/>
      <c r="B12789" s="13"/>
      <c r="C12789" s="13"/>
      <c r="D12789" s="13"/>
    </row>
    <row r="12790" spans="1:4">
      <c r="A12790" s="13"/>
      <c r="B12790" s="13"/>
      <c r="C12790" s="13"/>
      <c r="D12790" s="13"/>
    </row>
    <row r="12791" spans="1:4">
      <c r="A12791" s="13"/>
      <c r="B12791" s="13"/>
      <c r="C12791" s="13"/>
      <c r="D12791" s="13"/>
    </row>
    <row r="12792" spans="1:4">
      <c r="A12792" s="13"/>
      <c r="B12792" s="13"/>
      <c r="C12792" s="13"/>
      <c r="D12792" s="13"/>
    </row>
    <row r="12793" spans="1:4">
      <c r="A12793" s="13"/>
      <c r="B12793" s="13"/>
      <c r="C12793" s="13"/>
      <c r="D12793" s="13"/>
    </row>
    <row r="12794" spans="1:4">
      <c r="A12794" s="13"/>
      <c r="B12794" s="13"/>
      <c r="C12794" s="13"/>
      <c r="D12794" s="13"/>
    </row>
    <row r="12795" spans="1:4">
      <c r="A12795" s="13"/>
      <c r="B12795" s="13"/>
      <c r="C12795" s="13"/>
      <c r="D12795" s="13"/>
    </row>
    <row r="12796" spans="1:4">
      <c r="A12796" s="13"/>
      <c r="B12796" s="13"/>
      <c r="C12796" s="13"/>
      <c r="D12796" s="13"/>
    </row>
    <row r="12797" spans="1:4">
      <c r="A12797" s="13"/>
      <c r="B12797" s="13"/>
      <c r="C12797" s="13"/>
      <c r="D12797" s="13"/>
    </row>
    <row r="12798" spans="1:4">
      <c r="A12798" s="13"/>
      <c r="B12798" s="13"/>
      <c r="C12798" s="13"/>
      <c r="D12798" s="13"/>
    </row>
    <row r="12799" spans="1:4">
      <c r="A12799" s="13"/>
      <c r="B12799" s="13"/>
      <c r="C12799" s="13"/>
      <c r="D12799" s="13"/>
    </row>
    <row r="12800" spans="1:4">
      <c r="A12800" s="13"/>
      <c r="B12800" s="13"/>
      <c r="C12800" s="13"/>
      <c r="D12800" s="13"/>
    </row>
    <row r="12801" spans="1:4">
      <c r="A12801" s="13"/>
      <c r="B12801" s="13"/>
      <c r="C12801" s="13"/>
      <c r="D12801" s="13"/>
    </row>
    <row r="12802" spans="1:4">
      <c r="A12802" s="13"/>
      <c r="B12802" s="13"/>
      <c r="C12802" s="13"/>
      <c r="D12802" s="13"/>
    </row>
    <row r="12803" spans="1:4">
      <c r="A12803" s="13"/>
      <c r="B12803" s="13"/>
      <c r="C12803" s="13"/>
      <c r="D12803" s="13"/>
    </row>
    <row r="12804" spans="1:4">
      <c r="A12804" s="13"/>
      <c r="B12804" s="13"/>
      <c r="C12804" s="13"/>
      <c r="D12804" s="13"/>
    </row>
    <row r="12805" spans="1:4">
      <c r="A12805" s="13"/>
      <c r="B12805" s="13"/>
      <c r="C12805" s="13"/>
      <c r="D12805" s="13"/>
    </row>
    <row r="12806" spans="1:4">
      <c r="A12806" s="13"/>
      <c r="B12806" s="13"/>
      <c r="C12806" s="13"/>
      <c r="D12806" s="13"/>
    </row>
    <row r="12807" spans="1:4">
      <c r="A12807" s="13"/>
      <c r="B12807" s="13"/>
      <c r="C12807" s="13"/>
      <c r="D12807" s="13"/>
    </row>
    <row r="12808" spans="1:4">
      <c r="A12808" s="13"/>
      <c r="B12808" s="13"/>
      <c r="C12808" s="13"/>
      <c r="D12808" s="13"/>
    </row>
    <row r="12809" spans="1:4">
      <c r="A12809" s="13"/>
      <c r="B12809" s="13"/>
      <c r="C12809" s="13"/>
      <c r="D12809" s="13"/>
    </row>
    <row r="12810" spans="1:4">
      <c r="A12810" s="13"/>
      <c r="B12810" s="13"/>
      <c r="C12810" s="13"/>
      <c r="D12810" s="13"/>
    </row>
    <row r="12811" spans="1:4">
      <c r="A12811" s="13"/>
      <c r="B12811" s="13"/>
      <c r="C12811" s="13"/>
      <c r="D12811" s="13"/>
    </row>
    <row r="12812" spans="1:4">
      <c r="A12812" s="13"/>
      <c r="B12812" s="13"/>
      <c r="C12812" s="13"/>
      <c r="D12812" s="13"/>
    </row>
    <row r="12813" spans="1:4">
      <c r="A12813" s="13"/>
      <c r="B12813" s="13"/>
      <c r="C12813" s="13"/>
      <c r="D12813" s="13"/>
    </row>
    <row r="12814" spans="1:4">
      <c r="A12814" s="13"/>
      <c r="B12814" s="13"/>
      <c r="C12814" s="13"/>
      <c r="D12814" s="13"/>
    </row>
    <row r="12815" spans="1:4">
      <c r="A12815" s="13"/>
      <c r="B12815" s="13"/>
      <c r="C12815" s="13"/>
      <c r="D12815" s="13"/>
    </row>
    <row r="12816" spans="1:4">
      <c r="A12816" s="13"/>
      <c r="B12816" s="13"/>
      <c r="C12816" s="13"/>
      <c r="D12816" s="13"/>
    </row>
    <row r="12817" spans="1:4">
      <c r="A12817" s="13"/>
      <c r="B12817" s="13"/>
      <c r="C12817" s="13"/>
      <c r="D12817" s="13"/>
    </row>
    <row r="12818" spans="1:4">
      <c r="A12818" s="13"/>
      <c r="B12818" s="13"/>
      <c r="C12818" s="13"/>
      <c r="D12818" s="13"/>
    </row>
    <row r="12819" spans="1:4">
      <c r="A12819" s="13"/>
      <c r="B12819" s="13"/>
      <c r="C12819" s="13"/>
      <c r="D12819" s="13"/>
    </row>
    <row r="12820" spans="1:4">
      <c r="A12820" s="13"/>
      <c r="B12820" s="13"/>
      <c r="C12820" s="13"/>
      <c r="D12820" s="13"/>
    </row>
    <row r="12821" spans="1:4">
      <c r="A12821" s="13"/>
      <c r="B12821" s="13"/>
      <c r="C12821" s="13"/>
      <c r="D12821" s="13"/>
    </row>
    <row r="12822" spans="1:4">
      <c r="A12822" s="13"/>
      <c r="B12822" s="13"/>
      <c r="C12822" s="13"/>
      <c r="D12822" s="13"/>
    </row>
    <row r="12823" spans="1:4">
      <c r="A12823" s="13"/>
      <c r="B12823" s="13"/>
      <c r="C12823" s="13"/>
      <c r="D12823" s="13"/>
    </row>
    <row r="12824" spans="1:4">
      <c r="A12824" s="13"/>
      <c r="B12824" s="13"/>
      <c r="C12824" s="13"/>
      <c r="D12824" s="13"/>
    </row>
    <row r="12825" spans="1:4">
      <c r="A12825" s="13"/>
      <c r="B12825" s="13"/>
      <c r="C12825" s="13"/>
      <c r="D12825" s="13"/>
    </row>
    <row r="12826" spans="1:4">
      <c r="A12826" s="13"/>
      <c r="B12826" s="13"/>
      <c r="C12826" s="13"/>
      <c r="D12826" s="13"/>
    </row>
    <row r="12827" spans="1:4">
      <c r="A12827" s="13"/>
      <c r="B12827" s="13"/>
      <c r="C12827" s="13"/>
      <c r="D12827" s="13"/>
    </row>
    <row r="12828" spans="1:4">
      <c r="A12828" s="13"/>
      <c r="B12828" s="13"/>
      <c r="C12828" s="13"/>
      <c r="D12828" s="13"/>
    </row>
    <row r="12829" spans="1:4">
      <c r="A12829" s="13"/>
      <c r="B12829" s="13"/>
      <c r="C12829" s="13"/>
      <c r="D12829" s="13"/>
    </row>
    <row r="12830" spans="1:4">
      <c r="A12830" s="13"/>
      <c r="B12830" s="13"/>
      <c r="C12830" s="13"/>
      <c r="D12830" s="13"/>
    </row>
    <row r="12831" spans="1:4">
      <c r="A12831" s="13"/>
      <c r="B12831" s="13"/>
      <c r="C12831" s="13"/>
      <c r="D12831" s="13"/>
    </row>
    <row r="12832" spans="1:4">
      <c r="A12832" s="13"/>
      <c r="B12832" s="13"/>
      <c r="C12832" s="13"/>
      <c r="D12832" s="13"/>
    </row>
    <row r="12833" spans="1:4">
      <c r="A12833" s="13"/>
      <c r="B12833" s="13"/>
      <c r="C12833" s="13"/>
      <c r="D12833" s="13"/>
    </row>
    <row r="12834" spans="1:4">
      <c r="A12834" s="13"/>
      <c r="B12834" s="13"/>
      <c r="C12834" s="13"/>
      <c r="D12834" s="13"/>
    </row>
    <row r="12835" spans="1:4">
      <c r="A12835" s="13"/>
      <c r="B12835" s="13"/>
      <c r="C12835" s="13"/>
      <c r="D12835" s="13"/>
    </row>
    <row r="12836" spans="1:4">
      <c r="A12836" s="13"/>
      <c r="B12836" s="13"/>
      <c r="C12836" s="13"/>
      <c r="D12836" s="13"/>
    </row>
    <row r="12837" spans="1:4">
      <c r="A12837" s="13"/>
      <c r="B12837" s="13"/>
      <c r="C12837" s="13"/>
      <c r="D12837" s="13"/>
    </row>
    <row r="12838" spans="1:4">
      <c r="A12838" s="13"/>
      <c r="B12838" s="13"/>
      <c r="C12838" s="13"/>
      <c r="D12838" s="13"/>
    </row>
    <row r="12839" spans="1:4">
      <c r="A12839" s="13"/>
      <c r="B12839" s="13"/>
      <c r="C12839" s="13"/>
      <c r="D12839" s="13"/>
    </row>
    <row r="12840" spans="1:4">
      <c r="A12840" s="13"/>
      <c r="B12840" s="13"/>
      <c r="C12840" s="13"/>
      <c r="D12840" s="13"/>
    </row>
    <row r="12841" spans="1:4">
      <c r="A12841" s="13"/>
      <c r="B12841" s="13"/>
      <c r="C12841" s="13"/>
      <c r="D12841" s="13"/>
    </row>
    <row r="12842" spans="1:4">
      <c r="A12842" s="13"/>
      <c r="B12842" s="13"/>
      <c r="C12842" s="13"/>
      <c r="D12842" s="13"/>
    </row>
    <row r="12843" spans="1:4">
      <c r="A12843" s="13"/>
      <c r="B12843" s="13"/>
      <c r="C12843" s="13"/>
      <c r="D12843" s="13"/>
    </row>
    <row r="12844" spans="1:4">
      <c r="A12844" s="13"/>
      <c r="B12844" s="13"/>
      <c r="C12844" s="13"/>
      <c r="D12844" s="13"/>
    </row>
    <row r="12845" spans="1:4">
      <c r="A12845" s="13"/>
      <c r="B12845" s="13"/>
      <c r="C12845" s="13"/>
      <c r="D12845" s="13"/>
    </row>
    <row r="12846" spans="1:4">
      <c r="A12846" s="13"/>
      <c r="B12846" s="13"/>
      <c r="C12846" s="13"/>
      <c r="D12846" s="13"/>
    </row>
    <row r="12847" spans="1:4">
      <c r="A12847" s="13"/>
      <c r="B12847" s="13"/>
      <c r="C12847" s="13"/>
      <c r="D12847" s="13"/>
    </row>
    <row r="12848" spans="1:4">
      <c r="A12848" s="13"/>
      <c r="B12848" s="13"/>
      <c r="C12848" s="13"/>
      <c r="D12848" s="13"/>
    </row>
    <row r="12849" spans="1:4">
      <c r="A12849" s="13"/>
      <c r="B12849" s="13"/>
      <c r="C12849" s="13"/>
      <c r="D12849" s="13"/>
    </row>
    <row r="12850" spans="1:4">
      <c r="A12850" s="13"/>
      <c r="B12850" s="13"/>
      <c r="C12850" s="13"/>
      <c r="D12850" s="13"/>
    </row>
    <row r="12851" spans="1:4">
      <c r="A12851" s="13"/>
      <c r="B12851" s="13"/>
      <c r="C12851" s="13"/>
      <c r="D12851" s="13"/>
    </row>
    <row r="12852" spans="1:4">
      <c r="A12852" s="13"/>
      <c r="B12852" s="13"/>
      <c r="C12852" s="13"/>
      <c r="D12852" s="13"/>
    </row>
    <row r="12853" spans="1:4">
      <c r="A12853" s="13"/>
      <c r="B12853" s="13"/>
      <c r="C12853" s="13"/>
      <c r="D12853" s="13"/>
    </row>
    <row r="12854" spans="1:4">
      <c r="A12854" s="13"/>
      <c r="B12854" s="13"/>
      <c r="C12854" s="13"/>
      <c r="D12854" s="13"/>
    </row>
    <row r="12855" spans="1:4">
      <c r="A12855" s="13"/>
      <c r="B12855" s="13"/>
      <c r="C12855" s="13"/>
      <c r="D12855" s="13"/>
    </row>
    <row r="12856" spans="1:4">
      <c r="A12856" s="13"/>
      <c r="B12856" s="13"/>
      <c r="C12856" s="13"/>
      <c r="D12856" s="13"/>
    </row>
    <row r="12857" spans="1:4">
      <c r="A12857" s="13"/>
      <c r="B12857" s="13"/>
      <c r="C12857" s="13"/>
      <c r="D12857" s="13"/>
    </row>
    <row r="12858" spans="1:4">
      <c r="A12858" s="13"/>
      <c r="B12858" s="13"/>
      <c r="C12858" s="13"/>
      <c r="D12858" s="13"/>
    </row>
    <row r="12859" spans="1:4">
      <c r="A12859" s="13"/>
      <c r="B12859" s="13"/>
      <c r="C12859" s="13"/>
      <c r="D12859" s="13"/>
    </row>
    <row r="12860" spans="1:4">
      <c r="A12860" s="13"/>
      <c r="B12860" s="13"/>
      <c r="C12860" s="13"/>
      <c r="D12860" s="13"/>
    </row>
    <row r="12861" spans="1:4">
      <c r="A12861" s="13"/>
      <c r="B12861" s="13"/>
      <c r="C12861" s="13"/>
      <c r="D12861" s="13"/>
    </row>
    <row r="12862" spans="1:4">
      <c r="A12862" s="13"/>
      <c r="B12862" s="13"/>
      <c r="C12862" s="13"/>
      <c r="D12862" s="13"/>
    </row>
    <row r="12863" spans="1:4">
      <c r="A12863" s="13"/>
      <c r="B12863" s="13"/>
      <c r="C12863" s="13"/>
      <c r="D12863" s="13"/>
    </row>
    <row r="12864" spans="1:4">
      <c r="A12864" s="13"/>
      <c r="B12864" s="13"/>
      <c r="C12864" s="13"/>
      <c r="D12864" s="13"/>
    </row>
    <row r="12865" spans="1:4">
      <c r="A12865" s="13"/>
      <c r="B12865" s="13"/>
      <c r="C12865" s="13"/>
      <c r="D12865" s="13"/>
    </row>
    <row r="12866" spans="1:4">
      <c r="A12866" s="13"/>
      <c r="B12866" s="13"/>
      <c r="C12866" s="13"/>
      <c r="D12866" s="13"/>
    </row>
    <row r="12867" spans="1:4">
      <c r="A12867" s="13"/>
      <c r="B12867" s="13"/>
      <c r="C12867" s="13"/>
      <c r="D12867" s="13"/>
    </row>
    <row r="12868" spans="1:4">
      <c r="A12868" s="13"/>
      <c r="B12868" s="13"/>
      <c r="C12868" s="13"/>
      <c r="D12868" s="13"/>
    </row>
    <row r="12869" spans="1:4">
      <c r="A12869" s="13"/>
      <c r="B12869" s="13"/>
      <c r="C12869" s="13"/>
      <c r="D12869" s="13"/>
    </row>
    <row r="12870" spans="1:4">
      <c r="A12870" s="13"/>
      <c r="B12870" s="13"/>
      <c r="C12870" s="13"/>
      <c r="D12870" s="13"/>
    </row>
    <row r="12871" spans="1:4">
      <c r="A12871" s="13"/>
      <c r="B12871" s="13"/>
      <c r="C12871" s="13"/>
      <c r="D12871" s="13"/>
    </row>
    <row r="12872" spans="1:4">
      <c r="A12872" s="13"/>
      <c r="B12872" s="13"/>
      <c r="C12872" s="13"/>
      <c r="D12872" s="13"/>
    </row>
    <row r="12873" spans="1:4">
      <c r="A12873" s="13"/>
      <c r="B12873" s="13"/>
      <c r="C12873" s="13"/>
      <c r="D12873" s="13"/>
    </row>
    <row r="12874" spans="1:4">
      <c r="A12874" s="13"/>
      <c r="B12874" s="13"/>
      <c r="C12874" s="13"/>
      <c r="D12874" s="13"/>
    </row>
    <row r="12875" spans="1:4">
      <c r="A12875" s="13"/>
      <c r="B12875" s="13"/>
      <c r="C12875" s="13"/>
      <c r="D12875" s="13"/>
    </row>
    <row r="12876" spans="1:4">
      <c r="A12876" s="13"/>
      <c r="B12876" s="13"/>
      <c r="C12876" s="13"/>
      <c r="D12876" s="13"/>
    </row>
    <row r="12877" spans="1:4">
      <c r="A12877" s="13"/>
      <c r="B12877" s="13"/>
      <c r="C12877" s="13"/>
      <c r="D12877" s="13"/>
    </row>
    <row r="12878" spans="1:4">
      <c r="A12878" s="13"/>
      <c r="B12878" s="13"/>
      <c r="C12878" s="13"/>
      <c r="D12878" s="13"/>
    </row>
    <row r="12879" spans="1:4">
      <c r="A12879" s="13"/>
      <c r="B12879" s="13"/>
      <c r="C12879" s="13"/>
      <c r="D12879" s="13"/>
    </row>
    <row r="12880" spans="1:4">
      <c r="A12880" s="13"/>
      <c r="B12880" s="13"/>
      <c r="C12880" s="13"/>
      <c r="D12880" s="13"/>
    </row>
    <row r="12881" spans="1:4">
      <c r="A12881" s="13"/>
      <c r="B12881" s="13"/>
      <c r="C12881" s="13"/>
      <c r="D12881" s="13"/>
    </row>
    <row r="12882" spans="1:4">
      <c r="A12882" s="13"/>
      <c r="B12882" s="13"/>
      <c r="C12882" s="13"/>
      <c r="D12882" s="13"/>
    </row>
    <row r="12883" spans="1:4">
      <c r="A12883" s="13"/>
      <c r="B12883" s="13"/>
      <c r="C12883" s="13"/>
      <c r="D12883" s="13"/>
    </row>
    <row r="12884" spans="1:4">
      <c r="A12884" s="13"/>
      <c r="B12884" s="13"/>
      <c r="C12884" s="13"/>
      <c r="D12884" s="13"/>
    </row>
    <row r="12885" spans="1:4">
      <c r="A12885" s="13"/>
      <c r="B12885" s="13"/>
      <c r="C12885" s="13"/>
      <c r="D12885" s="13"/>
    </row>
    <row r="12886" spans="1:4">
      <c r="A12886" s="13"/>
      <c r="B12886" s="13"/>
      <c r="C12886" s="13"/>
      <c r="D12886" s="13"/>
    </row>
    <row r="12887" spans="1:4">
      <c r="A12887" s="13"/>
      <c r="B12887" s="13"/>
      <c r="C12887" s="13"/>
      <c r="D12887" s="13"/>
    </row>
    <row r="12888" spans="1:4">
      <c r="A12888" s="13"/>
      <c r="B12888" s="13"/>
      <c r="C12888" s="13"/>
      <c r="D12888" s="13"/>
    </row>
    <row r="12889" spans="1:4">
      <c r="A12889" s="13"/>
      <c r="B12889" s="13"/>
      <c r="C12889" s="13"/>
      <c r="D12889" s="13"/>
    </row>
    <row r="12890" spans="1:4">
      <c r="A12890" s="13"/>
      <c r="B12890" s="13"/>
      <c r="C12890" s="13"/>
      <c r="D12890" s="13"/>
    </row>
    <row r="12891" spans="1:4">
      <c r="A12891" s="13"/>
      <c r="B12891" s="13"/>
      <c r="C12891" s="13"/>
      <c r="D12891" s="13"/>
    </row>
    <row r="12892" spans="1:4">
      <c r="A12892" s="13"/>
      <c r="B12892" s="13"/>
      <c r="C12892" s="13"/>
      <c r="D12892" s="13"/>
    </row>
    <row r="12893" spans="1:4">
      <c r="A12893" s="13"/>
      <c r="B12893" s="13"/>
      <c r="C12893" s="13"/>
      <c r="D12893" s="13"/>
    </row>
    <row r="12894" spans="1:4">
      <c r="A12894" s="13"/>
      <c r="B12894" s="13"/>
      <c r="C12894" s="13"/>
      <c r="D12894" s="13"/>
    </row>
    <row r="12895" spans="1:4">
      <c r="A12895" s="13"/>
      <c r="B12895" s="13"/>
      <c r="C12895" s="13"/>
      <c r="D12895" s="13"/>
    </row>
    <row r="12896" spans="1:4">
      <c r="A12896" s="13"/>
      <c r="B12896" s="13"/>
      <c r="C12896" s="13"/>
      <c r="D12896" s="13"/>
    </row>
    <row r="12897" spans="1:4">
      <c r="A12897" s="13"/>
      <c r="B12897" s="13"/>
      <c r="C12897" s="13"/>
      <c r="D12897" s="13"/>
    </row>
    <row r="12898" spans="1:4">
      <c r="A12898" s="13"/>
      <c r="B12898" s="13"/>
      <c r="C12898" s="13"/>
      <c r="D12898" s="13"/>
    </row>
    <row r="12899" spans="1:4">
      <c r="A12899" s="13"/>
      <c r="B12899" s="13"/>
      <c r="C12899" s="13"/>
      <c r="D12899" s="13"/>
    </row>
    <row r="12900" spans="1:4">
      <c r="A12900" s="13"/>
      <c r="B12900" s="13"/>
      <c r="C12900" s="13"/>
      <c r="D12900" s="13"/>
    </row>
    <row r="12901" spans="1:4">
      <c r="A12901" s="13"/>
      <c r="B12901" s="13"/>
      <c r="C12901" s="13"/>
      <c r="D12901" s="13"/>
    </row>
    <row r="12902" spans="1:4">
      <c r="A12902" s="13"/>
      <c r="B12902" s="13"/>
      <c r="C12902" s="13"/>
      <c r="D12902" s="13"/>
    </row>
    <row r="12903" spans="1:4">
      <c r="A12903" s="13"/>
      <c r="B12903" s="13"/>
      <c r="C12903" s="13"/>
      <c r="D12903" s="13"/>
    </row>
    <row r="12904" spans="1:4">
      <c r="A12904" s="13"/>
      <c r="B12904" s="13"/>
      <c r="C12904" s="13"/>
      <c r="D12904" s="13"/>
    </row>
    <row r="12905" spans="1:4">
      <c r="A12905" s="13"/>
      <c r="B12905" s="13"/>
      <c r="C12905" s="13"/>
      <c r="D12905" s="13"/>
    </row>
    <row r="12906" spans="1:4">
      <c r="A12906" s="13"/>
      <c r="B12906" s="13"/>
      <c r="C12906" s="13"/>
      <c r="D12906" s="13"/>
    </row>
    <row r="12907" spans="1:4">
      <c r="A12907" s="13"/>
      <c r="B12907" s="13"/>
      <c r="C12907" s="13"/>
      <c r="D12907" s="13"/>
    </row>
    <row r="12908" spans="1:4">
      <c r="A12908" s="13"/>
      <c r="B12908" s="13"/>
      <c r="C12908" s="13"/>
      <c r="D12908" s="13"/>
    </row>
    <row r="12909" spans="1:4">
      <c r="A12909" s="13"/>
      <c r="B12909" s="13"/>
      <c r="C12909" s="13"/>
      <c r="D12909" s="13"/>
    </row>
    <row r="12910" spans="1:4">
      <c r="A12910" s="13"/>
      <c r="B12910" s="13"/>
      <c r="C12910" s="13"/>
      <c r="D12910" s="13"/>
    </row>
    <row r="12911" spans="1:4">
      <c r="A12911" s="13"/>
      <c r="B12911" s="13"/>
      <c r="C12911" s="13"/>
      <c r="D12911" s="13"/>
    </row>
    <row r="12912" spans="1:4">
      <c r="A12912" s="13"/>
      <c r="B12912" s="13"/>
      <c r="C12912" s="13"/>
      <c r="D12912" s="13"/>
    </row>
    <row r="12913" spans="1:4">
      <c r="A12913" s="13"/>
      <c r="B12913" s="13"/>
      <c r="C12913" s="13"/>
      <c r="D12913" s="13"/>
    </row>
    <row r="12914" spans="1:4">
      <c r="A12914" s="13"/>
      <c r="B12914" s="13"/>
      <c r="C12914" s="13"/>
      <c r="D12914" s="13"/>
    </row>
    <row r="12915" spans="1:4">
      <c r="A12915" s="13"/>
      <c r="B12915" s="13"/>
      <c r="C12915" s="13"/>
      <c r="D12915" s="13"/>
    </row>
    <row r="12916" spans="1:4">
      <c r="A12916" s="13"/>
      <c r="B12916" s="13"/>
      <c r="C12916" s="13"/>
      <c r="D12916" s="13"/>
    </row>
    <row r="12917" spans="1:4">
      <c r="A12917" s="13"/>
      <c r="B12917" s="13"/>
      <c r="C12917" s="13"/>
      <c r="D12917" s="13"/>
    </row>
    <row r="12918" spans="1:4">
      <c r="A12918" s="13"/>
      <c r="B12918" s="13"/>
      <c r="C12918" s="13"/>
      <c r="D12918" s="13"/>
    </row>
    <row r="12919" spans="1:4">
      <c r="A12919" s="13"/>
      <c r="B12919" s="13"/>
      <c r="C12919" s="13"/>
      <c r="D12919" s="13"/>
    </row>
    <row r="12920" spans="1:4">
      <c r="A12920" s="13"/>
      <c r="B12920" s="13"/>
      <c r="C12920" s="13"/>
      <c r="D12920" s="13"/>
    </row>
    <row r="12921" spans="1:4">
      <c r="A12921" s="13"/>
      <c r="B12921" s="13"/>
      <c r="C12921" s="13"/>
      <c r="D12921" s="13"/>
    </row>
    <row r="12922" spans="1:4">
      <c r="A12922" s="13"/>
      <c r="B12922" s="13"/>
      <c r="C12922" s="13"/>
      <c r="D12922" s="13"/>
    </row>
    <row r="12923" spans="1:4">
      <c r="A12923" s="13"/>
      <c r="B12923" s="13"/>
      <c r="C12923" s="13"/>
      <c r="D12923" s="13"/>
    </row>
    <row r="12924" spans="1:4">
      <c r="A12924" s="13"/>
      <c r="B12924" s="13"/>
      <c r="C12924" s="13"/>
      <c r="D12924" s="13"/>
    </row>
    <row r="12925" spans="1:4">
      <c r="A12925" s="13"/>
      <c r="B12925" s="13"/>
      <c r="C12925" s="13"/>
      <c r="D12925" s="13"/>
    </row>
    <row r="12926" spans="1:4">
      <c r="A12926" s="13"/>
      <c r="B12926" s="13"/>
      <c r="C12926" s="13"/>
      <c r="D12926" s="13"/>
    </row>
    <row r="12927" spans="1:4">
      <c r="A12927" s="13"/>
      <c r="B12927" s="13"/>
      <c r="C12927" s="13"/>
      <c r="D12927" s="13"/>
    </row>
    <row r="12928" spans="1:4">
      <c r="A12928" s="13"/>
      <c r="B12928" s="13"/>
      <c r="C12928" s="13"/>
      <c r="D12928" s="13"/>
    </row>
    <row r="12929" spans="1:4">
      <c r="A12929" s="13"/>
      <c r="B12929" s="13"/>
      <c r="C12929" s="13"/>
      <c r="D12929" s="13"/>
    </row>
    <row r="12930" spans="1:4">
      <c r="A12930" s="13"/>
      <c r="B12930" s="13"/>
      <c r="C12930" s="13"/>
      <c r="D12930" s="13"/>
    </row>
    <row r="12931" spans="1:4">
      <c r="A12931" s="13"/>
      <c r="B12931" s="13"/>
      <c r="C12931" s="13"/>
      <c r="D12931" s="13"/>
    </row>
    <row r="12932" spans="1:4">
      <c r="A12932" s="13"/>
      <c r="B12932" s="13"/>
      <c r="C12932" s="13"/>
      <c r="D12932" s="13"/>
    </row>
    <row r="12933" spans="1:4">
      <c r="A12933" s="13"/>
      <c r="B12933" s="13"/>
      <c r="C12933" s="13"/>
      <c r="D12933" s="13"/>
    </row>
    <row r="12934" spans="1:4">
      <c r="A12934" s="13"/>
      <c r="B12934" s="13"/>
      <c r="C12934" s="13"/>
      <c r="D12934" s="13"/>
    </row>
    <row r="12935" spans="1:4">
      <c r="A12935" s="13"/>
      <c r="B12935" s="13"/>
      <c r="C12935" s="13"/>
      <c r="D12935" s="13"/>
    </row>
    <row r="12936" spans="1:4">
      <c r="A12936" s="13"/>
      <c r="B12936" s="13"/>
      <c r="C12936" s="13"/>
      <c r="D12936" s="13"/>
    </row>
    <row r="12937" spans="1:4">
      <c r="A12937" s="13"/>
      <c r="B12937" s="13"/>
      <c r="C12937" s="13"/>
      <c r="D12937" s="13"/>
    </row>
    <row r="12938" spans="1:4">
      <c r="A12938" s="13"/>
      <c r="B12938" s="13"/>
      <c r="C12938" s="13"/>
      <c r="D12938" s="13"/>
    </row>
    <row r="12939" spans="1:4">
      <c r="A12939" s="13"/>
      <c r="B12939" s="13"/>
      <c r="C12939" s="13"/>
      <c r="D12939" s="13"/>
    </row>
    <row r="12940" spans="1:4">
      <c r="A12940" s="13"/>
      <c r="B12940" s="13"/>
      <c r="C12940" s="13"/>
      <c r="D12940" s="13"/>
    </row>
    <row r="12941" spans="1:4">
      <c r="A12941" s="13"/>
      <c r="B12941" s="13"/>
      <c r="C12941" s="13"/>
      <c r="D12941" s="13"/>
    </row>
    <row r="12942" spans="1:4">
      <c r="A12942" s="13"/>
      <c r="B12942" s="13"/>
      <c r="C12942" s="13"/>
      <c r="D12942" s="13"/>
    </row>
    <row r="12943" spans="1:4">
      <c r="A12943" s="13"/>
      <c r="B12943" s="13"/>
      <c r="C12943" s="13"/>
      <c r="D12943" s="13"/>
    </row>
    <row r="12944" spans="1:4">
      <c r="A12944" s="13"/>
      <c r="B12944" s="13"/>
      <c r="C12944" s="13"/>
      <c r="D12944" s="13"/>
    </row>
    <row r="12945" spans="1:4">
      <c r="A12945" s="13"/>
      <c r="B12945" s="13"/>
      <c r="C12945" s="13"/>
      <c r="D12945" s="13"/>
    </row>
    <row r="12946" spans="1:4">
      <c r="A12946" s="13"/>
      <c r="B12946" s="13"/>
      <c r="C12946" s="13"/>
      <c r="D12946" s="13"/>
    </row>
    <row r="12947" spans="1:4">
      <c r="A12947" s="13"/>
      <c r="B12947" s="13"/>
      <c r="C12947" s="13"/>
      <c r="D12947" s="13"/>
    </row>
    <row r="12948" spans="1:4">
      <c r="A12948" s="13"/>
      <c r="B12948" s="13"/>
      <c r="C12948" s="13"/>
      <c r="D12948" s="13"/>
    </row>
    <row r="12949" spans="1:4">
      <c r="A12949" s="13"/>
      <c r="B12949" s="13"/>
      <c r="C12949" s="13"/>
      <c r="D12949" s="13"/>
    </row>
    <row r="12950" spans="1:4">
      <c r="A12950" s="13"/>
      <c r="B12950" s="13"/>
      <c r="C12950" s="13"/>
      <c r="D12950" s="13"/>
    </row>
    <row r="12951" spans="1:4">
      <c r="A12951" s="13"/>
      <c r="B12951" s="13"/>
      <c r="C12951" s="13"/>
      <c r="D12951" s="13"/>
    </row>
    <row r="12952" spans="1:4">
      <c r="A12952" s="13"/>
      <c r="B12952" s="13"/>
      <c r="C12952" s="13"/>
      <c r="D12952" s="13"/>
    </row>
    <row r="12953" spans="1:4">
      <c r="A12953" s="13"/>
      <c r="B12953" s="13"/>
      <c r="C12953" s="13"/>
      <c r="D12953" s="13"/>
    </row>
    <row r="12954" spans="1:4">
      <c r="A12954" s="13"/>
      <c r="B12954" s="13"/>
      <c r="C12954" s="13"/>
      <c r="D12954" s="13"/>
    </row>
    <row r="12955" spans="1:4">
      <c r="A12955" s="13"/>
      <c r="B12955" s="13"/>
      <c r="C12955" s="13"/>
      <c r="D12955" s="13"/>
    </row>
    <row r="12956" spans="1:4">
      <c r="A12956" s="13"/>
      <c r="B12956" s="13"/>
      <c r="C12956" s="13"/>
      <c r="D12956" s="13"/>
    </row>
    <row r="12957" spans="1:4">
      <c r="A12957" s="13"/>
      <c r="B12957" s="13"/>
      <c r="C12957" s="13"/>
      <c r="D12957" s="13"/>
    </row>
    <row r="12958" spans="1:4">
      <c r="A12958" s="13"/>
      <c r="B12958" s="13"/>
      <c r="C12958" s="13"/>
      <c r="D12958" s="13"/>
    </row>
    <row r="12959" spans="1:4">
      <c r="A12959" s="13"/>
      <c r="B12959" s="13"/>
      <c r="C12959" s="13"/>
      <c r="D12959" s="13"/>
    </row>
    <row r="12960" spans="1:4">
      <c r="A12960" s="13"/>
      <c r="B12960" s="13"/>
      <c r="C12960" s="13"/>
      <c r="D12960" s="13"/>
    </row>
    <row r="12961" spans="1:4">
      <c r="A12961" s="13"/>
      <c r="B12961" s="13"/>
      <c r="C12961" s="13"/>
      <c r="D12961" s="13"/>
    </row>
    <row r="12962" spans="1:4">
      <c r="A12962" s="13"/>
      <c r="B12962" s="13"/>
      <c r="C12962" s="13"/>
      <c r="D12962" s="13"/>
    </row>
    <row r="12963" spans="1:4">
      <c r="A12963" s="13"/>
      <c r="B12963" s="13"/>
      <c r="C12963" s="13"/>
      <c r="D12963" s="13"/>
    </row>
    <row r="12964" spans="1:4">
      <c r="A12964" s="13"/>
      <c r="B12964" s="13"/>
      <c r="C12964" s="13"/>
      <c r="D12964" s="13"/>
    </row>
    <row r="12965" spans="1:4">
      <c r="A12965" s="13"/>
      <c r="B12965" s="13"/>
      <c r="C12965" s="13"/>
      <c r="D12965" s="13"/>
    </row>
    <row r="12966" spans="1:4">
      <c r="A12966" s="13"/>
      <c r="B12966" s="13"/>
      <c r="C12966" s="13"/>
      <c r="D12966" s="13"/>
    </row>
    <row r="12967" spans="1:4">
      <c r="A12967" s="13"/>
      <c r="B12967" s="13"/>
      <c r="C12967" s="13"/>
      <c r="D12967" s="13"/>
    </row>
    <row r="12968" spans="1:4">
      <c r="A12968" s="13"/>
      <c r="B12968" s="13"/>
      <c r="C12968" s="13"/>
      <c r="D12968" s="13"/>
    </row>
    <row r="12969" spans="1:4">
      <c r="A12969" s="13"/>
      <c r="B12969" s="13"/>
      <c r="C12969" s="13"/>
      <c r="D12969" s="13"/>
    </row>
    <row r="12970" spans="1:4">
      <c r="A12970" s="13"/>
      <c r="B12970" s="13"/>
      <c r="C12970" s="13"/>
      <c r="D12970" s="13"/>
    </row>
    <row r="12971" spans="1:4">
      <c r="A12971" s="13"/>
      <c r="B12971" s="13"/>
      <c r="C12971" s="13"/>
      <c r="D12971" s="13"/>
    </row>
    <row r="12972" spans="1:4">
      <c r="A12972" s="13"/>
      <c r="B12972" s="13"/>
      <c r="C12972" s="13"/>
      <c r="D12972" s="13"/>
    </row>
    <row r="12973" spans="1:4">
      <c r="A12973" s="13"/>
      <c r="B12973" s="13"/>
      <c r="C12973" s="13"/>
      <c r="D12973" s="13"/>
    </row>
    <row r="12974" spans="1:4">
      <c r="A12974" s="13"/>
      <c r="B12974" s="13"/>
      <c r="C12974" s="13"/>
      <c r="D12974" s="13"/>
    </row>
    <row r="12975" spans="1:4">
      <c r="A12975" s="13"/>
      <c r="B12975" s="13"/>
      <c r="C12975" s="13"/>
      <c r="D12975" s="13"/>
    </row>
    <row r="12976" spans="1:4">
      <c r="A12976" s="13"/>
      <c r="B12976" s="13"/>
      <c r="C12976" s="13"/>
      <c r="D12976" s="13"/>
    </row>
    <row r="12977" spans="1:4">
      <c r="A12977" s="13"/>
      <c r="B12977" s="13"/>
      <c r="C12977" s="13"/>
      <c r="D12977" s="13"/>
    </row>
    <row r="12978" spans="1:4">
      <c r="A12978" s="13"/>
      <c r="B12978" s="13"/>
      <c r="C12978" s="13"/>
      <c r="D12978" s="13"/>
    </row>
    <row r="12979" spans="1:4">
      <c r="A12979" s="13"/>
      <c r="B12979" s="13"/>
      <c r="C12979" s="13"/>
      <c r="D12979" s="13"/>
    </row>
    <row r="12980" spans="1:4">
      <c r="A12980" s="13"/>
      <c r="B12980" s="13"/>
      <c r="C12980" s="13"/>
      <c r="D12980" s="13"/>
    </row>
    <row r="12981" spans="1:4">
      <c r="A12981" s="13"/>
      <c r="B12981" s="13"/>
      <c r="C12981" s="13"/>
      <c r="D12981" s="13"/>
    </row>
    <row r="12982" spans="1:4">
      <c r="A12982" s="13"/>
      <c r="B12982" s="13"/>
      <c r="C12982" s="13"/>
      <c r="D12982" s="13"/>
    </row>
    <row r="12983" spans="1:4">
      <c r="A12983" s="13"/>
      <c r="B12983" s="13"/>
      <c r="C12983" s="13"/>
      <c r="D12983" s="13"/>
    </row>
    <row r="12984" spans="1:4">
      <c r="A12984" s="13"/>
      <c r="B12984" s="13"/>
      <c r="C12984" s="13"/>
      <c r="D12984" s="13"/>
    </row>
    <row r="12985" spans="1:4">
      <c r="A12985" s="13"/>
      <c r="B12985" s="13"/>
      <c r="C12985" s="13"/>
      <c r="D12985" s="13"/>
    </row>
    <row r="12986" spans="1:4">
      <c r="A12986" s="13"/>
      <c r="B12986" s="13"/>
      <c r="C12986" s="13"/>
      <c r="D12986" s="13"/>
    </row>
    <row r="12987" spans="1:4">
      <c r="A12987" s="13"/>
      <c r="B12987" s="13"/>
      <c r="C12987" s="13"/>
      <c r="D12987" s="13"/>
    </row>
    <row r="12988" spans="1:4">
      <c r="A12988" s="13"/>
      <c r="B12988" s="13"/>
      <c r="C12988" s="13"/>
      <c r="D12988" s="13"/>
    </row>
    <row r="12989" spans="1:4">
      <c r="A12989" s="13"/>
      <c r="B12989" s="13"/>
      <c r="C12989" s="13"/>
      <c r="D12989" s="13"/>
    </row>
    <row r="12990" spans="1:4">
      <c r="A12990" s="13"/>
      <c r="B12990" s="13"/>
      <c r="C12990" s="13"/>
      <c r="D12990" s="13"/>
    </row>
    <row r="12991" spans="1:4">
      <c r="A12991" s="13"/>
      <c r="B12991" s="13"/>
      <c r="C12991" s="13"/>
      <c r="D12991" s="13"/>
    </row>
    <row r="12992" spans="1:4">
      <c r="A12992" s="13"/>
      <c r="B12992" s="13"/>
      <c r="C12992" s="13"/>
      <c r="D12992" s="13"/>
    </row>
    <row r="12993" spans="1:4">
      <c r="A12993" s="13"/>
      <c r="B12993" s="13"/>
      <c r="C12993" s="13"/>
      <c r="D12993" s="13"/>
    </row>
    <row r="12994" spans="1:4">
      <c r="A12994" s="13"/>
      <c r="B12994" s="13"/>
      <c r="C12994" s="13"/>
      <c r="D12994" s="13"/>
    </row>
    <row r="12995" spans="1:4">
      <c r="A12995" s="13"/>
      <c r="B12995" s="13"/>
      <c r="C12995" s="13"/>
      <c r="D12995" s="13"/>
    </row>
    <row r="12996" spans="1:4">
      <c r="A12996" s="13"/>
      <c r="B12996" s="13"/>
      <c r="C12996" s="13"/>
      <c r="D12996" s="13"/>
    </row>
    <row r="12997" spans="1:4">
      <c r="A12997" s="13"/>
      <c r="B12997" s="13"/>
      <c r="C12997" s="13"/>
      <c r="D12997" s="13"/>
    </row>
    <row r="12998" spans="1:4">
      <c r="A12998" s="13"/>
      <c r="B12998" s="13"/>
      <c r="C12998" s="13"/>
      <c r="D12998" s="13"/>
    </row>
    <row r="12999" spans="1:4">
      <c r="A12999" s="13"/>
      <c r="B12999" s="13"/>
      <c r="C12999" s="13"/>
      <c r="D12999" s="13"/>
    </row>
    <row r="13000" spans="1:4">
      <c r="A13000" s="13"/>
      <c r="B13000" s="13"/>
      <c r="C13000" s="13"/>
      <c r="D13000" s="13"/>
    </row>
    <row r="13001" spans="1:4">
      <c r="A13001" s="13"/>
      <c r="B13001" s="13"/>
      <c r="C13001" s="13"/>
      <c r="D13001" s="13"/>
    </row>
    <row r="13002" spans="1:4">
      <c r="A13002" s="13"/>
      <c r="B13002" s="13"/>
      <c r="C13002" s="13"/>
      <c r="D13002" s="13"/>
    </row>
    <row r="13003" spans="1:4">
      <c r="A13003" s="13"/>
      <c r="B13003" s="13"/>
      <c r="C13003" s="13"/>
      <c r="D13003" s="13"/>
    </row>
    <row r="13004" spans="1:4">
      <c r="A13004" s="13"/>
      <c r="B13004" s="13"/>
      <c r="C13004" s="13"/>
      <c r="D13004" s="13"/>
    </row>
    <row r="13005" spans="1:4">
      <c r="A13005" s="13"/>
      <c r="B13005" s="13"/>
      <c r="C13005" s="13"/>
      <c r="D13005" s="13"/>
    </row>
    <row r="13006" spans="1:4">
      <c r="A13006" s="13"/>
      <c r="B13006" s="13"/>
      <c r="C13006" s="13"/>
      <c r="D13006" s="13"/>
    </row>
    <row r="13007" spans="1:4">
      <c r="A13007" s="13"/>
      <c r="B13007" s="13"/>
      <c r="C13007" s="13"/>
      <c r="D13007" s="13"/>
    </row>
    <row r="13008" spans="1:4">
      <c r="A13008" s="13"/>
      <c r="B13008" s="13"/>
      <c r="C13008" s="13"/>
      <c r="D13008" s="13"/>
    </row>
    <row r="13009" spans="1:4">
      <c r="A13009" s="13"/>
      <c r="B13009" s="13"/>
      <c r="C13009" s="13"/>
      <c r="D13009" s="13"/>
    </row>
    <row r="13010" spans="1:4">
      <c r="A13010" s="13"/>
      <c r="B13010" s="13"/>
      <c r="C13010" s="13"/>
      <c r="D13010" s="13"/>
    </row>
    <row r="13011" spans="1:4">
      <c r="A13011" s="13"/>
      <c r="B13011" s="13"/>
      <c r="C13011" s="13"/>
      <c r="D13011" s="13"/>
    </row>
    <row r="13012" spans="1:4">
      <c r="A13012" s="13"/>
      <c r="B13012" s="13"/>
      <c r="C13012" s="13"/>
      <c r="D13012" s="13"/>
    </row>
    <row r="13013" spans="1:4">
      <c r="A13013" s="13"/>
      <c r="B13013" s="13"/>
      <c r="C13013" s="13"/>
      <c r="D13013" s="13"/>
    </row>
    <row r="13014" spans="1:4">
      <c r="A13014" s="13"/>
      <c r="B13014" s="13"/>
      <c r="C13014" s="13"/>
      <c r="D13014" s="13"/>
    </row>
    <row r="13015" spans="1:4">
      <c r="A13015" s="13"/>
      <c r="B13015" s="13"/>
      <c r="C13015" s="13"/>
      <c r="D13015" s="13"/>
    </row>
    <row r="13016" spans="1:4">
      <c r="A13016" s="13"/>
      <c r="B13016" s="13"/>
      <c r="C13016" s="13"/>
      <c r="D13016" s="13"/>
    </row>
    <row r="13017" spans="1:4">
      <c r="A13017" s="13"/>
      <c r="B13017" s="13"/>
      <c r="C13017" s="13"/>
      <c r="D13017" s="13"/>
    </row>
    <row r="13018" spans="1:4">
      <c r="A13018" s="13"/>
      <c r="B13018" s="13"/>
      <c r="C13018" s="13"/>
      <c r="D13018" s="13"/>
    </row>
    <row r="13019" spans="1:4">
      <c r="A13019" s="13"/>
      <c r="B13019" s="13"/>
      <c r="C13019" s="13"/>
      <c r="D13019" s="13"/>
    </row>
    <row r="13020" spans="1:4">
      <c r="A13020" s="13"/>
      <c r="B13020" s="13"/>
      <c r="C13020" s="13"/>
      <c r="D13020" s="13"/>
    </row>
    <row r="13021" spans="1:4">
      <c r="A13021" s="13"/>
      <c r="B13021" s="13"/>
      <c r="C13021" s="13"/>
      <c r="D13021" s="13"/>
    </row>
    <row r="13022" spans="1:4">
      <c r="A13022" s="13"/>
      <c r="B13022" s="13"/>
      <c r="C13022" s="13"/>
      <c r="D13022" s="13"/>
    </row>
    <row r="13023" spans="1:4">
      <c r="A13023" s="13"/>
      <c r="B13023" s="13"/>
      <c r="C13023" s="13"/>
      <c r="D13023" s="13"/>
    </row>
    <row r="13024" spans="1:4">
      <c r="A13024" s="13"/>
      <c r="B13024" s="13"/>
      <c r="C13024" s="13"/>
      <c r="D13024" s="13"/>
    </row>
    <row r="13025" spans="1:4">
      <c r="A13025" s="13"/>
      <c r="B13025" s="13"/>
      <c r="C13025" s="13"/>
      <c r="D13025" s="13"/>
    </row>
    <row r="13026" spans="1:4">
      <c r="A13026" s="13"/>
      <c r="B13026" s="13"/>
      <c r="C13026" s="13"/>
      <c r="D13026" s="13"/>
    </row>
    <row r="13027" spans="1:4">
      <c r="A13027" s="13"/>
      <c r="B13027" s="13"/>
      <c r="C13027" s="13"/>
      <c r="D13027" s="13"/>
    </row>
    <row r="13028" spans="1:4">
      <c r="A13028" s="13"/>
      <c r="B13028" s="13"/>
      <c r="C13028" s="13"/>
      <c r="D13028" s="13"/>
    </row>
    <row r="13029" spans="1:4">
      <c r="A13029" s="13"/>
      <c r="B13029" s="13"/>
      <c r="C13029" s="13"/>
      <c r="D13029" s="13"/>
    </row>
    <row r="13030" spans="1:4">
      <c r="A13030" s="13"/>
      <c r="B13030" s="13"/>
      <c r="C13030" s="13"/>
      <c r="D13030" s="13"/>
    </row>
    <row r="13031" spans="1:4">
      <c r="A13031" s="13"/>
      <c r="B13031" s="13"/>
      <c r="C13031" s="13"/>
      <c r="D13031" s="13"/>
    </row>
    <row r="13032" spans="1:4">
      <c r="A13032" s="13"/>
      <c r="B13032" s="13"/>
      <c r="C13032" s="13"/>
      <c r="D13032" s="13"/>
    </row>
    <row r="13033" spans="1:4">
      <c r="A13033" s="13"/>
      <c r="B13033" s="13"/>
      <c r="C13033" s="13"/>
      <c r="D13033" s="13"/>
    </row>
    <row r="13034" spans="1:4">
      <c r="A13034" s="13"/>
      <c r="B13034" s="13"/>
      <c r="C13034" s="13"/>
      <c r="D13034" s="13"/>
    </row>
    <row r="13035" spans="1:4">
      <c r="A13035" s="13"/>
      <c r="B13035" s="13"/>
      <c r="C13035" s="13"/>
      <c r="D13035" s="13"/>
    </row>
    <row r="13036" spans="1:4">
      <c r="A13036" s="13"/>
      <c r="B13036" s="13"/>
      <c r="C13036" s="13"/>
      <c r="D13036" s="13"/>
    </row>
    <row r="13037" spans="1:4">
      <c r="A13037" s="13"/>
      <c r="B13037" s="13"/>
      <c r="C13037" s="13"/>
      <c r="D13037" s="13"/>
    </row>
    <row r="13038" spans="1:4">
      <c r="A13038" s="13"/>
      <c r="B13038" s="13"/>
      <c r="C13038" s="13"/>
      <c r="D13038" s="13"/>
    </row>
    <row r="13039" spans="1:4">
      <c r="A13039" s="13"/>
      <c r="B13039" s="13"/>
      <c r="C13039" s="13"/>
      <c r="D13039" s="13"/>
    </row>
    <row r="13040" spans="1:4">
      <c r="A13040" s="13"/>
      <c r="B13040" s="13"/>
      <c r="C13040" s="13"/>
      <c r="D13040" s="13"/>
    </row>
    <row r="13041" spans="1:4">
      <c r="A13041" s="13"/>
      <c r="B13041" s="13"/>
      <c r="C13041" s="13"/>
      <c r="D13041" s="13"/>
    </row>
    <row r="13042" spans="1:4">
      <c r="A13042" s="13"/>
      <c r="B13042" s="13"/>
      <c r="C13042" s="13"/>
      <c r="D13042" s="13"/>
    </row>
    <row r="13043" spans="1:4">
      <c r="A13043" s="13"/>
      <c r="B13043" s="13"/>
      <c r="C13043" s="13"/>
      <c r="D13043" s="13"/>
    </row>
    <row r="13044" spans="1:4">
      <c r="A13044" s="13"/>
      <c r="B13044" s="13"/>
      <c r="C13044" s="13"/>
      <c r="D13044" s="13"/>
    </row>
    <row r="13045" spans="1:4">
      <c r="A13045" s="13"/>
      <c r="B13045" s="13"/>
      <c r="C13045" s="13"/>
      <c r="D13045" s="13"/>
    </row>
    <row r="13046" spans="1:4">
      <c r="A13046" s="13"/>
      <c r="B13046" s="13"/>
      <c r="C13046" s="13"/>
      <c r="D13046" s="13"/>
    </row>
    <row r="13047" spans="1:4">
      <c r="A13047" s="13"/>
      <c r="B13047" s="13"/>
      <c r="C13047" s="13"/>
      <c r="D13047" s="13"/>
    </row>
    <row r="13048" spans="1:4">
      <c r="A13048" s="13"/>
      <c r="B13048" s="13"/>
      <c r="C13048" s="13"/>
      <c r="D13048" s="13"/>
    </row>
    <row r="13049" spans="1:4">
      <c r="A13049" s="13"/>
      <c r="B13049" s="13"/>
      <c r="C13049" s="13"/>
      <c r="D13049" s="13"/>
    </row>
    <row r="13050" spans="1:4">
      <c r="A13050" s="13"/>
      <c r="B13050" s="13"/>
      <c r="C13050" s="13"/>
      <c r="D13050" s="13"/>
    </row>
    <row r="13051" spans="1:4">
      <c r="A13051" s="13"/>
      <c r="B13051" s="13"/>
      <c r="C13051" s="13"/>
      <c r="D13051" s="13"/>
    </row>
    <row r="13052" spans="1:4">
      <c r="A13052" s="13"/>
      <c r="B13052" s="13"/>
      <c r="C13052" s="13"/>
      <c r="D13052" s="13"/>
    </row>
    <row r="13053" spans="1:4">
      <c r="A13053" s="13"/>
      <c r="B13053" s="13"/>
      <c r="C13053" s="13"/>
      <c r="D13053" s="13"/>
    </row>
    <row r="13054" spans="1:4">
      <c r="A13054" s="13"/>
      <c r="B13054" s="13"/>
      <c r="C13054" s="13"/>
      <c r="D13054" s="13"/>
    </row>
    <row r="13055" spans="1:4">
      <c r="A13055" s="13"/>
      <c r="B13055" s="13"/>
      <c r="C13055" s="13"/>
      <c r="D13055" s="13"/>
    </row>
    <row r="13056" spans="1:4">
      <c r="A13056" s="13"/>
      <c r="B13056" s="13"/>
      <c r="C13056" s="13"/>
      <c r="D13056" s="13"/>
    </row>
    <row r="13057" spans="1:4">
      <c r="A13057" s="13"/>
      <c r="B13057" s="13"/>
      <c r="C13057" s="13"/>
      <c r="D13057" s="13"/>
    </row>
    <row r="13058" spans="1:4">
      <c r="A13058" s="13"/>
      <c r="B13058" s="13"/>
      <c r="C13058" s="13"/>
      <c r="D13058" s="13"/>
    </row>
    <row r="13059" spans="1:4">
      <c r="A13059" s="13"/>
      <c r="B13059" s="13"/>
      <c r="C13059" s="13"/>
      <c r="D13059" s="13"/>
    </row>
    <row r="13060" spans="1:4">
      <c r="A13060" s="13"/>
      <c r="B13060" s="13"/>
      <c r="C13060" s="13"/>
      <c r="D13060" s="13"/>
    </row>
    <row r="13061" spans="1:4">
      <c r="A13061" s="13"/>
      <c r="B13061" s="13"/>
      <c r="C13061" s="13"/>
      <c r="D13061" s="13"/>
    </row>
    <row r="13062" spans="1:4">
      <c r="A13062" s="13"/>
      <c r="B13062" s="13"/>
      <c r="C13062" s="13"/>
      <c r="D13062" s="13"/>
    </row>
    <row r="13063" spans="1:4">
      <c r="A13063" s="13"/>
      <c r="B13063" s="13"/>
      <c r="C13063" s="13"/>
      <c r="D13063" s="13"/>
    </row>
    <row r="13064" spans="1:4">
      <c r="A13064" s="13"/>
      <c r="B13064" s="13"/>
      <c r="C13064" s="13"/>
      <c r="D13064" s="13"/>
    </row>
    <row r="13065" spans="1:4">
      <c r="A13065" s="13"/>
      <c r="B13065" s="13"/>
      <c r="C13065" s="13"/>
      <c r="D13065" s="13"/>
    </row>
    <row r="13066" spans="1:4">
      <c r="A13066" s="13"/>
      <c r="B13066" s="13"/>
      <c r="C13066" s="13"/>
      <c r="D13066" s="13"/>
    </row>
    <row r="13067" spans="1:4">
      <c r="A13067" s="13"/>
      <c r="B13067" s="13"/>
      <c r="C13067" s="13"/>
      <c r="D13067" s="13"/>
    </row>
    <row r="13068" spans="1:4">
      <c r="A13068" s="13"/>
      <c r="B13068" s="13"/>
      <c r="C13068" s="13"/>
      <c r="D13068" s="13"/>
    </row>
    <row r="13069" spans="1:4">
      <c r="A13069" s="13"/>
      <c r="B13069" s="13"/>
      <c r="C13069" s="13"/>
      <c r="D13069" s="13"/>
    </row>
    <row r="13070" spans="1:4">
      <c r="A13070" s="13"/>
      <c r="B13070" s="13"/>
      <c r="C13070" s="13"/>
      <c r="D13070" s="13"/>
    </row>
    <row r="13071" spans="1:4">
      <c r="A13071" s="13"/>
      <c r="B13071" s="13"/>
      <c r="C13071" s="13"/>
      <c r="D13071" s="13"/>
    </row>
    <row r="13072" spans="1:4">
      <c r="A13072" s="13"/>
      <c r="B13072" s="13"/>
      <c r="C13072" s="13"/>
      <c r="D13072" s="13"/>
    </row>
    <row r="13073" spans="1:4">
      <c r="A13073" s="13"/>
      <c r="B13073" s="13"/>
      <c r="C13073" s="13"/>
      <c r="D13073" s="13"/>
    </row>
    <row r="13074" spans="1:4">
      <c r="A13074" s="13"/>
      <c r="B13074" s="13"/>
      <c r="C13074" s="13"/>
      <c r="D13074" s="13"/>
    </row>
    <row r="13075" spans="1:4">
      <c r="A13075" s="13"/>
      <c r="B13075" s="13"/>
      <c r="C13075" s="13"/>
      <c r="D13075" s="13"/>
    </row>
    <row r="13076" spans="1:4">
      <c r="A13076" s="13"/>
      <c r="B13076" s="13"/>
      <c r="C13076" s="13"/>
      <c r="D13076" s="13"/>
    </row>
    <row r="13077" spans="1:4">
      <c r="A13077" s="13"/>
      <c r="B13077" s="13"/>
      <c r="C13077" s="13"/>
      <c r="D13077" s="13"/>
    </row>
    <row r="13078" spans="1:4">
      <c r="A13078" s="13"/>
      <c r="B13078" s="13"/>
      <c r="C13078" s="13"/>
      <c r="D13078" s="13"/>
    </row>
    <row r="13079" spans="1:4">
      <c r="A13079" s="13"/>
      <c r="B13079" s="13"/>
      <c r="C13079" s="13"/>
      <c r="D13079" s="13"/>
    </row>
    <row r="13080" spans="1:4">
      <c r="A13080" s="13"/>
      <c r="B13080" s="13"/>
      <c r="C13080" s="13"/>
      <c r="D13080" s="13"/>
    </row>
    <row r="13081" spans="1:4">
      <c r="A13081" s="13"/>
      <c r="B13081" s="13"/>
      <c r="C13081" s="13"/>
      <c r="D13081" s="13"/>
    </row>
    <row r="13082" spans="1:4">
      <c r="A13082" s="13"/>
      <c r="B13082" s="13"/>
      <c r="C13082" s="13"/>
      <c r="D13082" s="13"/>
    </row>
    <row r="13083" spans="1:4">
      <c r="A13083" s="13"/>
      <c r="B13083" s="13"/>
      <c r="C13083" s="13"/>
      <c r="D13083" s="13"/>
    </row>
    <row r="13084" spans="1:4">
      <c r="A13084" s="13"/>
      <c r="B13084" s="13"/>
      <c r="C13084" s="13"/>
      <c r="D13084" s="13"/>
    </row>
    <row r="13085" spans="1:4">
      <c r="A13085" s="13"/>
      <c r="B13085" s="13"/>
      <c r="C13085" s="13"/>
      <c r="D13085" s="13"/>
    </row>
    <row r="13086" spans="1:4">
      <c r="A13086" s="13"/>
      <c r="B13086" s="13"/>
      <c r="C13086" s="13"/>
      <c r="D13086" s="13"/>
    </row>
    <row r="13087" spans="1:4">
      <c r="A13087" s="13"/>
      <c r="B13087" s="13"/>
      <c r="C13087" s="13"/>
      <c r="D13087" s="13"/>
    </row>
    <row r="13088" spans="1:4">
      <c r="A13088" s="13"/>
      <c r="B13088" s="13"/>
      <c r="C13088" s="13"/>
      <c r="D13088" s="13"/>
    </row>
    <row r="13089" spans="1:4">
      <c r="A13089" s="13"/>
      <c r="B13089" s="13"/>
      <c r="C13089" s="13"/>
      <c r="D13089" s="13"/>
    </row>
    <row r="13090" spans="1:4">
      <c r="A13090" s="13"/>
      <c r="B13090" s="13"/>
      <c r="C13090" s="13"/>
      <c r="D13090" s="13"/>
    </row>
    <row r="13091" spans="1:4">
      <c r="A13091" s="13"/>
      <c r="B13091" s="13"/>
      <c r="C13091" s="13"/>
      <c r="D13091" s="13"/>
    </row>
    <row r="13092" spans="1:4">
      <c r="A13092" s="13"/>
      <c r="B13092" s="13"/>
      <c r="C13092" s="13"/>
      <c r="D13092" s="13"/>
    </row>
    <row r="13093" spans="1:4">
      <c r="A13093" s="13"/>
      <c r="B13093" s="13"/>
      <c r="C13093" s="13"/>
      <c r="D13093" s="13"/>
    </row>
    <row r="13094" spans="1:4">
      <c r="A13094" s="13"/>
      <c r="B13094" s="13"/>
      <c r="C13094" s="13"/>
      <c r="D13094" s="13"/>
    </row>
    <row r="13095" spans="1:4">
      <c r="A13095" s="13"/>
      <c r="B13095" s="13"/>
      <c r="C13095" s="13"/>
      <c r="D13095" s="13"/>
    </row>
    <row r="13096" spans="1:4">
      <c r="A13096" s="13"/>
      <c r="B13096" s="13"/>
      <c r="C13096" s="13"/>
      <c r="D13096" s="13"/>
    </row>
    <row r="13097" spans="1:4">
      <c r="A13097" s="13"/>
      <c r="B13097" s="13"/>
      <c r="C13097" s="13"/>
      <c r="D13097" s="13"/>
    </row>
    <row r="13098" spans="1:4">
      <c r="A13098" s="13"/>
      <c r="B13098" s="13"/>
      <c r="C13098" s="13"/>
      <c r="D13098" s="13"/>
    </row>
    <row r="13099" spans="1:4">
      <c r="A13099" s="13"/>
      <c r="B13099" s="13"/>
      <c r="C13099" s="13"/>
      <c r="D13099" s="13"/>
    </row>
    <row r="13100" spans="1:4">
      <c r="A13100" s="13"/>
      <c r="B13100" s="13"/>
      <c r="C13100" s="13"/>
      <c r="D13100" s="13"/>
    </row>
    <row r="13101" spans="1:4">
      <c r="A13101" s="13"/>
      <c r="B13101" s="13"/>
      <c r="C13101" s="13"/>
      <c r="D13101" s="13"/>
    </row>
    <row r="13102" spans="1:4">
      <c r="A13102" s="13"/>
      <c r="B13102" s="13"/>
      <c r="C13102" s="13"/>
      <c r="D13102" s="13"/>
    </row>
    <row r="13103" spans="1:4">
      <c r="A13103" s="13"/>
      <c r="B13103" s="13"/>
      <c r="C13103" s="13"/>
      <c r="D13103" s="13"/>
    </row>
    <row r="13104" spans="1:4">
      <c r="A13104" s="13"/>
      <c r="B13104" s="13"/>
      <c r="C13104" s="13"/>
      <c r="D13104" s="13"/>
    </row>
    <row r="13105" spans="1:4">
      <c r="A13105" s="13"/>
      <c r="B13105" s="13"/>
      <c r="C13105" s="13"/>
      <c r="D13105" s="13"/>
    </row>
    <row r="13106" spans="1:4">
      <c r="A13106" s="13"/>
      <c r="B13106" s="13"/>
      <c r="C13106" s="13"/>
      <c r="D13106" s="13"/>
    </row>
    <row r="13107" spans="1:4">
      <c r="A13107" s="13"/>
      <c r="B13107" s="13"/>
      <c r="C13107" s="13"/>
      <c r="D13107" s="13"/>
    </row>
    <row r="13108" spans="1:4">
      <c r="A13108" s="13"/>
      <c r="B13108" s="13"/>
      <c r="C13108" s="13"/>
      <c r="D13108" s="13"/>
    </row>
    <row r="13109" spans="1:4">
      <c r="A13109" s="13"/>
      <c r="B13109" s="13"/>
      <c r="C13109" s="13"/>
      <c r="D13109" s="13"/>
    </row>
    <row r="13110" spans="1:4">
      <c r="A13110" s="13"/>
      <c r="B13110" s="13"/>
      <c r="C13110" s="13"/>
      <c r="D13110" s="13"/>
    </row>
    <row r="13111" spans="1:4">
      <c r="A13111" s="13"/>
      <c r="B13111" s="13"/>
      <c r="C13111" s="13"/>
      <c r="D13111" s="13"/>
    </row>
    <row r="13112" spans="1:4">
      <c r="A13112" s="13"/>
      <c r="B13112" s="13"/>
      <c r="C13112" s="13"/>
      <c r="D13112" s="13"/>
    </row>
    <row r="13113" spans="1:4">
      <c r="A13113" s="13"/>
      <c r="B13113" s="13"/>
      <c r="C13113" s="13"/>
      <c r="D13113" s="13"/>
    </row>
    <row r="13114" spans="1:4">
      <c r="A13114" s="13"/>
      <c r="B13114" s="13"/>
      <c r="C13114" s="13"/>
      <c r="D13114" s="13"/>
    </row>
    <row r="13115" spans="1:4">
      <c r="A13115" s="13"/>
      <c r="B13115" s="13"/>
      <c r="C13115" s="13"/>
      <c r="D13115" s="13"/>
    </row>
    <row r="13116" spans="1:4">
      <c r="A13116" s="13"/>
      <c r="B13116" s="13"/>
      <c r="C13116" s="13"/>
      <c r="D13116" s="13"/>
    </row>
    <row r="13117" spans="1:4">
      <c r="A13117" s="13"/>
      <c r="B13117" s="13"/>
      <c r="C13117" s="13"/>
      <c r="D13117" s="13"/>
    </row>
    <row r="13118" spans="1:4">
      <c r="A13118" s="13"/>
      <c r="B13118" s="13"/>
      <c r="C13118" s="13"/>
      <c r="D13118" s="13"/>
    </row>
    <row r="13119" spans="1:4">
      <c r="A13119" s="13"/>
      <c r="B13119" s="13"/>
      <c r="C13119" s="13"/>
      <c r="D13119" s="13"/>
    </row>
    <row r="13120" spans="1:4">
      <c r="A13120" s="13"/>
      <c r="B13120" s="13"/>
      <c r="C13120" s="13"/>
      <c r="D13120" s="13"/>
    </row>
    <row r="13121" spans="1:4">
      <c r="A13121" s="13"/>
      <c r="B13121" s="13"/>
      <c r="C13121" s="13"/>
      <c r="D13121" s="13"/>
    </row>
    <row r="13122" spans="1:4">
      <c r="A13122" s="13"/>
      <c r="B13122" s="13"/>
      <c r="C13122" s="13"/>
      <c r="D13122" s="13"/>
    </row>
    <row r="13123" spans="1:4">
      <c r="A13123" s="13"/>
      <c r="B13123" s="13"/>
      <c r="C13123" s="13"/>
      <c r="D13123" s="13"/>
    </row>
    <row r="13124" spans="1:4">
      <c r="A13124" s="13"/>
      <c r="B13124" s="13"/>
      <c r="C13124" s="13"/>
      <c r="D13124" s="13"/>
    </row>
    <row r="13125" spans="1:4">
      <c r="A13125" s="13"/>
      <c r="B13125" s="13"/>
      <c r="C13125" s="13"/>
      <c r="D13125" s="13"/>
    </row>
    <row r="13126" spans="1:4">
      <c r="A13126" s="13"/>
      <c r="B13126" s="13"/>
      <c r="C13126" s="13"/>
      <c r="D13126" s="13"/>
    </row>
    <row r="13127" spans="1:4">
      <c r="A13127" s="13"/>
      <c r="B13127" s="13"/>
      <c r="C13127" s="13"/>
      <c r="D13127" s="13"/>
    </row>
    <row r="13128" spans="1:4">
      <c r="A13128" s="13"/>
      <c r="B13128" s="13"/>
      <c r="C13128" s="13"/>
      <c r="D13128" s="13"/>
    </row>
    <row r="13129" spans="1:4">
      <c r="A13129" s="13"/>
      <c r="B13129" s="13"/>
      <c r="C13129" s="13"/>
      <c r="D13129" s="13"/>
    </row>
    <row r="13130" spans="1:4">
      <c r="A13130" s="13"/>
      <c r="B13130" s="13"/>
      <c r="C13130" s="13"/>
      <c r="D13130" s="13"/>
    </row>
    <row r="13131" spans="1:4">
      <c r="A13131" s="13"/>
      <c r="B13131" s="13"/>
      <c r="C13131" s="13"/>
      <c r="D13131" s="13"/>
    </row>
    <row r="13132" spans="1:4">
      <c r="A13132" s="13"/>
      <c r="B13132" s="13"/>
      <c r="C13132" s="13"/>
      <c r="D13132" s="13"/>
    </row>
    <row r="13133" spans="1:4">
      <c r="A13133" s="13"/>
      <c r="B13133" s="13"/>
      <c r="C13133" s="13"/>
      <c r="D13133" s="13"/>
    </row>
    <row r="13134" spans="1:4">
      <c r="A13134" s="13"/>
      <c r="B13134" s="13"/>
      <c r="C13134" s="13"/>
      <c r="D13134" s="13"/>
    </row>
    <row r="13135" spans="1:4">
      <c r="A13135" s="13"/>
      <c r="B13135" s="13"/>
      <c r="C13135" s="13"/>
      <c r="D13135" s="13"/>
    </row>
    <row r="13136" spans="1:4">
      <c r="A13136" s="13"/>
      <c r="B13136" s="13"/>
      <c r="C13136" s="13"/>
      <c r="D13136" s="13"/>
    </row>
    <row r="13137" spans="1:4">
      <c r="A13137" s="13"/>
      <c r="B13137" s="13"/>
      <c r="C13137" s="13"/>
      <c r="D13137" s="13"/>
    </row>
    <row r="13138" spans="1:4">
      <c r="A13138" s="13"/>
      <c r="B13138" s="13"/>
      <c r="C13138" s="13"/>
      <c r="D13138" s="13"/>
    </row>
    <row r="13139" spans="1:4">
      <c r="A13139" s="13"/>
      <c r="B13139" s="13"/>
      <c r="C13139" s="13"/>
      <c r="D13139" s="13"/>
    </row>
    <row r="13140" spans="1:4">
      <c r="A13140" s="13"/>
      <c r="B13140" s="13"/>
      <c r="C13140" s="13"/>
      <c r="D13140" s="13"/>
    </row>
    <row r="13141" spans="1:4">
      <c r="A13141" s="13"/>
      <c r="B13141" s="13"/>
      <c r="C13141" s="13"/>
      <c r="D13141" s="13"/>
    </row>
    <row r="13142" spans="1:4">
      <c r="A13142" s="13"/>
      <c r="B13142" s="13"/>
      <c r="C13142" s="13"/>
      <c r="D13142" s="13"/>
    </row>
    <row r="13143" spans="1:4">
      <c r="A13143" s="13"/>
      <c r="B13143" s="13"/>
      <c r="C13143" s="13"/>
      <c r="D13143" s="13"/>
    </row>
    <row r="13144" spans="1:4">
      <c r="A13144" s="13"/>
      <c r="B13144" s="13"/>
      <c r="C13144" s="13"/>
      <c r="D13144" s="13"/>
    </row>
    <row r="13145" spans="1:4">
      <c r="A13145" s="13"/>
      <c r="B13145" s="13"/>
      <c r="C13145" s="13"/>
      <c r="D13145" s="13"/>
    </row>
    <row r="13146" spans="1:4">
      <c r="A13146" s="13"/>
      <c r="B13146" s="13"/>
      <c r="C13146" s="13"/>
      <c r="D13146" s="13"/>
    </row>
    <row r="13147" spans="1:4">
      <c r="A13147" s="13"/>
      <c r="B13147" s="13"/>
      <c r="C13147" s="13"/>
      <c r="D13147" s="13"/>
    </row>
    <row r="13148" spans="1:4">
      <c r="A13148" s="13"/>
      <c r="B13148" s="13"/>
      <c r="C13148" s="13"/>
      <c r="D13148" s="13"/>
    </row>
    <row r="13149" spans="1:4">
      <c r="A13149" s="13"/>
      <c r="B13149" s="13"/>
      <c r="C13149" s="13"/>
      <c r="D13149" s="13"/>
    </row>
    <row r="13150" spans="1:4">
      <c r="A13150" s="13"/>
      <c r="B13150" s="13"/>
      <c r="C13150" s="13"/>
      <c r="D13150" s="13"/>
    </row>
    <row r="13151" spans="1:4">
      <c r="A13151" s="13"/>
      <c r="B13151" s="13"/>
      <c r="C13151" s="13"/>
      <c r="D13151" s="13"/>
    </row>
    <row r="13152" spans="1:4">
      <c r="A13152" s="13"/>
      <c r="B13152" s="13"/>
      <c r="C13152" s="13"/>
      <c r="D13152" s="13"/>
    </row>
    <row r="13153" spans="1:4">
      <c r="A13153" s="13"/>
      <c r="B13153" s="13"/>
      <c r="C13153" s="13"/>
      <c r="D13153" s="13"/>
    </row>
    <row r="13154" spans="1:4">
      <c r="A13154" s="13"/>
      <c r="B13154" s="13"/>
      <c r="C13154" s="13"/>
      <c r="D13154" s="13"/>
    </row>
    <row r="13155" spans="1:4">
      <c r="A13155" s="13"/>
      <c r="B13155" s="13"/>
      <c r="C13155" s="13"/>
      <c r="D13155" s="13"/>
    </row>
    <row r="13156" spans="1:4">
      <c r="A13156" s="13"/>
      <c r="B13156" s="13"/>
      <c r="C13156" s="13"/>
      <c r="D13156" s="13"/>
    </row>
    <row r="13157" spans="1:4">
      <c r="A13157" s="13"/>
      <c r="B13157" s="13"/>
      <c r="C13157" s="13"/>
      <c r="D13157" s="13"/>
    </row>
    <row r="13158" spans="1:4">
      <c r="A13158" s="13"/>
      <c r="B13158" s="13"/>
      <c r="C13158" s="13"/>
      <c r="D13158" s="13"/>
    </row>
    <row r="13159" spans="1:4">
      <c r="A13159" s="13"/>
      <c r="B13159" s="13"/>
      <c r="C13159" s="13"/>
      <c r="D13159" s="13"/>
    </row>
    <row r="13160" spans="1:4">
      <c r="A13160" s="13"/>
      <c r="B13160" s="13"/>
      <c r="C13160" s="13"/>
      <c r="D13160" s="13"/>
    </row>
    <row r="13161" spans="1:4">
      <c r="A13161" s="13"/>
      <c r="B13161" s="13"/>
      <c r="C13161" s="13"/>
      <c r="D13161" s="13"/>
    </row>
    <row r="13162" spans="1:4">
      <c r="A13162" s="13"/>
      <c r="B13162" s="13"/>
      <c r="C13162" s="13"/>
      <c r="D13162" s="13"/>
    </row>
    <row r="13163" spans="1:4">
      <c r="A13163" s="13"/>
      <c r="B13163" s="13"/>
      <c r="C13163" s="13"/>
      <c r="D13163" s="13"/>
    </row>
    <row r="13164" spans="1:4">
      <c r="A13164" s="13"/>
      <c r="B13164" s="13"/>
      <c r="C13164" s="13"/>
      <c r="D13164" s="13"/>
    </row>
    <row r="13165" spans="1:4">
      <c r="A13165" s="13"/>
      <c r="B13165" s="13"/>
      <c r="C13165" s="13"/>
      <c r="D13165" s="13"/>
    </row>
    <row r="13166" spans="1:4">
      <c r="A13166" s="13"/>
      <c r="B13166" s="13"/>
      <c r="C13166" s="13"/>
      <c r="D13166" s="13"/>
    </row>
    <row r="13167" spans="1:4">
      <c r="A13167" s="13"/>
      <c r="B13167" s="13"/>
      <c r="C13167" s="13"/>
      <c r="D13167" s="13"/>
    </row>
    <row r="13168" spans="1:4">
      <c r="A13168" s="13"/>
      <c r="B13168" s="13"/>
      <c r="C13168" s="13"/>
      <c r="D13168" s="13"/>
    </row>
    <row r="13169" spans="1:4">
      <c r="A13169" s="13"/>
      <c r="B13169" s="13"/>
      <c r="C13169" s="13"/>
      <c r="D13169" s="13"/>
    </row>
    <row r="13170" spans="1:4">
      <c r="A13170" s="13"/>
      <c r="B13170" s="13"/>
      <c r="C13170" s="13"/>
      <c r="D13170" s="13"/>
    </row>
    <row r="13171" spans="1:4">
      <c r="A13171" s="13"/>
      <c r="B13171" s="13"/>
      <c r="C13171" s="13"/>
      <c r="D13171" s="13"/>
    </row>
    <row r="13172" spans="1:4">
      <c r="A13172" s="13"/>
      <c r="B13172" s="13"/>
      <c r="C13172" s="13"/>
      <c r="D13172" s="13"/>
    </row>
    <row r="13173" spans="1:4">
      <c r="A13173" s="13"/>
      <c r="B13173" s="13"/>
      <c r="C13173" s="13"/>
      <c r="D13173" s="13"/>
    </row>
    <row r="13174" spans="1:4">
      <c r="A13174" s="13"/>
      <c r="B13174" s="13"/>
      <c r="C13174" s="13"/>
      <c r="D13174" s="13"/>
    </row>
    <row r="13175" spans="1:4">
      <c r="A13175" s="13"/>
      <c r="B13175" s="13"/>
      <c r="C13175" s="13"/>
      <c r="D13175" s="13"/>
    </row>
    <row r="13176" spans="1:4">
      <c r="A13176" s="13"/>
      <c r="B13176" s="13"/>
      <c r="C13176" s="13"/>
      <c r="D13176" s="13"/>
    </row>
    <row r="13177" spans="1:4">
      <c r="A13177" s="13"/>
      <c r="B13177" s="13"/>
      <c r="C13177" s="13"/>
      <c r="D13177" s="13"/>
    </row>
    <row r="13178" spans="1:4">
      <c r="A13178" s="13"/>
      <c r="B13178" s="13"/>
      <c r="C13178" s="13"/>
      <c r="D13178" s="13"/>
    </row>
    <row r="13179" spans="1:4">
      <c r="A13179" s="13"/>
      <c r="B13179" s="13"/>
      <c r="C13179" s="13"/>
      <c r="D13179" s="13"/>
    </row>
    <row r="13180" spans="1:4">
      <c r="A13180" s="13"/>
      <c r="B13180" s="13"/>
      <c r="C13180" s="13"/>
      <c r="D13180" s="13"/>
    </row>
    <row r="13181" spans="1:4">
      <c r="A13181" s="13"/>
      <c r="B13181" s="13"/>
      <c r="C13181" s="13"/>
      <c r="D13181" s="13"/>
    </row>
    <row r="13182" spans="1:4">
      <c r="A13182" s="13"/>
      <c r="B13182" s="13"/>
      <c r="C13182" s="13"/>
      <c r="D13182" s="13"/>
    </row>
    <row r="13183" spans="1:4">
      <c r="A13183" s="13"/>
      <c r="B13183" s="13"/>
      <c r="C13183" s="13"/>
      <c r="D13183" s="13"/>
    </row>
    <row r="13184" spans="1:4">
      <c r="A13184" s="13"/>
      <c r="B13184" s="13"/>
      <c r="C13184" s="13"/>
      <c r="D13184" s="13"/>
    </row>
    <row r="13185" spans="1:4">
      <c r="A13185" s="13"/>
      <c r="B13185" s="13"/>
      <c r="C13185" s="13"/>
      <c r="D13185" s="13"/>
    </row>
    <row r="13186" spans="1:4">
      <c r="A13186" s="13"/>
      <c r="B13186" s="13"/>
      <c r="C13186" s="13"/>
      <c r="D13186" s="13"/>
    </row>
    <row r="13187" spans="1:4">
      <c r="A13187" s="13"/>
      <c r="B13187" s="13"/>
      <c r="C13187" s="13"/>
      <c r="D13187" s="13"/>
    </row>
    <row r="13188" spans="1:4">
      <c r="A13188" s="13"/>
      <c r="B13188" s="13"/>
      <c r="C13188" s="13"/>
      <c r="D13188" s="13"/>
    </row>
    <row r="13189" spans="1:4">
      <c r="A13189" s="13"/>
      <c r="B13189" s="13"/>
      <c r="C13189" s="13"/>
      <c r="D13189" s="13"/>
    </row>
    <row r="13190" spans="1:4">
      <c r="A13190" s="13"/>
      <c r="B13190" s="13"/>
      <c r="C13190" s="13"/>
      <c r="D13190" s="13"/>
    </row>
    <row r="13191" spans="1:4">
      <c r="A13191" s="13"/>
      <c r="B13191" s="13"/>
      <c r="C13191" s="13"/>
      <c r="D13191" s="13"/>
    </row>
    <row r="13192" spans="1:4">
      <c r="A13192" s="13"/>
      <c r="B13192" s="13"/>
      <c r="C13192" s="13"/>
      <c r="D13192" s="13"/>
    </row>
    <row r="13193" spans="1:4">
      <c r="A13193" s="13"/>
      <c r="B13193" s="13"/>
      <c r="C13193" s="13"/>
      <c r="D13193" s="13"/>
    </row>
    <row r="13194" spans="1:4">
      <c r="A13194" s="13"/>
      <c r="B13194" s="13"/>
      <c r="C13194" s="13"/>
      <c r="D13194" s="13"/>
    </row>
    <row r="13195" spans="1:4">
      <c r="A13195" s="13"/>
      <c r="B13195" s="13"/>
      <c r="C13195" s="13"/>
      <c r="D13195" s="13"/>
    </row>
    <row r="13196" spans="1:4">
      <c r="A13196" s="13"/>
      <c r="B13196" s="13"/>
      <c r="C13196" s="13"/>
      <c r="D13196" s="13"/>
    </row>
    <row r="13197" spans="1:4">
      <c r="A13197" s="13"/>
      <c r="B13197" s="13"/>
      <c r="C13197" s="13"/>
      <c r="D13197" s="13"/>
    </row>
    <row r="13198" spans="1:4">
      <c r="A13198" s="13"/>
      <c r="B13198" s="13"/>
      <c r="C13198" s="13"/>
      <c r="D13198" s="13"/>
    </row>
    <row r="13199" spans="1:4">
      <c r="A13199" s="13"/>
      <c r="B13199" s="13"/>
      <c r="C13199" s="13"/>
      <c r="D13199" s="13"/>
    </row>
    <row r="13200" spans="1:4">
      <c r="A13200" s="13"/>
      <c r="B13200" s="13"/>
      <c r="C13200" s="13"/>
      <c r="D13200" s="13"/>
    </row>
    <row r="13201" spans="1:4">
      <c r="A13201" s="13"/>
      <c r="B13201" s="13"/>
      <c r="C13201" s="13"/>
      <c r="D13201" s="13"/>
    </row>
    <row r="13202" spans="1:4">
      <c r="A13202" s="13"/>
      <c r="B13202" s="13"/>
      <c r="C13202" s="13"/>
      <c r="D13202" s="13"/>
    </row>
    <row r="13203" spans="1:4">
      <c r="A13203" s="13"/>
      <c r="B13203" s="13"/>
      <c r="C13203" s="13"/>
      <c r="D13203" s="13"/>
    </row>
    <row r="13204" spans="1:4">
      <c r="A13204" s="13"/>
      <c r="B13204" s="13"/>
      <c r="C13204" s="13"/>
      <c r="D13204" s="13"/>
    </row>
    <row r="13205" spans="1:4">
      <c r="A13205" s="13"/>
      <c r="B13205" s="13"/>
      <c r="C13205" s="13"/>
      <c r="D13205" s="13"/>
    </row>
    <row r="13206" spans="1:4">
      <c r="A13206" s="13"/>
      <c r="B13206" s="13"/>
      <c r="C13206" s="13"/>
      <c r="D13206" s="13"/>
    </row>
    <row r="13207" spans="1:4">
      <c r="A13207" s="13"/>
      <c r="B13207" s="13"/>
      <c r="C13207" s="13"/>
      <c r="D13207" s="13"/>
    </row>
    <row r="13208" spans="1:4">
      <c r="A13208" s="13"/>
      <c r="B13208" s="13"/>
      <c r="C13208" s="13"/>
      <c r="D13208" s="13"/>
    </row>
    <row r="13209" spans="1:4">
      <c r="A13209" s="13"/>
      <c r="B13209" s="13"/>
      <c r="C13209" s="13"/>
      <c r="D13209" s="13"/>
    </row>
    <row r="13210" spans="1:4">
      <c r="A13210" s="13"/>
      <c r="B13210" s="13"/>
      <c r="C13210" s="13"/>
      <c r="D13210" s="13"/>
    </row>
    <row r="13211" spans="1:4">
      <c r="A13211" s="13"/>
      <c r="B13211" s="13"/>
      <c r="C13211" s="13"/>
      <c r="D13211" s="13"/>
    </row>
    <row r="13212" spans="1:4">
      <c r="A13212" s="13"/>
      <c r="B13212" s="13"/>
      <c r="C13212" s="13"/>
      <c r="D13212" s="13"/>
    </row>
    <row r="13213" spans="1:4">
      <c r="A13213" s="13"/>
      <c r="B13213" s="13"/>
      <c r="C13213" s="13"/>
      <c r="D13213" s="13"/>
    </row>
    <row r="13214" spans="1:4">
      <c r="A13214" s="13"/>
      <c r="B13214" s="13"/>
      <c r="C13214" s="13"/>
      <c r="D13214" s="13"/>
    </row>
    <row r="13215" spans="1:4">
      <c r="A13215" s="13"/>
      <c r="B13215" s="13"/>
      <c r="C13215" s="13"/>
      <c r="D13215" s="13"/>
    </row>
    <row r="13216" spans="1:4">
      <c r="A13216" s="13"/>
      <c r="B13216" s="13"/>
      <c r="C13216" s="13"/>
      <c r="D13216" s="13"/>
    </row>
    <row r="13217" spans="1:4">
      <c r="A13217" s="13"/>
      <c r="B13217" s="13"/>
      <c r="C13217" s="13"/>
      <c r="D13217" s="13"/>
    </row>
    <row r="13218" spans="1:4">
      <c r="A13218" s="13"/>
      <c r="B13218" s="13"/>
      <c r="C13218" s="13"/>
      <c r="D13218" s="13"/>
    </row>
    <row r="13219" spans="1:4">
      <c r="A13219" s="13"/>
      <c r="B13219" s="13"/>
      <c r="C13219" s="13"/>
      <c r="D13219" s="13"/>
    </row>
    <row r="13220" spans="1:4">
      <c r="A13220" s="13"/>
      <c r="B13220" s="13"/>
      <c r="C13220" s="13"/>
      <c r="D13220" s="13"/>
    </row>
    <row r="13221" spans="1:4">
      <c r="A13221" s="13"/>
      <c r="B13221" s="13"/>
      <c r="C13221" s="13"/>
      <c r="D13221" s="13"/>
    </row>
    <row r="13222" spans="1:4">
      <c r="A13222" s="13"/>
      <c r="B13222" s="13"/>
      <c r="C13222" s="13"/>
      <c r="D13222" s="13"/>
    </row>
    <row r="13223" spans="1:4">
      <c r="A13223" s="13"/>
      <c r="B13223" s="13"/>
      <c r="C13223" s="13"/>
      <c r="D13223" s="13"/>
    </row>
    <row r="13224" spans="1:4">
      <c r="A13224" s="13"/>
      <c r="B13224" s="13"/>
      <c r="C13224" s="13"/>
      <c r="D13224" s="13"/>
    </row>
    <row r="13225" spans="1:4">
      <c r="A13225" s="13"/>
      <c r="B13225" s="13"/>
      <c r="C13225" s="13"/>
      <c r="D13225" s="13"/>
    </row>
    <row r="13226" spans="1:4">
      <c r="A13226" s="13"/>
      <c r="B13226" s="13"/>
      <c r="C13226" s="13"/>
      <c r="D13226" s="13"/>
    </row>
    <row r="13227" spans="1:4">
      <c r="A13227" s="13"/>
      <c r="B13227" s="13"/>
      <c r="C13227" s="13"/>
      <c r="D13227" s="13"/>
    </row>
    <row r="13228" spans="1:4">
      <c r="A13228" s="13"/>
      <c r="B13228" s="13"/>
      <c r="C13228" s="13"/>
      <c r="D13228" s="13"/>
    </row>
    <row r="13229" spans="1:4">
      <c r="A13229" s="13"/>
      <c r="B13229" s="13"/>
      <c r="C13229" s="13"/>
      <c r="D13229" s="13"/>
    </row>
    <row r="13230" spans="1:4">
      <c r="A13230" s="13"/>
      <c r="B13230" s="13"/>
      <c r="C13230" s="13"/>
      <c r="D13230" s="13"/>
    </row>
    <row r="13231" spans="1:4">
      <c r="A13231" s="13"/>
      <c r="B13231" s="13"/>
      <c r="C13231" s="13"/>
      <c r="D13231" s="13"/>
    </row>
    <row r="13232" spans="1:4">
      <c r="A13232" s="13"/>
      <c r="B13232" s="13"/>
      <c r="C13232" s="13"/>
      <c r="D13232" s="13"/>
    </row>
    <row r="13233" spans="1:4">
      <c r="A13233" s="13"/>
      <c r="B13233" s="13"/>
      <c r="C13233" s="13"/>
      <c r="D13233" s="13"/>
    </row>
    <row r="13234" spans="1:4">
      <c r="A13234" s="13"/>
      <c r="B13234" s="13"/>
      <c r="C13234" s="13"/>
      <c r="D13234" s="13"/>
    </row>
    <row r="13235" spans="1:4">
      <c r="A13235" s="13"/>
      <c r="B13235" s="13"/>
      <c r="C13235" s="13"/>
      <c r="D13235" s="13"/>
    </row>
    <row r="13236" spans="1:4">
      <c r="A13236" s="13"/>
      <c r="B13236" s="13"/>
      <c r="C13236" s="13"/>
      <c r="D13236" s="13"/>
    </row>
    <row r="13237" spans="1:4">
      <c r="A13237" s="13"/>
      <c r="B13237" s="13"/>
      <c r="C13237" s="13"/>
      <c r="D13237" s="13"/>
    </row>
    <row r="13238" spans="1:4">
      <c r="A13238" s="13"/>
      <c r="B13238" s="13"/>
      <c r="C13238" s="13"/>
      <c r="D13238" s="13"/>
    </row>
    <row r="13239" spans="1:4">
      <c r="A13239" s="13"/>
      <c r="B13239" s="13"/>
      <c r="C13239" s="13"/>
      <c r="D13239" s="13"/>
    </row>
    <row r="13240" spans="1:4">
      <c r="A13240" s="13"/>
      <c r="B13240" s="13"/>
      <c r="C13240" s="13"/>
      <c r="D13240" s="13"/>
    </row>
    <row r="13241" spans="1:4">
      <c r="A13241" s="13"/>
      <c r="B13241" s="13"/>
      <c r="C13241" s="13"/>
      <c r="D13241" s="13"/>
    </row>
    <row r="13242" spans="1:4">
      <c r="A13242" s="13"/>
      <c r="B13242" s="13"/>
      <c r="C13242" s="13"/>
      <c r="D13242" s="13"/>
    </row>
    <row r="13243" spans="1:4">
      <c r="A13243" s="13"/>
      <c r="B13243" s="13"/>
      <c r="C13243" s="13"/>
      <c r="D13243" s="13"/>
    </row>
    <row r="13244" spans="1:4">
      <c r="A13244" s="13"/>
      <c r="B13244" s="13"/>
      <c r="C13244" s="13"/>
      <c r="D13244" s="13"/>
    </row>
    <row r="13245" spans="1:4">
      <c r="A13245" s="13"/>
      <c r="B13245" s="13"/>
      <c r="C13245" s="13"/>
      <c r="D13245" s="13"/>
    </row>
    <row r="13246" spans="1:4">
      <c r="A13246" s="13"/>
      <c r="B13246" s="13"/>
      <c r="C13246" s="13"/>
      <c r="D13246" s="13"/>
    </row>
    <row r="13247" spans="1:4">
      <c r="A13247" s="13"/>
      <c r="B13247" s="13"/>
      <c r="C13247" s="13"/>
      <c r="D13247" s="13"/>
    </row>
    <row r="13248" spans="1:4">
      <c r="A13248" s="13"/>
      <c r="B13248" s="13"/>
      <c r="C13248" s="13"/>
      <c r="D13248" s="13"/>
    </row>
    <row r="13249" spans="1:4">
      <c r="A13249" s="13"/>
      <c r="B13249" s="13"/>
      <c r="C13249" s="13"/>
      <c r="D13249" s="13"/>
    </row>
    <row r="13250" spans="1:4">
      <c r="A13250" s="13"/>
      <c r="B13250" s="13"/>
      <c r="C13250" s="13"/>
      <c r="D13250" s="13"/>
    </row>
    <row r="13251" spans="1:4">
      <c r="A13251" s="13"/>
      <c r="B13251" s="13"/>
      <c r="C13251" s="13"/>
      <c r="D13251" s="13"/>
    </row>
    <row r="13252" spans="1:4">
      <c r="A13252" s="13"/>
      <c r="B13252" s="13"/>
      <c r="C13252" s="13"/>
      <c r="D13252" s="13"/>
    </row>
    <row r="13253" spans="1:4">
      <c r="A13253" s="13"/>
      <c r="B13253" s="13"/>
      <c r="C13253" s="13"/>
      <c r="D13253" s="13"/>
    </row>
    <row r="13254" spans="1:4">
      <c r="A13254" s="13"/>
      <c r="B13254" s="13"/>
      <c r="C13254" s="13"/>
      <c r="D13254" s="13"/>
    </row>
    <row r="13255" spans="1:4">
      <c r="A13255" s="13"/>
      <c r="B13255" s="13"/>
      <c r="C13255" s="13"/>
      <c r="D13255" s="13"/>
    </row>
    <row r="13256" spans="1:4">
      <c r="A13256" s="13"/>
      <c r="B13256" s="13"/>
      <c r="C13256" s="13"/>
      <c r="D13256" s="13"/>
    </row>
    <row r="13257" spans="1:4">
      <c r="A13257" s="13"/>
      <c r="B13257" s="13"/>
      <c r="C13257" s="13"/>
      <c r="D13257" s="13"/>
    </row>
    <row r="13258" spans="1:4">
      <c r="A13258" s="13"/>
      <c r="B13258" s="13"/>
      <c r="C13258" s="13"/>
      <c r="D13258" s="13"/>
    </row>
    <row r="13259" spans="1:4">
      <c r="A13259" s="13"/>
      <c r="B13259" s="13"/>
      <c r="C13259" s="13"/>
      <c r="D13259" s="13"/>
    </row>
    <row r="13260" spans="1:4">
      <c r="A13260" s="13"/>
      <c r="B13260" s="13"/>
      <c r="C13260" s="13"/>
      <c r="D13260" s="13"/>
    </row>
    <row r="13261" spans="1:4">
      <c r="A13261" s="13"/>
      <c r="B13261" s="13"/>
      <c r="C13261" s="13"/>
      <c r="D13261" s="13"/>
    </row>
    <row r="13262" spans="1:4">
      <c r="A13262" s="13"/>
      <c r="B13262" s="13"/>
      <c r="C13262" s="13"/>
      <c r="D13262" s="13"/>
    </row>
    <row r="13263" spans="1:4">
      <c r="A13263" s="13"/>
      <c r="B13263" s="13"/>
      <c r="C13263" s="13"/>
      <c r="D13263" s="13"/>
    </row>
    <row r="13264" spans="1:4">
      <c r="A13264" s="13"/>
      <c r="B13264" s="13"/>
      <c r="C13264" s="13"/>
      <c r="D13264" s="13"/>
    </row>
    <row r="13265" spans="1:4">
      <c r="A13265" s="13"/>
      <c r="B13265" s="13"/>
      <c r="C13265" s="13"/>
      <c r="D13265" s="13"/>
    </row>
    <row r="13266" spans="1:4">
      <c r="A13266" s="13"/>
      <c r="B13266" s="13"/>
      <c r="C13266" s="13"/>
      <c r="D13266" s="13"/>
    </row>
    <row r="13267" spans="1:4">
      <c r="A13267" s="13"/>
      <c r="B13267" s="13"/>
      <c r="C13267" s="13"/>
      <c r="D13267" s="13"/>
    </row>
    <row r="13268" spans="1:4">
      <c r="A13268" s="13"/>
      <c r="B13268" s="13"/>
      <c r="C13268" s="13"/>
      <c r="D13268" s="13"/>
    </row>
    <row r="13269" spans="1:4">
      <c r="A13269" s="13"/>
      <c r="B13269" s="13"/>
      <c r="C13269" s="13"/>
      <c r="D13269" s="13"/>
    </row>
    <row r="13270" spans="1:4">
      <c r="A13270" s="13"/>
      <c r="B13270" s="13"/>
      <c r="C13270" s="13"/>
      <c r="D13270" s="13"/>
    </row>
    <row r="13271" spans="1:4">
      <c r="A13271" s="13"/>
      <c r="B13271" s="13"/>
      <c r="C13271" s="13"/>
      <c r="D13271" s="13"/>
    </row>
    <row r="13272" spans="1:4">
      <c r="A13272" s="13"/>
      <c r="B13272" s="13"/>
      <c r="C13272" s="13"/>
      <c r="D13272" s="13"/>
    </row>
    <row r="13273" spans="1:4">
      <c r="A13273" s="13"/>
      <c r="B13273" s="13"/>
      <c r="C13273" s="13"/>
      <c r="D13273" s="13"/>
    </row>
    <row r="13274" spans="1:4">
      <c r="A13274" s="13"/>
      <c r="B13274" s="13"/>
      <c r="C13274" s="13"/>
      <c r="D13274" s="13"/>
    </row>
    <row r="13275" spans="1:4">
      <c r="A13275" s="13"/>
      <c r="B13275" s="13"/>
      <c r="C13275" s="13"/>
      <c r="D13275" s="13"/>
    </row>
    <row r="13276" spans="1:4">
      <c r="A13276" s="13"/>
      <c r="B13276" s="13"/>
      <c r="C13276" s="13"/>
      <c r="D13276" s="13"/>
    </row>
    <row r="13277" spans="1:4">
      <c r="A13277" s="13"/>
      <c r="B13277" s="13"/>
      <c r="C13277" s="13"/>
      <c r="D13277" s="13"/>
    </row>
    <row r="13278" spans="1:4">
      <c r="A13278" s="13"/>
      <c r="B13278" s="13"/>
      <c r="C13278" s="13"/>
      <c r="D13278" s="13"/>
    </row>
    <row r="13279" spans="1:4">
      <c r="A13279" s="13"/>
      <c r="B13279" s="13"/>
      <c r="C13279" s="13"/>
      <c r="D13279" s="13"/>
    </row>
    <row r="13280" spans="1:4">
      <c r="A13280" s="13"/>
      <c r="B13280" s="13"/>
      <c r="C13280" s="13"/>
      <c r="D13280" s="13"/>
    </row>
    <row r="13281" spans="1:4">
      <c r="A13281" s="13"/>
      <c r="B13281" s="13"/>
      <c r="C13281" s="13"/>
      <c r="D13281" s="13"/>
    </row>
    <row r="13282" spans="1:4">
      <c r="A13282" s="13"/>
      <c r="B13282" s="13"/>
      <c r="C13282" s="13"/>
      <c r="D13282" s="13"/>
    </row>
    <row r="13283" spans="1:4">
      <c r="A13283" s="13"/>
      <c r="B13283" s="13"/>
      <c r="C13283" s="13"/>
      <c r="D13283" s="13"/>
    </row>
    <row r="13284" spans="1:4">
      <c r="A13284" s="13"/>
      <c r="B13284" s="13"/>
      <c r="C13284" s="13"/>
      <c r="D13284" s="13"/>
    </row>
    <row r="13285" spans="1:4">
      <c r="A13285" s="13"/>
      <c r="B13285" s="13"/>
      <c r="C13285" s="13"/>
      <c r="D13285" s="13"/>
    </row>
    <row r="13286" spans="1:4">
      <c r="A13286" s="13"/>
      <c r="B13286" s="13"/>
      <c r="C13286" s="13"/>
      <c r="D13286" s="13"/>
    </row>
    <row r="13287" spans="1:4">
      <c r="A13287" s="13"/>
      <c r="B13287" s="13"/>
      <c r="C13287" s="13"/>
      <c r="D13287" s="13"/>
    </row>
    <row r="13288" spans="1:4">
      <c r="A13288" s="13"/>
      <c r="B13288" s="13"/>
      <c r="C13288" s="13"/>
      <c r="D13288" s="13"/>
    </row>
    <row r="13289" spans="1:4">
      <c r="A13289" s="13"/>
      <c r="B13289" s="13"/>
      <c r="C13289" s="13"/>
      <c r="D13289" s="13"/>
    </row>
    <row r="13290" spans="1:4">
      <c r="A13290" s="13"/>
      <c r="B13290" s="13"/>
      <c r="C13290" s="13"/>
      <c r="D13290" s="13"/>
    </row>
    <row r="13291" spans="1:4">
      <c r="A13291" s="13"/>
      <c r="B13291" s="13"/>
      <c r="C13291" s="13"/>
      <c r="D13291" s="13"/>
    </row>
    <row r="13292" spans="1:4">
      <c r="A13292" s="13"/>
      <c r="B13292" s="13"/>
      <c r="C13292" s="13"/>
      <c r="D13292" s="13"/>
    </row>
    <row r="13293" spans="1:4">
      <c r="A13293" s="13"/>
      <c r="B13293" s="13"/>
      <c r="C13293" s="13"/>
      <c r="D13293" s="13"/>
    </row>
    <row r="13294" spans="1:4">
      <c r="A13294" s="13"/>
      <c r="B13294" s="13"/>
      <c r="C13294" s="13"/>
      <c r="D13294" s="13"/>
    </row>
    <row r="13295" spans="1:4">
      <c r="A13295" s="13"/>
      <c r="B13295" s="13"/>
      <c r="C13295" s="13"/>
      <c r="D13295" s="13"/>
    </row>
    <row r="13296" spans="1:4">
      <c r="A13296" s="13"/>
      <c r="B13296" s="13"/>
      <c r="C13296" s="13"/>
      <c r="D13296" s="13"/>
    </row>
    <row r="13297" spans="1:4">
      <c r="A13297" s="13"/>
      <c r="B13297" s="13"/>
      <c r="C13297" s="13"/>
      <c r="D13297" s="13"/>
    </row>
    <row r="13298" spans="1:4">
      <c r="A13298" s="13"/>
      <c r="B13298" s="13"/>
      <c r="C13298" s="13"/>
      <c r="D13298" s="13"/>
    </row>
    <row r="13299" spans="1:4">
      <c r="A13299" s="13"/>
      <c r="B13299" s="13"/>
      <c r="C13299" s="13"/>
      <c r="D13299" s="13"/>
    </row>
    <row r="13300" spans="1:4">
      <c r="A13300" s="13"/>
      <c r="B13300" s="13"/>
      <c r="C13300" s="13"/>
      <c r="D13300" s="13"/>
    </row>
    <row r="13301" spans="1:4">
      <c r="A13301" s="13"/>
      <c r="B13301" s="13"/>
      <c r="C13301" s="13"/>
      <c r="D13301" s="13"/>
    </row>
    <row r="13302" spans="1:4">
      <c r="A13302" s="13"/>
      <c r="B13302" s="13"/>
      <c r="C13302" s="13"/>
      <c r="D13302" s="13"/>
    </row>
    <row r="13303" spans="1:4">
      <c r="A13303" s="13"/>
      <c r="B13303" s="13"/>
      <c r="C13303" s="13"/>
      <c r="D13303" s="13"/>
    </row>
    <row r="13304" spans="1:4">
      <c r="A13304" s="13"/>
      <c r="B13304" s="13"/>
      <c r="C13304" s="13"/>
      <c r="D13304" s="13"/>
    </row>
    <row r="13305" spans="1:4">
      <c r="A13305" s="13"/>
      <c r="B13305" s="13"/>
      <c r="C13305" s="13"/>
      <c r="D13305" s="13"/>
    </row>
    <row r="13306" spans="1:4">
      <c r="A13306" s="13"/>
      <c r="B13306" s="13"/>
      <c r="C13306" s="13"/>
      <c r="D13306" s="13"/>
    </row>
    <row r="13307" spans="1:4">
      <c r="A13307" s="13"/>
      <c r="B13307" s="13"/>
      <c r="C13307" s="13"/>
      <c r="D13307" s="13"/>
    </row>
    <row r="13308" spans="1:4">
      <c r="A13308" s="13"/>
      <c r="B13308" s="13"/>
      <c r="C13308" s="13"/>
      <c r="D13308" s="13"/>
    </row>
    <row r="13309" spans="1:4">
      <c r="A13309" s="13"/>
      <c r="B13309" s="13"/>
      <c r="C13309" s="13"/>
      <c r="D13309" s="13"/>
    </row>
    <row r="13310" spans="1:4">
      <c r="A13310" s="13"/>
      <c r="B13310" s="13"/>
      <c r="C13310" s="13"/>
      <c r="D13310" s="13"/>
    </row>
    <row r="13311" spans="1:4">
      <c r="A13311" s="13"/>
      <c r="B13311" s="13"/>
      <c r="C13311" s="13"/>
      <c r="D13311" s="13"/>
    </row>
    <row r="13312" spans="1:4">
      <c r="A13312" s="13"/>
      <c r="B13312" s="13"/>
      <c r="C13312" s="13"/>
      <c r="D13312" s="13"/>
    </row>
    <row r="13313" spans="1:4">
      <c r="A13313" s="13"/>
      <c r="B13313" s="13"/>
      <c r="C13313" s="13"/>
      <c r="D13313" s="13"/>
    </row>
    <row r="13314" spans="1:4">
      <c r="A13314" s="13"/>
      <c r="B13314" s="13"/>
      <c r="C13314" s="13"/>
      <c r="D13314" s="13"/>
    </row>
    <row r="13315" spans="1:4">
      <c r="A13315" s="13"/>
      <c r="B13315" s="13"/>
      <c r="C13315" s="13"/>
      <c r="D13315" s="13"/>
    </row>
    <row r="13316" spans="1:4">
      <c r="A13316" s="13"/>
      <c r="B13316" s="13"/>
      <c r="C13316" s="13"/>
      <c r="D13316" s="13"/>
    </row>
    <row r="13317" spans="1:4">
      <c r="A13317" s="13"/>
      <c r="B13317" s="13"/>
      <c r="C13317" s="13"/>
      <c r="D13317" s="13"/>
    </row>
    <row r="13318" spans="1:4">
      <c r="A13318" s="13"/>
      <c r="B13318" s="13"/>
      <c r="C13318" s="13"/>
      <c r="D13318" s="13"/>
    </row>
    <row r="13319" spans="1:4">
      <c r="A13319" s="13"/>
      <c r="B13319" s="13"/>
      <c r="C13319" s="13"/>
      <c r="D13319" s="13"/>
    </row>
    <row r="13320" spans="1:4">
      <c r="A13320" s="13"/>
      <c r="B13320" s="13"/>
      <c r="C13320" s="13"/>
      <c r="D13320" s="13"/>
    </row>
    <row r="13321" spans="1:4">
      <c r="A13321" s="13"/>
      <c r="B13321" s="13"/>
      <c r="C13321" s="13"/>
      <c r="D13321" s="13"/>
    </row>
    <row r="13322" spans="1:4">
      <c r="A13322" s="13"/>
      <c r="B13322" s="13"/>
      <c r="C13322" s="13"/>
      <c r="D13322" s="13"/>
    </row>
    <row r="13323" spans="1:4">
      <c r="A13323" s="13"/>
      <c r="B13323" s="13"/>
      <c r="C13323" s="13"/>
      <c r="D13323" s="13"/>
    </row>
    <row r="13324" spans="1:4">
      <c r="A13324" s="13"/>
      <c r="B13324" s="13"/>
      <c r="C13324" s="13"/>
      <c r="D13324" s="13"/>
    </row>
    <row r="13325" spans="1:4">
      <c r="A13325" s="13"/>
      <c r="B13325" s="13"/>
      <c r="C13325" s="13"/>
      <c r="D13325" s="13"/>
    </row>
    <row r="13326" spans="1:4">
      <c r="A13326" s="13"/>
      <c r="B13326" s="13"/>
      <c r="C13326" s="13"/>
      <c r="D13326" s="13"/>
    </row>
    <row r="13327" spans="1:4">
      <c r="A13327" s="13"/>
      <c r="B13327" s="13"/>
      <c r="C13327" s="13"/>
      <c r="D13327" s="13"/>
    </row>
    <row r="13328" spans="1:4">
      <c r="A13328" s="13"/>
      <c r="B13328" s="13"/>
      <c r="C13328" s="13"/>
      <c r="D13328" s="13"/>
    </row>
    <row r="13329" spans="1:4">
      <c r="A13329" s="13"/>
      <c r="B13329" s="13"/>
      <c r="C13329" s="13"/>
      <c r="D13329" s="13"/>
    </row>
    <row r="13330" spans="1:4">
      <c r="A13330" s="13"/>
      <c r="B13330" s="13"/>
      <c r="C13330" s="13"/>
      <c r="D13330" s="13"/>
    </row>
    <row r="13331" spans="1:4">
      <c r="A13331" s="13"/>
      <c r="B13331" s="13"/>
      <c r="C13331" s="13"/>
      <c r="D13331" s="13"/>
    </row>
    <row r="13332" spans="1:4">
      <c r="A13332" s="13"/>
      <c r="B13332" s="13"/>
      <c r="C13332" s="13"/>
      <c r="D13332" s="13"/>
    </row>
    <row r="13333" spans="1:4">
      <c r="A13333" s="13"/>
      <c r="B13333" s="13"/>
      <c r="C13333" s="13"/>
      <c r="D13333" s="13"/>
    </row>
    <row r="13334" spans="1:4">
      <c r="A13334" s="13"/>
      <c r="B13334" s="13"/>
      <c r="C13334" s="13"/>
      <c r="D13334" s="13"/>
    </row>
    <row r="13335" spans="1:4">
      <c r="A13335" s="13"/>
      <c r="B13335" s="13"/>
      <c r="C13335" s="13"/>
      <c r="D13335" s="13"/>
    </row>
    <row r="13336" spans="1:4">
      <c r="A13336" s="13"/>
      <c r="B13336" s="13"/>
      <c r="C13336" s="13"/>
      <c r="D13336" s="13"/>
    </row>
    <row r="13337" spans="1:4">
      <c r="A13337" s="13"/>
      <c r="B13337" s="13"/>
      <c r="C13337" s="13"/>
      <c r="D13337" s="13"/>
    </row>
    <row r="13338" spans="1:4">
      <c r="A13338" s="13"/>
      <c r="B13338" s="13"/>
      <c r="C13338" s="13"/>
      <c r="D13338" s="13"/>
    </row>
    <row r="13339" spans="1:4">
      <c r="A13339" s="13"/>
      <c r="B13339" s="13"/>
      <c r="C13339" s="13"/>
      <c r="D13339" s="13"/>
    </row>
    <row r="13340" spans="1:4">
      <c r="A13340" s="13"/>
      <c r="B13340" s="13"/>
      <c r="C13340" s="13"/>
      <c r="D13340" s="13"/>
    </row>
    <row r="13341" spans="1:4">
      <c r="A13341" s="13"/>
      <c r="B13341" s="13"/>
      <c r="C13341" s="13"/>
      <c r="D13341" s="13"/>
    </row>
    <row r="13342" spans="1:4">
      <c r="A13342" s="13"/>
      <c r="B13342" s="13"/>
      <c r="C13342" s="13"/>
      <c r="D13342" s="13"/>
    </row>
    <row r="13343" spans="1:4">
      <c r="A13343" s="13"/>
      <c r="B13343" s="13"/>
      <c r="C13343" s="13"/>
      <c r="D13343" s="13"/>
    </row>
    <row r="13344" spans="1:4">
      <c r="A13344" s="13"/>
      <c r="B13344" s="13"/>
      <c r="C13344" s="13"/>
      <c r="D13344" s="13"/>
    </row>
    <row r="13345" spans="1:4">
      <c r="A13345" s="13"/>
      <c r="B13345" s="13"/>
      <c r="C13345" s="13"/>
      <c r="D13345" s="13"/>
    </row>
    <row r="13346" spans="1:4">
      <c r="A13346" s="13"/>
      <c r="B13346" s="13"/>
      <c r="C13346" s="13"/>
      <c r="D13346" s="13"/>
    </row>
    <row r="13347" spans="1:4">
      <c r="A13347" s="13"/>
      <c r="B13347" s="13"/>
      <c r="C13347" s="13"/>
      <c r="D13347" s="13"/>
    </row>
    <row r="13348" spans="1:4">
      <c r="A13348" s="13"/>
      <c r="B13348" s="13"/>
      <c r="C13348" s="13"/>
      <c r="D13348" s="13"/>
    </row>
    <row r="13349" spans="1:4">
      <c r="A13349" s="13"/>
      <c r="B13349" s="13"/>
      <c r="C13349" s="13"/>
      <c r="D13349" s="13"/>
    </row>
    <row r="13350" spans="1:4">
      <c r="A13350" s="13"/>
      <c r="B13350" s="13"/>
      <c r="C13350" s="13"/>
      <c r="D13350" s="13"/>
    </row>
    <row r="13351" spans="1:4">
      <c r="A13351" s="13"/>
      <c r="B13351" s="13"/>
      <c r="C13351" s="13"/>
      <c r="D13351" s="13"/>
    </row>
    <row r="13352" spans="1:4">
      <c r="A13352" s="13"/>
      <c r="B13352" s="13"/>
      <c r="C13352" s="13"/>
      <c r="D13352" s="13"/>
    </row>
    <row r="13353" spans="1:4">
      <c r="A13353" s="13"/>
      <c r="B13353" s="13"/>
      <c r="C13353" s="13"/>
      <c r="D13353" s="13"/>
    </row>
    <row r="13354" spans="1:4">
      <c r="A13354" s="13"/>
      <c r="B13354" s="13"/>
      <c r="C13354" s="13"/>
      <c r="D13354" s="13"/>
    </row>
    <row r="13355" spans="1:4">
      <c r="A13355" s="13"/>
      <c r="B13355" s="13"/>
      <c r="C13355" s="13"/>
      <c r="D13355" s="13"/>
    </row>
    <row r="13356" spans="1:4">
      <c r="A13356" s="13"/>
      <c r="B13356" s="13"/>
      <c r="C13356" s="13"/>
      <c r="D13356" s="13"/>
    </row>
    <row r="13357" spans="1:4">
      <c r="A13357" s="13"/>
      <c r="B13357" s="13"/>
      <c r="C13357" s="13"/>
      <c r="D13357" s="13"/>
    </row>
    <row r="13358" spans="1:4">
      <c r="A13358" s="13"/>
      <c r="B13358" s="13"/>
      <c r="C13358" s="13"/>
      <c r="D13358" s="13"/>
    </row>
    <row r="13359" spans="1:4">
      <c r="A13359" s="13"/>
      <c r="B13359" s="13"/>
      <c r="C13359" s="13"/>
      <c r="D13359" s="13"/>
    </row>
    <row r="13360" spans="1:4">
      <c r="A13360" s="13"/>
      <c r="B13360" s="13"/>
      <c r="C13360" s="13"/>
      <c r="D13360" s="13"/>
    </row>
    <row r="13361" spans="1:4">
      <c r="A13361" s="13"/>
      <c r="B13361" s="13"/>
      <c r="C13361" s="13"/>
      <c r="D13361" s="13"/>
    </row>
    <row r="13362" spans="1:4">
      <c r="A13362" s="13"/>
      <c r="B13362" s="13"/>
      <c r="C13362" s="13"/>
      <c r="D13362" s="13"/>
    </row>
    <row r="13363" spans="1:4">
      <c r="A13363" s="13"/>
      <c r="B13363" s="13"/>
      <c r="C13363" s="13"/>
      <c r="D13363" s="13"/>
    </row>
    <row r="13364" spans="1:4">
      <c r="A13364" s="13"/>
      <c r="B13364" s="13"/>
      <c r="C13364" s="13"/>
      <c r="D13364" s="13"/>
    </row>
    <row r="13365" spans="1:4">
      <c r="A13365" s="13"/>
      <c r="B13365" s="13"/>
      <c r="C13365" s="13"/>
      <c r="D13365" s="13"/>
    </row>
    <row r="13366" spans="1:4">
      <c r="A13366" s="13"/>
      <c r="B13366" s="13"/>
      <c r="C13366" s="13"/>
      <c r="D13366" s="13"/>
    </row>
    <row r="13367" spans="1:4">
      <c r="A13367" s="13"/>
      <c r="B13367" s="13"/>
      <c r="C13367" s="13"/>
      <c r="D13367" s="13"/>
    </row>
    <row r="13368" spans="1:4">
      <c r="A13368" s="13"/>
      <c r="B13368" s="13"/>
      <c r="C13368" s="13"/>
      <c r="D13368" s="13"/>
    </row>
    <row r="13369" spans="1:4">
      <c r="A13369" s="13"/>
      <c r="B13369" s="13"/>
      <c r="C13369" s="13"/>
      <c r="D13369" s="13"/>
    </row>
    <row r="13370" spans="1:4">
      <c r="A13370" s="13"/>
      <c r="B13370" s="13"/>
      <c r="C13370" s="13"/>
      <c r="D13370" s="13"/>
    </row>
    <row r="13371" spans="1:4">
      <c r="A13371" s="13"/>
      <c r="B13371" s="13"/>
      <c r="C13371" s="13"/>
      <c r="D13371" s="13"/>
    </row>
    <row r="13372" spans="1:4">
      <c r="A13372" s="13"/>
      <c r="B13372" s="13"/>
      <c r="C13372" s="13"/>
      <c r="D13372" s="13"/>
    </row>
    <row r="13373" spans="1:4">
      <c r="A13373" s="13"/>
      <c r="B13373" s="13"/>
      <c r="C13373" s="13"/>
      <c r="D13373" s="13"/>
    </row>
    <row r="13374" spans="1:4">
      <c r="A13374" s="13"/>
      <c r="B13374" s="13"/>
      <c r="C13374" s="13"/>
      <c r="D13374" s="13"/>
    </row>
    <row r="13375" spans="1:4">
      <c r="A13375" s="13"/>
      <c r="B13375" s="13"/>
      <c r="C13375" s="13"/>
      <c r="D13375" s="13"/>
    </row>
    <row r="13376" spans="1:4">
      <c r="A13376" s="13"/>
      <c r="B13376" s="13"/>
      <c r="C13376" s="13"/>
      <c r="D13376" s="13"/>
    </row>
    <row r="13377" spans="1:4">
      <c r="A13377" s="13"/>
      <c r="B13377" s="13"/>
      <c r="C13377" s="13"/>
      <c r="D13377" s="13"/>
    </row>
    <row r="13378" spans="1:4">
      <c r="A13378" s="13"/>
      <c r="B13378" s="13"/>
      <c r="C13378" s="13"/>
      <c r="D13378" s="13"/>
    </row>
    <row r="13379" spans="1:4">
      <c r="A13379" s="13"/>
      <c r="B13379" s="13"/>
      <c r="C13379" s="13"/>
      <c r="D13379" s="13"/>
    </row>
    <row r="13380" spans="1:4">
      <c r="A13380" s="13"/>
      <c r="B13380" s="13"/>
      <c r="C13380" s="13"/>
      <c r="D13380" s="13"/>
    </row>
    <row r="13381" spans="1:4">
      <c r="A13381" s="13"/>
      <c r="B13381" s="13"/>
      <c r="C13381" s="13"/>
      <c r="D13381" s="13"/>
    </row>
    <row r="13382" spans="1:4">
      <c r="A13382" s="13"/>
      <c r="B13382" s="13"/>
      <c r="C13382" s="13"/>
      <c r="D13382" s="13"/>
    </row>
    <row r="13383" spans="1:4">
      <c r="A13383" s="13"/>
      <c r="B13383" s="13"/>
      <c r="C13383" s="13"/>
      <c r="D13383" s="13"/>
    </row>
    <row r="13384" spans="1:4">
      <c r="A13384" s="13"/>
      <c r="B13384" s="13"/>
      <c r="C13384" s="13"/>
      <c r="D13384" s="13"/>
    </row>
    <row r="13385" spans="1:4">
      <c r="A13385" s="13"/>
      <c r="B13385" s="13"/>
      <c r="C13385" s="13"/>
      <c r="D13385" s="13"/>
    </row>
    <row r="13386" spans="1:4">
      <c r="A13386" s="13"/>
      <c r="B13386" s="13"/>
      <c r="C13386" s="13"/>
      <c r="D13386" s="13"/>
    </row>
    <row r="13387" spans="1:4">
      <c r="A13387" s="13"/>
      <c r="B13387" s="13"/>
      <c r="C13387" s="13"/>
      <c r="D13387" s="13"/>
    </row>
    <row r="13388" spans="1:4">
      <c r="A13388" s="13"/>
      <c r="B13388" s="13"/>
      <c r="C13388" s="13"/>
      <c r="D13388" s="13"/>
    </row>
    <row r="13389" spans="1:4">
      <c r="A13389" s="13"/>
      <c r="B13389" s="13"/>
      <c r="C13389" s="13"/>
      <c r="D13389" s="13"/>
    </row>
    <row r="13390" spans="1:4">
      <c r="A13390" s="13"/>
      <c r="B13390" s="13"/>
      <c r="C13390" s="13"/>
      <c r="D13390" s="13"/>
    </row>
    <row r="13391" spans="1:4">
      <c r="A13391" s="13"/>
      <c r="B13391" s="13"/>
      <c r="C13391" s="13"/>
      <c r="D13391" s="13"/>
    </row>
    <row r="13392" spans="1:4">
      <c r="A13392" s="13"/>
      <c r="B13392" s="13"/>
      <c r="C13392" s="13"/>
      <c r="D13392" s="13"/>
    </row>
    <row r="13393" spans="1:4">
      <c r="A13393" s="13"/>
      <c r="B13393" s="13"/>
      <c r="C13393" s="13"/>
      <c r="D13393" s="13"/>
    </row>
    <row r="13394" spans="1:4">
      <c r="A13394" s="13"/>
      <c r="B13394" s="13"/>
      <c r="C13394" s="13"/>
      <c r="D13394" s="13"/>
    </row>
    <row r="13395" spans="1:4">
      <c r="A13395" s="13"/>
      <c r="B13395" s="13"/>
      <c r="C13395" s="13"/>
      <c r="D13395" s="13"/>
    </row>
    <row r="13396" spans="1:4">
      <c r="A13396" s="13"/>
      <c r="B13396" s="13"/>
      <c r="C13396" s="13"/>
      <c r="D13396" s="13"/>
    </row>
    <row r="13397" spans="1:4">
      <c r="A13397" s="13"/>
      <c r="B13397" s="13"/>
      <c r="C13397" s="13"/>
      <c r="D13397" s="13"/>
    </row>
    <row r="13398" spans="1:4">
      <c r="A13398" s="13"/>
      <c r="B13398" s="13"/>
      <c r="C13398" s="13"/>
      <c r="D13398" s="13"/>
    </row>
    <row r="13399" spans="1:4">
      <c r="A13399" s="13"/>
      <c r="B13399" s="13"/>
      <c r="C13399" s="13"/>
      <c r="D13399" s="13"/>
    </row>
    <row r="13400" spans="1:4">
      <c r="A13400" s="13"/>
      <c r="B13400" s="13"/>
      <c r="C13400" s="13"/>
      <c r="D13400" s="13"/>
    </row>
    <row r="13401" spans="1:4">
      <c r="A13401" s="13"/>
      <c r="B13401" s="13"/>
      <c r="C13401" s="13"/>
      <c r="D13401" s="13"/>
    </row>
    <row r="13402" spans="1:4">
      <c r="A13402" s="13"/>
      <c r="B13402" s="13"/>
      <c r="C13402" s="13"/>
      <c r="D13402" s="13"/>
    </row>
    <row r="13403" spans="1:4">
      <c r="A13403" s="13"/>
      <c r="B13403" s="13"/>
      <c r="C13403" s="13"/>
      <c r="D13403" s="13"/>
    </row>
    <row r="13404" spans="1:4">
      <c r="A13404" s="13"/>
      <c r="B13404" s="13"/>
      <c r="C13404" s="13"/>
      <c r="D13404" s="13"/>
    </row>
    <row r="13405" spans="1:4">
      <c r="A13405" s="13"/>
      <c r="B13405" s="13"/>
      <c r="C13405" s="13"/>
      <c r="D13405" s="13"/>
    </row>
    <row r="13406" spans="1:4">
      <c r="A13406" s="13"/>
      <c r="B13406" s="13"/>
      <c r="C13406" s="13"/>
      <c r="D13406" s="13"/>
    </row>
    <row r="13407" spans="1:4">
      <c r="A13407" s="13"/>
      <c r="B13407" s="13"/>
      <c r="C13407" s="13"/>
      <c r="D13407" s="13"/>
    </row>
    <row r="13408" spans="1:4">
      <c r="A13408" s="13"/>
      <c r="B13408" s="13"/>
      <c r="C13408" s="13"/>
      <c r="D13408" s="13"/>
    </row>
    <row r="13409" spans="1:4">
      <c r="A13409" s="13"/>
      <c r="B13409" s="13"/>
      <c r="C13409" s="13"/>
      <c r="D13409" s="13"/>
    </row>
    <row r="13410" spans="1:4">
      <c r="A13410" s="13"/>
      <c r="B13410" s="13"/>
      <c r="C13410" s="13"/>
      <c r="D13410" s="13"/>
    </row>
    <row r="13411" spans="1:4">
      <c r="A13411" s="13"/>
      <c r="B13411" s="13"/>
      <c r="C13411" s="13"/>
      <c r="D13411" s="13"/>
    </row>
    <row r="13412" spans="1:4">
      <c r="A13412" s="13"/>
      <c r="B13412" s="13"/>
      <c r="C13412" s="13"/>
      <c r="D13412" s="13"/>
    </row>
    <row r="13413" spans="1:4">
      <c r="A13413" s="13"/>
      <c r="B13413" s="13"/>
      <c r="C13413" s="13"/>
      <c r="D13413" s="13"/>
    </row>
    <row r="13414" spans="1:4">
      <c r="A13414" s="13"/>
      <c r="B13414" s="13"/>
      <c r="C13414" s="13"/>
      <c r="D13414" s="13"/>
    </row>
    <row r="13415" spans="1:4">
      <c r="A13415" s="13"/>
      <c r="B13415" s="13"/>
      <c r="C13415" s="13"/>
      <c r="D13415" s="13"/>
    </row>
    <row r="13416" spans="1:4">
      <c r="A13416" s="13"/>
      <c r="B13416" s="13"/>
      <c r="C13416" s="13"/>
      <c r="D13416" s="13"/>
    </row>
    <row r="13417" spans="1:4">
      <c r="A13417" s="13"/>
      <c r="B13417" s="13"/>
      <c r="C13417" s="13"/>
      <c r="D13417" s="13"/>
    </row>
    <row r="13418" spans="1:4">
      <c r="A13418" s="13"/>
      <c r="B13418" s="13"/>
      <c r="C13418" s="13"/>
      <c r="D13418" s="13"/>
    </row>
    <row r="13419" spans="1:4">
      <c r="A13419" s="13"/>
      <c r="B13419" s="13"/>
      <c r="C13419" s="13"/>
      <c r="D13419" s="13"/>
    </row>
    <row r="13420" spans="1:4">
      <c r="A13420" s="13"/>
      <c r="B13420" s="13"/>
      <c r="C13420" s="13"/>
      <c r="D13420" s="13"/>
    </row>
    <row r="13421" spans="1:4">
      <c r="A13421" s="13"/>
      <c r="B13421" s="13"/>
      <c r="C13421" s="13"/>
      <c r="D13421" s="13"/>
    </row>
    <row r="13422" spans="1:4">
      <c r="A13422" s="13"/>
      <c r="B13422" s="13"/>
      <c r="C13422" s="13"/>
      <c r="D13422" s="13"/>
    </row>
    <row r="13423" spans="1:4">
      <c r="A13423" s="13"/>
      <c r="B13423" s="13"/>
      <c r="C13423" s="13"/>
      <c r="D13423" s="13"/>
    </row>
    <row r="13424" spans="1:4">
      <c r="A13424" s="13"/>
      <c r="B13424" s="13"/>
      <c r="C13424" s="13"/>
      <c r="D13424" s="13"/>
    </row>
    <row r="13425" spans="1:4">
      <c r="A13425" s="13"/>
      <c r="B13425" s="13"/>
      <c r="C13425" s="13"/>
      <c r="D13425" s="13"/>
    </row>
    <row r="13426" spans="1:4">
      <c r="A13426" s="13"/>
      <c r="B13426" s="13"/>
      <c r="C13426" s="13"/>
      <c r="D13426" s="13"/>
    </row>
    <row r="13427" spans="1:4">
      <c r="A13427" s="13"/>
      <c r="B13427" s="13"/>
      <c r="C13427" s="13"/>
      <c r="D13427" s="13"/>
    </row>
    <row r="13428" spans="1:4">
      <c r="A13428" s="13"/>
      <c r="B13428" s="13"/>
      <c r="C13428" s="13"/>
      <c r="D13428" s="13"/>
    </row>
    <row r="13429" spans="1:4">
      <c r="A13429" s="13"/>
      <c r="B13429" s="13"/>
      <c r="C13429" s="13"/>
      <c r="D13429" s="13"/>
    </row>
    <row r="13430" spans="1:4">
      <c r="A13430" s="13"/>
      <c r="B13430" s="13"/>
      <c r="C13430" s="13"/>
      <c r="D13430" s="13"/>
    </row>
    <row r="13431" spans="1:4">
      <c r="A13431" s="13"/>
      <c r="B13431" s="13"/>
      <c r="C13431" s="13"/>
      <c r="D13431" s="13"/>
    </row>
    <row r="13432" spans="1:4">
      <c r="A13432" s="13"/>
      <c r="B13432" s="13"/>
      <c r="C13432" s="13"/>
      <c r="D13432" s="13"/>
    </row>
    <row r="13433" spans="1:4">
      <c r="A13433" s="13"/>
      <c r="B13433" s="13"/>
      <c r="C13433" s="13"/>
      <c r="D13433" s="13"/>
    </row>
    <row r="13434" spans="1:4">
      <c r="A13434" s="13"/>
      <c r="B13434" s="13"/>
      <c r="C13434" s="13"/>
      <c r="D13434" s="13"/>
    </row>
    <row r="13435" spans="1:4">
      <c r="A13435" s="13"/>
      <c r="B13435" s="13"/>
      <c r="C13435" s="13"/>
      <c r="D13435" s="13"/>
    </row>
    <row r="13436" spans="1:4">
      <c r="A13436" s="13"/>
      <c r="B13436" s="13"/>
      <c r="C13436" s="13"/>
      <c r="D13436" s="13"/>
    </row>
    <row r="13437" spans="1:4">
      <c r="A13437" s="13"/>
      <c r="B13437" s="13"/>
      <c r="C13437" s="13"/>
      <c r="D13437" s="13"/>
    </row>
    <row r="13438" spans="1:4">
      <c r="A13438" s="13"/>
      <c r="B13438" s="13"/>
      <c r="C13438" s="13"/>
      <c r="D13438" s="13"/>
    </row>
    <row r="13439" spans="1:4">
      <c r="A13439" s="13"/>
      <c r="B13439" s="13"/>
      <c r="C13439" s="13"/>
      <c r="D13439" s="13"/>
    </row>
    <row r="13440" spans="1:4">
      <c r="A13440" s="13"/>
      <c r="B13440" s="13"/>
      <c r="C13440" s="13"/>
      <c r="D13440" s="13"/>
    </row>
    <row r="13441" spans="1:4">
      <c r="A13441" s="13"/>
      <c r="B13441" s="13"/>
      <c r="C13441" s="13"/>
      <c r="D13441" s="13"/>
    </row>
    <row r="13442" spans="1:4">
      <c r="A13442" s="13"/>
      <c r="B13442" s="13"/>
      <c r="C13442" s="13"/>
      <c r="D13442" s="13"/>
    </row>
    <row r="13443" spans="1:4">
      <c r="A13443" s="13"/>
      <c r="B13443" s="13"/>
      <c r="C13443" s="13"/>
      <c r="D13443" s="13"/>
    </row>
    <row r="13444" spans="1:4">
      <c r="A13444" s="13"/>
      <c r="B13444" s="13"/>
      <c r="C13444" s="13"/>
      <c r="D13444" s="13"/>
    </row>
    <row r="13445" spans="1:4">
      <c r="A13445" s="13"/>
      <c r="B13445" s="13"/>
      <c r="C13445" s="13"/>
      <c r="D13445" s="13"/>
    </row>
    <row r="13446" spans="1:4">
      <c r="A13446" s="13"/>
      <c r="B13446" s="13"/>
      <c r="C13446" s="13"/>
      <c r="D13446" s="13"/>
    </row>
    <row r="13447" spans="1:4">
      <c r="A13447" s="13"/>
      <c r="B13447" s="13"/>
      <c r="C13447" s="13"/>
      <c r="D13447" s="13"/>
    </row>
    <row r="13448" spans="1:4">
      <c r="A13448" s="13"/>
      <c r="B13448" s="13"/>
      <c r="C13448" s="13"/>
      <c r="D13448" s="13"/>
    </row>
    <row r="13449" spans="1:4">
      <c r="A13449" s="13"/>
      <c r="B13449" s="13"/>
      <c r="C13449" s="13"/>
      <c r="D13449" s="13"/>
    </row>
    <row r="13450" spans="1:4">
      <c r="A13450" s="13"/>
      <c r="B13450" s="13"/>
      <c r="C13450" s="13"/>
      <c r="D13450" s="13"/>
    </row>
    <row r="13451" spans="1:4">
      <c r="A13451" s="13"/>
      <c r="B13451" s="13"/>
      <c r="C13451" s="13"/>
      <c r="D13451" s="13"/>
    </row>
    <row r="13452" spans="1:4">
      <c r="A13452" s="13"/>
      <c r="B13452" s="13"/>
      <c r="C13452" s="13"/>
      <c r="D13452" s="13"/>
    </row>
    <row r="13453" spans="1:4">
      <c r="A13453" s="13"/>
      <c r="B13453" s="13"/>
      <c r="C13453" s="13"/>
      <c r="D13453" s="13"/>
    </row>
    <row r="13454" spans="1:4">
      <c r="A13454" s="13"/>
      <c r="B13454" s="13"/>
      <c r="C13454" s="13"/>
      <c r="D13454" s="13"/>
    </row>
    <row r="13455" spans="1:4">
      <c r="A13455" s="13"/>
      <c r="B13455" s="13"/>
      <c r="C13455" s="13"/>
      <c r="D13455" s="13"/>
    </row>
    <row r="13456" spans="1:4">
      <c r="A13456" s="13"/>
      <c r="B13456" s="13"/>
      <c r="C13456" s="13"/>
      <c r="D13456" s="13"/>
    </row>
    <row r="13457" spans="1:4">
      <c r="A13457" s="13"/>
      <c r="B13457" s="13"/>
      <c r="C13457" s="13"/>
      <c r="D13457" s="13"/>
    </row>
    <row r="13458" spans="1:4">
      <c r="A13458" s="13"/>
      <c r="B13458" s="13"/>
      <c r="C13458" s="13"/>
      <c r="D13458" s="13"/>
    </row>
    <row r="13459" spans="1:4">
      <c r="A13459" s="13"/>
      <c r="B13459" s="13"/>
      <c r="C13459" s="13"/>
      <c r="D13459" s="13"/>
    </row>
    <row r="13460" spans="1:4">
      <c r="A13460" s="13"/>
      <c r="B13460" s="13"/>
      <c r="C13460" s="13"/>
      <c r="D13460" s="13"/>
    </row>
    <row r="13461" spans="1:4">
      <c r="A13461" s="13"/>
      <c r="B13461" s="13"/>
      <c r="C13461" s="13"/>
      <c r="D13461" s="13"/>
    </row>
    <row r="13462" spans="1:4">
      <c r="A13462" s="13"/>
      <c r="B13462" s="13"/>
      <c r="C13462" s="13"/>
      <c r="D13462" s="13"/>
    </row>
    <row r="13463" spans="1:4">
      <c r="A13463" s="13"/>
      <c r="B13463" s="13"/>
      <c r="C13463" s="13"/>
      <c r="D13463" s="13"/>
    </row>
    <row r="13464" spans="1:4">
      <c r="A13464" s="13"/>
      <c r="B13464" s="13"/>
      <c r="C13464" s="13"/>
      <c r="D13464" s="13"/>
    </row>
    <row r="13465" spans="1:4">
      <c r="A13465" s="13"/>
      <c r="B13465" s="13"/>
      <c r="C13465" s="13"/>
      <c r="D13465" s="13"/>
    </row>
    <row r="13466" spans="1:4">
      <c r="A13466" s="13"/>
      <c r="B13466" s="13"/>
      <c r="C13466" s="13"/>
      <c r="D13466" s="13"/>
    </row>
    <row r="13467" spans="1:4">
      <c r="A13467" s="13"/>
      <c r="B13467" s="13"/>
      <c r="C13467" s="13"/>
      <c r="D13467" s="13"/>
    </row>
    <row r="13468" spans="1:4">
      <c r="A13468" s="13"/>
      <c r="B13468" s="13"/>
      <c r="C13468" s="13"/>
      <c r="D13468" s="13"/>
    </row>
    <row r="13469" spans="1:4">
      <c r="A13469" s="13"/>
      <c r="B13469" s="13"/>
      <c r="C13469" s="13"/>
      <c r="D13469" s="13"/>
    </row>
    <row r="13470" spans="1:4">
      <c r="A13470" s="13"/>
      <c r="B13470" s="13"/>
      <c r="C13470" s="13"/>
      <c r="D13470" s="13"/>
    </row>
    <row r="13471" spans="1:4">
      <c r="A13471" s="13"/>
      <c r="B13471" s="13"/>
      <c r="C13471" s="13"/>
      <c r="D13471" s="13"/>
    </row>
    <row r="13472" spans="1:4">
      <c r="A13472" s="13"/>
      <c r="B13472" s="13"/>
      <c r="C13472" s="13"/>
      <c r="D13472" s="13"/>
    </row>
    <row r="13473" spans="1:4">
      <c r="A13473" s="13"/>
      <c r="B13473" s="13"/>
      <c r="C13473" s="13"/>
      <c r="D13473" s="13"/>
    </row>
    <row r="13474" spans="1:4">
      <c r="A13474" s="13"/>
      <c r="B13474" s="13"/>
      <c r="C13474" s="13"/>
      <c r="D13474" s="13"/>
    </row>
    <row r="13475" spans="1:4">
      <c r="A13475" s="13"/>
      <c r="B13475" s="13"/>
      <c r="C13475" s="13"/>
      <c r="D13475" s="13"/>
    </row>
    <row r="13476" spans="1:4">
      <c r="A13476" s="13"/>
      <c r="B13476" s="13"/>
      <c r="C13476" s="13"/>
      <c r="D13476" s="13"/>
    </row>
    <row r="13477" spans="1:4">
      <c r="A13477" s="13"/>
      <c r="B13477" s="13"/>
      <c r="C13477" s="13"/>
      <c r="D13477" s="13"/>
    </row>
    <row r="13478" spans="1:4">
      <c r="A13478" s="13"/>
      <c r="B13478" s="13"/>
      <c r="C13478" s="13"/>
      <c r="D13478" s="13"/>
    </row>
    <row r="13479" spans="1:4">
      <c r="A13479" s="13"/>
      <c r="B13479" s="13"/>
      <c r="C13479" s="13"/>
      <c r="D13479" s="13"/>
    </row>
    <row r="13480" spans="1:4">
      <c r="A13480" s="13"/>
      <c r="B13480" s="13"/>
      <c r="C13480" s="13"/>
      <c r="D13480" s="13"/>
    </row>
    <row r="13481" spans="1:4">
      <c r="A13481" s="13"/>
      <c r="B13481" s="13"/>
      <c r="C13481" s="13"/>
      <c r="D13481" s="13"/>
    </row>
    <row r="13482" spans="1:4">
      <c r="A13482" s="13"/>
      <c r="B13482" s="13"/>
      <c r="C13482" s="13"/>
      <c r="D13482" s="13"/>
    </row>
    <row r="13483" spans="1:4">
      <c r="A13483" s="13"/>
      <c r="B13483" s="13"/>
      <c r="C13483" s="13"/>
      <c r="D13483" s="13"/>
    </row>
    <row r="13484" spans="1:4">
      <c r="A13484" s="13"/>
      <c r="B13484" s="13"/>
      <c r="C13484" s="13"/>
      <c r="D13484" s="13"/>
    </row>
    <row r="13485" spans="1:4">
      <c r="A13485" s="13"/>
      <c r="B13485" s="13"/>
      <c r="C13485" s="13"/>
      <c r="D13485" s="13"/>
    </row>
    <row r="13486" spans="1:4">
      <c r="A13486" s="13"/>
      <c r="B13486" s="13"/>
      <c r="C13486" s="13"/>
      <c r="D13486" s="13"/>
    </row>
    <row r="13487" spans="1:4">
      <c r="A13487" s="13"/>
      <c r="B13487" s="13"/>
      <c r="C13487" s="13"/>
      <c r="D13487" s="13"/>
    </row>
    <row r="13488" spans="1:4">
      <c r="A13488" s="13"/>
      <c r="B13488" s="13"/>
      <c r="C13488" s="13"/>
      <c r="D13488" s="13"/>
    </row>
    <row r="13489" spans="1:4">
      <c r="A13489" s="13"/>
      <c r="B13489" s="13"/>
      <c r="C13489" s="13"/>
      <c r="D13489" s="13"/>
    </row>
    <row r="13490" spans="1:4">
      <c r="A13490" s="13"/>
      <c r="B13490" s="13"/>
      <c r="C13490" s="13"/>
      <c r="D13490" s="13"/>
    </row>
    <row r="13491" spans="1:4">
      <c r="A13491" s="13"/>
      <c r="B13491" s="13"/>
      <c r="C13491" s="13"/>
      <c r="D13491" s="13"/>
    </row>
    <row r="13492" spans="1:4">
      <c r="A13492" s="13"/>
      <c r="B13492" s="13"/>
      <c r="C13492" s="13"/>
      <c r="D13492" s="13"/>
    </row>
    <row r="13493" spans="1:4">
      <c r="A13493" s="13"/>
      <c r="B13493" s="13"/>
      <c r="C13493" s="13"/>
      <c r="D13493" s="13"/>
    </row>
    <row r="13494" spans="1:4">
      <c r="A13494" s="13"/>
      <c r="B13494" s="13"/>
      <c r="C13494" s="13"/>
      <c r="D13494" s="13"/>
    </row>
    <row r="13495" spans="1:4">
      <c r="A13495" s="13"/>
      <c r="B13495" s="13"/>
      <c r="C13495" s="13"/>
      <c r="D13495" s="13"/>
    </row>
    <row r="13496" spans="1:4">
      <c r="A13496" s="13"/>
      <c r="B13496" s="13"/>
      <c r="C13496" s="13"/>
      <c r="D13496" s="13"/>
    </row>
    <row r="13497" spans="1:4">
      <c r="A13497" s="13"/>
      <c r="B13497" s="13"/>
      <c r="C13497" s="13"/>
      <c r="D13497" s="13"/>
    </row>
    <row r="13498" spans="1:4">
      <c r="A13498" s="13"/>
      <c r="B13498" s="13"/>
      <c r="C13498" s="13"/>
      <c r="D13498" s="13"/>
    </row>
    <row r="13499" spans="1:4">
      <c r="A13499" s="13"/>
      <c r="B13499" s="13"/>
      <c r="C13499" s="13"/>
      <c r="D13499" s="13"/>
    </row>
    <row r="13500" spans="1:4">
      <c r="A13500" s="13"/>
      <c r="B13500" s="13"/>
      <c r="C13500" s="13"/>
      <c r="D13500" s="13"/>
    </row>
    <row r="13501" spans="1:4">
      <c r="A13501" s="13"/>
      <c r="B13501" s="13"/>
      <c r="C13501" s="13"/>
      <c r="D13501" s="13"/>
    </row>
    <row r="13502" spans="1:4">
      <c r="A13502" s="13"/>
      <c r="B13502" s="13"/>
      <c r="C13502" s="13"/>
      <c r="D13502" s="13"/>
    </row>
    <row r="13503" spans="1:4">
      <c r="A13503" s="13"/>
      <c r="B13503" s="13"/>
      <c r="C13503" s="13"/>
      <c r="D13503" s="13"/>
    </row>
    <row r="13504" spans="1:4">
      <c r="A13504" s="13"/>
      <c r="B13504" s="13"/>
      <c r="C13504" s="13"/>
      <c r="D13504" s="13"/>
    </row>
    <row r="13505" spans="1:4">
      <c r="A13505" s="13"/>
      <c r="B13505" s="13"/>
      <c r="C13505" s="13"/>
      <c r="D13505" s="13"/>
    </row>
    <row r="13506" spans="1:4">
      <c r="A13506" s="13"/>
      <c r="B13506" s="13"/>
      <c r="C13506" s="13"/>
      <c r="D13506" s="13"/>
    </row>
    <row r="13507" spans="1:4">
      <c r="A13507" s="13"/>
      <c r="B13507" s="13"/>
      <c r="C13507" s="13"/>
      <c r="D13507" s="13"/>
    </row>
    <row r="13508" spans="1:4">
      <c r="A13508" s="13"/>
      <c r="B13508" s="13"/>
      <c r="C13508" s="13"/>
      <c r="D13508" s="13"/>
    </row>
    <row r="13509" spans="1:4">
      <c r="A13509" s="13"/>
      <c r="B13509" s="13"/>
      <c r="C13509" s="13"/>
      <c r="D13509" s="13"/>
    </row>
    <row r="13510" spans="1:4">
      <c r="A13510" s="13"/>
      <c r="B13510" s="13"/>
      <c r="C13510" s="13"/>
      <c r="D13510" s="13"/>
    </row>
    <row r="13511" spans="1:4">
      <c r="A13511" s="13"/>
      <c r="B13511" s="13"/>
      <c r="C13511" s="13"/>
      <c r="D13511" s="13"/>
    </row>
    <row r="13512" spans="1:4">
      <c r="A13512" s="13"/>
      <c r="B13512" s="13"/>
      <c r="C13512" s="13"/>
      <c r="D13512" s="13"/>
    </row>
    <row r="13513" spans="1:4">
      <c r="A13513" s="13"/>
      <c r="B13513" s="13"/>
      <c r="C13513" s="13"/>
      <c r="D13513" s="13"/>
    </row>
    <row r="13514" spans="1:4">
      <c r="A13514" s="13"/>
      <c r="B13514" s="13"/>
      <c r="C13514" s="13"/>
      <c r="D13514" s="13"/>
    </row>
    <row r="13515" spans="1:4">
      <c r="A13515" s="13"/>
      <c r="B13515" s="13"/>
      <c r="C13515" s="13"/>
      <c r="D13515" s="13"/>
    </row>
    <row r="13516" spans="1:4">
      <c r="A13516" s="13"/>
      <c r="B13516" s="13"/>
      <c r="C13516" s="13"/>
      <c r="D13516" s="13"/>
    </row>
    <row r="13517" spans="1:4">
      <c r="A13517" s="13"/>
      <c r="B13517" s="13"/>
      <c r="C13517" s="13"/>
      <c r="D13517" s="13"/>
    </row>
    <row r="13518" spans="1:4">
      <c r="A13518" s="13"/>
      <c r="B13518" s="13"/>
      <c r="C13518" s="13"/>
      <c r="D13518" s="13"/>
    </row>
    <row r="13519" spans="1:4">
      <c r="A13519" s="13"/>
      <c r="B13519" s="13"/>
      <c r="C13519" s="13"/>
      <c r="D13519" s="13"/>
    </row>
    <row r="13520" spans="1:4">
      <c r="A13520" s="13"/>
      <c r="B13520" s="13"/>
      <c r="C13520" s="13"/>
      <c r="D13520" s="13"/>
    </row>
    <row r="13521" spans="1:4">
      <c r="A13521" s="13"/>
      <c r="B13521" s="13"/>
      <c r="C13521" s="13"/>
      <c r="D13521" s="13"/>
    </row>
    <row r="13522" spans="1:4">
      <c r="A13522" s="13"/>
      <c r="B13522" s="13"/>
      <c r="C13522" s="13"/>
      <c r="D13522" s="13"/>
    </row>
    <row r="13523" spans="1:4">
      <c r="A13523" s="13"/>
      <c r="B13523" s="13"/>
      <c r="C13523" s="13"/>
      <c r="D13523" s="13"/>
    </row>
    <row r="13524" spans="1:4">
      <c r="A13524" s="13"/>
      <c r="B13524" s="13"/>
      <c r="C13524" s="13"/>
      <c r="D13524" s="13"/>
    </row>
    <row r="13525" spans="1:4">
      <c r="A13525" s="13"/>
      <c r="B13525" s="13"/>
      <c r="C13525" s="13"/>
      <c r="D13525" s="13"/>
    </row>
    <row r="13526" spans="1:4">
      <c r="A13526" s="13"/>
      <c r="B13526" s="13"/>
      <c r="C13526" s="13"/>
      <c r="D13526" s="13"/>
    </row>
    <row r="13527" spans="1:4">
      <c r="A13527" s="13"/>
      <c r="B13527" s="13"/>
      <c r="C13527" s="13"/>
      <c r="D13527" s="13"/>
    </row>
    <row r="13528" spans="1:4">
      <c r="A13528" s="13"/>
      <c r="B13528" s="13"/>
      <c r="C13528" s="13"/>
      <c r="D13528" s="13"/>
    </row>
    <row r="13529" spans="1:4">
      <c r="A13529" s="13"/>
      <c r="B13529" s="13"/>
      <c r="C13529" s="13"/>
      <c r="D13529" s="13"/>
    </row>
    <row r="13530" spans="1:4">
      <c r="A13530" s="13"/>
      <c r="B13530" s="13"/>
      <c r="C13530" s="13"/>
      <c r="D13530" s="13"/>
    </row>
    <row r="13531" spans="1:4">
      <c r="A13531" s="13"/>
      <c r="B13531" s="13"/>
      <c r="C13531" s="13"/>
      <c r="D13531" s="13"/>
    </row>
    <row r="13532" spans="1:4">
      <c r="A13532" s="13"/>
      <c r="B13532" s="13"/>
      <c r="C13532" s="13"/>
      <c r="D13532" s="13"/>
    </row>
    <row r="13533" spans="1:4">
      <c r="A13533" s="13"/>
      <c r="B13533" s="13"/>
      <c r="C13533" s="13"/>
      <c r="D13533" s="13"/>
    </row>
    <row r="13534" spans="1:4">
      <c r="A13534" s="13"/>
      <c r="B13534" s="13"/>
      <c r="C13534" s="13"/>
      <c r="D13534" s="13"/>
    </row>
    <row r="13535" spans="1:4">
      <c r="A13535" s="13"/>
      <c r="B13535" s="13"/>
      <c r="C13535" s="13"/>
      <c r="D13535" s="13"/>
    </row>
    <row r="13536" spans="1:4">
      <c r="A13536" s="13"/>
      <c r="B13536" s="13"/>
      <c r="C13536" s="13"/>
      <c r="D13536" s="13"/>
    </row>
    <row r="13537" spans="1:4">
      <c r="A13537" s="13"/>
      <c r="B13537" s="13"/>
      <c r="C13537" s="13"/>
      <c r="D13537" s="13"/>
    </row>
    <row r="13538" spans="1:4">
      <c r="A13538" s="13"/>
      <c r="B13538" s="13"/>
      <c r="C13538" s="13"/>
      <c r="D13538" s="13"/>
    </row>
    <row r="13539" spans="1:4">
      <c r="A13539" s="13"/>
      <c r="B13539" s="13"/>
      <c r="C13539" s="13"/>
      <c r="D13539" s="13"/>
    </row>
    <row r="13540" spans="1:4">
      <c r="A13540" s="13"/>
      <c r="B13540" s="13"/>
      <c r="C13540" s="13"/>
      <c r="D13540" s="13"/>
    </row>
    <row r="13541" spans="1:4">
      <c r="A13541" s="13"/>
      <c r="B13541" s="13"/>
      <c r="C13541" s="13"/>
      <c r="D13541" s="13"/>
    </row>
    <row r="13542" spans="1:4">
      <c r="A13542" s="13"/>
      <c r="B13542" s="13"/>
      <c r="C13542" s="13"/>
      <c r="D13542" s="13"/>
    </row>
    <row r="13543" spans="1:4">
      <c r="A13543" s="13"/>
      <c r="B13543" s="13"/>
      <c r="C13543" s="13"/>
      <c r="D13543" s="13"/>
    </row>
    <row r="13544" spans="1:4">
      <c r="A13544" s="13"/>
      <c r="B13544" s="13"/>
      <c r="C13544" s="13"/>
      <c r="D13544" s="13"/>
    </row>
    <row r="13545" spans="1:4">
      <c r="A13545" s="13"/>
      <c r="B13545" s="13"/>
      <c r="C13545" s="13"/>
      <c r="D13545" s="13"/>
    </row>
    <row r="13546" spans="1:4">
      <c r="A13546" s="13"/>
      <c r="B13546" s="13"/>
      <c r="C13546" s="13"/>
      <c r="D13546" s="13"/>
    </row>
    <row r="13547" spans="1:4">
      <c r="A13547" s="13"/>
      <c r="B13547" s="13"/>
      <c r="C13547" s="13"/>
      <c r="D13547" s="13"/>
    </row>
    <row r="13548" spans="1:4">
      <c r="A13548" s="13"/>
      <c r="B13548" s="13"/>
      <c r="C13548" s="13"/>
      <c r="D13548" s="13"/>
    </row>
    <row r="13549" spans="1:4">
      <c r="A13549" s="13"/>
      <c r="B13549" s="13"/>
      <c r="C13549" s="13"/>
      <c r="D13549" s="13"/>
    </row>
    <row r="13550" spans="1:4">
      <c r="A13550" s="13"/>
      <c r="B13550" s="13"/>
      <c r="C13550" s="13"/>
      <c r="D13550" s="13"/>
    </row>
    <row r="13551" spans="1:4">
      <c r="A13551" s="13"/>
      <c r="B13551" s="13"/>
      <c r="C13551" s="13"/>
      <c r="D13551" s="13"/>
    </row>
    <row r="13552" spans="1:4">
      <c r="A13552" s="13"/>
      <c r="B13552" s="13"/>
      <c r="C13552" s="13"/>
      <c r="D13552" s="13"/>
    </row>
    <row r="13553" spans="1:4">
      <c r="A13553" s="13"/>
      <c r="B13553" s="13"/>
      <c r="C13553" s="13"/>
      <c r="D13553" s="13"/>
    </row>
    <row r="13554" spans="1:4">
      <c r="A13554" s="13"/>
      <c r="B13554" s="13"/>
      <c r="C13554" s="13"/>
      <c r="D13554" s="13"/>
    </row>
    <row r="13555" spans="1:4">
      <c r="A13555" s="13"/>
      <c r="B13555" s="13"/>
      <c r="C13555" s="13"/>
      <c r="D13555" s="13"/>
    </row>
    <row r="13556" spans="1:4">
      <c r="A13556" s="13"/>
      <c r="B13556" s="13"/>
      <c r="C13556" s="13"/>
      <c r="D13556" s="13"/>
    </row>
    <row r="13557" spans="1:4">
      <c r="A13557" s="13"/>
      <c r="B13557" s="13"/>
      <c r="C13557" s="13"/>
      <c r="D13557" s="13"/>
    </row>
    <row r="13558" spans="1:4">
      <c r="A13558" s="13"/>
      <c r="B13558" s="13"/>
      <c r="C13558" s="13"/>
      <c r="D13558" s="13"/>
    </row>
    <row r="13559" spans="1:4">
      <c r="A13559" s="13"/>
      <c r="B13559" s="13"/>
      <c r="C13559" s="13"/>
      <c r="D13559" s="13"/>
    </row>
    <row r="13560" spans="1:4">
      <c r="A13560" s="13"/>
      <c r="B13560" s="13"/>
      <c r="C13560" s="13"/>
      <c r="D13560" s="13"/>
    </row>
    <row r="13561" spans="1:4">
      <c r="A13561" s="13"/>
      <c r="B13561" s="13"/>
      <c r="C13561" s="13"/>
      <c r="D13561" s="13"/>
    </row>
    <row r="13562" spans="1:4">
      <c r="A13562" s="13"/>
      <c r="B13562" s="13"/>
      <c r="C13562" s="13"/>
      <c r="D13562" s="13"/>
    </row>
    <row r="13563" spans="1:4">
      <c r="A13563" s="13"/>
      <c r="B13563" s="13"/>
      <c r="C13563" s="13"/>
      <c r="D13563" s="13"/>
    </row>
    <row r="13564" spans="1:4">
      <c r="A13564" s="13"/>
      <c r="B13564" s="13"/>
      <c r="C13564" s="13"/>
      <c r="D13564" s="13"/>
    </row>
    <row r="13565" spans="1:4">
      <c r="A13565" s="13"/>
      <c r="B13565" s="13"/>
      <c r="C13565" s="13"/>
      <c r="D13565" s="13"/>
    </row>
    <row r="13566" spans="1:4">
      <c r="A13566" s="13"/>
      <c r="B13566" s="13"/>
      <c r="C13566" s="13"/>
      <c r="D13566" s="13"/>
    </row>
    <row r="13567" spans="1:4">
      <c r="A13567" s="13"/>
      <c r="B13567" s="13"/>
      <c r="C13567" s="13"/>
      <c r="D13567" s="13"/>
    </row>
    <row r="13568" spans="1:4">
      <c r="A13568" s="13"/>
      <c r="B13568" s="13"/>
      <c r="C13568" s="13"/>
      <c r="D13568" s="13"/>
    </row>
    <row r="13569" spans="1:4">
      <c r="A13569" s="13"/>
      <c r="B13569" s="13"/>
      <c r="C13569" s="13"/>
      <c r="D13569" s="13"/>
    </row>
    <row r="13570" spans="1:4">
      <c r="A13570" s="13"/>
      <c r="B13570" s="13"/>
      <c r="C13570" s="13"/>
      <c r="D13570" s="13"/>
    </row>
    <row r="13571" spans="1:4">
      <c r="A13571" s="13"/>
      <c r="B13571" s="13"/>
      <c r="C13571" s="13"/>
      <c r="D13571" s="13"/>
    </row>
    <row r="13572" spans="1:4">
      <c r="A13572" s="13"/>
      <c r="B13572" s="13"/>
      <c r="C13572" s="13"/>
      <c r="D13572" s="13"/>
    </row>
    <row r="13573" spans="1:4">
      <c r="A13573" s="13"/>
      <c r="B13573" s="13"/>
      <c r="C13573" s="13"/>
      <c r="D13573" s="13"/>
    </row>
    <row r="13574" spans="1:4">
      <c r="A13574" s="13"/>
      <c r="B13574" s="13"/>
      <c r="C13574" s="13"/>
      <c r="D13574" s="13"/>
    </row>
    <row r="13575" spans="1:4">
      <c r="A13575" s="13"/>
      <c r="B13575" s="13"/>
      <c r="C13575" s="13"/>
      <c r="D13575" s="13"/>
    </row>
    <row r="13576" spans="1:4">
      <c r="A13576" s="13"/>
      <c r="B13576" s="13"/>
      <c r="C13576" s="13"/>
      <c r="D13576" s="13"/>
    </row>
    <row r="13577" spans="1:4">
      <c r="A13577" s="13"/>
      <c r="B13577" s="13"/>
      <c r="C13577" s="13"/>
      <c r="D13577" s="13"/>
    </row>
    <row r="13578" spans="1:4">
      <c r="A13578" s="13"/>
      <c r="B13578" s="13"/>
      <c r="C13578" s="13"/>
      <c r="D13578" s="13"/>
    </row>
    <row r="13579" spans="1:4">
      <c r="A13579" s="13"/>
      <c r="B13579" s="13"/>
      <c r="C13579" s="13"/>
      <c r="D13579" s="13"/>
    </row>
    <row r="13580" spans="1:4">
      <c r="A13580" s="13"/>
      <c r="B13580" s="13"/>
      <c r="C13580" s="13"/>
      <c r="D13580" s="13"/>
    </row>
    <row r="13581" spans="1:4">
      <c r="A13581" s="13"/>
      <c r="B13581" s="13"/>
      <c r="C13581" s="13"/>
      <c r="D13581" s="13"/>
    </row>
    <row r="13582" spans="1:4">
      <c r="A13582" s="13"/>
      <c r="B13582" s="13"/>
      <c r="C13582" s="13"/>
      <c r="D13582" s="13"/>
    </row>
    <row r="13583" spans="1:4">
      <c r="A13583" s="13"/>
      <c r="B13583" s="13"/>
      <c r="C13583" s="13"/>
      <c r="D13583" s="13"/>
    </row>
    <row r="13584" spans="1:4">
      <c r="A13584" s="13"/>
      <c r="B13584" s="13"/>
      <c r="C13584" s="13"/>
      <c r="D13584" s="13"/>
    </row>
    <row r="13585" spans="1:4">
      <c r="A13585" s="13"/>
      <c r="B13585" s="13"/>
      <c r="C13585" s="13"/>
      <c r="D13585" s="13"/>
    </row>
    <row r="13586" spans="1:4">
      <c r="A13586" s="13"/>
      <c r="B13586" s="13"/>
      <c r="C13586" s="13"/>
      <c r="D13586" s="13"/>
    </row>
    <row r="13587" spans="1:4">
      <c r="A13587" s="13"/>
      <c r="B13587" s="13"/>
      <c r="C13587" s="13"/>
      <c r="D13587" s="13"/>
    </row>
    <row r="13588" spans="1:4">
      <c r="A13588" s="13"/>
      <c r="B13588" s="13"/>
      <c r="C13588" s="13"/>
      <c r="D13588" s="13"/>
    </row>
    <row r="13589" spans="1:4">
      <c r="A13589" s="13"/>
      <c r="B13589" s="13"/>
      <c r="C13589" s="13"/>
      <c r="D13589" s="13"/>
    </row>
    <row r="13590" spans="1:4">
      <c r="A13590" s="13"/>
      <c r="B13590" s="13"/>
      <c r="C13590" s="13"/>
      <c r="D13590" s="13"/>
    </row>
    <row r="13591" spans="1:4">
      <c r="A13591" s="13"/>
      <c r="B13591" s="13"/>
      <c r="C13591" s="13"/>
      <c r="D13591" s="13"/>
    </row>
    <row r="13592" spans="1:4">
      <c r="A13592" s="13"/>
      <c r="B13592" s="13"/>
      <c r="C13592" s="13"/>
      <c r="D13592" s="13"/>
    </row>
    <row r="13593" spans="1:4">
      <c r="A13593" s="13"/>
      <c r="B13593" s="13"/>
      <c r="C13593" s="13"/>
      <c r="D13593" s="13"/>
    </row>
    <row r="13594" spans="1:4">
      <c r="A13594" s="13"/>
      <c r="B13594" s="13"/>
      <c r="C13594" s="13"/>
      <c r="D13594" s="13"/>
    </row>
    <row r="13595" spans="1:4">
      <c r="A13595" s="13"/>
      <c r="B13595" s="13"/>
      <c r="C13595" s="13"/>
      <c r="D13595" s="13"/>
    </row>
    <row r="13596" spans="1:4">
      <c r="A13596" s="13"/>
      <c r="B13596" s="13"/>
      <c r="C13596" s="13"/>
      <c r="D13596" s="13"/>
    </row>
    <row r="13597" spans="1:4">
      <c r="A13597" s="13"/>
      <c r="B13597" s="13"/>
      <c r="C13597" s="13"/>
      <c r="D13597" s="13"/>
    </row>
    <row r="13598" spans="1:4">
      <c r="A13598" s="13"/>
      <c r="B13598" s="13"/>
      <c r="C13598" s="13"/>
      <c r="D13598" s="13"/>
    </row>
    <row r="13599" spans="1:4">
      <c r="A13599" s="13"/>
      <c r="B13599" s="13"/>
      <c r="C13599" s="13"/>
      <c r="D13599" s="13"/>
    </row>
    <row r="13600" spans="1:4">
      <c r="A13600" s="13"/>
      <c r="B13600" s="13"/>
      <c r="C13600" s="13"/>
      <c r="D13600" s="13"/>
    </row>
    <row r="13601" spans="1:4">
      <c r="A13601" s="13"/>
      <c r="B13601" s="13"/>
      <c r="C13601" s="13"/>
      <c r="D13601" s="13"/>
    </row>
    <row r="13602" spans="1:4">
      <c r="A13602" s="13"/>
      <c r="B13602" s="13"/>
      <c r="C13602" s="13"/>
      <c r="D13602" s="13"/>
    </row>
    <row r="13603" spans="1:4">
      <c r="A13603" s="13"/>
      <c r="B13603" s="13"/>
      <c r="C13603" s="13"/>
      <c r="D13603" s="13"/>
    </row>
    <row r="13604" spans="1:4">
      <c r="A13604" s="13"/>
      <c r="B13604" s="13"/>
      <c r="C13604" s="13"/>
      <c r="D13604" s="13"/>
    </row>
    <row r="13605" spans="1:4">
      <c r="A13605" s="13"/>
      <c r="B13605" s="13"/>
      <c r="C13605" s="13"/>
      <c r="D13605" s="13"/>
    </row>
    <row r="13606" spans="1:4">
      <c r="A13606" s="13"/>
      <c r="B13606" s="13"/>
      <c r="C13606" s="13"/>
      <c r="D13606" s="13"/>
    </row>
    <row r="13607" spans="1:4">
      <c r="A13607" s="13"/>
      <c r="B13607" s="13"/>
      <c r="C13607" s="13"/>
      <c r="D13607" s="13"/>
    </row>
    <row r="13608" spans="1:4">
      <c r="A13608" s="13"/>
      <c r="B13608" s="13"/>
      <c r="C13608" s="13"/>
      <c r="D13608" s="13"/>
    </row>
    <row r="13609" spans="1:4">
      <c r="A13609" s="13"/>
      <c r="B13609" s="13"/>
      <c r="C13609" s="13"/>
      <c r="D13609" s="13"/>
    </row>
    <row r="13610" spans="1:4">
      <c r="A13610" s="13"/>
      <c r="B13610" s="13"/>
      <c r="C13610" s="13"/>
      <c r="D13610" s="13"/>
    </row>
    <row r="13611" spans="1:4">
      <c r="A13611" s="13"/>
      <c r="B13611" s="13"/>
      <c r="C13611" s="13"/>
      <c r="D13611" s="13"/>
    </row>
    <row r="13612" spans="1:4">
      <c r="A13612" s="13"/>
      <c r="B13612" s="13"/>
      <c r="C13612" s="13"/>
      <c r="D13612" s="13"/>
    </row>
    <row r="13613" spans="1:4">
      <c r="A13613" s="13"/>
      <c r="B13613" s="13"/>
      <c r="C13613" s="13"/>
      <c r="D13613" s="13"/>
    </row>
    <row r="13614" spans="1:4">
      <c r="A13614" s="13"/>
      <c r="B13614" s="13"/>
      <c r="C13614" s="13"/>
      <c r="D13614" s="13"/>
    </row>
    <row r="13615" spans="1:4">
      <c r="A13615" s="13"/>
      <c r="B13615" s="13"/>
      <c r="C13615" s="13"/>
      <c r="D13615" s="13"/>
    </row>
    <row r="13616" spans="1:4">
      <c r="A13616" s="13"/>
      <c r="B13616" s="13"/>
      <c r="C13616" s="13"/>
      <c r="D13616" s="13"/>
    </row>
  </sheetData>
  <autoFilter ref="A1:D1" xr:uid="{7FE0B720-338C-49AB-80B6-14CB0D86AB0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4E3FE-0360-4F51-8FF1-95F7F72CE72C}">
  <dimension ref="A1:D65"/>
  <sheetViews>
    <sheetView tabSelected="1" workbookViewId="0">
      <selection sqref="A1:D1048576"/>
    </sheetView>
  </sheetViews>
  <sheetFormatPr baseColWidth="10" defaultRowHeight="15"/>
  <cols>
    <col min="1" max="4" width="21.140625" customWidth="1"/>
  </cols>
  <sheetData>
    <row r="1" spans="1:4" ht="60">
      <c r="A1" s="1" t="s">
        <v>16718</v>
      </c>
      <c r="B1" s="2" t="s">
        <v>3</v>
      </c>
      <c r="C1" s="2" t="s">
        <v>0</v>
      </c>
      <c r="D1" s="2" t="s">
        <v>1</v>
      </c>
    </row>
    <row r="2" spans="1:4">
      <c r="A2" s="74">
        <v>45659</v>
      </c>
      <c r="B2" s="73" t="s">
        <v>16720</v>
      </c>
      <c r="C2" s="73" t="s">
        <v>16719</v>
      </c>
      <c r="D2" s="73" t="s">
        <v>353</v>
      </c>
    </row>
    <row r="3" spans="1:4">
      <c r="A3" s="74">
        <v>45659</v>
      </c>
      <c r="B3" s="73" t="s">
        <v>16722</v>
      </c>
      <c r="C3" s="73" t="s">
        <v>16721</v>
      </c>
      <c r="D3" s="73" t="s">
        <v>34</v>
      </c>
    </row>
    <row r="4" spans="1:4">
      <c r="A4" s="74">
        <v>45659</v>
      </c>
      <c r="B4" s="73" t="s">
        <v>16724</v>
      </c>
      <c r="C4" s="73" t="s">
        <v>16723</v>
      </c>
      <c r="D4" s="73" t="s">
        <v>109</v>
      </c>
    </row>
    <row r="5" spans="1:4">
      <c r="A5" s="74">
        <v>45659</v>
      </c>
      <c r="B5" s="73" t="s">
        <v>16726</v>
      </c>
      <c r="C5" s="73" t="s">
        <v>16725</v>
      </c>
      <c r="D5" s="73" t="s">
        <v>109</v>
      </c>
    </row>
    <row r="6" spans="1:4">
      <c r="A6" s="74">
        <v>45659</v>
      </c>
      <c r="B6" s="73" t="s">
        <v>10969</v>
      </c>
      <c r="C6" s="73" t="s">
        <v>16727</v>
      </c>
      <c r="D6" s="73" t="s">
        <v>109</v>
      </c>
    </row>
    <row r="7" spans="1:4">
      <c r="A7" s="74">
        <v>45659</v>
      </c>
      <c r="B7" s="73" t="s">
        <v>16729</v>
      </c>
      <c r="C7" s="73" t="s">
        <v>16728</v>
      </c>
      <c r="D7" s="73" t="s">
        <v>109</v>
      </c>
    </row>
    <row r="8" spans="1:4">
      <c r="A8" s="74">
        <v>45659</v>
      </c>
      <c r="B8" s="73" t="s">
        <v>16730</v>
      </c>
      <c r="C8" s="73" t="s">
        <v>16728</v>
      </c>
      <c r="D8" s="73" t="s">
        <v>109</v>
      </c>
    </row>
    <row r="9" spans="1:4">
      <c r="A9" s="74">
        <v>45659</v>
      </c>
      <c r="B9" s="73" t="s">
        <v>16731</v>
      </c>
      <c r="C9" s="73" t="s">
        <v>16727</v>
      </c>
      <c r="D9" s="73" t="s">
        <v>109</v>
      </c>
    </row>
    <row r="10" spans="1:4">
      <c r="A10" s="74">
        <v>45659</v>
      </c>
      <c r="B10" s="73" t="s">
        <v>16733</v>
      </c>
      <c r="C10" s="73" t="s">
        <v>16732</v>
      </c>
      <c r="D10" s="73" t="s">
        <v>34</v>
      </c>
    </row>
    <row r="11" spans="1:4">
      <c r="A11" s="74">
        <v>45659</v>
      </c>
      <c r="B11" s="73" t="s">
        <v>16735</v>
      </c>
      <c r="C11" s="73" t="s">
        <v>16734</v>
      </c>
      <c r="D11" s="73" t="s">
        <v>109</v>
      </c>
    </row>
    <row r="12" spans="1:4">
      <c r="A12" s="74">
        <v>45659</v>
      </c>
      <c r="B12" s="73" t="s">
        <v>16737</v>
      </c>
      <c r="C12" s="73" t="s">
        <v>16736</v>
      </c>
      <c r="D12" s="73" t="s">
        <v>141</v>
      </c>
    </row>
    <row r="13" spans="1:4">
      <c r="A13" s="74">
        <v>45659</v>
      </c>
      <c r="B13" s="73" t="s">
        <v>16739</v>
      </c>
      <c r="C13" s="73" t="s">
        <v>16738</v>
      </c>
      <c r="D13" s="73" t="s">
        <v>141</v>
      </c>
    </row>
    <row r="14" spans="1:4">
      <c r="A14" s="74">
        <v>45659</v>
      </c>
      <c r="B14" s="73" t="s">
        <v>16741</v>
      </c>
      <c r="C14" s="73" t="s">
        <v>16740</v>
      </c>
      <c r="D14" s="73" t="s">
        <v>109</v>
      </c>
    </row>
    <row r="15" spans="1:4">
      <c r="A15" s="74">
        <v>45659</v>
      </c>
      <c r="B15" s="73" t="s">
        <v>16743</v>
      </c>
      <c r="C15" s="73" t="s">
        <v>16742</v>
      </c>
      <c r="D15" s="73" t="s">
        <v>29</v>
      </c>
    </row>
    <row r="16" spans="1:4">
      <c r="A16" s="74">
        <v>45660</v>
      </c>
      <c r="B16" s="73" t="s">
        <v>10969</v>
      </c>
      <c r="C16" s="73" t="s">
        <v>16744</v>
      </c>
      <c r="D16" s="73" t="s">
        <v>29</v>
      </c>
    </row>
    <row r="17" spans="1:4">
      <c r="A17" s="74">
        <v>45660</v>
      </c>
      <c r="B17" s="73" t="s">
        <v>16746</v>
      </c>
      <c r="C17" s="73" t="s">
        <v>16745</v>
      </c>
      <c r="D17" s="73" t="s">
        <v>5</v>
      </c>
    </row>
    <row r="18" spans="1:4">
      <c r="A18" s="74">
        <v>45660</v>
      </c>
      <c r="B18" s="73" t="s">
        <v>16748</v>
      </c>
      <c r="C18" s="73" t="s">
        <v>16747</v>
      </c>
      <c r="D18" s="73" t="s">
        <v>11</v>
      </c>
    </row>
    <row r="19" spans="1:4">
      <c r="A19" s="74">
        <v>45660</v>
      </c>
      <c r="B19" s="73" t="s">
        <v>16750</v>
      </c>
      <c r="C19" s="73" t="s">
        <v>16749</v>
      </c>
      <c r="D19" s="73" t="s">
        <v>11</v>
      </c>
    </row>
    <row r="20" spans="1:4">
      <c r="A20" s="74">
        <v>45660</v>
      </c>
      <c r="B20" s="73" t="s">
        <v>16752</v>
      </c>
      <c r="C20" s="73" t="s">
        <v>16751</v>
      </c>
      <c r="D20" s="73" t="s">
        <v>11</v>
      </c>
    </row>
    <row r="21" spans="1:4">
      <c r="A21" s="74">
        <v>45660</v>
      </c>
      <c r="B21" s="73" t="s">
        <v>16754</v>
      </c>
      <c r="C21" s="73" t="s">
        <v>16753</v>
      </c>
      <c r="D21" s="73" t="s">
        <v>11</v>
      </c>
    </row>
    <row r="22" spans="1:4">
      <c r="A22" s="74">
        <v>45660</v>
      </c>
      <c r="B22" s="73" t="s">
        <v>16755</v>
      </c>
      <c r="C22" s="73" t="s">
        <v>16753</v>
      </c>
      <c r="D22" s="73" t="s">
        <v>11</v>
      </c>
    </row>
    <row r="23" spans="1:4">
      <c r="A23" s="74">
        <v>45660</v>
      </c>
      <c r="B23" s="73" t="s">
        <v>16757</v>
      </c>
      <c r="C23" s="73" t="s">
        <v>16756</v>
      </c>
      <c r="D23" s="73" t="s">
        <v>8</v>
      </c>
    </row>
    <row r="24" spans="1:4">
      <c r="A24" s="74">
        <v>45661</v>
      </c>
      <c r="B24" s="73" t="s">
        <v>16759</v>
      </c>
      <c r="C24" s="73" t="s">
        <v>16758</v>
      </c>
      <c r="D24" s="73" t="s">
        <v>216</v>
      </c>
    </row>
    <row r="25" spans="1:4">
      <c r="A25" s="74">
        <v>45661</v>
      </c>
      <c r="B25" s="73" t="s">
        <v>16761</v>
      </c>
      <c r="C25" s="73" t="s">
        <v>16760</v>
      </c>
      <c r="D25" s="73" t="s">
        <v>24</v>
      </c>
    </row>
    <row r="26" spans="1:4">
      <c r="A26" s="74">
        <v>45661</v>
      </c>
      <c r="B26" s="73" t="s">
        <v>16763</v>
      </c>
      <c r="C26" s="73" t="s">
        <v>16762</v>
      </c>
      <c r="D26" s="73" t="s">
        <v>34</v>
      </c>
    </row>
    <row r="27" spans="1:4">
      <c r="A27" s="74">
        <v>45661</v>
      </c>
      <c r="B27" s="73" t="s">
        <v>16765</v>
      </c>
      <c r="C27" s="73" t="s">
        <v>16764</v>
      </c>
      <c r="D27" s="73" t="s">
        <v>109</v>
      </c>
    </row>
    <row r="28" spans="1:4">
      <c r="A28" s="74">
        <v>45661</v>
      </c>
      <c r="B28" s="73" t="s">
        <v>16767</v>
      </c>
      <c r="C28" s="73" t="s">
        <v>16766</v>
      </c>
      <c r="D28" s="73" t="s">
        <v>29</v>
      </c>
    </row>
    <row r="29" spans="1:4">
      <c r="A29" s="74">
        <v>45661</v>
      </c>
      <c r="B29" s="73" t="s">
        <v>16769</v>
      </c>
      <c r="C29" s="73" t="s">
        <v>16768</v>
      </c>
      <c r="D29" s="73" t="s">
        <v>8</v>
      </c>
    </row>
    <row r="30" spans="1:4">
      <c r="A30" s="74">
        <v>45661</v>
      </c>
      <c r="B30" s="73" t="s">
        <v>16771</v>
      </c>
      <c r="C30" s="73" t="s">
        <v>16770</v>
      </c>
      <c r="D30" s="73" t="s">
        <v>34</v>
      </c>
    </row>
    <row r="31" spans="1:4">
      <c r="A31" s="74">
        <v>45661</v>
      </c>
      <c r="B31" s="73" t="s">
        <v>16773</v>
      </c>
      <c r="C31" s="73" t="s">
        <v>16772</v>
      </c>
      <c r="D31" s="73" t="s">
        <v>34</v>
      </c>
    </row>
    <row r="32" spans="1:4">
      <c r="A32" s="74">
        <v>45662</v>
      </c>
      <c r="B32" s="73" t="s">
        <v>16775</v>
      </c>
      <c r="C32" s="73" t="s">
        <v>16774</v>
      </c>
      <c r="D32" s="73" t="s">
        <v>34</v>
      </c>
    </row>
    <row r="33" spans="1:4">
      <c r="A33" s="74">
        <v>45662</v>
      </c>
      <c r="B33" s="73" t="s">
        <v>16777</v>
      </c>
      <c r="C33" s="73" t="s">
        <v>16776</v>
      </c>
      <c r="D33" s="73" t="s">
        <v>34</v>
      </c>
    </row>
    <row r="34" spans="1:4">
      <c r="A34" s="74">
        <v>45663</v>
      </c>
      <c r="B34" s="73" t="s">
        <v>16779</v>
      </c>
      <c r="C34" s="73" t="s">
        <v>16778</v>
      </c>
      <c r="D34" s="73" t="s">
        <v>5</v>
      </c>
    </row>
    <row r="35" spans="1:4">
      <c r="A35" s="74">
        <v>45663</v>
      </c>
      <c r="B35" s="73" t="s">
        <v>16781</v>
      </c>
      <c r="C35" s="73" t="s">
        <v>16780</v>
      </c>
      <c r="D35" s="73" t="s">
        <v>29</v>
      </c>
    </row>
    <row r="36" spans="1:4">
      <c r="A36" s="74">
        <v>45664</v>
      </c>
      <c r="B36" s="73" t="s">
        <v>16783</v>
      </c>
      <c r="C36" s="73" t="s">
        <v>16782</v>
      </c>
      <c r="D36" s="73" t="s">
        <v>345</v>
      </c>
    </row>
    <row r="37" spans="1:4">
      <c r="A37" s="74">
        <v>45664</v>
      </c>
      <c r="B37" s="73" t="s">
        <v>16785</v>
      </c>
      <c r="C37" s="73" t="s">
        <v>16784</v>
      </c>
      <c r="D37" s="73" t="s">
        <v>8</v>
      </c>
    </row>
    <row r="38" spans="1:4">
      <c r="A38" s="74">
        <v>45664</v>
      </c>
      <c r="B38" s="73" t="s">
        <v>16787</v>
      </c>
      <c r="C38" s="73" t="s">
        <v>16786</v>
      </c>
      <c r="D38" s="73" t="s">
        <v>19</v>
      </c>
    </row>
    <row r="39" spans="1:4">
      <c r="A39" s="74">
        <v>45664</v>
      </c>
      <c r="B39" s="73" t="s">
        <v>16789</v>
      </c>
      <c r="C39" s="73" t="s">
        <v>16788</v>
      </c>
      <c r="D39" s="73" t="s">
        <v>16</v>
      </c>
    </row>
    <row r="40" spans="1:4">
      <c r="A40" s="74">
        <v>45664</v>
      </c>
      <c r="B40" s="73" t="s">
        <v>16791</v>
      </c>
      <c r="C40" s="73" t="s">
        <v>16790</v>
      </c>
      <c r="D40" s="73" t="s">
        <v>109</v>
      </c>
    </row>
    <row r="41" spans="1:4">
      <c r="A41" s="74">
        <v>45664</v>
      </c>
      <c r="B41" s="73" t="s">
        <v>16793</v>
      </c>
      <c r="C41" s="73" t="s">
        <v>16792</v>
      </c>
      <c r="D41" s="73" t="s">
        <v>19</v>
      </c>
    </row>
    <row r="42" spans="1:4">
      <c r="A42" s="74">
        <v>45664</v>
      </c>
      <c r="B42" s="73" t="s">
        <v>16795</v>
      </c>
      <c r="C42" s="73" t="s">
        <v>16794</v>
      </c>
      <c r="D42" s="73" t="s">
        <v>19</v>
      </c>
    </row>
    <row r="43" spans="1:4">
      <c r="A43" s="74">
        <v>45664</v>
      </c>
      <c r="B43" s="73" t="s">
        <v>16797</v>
      </c>
      <c r="C43" s="73" t="s">
        <v>16796</v>
      </c>
      <c r="D43" s="73" t="s">
        <v>353</v>
      </c>
    </row>
    <row r="44" spans="1:4">
      <c r="A44" s="74">
        <v>45664</v>
      </c>
      <c r="B44" s="73" t="s">
        <v>16798</v>
      </c>
      <c r="C44" s="73" t="s">
        <v>16790</v>
      </c>
      <c r="D44" s="73" t="s">
        <v>109</v>
      </c>
    </row>
    <row r="45" spans="1:4">
      <c r="A45" s="74">
        <v>45664</v>
      </c>
      <c r="B45" s="73" t="s">
        <v>16799</v>
      </c>
      <c r="C45" s="73" t="s">
        <v>16788</v>
      </c>
      <c r="D45" s="73" t="s">
        <v>16</v>
      </c>
    </row>
    <row r="46" spans="1:4">
      <c r="A46" s="74">
        <v>45664</v>
      </c>
      <c r="B46" s="73" t="s">
        <v>16801</v>
      </c>
      <c r="C46" s="73" t="s">
        <v>16800</v>
      </c>
      <c r="D46" s="73" t="s">
        <v>353</v>
      </c>
    </row>
    <row r="47" spans="1:4">
      <c r="A47" s="74">
        <v>45664</v>
      </c>
      <c r="B47" s="73" t="s">
        <v>16803</v>
      </c>
      <c r="C47" s="73" t="s">
        <v>16802</v>
      </c>
      <c r="D47" s="73" t="s">
        <v>29</v>
      </c>
    </row>
    <row r="48" spans="1:4">
      <c r="A48" s="74">
        <v>45664</v>
      </c>
      <c r="B48" s="73" t="s">
        <v>16805</v>
      </c>
      <c r="C48" s="73" t="s">
        <v>16804</v>
      </c>
      <c r="D48" s="73" t="s">
        <v>345</v>
      </c>
    </row>
    <row r="49" spans="1:4">
      <c r="A49" s="74">
        <v>45664</v>
      </c>
      <c r="B49" s="73" t="s">
        <v>16807</v>
      </c>
      <c r="C49" s="73" t="s">
        <v>16806</v>
      </c>
      <c r="D49" s="73" t="s">
        <v>109</v>
      </c>
    </row>
    <row r="50" spans="1:4">
      <c r="A50" s="74">
        <v>45665</v>
      </c>
      <c r="B50" s="73" t="s">
        <v>16809</v>
      </c>
      <c r="C50" s="73" t="s">
        <v>16808</v>
      </c>
      <c r="D50" s="73" t="s">
        <v>164</v>
      </c>
    </row>
    <row r="51" spans="1:4">
      <c r="A51" s="74">
        <v>45665</v>
      </c>
      <c r="B51" s="73" t="s">
        <v>16811</v>
      </c>
      <c r="C51" s="73" t="s">
        <v>16810</v>
      </c>
      <c r="D51" s="73" t="s">
        <v>34</v>
      </c>
    </row>
    <row r="52" spans="1:4">
      <c r="A52" s="74">
        <v>45665</v>
      </c>
      <c r="B52" s="73" t="s">
        <v>16813</v>
      </c>
      <c r="C52" s="73" t="s">
        <v>16812</v>
      </c>
      <c r="D52" s="73" t="s">
        <v>164</v>
      </c>
    </row>
    <row r="53" spans="1:4">
      <c r="A53" s="74">
        <v>45665</v>
      </c>
      <c r="B53" s="73" t="s">
        <v>16815</v>
      </c>
      <c r="C53" s="73" t="s">
        <v>16814</v>
      </c>
      <c r="D53" s="73" t="s">
        <v>11</v>
      </c>
    </row>
    <row r="54" spans="1:4">
      <c r="A54" s="74">
        <v>45665</v>
      </c>
      <c r="B54" s="73" t="s">
        <v>16817</v>
      </c>
      <c r="C54" s="73" t="s">
        <v>16816</v>
      </c>
      <c r="D54" s="73" t="s">
        <v>74</v>
      </c>
    </row>
    <row r="55" spans="1:4">
      <c r="A55" s="74">
        <v>45665</v>
      </c>
      <c r="B55" s="73" t="s">
        <v>16819</v>
      </c>
      <c r="C55" s="73" t="s">
        <v>16818</v>
      </c>
      <c r="D55" s="73" t="s">
        <v>8</v>
      </c>
    </row>
    <row r="56" spans="1:4">
      <c r="A56" s="74">
        <v>45666</v>
      </c>
      <c r="B56" s="73" t="s">
        <v>16821</v>
      </c>
      <c r="C56" s="73" t="s">
        <v>16820</v>
      </c>
      <c r="D56" s="73" t="s">
        <v>109</v>
      </c>
    </row>
    <row r="57" spans="1:4">
      <c r="A57" s="74">
        <v>45666</v>
      </c>
      <c r="B57" s="73" t="s">
        <v>16823</v>
      </c>
      <c r="C57" s="73" t="s">
        <v>16822</v>
      </c>
      <c r="D57" s="73" t="s">
        <v>29</v>
      </c>
    </row>
    <row r="58" spans="1:4">
      <c r="A58" s="74">
        <v>45666</v>
      </c>
      <c r="B58" s="73" t="s">
        <v>16825</v>
      </c>
      <c r="C58" s="73" t="s">
        <v>16824</v>
      </c>
      <c r="D58" s="73" t="s">
        <v>29</v>
      </c>
    </row>
    <row r="59" spans="1:4">
      <c r="A59" s="74">
        <v>45666</v>
      </c>
      <c r="B59" s="73" t="s">
        <v>16827</v>
      </c>
      <c r="C59" s="73" t="s">
        <v>16826</v>
      </c>
      <c r="D59" s="73" t="s">
        <v>29</v>
      </c>
    </row>
    <row r="60" spans="1:4">
      <c r="A60" s="74">
        <v>45666</v>
      </c>
      <c r="B60" s="73" t="s">
        <v>16829</v>
      </c>
      <c r="C60" s="73" t="s">
        <v>16828</v>
      </c>
      <c r="D60" s="73" t="s">
        <v>29</v>
      </c>
    </row>
    <row r="61" spans="1:4">
      <c r="A61" s="74">
        <v>45666</v>
      </c>
      <c r="B61" s="73" t="s">
        <v>16831</v>
      </c>
      <c r="C61" s="73" t="s">
        <v>16830</v>
      </c>
      <c r="D61" s="73" t="s">
        <v>109</v>
      </c>
    </row>
    <row r="62" spans="1:4">
      <c r="A62" s="74">
        <v>45666</v>
      </c>
      <c r="B62" s="73" t="s">
        <v>16832</v>
      </c>
      <c r="C62" s="73" t="s">
        <v>16679</v>
      </c>
      <c r="D62" s="73" t="s">
        <v>109</v>
      </c>
    </row>
    <row r="63" spans="1:4">
      <c r="A63" s="74">
        <v>45666</v>
      </c>
      <c r="B63" s="73" t="s">
        <v>10969</v>
      </c>
      <c r="C63" s="73" t="s">
        <v>16833</v>
      </c>
      <c r="D63" s="73" t="s">
        <v>5</v>
      </c>
    </row>
    <row r="64" spans="1:4">
      <c r="A64" s="74">
        <v>45666</v>
      </c>
      <c r="B64" s="73" t="s">
        <v>10969</v>
      </c>
      <c r="C64" s="73" t="s">
        <v>16834</v>
      </c>
      <c r="D64" s="73" t="s">
        <v>5</v>
      </c>
    </row>
    <row r="65" spans="1:4">
      <c r="A65" s="74">
        <v>45667</v>
      </c>
      <c r="B65" s="73" t="s">
        <v>16836</v>
      </c>
      <c r="C65" s="73" t="s">
        <v>16835</v>
      </c>
      <c r="D65" s="73" t="s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0eb8dc4-6e7c-42a3-816f-8c2a7ce28a93" xsi:nil="true"/>
    <lcf76f155ced4ddcb4097134ff3c332f xmlns="74e0ece4-69a6-41b0-b62c-03efad12130c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41CE3FA6A81B45970359839A546FE9" ma:contentTypeVersion="15" ma:contentTypeDescription="Create a new document." ma:contentTypeScope="" ma:versionID="d463de4d76c653d3b26690fb0b6ce473">
  <xsd:schema xmlns:xsd="http://www.w3.org/2001/XMLSchema" xmlns:xs="http://www.w3.org/2001/XMLSchema" xmlns:p="http://schemas.microsoft.com/office/2006/metadata/properties" xmlns:ns2="74e0ece4-69a6-41b0-b62c-03efad12130c" xmlns:ns3="90eb8dc4-6e7c-42a3-816f-8c2a7ce28a93" targetNamespace="http://schemas.microsoft.com/office/2006/metadata/properties" ma:root="true" ma:fieldsID="33d7b63828b0e33237b01c80178d5a72" ns2:_="" ns3:_="">
    <xsd:import namespace="74e0ece4-69a6-41b0-b62c-03efad12130c"/>
    <xsd:import namespace="90eb8dc4-6e7c-42a3-816f-8c2a7ce28a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e0ece4-69a6-41b0-b62c-03efad1213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ba5ac2a7-3560-40f7-821c-bf6f1f0e00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eb8dc4-6e7c-42a3-816f-8c2a7ce28a9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d6efc5ed-b203-4e17-8e72-951b3bb229d0}" ma:internalName="TaxCatchAll" ma:showField="CatchAllData" ma:web="90eb8dc4-6e7c-42a3-816f-8c2a7ce28a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78D1D5-1F9C-4627-ACB0-018D592F211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912673B-2CC4-47D6-B631-A5D032C25F77}">
  <ds:schemaRefs>
    <ds:schemaRef ds:uri="http://schemas.microsoft.com/office/2006/metadata/properties"/>
    <ds:schemaRef ds:uri="http://schemas.microsoft.com/office/infopath/2007/PartnerControls"/>
    <ds:schemaRef ds:uri="90eb8dc4-6e7c-42a3-816f-8c2a7ce28a93"/>
    <ds:schemaRef ds:uri="74e0ece4-69a6-41b0-b62c-03efad12130c"/>
  </ds:schemaRefs>
</ds:datastoreItem>
</file>

<file path=customXml/itemProps3.xml><?xml version="1.0" encoding="utf-8"?>
<ds:datastoreItem xmlns:ds="http://schemas.openxmlformats.org/officeDocument/2006/customXml" ds:itemID="{F4D04B71-8DAF-401B-B9F6-37D849B134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e0ece4-69a6-41b0-b62c-03efad12130c"/>
    <ds:schemaRef ds:uri="90eb8dc4-6e7c-42a3-816f-8c2a7ce28a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2020 - 2022</vt:lpstr>
      <vt:lpstr>2023</vt:lpstr>
      <vt:lpstr>2024</vt:lpstr>
      <vt:lpstr>2025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Neyra Rengifo</dc:creator>
  <cp:keywords/>
  <dc:description/>
  <cp:lastModifiedBy>Tamara Fernández</cp:lastModifiedBy>
  <cp:revision/>
  <dcterms:created xsi:type="dcterms:W3CDTF">2024-10-17T19:38:39Z</dcterms:created>
  <dcterms:modified xsi:type="dcterms:W3CDTF">2025-01-31T14:31:06Z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0x0101002741CE3FA6A81B45970359839A546FE9</vt:lpwstr>
  </property>
  <property fmtid="{D5CDD505-2E9C-101B-9397-08002B2CF9AE}" pid="3" name="MediaServiceImageTags">
    <vt:lpwstr/>
  </property>
</Properties>
</file>